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O:\CIEX_INDUSTRIAL\07. Produtividade\6. Aves_Suinos_Ind - Aprovação de Ciclo\2026\Fev\Aves\"/>
    </mc:Choice>
  </mc:AlternateContent>
  <xr:revisionPtr revIDLastSave="0" documentId="13_ncr:41000001_{7D969CD6-35A6-E74E-B4F1-F65ECBF3FF01}" xr6:coauthVersionLast="47" xr6:coauthVersionMax="47" xr10:uidLastSave="{00000000-0000-0000-0000-000000000000}"/>
  <bookViews>
    <workbookView xWindow="0" yWindow="240" windowWidth="19200" windowHeight="6435" activeTab="6" xr2:uid="{00000000-000D-0000-FFFF-FFFF00000000}"/>
  </bookViews>
  <sheets>
    <sheet name="COLAR PLANO" sheetId="20" r:id="rId1"/>
    <sheet name="BD VOLUME" sheetId="19" r:id="rId2"/>
    <sheet name="RESUMO" sheetId="21" r:id="rId3"/>
    <sheet name="Preencher" sheetId="9" r:id="rId4"/>
    <sheet name="Avaliação" sheetId="12" r:id="rId5"/>
    <sheet name="Colar QL" sheetId="8" r:id="rId6"/>
    <sheet name="BD Temp" sheetId="23" r:id="rId7"/>
    <sheet name="Input RM" sheetId="25" r:id="rId8"/>
    <sheet name="BD Otimix" sheetId="28" state="hidden" r:id="rId9"/>
    <sheet name="Cod. Tarefa" sheetId="17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>'[1]result-mi'!#REF!</definedName>
    <definedName name="\X">#REF!</definedName>
    <definedName name="\Y">#REF!</definedName>
    <definedName name="___xlfn.RTD" hidden="1">#NAME?</definedName>
    <definedName name="__123Graph_A" hidden="1">#REF!</definedName>
    <definedName name="__123Graph_AVIEW" hidden="1">'[2]USDA-POULTRY'!$E$38:$O$38</definedName>
    <definedName name="__123Graph_B" hidden="1">#REF!</definedName>
    <definedName name="__123Graph_BVIEW" hidden="1">'[2]USDA-POULTRY'!$E$25:$O$25</definedName>
    <definedName name="__123Graph_C" hidden="1">[3]produção!#REF!</definedName>
    <definedName name="__123Graph_D" hidden="1">'[4]só estoques'!#REF!</definedName>
    <definedName name="__123Graph_E" hidden="1">[3]produção!#REF!</definedName>
    <definedName name="__123Graph_F" hidden="1">[5]Balanço!#REF!</definedName>
    <definedName name="__123Graph_X" hidden="1">#REF!</definedName>
    <definedName name="__123Graph_XVIEW" hidden="1">'[2]USDA-POULTRY'!$E$3:$O$3</definedName>
    <definedName name="__3__123Graph_ACHART_1" hidden="1">[6]Livestock2005!#REF!</definedName>
    <definedName name="__4__123Graph_ACHART_10" hidden="1">[6]Livestock2005!#REF!</definedName>
    <definedName name="__xlfn.RTD" hidden="1">#NAME?</definedName>
    <definedName name="_1">#REF!</definedName>
    <definedName name="_1_0_Dist_Val" hidden="1">[7]ACUMULADO!#REF!</definedName>
    <definedName name="_10__123Graph_ACHART_105" hidden="1">[6]Livestock2005!#REF!</definedName>
    <definedName name="_10__123Graph_ACHART_114" hidden="1">[6]Livestock2005!#REF!</definedName>
    <definedName name="_100__123Graph_ACHART_135" hidden="1">[6]Livestock2005!#REF!</definedName>
    <definedName name="_100__123Graph_ACHART_17" hidden="1">[6]Livestock2005!#REF!</definedName>
    <definedName name="_100__123Graph_ACHART_95" hidden="1">[6]Livestock2005!#REF!</definedName>
    <definedName name="_1000__123Graph_XCHART_138" hidden="1">[6]Livestock2005!#REF!</definedName>
    <definedName name="_1004__123Graph_XCHART_139" hidden="1">[6]Livestock2005!#REF!</definedName>
    <definedName name="_10044__123Graph_CCHART_62" hidden="1">[6]Livestock2005!#REF!</definedName>
    <definedName name="_1008__123Graph_ACHART_150" hidden="1">[6]Livestock2005!#REF!</definedName>
    <definedName name="_1008__123Graph_XCHART_14" hidden="1">[6]Livestock2005!#REF!</definedName>
    <definedName name="_101__123Graph_ACHART_98" hidden="1">[6]Livestock2005!#REF!</definedName>
    <definedName name="_1012__123Graph_XCHART_140" hidden="1">[6]Livestock2005!#REF!</definedName>
    <definedName name="_1016__123Graph_XCHART_141" hidden="1">[6]Livestock2005!#REF!</definedName>
    <definedName name="_102__123Graph_ACHART_143" hidden="1">[6]Livestock2005!#REF!</definedName>
    <definedName name="_102__123Graph_ACHART_18" hidden="1">[6]Livestock2005!#REF!</definedName>
    <definedName name="_102__123Graph_BCHART_102" hidden="1">[6]Livestock2005!#REF!</definedName>
    <definedName name="_1020__123Graph_XCHART_142" hidden="1">[6]Livestock2005!#REF!</definedName>
    <definedName name="_10206__123Graph_CCHART_71" hidden="1">[6]Livestock2005!#REF!</definedName>
    <definedName name="_1024__123Graph_XCHART_143" hidden="1">[6]Livestock2005!#REF!</definedName>
    <definedName name="_1028__123Graph_XCHART_144" hidden="1">[6]Livestock2005!#REF!</definedName>
    <definedName name="_103__123Graph_BCHART_105" hidden="1">[6]Livestock2005!#REF!</definedName>
    <definedName name="_1032__123Graph_ACHART_151" hidden="1">[6]Livestock2005!#REF!</definedName>
    <definedName name="_1032__123Graph_XCHART_145" hidden="1">[6]Livestock2005!#REF!</definedName>
    <definedName name="_1036__123Graph_XCHART_146" hidden="1">[6]Livestock2005!#REF!</definedName>
    <definedName name="_10368__123Graph_CCHART_75" hidden="1">[6]Livestock2005!#REF!</definedName>
    <definedName name="_104__123Graph_ACHART_136" hidden="1">[6]Livestock2005!#REF!</definedName>
    <definedName name="_104__123Graph_ACHART_19" hidden="1">[6]Livestock2005!#REF!</definedName>
    <definedName name="_104__123Graph_BCHART_109" hidden="1">[6]Livestock2005!#REF!</definedName>
    <definedName name="_1040__123Graph_XCHART_147" hidden="1">[6]Livestock2005!#REF!</definedName>
    <definedName name="_1044__123Graph_XCHART_148" hidden="1">[6]Livestock2005!#REF!</definedName>
    <definedName name="_1048__123Graph_XCHART_149" hidden="1">[6]Livestock2005!#REF!</definedName>
    <definedName name="_105__123Graph_ACHART_144" hidden="1">[6]Livestock2005!#REF!</definedName>
    <definedName name="_105__123Graph_BCHART_115" hidden="1">[6]Livestock2005!#REF!</definedName>
    <definedName name="_1052__123Graph_XCHART_15" hidden="1">[6]Livestock2005!#REF!</definedName>
    <definedName name="_1056__123Graph_XCHART_150" hidden="1">[6]Livestock2005!#REF!</definedName>
    <definedName name="_106__123Graph_ACHART_2" hidden="1">[6]Livestock2005!#REF!</definedName>
    <definedName name="_106__123Graph_BCHART_118" hidden="1">[6]Livestock2005!#REF!</definedName>
    <definedName name="_1060__123Graph_XCHART_151" hidden="1">[6]Livestock2005!#REF!</definedName>
    <definedName name="_1064__123Graph_XCHART_152" hidden="1">[6]Livestock2005!#REF!</definedName>
    <definedName name="_107__123Graph_BCHART_12" hidden="1">[6]Livestock2005!#REF!</definedName>
    <definedName name="_108__123Graph_ACHART_145" hidden="1">[6]Livestock2005!#REF!</definedName>
    <definedName name="_108__123Graph_ACHART_20" hidden="1">[6]Livestock2005!#REF!</definedName>
    <definedName name="_108__123Graph_BCHART_122" hidden="1">[6]Livestock2005!#REF!</definedName>
    <definedName name="_1080__123Graph_ACHART_130" hidden="1">[6]Livestock2005!#REF!</definedName>
    <definedName name="_1080__123Graph_ACHART_153" hidden="1">[6]Livestock2005!#REF!</definedName>
    <definedName name="_10800__123Graph_DCHART_45" hidden="1">[6]Livestock2005!#REF!</definedName>
    <definedName name="_109__123Graph_BCHART_129" hidden="1">[6]Livestock2005!#REF!</definedName>
    <definedName name="_11__123Graph_ACHART_115" hidden="1">[6]Livestock2005!#REF!</definedName>
    <definedName name="_110__123Graph_ACHART_21" hidden="1">[6]Livestock2005!#REF!</definedName>
    <definedName name="_110__123Graph_BCHART_13" hidden="1">[6]Livestock2005!#REF!</definedName>
    <definedName name="_111__123Graph_ACHART_146" hidden="1">[6]Livestock2005!#REF!</definedName>
    <definedName name="_111__123Graph_BCHART_130" hidden="1">[6]Livestock2005!#REF!</definedName>
    <definedName name="_112__123Graph_ACHART_22" hidden="1">[6]Livestock2005!#REF!</definedName>
    <definedName name="_112__123Graph_BCHART_131" hidden="1">[6]Livestock2005!#REF!</definedName>
    <definedName name="_11286__123Graph_DCHART_68" hidden="1">[6]Livestock2005!#REF!</definedName>
    <definedName name="_113__123Graph_BCHART_132" hidden="1">[6]Livestock2005!#REF!</definedName>
    <definedName name="_114__123Graph_ACHART_147" hidden="1">[6]Livestock2005!#REF!</definedName>
    <definedName name="_114__123Graph_ACHART_23" hidden="1">[6]Livestock2005!#REF!</definedName>
    <definedName name="_114__123Graph_BCHART_133" hidden="1">[6]Livestock2005!#REF!</definedName>
    <definedName name="_115__123Graph_BCHART_134" hidden="1">[6]Livestock2005!#REF!</definedName>
    <definedName name="_116__123Graph_ACHART_3" hidden="1">[6]Livestock2005!#REF!</definedName>
    <definedName name="_116__123Graph_BCHART_135" hidden="1">[6]Livestock2005!#REF!</definedName>
    <definedName name="_117__123Graph_ACHART_148" hidden="1">[6]Livestock2005!#REF!</definedName>
    <definedName name="_117__123Graph_BCHART_136" hidden="1">[6]Livestock2005!#REF!</definedName>
    <definedName name="_118__123Graph_ACHART_39" hidden="1">[6]Livestock2005!#REF!</definedName>
    <definedName name="_118__123Graph_BCHART_137" hidden="1">[6]Livestock2005!#REF!</definedName>
    <definedName name="_119__123Graph_BCHART_138" hidden="1">[6]Livestock2005!#REF!</definedName>
    <definedName name="_12__123Graph_ACHART_101" hidden="1">[6]Livestock2005!#REF!</definedName>
    <definedName name="_12__123Graph_ACHART_11" hidden="1">[6]Livestock2005!#REF!</definedName>
    <definedName name="_12__123Graph_ACHART_119" hidden="1">[6]Livestock2005!#REF!</definedName>
    <definedName name="_120__123Graph_ACHART_105" hidden="1">[6]Livestock2005!#REF!</definedName>
    <definedName name="_120__123Graph_ACHART_149" hidden="1">[6]Livestock2005!#REF!</definedName>
    <definedName name="_120__123Graph_ACHART_4" hidden="1">[6]Livestock2005!#REF!</definedName>
    <definedName name="_120__123Graph_BCHART_139" hidden="1">[6]Livestock2005!#REF!</definedName>
    <definedName name="_1200__123Graph_ACHART_17" hidden="1">[6]Livestock2005!#REF!</definedName>
    <definedName name="_121__123Graph_BCHART_14" hidden="1">[6]Livestock2005!#REF!</definedName>
    <definedName name="_122__123Graph_ACHART_47" hidden="1">[6]Livestock2005!#REF!</definedName>
    <definedName name="_122__123Graph_BCHART_140" hidden="1">[6]Livestock2005!#REF!</definedName>
    <definedName name="_123__123Graph_ACHART_15" hidden="1">[6]Livestock2005!#REF!</definedName>
    <definedName name="_123__123Graph_BCHART_141" hidden="1">[6]Livestock2005!#REF!</definedName>
    <definedName name="_124__123Graph_ACHART_48" hidden="1">[6]Livestock2005!#REF!</definedName>
    <definedName name="_124__123Graph_BCHART_142" hidden="1">[6]Livestock2005!#REF!</definedName>
    <definedName name="_1248__123Graph_ACHART_19" hidden="1">[6]Livestock2005!#REF!</definedName>
    <definedName name="_125__123Graph_BCHART_143" hidden="1">[6]Livestock2005!#REF!</definedName>
    <definedName name="_126__123Graph_ACHART_150" hidden="1">[6]Livestock2005!#REF!</definedName>
    <definedName name="_126__123Graph_ACHART_49" hidden="1">[6]Livestock2005!#REF!</definedName>
    <definedName name="_126__123Graph_BCHART_144" hidden="1">[6]Livestock2005!#REF!</definedName>
    <definedName name="_127__123Graph_BCHART_145" hidden="1">[6]Livestock2005!#REF!</definedName>
    <definedName name="_1272__123Graph_ACHART_2" hidden="1">[6]Livestock2005!#REF!</definedName>
    <definedName name="_128__123Graph_ACHART_5" hidden="1">[6]Livestock2005!#REF!</definedName>
    <definedName name="_128__123Graph_BCHART_146" hidden="1">[6]Livestock2005!#REF!</definedName>
    <definedName name="_129__123Graph_ACHART_151" hidden="1">[6]Livestock2005!#REF!</definedName>
    <definedName name="_129__123Graph_BCHART_147" hidden="1">[6]Livestock2005!#REF!</definedName>
    <definedName name="_1296__123Graph_ACHART_20" hidden="1">[6]Livestock2005!#REF!</definedName>
    <definedName name="_12960__123Graph_XCHART_129" hidden="1">[6]Livestock2005!#REF!</definedName>
    <definedName name="_13__123Graph_ACHART_12" hidden="1">[6]Livestock2005!#REF!</definedName>
    <definedName name="_130__123Graph_ACHART_50" hidden="1">[6]Livestock2005!#REF!</definedName>
    <definedName name="_130__123Graph_BCHART_148" hidden="1">[6]Livestock2005!#REF!</definedName>
    <definedName name="_131__123Graph_BCHART_149" hidden="1">[6]Livestock2005!#REF!</definedName>
    <definedName name="_132__123Graph_ACHART_152" hidden="1">[6]Livestock2005!#REF!</definedName>
    <definedName name="_132__123Graph_ACHART_51" hidden="1">[6]Livestock2005!#REF!</definedName>
    <definedName name="_132__123Graph_BCHART_15" hidden="1">[6]Livestock2005!#REF!</definedName>
    <definedName name="_1320__123Graph_ACHART_21" hidden="1">[6]Livestock2005!#REF!</definedName>
    <definedName name="_133__123Graph_BCHART_150" hidden="1">[6]Livestock2005!#REF!</definedName>
    <definedName name="_134__123Graph_ACHART_52" hidden="1">[6]Livestock2005!#REF!</definedName>
    <definedName name="_134__123Graph_BCHART_151" hidden="1">[6]Livestock2005!#REF!</definedName>
    <definedName name="_13446__123Graph_XCHART_137" hidden="1">[6]Livestock2005!#REF!</definedName>
    <definedName name="_135__123Graph_ACHART_153" hidden="1">[6]Livestock2005!#REF!</definedName>
    <definedName name="_135__123Graph_BCHART_152" hidden="1">[6]Livestock2005!#REF!</definedName>
    <definedName name="_1350__123Graph_ACHART_135" hidden="1">[6]Livestock2005!#REF!</definedName>
    <definedName name="_136__123Graph_ACHART_53" hidden="1">[6]Livestock2005!#REF!</definedName>
    <definedName name="_136__123Graph_BCHART_153" hidden="1">[6]Livestock2005!#REF!</definedName>
    <definedName name="_137__123Graph_BCHART_154" hidden="1">[6]Livestock2005!#REF!</definedName>
    <definedName name="_138__123Graph_ACHART_154" hidden="1">[6]Livestock2005!#REF!</definedName>
    <definedName name="_138__123Graph_ACHART_54" hidden="1">[6]Livestock2005!#REF!</definedName>
    <definedName name="_138__123Graph_BCHART_155" hidden="1">[6]Livestock2005!#REF!</definedName>
    <definedName name="_139__123Graph_BCHART_156" hidden="1">[6]Livestock2005!#REF!</definedName>
    <definedName name="_1392__123Graph_ACHART_3" hidden="1">[6]Livestock2005!#REF!</definedName>
    <definedName name="_14__123Graph_ACHART_110" hidden="1">[6]Livestock2005!#REF!</definedName>
    <definedName name="_14__123Graph_ACHART_123" hidden="1">[6]Livestock2005!#REF!</definedName>
    <definedName name="_140__123Graph_ACHART_56" hidden="1">[6]Livestock2005!#REF!</definedName>
    <definedName name="_140__123Graph_BCHART_16" hidden="1">[6]Livestock2005!#REF!</definedName>
    <definedName name="_141__123Graph_ACHART_155" hidden="1">[6]Livestock2005!#REF!</definedName>
    <definedName name="_141__123Graph_BCHART_18" hidden="1">[6]Livestock2005!#REF!</definedName>
    <definedName name="_142__123Graph_ACHART_57" hidden="1">[6]Livestock2005!#REF!</definedName>
    <definedName name="_142__123Graph_BCHART_19" hidden="1">[6]Livestock2005!#REF!</definedName>
    <definedName name="_143__123Graph_BCHART_20" hidden="1">[6]Livestock2005!#REF!</definedName>
    <definedName name="_144__123Graph_ACHART_156" hidden="1">[6]Livestock2005!#REF!</definedName>
    <definedName name="_144__123Graph_ACHART_58" hidden="1">[6]Livestock2005!#REF!</definedName>
    <definedName name="_144__123Graph_BCHART_21" hidden="1">[6]Livestock2005!#REF!</definedName>
    <definedName name="_1440__123Graph_ACHART_4" hidden="1">[6]Livestock2005!#REF!</definedName>
    <definedName name="_145__123Graph_BCHART_22" hidden="1">[6]Livestock2005!#REF!</definedName>
    <definedName name="_146__123Graph_ACHART_59" hidden="1">[6]Livestock2005!#REF!</definedName>
    <definedName name="_146__123Graph_BCHART_28" hidden="1">[6]Livestock2005!#REF!</definedName>
    <definedName name="_1464__123Graph_ACHART_47" hidden="1">[6]Livestock2005!#REF!</definedName>
    <definedName name="_147__123Graph_ACHART_16" hidden="1">[6]Livestock2005!#REF!</definedName>
    <definedName name="_147__123Graph_BCHART_36" hidden="1">[6]Livestock2005!#REF!</definedName>
    <definedName name="_148__123Graph_ACHART_6" hidden="1">[6]Livestock2005!#REF!</definedName>
    <definedName name="_148__123Graph_BCHART_37" hidden="1">[6]Livestock2005!#REF!</definedName>
    <definedName name="_149__123Graph_BCHART_38" hidden="1">[6]Livestock2005!#REF!</definedName>
    <definedName name="_15__123Graph_ACHART_105" hidden="1">[6]Livestock2005!#REF!</definedName>
    <definedName name="_15__123Graph_ACHART_124" hidden="1">[6]Livestock2005!#REF!</definedName>
    <definedName name="_150__123Graph_ACHART_17" hidden="1">[6]Livestock2005!#REF!</definedName>
    <definedName name="_150__123Graph_ACHART_61" hidden="1">[6]Livestock2005!#REF!</definedName>
    <definedName name="_150__123Graph_BCHART_39" hidden="1">[6]Livestock2005!#REF!</definedName>
    <definedName name="_151__123Graph_BCHART_42" hidden="1">[6]Livestock2005!#REF!</definedName>
    <definedName name="_1512__123Graph_ACHART_49" hidden="1">[6]Livestock2005!#REF!</definedName>
    <definedName name="_15120__123Graph_XCHART_24" hidden="1">[6]Livestock2005!#REF!</definedName>
    <definedName name="_152__123Graph_ACHART_62" hidden="1">[6]Livestock2005!#REF!</definedName>
    <definedName name="_152__123Graph_BCHART_43" hidden="1">[6]Livestock2005!#REF!</definedName>
    <definedName name="_153__123Graph_ACHART_18" hidden="1">[6]Livestock2005!#REF!</definedName>
    <definedName name="_153__123Graph_BCHART_44" hidden="1">[6]Livestock2005!#REF!</definedName>
    <definedName name="_1536__123Graph_ACHART_5" hidden="1">[6]Livestock2005!#REF!</definedName>
    <definedName name="_154__123Graph_ACHART_68" hidden="1">[6]Livestock2005!#REF!</definedName>
    <definedName name="_154__123Graph_BCHART_46" hidden="1">[6]Livestock2005!#REF!</definedName>
    <definedName name="_155__123Graph_BCHART_48" hidden="1">[6]Livestock2005!#REF!</definedName>
    <definedName name="_156__123Graph_ACHART_19" hidden="1">[6]Livestock2005!#REF!</definedName>
    <definedName name="_156__123Graph_ACHART_69" hidden="1">[6]Livestock2005!#REF!</definedName>
    <definedName name="_156__123Graph_BCHART_52" hidden="1">[6]Livestock2005!#REF!</definedName>
    <definedName name="_1560__123Graph_ACHART_50" hidden="1">[6]Livestock2005!#REF!</definedName>
    <definedName name="_15606__123Graph_XCHART_50" hidden="1">[6]Livestock2005!#REF!</definedName>
    <definedName name="_157__123Graph_BCHART_54" hidden="1">[6]Livestock2005!#REF!</definedName>
    <definedName name="_158__123Graph_ACHART_7" hidden="1">[6]Livestock2005!#REF!</definedName>
    <definedName name="_158__123Graph_BCHART_56" hidden="1">[6]Livestock2005!#REF!</definedName>
    <definedName name="_159__123Graph_ACHART_2" hidden="1">[6]Livestock2005!#REF!</definedName>
    <definedName name="_159__123Graph_BCHART_61" hidden="1">[6]Livestock2005!#REF!</definedName>
    <definedName name="_16__123Graph_ACHART_114" hidden="1">[6]Livestock2005!#REF!</definedName>
    <definedName name="_16__123Graph_ACHART_125" hidden="1">[6]Livestock2005!#REF!</definedName>
    <definedName name="_160__123Graph_ACHART_70" hidden="1">[6]Livestock2005!#REF!</definedName>
    <definedName name="_160__123Graph_BCHART_62" hidden="1">[6]Livestock2005!#REF!</definedName>
    <definedName name="_161__123Graph_BCHART_65" hidden="1">[6]Livestock2005!#REF!</definedName>
    <definedName name="_162__123Graph_ACHART_20" hidden="1">[6]Livestock2005!#REF!</definedName>
    <definedName name="_162__123Graph_ACHART_71" hidden="1">[6]Livestock2005!#REF!</definedName>
    <definedName name="_162__123Graph_BCHART_66" hidden="1">[6]Livestock2005!#REF!</definedName>
    <definedName name="_1620__123Graph_ACHART_14" hidden="1">[6]Livestock2005!#REF!</definedName>
    <definedName name="_163__123Graph_BCHART_68" hidden="1">[6]Livestock2005!#REF!</definedName>
    <definedName name="_164__123Graph_ACHART_72" hidden="1">[6]Livestock2005!#REF!</definedName>
    <definedName name="_164__123Graph_BCHART_69" hidden="1">[6]Livestock2005!#REF!</definedName>
    <definedName name="_165__123Graph_ACHART_21" hidden="1">[6]Livestock2005!#REF!</definedName>
    <definedName name="_165__123Graph_BCHART_73" hidden="1">[6]Livestock2005!#REF!</definedName>
    <definedName name="_166__123Graph_ACHART_73" hidden="1">[6]Livestock2005!#REF!</definedName>
    <definedName name="_166__123Graph_BCHART_74" hidden="1">[6]Livestock2005!#REF!</definedName>
    <definedName name="_167__123Graph_BCHART_75" hidden="1">[6]Livestock2005!#REF!</definedName>
    <definedName name="_168__123Graph_ACHART_110" hidden="1">[6]Livestock2005!#REF!</definedName>
    <definedName name="_168__123Graph_ACHART_22" hidden="1">[6]Livestock2005!#REF!</definedName>
    <definedName name="_168__123Graph_ACHART_74" hidden="1">[6]Livestock2005!#REF!</definedName>
    <definedName name="_168__123Graph_BCHART_76" hidden="1">[6]Livestock2005!#REF!</definedName>
    <definedName name="_1680__123Graph_ACHART_56" hidden="1">[6]Livestock2005!#REF!</definedName>
    <definedName name="_169__123Graph_BCHART_77" hidden="1">[6]Livestock2005!#REF!</definedName>
    <definedName name="_17__123Graph_ACHART_126" hidden="1">[6]Livestock2005!#REF!</definedName>
    <definedName name="_170__123Graph_ACHART_75" hidden="1">[6]Livestock2005!#REF!</definedName>
    <definedName name="_170__123Graph_BCHART_78" hidden="1">[6]Livestock2005!#REF!</definedName>
    <definedName name="_171__123Graph_ACHART_23" hidden="1">[6]Livestock2005!#REF!</definedName>
    <definedName name="_171__123Graph_BCHART_80" hidden="1">[6]Livestock2005!#REF!</definedName>
    <definedName name="_172__123Graph_ACHART_76" hidden="1">[6]Livestock2005!#REF!</definedName>
    <definedName name="_172__123Graph_BCHART_81" hidden="1">[6]Livestock2005!#REF!</definedName>
    <definedName name="_1728__123Graph_ACHART_58" hidden="1">[6]Livestock2005!#REF!</definedName>
    <definedName name="_173__123Graph_BCHART_82" hidden="1">[6]Livestock2005!#REF!</definedName>
    <definedName name="_174__123Graph_ACHART_3" hidden="1">[6]Livestock2005!#REF!</definedName>
    <definedName name="_174__123Graph_ACHART_77" hidden="1">[6]Livestock2005!#REF!</definedName>
    <definedName name="_174__123Graph_BCHART_91" hidden="1">[6]Livestock2005!#REF!</definedName>
    <definedName name="_175__123Graph_BCHART_93" hidden="1">[6]Livestock2005!#REF!</definedName>
    <definedName name="_176__123Graph_ACHART_78" hidden="1">[6]Livestock2005!#REF!</definedName>
    <definedName name="_176__123Graph_BCHART_99" hidden="1">[6]Livestock2005!#REF!</definedName>
    <definedName name="_177__123Graph_ACHART_39" hidden="1">[6]Livestock2005!#REF!</definedName>
    <definedName name="_177__123Graph_CCHART_18" hidden="1">[6]Livestock2005!#REF!</definedName>
    <definedName name="_178__123Graph_ACHART_8" hidden="1">[6]Livestock2005!#REF!</definedName>
    <definedName name="_178__123Graph_CCHART_19" hidden="1">[6]Livestock2005!#REF!</definedName>
    <definedName name="_179__123Graph_CCHART_20" hidden="1">[6]Livestock2005!#REF!</definedName>
    <definedName name="_18__123Graph_ACHART_11" hidden="1">[6]Livestock2005!#REF!</definedName>
    <definedName name="_18__123Graph_ACHART_115" hidden="1">[6]Livestock2005!#REF!</definedName>
    <definedName name="_18__123Graph_ACHART_127" hidden="1">[6]Livestock2005!#REF!</definedName>
    <definedName name="_180__123Graph_ACHART_4" hidden="1">[6]Livestock2005!#REF!</definedName>
    <definedName name="_180__123Graph_ACHART_80" hidden="1">[6]Livestock2005!#REF!</definedName>
    <definedName name="_180__123Graph_CCHART_21" hidden="1">[6]Livestock2005!#REF!</definedName>
    <definedName name="_1800__123Graph_ACHART_61" hidden="1">[6]Livestock2005!#REF!</definedName>
    <definedName name="_181__123Graph_CCHART_22" hidden="1">[6]Livestock2005!#REF!</definedName>
    <definedName name="_182__123Graph_ACHART_81" hidden="1">[6]Livestock2005!#REF!</definedName>
    <definedName name="_182__123Graph_CCHART_39" hidden="1">[6]Livestock2005!#REF!</definedName>
    <definedName name="_183__123Graph_ACHART_47" hidden="1">[6]Livestock2005!#REF!</definedName>
    <definedName name="_183__123Graph_CCHART_45" hidden="1">[6]Livestock2005!#REF!</definedName>
    <definedName name="_184__123Graph_ACHART_82" hidden="1">[6]Livestock2005!#REF!</definedName>
    <definedName name="_184__123Graph_CCHART_46" hidden="1">[6]Livestock2005!#REF!</definedName>
    <definedName name="_185__123Graph_CCHART_52" hidden="1">[6]Livestock2005!#REF!</definedName>
    <definedName name="_186__123Graph_ACHART_48" hidden="1">[6]Livestock2005!#REF!</definedName>
    <definedName name="_186__123Graph_ACHART_87" hidden="1">[6]Livestock2005!#REF!</definedName>
    <definedName name="_186__123Graph_CCHART_53" hidden="1">[6]Livestock2005!#REF!</definedName>
    <definedName name="_187__123Graph_CCHART_54" hidden="1">[6]Livestock2005!#REF!</definedName>
    <definedName name="_188__123Graph_ACHART_89" hidden="1">[6]Livestock2005!#REF!</definedName>
    <definedName name="_188__123Graph_CCHART_62" hidden="1">[6]Livestock2005!#REF!</definedName>
    <definedName name="_189__123Graph_ACHART_49" hidden="1">[6]Livestock2005!#REF!</definedName>
    <definedName name="_189__123Graph_CCHART_68" hidden="1">[6]Livestock2005!#REF!</definedName>
    <definedName name="_1890__123Graph_ACHART_144" hidden="1">[6]Livestock2005!#REF!</definedName>
    <definedName name="_19__123Graph_ACHART_128" hidden="1">[6]Livestock2005!#REF!</definedName>
    <definedName name="_190__123Graph_ACHART_9" hidden="1">[6]Livestock2005!#REF!</definedName>
    <definedName name="_190__123Graph_CCHART_69" hidden="1">[6]Livestock2005!#REF!</definedName>
    <definedName name="_191__123Graph_CCHART_71" hidden="1">[6]Livestock2005!#REF!</definedName>
    <definedName name="_192__123Graph_ACHART_5" hidden="1">[6]Livestock2005!#REF!</definedName>
    <definedName name="_192__123Graph_ACHART_90" hidden="1">[6]Livestock2005!#REF!</definedName>
    <definedName name="_192__123Graph_CCHART_73" hidden="1">[6]Livestock2005!#REF!</definedName>
    <definedName name="_1920__123Graph_ACHART_70" hidden="1">[6]Livestock2005!#REF!</definedName>
    <definedName name="_193__123Graph_CCHART_74" hidden="1">[6]Livestock2005!#REF!</definedName>
    <definedName name="_194__123Graph_ACHART_94" hidden="1">[6]Livestock2005!#REF!</definedName>
    <definedName name="_194__123Graph_CCHART_75" hidden="1">[6]Livestock2005!#REF!</definedName>
    <definedName name="_1944__123Graph_ACHART_71" hidden="1">[6]Livestock2005!#REF!</definedName>
    <definedName name="_195__123Graph_ACHART_50" hidden="1">[6]Livestock2005!#REF!</definedName>
    <definedName name="_195__123Graph_CCHART_76" hidden="1">[6]Livestock2005!#REF!</definedName>
    <definedName name="_196__123Graph_ACHART_95" hidden="1">[6]Livestock2005!#REF!</definedName>
    <definedName name="_196__123Graph_CCHART_78" hidden="1">[6]Livestock2005!#REF!</definedName>
    <definedName name="_197__123Graph_CCHART_80" hidden="1">[6]Livestock2005!#REF!</definedName>
    <definedName name="_198__123Graph_ACHART_51" hidden="1">[6]Livestock2005!#REF!</definedName>
    <definedName name="_198__123Graph_ACHART_98" hidden="1">[6]Livestock2005!#REF!</definedName>
    <definedName name="_198__123Graph_CCHART_81" hidden="1">[6]Livestock2005!#REF!</definedName>
    <definedName name="_199__123Graph_CCHART_82" hidden="1">[6]Livestock2005!#REF!</definedName>
    <definedName name="_2">'[1]result-mi'!#REF!</definedName>
    <definedName name="_2__123Graph_ACHART_1" hidden="1">[6]Livestock2005!#REF!</definedName>
    <definedName name="_2_0_F" hidden="1">[7]ACUMULADO!#REF!</definedName>
    <definedName name="_20__123Graph_ACHART_119" hidden="1">[6]Livestock2005!#REF!</definedName>
    <definedName name="_20__123Graph_ACHART_129" hidden="1">[6]Livestock2005!#REF!</definedName>
    <definedName name="_200__123Graph_BCHART_102" hidden="1">[6]Livestock2005!#REF!</definedName>
    <definedName name="_200__123Graph_DCHART_34" hidden="1">[6]Livestock2005!#REF!</definedName>
    <definedName name="_201__123Graph_ACHART_52" hidden="1">[6]Livestock2005!#REF!</definedName>
    <definedName name="_201__123Graph_DCHART_39" hidden="1">[6]Livestock2005!#REF!</definedName>
    <definedName name="_202__123Graph_BCHART_105" hidden="1">[6]Livestock2005!#REF!</definedName>
    <definedName name="_202__123Graph_DCHART_45" hidden="1">[6]Livestock2005!#REF!</definedName>
    <definedName name="_203__123Graph_DCHART_47" hidden="1">[6]Livestock2005!#REF!</definedName>
    <definedName name="_204__123Graph_ACHART_53" hidden="1">[6]Livestock2005!#REF!</definedName>
    <definedName name="_204__123Graph_BCHART_109" hidden="1">[6]Livestock2005!#REF!</definedName>
    <definedName name="_204__123Graph_DCHART_52" hidden="1">[6]Livestock2005!#REF!</definedName>
    <definedName name="_2040__123Graph_ACHART_75" hidden="1">[6]Livestock2005!#REF!</definedName>
    <definedName name="_205__123Graph_DCHART_53" hidden="1">[6]Livestock2005!#REF!</definedName>
    <definedName name="_206__123Graph_BCHART_115" hidden="1">[6]Livestock2005!#REF!</definedName>
    <definedName name="_206__123Graph_DCHART_54" hidden="1">[6]Livestock2005!#REF!</definedName>
    <definedName name="_2064__123Graph_ACHART_76" hidden="1">[6]Livestock2005!#REF!</definedName>
    <definedName name="_207__123Graph_ACHART_54" hidden="1">[6]Livestock2005!#REF!</definedName>
    <definedName name="_207__123Graph_DCHART_55" hidden="1">[6]Livestock2005!#REF!</definedName>
    <definedName name="_208__123Graph_BCHART_118" hidden="1">[6]Livestock2005!#REF!</definedName>
    <definedName name="_208__123Graph_DCHART_57" hidden="1">[6]Livestock2005!#REF!</definedName>
    <definedName name="_2088__123Graph_ACHART_77" hidden="1">[6]Livestock2005!#REF!</definedName>
    <definedName name="_209__123Graph_DCHART_58" hidden="1">[6]Livestock2005!#REF!</definedName>
    <definedName name="_21__123Graph_ACHART_110" hidden="1">[6]Livestock2005!#REF!</definedName>
    <definedName name="_21__123Graph_ACHART_13" hidden="1">[6]Livestock2005!#REF!</definedName>
    <definedName name="_210__123Graph_ACHART_56" hidden="1">[6]Livestock2005!#REF!</definedName>
    <definedName name="_210__123Graph_BCHART_12" hidden="1">[6]Livestock2005!#REF!</definedName>
    <definedName name="_210__123Graph_DCHART_59" hidden="1">[6]Livestock2005!#REF!</definedName>
    <definedName name="_211__123Graph_DCHART_68" hidden="1">[6]Livestock2005!#REF!</definedName>
    <definedName name="_212__123Graph_BCHART_122" hidden="1">[6]Livestock2005!#REF!</definedName>
    <definedName name="_212__123Graph_DCHART_70" hidden="1">[6]Livestock2005!#REF!</definedName>
    <definedName name="_213__123Graph_ACHART_57" hidden="1">[6]Livestock2005!#REF!</definedName>
    <definedName name="_213__123Graph_DCHART_72" hidden="1">[6]Livestock2005!#REF!</definedName>
    <definedName name="_214__123Graph_BCHART_129" hidden="1">[6]Livestock2005!#REF!</definedName>
    <definedName name="_214__123Graph_DCHART_73" hidden="1">[6]Livestock2005!#REF!</definedName>
    <definedName name="_215__123Graph_ECHART_45" hidden="1">[6]Livestock2005!#REF!</definedName>
    <definedName name="_216__123Graph_ACHART_115" hidden="1">[6]Livestock2005!#REF!</definedName>
    <definedName name="_216__123Graph_ACHART_58" hidden="1">[6]Livestock2005!#REF!</definedName>
    <definedName name="_216__123Graph_BCHART_13" hidden="1">[6]Livestock2005!#REF!</definedName>
    <definedName name="_216__123Graph_ECHART_46" hidden="1">[6]Livestock2005!#REF!</definedName>
    <definedName name="_2160__123Graph_ACHART_149" hidden="1">[6]Livestock2005!#REF!</definedName>
    <definedName name="_2160__123Graph_ACHART_80" hidden="1">[6]Livestock2005!#REF!</definedName>
    <definedName name="_217__123Graph_ECHART_52" hidden="1">[6]Livestock2005!#REF!</definedName>
    <definedName name="_218__123Graph_BCHART_130" hidden="1">[6]Livestock2005!#REF!</definedName>
    <definedName name="_218__123Graph_ECHART_53" hidden="1">[6]Livestock2005!#REF!</definedName>
    <definedName name="_219__123Graph_ACHART_59" hidden="1">[6]Livestock2005!#REF!</definedName>
    <definedName name="_219__123Graph_ECHART_54" hidden="1">[6]Livestock2005!#REF!</definedName>
    <definedName name="_22__123Graph_ACHART_12" hidden="1">[6]Livestock2005!#REF!</definedName>
    <definedName name="_22__123Graph_ACHART_130" hidden="1">[6]Livestock2005!#REF!</definedName>
    <definedName name="_220__123Graph_BCHART_131" hidden="1">[6]Livestock2005!#REF!</definedName>
    <definedName name="_220__123Graph_ECHART_55" hidden="1">[6]Livestock2005!#REF!</definedName>
    <definedName name="_221__123Graph_ECHART_57" hidden="1">[6]Livestock2005!#REF!</definedName>
    <definedName name="_222__123Graph_ACHART_6" hidden="1">[6]Livestock2005!#REF!</definedName>
    <definedName name="_222__123Graph_BCHART_132" hidden="1">[6]Livestock2005!#REF!</definedName>
    <definedName name="_222__123Graph_ECHART_58" hidden="1">[6]Livestock2005!#REF!</definedName>
    <definedName name="_223__123Graph_ECHART_60" hidden="1">[6]Livestock2005!#REF!</definedName>
    <definedName name="_224__123Graph_BCHART_133" hidden="1">[6]Livestock2005!#REF!</definedName>
    <definedName name="_224__123Graph_ECHART_70" hidden="1">[6]Livestock2005!#REF!</definedName>
    <definedName name="_225__123Graph_ACHART_61" hidden="1">[6]Livestock2005!#REF!</definedName>
    <definedName name="_225__123Graph_ECHART_71" hidden="1">[6]Livestock2005!#REF!</definedName>
    <definedName name="_226__123Graph_BCHART_134" hidden="1">[6]Livestock2005!#REF!</definedName>
    <definedName name="_226__123Graph_ECHART_72" hidden="1">[6]Livestock2005!#REF!</definedName>
    <definedName name="_227__123Graph_FCHART_53" hidden="1">[6]Livestock2005!#REF!</definedName>
    <definedName name="_228__123Graph_ACHART_62" hidden="1">[6]Livestock2005!#REF!</definedName>
    <definedName name="_228__123Graph_BCHART_135" hidden="1">[6]Livestock2005!#REF!</definedName>
    <definedName name="_228__123Graph_FCHART_54" hidden="1">[6]Livestock2005!#REF!</definedName>
    <definedName name="_2280__123Graph_ACHART_9" hidden="1">[6]Livestock2005!#REF!</definedName>
    <definedName name="_229__123Graph_FCHART_55" hidden="1">[6]Livestock2005!#REF!</definedName>
    <definedName name="_23__123Graph_ACHART_131" hidden="1">[6]Livestock2005!#REF!</definedName>
    <definedName name="_230__123Graph_BCHART_136" hidden="1">[6]Livestock2005!#REF!</definedName>
    <definedName name="_230__123Graph_FCHART_61" hidden="1">[6]Livestock2005!#REF!</definedName>
    <definedName name="_231__123Graph_ACHART_68" hidden="1">[6]Livestock2005!#REF!</definedName>
    <definedName name="_231__123Graph_FCHART_63" hidden="1">[6]Livestock2005!#REF!</definedName>
    <definedName name="_232__123Graph_BCHART_137" hidden="1">[6]Livestock2005!#REF!</definedName>
    <definedName name="_232__123Graph_XCHART_1" hidden="1">[6]Livestock2005!#REF!</definedName>
    <definedName name="_2328__123Graph_ACHART_94" hidden="1">[6]Livestock2005!#REF!</definedName>
    <definedName name="_233__123Graph_XCHART_10" hidden="1">[6]Livestock2005!#REF!</definedName>
    <definedName name="_234__123Graph_ACHART_69" hidden="1">[6]Livestock2005!#REF!</definedName>
    <definedName name="_234__123Graph_BCHART_138" hidden="1">[6]Livestock2005!#REF!</definedName>
    <definedName name="_234__123Graph_XCHART_11" hidden="1">[6]Livestock2005!#REF!</definedName>
    <definedName name="_235__123Graph_XCHART_12" hidden="1">[6]Livestock2005!#REF!</definedName>
    <definedName name="_236__123Graph_BCHART_139" hidden="1">[6]Livestock2005!#REF!</definedName>
    <definedName name="_236__123Graph_XCHART_123" hidden="1">[6]Livestock2005!#REF!</definedName>
    <definedName name="_237__123Graph_ACHART_7" hidden="1">[6]Livestock2005!#REF!</definedName>
    <definedName name="_237__123Graph_XCHART_124" hidden="1">[6]Livestock2005!#REF!</definedName>
    <definedName name="_2376__123Graph_ACHART_98" hidden="1">[6]Livestock2005!#REF!</definedName>
    <definedName name="_238__123Graph_BCHART_14" hidden="1">[6]Livestock2005!#REF!</definedName>
    <definedName name="_238__123Graph_XCHART_125" hidden="1">[6]Livestock2005!#REF!</definedName>
    <definedName name="_239__123Graph_XCHART_126" hidden="1">[6]Livestock2005!#REF!</definedName>
    <definedName name="_24__123Graph_ACHART_114" hidden="1">[6]Livestock2005!#REF!</definedName>
    <definedName name="_24__123Graph_ACHART_123" hidden="1">[6]Livestock2005!#REF!</definedName>
    <definedName name="_24__123Graph_ACHART_132" hidden="1">[6]Livestock2005!#REF!</definedName>
    <definedName name="_240__123Graph_ACHART_119" hidden="1">[6]Livestock2005!#REF!</definedName>
    <definedName name="_240__123Graph_ACHART_70" hidden="1">[6]Livestock2005!#REF!</definedName>
    <definedName name="_240__123Graph_BCHART_140" hidden="1">[6]Livestock2005!#REF!</definedName>
    <definedName name="_240__123Graph_XCHART_127" hidden="1">[6]Livestock2005!#REF!</definedName>
    <definedName name="_2400__123Graph_BCHART_102" hidden="1">[6]Livestock2005!#REF!</definedName>
    <definedName name="_241__123Graph_XCHART_128" hidden="1">[6]Livestock2005!#REF!</definedName>
    <definedName name="_242__123Graph_BCHART_141" hidden="1">[6]Livestock2005!#REF!</definedName>
    <definedName name="_242__123Graph_XCHART_129" hidden="1">[6]Livestock2005!#REF!</definedName>
    <definedName name="_243__123Graph_ACHART_71" hidden="1">[6]Livestock2005!#REF!</definedName>
    <definedName name="_243__123Graph_XCHART_13" hidden="1">[6]Livestock2005!#REF!</definedName>
    <definedName name="_2430__123Graph_ACHART_153" hidden="1">[6]Livestock2005!#REF!</definedName>
    <definedName name="_244__123Graph_BCHART_142" hidden="1">[6]Livestock2005!#REF!</definedName>
    <definedName name="_244__123Graph_XCHART_130" hidden="1">[6]Livestock2005!#REF!</definedName>
    <definedName name="_245__123Graph_XCHART_131" hidden="1">[6]Livestock2005!#REF!</definedName>
    <definedName name="_246__123Graph_ACHART_72" hidden="1">[6]Livestock2005!#REF!</definedName>
    <definedName name="_246__123Graph_BCHART_143" hidden="1">[6]Livestock2005!#REF!</definedName>
    <definedName name="_246__123Graph_XCHART_132" hidden="1">[6]Livestock2005!#REF!</definedName>
    <definedName name="_247__123Graph_XCHART_133" hidden="1">[6]Livestock2005!#REF!</definedName>
    <definedName name="_248__123Graph_BCHART_144" hidden="1">[6]Livestock2005!#REF!</definedName>
    <definedName name="_248__123Graph_XCHART_134" hidden="1">[6]Livestock2005!#REF!</definedName>
    <definedName name="_249__123Graph_ACHART_73" hidden="1">[6]Livestock2005!#REF!</definedName>
    <definedName name="_249__123Graph_XCHART_135" hidden="1">[6]Livestock2005!#REF!</definedName>
    <definedName name="_25__123Graph_ACHART_133" hidden="1">[6]Livestock2005!#REF!</definedName>
    <definedName name="_250__123Graph_BCHART_145" hidden="1">[6]Livestock2005!#REF!</definedName>
    <definedName name="_250__123Graph_XCHART_136" hidden="1">[6]Livestock2005!#REF!</definedName>
    <definedName name="_251__123Graph_XCHART_137" hidden="1">[6]Livestock2005!#REF!</definedName>
    <definedName name="_252__123Graph_ACHART_74" hidden="1">[6]Livestock2005!#REF!</definedName>
    <definedName name="_252__123Graph_BCHART_146" hidden="1">[6]Livestock2005!#REF!</definedName>
    <definedName name="_252__123Graph_XCHART_138" hidden="1">[6]Livestock2005!#REF!</definedName>
    <definedName name="_2520__123Graph_BCHART_12" hidden="1">[6]Livestock2005!#REF!</definedName>
    <definedName name="_253__123Graph_XCHART_139" hidden="1">[6]Livestock2005!#REF!</definedName>
    <definedName name="_254__123Graph_BCHART_147" hidden="1">[6]Livestock2005!#REF!</definedName>
    <definedName name="_254__123Graph_XCHART_14" hidden="1">[6]Livestock2005!#REF!</definedName>
    <definedName name="_255__123Graph_ACHART_75" hidden="1">[6]Livestock2005!#REF!</definedName>
    <definedName name="_255__123Graph_XCHART_140" hidden="1">[6]Livestock2005!#REF!</definedName>
    <definedName name="_256__123Graph_BCHART_148" hidden="1">[6]Livestock2005!#REF!</definedName>
    <definedName name="_256__123Graph_XCHART_141" hidden="1">[6]Livestock2005!#REF!</definedName>
    <definedName name="_257__123Graph_XCHART_142" hidden="1">[6]Livestock2005!#REF!</definedName>
    <definedName name="_258__123Graph_ACHART_76" hidden="1">[6]Livestock2005!#REF!</definedName>
    <definedName name="_258__123Graph_BCHART_149" hidden="1">[6]Livestock2005!#REF!</definedName>
    <definedName name="_258__123Graph_XCHART_143" hidden="1">[6]Livestock2005!#REF!</definedName>
    <definedName name="_259__123Graph_XCHART_144" hidden="1">[6]Livestock2005!#REF!</definedName>
    <definedName name="_2592__123Graph_BCHART_13" hidden="1">[6]Livestock2005!#REF!</definedName>
    <definedName name="_26__123Graph_ACHART_124" hidden="1">[6]Livestock2005!#REF!</definedName>
    <definedName name="_26__123Graph_ACHART_134" hidden="1">[6]Livestock2005!#REF!</definedName>
    <definedName name="_260__123Graph_BCHART_15" hidden="1">[6]Livestock2005!#REF!</definedName>
    <definedName name="_260__123Graph_XCHART_145" hidden="1">[6]Livestock2005!#REF!</definedName>
    <definedName name="_261__123Graph_ACHART_77" hidden="1">[6]Livestock2005!#REF!</definedName>
    <definedName name="_261__123Graph_XCHART_146" hidden="1">[6]Livestock2005!#REF!</definedName>
    <definedName name="_262__123Graph_BCHART_150" hidden="1">[6]Livestock2005!#REF!</definedName>
    <definedName name="_262__123Graph_XCHART_147" hidden="1">[6]Livestock2005!#REF!</definedName>
    <definedName name="_263__123Graph_XCHART_148" hidden="1">[6]Livestock2005!#REF!</definedName>
    <definedName name="_264__123Graph_ACHART_78" hidden="1">[6]Livestock2005!#REF!</definedName>
    <definedName name="_264__123Graph_BCHART_151" hidden="1">[6]Livestock2005!#REF!</definedName>
    <definedName name="_264__123Graph_XCHART_149" hidden="1">[6]Livestock2005!#REF!</definedName>
    <definedName name="_2640__123Graph_BCHART_131" hidden="1">[6]Livestock2005!#REF!</definedName>
    <definedName name="_265__123Graph_XCHART_15" hidden="1">[6]Livestock2005!#REF!</definedName>
    <definedName name="_266__123Graph_BCHART_152" hidden="1">[6]Livestock2005!#REF!</definedName>
    <definedName name="_266__123Graph_XCHART_150" hidden="1">[6]Livestock2005!#REF!</definedName>
    <definedName name="_267__123Graph_ACHART_8" hidden="1">[6]Livestock2005!#REF!</definedName>
    <definedName name="_267__123Graph_XCHART_151" hidden="1">[6]Livestock2005!#REF!</definedName>
    <definedName name="_268__123Graph_BCHART_153" hidden="1">[6]Livestock2005!#REF!</definedName>
    <definedName name="_268__123Graph_XCHART_152" hidden="1">[6]Livestock2005!#REF!</definedName>
    <definedName name="_269__123Graph_XCHART_153" hidden="1">[6]Livestock2005!#REF!</definedName>
    <definedName name="_27__123Graph_ACHART_115" hidden="1">[6]Livestock2005!#REF!</definedName>
    <definedName name="_27__123Graph_ACHART_135" hidden="1">[6]Livestock2005!#REF!</definedName>
    <definedName name="_270__123Graph_ACHART_105" hidden="1">[6]Livestock2005!#REF!</definedName>
    <definedName name="_270__123Graph_ACHART_80" hidden="1">[6]Livestock2005!#REF!</definedName>
    <definedName name="_270__123Graph_BCHART_154" hidden="1">[6]Livestock2005!#REF!</definedName>
    <definedName name="_270__123Graph_XCHART_154" hidden="1">[6]Livestock2005!#REF!</definedName>
    <definedName name="_2700__123Graph_ACHART_17" hidden="1">[6]Livestock2005!#REF!</definedName>
    <definedName name="_271__123Graph_XCHART_155" hidden="1">[6]Livestock2005!#REF!</definedName>
    <definedName name="_272__123Graph_BCHART_155" hidden="1">[6]Livestock2005!#REF!</definedName>
    <definedName name="_272__123Graph_XCHART_156" hidden="1">[6]Livestock2005!#REF!</definedName>
    <definedName name="_273__123Graph_ACHART_81" hidden="1">[6]Livestock2005!#REF!</definedName>
    <definedName name="_273__123Graph_XCHART_16" hidden="1">[6]Livestock2005!#REF!</definedName>
    <definedName name="_274__123Graph_BCHART_156" hidden="1">[6]Livestock2005!#REF!</definedName>
    <definedName name="_274__123Graph_XCHART_17" hidden="1">[6]Livestock2005!#REF!</definedName>
    <definedName name="_275__123Graph_XCHART_18" hidden="1">[6]Livestock2005!#REF!</definedName>
    <definedName name="_276__123Graph_ACHART_82" hidden="1">[6]Livestock2005!#REF!</definedName>
    <definedName name="_276__123Graph_BCHART_16" hidden="1">[6]Livestock2005!#REF!</definedName>
    <definedName name="_276__123Graph_XCHART_19" hidden="1">[6]Livestock2005!#REF!</definedName>
    <definedName name="_2760__123Graph_BCHART_136" hidden="1">[6]Livestock2005!#REF!</definedName>
    <definedName name="_277__123Graph_XCHART_2" hidden="1">[6]Livestock2005!#REF!</definedName>
    <definedName name="_278__123Graph_BCHART_18" hidden="1">[6]Livestock2005!#REF!</definedName>
    <definedName name="_278__123Graph_XCHART_20" hidden="1">[6]Livestock2005!#REF!</definedName>
    <definedName name="_2784__123Graph_BCHART_137" hidden="1">[6]Livestock2005!#REF!</definedName>
    <definedName name="_279__123Graph_ACHART_87" hidden="1">[6]Livestock2005!#REF!</definedName>
    <definedName name="_279__123Graph_XCHART_21" hidden="1">[6]Livestock2005!#REF!</definedName>
    <definedName name="_28__123Graph_ACHART_125" hidden="1">[6]Livestock2005!#REF!</definedName>
    <definedName name="_28__123Graph_ACHART_136" hidden="1">[6]Livestock2005!#REF!</definedName>
    <definedName name="_280__123Graph_BCHART_19" hidden="1">[6]Livestock2005!#REF!</definedName>
    <definedName name="_280__123Graph_XCHART_22" hidden="1">[6]Livestock2005!#REF!</definedName>
    <definedName name="_2808__123Graph_BCHART_138" hidden="1">[6]Livestock2005!#REF!</definedName>
    <definedName name="_281__123Graph_XCHART_23" hidden="1">[6]Livestock2005!#REF!</definedName>
    <definedName name="_282__123Graph_ACHART_89" hidden="1">[6]Livestock2005!#REF!</definedName>
    <definedName name="_282__123Graph_BCHART_20" hidden="1">[6]Livestock2005!#REF!</definedName>
    <definedName name="_282__123Graph_XCHART_24" hidden="1">[6]Livestock2005!#REF!</definedName>
    <definedName name="_283__123Graph_XCHART_3" hidden="1">[6]Livestock2005!#REF!</definedName>
    <definedName name="_284__123Graph_BCHART_21" hidden="1">[6]Livestock2005!#REF!</definedName>
    <definedName name="_284__123Graph_XCHART_4" hidden="1">[6]Livestock2005!#REF!</definedName>
    <definedName name="_285__123Graph_ACHART_9" hidden="1">[6]Livestock2005!#REF!</definedName>
    <definedName name="_285__123Graph_XCHART_45" hidden="1">[6]Livestock2005!#REF!</definedName>
    <definedName name="_2856__123Graph_BCHART_14" hidden="1">[6]Livestock2005!#REF!</definedName>
    <definedName name="_286__123Graph_BCHART_22" hidden="1">[6]Livestock2005!#REF!</definedName>
    <definedName name="_286__123Graph_XCHART_46" hidden="1">[6]Livestock2005!#REF!</definedName>
    <definedName name="_287__123Graph_XCHART_47" hidden="1">[6]Livestock2005!#REF!</definedName>
    <definedName name="_288__123Graph_ACHART_90" hidden="1">[6]Livestock2005!#REF!</definedName>
    <definedName name="_288__123Graph_BCHART_28" hidden="1">[6]Livestock2005!#REF!</definedName>
    <definedName name="_288__123Graph_XCHART_48" hidden="1">[6]Livestock2005!#REF!</definedName>
    <definedName name="_2880__123Graph_BCHART_140" hidden="1">[6]Livestock2005!#REF!</definedName>
    <definedName name="_289__123Graph_XCHART_49" hidden="1">[6]Livestock2005!#REF!</definedName>
    <definedName name="_29__123Graph_ACHART_137" hidden="1">[6]Livestock2005!#REF!</definedName>
    <definedName name="_290__123Graph_BCHART_36" hidden="1">[6]Livestock2005!#REF!</definedName>
    <definedName name="_290__123Graph_XCHART_5" hidden="1">[6]Livestock2005!#REF!</definedName>
    <definedName name="_291__123Graph_ACHART_94" hidden="1">[6]Livestock2005!#REF!</definedName>
    <definedName name="_291__123Graph_XCHART_50" hidden="1">[6]Livestock2005!#REF!</definedName>
    <definedName name="_292__123Graph_BCHART_37" hidden="1">[6]Livestock2005!#REF!</definedName>
    <definedName name="_292__123Graph_XCHART_51" hidden="1">[6]Livestock2005!#REF!</definedName>
    <definedName name="_293__123Graph_XCHART_52" hidden="1">[6]Livestock2005!#REF!</definedName>
    <definedName name="_294__123Graph_ACHART_95" hidden="1">[6]Livestock2005!#REF!</definedName>
    <definedName name="_294__123Graph_BCHART_38" hidden="1">[6]Livestock2005!#REF!</definedName>
    <definedName name="_294__123Graph_XCHART_53" hidden="1">[6]Livestock2005!#REF!</definedName>
    <definedName name="_295__123Graph_XCHART_54" hidden="1">[6]Livestock2005!#REF!</definedName>
    <definedName name="_296__123Graph_BCHART_39" hidden="1">[6]Livestock2005!#REF!</definedName>
    <definedName name="_296__123Graph_XCHART_55" hidden="1">[6]Livestock2005!#REF!</definedName>
    <definedName name="_297__123Graph_ACHART_98" hidden="1">[6]Livestock2005!#REF!</definedName>
    <definedName name="_297__123Graph_XCHART_56" hidden="1">[6]Livestock2005!#REF!</definedName>
    <definedName name="_2970__123Graph_ACHART_21" hidden="1">[6]Livestock2005!#REF!</definedName>
    <definedName name="_298__123Graph_BCHART_42" hidden="1">[6]Livestock2005!#REF!</definedName>
    <definedName name="_298__123Graph_XCHART_57" hidden="1">[6]Livestock2005!#REF!</definedName>
    <definedName name="_299__123Graph_XCHART_58" hidden="1">[6]Livestock2005!#REF!</definedName>
    <definedName name="_3">#REF!</definedName>
    <definedName name="_3__123Graph_ACHART_1" hidden="1">[6]Livestock2005!#REF!</definedName>
    <definedName name="_30__123Graph_ACHART_119" hidden="1">[6]Livestock2005!#REF!</definedName>
    <definedName name="_30__123Graph_ACHART_126" hidden="1">[6]Livestock2005!#REF!</definedName>
    <definedName name="_30__123Graph_ACHART_138" hidden="1">[6]Livestock2005!#REF!</definedName>
    <definedName name="_300__123Graph_BCHART_102" hidden="1">[6]Livestock2005!#REF!</definedName>
    <definedName name="_300__123Graph_BCHART_43" hidden="1">[6]Livestock2005!#REF!</definedName>
    <definedName name="_300__123Graph_XCHART_59" hidden="1">[6]Livestock2005!#REF!</definedName>
    <definedName name="_3000__123Graph_BCHART_145" hidden="1">[6]Livestock2005!#REF!</definedName>
    <definedName name="_301__123Graph_XCHART_6" hidden="1">[6]Livestock2005!#REF!</definedName>
    <definedName name="_302__123Graph_BCHART_44" hidden="1">[6]Livestock2005!#REF!</definedName>
    <definedName name="_302__123Graph_XCHART_62" hidden="1">[6]Livestock2005!#REF!</definedName>
    <definedName name="_3024__123Graph_BCHART_146" hidden="1">[6]Livestock2005!#REF!</definedName>
    <definedName name="_303__123Graph_BCHART_105" hidden="1">[6]Livestock2005!#REF!</definedName>
    <definedName name="_303__123Graph_XCHART_68" hidden="1">[6]Livestock2005!#REF!</definedName>
    <definedName name="_304__123Graph_BCHART_46" hidden="1">[6]Livestock2005!#REF!</definedName>
    <definedName name="_304__123Graph_XCHART_69" hidden="1">[6]Livestock2005!#REF!</definedName>
    <definedName name="_305__123Graph_XCHART_70" hidden="1">[6]Livestock2005!#REF!</definedName>
    <definedName name="_306__123Graph_BCHART_109" hidden="1">[6]Livestock2005!#REF!</definedName>
    <definedName name="_306__123Graph_BCHART_48" hidden="1">[6]Livestock2005!#REF!</definedName>
    <definedName name="_306__123Graph_XCHART_71" hidden="1">[6]Livestock2005!#REF!</definedName>
    <definedName name="_307__123Graph_XCHART_73" hidden="1">[6]Livestock2005!#REF!</definedName>
    <definedName name="_308__123Graph_BCHART_52" hidden="1">[6]Livestock2005!#REF!</definedName>
    <definedName name="_308__123Graph_XCHART_74" hidden="1">[6]Livestock2005!#REF!</definedName>
    <definedName name="_309__123Graph_BCHART_115" hidden="1">[6]Livestock2005!#REF!</definedName>
    <definedName name="_309__123Graph_XCHART_75" hidden="1">[6]Livestock2005!#REF!</definedName>
    <definedName name="_31__123Graph_ACHART_139" hidden="1">[6]Livestock2005!#REF!</definedName>
    <definedName name="_310__123Graph_BCHART_54" hidden="1">[6]Livestock2005!#REF!</definedName>
    <definedName name="_310__123Graph_XCHART_76" hidden="1">[6]Livestock2005!#REF!</definedName>
    <definedName name="_311__123Graph_XCHART_77" hidden="1">[6]Livestock2005!#REF!</definedName>
    <definedName name="_312__123Graph_BCHART_118" hidden="1">[6]Livestock2005!#REF!</definedName>
    <definedName name="_312__123Graph_BCHART_56" hidden="1">[6]Livestock2005!#REF!</definedName>
    <definedName name="_312__123Graph_XCHART_78" hidden="1">[6]Livestock2005!#REF!</definedName>
    <definedName name="_3120__123Graph_BCHART_15" hidden="1">[6]Livestock2005!#REF!</definedName>
    <definedName name="_313__123Graph_XCHART_80" hidden="1">[6]Livestock2005!#REF!</definedName>
    <definedName name="_314__123Graph_BCHART_61" hidden="1">[6]Livestock2005!#REF!</definedName>
    <definedName name="_314__123Graph_XCHART_81" hidden="1">[6]Livestock2005!#REF!</definedName>
    <definedName name="_315__123Graph_BCHART_12" hidden="1">[6]Livestock2005!#REF!</definedName>
    <definedName name="_315__123Graph_XCHART_82" hidden="1">[6]Livestock2005!#REF!</definedName>
    <definedName name="_316__123Graph_BCHART_62" hidden="1">[6]Livestock2005!#REF!</definedName>
    <definedName name="_318__123Graph_BCHART_122" hidden="1">[6]Livestock2005!#REF!</definedName>
    <definedName name="_318__123Graph_BCHART_65" hidden="1">[6]Livestock2005!#REF!</definedName>
    <definedName name="_32__123Graph_ACHART_127" hidden="1">[6]Livestock2005!#REF!</definedName>
    <definedName name="_32__123Graph_ACHART_14" hidden="1">[6]Livestock2005!#REF!</definedName>
    <definedName name="_320__123Graph_BCHART_66" hidden="1">[6]Livestock2005!#REF!</definedName>
    <definedName name="_321__123Graph_BCHART_129" hidden="1">[6]Livestock2005!#REF!</definedName>
    <definedName name="_322__123Graph_BCHART_68" hidden="1">[6]Livestock2005!#REF!</definedName>
    <definedName name="_324__123Graph_BCHART_13" hidden="1">[6]Livestock2005!#REF!</definedName>
    <definedName name="_324__123Graph_BCHART_69" hidden="1">[6]Livestock2005!#REF!</definedName>
    <definedName name="_3240__123Graph_ACHART_4" hidden="1">[6]Livestock2005!#REF!</definedName>
    <definedName name="_3240__123Graph_BCHART_154" hidden="1">[6]Livestock2005!#REF!</definedName>
    <definedName name="_326__123Graph_BCHART_73" hidden="1">[6]Livestock2005!#REF!</definedName>
    <definedName name="_327__123Graph_BCHART_130" hidden="1">[6]Livestock2005!#REF!</definedName>
    <definedName name="_328__123Graph_BCHART_74" hidden="1">[6]Livestock2005!#REF!</definedName>
    <definedName name="_33__123Graph_ACHART_12" hidden="1">[6]Livestock2005!#REF!</definedName>
    <definedName name="_33__123Graph_ACHART_140" hidden="1">[6]Livestock2005!#REF!</definedName>
    <definedName name="_330__123Graph_BCHART_131" hidden="1">[6]Livestock2005!#REF!</definedName>
    <definedName name="_330__123Graph_BCHART_75" hidden="1">[6]Livestock2005!#REF!</definedName>
    <definedName name="_332__123Graph_BCHART_76" hidden="1">[6]Livestock2005!#REF!</definedName>
    <definedName name="_333__123Graph_BCHART_132" hidden="1">[6]Livestock2005!#REF!</definedName>
    <definedName name="_334__123Graph_BCHART_77" hidden="1">[6]Livestock2005!#REF!</definedName>
    <definedName name="_336__123Graph_BCHART_133" hidden="1">[6]Livestock2005!#REF!</definedName>
    <definedName name="_336__123Graph_BCHART_78" hidden="1">[6]Livestock2005!#REF!</definedName>
    <definedName name="_3360__123Graph_BCHART_19" hidden="1">[6]Livestock2005!#REF!</definedName>
    <definedName name="_338__123Graph_BCHART_80" hidden="1">[6]Livestock2005!#REF!</definedName>
    <definedName name="_3384__123Graph_BCHART_20" hidden="1">[6]Livestock2005!#REF!</definedName>
    <definedName name="_339__123Graph_BCHART_134" hidden="1">[6]Livestock2005!#REF!</definedName>
    <definedName name="_34__123Graph_ACHART_128" hidden="1">[6]Livestock2005!#REF!</definedName>
    <definedName name="_34__123Graph_ACHART_141" hidden="1">[6]Livestock2005!#REF!</definedName>
    <definedName name="_340__123Graph_BCHART_81" hidden="1">[6]Livestock2005!#REF!</definedName>
    <definedName name="_342__123Graph_BCHART_135" hidden="1">[6]Livestock2005!#REF!</definedName>
    <definedName name="_342__123Graph_BCHART_82" hidden="1">[6]Livestock2005!#REF!</definedName>
    <definedName name="_344__123Graph_BCHART_91" hidden="1">[6]Livestock2005!#REF!</definedName>
    <definedName name="_345__123Graph_BCHART_136" hidden="1">[6]Livestock2005!#REF!</definedName>
    <definedName name="_3456__123Graph_BCHART_28" hidden="1">[6]Livestock2005!#REF!</definedName>
    <definedName name="_346__123Graph_BCHART_93" hidden="1">[6]Livestock2005!#REF!</definedName>
    <definedName name="_348__123Graph_BCHART_137" hidden="1">[6]Livestock2005!#REF!</definedName>
    <definedName name="_348__123Graph_BCHART_99" hidden="1">[6]Livestock2005!#REF!</definedName>
    <definedName name="_3480__123Graph_BCHART_36" hidden="1">[6]Livestock2005!#REF!</definedName>
    <definedName name="_35__123Graph_ACHART_142" hidden="1">[6]Livestock2005!#REF!</definedName>
    <definedName name="_350__123Graph_CCHART_18" hidden="1">[6]Livestock2005!#REF!</definedName>
    <definedName name="_351__123Graph_BCHART_138" hidden="1">[6]Livestock2005!#REF!</definedName>
    <definedName name="_3510__123Graph_ACHART_50" hidden="1">[6]Livestock2005!#REF!</definedName>
    <definedName name="_352__123Graph_CCHART_19" hidden="1">[6]Livestock2005!#REF!</definedName>
    <definedName name="_354__123Graph_BCHART_139" hidden="1">[6]Livestock2005!#REF!</definedName>
    <definedName name="_354__123Graph_CCHART_20" hidden="1">[6]Livestock2005!#REF!</definedName>
    <definedName name="_356__123Graph_CCHART_21" hidden="1">[6]Livestock2005!#REF!</definedName>
    <definedName name="_357__123Graph_BCHART_14" hidden="1">[6]Livestock2005!#REF!</definedName>
    <definedName name="_358__123Graph_CCHART_22" hidden="1">[6]Livestock2005!#REF!</definedName>
    <definedName name="_36__123Graph_ACHART_123" hidden="1">[6]Livestock2005!#REF!</definedName>
    <definedName name="_36__123Graph_ACHART_129" hidden="1">[6]Livestock2005!#REF!</definedName>
    <definedName name="_36__123Graph_ACHART_143" hidden="1">[6]Livestock2005!#REF!</definedName>
    <definedName name="_360__123Graph_ACHART_126" hidden="1">[6]Livestock2005!#REF!</definedName>
    <definedName name="_360__123Graph_BCHART_140" hidden="1">[6]Livestock2005!#REF!</definedName>
    <definedName name="_360__123Graph_CCHART_39" hidden="1">[6]Livestock2005!#REF!</definedName>
    <definedName name="_3600__123Graph_BCHART_43" hidden="1">[6]Livestock2005!#REF!</definedName>
    <definedName name="_362__123Graph_CCHART_45" hidden="1">[6]Livestock2005!#REF!</definedName>
    <definedName name="_363__123Graph_BCHART_141" hidden="1">[6]Livestock2005!#REF!</definedName>
    <definedName name="_364__123Graph_CCHART_46" hidden="1">[6]Livestock2005!#REF!</definedName>
    <definedName name="_3648__123Graph_BCHART_46" hidden="1">[6]Livestock2005!#REF!</definedName>
    <definedName name="_366__123Graph_BCHART_142" hidden="1">[6]Livestock2005!#REF!</definedName>
    <definedName name="_366__123Graph_CCHART_52" hidden="1">[6]Livestock2005!#REF!</definedName>
    <definedName name="_3672__123Graph_BCHART_48" hidden="1">[6]Livestock2005!#REF!</definedName>
    <definedName name="_368__123Graph_CCHART_53" hidden="1">[6]Livestock2005!#REF!</definedName>
    <definedName name="_369__123Graph_BCHART_143" hidden="1">[6]Livestock2005!#REF!</definedName>
    <definedName name="_37__123Graph_ACHART_144" hidden="1">[6]Livestock2005!#REF!</definedName>
    <definedName name="_370__123Graph_CCHART_54" hidden="1">[6]Livestock2005!#REF!</definedName>
    <definedName name="_372__123Graph_BCHART_144" hidden="1">[6]Livestock2005!#REF!</definedName>
    <definedName name="_372__123Graph_CCHART_62" hidden="1">[6]Livestock2005!#REF!</definedName>
    <definedName name="_3720__123Graph_BCHART_54" hidden="1">[6]Livestock2005!#REF!</definedName>
    <definedName name="_374__123Graph_CCHART_68" hidden="1">[6]Livestock2005!#REF!</definedName>
    <definedName name="_375__123Graph_BCHART_145" hidden="1">[6]Livestock2005!#REF!</definedName>
    <definedName name="_376__123Graph_CCHART_69" hidden="1">[6]Livestock2005!#REF!</definedName>
    <definedName name="_378__123Graph_BCHART_146" hidden="1">[6]Livestock2005!#REF!</definedName>
    <definedName name="_378__123Graph_CCHART_71" hidden="1">[6]Livestock2005!#REF!</definedName>
    <definedName name="_3780__123Graph_ACHART_56" hidden="1">[6]Livestock2005!#REF!</definedName>
    <definedName name="_38__123Graph_ACHART_13" hidden="1">[6]Livestock2005!#REF!</definedName>
    <definedName name="_38__123Graph_ACHART_145" hidden="1">[6]Livestock2005!#REF!</definedName>
    <definedName name="_380__123Graph_CCHART_73" hidden="1">[6]Livestock2005!#REF!</definedName>
    <definedName name="_381__123Graph_BCHART_147" hidden="1">[6]Livestock2005!#REF!</definedName>
    <definedName name="_382__123Graph_CCHART_74" hidden="1">[6]Livestock2005!#REF!</definedName>
    <definedName name="_384__123Graph_BCHART_148" hidden="1">[6]Livestock2005!#REF!</definedName>
    <definedName name="_384__123Graph_CCHART_75" hidden="1">[6]Livestock2005!#REF!</definedName>
    <definedName name="_3840__123Graph_BCHART_66" hidden="1">[6]Livestock2005!#REF!</definedName>
    <definedName name="_386__123Graph_CCHART_76" hidden="1">[6]Livestock2005!#REF!</definedName>
    <definedName name="_387__123Graph_BCHART_149" hidden="1">[6]Livestock2005!#REF!</definedName>
    <definedName name="_388__123Graph_CCHART_78" hidden="1">[6]Livestock2005!#REF!</definedName>
    <definedName name="_3888__123Graph_BCHART_69" hidden="1">[6]Livestock2005!#REF!</definedName>
    <definedName name="_39__123Graph_ACHART_124" hidden="1">[6]Livestock2005!#REF!</definedName>
    <definedName name="_39__123Graph_ACHART_146" hidden="1">[6]Livestock2005!#REF!</definedName>
    <definedName name="_390__123Graph_BCHART_15" hidden="1">[6]Livestock2005!#REF!</definedName>
    <definedName name="_390__123Graph_CCHART_80" hidden="1">[6]Livestock2005!#REF!</definedName>
    <definedName name="_3912__123Graph_BCHART_73" hidden="1">[6]Livestock2005!#REF!</definedName>
    <definedName name="_392__123Graph_CCHART_81" hidden="1">[6]Livestock2005!#REF!</definedName>
    <definedName name="_393__123Graph_BCHART_150" hidden="1">[6]Livestock2005!#REF!</definedName>
    <definedName name="_394__123Graph_CCHART_82" hidden="1">[6]Livestock2005!#REF!</definedName>
    <definedName name="_396__123Graph_BCHART_151" hidden="1">[6]Livestock2005!#REF!</definedName>
    <definedName name="_396__123Graph_DCHART_34" hidden="1">[6]Livestock2005!#REF!</definedName>
    <definedName name="_3960__123Graph_BCHART_75" hidden="1">[6]Livestock2005!#REF!</definedName>
    <definedName name="_398__123Graph_DCHART_39" hidden="1">[6]Livestock2005!#REF!</definedName>
    <definedName name="_399__123Graph_BCHART_152" hidden="1">[6]Livestock2005!#REF!</definedName>
    <definedName name="_4">'[1]result-mi'!#REF!</definedName>
    <definedName name="_4__123Graph_ACHART_10" hidden="1">[6]Livestock2005!#REF!</definedName>
    <definedName name="_40__123Graph_ACHART_130" hidden="1">[6]Livestock2005!#REF!</definedName>
    <definedName name="_40__123Graph_ACHART_147" hidden="1">[6]Livestock2005!#REF!</definedName>
    <definedName name="_400__123Graph_DCHART_45" hidden="1">[6]Livestock2005!#REF!</definedName>
    <definedName name="_402__123Graph_BCHART_153" hidden="1">[6]Livestock2005!#REF!</definedName>
    <definedName name="_402__123Graph_DCHART_47" hidden="1">[6]Livestock2005!#REF!</definedName>
    <definedName name="_404__123Graph_DCHART_52" hidden="1">[6]Livestock2005!#REF!</definedName>
    <definedName name="_405__123Graph_BCHART_154" hidden="1">[6]Livestock2005!#REF!</definedName>
    <definedName name="_4050__123Graph_ACHART_61" hidden="1">[6]Livestock2005!#REF!</definedName>
    <definedName name="_406__123Graph_DCHART_53" hidden="1">[6]Livestock2005!#REF!</definedName>
    <definedName name="_408__123Graph_BCHART_155" hidden="1">[6]Livestock2005!#REF!</definedName>
    <definedName name="_408__123Graph_DCHART_54" hidden="1">[6]Livestock2005!#REF!</definedName>
    <definedName name="_4080__123Graph_BCHART_81" hidden="1">[6]Livestock2005!#REF!</definedName>
    <definedName name="_41__123Graph_ACHART_148" hidden="1">[6]Livestock2005!#REF!</definedName>
    <definedName name="_410__123Graph_DCHART_55" hidden="1">[6]Livestock2005!#REF!</definedName>
    <definedName name="_4104__123Graph_BCHART_82" hidden="1">[6]Livestock2005!#REF!</definedName>
    <definedName name="_411__123Graph_BCHART_156" hidden="1">[6]Livestock2005!#REF!</definedName>
    <definedName name="_412__123Graph_DCHART_57" hidden="1">[6]Livestock2005!#REF!</definedName>
    <definedName name="_414__123Graph_BCHART_16" hidden="1">[6]Livestock2005!#REF!</definedName>
    <definedName name="_414__123Graph_DCHART_58" hidden="1">[6]Livestock2005!#REF!</definedName>
    <definedName name="_416__123Graph_DCHART_59" hidden="1">[6]Livestock2005!#REF!</definedName>
    <definedName name="_417__123Graph_BCHART_18" hidden="1">[6]Livestock2005!#REF!</definedName>
    <definedName name="_4176__123Graph_BCHART_99" hidden="1">[6]Livestock2005!#REF!</definedName>
    <definedName name="_418__123Graph_DCHART_68" hidden="1">[6]Livestock2005!#REF!</definedName>
    <definedName name="_42__123Graph_ACHART_125" hidden="1">[6]Livestock2005!#REF!</definedName>
    <definedName name="_42__123Graph_ACHART_131" hidden="1">[6]Livestock2005!#REF!</definedName>
    <definedName name="_42__123Graph_ACHART_149" hidden="1">[6]Livestock2005!#REF!</definedName>
    <definedName name="_420__123Graph_BCHART_19" hidden="1">[6]Livestock2005!#REF!</definedName>
    <definedName name="_420__123Graph_DCHART_70" hidden="1">[6]Livestock2005!#REF!</definedName>
    <definedName name="_4200__123Graph_CCHART_18" hidden="1">[6]Livestock2005!#REF!</definedName>
    <definedName name="_422__123Graph_DCHART_72" hidden="1">[6]Livestock2005!#REF!</definedName>
    <definedName name="_423__123Graph_BCHART_20" hidden="1">[6]Livestock2005!#REF!</definedName>
    <definedName name="_424__123Graph_DCHART_73" hidden="1">[6]Livestock2005!#REF!</definedName>
    <definedName name="_426__123Graph_BCHART_21" hidden="1">[6]Livestock2005!#REF!</definedName>
    <definedName name="_426__123Graph_ECHART_45" hidden="1">[6]Livestock2005!#REF!</definedName>
    <definedName name="_428__123Graph_ECHART_46" hidden="1">[6]Livestock2005!#REF!</definedName>
    <definedName name="_429__123Graph_BCHART_22" hidden="1">[6]Livestock2005!#REF!</definedName>
    <definedName name="_43__123Graph_ACHART_15" hidden="1">[6]Livestock2005!#REF!</definedName>
    <definedName name="_430__123Graph_ECHART_52" hidden="1">[6]Livestock2005!#REF!</definedName>
    <definedName name="_432__123Graph_ACHART_129" hidden="1">[6]Livestock2005!#REF!</definedName>
    <definedName name="_432__123Graph_BCHART_28" hidden="1">[6]Livestock2005!#REF!</definedName>
    <definedName name="_432__123Graph_ECHART_53" hidden="1">[6]Livestock2005!#REF!</definedName>
    <definedName name="_4320__123Graph_ACHART_70" hidden="1">[6]Livestock2005!#REF!</definedName>
    <definedName name="_4320__123Graph_CCHART_39" hidden="1">[6]Livestock2005!#REF!</definedName>
    <definedName name="_434__123Graph_ECHART_54" hidden="1">[6]Livestock2005!#REF!</definedName>
    <definedName name="_435__123Graph_BCHART_36" hidden="1">[6]Livestock2005!#REF!</definedName>
    <definedName name="_436__123Graph_ECHART_55" hidden="1">[6]Livestock2005!#REF!</definedName>
    <definedName name="_438__123Graph_BCHART_37" hidden="1">[6]Livestock2005!#REF!</definedName>
    <definedName name="_438__123Graph_ECHART_57" hidden="1">[6]Livestock2005!#REF!</definedName>
    <definedName name="_44__123Graph_ACHART_132" hidden="1">[6]Livestock2005!#REF!</definedName>
    <definedName name="_44__123Graph_ACHART_150" hidden="1">[6]Livestock2005!#REF!</definedName>
    <definedName name="_440__123Graph_ECHART_58" hidden="1">[6]Livestock2005!#REF!</definedName>
    <definedName name="_441__123Graph_BCHART_38" hidden="1">[6]Livestock2005!#REF!</definedName>
    <definedName name="_442__123Graph_ECHART_60" hidden="1">[6]Livestock2005!#REF!</definedName>
    <definedName name="_444__123Graph_BCHART_39" hidden="1">[6]Livestock2005!#REF!</definedName>
    <definedName name="_444__123Graph_ECHART_70" hidden="1">[6]Livestock2005!#REF!</definedName>
    <definedName name="_4440__123Graph_CCHART_54" hidden="1">[6]Livestock2005!#REF!</definedName>
    <definedName name="_446__123Graph_ECHART_71" hidden="1">[6]Livestock2005!#REF!</definedName>
    <definedName name="_447__123Graph_BCHART_42" hidden="1">[6]Livestock2005!#REF!</definedName>
    <definedName name="_448__123Graph_ECHART_72" hidden="1">[6]Livestock2005!#REF!</definedName>
    <definedName name="_45__123Graph_ACHART_126" hidden="1">[6]Livestock2005!#REF!</definedName>
    <definedName name="_45__123Graph_ACHART_151" hidden="1">[6]Livestock2005!#REF!</definedName>
    <definedName name="_450__123Graph_BCHART_43" hidden="1">[6]Livestock2005!#REF!</definedName>
    <definedName name="_450__123Graph_FCHART_53" hidden="1">[6]Livestock2005!#REF!</definedName>
    <definedName name="_452__123Graph_FCHART_54" hidden="1">[6]Livestock2005!#REF!</definedName>
    <definedName name="_453__123Graph_BCHART_44" hidden="1">[6]Livestock2005!#REF!</definedName>
    <definedName name="_4536__123Graph_CCHART_71" hidden="1">[6]Livestock2005!#REF!</definedName>
    <definedName name="_454__123Graph_FCHART_55" hidden="1">[6]Livestock2005!#REF!</definedName>
    <definedName name="_456__123Graph_BCHART_46" hidden="1">[6]Livestock2005!#REF!</definedName>
    <definedName name="_456__123Graph_FCHART_61" hidden="1">[6]Livestock2005!#REF!</definedName>
    <definedName name="_4560__123Graph_CCHART_73" hidden="1">[6]Livestock2005!#REF!</definedName>
    <definedName name="_458__123Graph_FCHART_63" hidden="1">[6]Livestock2005!#REF!</definedName>
    <definedName name="_459__123Graph_BCHART_48" hidden="1">[6]Livestock2005!#REF!</definedName>
    <definedName name="_4590__123Graph_ACHART_75" hidden="1">[6]Livestock2005!#REF!</definedName>
    <definedName name="_46__123Graph_ACHART_133" hidden="1">[6]Livestock2005!#REF!</definedName>
    <definedName name="_46__123Graph_ACHART_152" hidden="1">[6]Livestock2005!#REF!</definedName>
    <definedName name="_460__123Graph_XCHART_1" hidden="1">[6]Livestock2005!#REF!</definedName>
    <definedName name="_462__123Graph_BCHART_52" hidden="1">[6]Livestock2005!#REF!</definedName>
    <definedName name="_462__123Graph_XCHART_10" hidden="1">[6]Livestock2005!#REF!</definedName>
    <definedName name="_464__123Graph_XCHART_11" hidden="1">[6]Livestock2005!#REF!</definedName>
    <definedName name="_465__123Graph_BCHART_54" hidden="1">[6]Livestock2005!#REF!</definedName>
    <definedName name="_466__123Graph_XCHART_12" hidden="1">[6]Livestock2005!#REF!</definedName>
    <definedName name="_468__123Graph_BCHART_56" hidden="1">[6]Livestock2005!#REF!</definedName>
    <definedName name="_468__123Graph_XCHART_123" hidden="1">[6]Livestock2005!#REF!</definedName>
    <definedName name="_4680__123Graph_CCHART_80" hidden="1">[6]Livestock2005!#REF!</definedName>
    <definedName name="_47__123Graph_ACHART_153" hidden="1">[6]Livestock2005!#REF!</definedName>
    <definedName name="_470__123Graph_XCHART_124" hidden="1">[6]Livestock2005!#REF!</definedName>
    <definedName name="_4704__123Graph_CCHART_81" hidden="1">[6]Livestock2005!#REF!</definedName>
    <definedName name="_471__123Graph_BCHART_61" hidden="1">[6]Livestock2005!#REF!</definedName>
    <definedName name="_472__123Graph_XCHART_125" hidden="1">[6]Livestock2005!#REF!</definedName>
    <definedName name="_474__123Graph_BCHART_62" hidden="1">[6]Livestock2005!#REF!</definedName>
    <definedName name="_474__123Graph_XCHART_126" hidden="1">[6]Livestock2005!#REF!</definedName>
    <definedName name="_4752__123Graph_DCHART_34" hidden="1">[6]Livestock2005!#REF!</definedName>
    <definedName name="_476__123Graph_XCHART_127" hidden="1">[6]Livestock2005!#REF!</definedName>
    <definedName name="_477__123Graph_BCHART_65" hidden="1">[6]Livestock2005!#REF!</definedName>
    <definedName name="_478__123Graph_XCHART_128" hidden="1">[6]Livestock2005!#REF!</definedName>
    <definedName name="_48__123Graph_ACHART_127" hidden="1">[6]Livestock2005!#REF!</definedName>
    <definedName name="_48__123Graph_ACHART_134" hidden="1">[6]Livestock2005!#REF!</definedName>
    <definedName name="_48__123Graph_ACHART_154" hidden="1">[6]Livestock2005!#REF!</definedName>
    <definedName name="_480__123Graph_ACHART_130" hidden="1">[6]Livestock2005!#REF!</definedName>
    <definedName name="_480__123Graph_BCHART_66" hidden="1">[6]Livestock2005!#REF!</definedName>
    <definedName name="_480__123Graph_XCHART_129" hidden="1">[6]Livestock2005!#REF!</definedName>
    <definedName name="_4800__123Graph_DCHART_45" hidden="1">[6]Livestock2005!#REF!</definedName>
    <definedName name="_482__123Graph_XCHART_13" hidden="1">[6]Livestock2005!#REF!</definedName>
    <definedName name="_483__123Graph_BCHART_68" hidden="1">[6]Livestock2005!#REF!</definedName>
    <definedName name="_484__123Graph_XCHART_130" hidden="1">[6]Livestock2005!#REF!</definedName>
    <definedName name="_486__123Graph_BCHART_69" hidden="1">[6]Livestock2005!#REF!</definedName>
    <definedName name="_486__123Graph_XCHART_131" hidden="1">[6]Livestock2005!#REF!</definedName>
    <definedName name="_4860__123Graph_ACHART_80" hidden="1">[6]Livestock2005!#REF!</definedName>
    <definedName name="_4872__123Graph_DCHART_53" hidden="1">[6]Livestock2005!#REF!</definedName>
    <definedName name="_488__123Graph_XCHART_132" hidden="1">[6]Livestock2005!#REF!</definedName>
    <definedName name="_489__123Graph_BCHART_73" hidden="1">[6]Livestock2005!#REF!</definedName>
    <definedName name="_49__123Graph_ACHART_155" hidden="1">[6]Livestock2005!#REF!</definedName>
    <definedName name="_490__123Graph_XCHART_133" hidden="1">[6]Livestock2005!#REF!</definedName>
    <definedName name="_492__123Graph_BCHART_74" hidden="1">[6]Livestock2005!#REF!</definedName>
    <definedName name="_492__123Graph_XCHART_134" hidden="1">[6]Livestock2005!#REF!</definedName>
    <definedName name="_4920__123Graph_DCHART_55" hidden="1">[6]Livestock2005!#REF!</definedName>
    <definedName name="_494__123Graph_XCHART_135" hidden="1">[6]Livestock2005!#REF!</definedName>
    <definedName name="_495__123Graph_BCHART_75" hidden="1">[6]Livestock2005!#REF!</definedName>
    <definedName name="_496__123Graph_XCHART_136" hidden="1">[6]Livestock2005!#REF!</definedName>
    <definedName name="_4968__123Graph_DCHART_58" hidden="1">[6]Livestock2005!#REF!</definedName>
    <definedName name="_498__123Graph_BCHART_76" hidden="1">[6]Livestock2005!#REF!</definedName>
    <definedName name="_498__123Graph_XCHART_137" hidden="1">[6]Livestock2005!#REF!</definedName>
    <definedName name="_5">'[1]result-mi'!#REF!</definedName>
    <definedName name="_5__123Graph_ACHART_100" hidden="1">[6]Livestock2005!#REF!</definedName>
    <definedName name="_50__123Graph_ACHART_135" hidden="1">[6]Livestock2005!#REF!</definedName>
    <definedName name="_50__123Graph_ACHART_156" hidden="1">[6]Livestock2005!#REF!</definedName>
    <definedName name="_500__123Graph_XCHART_138" hidden="1">[6]Livestock2005!#REF!</definedName>
    <definedName name="_501__123Graph_BCHART_77" hidden="1">[6]Livestock2005!#REF!</definedName>
    <definedName name="_502__123Graph_XCHART_139" hidden="1">[6]Livestock2005!#REF!</definedName>
    <definedName name="_504__123Graph_BCHART_78" hidden="1">[6]Livestock2005!#REF!</definedName>
    <definedName name="_504__123Graph_XCHART_14" hidden="1">[6]Livestock2005!#REF!</definedName>
    <definedName name="_5040__123Graph_DCHART_70" hidden="1">[6]Livestock2005!#REF!</definedName>
    <definedName name="_506__123Graph_XCHART_140" hidden="1">[6]Livestock2005!#REF!</definedName>
    <definedName name="_507__123Graph_BCHART_80" hidden="1">[6]Livestock2005!#REF!</definedName>
    <definedName name="_508__123Graph_XCHART_141" hidden="1">[6]Livestock2005!#REF!</definedName>
    <definedName name="_51__123Graph_ACHART_128" hidden="1">[6]Livestock2005!#REF!</definedName>
    <definedName name="_51__123Graph_ACHART_16" hidden="1">[6]Livestock2005!#REF!</definedName>
    <definedName name="_510__123Graph_BCHART_81" hidden="1">[6]Livestock2005!#REF!</definedName>
    <definedName name="_510__123Graph_XCHART_142" hidden="1">[6]Livestock2005!#REF!</definedName>
    <definedName name="_512__123Graph_XCHART_143" hidden="1">[6]Livestock2005!#REF!</definedName>
    <definedName name="_513__123Graph_BCHART_82" hidden="1">[6]Livestock2005!#REF!</definedName>
    <definedName name="_5130__123Graph_ACHART_9" hidden="1">[6]Livestock2005!#REF!</definedName>
    <definedName name="_514__123Graph_XCHART_144" hidden="1">[6]Livestock2005!#REF!</definedName>
    <definedName name="_516__123Graph_BCHART_91" hidden="1">[6]Livestock2005!#REF!</definedName>
    <definedName name="_516__123Graph_XCHART_145" hidden="1">[6]Livestock2005!#REF!</definedName>
    <definedName name="_5160__123Graph_ECHART_52" hidden="1">[6]Livestock2005!#REF!</definedName>
    <definedName name="_518__123Graph_XCHART_146" hidden="1">[6]Livestock2005!#REF!</definedName>
    <definedName name="_5184__123Graph_ECHART_53" hidden="1">[6]Livestock2005!#REF!</definedName>
    <definedName name="_519__123Graph_BCHART_93" hidden="1">[6]Livestock2005!#REF!</definedName>
    <definedName name="_52__123Graph_ACHART_136" hidden="1">[6]Livestock2005!#REF!</definedName>
    <definedName name="_52__123Graph_ACHART_17" hidden="1">[6]Livestock2005!#REF!</definedName>
    <definedName name="_520__123Graph_XCHART_147" hidden="1">[6]Livestock2005!#REF!</definedName>
    <definedName name="_522__123Graph_BCHART_99" hidden="1">[6]Livestock2005!#REF!</definedName>
    <definedName name="_522__123Graph_XCHART_148" hidden="1">[6]Livestock2005!#REF!</definedName>
    <definedName name="_5232__123Graph_ECHART_55" hidden="1">[6]Livestock2005!#REF!</definedName>
    <definedName name="_524__123Graph_XCHART_149" hidden="1">[6]Livestock2005!#REF!</definedName>
    <definedName name="_525__123Graph_CCHART_18" hidden="1">[6]Livestock2005!#REF!</definedName>
    <definedName name="_526__123Graph_XCHART_15" hidden="1">[6]Livestock2005!#REF!</definedName>
    <definedName name="_528__123Graph_CCHART_19" hidden="1">[6]Livestock2005!#REF!</definedName>
    <definedName name="_528__123Graph_XCHART_150" hidden="1">[6]Livestock2005!#REF!</definedName>
    <definedName name="_5280__123Graph_ECHART_58" hidden="1">[6]Livestock2005!#REF!</definedName>
    <definedName name="_53__123Graph_ACHART_18" hidden="1">[6]Livestock2005!#REF!</definedName>
    <definedName name="_530__123Graph_XCHART_151" hidden="1">[6]Livestock2005!#REF!</definedName>
    <definedName name="_531__123Graph_CCHART_20" hidden="1">[6]Livestock2005!#REF!</definedName>
    <definedName name="_532__123Graph_XCHART_152" hidden="1">[6]Livestock2005!#REF!</definedName>
    <definedName name="_534__123Graph_CCHART_21" hidden="1">[6]Livestock2005!#REF!</definedName>
    <definedName name="_534__123Graph_XCHART_153" hidden="1">[6]Livestock2005!#REF!</definedName>
    <definedName name="_536__123Graph_XCHART_154" hidden="1">[6]Livestock2005!#REF!</definedName>
    <definedName name="_537__123Graph_CCHART_22" hidden="1">[6]Livestock2005!#REF!</definedName>
    <definedName name="_538__123Graph_XCHART_155" hidden="1">[6]Livestock2005!#REF!</definedName>
    <definedName name="_54__123Graph_ACHART_129" hidden="1">[6]Livestock2005!#REF!</definedName>
    <definedName name="_54__123Graph_ACHART_137" hidden="1">[6]Livestock2005!#REF!</definedName>
    <definedName name="_54__123Graph_ACHART_19" hidden="1">[6]Livestock2005!#REF!</definedName>
    <definedName name="_540__123Graph_ACHART_119" hidden="1">[6]Livestock2005!#REF!</definedName>
    <definedName name="_540__123Graph_CCHART_39" hidden="1">[6]Livestock2005!#REF!</definedName>
    <definedName name="_540__123Graph_XCHART_156" hidden="1">[6]Livestock2005!#REF!</definedName>
    <definedName name="_5400__123Graph_BCHART_102" hidden="1">[6]Livestock2005!#REF!</definedName>
    <definedName name="_5400__123Graph_FCHART_53" hidden="1">[6]Livestock2005!#REF!</definedName>
    <definedName name="_542__123Graph_XCHART_16" hidden="1">[6]Livestock2005!#REF!</definedName>
    <definedName name="_543__123Graph_CCHART_45" hidden="1">[6]Livestock2005!#REF!</definedName>
    <definedName name="_544__123Graph_XCHART_17" hidden="1">[6]Livestock2005!#REF!</definedName>
    <definedName name="_546__123Graph_CCHART_46" hidden="1">[6]Livestock2005!#REF!</definedName>
    <definedName name="_546__123Graph_XCHART_18" hidden="1">[6]Livestock2005!#REF!</definedName>
    <definedName name="_548__123Graph_XCHART_19" hidden="1">[6]Livestock2005!#REF!</definedName>
    <definedName name="_549__123Graph_CCHART_52" hidden="1">[6]Livestock2005!#REF!</definedName>
    <definedName name="_5496__123Graph_FCHART_63" hidden="1">[6]Livestock2005!#REF!</definedName>
    <definedName name="_55__123Graph_ACHART_2" hidden="1">[6]Livestock2005!#REF!</definedName>
    <definedName name="_550__123Graph_XCHART_2" hidden="1">[6]Livestock2005!#REF!</definedName>
    <definedName name="_552__123Graph_CCHART_53" hidden="1">[6]Livestock2005!#REF!</definedName>
    <definedName name="_552__123Graph_XCHART_20" hidden="1">[6]Livestock2005!#REF!</definedName>
    <definedName name="_5520__123Graph_XCHART_1" hidden="1">[6]Livestock2005!#REF!</definedName>
    <definedName name="_554__123Graph_XCHART_21" hidden="1">[6]Livestock2005!#REF!</definedName>
    <definedName name="_555__123Graph_CCHART_54" hidden="1">[6]Livestock2005!#REF!</definedName>
    <definedName name="_556__123Graph_XCHART_22" hidden="1">[6]Livestock2005!#REF!</definedName>
    <definedName name="_5568__123Graph_XCHART_11" hidden="1">[6]Livestock2005!#REF!</definedName>
    <definedName name="_558__123Graph_CCHART_62" hidden="1">[6]Livestock2005!#REF!</definedName>
    <definedName name="_558__123Graph_XCHART_23" hidden="1">[6]Livestock2005!#REF!</definedName>
    <definedName name="_56__123Graph_ACHART_138" hidden="1">[6]Livestock2005!#REF!</definedName>
    <definedName name="_56__123Graph_ACHART_20" hidden="1">[6]Livestock2005!#REF!</definedName>
    <definedName name="_560__123Graph_XCHART_24" hidden="1">[6]Livestock2005!#REF!</definedName>
    <definedName name="_561__123Graph_CCHART_68" hidden="1">[6]Livestock2005!#REF!</definedName>
    <definedName name="_5616__123Graph_XCHART_123" hidden="1">[6]Livestock2005!#REF!</definedName>
    <definedName name="_562__123Graph_XCHART_3" hidden="1">[6]Livestock2005!#REF!</definedName>
    <definedName name="_564__123Graph_CCHART_69" hidden="1">[6]Livestock2005!#REF!</definedName>
    <definedName name="_564__123Graph_XCHART_4" hidden="1">[6]Livestock2005!#REF!</definedName>
    <definedName name="_5640__123Graph_XCHART_124" hidden="1">[6]Livestock2005!#REF!</definedName>
    <definedName name="_566__123Graph_XCHART_45" hidden="1">[6]Livestock2005!#REF!</definedName>
    <definedName name="_567__123Graph_CCHART_71" hidden="1">[6]Livestock2005!#REF!</definedName>
    <definedName name="_5670__123Graph_BCHART_12" hidden="1">[6]Livestock2005!#REF!</definedName>
    <definedName name="_568__123Graph_XCHART_46" hidden="1">[6]Livestock2005!#REF!</definedName>
    <definedName name="_57__123Graph_ACHART_13" hidden="1">[6]Livestock2005!#REF!</definedName>
    <definedName name="_57__123Graph_ACHART_21" hidden="1">[6]Livestock2005!#REF!</definedName>
    <definedName name="_570__123Graph_CCHART_73" hidden="1">[6]Livestock2005!#REF!</definedName>
    <definedName name="_570__123Graph_XCHART_47" hidden="1">[6]Livestock2005!#REF!</definedName>
    <definedName name="_572__123Graph_XCHART_48" hidden="1">[6]Livestock2005!#REF!</definedName>
    <definedName name="_573__123Graph_CCHART_74" hidden="1">[6]Livestock2005!#REF!</definedName>
    <definedName name="_574__123Graph_XCHART_49" hidden="1">[6]Livestock2005!#REF!</definedName>
    <definedName name="_576__123Graph_CCHART_75" hidden="1">[6]Livestock2005!#REF!</definedName>
    <definedName name="_576__123Graph_XCHART_5" hidden="1">[6]Livestock2005!#REF!</definedName>
    <definedName name="_5760__123Graph_XCHART_129" hidden="1">[6]Livestock2005!#REF!</definedName>
    <definedName name="_578__123Graph_XCHART_50" hidden="1">[6]Livestock2005!#REF!</definedName>
    <definedName name="_579__123Graph_CCHART_76" hidden="1">[6]Livestock2005!#REF!</definedName>
    <definedName name="_58__123Graph_ACHART_139" hidden="1">[6]Livestock2005!#REF!</definedName>
    <definedName name="_58__123Graph_ACHART_22" hidden="1">[6]Livestock2005!#REF!</definedName>
    <definedName name="_580__123Graph_XCHART_51" hidden="1">[6]Livestock2005!#REF!</definedName>
    <definedName name="_582__123Graph_CCHART_78" hidden="1">[6]Livestock2005!#REF!</definedName>
    <definedName name="_582__123Graph_XCHART_52" hidden="1">[6]Livestock2005!#REF!</definedName>
    <definedName name="_5832__123Graph_XCHART_131" hidden="1">[6]Livestock2005!#REF!</definedName>
    <definedName name="_584__123Graph_XCHART_53" hidden="1">[6]Livestock2005!#REF!</definedName>
    <definedName name="_585__123Graph_CCHART_80" hidden="1">[6]Livestock2005!#REF!</definedName>
    <definedName name="_586__123Graph_XCHART_54" hidden="1">[6]Livestock2005!#REF!</definedName>
    <definedName name="_588__123Graph_CCHART_81" hidden="1">[6]Livestock2005!#REF!</definedName>
    <definedName name="_588__123Graph_XCHART_55" hidden="1">[6]Livestock2005!#REF!</definedName>
    <definedName name="_5880__123Graph_XCHART_133" hidden="1">[6]Livestock2005!#REF!</definedName>
    <definedName name="_59__123Graph_ACHART_23" hidden="1">[6]Livestock2005!#REF!</definedName>
    <definedName name="_590__123Graph_XCHART_56" hidden="1">[6]Livestock2005!#REF!</definedName>
    <definedName name="_591__123Graph_CCHART_82" hidden="1">[6]Livestock2005!#REF!</definedName>
    <definedName name="_592__123Graph_XCHART_57" hidden="1">[6]Livestock2005!#REF!</definedName>
    <definedName name="_594__123Graph_DCHART_34" hidden="1">[6]Livestock2005!#REF!</definedName>
    <definedName name="_594__123Graph_XCHART_58" hidden="1">[6]Livestock2005!#REF!</definedName>
    <definedName name="_5940__123Graph_BCHART_131" hidden="1">[6]Livestock2005!#REF!</definedName>
    <definedName name="_596__123Graph_XCHART_59" hidden="1">[6]Livestock2005!#REF!</definedName>
    <definedName name="_597__123Graph_DCHART_39" hidden="1">[6]Livestock2005!#REF!</definedName>
    <definedName name="_598__123Graph_XCHART_6" hidden="1">[6]Livestock2005!#REF!</definedName>
    <definedName name="_6__123Graph_ACHART_10" hidden="1">[6]Livestock2005!#REF!</definedName>
    <definedName name="_6__123Graph_ACHART_100" hidden="1">[6]Livestock2005!#REF!</definedName>
    <definedName name="_6__123Graph_ACHART_101" hidden="1">[6]Livestock2005!#REF!</definedName>
    <definedName name="_60__123Graph_ACHART_130" hidden="1">[6]Livestock2005!#REF!</definedName>
    <definedName name="_60__123Graph_ACHART_14" hidden="1">[6]Livestock2005!#REF!</definedName>
    <definedName name="_60__123Graph_ACHART_3" hidden="1">[6]Livestock2005!#REF!</definedName>
    <definedName name="_600__123Graph_ACHART_135" hidden="1">[6]Livestock2005!#REF!</definedName>
    <definedName name="_600__123Graph_DCHART_45" hidden="1">[6]Livestock2005!#REF!</definedName>
    <definedName name="_600__123Graph_XCHART_62" hidden="1">[6]Livestock2005!#REF!</definedName>
    <definedName name="_6000__123Graph_XCHART_138" hidden="1">[6]Livestock2005!#REF!</definedName>
    <definedName name="_602__123Graph_XCHART_68" hidden="1">[6]Livestock2005!#REF!</definedName>
    <definedName name="_6024__123Graph_XCHART_139" hidden="1">[6]Livestock2005!#REF!</definedName>
    <definedName name="_603__123Graph_DCHART_47" hidden="1">[6]Livestock2005!#REF!</definedName>
    <definedName name="_604__123Graph_XCHART_69" hidden="1">[6]Livestock2005!#REF!</definedName>
    <definedName name="_6048__123Graph_XCHART_14" hidden="1">[6]Livestock2005!#REF!</definedName>
    <definedName name="_606__123Graph_DCHART_52" hidden="1">[6]Livestock2005!#REF!</definedName>
    <definedName name="_606__123Graph_XCHART_70" hidden="1">[6]Livestock2005!#REF!</definedName>
    <definedName name="_608__123Graph_XCHART_71" hidden="1">[6]Livestock2005!#REF!</definedName>
    <definedName name="_609__123Graph_DCHART_53" hidden="1">[6]Livestock2005!#REF!</definedName>
    <definedName name="_61__123Graph_ACHART_39" hidden="1">[6]Livestock2005!#REF!</definedName>
    <definedName name="_610__123Graph_XCHART_73" hidden="1">[6]Livestock2005!#REF!</definedName>
    <definedName name="_612__123Graph_DCHART_54" hidden="1">[6]Livestock2005!#REF!</definedName>
    <definedName name="_612__123Graph_XCHART_74" hidden="1">[6]Livestock2005!#REF!</definedName>
    <definedName name="_6120__123Graph_XCHART_142" hidden="1">[6]Livestock2005!#REF!</definedName>
    <definedName name="_614__123Graph_XCHART_75" hidden="1">[6]Livestock2005!#REF!</definedName>
    <definedName name="_615__123Graph_DCHART_55" hidden="1">[6]Livestock2005!#REF!</definedName>
    <definedName name="_616__123Graph_XCHART_76" hidden="1">[6]Livestock2005!#REF!</definedName>
    <definedName name="_618__123Graph_DCHART_57" hidden="1">[6]Livestock2005!#REF!</definedName>
    <definedName name="_618__123Graph_XCHART_77" hidden="1">[6]Livestock2005!#REF!</definedName>
    <definedName name="_62__123Graph_ACHART_140" hidden="1">[6]Livestock2005!#REF!</definedName>
    <definedName name="_62__123Graph_ACHART_4" hidden="1">[6]Livestock2005!#REF!</definedName>
    <definedName name="_620__123Graph_XCHART_78" hidden="1">[6]Livestock2005!#REF!</definedName>
    <definedName name="_621__123Graph_DCHART_58" hidden="1">[6]Livestock2005!#REF!</definedName>
    <definedName name="_6210__123Graph_BCHART_136" hidden="1">[6]Livestock2005!#REF!</definedName>
    <definedName name="_622__123Graph_XCHART_80" hidden="1">[6]Livestock2005!#REF!</definedName>
    <definedName name="_624__123Graph_DCHART_59" hidden="1">[6]Livestock2005!#REF!</definedName>
    <definedName name="_624__123Graph_XCHART_81" hidden="1">[6]Livestock2005!#REF!</definedName>
    <definedName name="_6240__123Graph_XCHART_147" hidden="1">[6]Livestock2005!#REF!</definedName>
    <definedName name="_626__123Graph_XCHART_82" hidden="1">[6]Livestock2005!#REF!</definedName>
    <definedName name="_6264__123Graph_XCHART_148" hidden="1">[6]Livestock2005!#REF!</definedName>
    <definedName name="_627__123Graph_DCHART_68" hidden="1">[6]Livestock2005!#REF!</definedName>
    <definedName name="_6288__123Graph_XCHART_149" hidden="1">[6]Livestock2005!#REF!</definedName>
    <definedName name="_63__123Graph_ACHART_131" hidden="1">[6]Livestock2005!#REF!</definedName>
    <definedName name="_63__123Graph_ACHART_47" hidden="1">[6]Livestock2005!#REF!</definedName>
    <definedName name="_630__123Graph_DCHART_70" hidden="1">[6]Livestock2005!#REF!</definedName>
    <definedName name="_633__123Graph_DCHART_72" hidden="1">[6]Livestock2005!#REF!</definedName>
    <definedName name="_636__123Graph_DCHART_73" hidden="1">[6]Livestock2005!#REF!</definedName>
    <definedName name="_6360__123Graph_XCHART_151" hidden="1">[6]Livestock2005!#REF!</definedName>
    <definedName name="_639__123Graph_ECHART_45" hidden="1">[6]Livestock2005!#REF!</definedName>
    <definedName name="_64__123Graph_ACHART_141" hidden="1">[6]Livestock2005!#REF!</definedName>
    <definedName name="_64__123Graph_ACHART_48" hidden="1">[6]Livestock2005!#REF!</definedName>
    <definedName name="_642__123Graph_ECHART_46" hidden="1">[6]Livestock2005!#REF!</definedName>
    <definedName name="_645__123Graph_ECHART_52" hidden="1">[6]Livestock2005!#REF!</definedName>
    <definedName name="_648__123Graph_ACHART_137" hidden="1">[6]Livestock2005!#REF!</definedName>
    <definedName name="_648__123Graph_ECHART_53" hidden="1">[6]Livestock2005!#REF!</definedName>
    <definedName name="_6480__123Graph_BCHART_140" hidden="1">[6]Livestock2005!#REF!</definedName>
    <definedName name="_6480__123Graph_XCHART_156" hidden="1">[6]Livestock2005!#REF!</definedName>
    <definedName name="_65__123Graph_ACHART_49" hidden="1">[6]Livestock2005!#REF!</definedName>
    <definedName name="_651__123Graph_ECHART_54" hidden="1">[6]Livestock2005!#REF!</definedName>
    <definedName name="_654__123Graph_ECHART_55" hidden="1">[6]Livestock2005!#REF!</definedName>
    <definedName name="_6552__123Graph_XCHART_18" hidden="1">[6]Livestock2005!#REF!</definedName>
    <definedName name="_657__123Graph_ECHART_57" hidden="1">[6]Livestock2005!#REF!</definedName>
    <definedName name="_66__123Graph_ACHART_132" hidden="1">[6]Livestock2005!#REF!</definedName>
    <definedName name="_66__123Graph_ACHART_142" hidden="1">[6]Livestock2005!#REF!</definedName>
    <definedName name="_66__123Graph_ACHART_5" hidden="1">[6]Livestock2005!#REF!</definedName>
    <definedName name="_660__123Graph_ECHART_58" hidden="1">[6]Livestock2005!#REF!</definedName>
    <definedName name="_6600__123Graph_XCHART_2" hidden="1">[6]Livestock2005!#REF!</definedName>
    <definedName name="_663__123Graph_ECHART_60" hidden="1">[6]Livestock2005!#REF!</definedName>
    <definedName name="_666__123Graph_ECHART_70" hidden="1">[6]Livestock2005!#REF!</definedName>
    <definedName name="_669__123Graph_ECHART_71" hidden="1">[6]Livestock2005!#REF!</definedName>
    <definedName name="_6696__123Graph_XCHART_23" hidden="1">[6]Livestock2005!#REF!</definedName>
    <definedName name="_67__123Graph_ACHART_50" hidden="1">[6]Livestock2005!#REF!</definedName>
    <definedName name="_672__123Graph_ECHART_72" hidden="1">[6]Livestock2005!#REF!</definedName>
    <definedName name="_6720__123Graph_XCHART_24" hidden="1">[6]Livestock2005!#REF!</definedName>
    <definedName name="_675__123Graph_FCHART_53" hidden="1">[6]Livestock2005!#REF!</definedName>
    <definedName name="_6750__123Graph_BCHART_145" hidden="1">[6]Livestock2005!#REF!</definedName>
    <definedName name="_678__123Graph_FCHART_54" hidden="1">[6]Livestock2005!#REF!</definedName>
    <definedName name="_68__123Graph_ACHART_143" hidden="1">[6]Livestock2005!#REF!</definedName>
    <definedName name="_68__123Graph_ACHART_51" hidden="1">[6]Livestock2005!#REF!</definedName>
    <definedName name="_681__123Graph_FCHART_55" hidden="1">[6]Livestock2005!#REF!</definedName>
    <definedName name="_6816__123Graph_XCHART_46" hidden="1">[6]Livestock2005!#REF!</definedName>
    <definedName name="_684__123Graph_FCHART_61" hidden="1">[6]Livestock2005!#REF!</definedName>
    <definedName name="_6840__123Graph_XCHART_47" hidden="1">[6]Livestock2005!#REF!</definedName>
    <definedName name="_687__123Graph_FCHART_63" hidden="1">[6]Livestock2005!#REF!</definedName>
    <definedName name="_69__123Graph_ACHART_133" hidden="1">[6]Livestock2005!#REF!</definedName>
    <definedName name="_69__123Graph_ACHART_52" hidden="1">[6]Livestock2005!#REF!</definedName>
    <definedName name="_690__123Graph_XCHART_1" hidden="1">[6]Livestock2005!#REF!</definedName>
    <definedName name="_6912__123Graph_XCHART_5" hidden="1">[6]Livestock2005!#REF!</definedName>
    <definedName name="_693__123Graph_XCHART_10" hidden="1">[6]Livestock2005!#REF!</definedName>
    <definedName name="_696__123Graph_ACHART_139" hidden="1">[6]Livestock2005!#REF!</definedName>
    <definedName name="_696__123Graph_XCHART_11" hidden="1">[6]Livestock2005!#REF!</definedName>
    <definedName name="_6960__123Graph_XCHART_51" hidden="1">[6]Livestock2005!#REF!</definedName>
    <definedName name="_699__123Graph_XCHART_12" hidden="1">[6]Livestock2005!#REF!</definedName>
    <definedName name="_7__123Graph_ACHART_105" hidden="1">[6]Livestock2005!#REF!</definedName>
    <definedName name="_70__123Graph_ACHART_144" hidden="1">[6]Livestock2005!#REF!</definedName>
    <definedName name="_70__123Graph_ACHART_53" hidden="1">[6]Livestock2005!#REF!</definedName>
    <definedName name="_702__123Graph_XCHART_123" hidden="1">[6]Livestock2005!#REF!</definedName>
    <definedName name="_7020__123Graph_BCHART_15" hidden="1">[6]Livestock2005!#REF!</definedName>
    <definedName name="_705__123Graph_XCHART_124" hidden="1">[6]Livestock2005!#REF!</definedName>
    <definedName name="_708__123Graph_XCHART_125" hidden="1">[6]Livestock2005!#REF!</definedName>
    <definedName name="_7080__123Graph_XCHART_56" hidden="1">[6]Livestock2005!#REF!</definedName>
    <definedName name="_71__123Graph_ACHART_54" hidden="1">[6]Livestock2005!#REF!</definedName>
    <definedName name="_711__123Graph_XCHART_126" hidden="1">[6]Livestock2005!#REF!</definedName>
    <definedName name="_7128__123Graph_XCHART_58" hidden="1">[6]Livestock2005!#REF!</definedName>
    <definedName name="_714__123Graph_XCHART_127" hidden="1">[6]Livestock2005!#REF!</definedName>
    <definedName name="_717__123Graph_XCHART_128" hidden="1">[6]Livestock2005!#REF!</definedName>
    <definedName name="_72__123Graph_ACHART_134" hidden="1">[6]Livestock2005!#REF!</definedName>
    <definedName name="_72__123Graph_ACHART_145" hidden="1">[6]Livestock2005!#REF!</definedName>
    <definedName name="_72__123Graph_ACHART_56" hidden="1">[6]Livestock2005!#REF!</definedName>
    <definedName name="_720__123Graph_ACHART_14" hidden="1">[6]Livestock2005!#REF!</definedName>
    <definedName name="_720__123Graph_XCHART_129" hidden="1">[6]Livestock2005!#REF!</definedName>
    <definedName name="_7200__123Graph_XCHART_62" hidden="1">[6]Livestock2005!#REF!</definedName>
    <definedName name="_723__123Graph_XCHART_13" hidden="1">[6]Livestock2005!#REF!</definedName>
    <definedName name="_726__123Graph_XCHART_130" hidden="1">[6]Livestock2005!#REF!</definedName>
    <definedName name="_729__123Graph_XCHART_131" hidden="1">[6]Livestock2005!#REF!</definedName>
    <definedName name="_7290__123Graph_BCHART_154" hidden="1">[6]Livestock2005!#REF!</definedName>
    <definedName name="_73__123Graph_ACHART_57" hidden="1">[6]Livestock2005!#REF!</definedName>
    <definedName name="_732__123Graph_XCHART_132" hidden="1">[6]Livestock2005!#REF!</definedName>
    <definedName name="_7320__123Graph_XCHART_73" hidden="1">[6]Livestock2005!#REF!</definedName>
    <definedName name="_7344__123Graph_XCHART_74" hidden="1">[6]Livestock2005!#REF!</definedName>
    <definedName name="_735__123Graph_XCHART_133" hidden="1">[6]Livestock2005!#REF!</definedName>
    <definedName name="_738__123Graph_XCHART_134" hidden="1">[6]Livestock2005!#REF!</definedName>
    <definedName name="_74__123Graph_ACHART_146" hidden="1">[6]Livestock2005!#REF!</definedName>
    <definedName name="_74__123Graph_ACHART_58" hidden="1">[6]Livestock2005!#REF!</definedName>
    <definedName name="_741__123Graph_XCHART_135" hidden="1">[6]Livestock2005!#REF!</definedName>
    <definedName name="_744__123Graph_ACHART_140" hidden="1">[6]Livestock2005!#REF!</definedName>
    <definedName name="_744__123Graph_XCHART_136" hidden="1">[6]Livestock2005!#REF!</definedName>
    <definedName name="_7440__123Graph_XCHART_78" hidden="1">[6]Livestock2005!#REF!</definedName>
    <definedName name="_747__123Graph_XCHART_137" hidden="1">[6]Livestock2005!#REF!</definedName>
    <definedName name="_75__123Graph_ACHART_135" hidden="1">[6]Livestock2005!#REF!</definedName>
    <definedName name="_75__123Graph_ACHART_59" hidden="1">[6]Livestock2005!#REF!</definedName>
    <definedName name="_750__123Graph_XCHART_138" hidden="1">[6]Livestock2005!#REF!</definedName>
    <definedName name="_753__123Graph_XCHART_139" hidden="1">[6]Livestock2005!#REF!</definedName>
    <definedName name="_756__123Graph_XCHART_14" hidden="1">[6]Livestock2005!#REF!</definedName>
    <definedName name="_7560__123Graph_BCHART_19" hidden="1">[6]Livestock2005!#REF!</definedName>
    <definedName name="_759__123Graph_XCHART_140" hidden="1">[6]Livestock2005!#REF!</definedName>
    <definedName name="_76__123Graph_ACHART_147" hidden="1">[6]Livestock2005!#REF!</definedName>
    <definedName name="_76__123Graph_ACHART_6" hidden="1">[6]Livestock2005!#REF!</definedName>
    <definedName name="_762__123Graph_XCHART_141" hidden="1">[6]Livestock2005!#REF!</definedName>
    <definedName name="_765__123Graph_XCHART_142" hidden="1">[6]Livestock2005!#REF!</definedName>
    <definedName name="_768__123Graph_ACHART_141" hidden="1">[6]Livestock2005!#REF!</definedName>
    <definedName name="_768__123Graph_XCHART_143" hidden="1">[6]Livestock2005!#REF!</definedName>
    <definedName name="_77__123Graph_ACHART_61" hidden="1">[6]Livestock2005!#REF!</definedName>
    <definedName name="_771__123Graph_XCHART_144" hidden="1">[6]Livestock2005!#REF!</definedName>
    <definedName name="_774__123Graph_XCHART_145" hidden="1">[6]Livestock2005!#REF!</definedName>
    <definedName name="_777__123Graph_XCHART_146" hidden="1">[6]Livestock2005!#REF!</definedName>
    <definedName name="_7776__123Graph_BCHART_28" hidden="1">[6]Livestock2005!#REF!</definedName>
    <definedName name="_78__123Graph_ACHART_136" hidden="1">[6]Livestock2005!#REF!</definedName>
    <definedName name="_78__123Graph_ACHART_148" hidden="1">[6]Livestock2005!#REF!</definedName>
    <definedName name="_78__123Graph_ACHART_62" hidden="1">[6]Livestock2005!#REF!</definedName>
    <definedName name="_780__123Graph_XCHART_147" hidden="1">[6]Livestock2005!#REF!</definedName>
    <definedName name="_783__123Graph_XCHART_148" hidden="1">[6]Livestock2005!#REF!</definedName>
    <definedName name="_7830__123Graph_BCHART_36" hidden="1">[6]Livestock2005!#REF!</definedName>
    <definedName name="_786__123Graph_XCHART_149" hidden="1">[6]Livestock2005!#REF!</definedName>
    <definedName name="_789__123Graph_XCHART_15" hidden="1">[6]Livestock2005!#REF!</definedName>
    <definedName name="_79__123Graph_ACHART_68" hidden="1">[6]Livestock2005!#REF!</definedName>
    <definedName name="_792__123Graph_ACHART_142" hidden="1">[6]Livestock2005!#REF!</definedName>
    <definedName name="_792__123Graph_XCHART_150" hidden="1">[6]Livestock2005!#REF!</definedName>
    <definedName name="_795__123Graph_XCHART_151" hidden="1">[6]Livestock2005!#REF!</definedName>
    <definedName name="_798__123Graph_XCHART_152" hidden="1">[6]Livestock2005!#REF!</definedName>
    <definedName name="_8__123Graph_ACHART_101" hidden="1">[6]Livestock2005!#REF!</definedName>
    <definedName name="_8__123Graph_ACHART_11" hidden="1">[6]Livestock2005!#REF!</definedName>
    <definedName name="_80__123Graph_ACHART_149" hidden="1">[6]Livestock2005!#REF!</definedName>
    <definedName name="_80__123Graph_ACHART_69" hidden="1">[6]Livestock2005!#REF!</definedName>
    <definedName name="_801__123Graph_XCHART_153" hidden="1">[6]Livestock2005!#REF!</definedName>
    <definedName name="_804__123Graph_XCHART_154" hidden="1">[6]Livestock2005!#REF!</definedName>
    <definedName name="_8046__123Graph_BCHART_42" hidden="1">[6]Livestock2005!#REF!</definedName>
    <definedName name="_807__123Graph_XCHART_155" hidden="1">[6]Livestock2005!#REF!</definedName>
    <definedName name="_81__123Graph_ACHART_137" hidden="1">[6]Livestock2005!#REF!</definedName>
    <definedName name="_81__123Graph_ACHART_7" hidden="1">[6]Livestock2005!#REF!</definedName>
    <definedName name="_810__123Graph_ACHART_126" hidden="1">[6]Livestock2005!#REF!</definedName>
    <definedName name="_810__123Graph_XCHART_156" hidden="1">[6]Livestock2005!#REF!</definedName>
    <definedName name="_8100__123Graph_BCHART_43" hidden="1">[6]Livestock2005!#REF!</definedName>
    <definedName name="_813__123Graph_XCHART_16" hidden="1">[6]Livestock2005!#REF!</definedName>
    <definedName name="_816__123Graph_ACHART_143" hidden="1">[6]Livestock2005!#REF!</definedName>
    <definedName name="_816__123Graph_XCHART_17" hidden="1">[6]Livestock2005!#REF!</definedName>
    <definedName name="_819__123Graph_XCHART_18" hidden="1">[6]Livestock2005!#REF!</definedName>
    <definedName name="_82__123Graph_ACHART_15" hidden="1">[6]Livestock2005!#REF!</definedName>
    <definedName name="_82__123Graph_ACHART_70" hidden="1">[6]Livestock2005!#REF!</definedName>
    <definedName name="_8208__123Graph_BCHART_46" hidden="1">[6]Livestock2005!#REF!</definedName>
    <definedName name="_822__123Graph_XCHART_19" hidden="1">[6]Livestock2005!#REF!</definedName>
    <definedName name="_825__123Graph_XCHART_2" hidden="1">[6]Livestock2005!#REF!</definedName>
    <definedName name="_828__123Graph_XCHART_20" hidden="1">[6]Livestock2005!#REF!</definedName>
    <definedName name="_83__123Graph_ACHART_71" hidden="1">[6]Livestock2005!#REF!</definedName>
    <definedName name="_831__123Graph_XCHART_21" hidden="1">[6]Livestock2005!#REF!</definedName>
    <definedName name="_8316__123Graph_BCHART_52" hidden="1">[6]Livestock2005!#REF!</definedName>
    <definedName name="_834__123Graph_XCHART_22" hidden="1">[6]Livestock2005!#REF!</definedName>
    <definedName name="_837__123Graph_XCHART_23" hidden="1">[6]Livestock2005!#REF!</definedName>
    <definedName name="_8370__123Graph_BCHART_54" hidden="1">[6]Livestock2005!#REF!</definedName>
    <definedName name="_84__123Graph_ACHART_138" hidden="1">[6]Livestock2005!#REF!</definedName>
    <definedName name="_84__123Graph_ACHART_150" hidden="1">[6]Livestock2005!#REF!</definedName>
    <definedName name="_84__123Graph_ACHART_72" hidden="1">[6]Livestock2005!#REF!</definedName>
    <definedName name="_840__123Graph_ACHART_144" hidden="1">[6]Livestock2005!#REF!</definedName>
    <definedName name="_840__123Graph_XCHART_24" hidden="1">[6]Livestock2005!#REF!</definedName>
    <definedName name="_843__123Graph_XCHART_3" hidden="1">[6]Livestock2005!#REF!</definedName>
    <definedName name="_846__123Graph_XCHART_4" hidden="1">[6]Livestock2005!#REF!</definedName>
    <definedName name="_849__123Graph_XCHART_45" hidden="1">[6]Livestock2005!#REF!</definedName>
    <definedName name="_85__123Graph_ACHART_73" hidden="1">[6]Livestock2005!#REF!</definedName>
    <definedName name="_852__123Graph_XCHART_46" hidden="1">[6]Livestock2005!#REF!</definedName>
    <definedName name="_855__123Graph_XCHART_47" hidden="1">[6]Livestock2005!#REF!</definedName>
    <definedName name="_858__123Graph_XCHART_48" hidden="1">[6]Livestock2005!#REF!</definedName>
    <definedName name="_8586__123Graph_BCHART_65" hidden="1">[6]Livestock2005!#REF!</definedName>
    <definedName name="_86__123Graph_ACHART_151" hidden="1">[6]Livestock2005!#REF!</definedName>
    <definedName name="_86__123Graph_ACHART_74" hidden="1">[6]Livestock2005!#REF!</definedName>
    <definedName name="_861__123Graph_XCHART_49" hidden="1">[6]Livestock2005!#REF!</definedName>
    <definedName name="_864__123Graph_ACHART_127" hidden="1">[6]Livestock2005!#REF!</definedName>
    <definedName name="_864__123Graph_ACHART_145" hidden="1">[6]Livestock2005!#REF!</definedName>
    <definedName name="_864__123Graph_XCHART_5" hidden="1">[6]Livestock2005!#REF!</definedName>
    <definedName name="_8640__123Graph_BCHART_66" hidden="1">[6]Livestock2005!#REF!</definedName>
    <definedName name="_867__123Graph_XCHART_50" hidden="1">[6]Livestock2005!#REF!</definedName>
    <definedName name="_87__123Graph_ACHART_139" hidden="1">[6]Livestock2005!#REF!</definedName>
    <definedName name="_87__123Graph_ACHART_75" hidden="1">[6]Livestock2005!#REF!</definedName>
    <definedName name="_870__123Graph_XCHART_51" hidden="1">[6]Livestock2005!#REF!</definedName>
    <definedName name="_873__123Graph_XCHART_52" hidden="1">[6]Livestock2005!#REF!</definedName>
    <definedName name="_876__123Graph_XCHART_53" hidden="1">[6]Livestock2005!#REF!</definedName>
    <definedName name="_879__123Graph_XCHART_54" hidden="1">[6]Livestock2005!#REF!</definedName>
    <definedName name="_88__123Graph_ACHART_152" hidden="1">[6]Livestock2005!#REF!</definedName>
    <definedName name="_88__123Graph_ACHART_76" hidden="1">[6]Livestock2005!#REF!</definedName>
    <definedName name="_882__123Graph_XCHART_55" hidden="1">[6]Livestock2005!#REF!</definedName>
    <definedName name="_885__123Graph_XCHART_56" hidden="1">[6]Livestock2005!#REF!</definedName>
    <definedName name="_8856__123Graph_BCHART_74" hidden="1">[6]Livestock2005!#REF!</definedName>
    <definedName name="_888__123Graph_ACHART_146" hidden="1">[6]Livestock2005!#REF!</definedName>
    <definedName name="_888__123Graph_XCHART_57" hidden="1">[6]Livestock2005!#REF!</definedName>
    <definedName name="_89__123Graph_ACHART_77" hidden="1">[6]Livestock2005!#REF!</definedName>
    <definedName name="_891__123Graph_XCHART_58" hidden="1">[6]Livestock2005!#REF!</definedName>
    <definedName name="_8910__123Graph_BCHART_75" hidden="1">[6]Livestock2005!#REF!</definedName>
    <definedName name="_894__123Graph_XCHART_59" hidden="1">[6]Livestock2005!#REF!</definedName>
    <definedName name="_8964__123Graph_BCHART_76" hidden="1">[6]Livestock2005!#REF!</definedName>
    <definedName name="_897__123Graph_XCHART_6" hidden="1">[6]Livestock2005!#REF!</definedName>
    <definedName name="_9__123Graph_ACHART_100" hidden="1">[6]Livestock2005!#REF!</definedName>
    <definedName name="_9__123Graph_ACHART_110" hidden="1">[6]Livestock2005!#REF!</definedName>
    <definedName name="_90__123Graph_ACHART_14" hidden="1">[6]Livestock2005!#REF!</definedName>
    <definedName name="_90__123Graph_ACHART_153" hidden="1">[6]Livestock2005!#REF!</definedName>
    <definedName name="_90__123Graph_ACHART_78" hidden="1">[6]Livestock2005!#REF!</definedName>
    <definedName name="_900__123Graph_XCHART_62" hidden="1">[6]Livestock2005!#REF!</definedName>
    <definedName name="_903__123Graph_XCHART_68" hidden="1">[6]Livestock2005!#REF!</definedName>
    <definedName name="_906__123Graph_XCHART_69" hidden="1">[6]Livestock2005!#REF!</definedName>
    <definedName name="_909__123Graph_XCHART_70" hidden="1">[6]Livestock2005!#REF!</definedName>
    <definedName name="_91__123Graph_ACHART_8" hidden="1">[6]Livestock2005!#REF!</definedName>
    <definedName name="_912__123Graph_XCHART_71" hidden="1">[6]Livestock2005!#REF!</definedName>
    <definedName name="_9126__123Graph_BCHART_80" hidden="1">[6]Livestock2005!#REF!</definedName>
    <definedName name="_915__123Graph_XCHART_73" hidden="1">[6]Livestock2005!#REF!</definedName>
    <definedName name="_918__123Graph_XCHART_74" hidden="1">[6]Livestock2005!#REF!</definedName>
    <definedName name="_9180__123Graph_BCHART_81" hidden="1">[6]Livestock2005!#REF!</definedName>
    <definedName name="_92__123Graph_ACHART_154" hidden="1">[6]Livestock2005!#REF!</definedName>
    <definedName name="_92__123Graph_ACHART_80" hidden="1">[6]Livestock2005!#REF!</definedName>
    <definedName name="_921__123Graph_XCHART_75" hidden="1">[6]Livestock2005!#REF!</definedName>
    <definedName name="_924__123Graph_XCHART_76" hidden="1">[6]Livestock2005!#REF!</definedName>
    <definedName name="_927__123Graph_XCHART_77" hidden="1">[6]Livestock2005!#REF!</definedName>
    <definedName name="_93__123Graph_ACHART_81" hidden="1">[6]Livestock2005!#REF!</definedName>
    <definedName name="_933__123Graph_XCHART_80" hidden="1">[6]Livestock2005!#REF!</definedName>
    <definedName name="_936__123Graph_ACHART_148" hidden="1">[6]Livestock2005!#REF!</definedName>
    <definedName name="_936__123Graph_XCHART_81" hidden="1">[6]Livestock2005!#REF!</definedName>
    <definedName name="_939__123Graph_XCHART_82" hidden="1">[6]Livestock2005!#REF!</definedName>
    <definedName name="_9396__123Graph_BCHART_99" hidden="1">[6]Livestock2005!#REF!</definedName>
    <definedName name="_94__123Graph_ACHART_155" hidden="1">[6]Livestock2005!#REF!</definedName>
    <definedName name="_94__123Graph_ACHART_82" hidden="1">[6]Livestock2005!#REF!</definedName>
    <definedName name="_95__123Graph_ACHART_87" hidden="1">[6]Livestock2005!#REF!</definedName>
    <definedName name="_9558__123Graph_CCHART_20" hidden="1">[6]Livestock2005!#REF!</definedName>
    <definedName name="_96__123Graph_ACHART_141" hidden="1">[6]Livestock2005!#REF!</definedName>
    <definedName name="_96__123Graph_ACHART_156" hidden="1">[6]Livestock2005!#REF!</definedName>
    <definedName name="_96__123Graph_ACHART_89" hidden="1">[6]Livestock2005!#REF!</definedName>
    <definedName name="_960__123Graph_ACHART_149" hidden="1">[6]Livestock2005!#REF!</definedName>
    <definedName name="_97__123Graph_ACHART_9" hidden="1">[6]Livestock2005!#REF!</definedName>
    <definedName name="_98__123Graph_ACHART_16" hidden="1">[6]Livestock2005!#REF!</definedName>
    <definedName name="_98__123Graph_ACHART_90" hidden="1">[6]Livestock2005!#REF!</definedName>
    <definedName name="_99__123Graph_ACHART_142" hidden="1">[6]Livestock2005!#REF!</definedName>
    <definedName name="_99__123Graph_ACHART_94" hidden="1">[6]Livestock2005!#REF!</definedName>
    <definedName name="_DAT2">#REF!</definedName>
    <definedName name="_Dist_Bin" hidden="1">#REF!</definedName>
    <definedName name="_Dist_Values" hidden="1">#REF!</definedName>
    <definedName name="_Fill" hidden="1">#REF!</definedName>
    <definedName name="_FILL2" hidden="1">'[8]Evol.Mensal - 1º sem.'!#REF!</definedName>
    <definedName name="_xlnm._FilterDatabase" localSheetId="4" hidden="1">Avaliação!$A$1:$AI$1424</definedName>
    <definedName name="_xlnm._FilterDatabase" localSheetId="8" hidden="1">'BD Otimix'!$A$1:$AB$23571</definedName>
    <definedName name="_xlnm._FilterDatabase" localSheetId="1" hidden="1">'BD VOLUME'!$A$6:$AL$783</definedName>
    <definedName name="_xlnm._FilterDatabase" localSheetId="0" hidden="1">'COLAR PLANO'!$A$1:$K$431</definedName>
    <definedName name="_xlnm._FilterDatabase" localSheetId="7" hidden="1">'Input RM'!$A$1:$D$992</definedName>
    <definedName name="_xlnm._FilterDatabase" localSheetId="3" hidden="1">Preencher!$A$6:$A$1512</definedName>
    <definedName name="_xlnm._FilterDatabase" localSheetId="2" hidden="1">RESUMO!$A$1:$A$700</definedName>
    <definedName name="_xlnm._FilterDatabase" localSheetId="6" hidden="1">'BD Temp'!$A$221:$F$277</definedName>
    <definedName name="_Key1" hidden="1">#REF!</definedName>
    <definedName name="_Key2" hidden="1">#REF!</definedName>
    <definedName name="_m2" hidden="1">{"'Total'!$A$1","'Total'!$A$3"}</definedName>
    <definedName name="_M3" hidden="1">{"'Total'!$A$1","'Total'!$A$3"}</definedName>
    <definedName name="_Order1" hidden="1">255</definedName>
    <definedName name="_Order2" hidden="1">255</definedName>
    <definedName name="_r" hidden="1">{"MULTIPLICAÇÃO",#N/A,FALSE,"Obras"}</definedName>
    <definedName name="_Sort" hidden="1">#REF!</definedName>
    <definedName name="_SPF01" hidden="1">{"MULTIPLICAÇÃO",#N/A,FALSE,"Obras"}</definedName>
    <definedName name="_SPF02" hidden="1">{"MULTIPLICAÇÃO",#N/A,FALSE,"Obras"}</definedName>
    <definedName name="_UB2" hidden="1">{"MULTIPLICAÇÃO",#N/A,FALSE,"Obras"}</definedName>
    <definedName name="a" hidden="1">#REF!</definedName>
    <definedName name="AAA" hidden="1">{"'Total'!$A$1","'Total'!$A$3"}</definedName>
    <definedName name="aaaaa" hidden="1">{"'Total'!$A$1","'Total'!$A$3"}</definedName>
    <definedName name="aaaaaaaa">#N/A</definedName>
    <definedName name="aas" hidden="1">{"'Total'!$A$1","'Total'!$A$3"}</definedName>
    <definedName name="AB" hidden="1">{"'Total'!$A$1","'Total'!$A$3"}</definedName>
    <definedName name="Abril" hidden="1">{"'Total'!$A$1","'Total'!$A$3"}</definedName>
    <definedName name="aga" hidden="1">{"APOIO",#N/A,FALSE,"Obras"}</definedName>
    <definedName name="ale" hidden="1">{"'Total'!$A$1","'Total'!$A$3"}</definedName>
    <definedName name="all" hidden="1">{"'Total'!$A$1","'Total'!$A$3"}</definedName>
    <definedName name="alpha" hidden="1">{"'Total'!$A$1","'Total'!$A$3"}</definedName>
    <definedName name="alphaa" hidden="1">{"'Total'!$A$1","'Total'!$A$3"}</definedName>
    <definedName name="Ambie" hidden="1">{"'Total'!$A$1","'Total'!$A$3"}</definedName>
    <definedName name="Ambiencia1" hidden="1">{"'Total'!$A$1","'Total'!$A$3"}</definedName>
    <definedName name="ANA" hidden="1">{"'Total'!$A$1","'Total'!$A$3"}</definedName>
    <definedName name="anomal" hidden="1">{"'Total'!$A$1","'Total'!$A$3"}</definedName>
    <definedName name="anscount" hidden="1">3</definedName>
    <definedName name="APOIO" hidden="1">{"APOIO",#N/A,FALSE,"Obras"}</definedName>
    <definedName name="aq" hidden="1">[6]Livestock2005!#REF!</definedName>
    <definedName name="ar" hidden="1">{"'Total'!$A$1","'Total'!$A$3"}</definedName>
    <definedName name="AS" hidden="1">{"'TG'!$A$1:$L$37"}</definedName>
    <definedName name="AS2DocOpenMode" hidden="1">"AS2DocumentEdit"</definedName>
    <definedName name="asdf" hidden="1">{"'Total'!$A$1","'Total'!$A$3"}</definedName>
    <definedName name="asds">'[1]result-mi'!#REF!</definedName>
    <definedName name="askadlakdla" hidden="1">{"AVÓS",#N/A,FALSE,"Obras"}</definedName>
    <definedName name="asokdhua" hidden="1">{"MATRIZES",#N/A,FALSE,"Obras"}</definedName>
    <definedName name="Atualizacao_Variacao">#N/A</definedName>
    <definedName name="automatico" hidden="1">{"MULTIPLICAÇÃO",#N/A,FALSE,"Obras"}</definedName>
    <definedName name="az" hidden="1">{"MULTIPLICAÇÃO",#N/A,FALSE,"Obras"}</definedName>
    <definedName name="b" hidden="1">{"'Total'!$A$1","'Total'!$A$3"}</definedName>
    <definedName name="BALANCAS1" hidden="1">{"AVÓS",#N/A,FALSE,"Obras"}</definedName>
    <definedName name="balancas2" hidden="1">{"AVÓS",#N/A,FALSE,"Obras"}</definedName>
    <definedName name="BALANÇAS2" hidden="1">{"MATRIZES",#N/A,FALSE,"Obras"}</definedName>
    <definedName name="base">#REF!</definedName>
    <definedName name="Base_Precos">#REF!</definedName>
    <definedName name="Base_Rendimento">#REF!</definedName>
    <definedName name="Bazi" hidden="1">{"MULTIPLICAÇÃO",#N/A,FALSE,"Obras"}</definedName>
    <definedName name="bbb" hidden="1">[6]Livestock2005!#REF!</definedName>
    <definedName name="beta" hidden="1">{"'Total'!$A$1","'Total'!$A$3"}</definedName>
    <definedName name="bh" hidden="1">{"MATRIZES",#N/A,FALSE,"Obras"}</definedName>
    <definedName name="BLPH1" hidden="1">'[9]historico mensal fechamento'!#REF!</definedName>
    <definedName name="BLPH10" hidden="1">#REF!</definedName>
    <definedName name="BLPH11" hidden="1">#REF!</definedName>
    <definedName name="BLPH12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'[9]historico mensal fechamento'!#REF!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3" hidden="1">#REF!</definedName>
    <definedName name="BLPH4" hidden="1">'[10]Historical Prices - C Bond'!#REF!</definedName>
    <definedName name="BLPH5" hidden="1">'[10]Historical Prices - C Bond'!#REF!</definedName>
    <definedName name="BLPH6" hidden="1">#REF!</definedName>
    <definedName name="BLPH7" hidden="1">#REF!</definedName>
    <definedName name="BLPH8" hidden="1">#REF!</definedName>
    <definedName name="BLPH9" hidden="1">'[10]Historical Prices - C Bond'!#REF!</definedName>
    <definedName name="bn" hidden="1">{"MULTIPLICAÇÃO",#N/A,FALSE,"Obras"}</definedName>
    <definedName name="bombacloroproj08" hidden="1">{"MULTIPLICAÇÃO",#N/A,FALSE,"Obras"}</definedName>
    <definedName name="Cad_Fam">#REF!</definedName>
    <definedName name="Carambei">[11]base!$CH$3:$CL$560</definedName>
    <definedName name="cash" hidden="1">{#N/A,#N/A,TRUE,"Consolidado";#N/A,#N/A,TRUE,"Laticínios";#N/A,#N/A,TRUE,"Frangos";#N/A,#N/A,TRUE,"Suínos";#N/A,#N/A,TRUE,"Peru";#N/A,#N/A,TRUE,"Carnes";#N/A,#N/A,TRUE,"Suco";#N/A,#N/A,TRUE,"Batata"}</definedName>
    <definedName name="cbi">#REF!</definedName>
    <definedName name="cc" hidden="1">{"'Total'!$A$1","'Total'!$A$3"}</definedName>
    <definedName name="ccc" hidden="1">{"AVÓS",#N/A,FALSE,"Obras"}</definedName>
    <definedName name="cccc" hidden="1">{"'Total'!$A$1","'Total'!$A$3"}</definedName>
    <definedName name="CD" hidden="1">{"'Total'!$A$1","'Total'!$A$3"}</definedName>
    <definedName name="celta" hidden="1">{"'Total'!$A$1","'Total'!$A$3"}</definedName>
    <definedName name="Claudio" hidden="1">{"MATRIZES",#N/A,FALSE,"Obras"}</definedName>
    <definedName name="comed" hidden="1">{"MULTIPLICAÇÃO",#N/A,FALSE,"Obras"}</definedName>
    <definedName name="COMEDOURO" hidden="1">{"MULTIPLICAÇÃO",#N/A,FALSE,"Obras"}</definedName>
    <definedName name="comedouros" hidden="1">{"MULTIPLICAÇÃO",#N/A,FALSE,"Obras"}</definedName>
    <definedName name="Conclusão" hidden="1">{"'Total'!$A$1","'Total'!$A$3"}</definedName>
    <definedName name="cpz">#REF!</definedName>
    <definedName name="cronograma" hidden="1">{"MULTIPLICAÇÃO",#N/A,FALSE,"Obras"}</definedName>
    <definedName name="cv" hidden="1">{"AVÓS",#N/A,FALSE,"Obras"}</definedName>
    <definedName name="dad" hidden="1">{"AVÓS",#N/A,FALSE,"Obras"}</definedName>
    <definedName name="ddd" hidden="1">{#N/A,#N/A,TRUE,"Consolidado";#N/A,#N/A,TRUE,"Laticínios";#N/A,#N/A,TRUE,"Frangos";#N/A,#N/A,TRUE,"Suínos";#N/A,#N/A,TRUE,"Peru";#N/A,#N/A,TRUE,"Carnes";#N/A,#N/A,TRUE,"Suco";#N/A,#N/A,TRUE,"Batata"}</definedName>
    <definedName name="devers2">[12]MêsBase!$A$2:$Q$64</definedName>
    <definedName name="DFHDH" hidden="1">#REF!</definedName>
    <definedName name="Diaria" hidden="1">{"'Total'!$A$1","'Total'!$A$3"}</definedName>
    <definedName name="Divers">[13]MêsBase!$A$2:$Q$64</definedName>
    <definedName name="dm" hidden="1">{"APOIO",#N/A,FALSE,"Obras"}</definedName>
    <definedName name="ds" hidden="1">{"MULTIPLICAÇÃO",#N/A,FALSE,"Obras"}</definedName>
    <definedName name="dsa" hidden="1">{"MULTIPLICAÇÃO",#N/A,FALSE,"Obras"}</definedName>
    <definedName name="dsb" hidden="1">{"MULTIPLICAÇÃO",#N/A,FALSE,"Obras"}</definedName>
    <definedName name="dsdsd">'[1]result-mi'!#REF!</definedName>
    <definedName name="dsfdsdsfg">'[1]result-mi'!#REF!</definedName>
    <definedName name="ea" hidden="1">{"AVÓS",#N/A,FALSE,"Obras"}</definedName>
    <definedName name="Elicoide" hidden="1">{"MULTIPLICAÇÃO",#N/A,FALSE,"Obras"}</definedName>
    <definedName name="EMBALAGEM" hidden="1">{"MULTIPLICAÇÃO",#N/A,FALSE,"Obras"}</definedName>
    <definedName name="er" hidden="1">{"MULTIPLICAÇÃO",#N/A,FALSE,"Obras"}</definedName>
    <definedName name="ESTEI01" hidden="1">{"MULTIPLICAÇÃO",#N/A,FALSE,"Obras"}</definedName>
    <definedName name="ESTEI02" hidden="1">{"AVÓS",#N/A,FALSE,"Obras"}</definedName>
    <definedName name="ESTEIR02" hidden="1">{"MULTIPLICAÇÃO",#N/A,FALSE,"Obras"}</definedName>
    <definedName name="ESTEIRA" hidden="1">{"MULTIPLICAÇÃO",#N/A,FALSE,"Obras"}</definedName>
    <definedName name="ESTEIRA01" hidden="1">{"MELHORAMENTO GENÉTICO",#N/A,FALSE,"Obras"}</definedName>
    <definedName name="esteira02" hidden="1">{"MELHORAMENTO GENÉTICO",#N/A,FALSE,"Obras"}</definedName>
    <definedName name="ESTEIRA1" hidden="1">{"AVÓS",#N/A,FALSE,"Obras"}</definedName>
    <definedName name="ew" hidden="1">{"MULTIPLICAÇÃO",#N/A,FALSE,"Obras"}</definedName>
    <definedName name="f">#N/A</definedName>
    <definedName name="fdase" hidden="1">[6]Livestock2005!#REF!</definedName>
    <definedName name="fff" hidden="1">{"'Total'!$A$1","'Total'!$A$3"}</definedName>
    <definedName name="ffv" hidden="1">{"'Total'!$A$1","'Total'!$A$3"}</definedName>
    <definedName name="fg" hidden="1">{"MULTIPLICAÇÃO",#N/A,FALSE,"Obras"}</definedName>
    <definedName name="fgdsgsdfgsdgsg" hidden="1">{"AVÓS",#N/A,FALSE,"Obras"}</definedName>
    <definedName name="frfsd">'[1]result-mi'!#REF!</definedName>
    <definedName name="Fx_manut2" hidden="1">{"AVÓS",#N/A,FALSE,"Obras"}</definedName>
    <definedName name="g" hidden="1">{"MULTIPLICAÇÃO",#N/A,FALSE,"Obras"}</definedName>
    <definedName name="gb" hidden="1">{"MULTIPLICAÇÃO",#N/A,FALSE,"Obras"}</definedName>
    <definedName name="gdrtgdr" hidden="1">[6]Livestock2005!#REF!</definedName>
    <definedName name="ge" hidden="1">{"MULTIPLICAÇÃO",#N/A,FALSE,"Obras"}</definedName>
    <definedName name="gerenciador" hidden="1">{"AVÓS",#N/A,FALSE,"Obras"}</definedName>
    <definedName name="gg" hidden="1">{"AVÓS",#N/A,FALSE,"Obras"}</definedName>
    <definedName name="ggg" hidden="1">{"'Total'!$A$1","'Total'!$A$3"}</definedName>
    <definedName name="ghju" hidden="1">{"'Total'!$A$1","'Total'!$A$3"}</definedName>
    <definedName name="ghsdhsd" hidden="1">{"MULTIPLICAÇÃO",#N/A,FALSE,"Obras"}</definedName>
    <definedName name="GRA" hidden="1">{"'Total'!$A$1","'Total'!$A$3"}</definedName>
    <definedName name="GRÁFICO" hidden="1">{"'Total'!$A$1","'Total'!$A$3"}</definedName>
    <definedName name="H" hidden="1">{"'Total'!$A$1","'Total'!$A$3"}</definedName>
    <definedName name="hh" hidden="1">{"MULTIPLICAÇÃO",#N/A,FALSE,"Obras"}</definedName>
    <definedName name="hjdh" hidden="1">{"MATRIZES",#N/A,FALSE,"Obras"}</definedName>
    <definedName name="hm" hidden="1">{"AVÓS",#N/A,FALSE,"Obras"}</definedName>
    <definedName name="HTML_CodePage" hidden="1">1252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hy" hidden="1">{"MULTIPLICAÇÃO",#N/A,FALSE,"Obras"}</definedName>
    <definedName name="IC" hidden="1">{"'Total'!$A$1","'Total'!$A$3"}</definedName>
    <definedName name="IC_06" hidden="1">{"'Total'!$A$1","'Total'!$A$3"}</definedName>
    <definedName name="ik" hidden="1">{"MULTIPLICAÇÃO",#N/A,FALSE,"Obras"}</definedName>
    <definedName name="Imprime_corrigido">#N/A</definedName>
    <definedName name="IMPRIME2">#N/A</definedName>
    <definedName name="j" hidden="1">{"'Total'!$A$1","'Total'!$A$3"}</definedName>
    <definedName name="JD" hidden="1">{"'Total'!$A$1","'Total'!$A$3"}</definedName>
    <definedName name="jdk" hidden="1">{"'Total'!$A$1","'Total'!$A$3"}</definedName>
    <definedName name="jdklaSHDLKSHDLKA" hidden="1">{"MULTIPLICAÇÃO",#N/A,FALSE,"Obras"}</definedName>
    <definedName name="je" hidden="1">{"'Total'!$A$1","'Total'!$A$3"}</definedName>
    <definedName name="jesus" hidden="1">{"'Total'!$A$1","'Total'!$A$3"}</definedName>
    <definedName name="jg" hidden="1">{"MATRIZES",#N/A,FALSE,"Obras"}</definedName>
    <definedName name="jjk" hidden="1">{"'Total'!$A$1","'Total'!$A$3"}</definedName>
    <definedName name="JOAO" hidden="1">{"AVÓS",#N/A,FALSE,"Obras"}</definedName>
    <definedName name="JOSE" hidden="1">{"'Total'!$A$1","'Total'!$A$3"}</definedName>
    <definedName name="Junho">'[1]result-mi'!#REF!</definedName>
    <definedName name="JUUJ" hidden="1">[6]Livestock2005!#REF!</definedName>
    <definedName name="k" hidden="1">{"MULTIPLICAÇÃO",#N/A,FALSE,"Obras"}</definedName>
    <definedName name="ka" hidden="1">{"MATRIZES",#N/A,FALSE,"Obras"}</definedName>
    <definedName name="kelly" hidden="1">{"'Total'!$A$1","'Total'!$A$3"}</definedName>
    <definedName name="KSLAL" hidden="1">{"MELHORAMENTO GENÉTICO",#N/A,FALSE,"Obras"}</definedName>
    <definedName name="Laudo" hidden="1">{"APOIO",#N/A,FALSE,"Obras"}</definedName>
    <definedName name="limcount" hidden="1">3</definedName>
    <definedName name="LLL" hidden="1">{"MULTIPLICAÇÃO",#N/A,FALSE,"Obras"}</definedName>
    <definedName name="Local_Plan_ME">#N/A</definedName>
    <definedName name="ma" hidden="1">{"MATRIZES",#N/A,FALSE,"Obras"}</definedName>
    <definedName name="Macedo" hidden="1">{"AVÓS",#N/A,FALSE,"Obras"}</definedName>
    <definedName name="márcio" hidden="1">{"'Total'!$A$1","'Total'!$A$3"}</definedName>
    <definedName name="Matrizes" hidden="1">{"MATRIZES",#N/A,FALSE,"Obras"}</definedName>
    <definedName name="MENU">'[1]result-mi'!#REF!</definedName>
    <definedName name="mh" hidden="1">{"MULTIPLICAÇÃO",#N/A,FALSE,"Obras"}</definedName>
    <definedName name="mj" hidden="1">{"MELHORAMENTO GENÉTICO",#N/A,FALSE,"Obras"}</definedName>
    <definedName name="Módulo1.Local_Plan_ME">#N/A</definedName>
    <definedName name="Módulo1.Ocultar">#N/A</definedName>
    <definedName name="motor" hidden="1">{"MULTIPLICAÇÃO",#N/A,FALSE,"Obras"}</definedName>
    <definedName name="mrua">#REF!</definedName>
    <definedName name="mrus">#REF!</definedName>
    <definedName name="nn" hidden="1">{"MULTIPLICAÇÃO",#N/A,FALSE,"Obras"}</definedName>
    <definedName name="notas_3" hidden="1">{"'Total'!$A$1","'Total'!$A$3"}</definedName>
    <definedName name="Novo" hidden="1">{"APOIO",#N/A,FALSE,"Obras"}</definedName>
    <definedName name="nt" hidden="1">{"MELHORAMENTO GENÉTICO",#N/A,FALSE,"Obras"}</definedName>
    <definedName name="nu" hidden="1">{"AVÓS",#N/A,FALSE,"Obras"}</definedName>
    <definedName name="NvsASD">"V2001-12-31"</definedName>
    <definedName name="NvsAutoDrillOk">"VN"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A" hidden="1">{"MULTIPLICAÇÃO",#N/A,FALSE,"Obras"}</definedName>
    <definedName name="obras" hidden="1">{"MULTIPLICAÇÃO",#N/A,FALSE,"Obras"}</definedName>
    <definedName name="OBRAS_FAB_RAC" hidden="1">{"MULTIPLICAÇÃO",#N/A,FALSE,"Obras"}</definedName>
    <definedName name="OBRAS_FAB_RAC_UDIA" hidden="1">{"MULTIPLICAÇÃO",#N/A,FALSE,"Obras"}</definedName>
    <definedName name="Ocultar">#N/A</definedName>
    <definedName name="ooo" hidden="1">{#N/A,#N/A,TRUE,"Consolidado";#N/A,#N/A,TRUE,"Laticínios";#N/A,#N/A,TRUE,"Frangos";#N/A,#N/A,TRUE,"Suínos";#N/A,#N/A,TRUE,"Peru";#N/A,#N/A,TRUE,"Carnes";#N/A,#N/A,TRUE,"Suco";#N/A,#N/A,TRUE,"Batata"}</definedName>
    <definedName name="OTIF" hidden="1">{"'Total'!$A$1","'Total'!$A$3"}</definedName>
    <definedName name="pd." hidden="1">{"MULTIPLICAÇÃO",#N/A,FALSE,"Obras"}</definedName>
    <definedName name="pd.." hidden="1">{"MATRIZES",#N/A,FALSE,"Obras"}</definedName>
    <definedName name="pd..." hidden="1">{"MULTIPLICAÇÃO",#N/A,FALSE,"Obras"}</definedName>
    <definedName name="Pdca" hidden="1">{"MULTIPLICAÇÃO",#N/A,FALSE,"Obras"}</definedName>
    <definedName name="Pdca." hidden="1">{"MULTIPLICAÇÃO",#N/A,FALSE,"Obras"}</definedName>
    <definedName name="Pdca.." hidden="1">{"APOIO",#N/A,FALSE,"Obras"}</definedName>
    <definedName name="pdca...." hidden="1">{"MULTIPLICAÇÃO",#N/A,FALSE,"Obras"}</definedName>
    <definedName name="PDCA1" hidden="1">{"MATRIZES",#N/A,FALSE,"Obras"}</definedName>
    <definedName name="Perdas" hidden="1">{"'Total'!$A$1","'Total'!$A$3"}</definedName>
    <definedName name="pppp" hidden="1">{"'Total'!$A$1","'Total'!$A$3"}</definedName>
    <definedName name="PPPPP" hidden="1">{"AVÓS",#N/A,FALSE,"Obras"}</definedName>
    <definedName name="preço">[11]base!$A$3:$F$4003</definedName>
    <definedName name="Proj" hidden="1">{"MATRIZES",#N/A,FALSE,"Obras"}</definedName>
    <definedName name="q" hidden="1">{"MELHORAMENTO GENÉTICO",#N/A,FALSE,"Obras"}</definedName>
    <definedName name="Raimundo" hidden="1">{"APOIO",#N/A,FALSE,"Obras"}</definedName>
    <definedName name="re" hidden="1">{"MULTIPLICAÇÃO",#N/A,FALSE,"Obras"}</definedName>
    <definedName name="rebocco" hidden="1">{"AVÓS",#N/A,FALSE,"Obras"}</definedName>
    <definedName name="reertrtete" hidden="1">[6]Livestock2005!#REF!</definedName>
    <definedName name="RESACUM">#REF!</definedName>
    <definedName name="RESMES">#REF!</definedName>
    <definedName name="retret" hidden="1">[6]Livestock2005!#REF!</definedName>
    <definedName name="rr" hidden="1">{"AVÓS",#N/A,FALSE,"Obras"}</definedName>
    <definedName name="rre">'[1]result-mi'!#REF!</definedName>
    <definedName name="rt" hidden="1">{"APOIO",#N/A,FALSE,"Obras"}</definedName>
    <definedName name="rtyu" hidden="1">{"'Total'!$A$1","'Total'!$A$3"}</definedName>
    <definedName name="rveA">#REF!</definedName>
    <definedName name="rveS">#REF!</definedName>
    <definedName name="sad" hidden="1">{"'Total'!$A$1","'Total'!$A$3"}</definedName>
    <definedName name="sadsr" hidden="1">{"AVÓS",#N/A,FALSE,"Obras"}</definedName>
    <definedName name="SAPBEXrevision" hidden="1">2</definedName>
    <definedName name="SAPBEXsysID" hidden="1">"BWP"</definedName>
    <definedName name="SAPBEXwbID" hidden="1">"43IN6CO28VRR6BX9W1FP6Y0CZ"</definedName>
    <definedName name="sas" hidden="1">{"'Total'!$A$1","'Total'!$A$3"}</definedName>
    <definedName name="sasd" hidden="1">{"'Total'!$A$1","'Total'!$A$3"}</definedName>
    <definedName name="sdfg" hidden="1">{"'Total'!$A$1","'Total'!$A$3"}</definedName>
    <definedName name="SDGSD" hidden="1">#REF!</definedName>
    <definedName name="sencount" hidden="1">3</definedName>
    <definedName name="SIG_LngApp" hidden="1">[14]SIG_LANGUE!$A$2</definedName>
    <definedName name="sigma" hidden="1">{"'Total'!$A$1","'Total'!$A$3"}</definedName>
    <definedName name="SILVERIO" hidden="1">{"'Total'!$A$1","'Total'!$A$3"}</definedName>
    <definedName name="Sispec">[15]Sispec!$A$1:$M$65536</definedName>
    <definedName name="Sispec99">[16]Sispec99!$A$1:$M$65536</definedName>
    <definedName name="SispecPSAP">[17]SispecPSAP!$A$1:$M$65536</definedName>
    <definedName name="SSSSS" hidden="1">{"'Total'!$A$1","'Total'!$A$3"}</definedName>
    <definedName name="t" hidden="1">{"MULTIPLICAÇÃO",#N/A,FALSE,"Obras"}</definedName>
    <definedName name="TabEmp">[16]Tabelas!$A$1:$C$74</definedName>
    <definedName name="te" hidden="1">{"MELHORAMENTO GENÉTICO",#N/A,FALSE,"Obras"}</definedName>
    <definedName name="TFRIG">'[1]result-mi'!#REF!</definedName>
    <definedName name="TNFRIG">'[1]result-mi'!#REF!</definedName>
    <definedName name="TNPIN">'[1]result-mi'!#REF!</definedName>
    <definedName name="TPIN">'[1]result-mi'!#REF!</definedName>
    <definedName name="tr" hidden="1">{"MELHORAMENTO GENÉTICO",#N/A,FALSE,"Obras"}</definedName>
    <definedName name="Tratorito" hidden="1">{"MATRIZES",#N/A,FALSE,"Obras"}</definedName>
    <definedName name="tratoritos" hidden="1">{"AVÓS",#N/A,FALSE,"Obras"}</definedName>
    <definedName name="tterttret" hidden="1">[6]Livestock2005!#REF!</definedName>
    <definedName name="ULMA" hidden="1">{"MULTIPLICAÇÃO",#N/A,FALSE,"Obras"}</definedName>
    <definedName name="ut" hidden="1">{"MATRIZES",#N/A,FALSE,"Obras"}</definedName>
    <definedName name="v" hidden="1">{"MATRIZES",#N/A,FALSE,"Obras"}</definedName>
    <definedName name="valderes" hidden="1">{"AVÓS",#N/A,FALSE,"Obras"}</definedName>
    <definedName name="valderez" hidden="1">{"MULTIPLICAÇÃO",#N/A,FALSE,"Obras"}</definedName>
    <definedName name="vdaA">#REF!</definedName>
    <definedName name="vdaS">#REF!</definedName>
    <definedName name="ventiladores" hidden="1">{"MULTIPLICAÇÃO",#N/A,FALSE,"Obras"}</definedName>
    <definedName name="vilto" hidden="1">{"MATRIZES",#N/A,FALSE,"Obras"}</definedName>
    <definedName name="vinicius" hidden="1">{"'Total'!$A$1","'Total'!$A$3"}</definedName>
    <definedName name="w" hidden="1">{"APOIO",#N/A,FALSE,"Obras"}</definedName>
    <definedName name="wrn.Aging._.and._.Trend._.Analysis." hidden="1">{#N/A,#N/A,FALSE,"Aging Summary";#N/A,#N/A,FALSE,"Ratio Analysis";#N/A,#N/A,FALSE,"Test 120 Day Accts";#N/A,#N/A,FALSE,"Tickmarks"}</definedName>
    <definedName name="wrn.APOIO." hidden="1">{"APOIO",#N/A,FALSE,"Obras"}</definedName>
    <definedName name="wrn.AVÓS." hidden="1">{"AVÓS",#N/A,FALSE,"Obras"}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MATRIZES." hidden="1">{"MATRIZES",#N/A,FALSE,"Obras"}</definedName>
    <definedName name="wrn.MELHORAMENTO._.GENÉTICO." hidden="1">{"MELHORAMENTO GENÉTICO",#N/A,FALSE,"Obras"}</definedName>
    <definedName name="wrn.MULTIPLICAÇÃO." hidden="1">{"MULTIPLICAÇÃO",#N/A,FALSE,"Obras"}</definedName>
    <definedName name="wrn.SPF." hidden="1">{"APOIO",#N/A,FALSE,"Obras"}</definedName>
    <definedName name="xls" hidden="1">{"AVÓS",#N/A,FALSE,"Obras"}</definedName>
    <definedName name="xxx" hidden="1">{"MULTIPLICAÇÃO",#N/A,FALSE,"Obras"}</definedName>
    <definedName name="xxxx" hidden="1">{"'Total'!$A$1","'Total'!$A$3"}</definedName>
    <definedName name="yr" hidden="1">{"MATRIZES",#N/A,FALSE,"Obras"}</definedName>
    <definedName name="ytry" hidden="1">[6]Livestock2005!#REF!</definedName>
    <definedName name="yy" hidden="1">{"AVÓS",#N/A,FALSE,"Obras"}</definedName>
    <definedName name="z" hidden="1">{"APOIO",#N/A,FALSE,"Obras"}</definedName>
    <definedName name="Z_F2145668_4090_4220_8C3C_9C4DCC7A01D1_.wvu.Cols" hidden="1">#REF!</definedName>
    <definedName name="Z_F2145668_4090_4220_8C3C_9C4DCC7A01D1_.wvu.FilterData" hidden="1">#REF!</definedName>
  </definedNames>
  <calcPr calcId="191028" iterateCount="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9" l="1"/>
  <c r="E4" i="19"/>
  <c r="D8" i="20"/>
  <c r="F679" i="19"/>
  <c r="F680" i="19"/>
  <c r="F8" i="19"/>
  <c r="F9" i="19"/>
  <c r="F10" i="19"/>
  <c r="F11" i="19"/>
  <c r="D13" i="20"/>
  <c r="F12" i="19"/>
  <c r="F13" i="19"/>
  <c r="F14" i="19"/>
  <c r="F15" i="19"/>
  <c r="F16" i="19"/>
  <c r="F17" i="19"/>
  <c r="F22" i="19"/>
  <c r="D9" i="20"/>
  <c r="F23" i="19"/>
  <c r="F24" i="19"/>
  <c r="F25" i="19"/>
  <c r="F26" i="19"/>
  <c r="F27" i="19"/>
  <c r="F28" i="19"/>
  <c r="F29" i="19"/>
  <c r="F30" i="19"/>
  <c r="F31" i="19"/>
  <c r="D10" i="20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D15" i="20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D2" i="20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D3" i="20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D18" i="20"/>
  <c r="F307" i="19"/>
  <c r="D19" i="20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4" i="19"/>
  <c r="D28" i="20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D20" i="20"/>
  <c r="F384" i="19"/>
  <c r="F385" i="19"/>
  <c r="F386" i="19"/>
  <c r="F387" i="19"/>
  <c r="F388" i="19"/>
  <c r="F389" i="19"/>
  <c r="F390" i="19"/>
  <c r="F391" i="19"/>
  <c r="F392" i="19"/>
  <c r="F393" i="19"/>
  <c r="F394" i="19"/>
  <c r="F395" i="19"/>
  <c r="F396" i="19"/>
  <c r="F397" i="19"/>
  <c r="F398" i="19"/>
  <c r="F399" i="19"/>
  <c r="F400" i="19"/>
  <c r="F401" i="19"/>
  <c r="F402" i="19"/>
  <c r="F403" i="19"/>
  <c r="F404" i="19"/>
  <c r="D17" i="20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24" i="19"/>
  <c r="F425" i="19"/>
  <c r="F426" i="19"/>
  <c r="F427" i="19"/>
  <c r="F429" i="19"/>
  <c r="F430" i="19"/>
  <c r="F431" i="19"/>
  <c r="F432" i="19"/>
  <c r="F433" i="19"/>
  <c r="F434" i="19"/>
  <c r="F435" i="19"/>
  <c r="D11" i="20"/>
  <c r="F439" i="19"/>
  <c r="F440" i="19"/>
  <c r="F441" i="19"/>
  <c r="F442" i="19"/>
  <c r="F443" i="19"/>
  <c r="F444" i="19"/>
  <c r="F445" i="19"/>
  <c r="F446" i="19"/>
  <c r="F447" i="19"/>
  <c r="F448" i="19"/>
  <c r="F449" i="19"/>
  <c r="F450" i="19"/>
  <c r="F451" i="19"/>
  <c r="F452" i="19"/>
  <c r="F453" i="19"/>
  <c r="F454" i="19"/>
  <c r="F455" i="19"/>
  <c r="F456" i="19"/>
  <c r="F457" i="19"/>
  <c r="D12" i="20"/>
  <c r="F458" i="19"/>
  <c r="F459" i="19"/>
  <c r="F460" i="19"/>
  <c r="F461" i="19"/>
  <c r="F462" i="19"/>
  <c r="F463" i="19"/>
  <c r="F464" i="19"/>
  <c r="F465" i="19"/>
  <c r="F466" i="19"/>
  <c r="F467" i="19"/>
  <c r="F468" i="19"/>
  <c r="F469" i="19"/>
  <c r="F470" i="19"/>
  <c r="F473" i="19"/>
  <c r="F474" i="19"/>
  <c r="D24" i="20"/>
  <c r="F475" i="19"/>
  <c r="D23" i="20"/>
  <c r="F476" i="19"/>
  <c r="F477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D22" i="20"/>
  <c r="F500" i="19"/>
  <c r="F501" i="19"/>
  <c r="F502" i="19"/>
  <c r="F503" i="19"/>
  <c r="F504" i="19"/>
  <c r="F505" i="19"/>
  <c r="F506" i="19"/>
  <c r="F507" i="19"/>
  <c r="F508" i="19"/>
  <c r="F509" i="19"/>
  <c r="F510" i="19"/>
  <c r="F511" i="19"/>
  <c r="F512" i="19"/>
  <c r="F513" i="19"/>
  <c r="F514" i="19"/>
  <c r="F515" i="19"/>
  <c r="F516" i="19"/>
  <c r="F517" i="19"/>
  <c r="F518" i="19"/>
  <c r="F519" i="19"/>
  <c r="F520" i="19"/>
  <c r="F521" i="19"/>
  <c r="F522" i="19"/>
  <c r="F523" i="19"/>
  <c r="F524" i="19"/>
  <c r="F525" i="19"/>
  <c r="F526" i="19"/>
  <c r="F527" i="19"/>
  <c r="F528" i="19"/>
  <c r="F529" i="19"/>
  <c r="F530" i="19"/>
  <c r="F531" i="19"/>
  <c r="F532" i="19"/>
  <c r="F533" i="19"/>
  <c r="F534" i="19"/>
  <c r="F535" i="19"/>
  <c r="F536" i="19"/>
  <c r="F537" i="19"/>
  <c r="F538" i="19"/>
  <c r="F539" i="19"/>
  <c r="F540" i="19"/>
  <c r="F541" i="19"/>
  <c r="F542" i="19"/>
  <c r="F543" i="19"/>
  <c r="F544" i="19"/>
  <c r="F545" i="19"/>
  <c r="F546" i="19"/>
  <c r="F547" i="19"/>
  <c r="F548" i="19"/>
  <c r="F549" i="19"/>
  <c r="F550" i="19"/>
  <c r="F551" i="19"/>
  <c r="F552" i="19"/>
  <c r="F553" i="19"/>
  <c r="F554" i="19"/>
  <c r="F555" i="19"/>
  <c r="F556" i="19"/>
  <c r="F557" i="19"/>
  <c r="F558" i="19"/>
  <c r="F559" i="19"/>
  <c r="F560" i="19"/>
  <c r="F561" i="19"/>
  <c r="F562" i="19"/>
  <c r="F563" i="19"/>
  <c r="F564" i="19"/>
  <c r="F565" i="19"/>
  <c r="F566" i="19"/>
  <c r="F567" i="19"/>
  <c r="F568" i="19"/>
  <c r="F569" i="19"/>
  <c r="F570" i="19"/>
  <c r="F571" i="19"/>
  <c r="F572" i="19"/>
  <c r="F573" i="19"/>
  <c r="F574" i="19"/>
  <c r="F575" i="19"/>
  <c r="F576" i="19"/>
  <c r="F577" i="19"/>
  <c r="D26" i="20"/>
  <c r="F578" i="19"/>
  <c r="F579" i="19"/>
  <c r="F580" i="19"/>
  <c r="F581" i="19"/>
  <c r="F582" i="19"/>
  <c r="F583" i="19"/>
  <c r="F584" i="19"/>
  <c r="F585" i="19"/>
  <c r="F586" i="19"/>
  <c r="F587" i="19"/>
  <c r="F588" i="19"/>
  <c r="F589" i="19"/>
  <c r="F590" i="19"/>
  <c r="F591" i="19"/>
  <c r="D25" i="20"/>
  <c r="F592" i="19"/>
  <c r="F593" i="19"/>
  <c r="F594" i="19"/>
  <c r="F595" i="19"/>
  <c r="F596" i="19"/>
  <c r="F599" i="19"/>
  <c r="F600" i="19"/>
  <c r="F601" i="19"/>
  <c r="F602" i="19"/>
  <c r="F603" i="19"/>
  <c r="F604" i="19"/>
  <c r="F605" i="19"/>
  <c r="F606" i="19"/>
  <c r="D4" i="20"/>
  <c r="F607" i="19"/>
  <c r="F608" i="19"/>
  <c r="F609" i="19"/>
  <c r="F610" i="19"/>
  <c r="F611" i="19"/>
  <c r="F612" i="19"/>
  <c r="F613" i="19"/>
  <c r="F614" i="19"/>
  <c r="F615" i="19"/>
  <c r="F616" i="19"/>
  <c r="F617" i="19"/>
  <c r="D5" i="20"/>
  <c r="F618" i="19"/>
  <c r="F619" i="19"/>
  <c r="F620" i="19"/>
  <c r="F621" i="19"/>
  <c r="F622" i="19"/>
  <c r="F623" i="19"/>
  <c r="F624" i="19"/>
  <c r="F625" i="19"/>
  <c r="F626" i="19"/>
  <c r="F627" i="19"/>
  <c r="F628" i="19"/>
  <c r="F629" i="19"/>
  <c r="F630" i="19"/>
  <c r="F631" i="19"/>
  <c r="F632" i="19"/>
  <c r="F633" i="19"/>
  <c r="F634" i="19"/>
  <c r="F635" i="19"/>
  <c r="F636" i="19"/>
  <c r="F637" i="19"/>
  <c r="F638" i="19"/>
  <c r="F639" i="19"/>
  <c r="F640" i="19"/>
  <c r="F641" i="19"/>
  <c r="F642" i="19"/>
  <c r="F643" i="19"/>
  <c r="F644" i="19"/>
  <c r="F645" i="19"/>
  <c r="F646" i="19"/>
  <c r="F647" i="19"/>
  <c r="F648" i="19"/>
  <c r="F649" i="19"/>
  <c r="F650" i="19"/>
  <c r="F651" i="19"/>
  <c r="F652" i="19"/>
  <c r="F653" i="19"/>
  <c r="F654" i="19"/>
  <c r="F655" i="19"/>
  <c r="F656" i="19"/>
  <c r="F657" i="19"/>
  <c r="F658" i="19"/>
  <c r="F659" i="19"/>
  <c r="F660" i="19"/>
  <c r="D6" i="20"/>
  <c r="F661" i="19"/>
  <c r="F662" i="19"/>
  <c r="F663" i="19"/>
  <c r="F664" i="19"/>
  <c r="F665" i="19"/>
  <c r="F666" i="19"/>
  <c r="F667" i="19"/>
  <c r="F668" i="19"/>
  <c r="F669" i="19"/>
  <c r="D7" i="20"/>
  <c r="F670" i="19"/>
  <c r="F671" i="19"/>
  <c r="F672" i="19"/>
  <c r="F673" i="19"/>
  <c r="F674" i="19"/>
  <c r="F675" i="19"/>
  <c r="F676" i="19"/>
  <c r="F598" i="19"/>
  <c r="F681" i="19"/>
  <c r="F682" i="19"/>
  <c r="F683" i="19"/>
  <c r="F684" i="19"/>
  <c r="F685" i="19"/>
  <c r="F686" i="19"/>
  <c r="F687" i="19"/>
  <c r="F688" i="19"/>
  <c r="F689" i="19"/>
  <c r="F690" i="19"/>
  <c r="F691" i="19"/>
  <c r="F692" i="19"/>
  <c r="F693" i="19"/>
  <c r="F694" i="19"/>
  <c r="F695" i="19"/>
  <c r="F696" i="19"/>
  <c r="F697" i="19"/>
  <c r="F698" i="19"/>
  <c r="F699" i="19"/>
  <c r="F700" i="19"/>
  <c r="F701" i="19"/>
  <c r="F702" i="19"/>
  <c r="F703" i="19"/>
  <c r="F705" i="19"/>
  <c r="F706" i="19"/>
  <c r="D21" i="20"/>
  <c r="F707" i="19"/>
  <c r="F708" i="19"/>
  <c r="F709" i="19"/>
  <c r="F710" i="19"/>
  <c r="F711" i="19"/>
  <c r="F712" i="19"/>
  <c r="F713" i="19"/>
  <c r="F714" i="19"/>
  <c r="F715" i="19"/>
  <c r="D27" i="20"/>
  <c r="F716" i="19"/>
  <c r="F717" i="19"/>
  <c r="F718" i="19"/>
  <c r="F719" i="19"/>
  <c r="F720" i="19"/>
  <c r="F721" i="19"/>
  <c r="F722" i="19"/>
  <c r="F723" i="19"/>
  <c r="F724" i="19"/>
  <c r="F725" i="19"/>
  <c r="F726" i="19"/>
  <c r="F727" i="19"/>
  <c r="F728" i="19"/>
  <c r="F729" i="19"/>
  <c r="F730" i="19"/>
  <c r="F731" i="19"/>
  <c r="F732" i="19"/>
  <c r="F733" i="19"/>
  <c r="F734" i="19"/>
  <c r="F735" i="19"/>
  <c r="F736" i="19"/>
  <c r="F737" i="19"/>
  <c r="F738" i="19"/>
  <c r="F739" i="19"/>
  <c r="F740" i="19"/>
  <c r="F741" i="19"/>
  <c r="F742" i="19"/>
  <c r="F743" i="19"/>
  <c r="F744" i="19"/>
  <c r="F745" i="19"/>
  <c r="F746" i="19"/>
  <c r="F747" i="19"/>
  <c r="F748" i="19"/>
  <c r="F749" i="19"/>
  <c r="F750" i="19"/>
  <c r="F751" i="19"/>
  <c r="F752" i="19"/>
  <c r="F753" i="19"/>
  <c r="F754" i="19"/>
  <c r="F755" i="19"/>
  <c r="F756" i="19"/>
  <c r="F757" i="19"/>
  <c r="F758" i="19"/>
  <c r="F759" i="19"/>
  <c r="F760" i="19"/>
  <c r="F761" i="19"/>
  <c r="F762" i="19"/>
  <c r="F763" i="19"/>
  <c r="F764" i="19"/>
  <c r="F765" i="19"/>
  <c r="F766" i="19"/>
  <c r="F3" i="19"/>
  <c r="D238" i="21"/>
  <c r="B118" i="9"/>
  <c r="D239" i="21"/>
  <c r="B119" i="9"/>
  <c r="D240" i="21"/>
  <c r="B120" i="9"/>
  <c r="H933" i="23"/>
  <c r="B933" i="23"/>
  <c r="C933" i="23"/>
  <c r="D933" i="23"/>
  <c r="E933" i="23"/>
  <c r="J617" i="12"/>
  <c r="H934" i="23"/>
  <c r="C934" i="23"/>
  <c r="D934" i="23"/>
  <c r="E934" i="23"/>
  <c r="J618" i="12"/>
  <c r="H935" i="23"/>
  <c r="C935" i="23"/>
  <c r="D935" i="23"/>
  <c r="E935" i="23"/>
  <c r="J619" i="12"/>
  <c r="H936" i="23"/>
  <c r="C936" i="23"/>
  <c r="D936" i="23"/>
  <c r="E936" i="23"/>
  <c r="J620" i="12"/>
  <c r="C937" i="23"/>
  <c r="D937" i="23"/>
  <c r="E937" i="23"/>
  <c r="J621" i="12"/>
  <c r="C938" i="23"/>
  <c r="D938" i="23"/>
  <c r="E938" i="23"/>
  <c r="J622" i="12"/>
  <c r="H939" i="23"/>
  <c r="C939" i="23"/>
  <c r="D939" i="23"/>
  <c r="E939" i="23"/>
  <c r="J623" i="12"/>
  <c r="H940" i="23"/>
  <c r="C940" i="23"/>
  <c r="D940" i="23"/>
  <c r="E940" i="23"/>
  <c r="J624" i="12"/>
  <c r="C941" i="23"/>
  <c r="D941" i="23"/>
  <c r="E941" i="23"/>
  <c r="J625" i="12"/>
  <c r="C942" i="23"/>
  <c r="D942" i="23"/>
  <c r="E942" i="23"/>
  <c r="J626" i="12"/>
  <c r="C943" i="23"/>
  <c r="D943" i="23"/>
  <c r="E943" i="23"/>
  <c r="J627" i="12"/>
  <c r="H944" i="23"/>
  <c r="C944" i="23"/>
  <c r="D944" i="23"/>
  <c r="E944" i="23"/>
  <c r="J628" i="12"/>
  <c r="H945" i="23"/>
  <c r="B945" i="23"/>
  <c r="C945" i="23"/>
  <c r="D945" i="23"/>
  <c r="E945" i="23"/>
  <c r="J629" i="12"/>
  <c r="C946" i="23"/>
  <c r="D946" i="23"/>
  <c r="E946" i="23"/>
  <c r="J630" i="12"/>
  <c r="C948" i="23"/>
  <c r="D948" i="23"/>
  <c r="E948" i="23"/>
  <c r="J632" i="12"/>
  <c r="E949" i="23"/>
  <c r="J633" i="12"/>
  <c r="H965" i="23"/>
  <c r="C965" i="23"/>
  <c r="D965" i="23"/>
  <c r="E965" i="23"/>
  <c r="J649" i="12"/>
  <c r="J13" i="9"/>
  <c r="I10" i="21"/>
  <c r="I15" i="9"/>
  <c r="J15" i="9"/>
  <c r="C3" i="19"/>
  <c r="G31" i="19"/>
  <c r="P31" i="19"/>
  <c r="G40" i="19"/>
  <c r="P40" i="19"/>
  <c r="J10" i="21"/>
  <c r="K10" i="21"/>
  <c r="L10" i="21"/>
  <c r="M10" i="21"/>
  <c r="H10" i="21"/>
  <c r="G10" i="21"/>
  <c r="I11" i="21"/>
  <c r="G34" i="19"/>
  <c r="P34" i="19"/>
  <c r="G35" i="19"/>
  <c r="P35" i="19"/>
  <c r="G36" i="19"/>
  <c r="P36" i="19"/>
  <c r="G37" i="19"/>
  <c r="P37" i="19"/>
  <c r="J11" i="21"/>
  <c r="K11" i="21"/>
  <c r="L11" i="21"/>
  <c r="M11" i="21"/>
  <c r="H11" i="21"/>
  <c r="G11" i="21"/>
  <c r="I12" i="21"/>
  <c r="G30" i="19"/>
  <c r="P30" i="19"/>
  <c r="G33" i="19"/>
  <c r="P33" i="19"/>
  <c r="J12" i="21"/>
  <c r="K12" i="21"/>
  <c r="L12" i="21"/>
  <c r="M12" i="21"/>
  <c r="H12" i="21"/>
  <c r="G12" i="21"/>
  <c r="I13" i="21"/>
  <c r="G32" i="19"/>
  <c r="P32" i="19"/>
  <c r="J13" i="21"/>
  <c r="K13" i="21"/>
  <c r="L13" i="21"/>
  <c r="M13" i="21"/>
  <c r="H13" i="21"/>
  <c r="G13" i="21"/>
  <c r="I14" i="21"/>
  <c r="J14" i="21"/>
  <c r="G38" i="19"/>
  <c r="Q38" i="19"/>
  <c r="G39" i="19"/>
  <c r="Q39" i="19"/>
  <c r="G41" i="19"/>
  <c r="Q41" i="19"/>
  <c r="G42" i="19"/>
  <c r="Q42" i="19"/>
  <c r="G43" i="19"/>
  <c r="Q43" i="19"/>
  <c r="G44" i="19"/>
  <c r="Q44" i="19"/>
  <c r="G341" i="19"/>
  <c r="Q341" i="19"/>
  <c r="G344" i="19"/>
  <c r="Q344" i="19"/>
  <c r="G345" i="19"/>
  <c r="Q345" i="19"/>
  <c r="G346" i="19"/>
  <c r="Q346" i="19"/>
  <c r="G348" i="19"/>
  <c r="Q348" i="19"/>
  <c r="G349" i="19"/>
  <c r="Q349" i="19"/>
  <c r="G350" i="19"/>
  <c r="Q350" i="19"/>
  <c r="G351" i="19"/>
  <c r="Q351" i="19"/>
  <c r="G352" i="19"/>
  <c r="Q352" i="19"/>
  <c r="G353" i="19"/>
  <c r="Q353" i="19"/>
  <c r="G354" i="19"/>
  <c r="Q354" i="19"/>
  <c r="G355" i="19"/>
  <c r="Q355" i="19"/>
  <c r="G356" i="19"/>
  <c r="Q356" i="19"/>
  <c r="G357" i="19"/>
  <c r="Q357" i="19"/>
  <c r="G358" i="19"/>
  <c r="Q358" i="19"/>
  <c r="G372" i="19"/>
  <c r="Q372" i="19"/>
  <c r="G373" i="19"/>
  <c r="Q373" i="19"/>
  <c r="G379" i="19"/>
  <c r="Q379" i="19"/>
  <c r="G380" i="19"/>
  <c r="Q380" i="19"/>
  <c r="G383" i="19"/>
  <c r="Q383" i="19"/>
  <c r="G388" i="19"/>
  <c r="Q388" i="19"/>
  <c r="G389" i="19"/>
  <c r="Q389" i="19"/>
  <c r="G391" i="19"/>
  <c r="Q391" i="19"/>
  <c r="G397" i="19"/>
  <c r="Q397" i="19"/>
  <c r="G398" i="19"/>
  <c r="Q398" i="19"/>
  <c r="G401" i="19"/>
  <c r="Q401" i="19"/>
  <c r="G402" i="19"/>
  <c r="Q402" i="19"/>
  <c r="G403" i="19"/>
  <c r="Q403" i="19"/>
  <c r="G405" i="19"/>
  <c r="Q405" i="19"/>
  <c r="G413" i="19"/>
  <c r="Q413" i="19"/>
  <c r="G415" i="19"/>
  <c r="Q415" i="19"/>
  <c r="G416" i="19"/>
  <c r="Q416" i="19"/>
  <c r="G417" i="19"/>
  <c r="Q417" i="19"/>
  <c r="G418" i="19"/>
  <c r="Q418" i="19"/>
  <c r="G419" i="19"/>
  <c r="Q419" i="19"/>
  <c r="G422" i="19"/>
  <c r="Q422" i="19"/>
  <c r="G424" i="19"/>
  <c r="Q424" i="19"/>
  <c r="G425" i="19"/>
  <c r="Q425" i="19"/>
  <c r="G441" i="19"/>
  <c r="Q441" i="19"/>
  <c r="G462" i="19"/>
  <c r="Q462" i="19"/>
  <c r="G679" i="19"/>
  <c r="Q679" i="19"/>
  <c r="G680" i="19"/>
  <c r="Q680" i="19"/>
  <c r="G681" i="19"/>
  <c r="Q681" i="19"/>
  <c r="G682" i="19"/>
  <c r="Q682" i="19"/>
  <c r="G683" i="19"/>
  <c r="Q683" i="19"/>
  <c r="G684" i="19"/>
  <c r="Q684" i="19"/>
  <c r="G685" i="19"/>
  <c r="Q685" i="19"/>
  <c r="G686" i="19"/>
  <c r="Q686" i="19"/>
  <c r="G687" i="19"/>
  <c r="Q687" i="19"/>
  <c r="G688" i="19"/>
  <c r="Q688" i="19"/>
  <c r="G689" i="19"/>
  <c r="Q689" i="19"/>
  <c r="G690" i="19"/>
  <c r="Q690" i="19"/>
  <c r="G691" i="19"/>
  <c r="Q691" i="19"/>
  <c r="G692" i="19"/>
  <c r="Q692" i="19"/>
  <c r="G693" i="19"/>
  <c r="Q693" i="19"/>
  <c r="G694" i="19"/>
  <c r="Q694" i="19"/>
  <c r="G695" i="19"/>
  <c r="Q695" i="19"/>
  <c r="G696" i="19"/>
  <c r="Q696" i="19"/>
  <c r="G698" i="19"/>
  <c r="Q698" i="19"/>
  <c r="G699" i="19"/>
  <c r="Q699" i="19"/>
  <c r="G700" i="19"/>
  <c r="Q700" i="19"/>
  <c r="G701" i="19"/>
  <c r="Q701" i="19"/>
  <c r="G702" i="19"/>
  <c r="Q702" i="19"/>
  <c r="G703" i="19"/>
  <c r="Q703" i="19"/>
  <c r="G705" i="19"/>
  <c r="Q705" i="19"/>
  <c r="G706" i="19"/>
  <c r="Q706" i="19"/>
  <c r="G707" i="19"/>
  <c r="Q707" i="19"/>
  <c r="G708" i="19"/>
  <c r="Q708" i="19"/>
  <c r="G709" i="19"/>
  <c r="Q709" i="19"/>
  <c r="G710" i="19"/>
  <c r="Q710" i="19"/>
  <c r="G713" i="19"/>
  <c r="Q713" i="19"/>
  <c r="G714" i="19"/>
  <c r="Q714" i="19"/>
  <c r="G715" i="19"/>
  <c r="Q715" i="19"/>
  <c r="G723" i="19"/>
  <c r="Q723" i="19"/>
  <c r="G724" i="19"/>
  <c r="Q724" i="19"/>
  <c r="G725" i="19"/>
  <c r="Q725" i="19"/>
  <c r="G727" i="19"/>
  <c r="Q727" i="19"/>
  <c r="G728" i="19"/>
  <c r="Q728" i="19"/>
  <c r="G729" i="19"/>
  <c r="Q729" i="19"/>
  <c r="G730" i="19"/>
  <c r="Q730" i="19"/>
  <c r="G731" i="19"/>
  <c r="Q731" i="19"/>
  <c r="G762" i="19"/>
  <c r="Q762" i="19"/>
  <c r="K14" i="21"/>
  <c r="L14" i="21"/>
  <c r="M14" i="21"/>
  <c r="H14" i="21"/>
  <c r="G14" i="21"/>
  <c r="G9" i="21"/>
  <c r="I16" i="21"/>
  <c r="J16" i="21"/>
  <c r="K16" i="21"/>
  <c r="L16" i="21"/>
  <c r="M16" i="21"/>
  <c r="H16" i="21"/>
  <c r="G16" i="21"/>
  <c r="I17" i="21"/>
  <c r="G13" i="19"/>
  <c r="P13" i="19"/>
  <c r="G14" i="19"/>
  <c r="P14" i="19"/>
  <c r="G15" i="19"/>
  <c r="P15" i="19"/>
  <c r="G16" i="19"/>
  <c r="P16" i="19"/>
  <c r="J17" i="21"/>
  <c r="K17" i="21"/>
  <c r="L17" i="21"/>
  <c r="M17" i="21"/>
  <c r="H17" i="21"/>
  <c r="G17" i="21"/>
  <c r="I18" i="21"/>
  <c r="J18" i="21"/>
  <c r="K18" i="21"/>
  <c r="L18" i="21"/>
  <c r="M18" i="21"/>
  <c r="H18" i="21"/>
  <c r="G18" i="21"/>
  <c r="I19" i="21"/>
  <c r="G8" i="19"/>
  <c r="P8" i="19"/>
  <c r="G9" i="19"/>
  <c r="P9" i="19"/>
  <c r="G10" i="19"/>
  <c r="P10" i="19"/>
  <c r="G11" i="19"/>
  <c r="P11" i="19"/>
  <c r="G12" i="19"/>
  <c r="P12" i="19"/>
  <c r="G17" i="19"/>
  <c r="P17" i="19"/>
  <c r="G22" i="19"/>
  <c r="P22" i="19"/>
  <c r="G23" i="19"/>
  <c r="P23" i="19"/>
  <c r="G24" i="19"/>
  <c r="P24" i="19"/>
  <c r="G25" i="19"/>
  <c r="P25" i="19"/>
  <c r="G26" i="19"/>
  <c r="P26" i="19"/>
  <c r="G27" i="19"/>
  <c r="P27" i="19"/>
  <c r="G28" i="19"/>
  <c r="P28" i="19"/>
  <c r="G29" i="19"/>
  <c r="P29" i="19"/>
  <c r="G46" i="19"/>
  <c r="P46" i="19"/>
  <c r="G47" i="19"/>
  <c r="P47" i="19"/>
  <c r="G48" i="19"/>
  <c r="P48" i="19"/>
  <c r="G49" i="19"/>
  <c r="P49" i="19"/>
  <c r="G50" i="19"/>
  <c r="P50" i="19"/>
  <c r="G51" i="19"/>
  <c r="P51" i="19"/>
  <c r="G52" i="19"/>
  <c r="P52" i="19"/>
  <c r="G55" i="19"/>
  <c r="P55" i="19"/>
  <c r="G56" i="19"/>
  <c r="P56" i="19"/>
  <c r="G57" i="19"/>
  <c r="P57" i="19"/>
  <c r="G58" i="19"/>
  <c r="P58" i="19"/>
  <c r="G59" i="19"/>
  <c r="P59" i="19"/>
  <c r="G60" i="19"/>
  <c r="P60" i="19"/>
  <c r="G61" i="19"/>
  <c r="P61" i="19"/>
  <c r="G62" i="19"/>
  <c r="P62" i="19"/>
  <c r="G70" i="19"/>
  <c r="P70" i="19"/>
  <c r="G71" i="19"/>
  <c r="P71" i="19"/>
  <c r="G72" i="19"/>
  <c r="P72" i="19"/>
  <c r="G73" i="19"/>
  <c r="P73" i="19"/>
  <c r="G74" i="19"/>
  <c r="P74" i="19"/>
  <c r="G75" i="19"/>
  <c r="P75" i="19"/>
  <c r="G76" i="19"/>
  <c r="P76" i="19"/>
  <c r="G77" i="19"/>
  <c r="P77" i="19"/>
  <c r="G78" i="19"/>
  <c r="P78" i="19"/>
  <c r="G79" i="19"/>
  <c r="P79" i="19"/>
  <c r="G80" i="19"/>
  <c r="P80" i="19"/>
  <c r="G81" i="19"/>
  <c r="P81" i="19"/>
  <c r="G82" i="19"/>
  <c r="P82" i="19"/>
  <c r="G83" i="19"/>
  <c r="P83" i="19"/>
  <c r="G84" i="19"/>
  <c r="P84" i="19"/>
  <c r="G85" i="19"/>
  <c r="P85" i="19"/>
  <c r="G86" i="19"/>
  <c r="P86" i="19"/>
  <c r="G87" i="19"/>
  <c r="P87" i="19"/>
  <c r="G88" i="19"/>
  <c r="P88" i="19"/>
  <c r="G89" i="19"/>
  <c r="P89" i="19"/>
  <c r="G90" i="19"/>
  <c r="P90" i="19"/>
  <c r="G91" i="19"/>
  <c r="P91" i="19"/>
  <c r="G92" i="19"/>
  <c r="P92" i="19"/>
  <c r="G93" i="19"/>
  <c r="P93" i="19"/>
  <c r="G94" i="19"/>
  <c r="P94" i="19"/>
  <c r="G96" i="19"/>
  <c r="P96" i="19"/>
  <c r="G97" i="19"/>
  <c r="P97" i="19"/>
  <c r="G98" i="19"/>
  <c r="P98" i="19"/>
  <c r="G99" i="19"/>
  <c r="P99" i="19"/>
  <c r="G100" i="19"/>
  <c r="P100" i="19"/>
  <c r="G101" i="19"/>
  <c r="P101" i="19"/>
  <c r="G102" i="19"/>
  <c r="P102" i="19"/>
  <c r="G109" i="19"/>
  <c r="P109" i="19"/>
  <c r="G110" i="19"/>
  <c r="P110" i="19"/>
  <c r="G111" i="19"/>
  <c r="P111" i="19"/>
  <c r="G112" i="19"/>
  <c r="P112" i="19"/>
  <c r="G113" i="19"/>
  <c r="P113" i="19"/>
  <c r="G114" i="19"/>
  <c r="P114" i="19"/>
  <c r="G115" i="19"/>
  <c r="P115" i="19"/>
  <c r="G119" i="19"/>
  <c r="P119" i="19"/>
  <c r="G120" i="19"/>
  <c r="P120" i="19"/>
  <c r="G121" i="19"/>
  <c r="P121" i="19"/>
  <c r="G122" i="19"/>
  <c r="P122" i="19"/>
  <c r="G123" i="19"/>
  <c r="P123" i="19"/>
  <c r="G124" i="19"/>
  <c r="P124" i="19"/>
  <c r="G125" i="19"/>
  <c r="P125" i="19"/>
  <c r="G131" i="19"/>
  <c r="P131" i="19"/>
  <c r="G132" i="19"/>
  <c r="P132" i="19"/>
  <c r="G133" i="19"/>
  <c r="P133" i="19"/>
  <c r="G134" i="19"/>
  <c r="P134" i="19"/>
  <c r="G135" i="19"/>
  <c r="P135" i="19"/>
  <c r="G136" i="19"/>
  <c r="P136" i="19"/>
  <c r="G137" i="19"/>
  <c r="P137" i="19"/>
  <c r="G138" i="19"/>
  <c r="P138" i="19"/>
  <c r="G139" i="19"/>
  <c r="P139" i="19"/>
  <c r="G140" i="19"/>
  <c r="P140" i="19"/>
  <c r="G143" i="19"/>
  <c r="P143" i="19"/>
  <c r="G146" i="19"/>
  <c r="P146" i="19"/>
  <c r="G147" i="19"/>
  <c r="P147" i="19"/>
  <c r="G148" i="19"/>
  <c r="P148" i="19"/>
  <c r="G149" i="19"/>
  <c r="P149" i="19"/>
  <c r="G150" i="19"/>
  <c r="P150" i="19"/>
  <c r="G151" i="19"/>
  <c r="P151" i="19"/>
  <c r="G152" i="19"/>
  <c r="P152" i="19"/>
  <c r="G153" i="19"/>
  <c r="P153" i="19"/>
  <c r="G154" i="19"/>
  <c r="P154" i="19"/>
  <c r="G155" i="19"/>
  <c r="P155" i="19"/>
  <c r="G156" i="19"/>
  <c r="P156" i="19"/>
  <c r="G157" i="19"/>
  <c r="P157" i="19"/>
  <c r="G158" i="19"/>
  <c r="P158" i="19"/>
  <c r="G159" i="19"/>
  <c r="P159" i="19"/>
  <c r="G160" i="19"/>
  <c r="P160" i="19"/>
  <c r="G161" i="19"/>
  <c r="P161" i="19"/>
  <c r="G162" i="19"/>
  <c r="P162" i="19"/>
  <c r="G163" i="19"/>
  <c r="P163" i="19"/>
  <c r="G164" i="19"/>
  <c r="P164" i="19"/>
  <c r="G165" i="19"/>
  <c r="P165" i="19"/>
  <c r="G166" i="19"/>
  <c r="P166" i="19"/>
  <c r="G167" i="19"/>
  <c r="P167" i="19"/>
  <c r="G168" i="19"/>
  <c r="P168" i="19"/>
  <c r="G169" i="19"/>
  <c r="P169" i="19"/>
  <c r="G170" i="19"/>
  <c r="P170" i="19"/>
  <c r="G171" i="19"/>
  <c r="P171" i="19"/>
  <c r="G172" i="19"/>
  <c r="P172" i="19"/>
  <c r="G173" i="19"/>
  <c r="P173" i="19"/>
  <c r="G174" i="19"/>
  <c r="P174" i="19"/>
  <c r="G175" i="19"/>
  <c r="P175" i="19"/>
  <c r="G176" i="19"/>
  <c r="P176" i="19"/>
  <c r="G177" i="19"/>
  <c r="P177" i="19"/>
  <c r="G178" i="19"/>
  <c r="P178" i="19"/>
  <c r="G179" i="19"/>
  <c r="P179" i="19"/>
  <c r="G180" i="19"/>
  <c r="P180" i="19"/>
  <c r="G181" i="19"/>
  <c r="P181" i="19"/>
  <c r="G182" i="19"/>
  <c r="P182" i="19"/>
  <c r="G183" i="19"/>
  <c r="P183" i="19"/>
  <c r="G184" i="19"/>
  <c r="P184" i="19"/>
  <c r="G185" i="19"/>
  <c r="P185" i="19"/>
  <c r="G186" i="19"/>
  <c r="P186" i="19"/>
  <c r="G187" i="19"/>
  <c r="P187" i="19"/>
  <c r="G188" i="19"/>
  <c r="P188" i="19"/>
  <c r="G189" i="19"/>
  <c r="P189" i="19"/>
  <c r="G190" i="19"/>
  <c r="P190" i="19"/>
  <c r="G191" i="19"/>
  <c r="P191" i="19"/>
  <c r="G192" i="19"/>
  <c r="P192" i="19"/>
  <c r="G193" i="19"/>
  <c r="P193" i="19"/>
  <c r="G194" i="19"/>
  <c r="P194" i="19"/>
  <c r="G195" i="19"/>
  <c r="P195" i="19"/>
  <c r="G196" i="19"/>
  <c r="P196" i="19"/>
  <c r="G197" i="19"/>
  <c r="P197" i="19"/>
  <c r="G198" i="19"/>
  <c r="P198" i="19"/>
  <c r="G199" i="19"/>
  <c r="P199" i="19"/>
  <c r="G200" i="19"/>
  <c r="P200" i="19"/>
  <c r="G201" i="19"/>
  <c r="P201" i="19"/>
  <c r="G202" i="19"/>
  <c r="P202" i="19"/>
  <c r="G203" i="19"/>
  <c r="P203" i="19"/>
  <c r="G204" i="19"/>
  <c r="P204" i="19"/>
  <c r="G205" i="19"/>
  <c r="P205" i="19"/>
  <c r="G206" i="19"/>
  <c r="P206" i="19"/>
  <c r="G207" i="19"/>
  <c r="P207" i="19"/>
  <c r="G208" i="19"/>
  <c r="P208" i="19"/>
  <c r="G209" i="19"/>
  <c r="P209" i="19"/>
  <c r="G210" i="19"/>
  <c r="P210" i="19"/>
  <c r="G211" i="19"/>
  <c r="P211" i="19"/>
  <c r="G212" i="19"/>
  <c r="P212" i="19"/>
  <c r="G213" i="19"/>
  <c r="P213" i="19"/>
  <c r="G214" i="19"/>
  <c r="P214" i="19"/>
  <c r="G215" i="19"/>
  <c r="P215" i="19"/>
  <c r="G216" i="19"/>
  <c r="P216" i="19"/>
  <c r="G217" i="19"/>
  <c r="P217" i="19"/>
  <c r="G218" i="19"/>
  <c r="P218" i="19"/>
  <c r="G219" i="19"/>
  <c r="P219" i="19"/>
  <c r="G220" i="19"/>
  <c r="P220" i="19"/>
  <c r="G221" i="19"/>
  <c r="P221" i="19"/>
  <c r="G222" i="19"/>
  <c r="P222" i="19"/>
  <c r="G223" i="19"/>
  <c r="P223" i="19"/>
  <c r="G224" i="19"/>
  <c r="P224" i="19"/>
  <c r="G225" i="19"/>
  <c r="P225" i="19"/>
  <c r="G226" i="19"/>
  <c r="P226" i="19"/>
  <c r="G227" i="19"/>
  <c r="P227" i="19"/>
  <c r="G228" i="19"/>
  <c r="P228" i="19"/>
  <c r="G229" i="19"/>
  <c r="P229" i="19"/>
  <c r="G230" i="19"/>
  <c r="P230" i="19"/>
  <c r="G231" i="19"/>
  <c r="P231" i="19"/>
  <c r="G232" i="19"/>
  <c r="P232" i="19"/>
  <c r="G233" i="19"/>
  <c r="P233" i="19"/>
  <c r="G234" i="19"/>
  <c r="P234" i="19"/>
  <c r="G235" i="19"/>
  <c r="P235" i="19"/>
  <c r="G236" i="19"/>
  <c r="P236" i="19"/>
  <c r="G237" i="19"/>
  <c r="P237" i="19"/>
  <c r="G238" i="19"/>
  <c r="P238" i="19"/>
  <c r="G239" i="19"/>
  <c r="P239" i="19"/>
  <c r="G240" i="19"/>
  <c r="P240" i="19"/>
  <c r="G241" i="19"/>
  <c r="P241" i="19"/>
  <c r="G242" i="19"/>
  <c r="P242" i="19"/>
  <c r="G243" i="19"/>
  <c r="P243" i="19"/>
  <c r="G244" i="19"/>
  <c r="P244" i="19"/>
  <c r="G245" i="19"/>
  <c r="P245" i="19"/>
  <c r="G246" i="19"/>
  <c r="P246" i="19"/>
  <c r="G247" i="19"/>
  <c r="P247" i="19"/>
  <c r="G248" i="19"/>
  <c r="P248" i="19"/>
  <c r="G249" i="19"/>
  <c r="P249" i="19"/>
  <c r="G250" i="19"/>
  <c r="P250" i="19"/>
  <c r="G251" i="19"/>
  <c r="P251" i="19"/>
  <c r="G252" i="19"/>
  <c r="P252" i="19"/>
  <c r="G253" i="19"/>
  <c r="P253" i="19"/>
  <c r="G254" i="19"/>
  <c r="P254" i="19"/>
  <c r="G255" i="19"/>
  <c r="P255" i="19"/>
  <c r="G256" i="19"/>
  <c r="P256" i="19"/>
  <c r="G257" i="19"/>
  <c r="P257" i="19"/>
  <c r="G258" i="19"/>
  <c r="P258" i="19"/>
  <c r="G259" i="19"/>
  <c r="P259" i="19"/>
  <c r="G260" i="19"/>
  <c r="P260" i="19"/>
  <c r="G261" i="19"/>
  <c r="P261" i="19"/>
  <c r="G262" i="19"/>
  <c r="P262" i="19"/>
  <c r="G263" i="19"/>
  <c r="P263" i="19"/>
  <c r="G264" i="19"/>
  <c r="P264" i="19"/>
  <c r="G265" i="19"/>
  <c r="P265" i="19"/>
  <c r="G266" i="19"/>
  <c r="P266" i="19"/>
  <c r="G267" i="19"/>
  <c r="P267" i="19"/>
  <c r="G268" i="19"/>
  <c r="P268" i="19"/>
  <c r="G269" i="19"/>
  <c r="P269" i="19"/>
  <c r="G270" i="19"/>
  <c r="P270" i="19"/>
  <c r="G271" i="19"/>
  <c r="P271" i="19"/>
  <c r="G272" i="19"/>
  <c r="P272" i="19"/>
  <c r="G273" i="19"/>
  <c r="P273" i="19"/>
  <c r="G274" i="19"/>
  <c r="P274" i="19"/>
  <c r="G275" i="19"/>
  <c r="P275" i="19"/>
  <c r="G276" i="19"/>
  <c r="P276" i="19"/>
  <c r="G277" i="19"/>
  <c r="P277" i="19"/>
  <c r="G278" i="19"/>
  <c r="P278" i="19"/>
  <c r="G279" i="19"/>
  <c r="P279" i="19"/>
  <c r="G280" i="19"/>
  <c r="P280" i="19"/>
  <c r="G281" i="19"/>
  <c r="P281" i="19"/>
  <c r="G282" i="19"/>
  <c r="P282" i="19"/>
  <c r="G283" i="19"/>
  <c r="P283" i="19"/>
  <c r="G284" i="19"/>
  <c r="P284" i="19"/>
  <c r="G285" i="19"/>
  <c r="P285" i="19"/>
  <c r="G286" i="19"/>
  <c r="P286" i="19"/>
  <c r="G287" i="19"/>
  <c r="P287" i="19"/>
  <c r="G288" i="19"/>
  <c r="P288" i="19"/>
  <c r="G327" i="19"/>
  <c r="P327" i="19"/>
  <c r="G328" i="19"/>
  <c r="P328" i="19"/>
  <c r="G329" i="19"/>
  <c r="P329" i="19"/>
  <c r="G330" i="19"/>
  <c r="P330" i="19"/>
  <c r="G331" i="19"/>
  <c r="P331" i="19"/>
  <c r="G332" i="19"/>
  <c r="P332" i="19"/>
  <c r="G333" i="19"/>
  <c r="P333" i="19"/>
  <c r="G334" i="19"/>
  <c r="P334" i="19"/>
  <c r="G335" i="19"/>
  <c r="P335" i="19"/>
  <c r="G336" i="19"/>
  <c r="P336" i="19"/>
  <c r="G337" i="19"/>
  <c r="P337" i="19"/>
  <c r="G338" i="19"/>
  <c r="P338" i="19"/>
  <c r="G339" i="19"/>
  <c r="P339" i="19"/>
  <c r="G340" i="19"/>
  <c r="P340" i="19"/>
  <c r="G342" i="19"/>
  <c r="P342" i="19"/>
  <c r="G377" i="19"/>
  <c r="P377" i="19"/>
  <c r="G378" i="19"/>
  <c r="P378" i="19"/>
  <c r="G408" i="19"/>
  <c r="P408" i="19"/>
  <c r="G409" i="19"/>
  <c r="P409" i="19"/>
  <c r="G420" i="19"/>
  <c r="P420" i="19"/>
  <c r="G423" i="19"/>
  <c r="P423" i="19"/>
  <c r="G426" i="19"/>
  <c r="P426" i="19"/>
  <c r="G427" i="19"/>
  <c r="P427" i="19"/>
  <c r="G431" i="19"/>
  <c r="P431" i="19"/>
  <c r="G432" i="19"/>
  <c r="P432" i="19"/>
  <c r="G434" i="19"/>
  <c r="P434" i="19"/>
  <c r="G435" i="19"/>
  <c r="P435" i="19"/>
  <c r="G439" i="19"/>
  <c r="P439" i="19"/>
  <c r="G440" i="19"/>
  <c r="P440" i="19"/>
  <c r="G442" i="19"/>
  <c r="P442" i="19"/>
  <c r="G443" i="19"/>
  <c r="P443" i="19"/>
  <c r="G444" i="19"/>
  <c r="P444" i="19"/>
  <c r="G445" i="19"/>
  <c r="P445" i="19"/>
  <c r="G447" i="19"/>
  <c r="P447" i="19"/>
  <c r="G448" i="19"/>
  <c r="P448" i="19"/>
  <c r="G449" i="19"/>
  <c r="P449" i="19"/>
  <c r="G450" i="19"/>
  <c r="P450" i="19"/>
  <c r="G451" i="19"/>
  <c r="P451" i="19"/>
  <c r="G453" i="19"/>
  <c r="P453" i="19"/>
  <c r="G454" i="19"/>
  <c r="P454" i="19"/>
  <c r="G455" i="19"/>
  <c r="P455" i="19"/>
  <c r="G463" i="19"/>
  <c r="P463" i="19"/>
  <c r="G464" i="19"/>
  <c r="P464" i="19"/>
  <c r="G465" i="19"/>
  <c r="P465" i="19"/>
  <c r="G466" i="19"/>
  <c r="P466" i="19"/>
  <c r="G468" i="19"/>
  <c r="P468" i="19"/>
  <c r="G477" i="19"/>
  <c r="P477" i="19"/>
  <c r="G478" i="19"/>
  <c r="P478" i="19"/>
  <c r="G479" i="19"/>
  <c r="P479" i="19"/>
  <c r="G480" i="19"/>
  <c r="P480" i="19"/>
  <c r="G481" i="19"/>
  <c r="P481" i="19"/>
  <c r="G482" i="19"/>
  <c r="P482" i="19"/>
  <c r="G483" i="19"/>
  <c r="P483" i="19"/>
  <c r="G484" i="19"/>
  <c r="P484" i="19"/>
  <c r="G485" i="19"/>
  <c r="P485" i="19"/>
  <c r="G486" i="19"/>
  <c r="P486" i="19"/>
  <c r="G487" i="19"/>
  <c r="P487" i="19"/>
  <c r="G488" i="19"/>
  <c r="P488" i="19"/>
  <c r="G489" i="19"/>
  <c r="P489" i="19"/>
  <c r="G490" i="19"/>
  <c r="P490" i="19"/>
  <c r="G492" i="19"/>
  <c r="P492" i="19"/>
  <c r="G493" i="19"/>
  <c r="P493" i="19"/>
  <c r="G494" i="19"/>
  <c r="P494" i="19"/>
  <c r="G495" i="19"/>
  <c r="P495" i="19"/>
  <c r="G496" i="19"/>
  <c r="P496" i="19"/>
  <c r="G501" i="19"/>
  <c r="P501" i="19"/>
  <c r="G502" i="19"/>
  <c r="P502" i="19"/>
  <c r="G505" i="19"/>
  <c r="P505" i="19"/>
  <c r="G506" i="19"/>
  <c r="P506" i="19"/>
  <c r="G507" i="19"/>
  <c r="P507" i="19"/>
  <c r="G508" i="19"/>
  <c r="P508" i="19"/>
  <c r="G509" i="19"/>
  <c r="P509" i="19"/>
  <c r="G510" i="19"/>
  <c r="P510" i="19"/>
  <c r="G511" i="19"/>
  <c r="P511" i="19"/>
  <c r="G512" i="19"/>
  <c r="P512" i="19"/>
  <c r="G513" i="19"/>
  <c r="P513" i="19"/>
  <c r="G514" i="19"/>
  <c r="P514" i="19"/>
  <c r="G515" i="19"/>
  <c r="P515" i="19"/>
  <c r="G516" i="19"/>
  <c r="P516" i="19"/>
  <c r="G517" i="19"/>
  <c r="P517" i="19"/>
  <c r="G518" i="19"/>
  <c r="P518" i="19"/>
  <c r="G519" i="19"/>
  <c r="P519" i="19"/>
  <c r="G520" i="19"/>
  <c r="P520" i="19"/>
  <c r="G521" i="19"/>
  <c r="P521" i="19"/>
  <c r="G522" i="19"/>
  <c r="P522" i="19"/>
  <c r="G523" i="19"/>
  <c r="P523" i="19"/>
  <c r="G524" i="19"/>
  <c r="P524" i="19"/>
  <c r="G525" i="19"/>
  <c r="P525" i="19"/>
  <c r="G526" i="19"/>
  <c r="P526" i="19"/>
  <c r="G527" i="19"/>
  <c r="P527" i="19"/>
  <c r="G528" i="19"/>
  <c r="P528" i="19"/>
  <c r="G529" i="19"/>
  <c r="P529" i="19"/>
  <c r="G533" i="19"/>
  <c r="P533" i="19"/>
  <c r="G534" i="19"/>
  <c r="P534" i="19"/>
  <c r="G535" i="19"/>
  <c r="P535" i="19"/>
  <c r="G536" i="19"/>
  <c r="P536" i="19"/>
  <c r="G537" i="19"/>
  <c r="P537" i="19"/>
  <c r="G538" i="19"/>
  <c r="P538" i="19"/>
  <c r="G539" i="19"/>
  <c r="P539" i="19"/>
  <c r="G540" i="19"/>
  <c r="P540" i="19"/>
  <c r="G541" i="19"/>
  <c r="P541" i="19"/>
  <c r="G542" i="19"/>
  <c r="P542" i="19"/>
  <c r="G543" i="19"/>
  <c r="P543" i="19"/>
  <c r="G544" i="19"/>
  <c r="P544" i="19"/>
  <c r="G546" i="19"/>
  <c r="P546" i="19"/>
  <c r="G547" i="19"/>
  <c r="P547" i="19"/>
  <c r="G548" i="19"/>
  <c r="P548" i="19"/>
  <c r="G549" i="19"/>
  <c r="P549" i="19"/>
  <c r="G550" i="19"/>
  <c r="P550" i="19"/>
  <c r="G551" i="19"/>
  <c r="P551" i="19"/>
  <c r="G552" i="19"/>
  <c r="P552" i="19"/>
  <c r="G554" i="19"/>
  <c r="P554" i="19"/>
  <c r="G555" i="19"/>
  <c r="P555" i="19"/>
  <c r="G556" i="19"/>
  <c r="P556" i="19"/>
  <c r="G557" i="19"/>
  <c r="P557" i="19"/>
  <c r="G558" i="19"/>
  <c r="P558" i="19"/>
  <c r="G559" i="19"/>
  <c r="P559" i="19"/>
  <c r="G560" i="19"/>
  <c r="P560" i="19"/>
  <c r="G561" i="19"/>
  <c r="P561" i="19"/>
  <c r="G562" i="19"/>
  <c r="P562" i="19"/>
  <c r="G563" i="19"/>
  <c r="P563" i="19"/>
  <c r="G564" i="19"/>
  <c r="P564" i="19"/>
  <c r="G565" i="19"/>
  <c r="P565" i="19"/>
  <c r="G566" i="19"/>
  <c r="P566" i="19"/>
  <c r="G567" i="19"/>
  <c r="P567" i="19"/>
  <c r="G568" i="19"/>
  <c r="P568" i="19"/>
  <c r="G569" i="19"/>
  <c r="P569" i="19"/>
  <c r="G570" i="19"/>
  <c r="P570" i="19"/>
  <c r="G571" i="19"/>
  <c r="P571" i="19"/>
  <c r="G572" i="19"/>
  <c r="P572" i="19"/>
  <c r="G574" i="19"/>
  <c r="P574" i="19"/>
  <c r="G575" i="19"/>
  <c r="P575" i="19"/>
  <c r="G576" i="19"/>
  <c r="P576" i="19"/>
  <c r="G577" i="19"/>
  <c r="P577" i="19"/>
  <c r="G578" i="19"/>
  <c r="P578" i="19"/>
  <c r="G579" i="19"/>
  <c r="P579" i="19"/>
  <c r="G582" i="19"/>
  <c r="P582" i="19"/>
  <c r="G583" i="19"/>
  <c r="P583" i="19"/>
  <c r="G591" i="19"/>
  <c r="P591" i="19"/>
  <c r="G592" i="19"/>
  <c r="P592" i="19"/>
  <c r="G593" i="19"/>
  <c r="P593" i="19"/>
  <c r="G594" i="19"/>
  <c r="P594" i="19"/>
  <c r="G599" i="19"/>
  <c r="P599" i="19"/>
  <c r="G600" i="19"/>
  <c r="P600" i="19"/>
  <c r="G601" i="19"/>
  <c r="P601" i="19"/>
  <c r="G602" i="19"/>
  <c r="P602" i="19"/>
  <c r="G603" i="19"/>
  <c r="P603" i="19"/>
  <c r="G604" i="19"/>
  <c r="P604" i="19"/>
  <c r="G605" i="19"/>
  <c r="P605" i="19"/>
  <c r="G606" i="19"/>
  <c r="P606" i="19"/>
  <c r="G607" i="19"/>
  <c r="P607" i="19"/>
  <c r="G608" i="19"/>
  <c r="P608" i="19"/>
  <c r="G609" i="19"/>
  <c r="P609" i="19"/>
  <c r="G610" i="19"/>
  <c r="P610" i="19"/>
  <c r="G611" i="19"/>
  <c r="P611" i="19"/>
  <c r="G612" i="19"/>
  <c r="P612" i="19"/>
  <c r="G613" i="19"/>
  <c r="P613" i="19"/>
  <c r="G614" i="19"/>
  <c r="P614" i="19"/>
  <c r="G615" i="19"/>
  <c r="P615" i="19"/>
  <c r="G616" i="19"/>
  <c r="P616" i="19"/>
  <c r="G617" i="19"/>
  <c r="P617" i="19"/>
  <c r="G618" i="19"/>
  <c r="P618" i="19"/>
  <c r="G619" i="19"/>
  <c r="P619" i="19"/>
  <c r="G620" i="19"/>
  <c r="P620" i="19"/>
  <c r="G621" i="19"/>
  <c r="P621" i="19"/>
  <c r="G622" i="19"/>
  <c r="P622" i="19"/>
  <c r="G623" i="19"/>
  <c r="P623" i="19"/>
  <c r="G624" i="19"/>
  <c r="P624" i="19"/>
  <c r="G625" i="19"/>
  <c r="P625" i="19"/>
  <c r="G626" i="19"/>
  <c r="P626" i="19"/>
  <c r="G627" i="19"/>
  <c r="P627" i="19"/>
  <c r="G628" i="19"/>
  <c r="P628" i="19"/>
  <c r="G629" i="19"/>
  <c r="P629" i="19"/>
  <c r="G630" i="19"/>
  <c r="P630" i="19"/>
  <c r="G631" i="19"/>
  <c r="P631" i="19"/>
  <c r="G632" i="19"/>
  <c r="P632" i="19"/>
  <c r="G633" i="19"/>
  <c r="P633" i="19"/>
  <c r="G634" i="19"/>
  <c r="P634" i="19"/>
  <c r="G635" i="19"/>
  <c r="P635" i="19"/>
  <c r="G636" i="19"/>
  <c r="P636" i="19"/>
  <c r="G637" i="19"/>
  <c r="P637" i="19"/>
  <c r="G638" i="19"/>
  <c r="P638" i="19"/>
  <c r="G639" i="19"/>
  <c r="P639" i="19"/>
  <c r="G640" i="19"/>
  <c r="P640" i="19"/>
  <c r="G641" i="19"/>
  <c r="P641" i="19"/>
  <c r="G642" i="19"/>
  <c r="P642" i="19"/>
  <c r="G643" i="19"/>
  <c r="P643" i="19"/>
  <c r="G644" i="19"/>
  <c r="P644" i="19"/>
  <c r="G645" i="19"/>
  <c r="P645" i="19"/>
  <c r="G646" i="19"/>
  <c r="P646" i="19"/>
  <c r="G647" i="19"/>
  <c r="P647" i="19"/>
  <c r="G648" i="19"/>
  <c r="P648" i="19"/>
  <c r="G649" i="19"/>
  <c r="P649" i="19"/>
  <c r="G650" i="19"/>
  <c r="P650" i="19"/>
  <c r="G651" i="19"/>
  <c r="P651" i="19"/>
  <c r="G652" i="19"/>
  <c r="P652" i="19"/>
  <c r="G653" i="19"/>
  <c r="P653" i="19"/>
  <c r="G654" i="19"/>
  <c r="P654" i="19"/>
  <c r="G655" i="19"/>
  <c r="P655" i="19"/>
  <c r="G656" i="19"/>
  <c r="P656" i="19"/>
  <c r="G657" i="19"/>
  <c r="P657" i="19"/>
  <c r="G658" i="19"/>
  <c r="P658" i="19"/>
  <c r="G659" i="19"/>
  <c r="P659" i="19"/>
  <c r="G660" i="19"/>
  <c r="P660" i="19"/>
  <c r="G661" i="19"/>
  <c r="P661" i="19"/>
  <c r="G662" i="19"/>
  <c r="P662" i="19"/>
  <c r="G663" i="19"/>
  <c r="P663" i="19"/>
  <c r="G664" i="19"/>
  <c r="P664" i="19"/>
  <c r="G665" i="19"/>
  <c r="P665" i="19"/>
  <c r="G666" i="19"/>
  <c r="P666" i="19"/>
  <c r="G667" i="19"/>
  <c r="P667" i="19"/>
  <c r="G668" i="19"/>
  <c r="P668" i="19"/>
  <c r="G669" i="19"/>
  <c r="P669" i="19"/>
  <c r="G670" i="19"/>
  <c r="P670" i="19"/>
  <c r="G671" i="19"/>
  <c r="P671" i="19"/>
  <c r="G672" i="19"/>
  <c r="P672" i="19"/>
  <c r="G673" i="19"/>
  <c r="P673" i="19"/>
  <c r="G674" i="19"/>
  <c r="P674" i="19"/>
  <c r="G675" i="19"/>
  <c r="P675" i="19"/>
  <c r="G676" i="19"/>
  <c r="P676" i="19"/>
  <c r="G716" i="19"/>
  <c r="P716" i="19"/>
  <c r="G717" i="19"/>
  <c r="P717" i="19"/>
  <c r="G718" i="19"/>
  <c r="P718" i="19"/>
  <c r="G719" i="19"/>
  <c r="P719" i="19"/>
  <c r="G720" i="19"/>
  <c r="P720" i="19"/>
  <c r="G722" i="19"/>
  <c r="P722" i="19"/>
  <c r="G732" i="19"/>
  <c r="P732" i="19"/>
  <c r="G733" i="19"/>
  <c r="P733" i="19"/>
  <c r="G734" i="19"/>
  <c r="P734" i="19"/>
  <c r="G755" i="19"/>
  <c r="P755" i="19"/>
  <c r="G758" i="19"/>
  <c r="P758" i="19"/>
  <c r="G759" i="19"/>
  <c r="P759" i="19"/>
  <c r="G760" i="19"/>
  <c r="P760" i="19"/>
  <c r="G761" i="19"/>
  <c r="P761" i="19"/>
  <c r="G763" i="19"/>
  <c r="P763" i="19"/>
  <c r="G764" i="19"/>
  <c r="P764" i="19"/>
  <c r="J19" i="21"/>
  <c r="K19" i="21"/>
  <c r="L19" i="21"/>
  <c r="M19" i="21"/>
  <c r="H19" i="21"/>
  <c r="G19" i="21"/>
  <c r="I20" i="21"/>
  <c r="J20" i="21"/>
  <c r="K20" i="21"/>
  <c r="L20" i="21"/>
  <c r="M20" i="21"/>
  <c r="H20" i="21"/>
  <c r="G20" i="21"/>
  <c r="G15" i="21"/>
  <c r="I22" i="21"/>
  <c r="J22" i="21"/>
  <c r="K22" i="21"/>
  <c r="L22" i="21"/>
  <c r="M22" i="21"/>
  <c r="H22" i="21"/>
  <c r="G22" i="21"/>
  <c r="I23" i="21"/>
  <c r="J23" i="21"/>
  <c r="K23" i="21"/>
  <c r="L23" i="21"/>
  <c r="M23" i="21"/>
  <c r="H23" i="21"/>
  <c r="G23" i="21"/>
  <c r="I24" i="21"/>
  <c r="J24" i="21"/>
  <c r="K24" i="21"/>
  <c r="L24" i="21"/>
  <c r="M24" i="21"/>
  <c r="H24" i="21"/>
  <c r="G24" i="21"/>
  <c r="I25" i="21"/>
  <c r="J25" i="21"/>
  <c r="K25" i="21"/>
  <c r="L25" i="21"/>
  <c r="M25" i="21"/>
  <c r="H25" i="21"/>
  <c r="G25" i="21"/>
  <c r="I26" i="21"/>
  <c r="J26" i="21"/>
  <c r="K26" i="21"/>
  <c r="L26" i="21"/>
  <c r="M26" i="21"/>
  <c r="H26" i="21"/>
  <c r="G26" i="21"/>
  <c r="G21" i="21"/>
  <c r="I29" i="21"/>
  <c r="J29" i="21"/>
  <c r="K29" i="21"/>
  <c r="L29" i="21"/>
  <c r="M29" i="21"/>
  <c r="H29" i="21"/>
  <c r="G29" i="21"/>
  <c r="G53" i="19"/>
  <c r="O53" i="19"/>
  <c r="G54" i="19"/>
  <c r="O54" i="19"/>
  <c r="I30" i="21"/>
  <c r="J30" i="21"/>
  <c r="K30" i="21"/>
  <c r="L30" i="21"/>
  <c r="M30" i="21"/>
  <c r="H30" i="21"/>
  <c r="G30" i="21"/>
  <c r="I31" i="21"/>
  <c r="J31" i="21"/>
  <c r="K31" i="21"/>
  <c r="L31" i="21"/>
  <c r="M31" i="21"/>
  <c r="H31" i="21"/>
  <c r="G31" i="21"/>
  <c r="I32" i="21"/>
  <c r="J32" i="21"/>
  <c r="K32" i="21"/>
  <c r="L32" i="21"/>
  <c r="M32" i="21"/>
  <c r="H32" i="21"/>
  <c r="G32" i="21"/>
  <c r="G28" i="21"/>
  <c r="O110" i="19"/>
  <c r="O111" i="19"/>
  <c r="O112" i="19"/>
  <c r="O113" i="19"/>
  <c r="I37" i="21"/>
  <c r="J37" i="21"/>
  <c r="K37" i="21"/>
  <c r="L37" i="21"/>
  <c r="M37" i="21"/>
  <c r="H37" i="21"/>
  <c r="G37" i="21"/>
  <c r="I38" i="21"/>
  <c r="J38" i="21"/>
  <c r="K38" i="21"/>
  <c r="L38" i="21"/>
  <c r="M38" i="21"/>
  <c r="H38" i="21"/>
  <c r="G38" i="21"/>
  <c r="I39" i="21"/>
  <c r="J39" i="21"/>
  <c r="K39" i="21"/>
  <c r="L39" i="21"/>
  <c r="M39" i="21"/>
  <c r="H39" i="21"/>
  <c r="G39" i="21"/>
  <c r="I40" i="21"/>
  <c r="J40" i="21"/>
  <c r="K40" i="21"/>
  <c r="L40" i="21"/>
  <c r="M40" i="21"/>
  <c r="H40" i="21"/>
  <c r="G40" i="21"/>
  <c r="I41" i="21"/>
  <c r="J41" i="21"/>
  <c r="K41" i="21"/>
  <c r="L41" i="21"/>
  <c r="M41" i="21"/>
  <c r="H41" i="21"/>
  <c r="G41" i="21"/>
  <c r="I42" i="21"/>
  <c r="J42" i="21"/>
  <c r="K42" i="21"/>
  <c r="L42" i="21"/>
  <c r="M42" i="21"/>
  <c r="H42" i="21"/>
  <c r="G42" i="21"/>
  <c r="I43" i="21"/>
  <c r="J43" i="21"/>
  <c r="K43" i="21"/>
  <c r="L43" i="21"/>
  <c r="M43" i="21"/>
  <c r="H43" i="21"/>
  <c r="G43" i="21"/>
  <c r="G36" i="21"/>
  <c r="I44" i="21"/>
  <c r="J44" i="21"/>
  <c r="K44" i="21"/>
  <c r="L44" i="21"/>
  <c r="M44" i="21"/>
  <c r="H44" i="21"/>
  <c r="G44" i="21"/>
  <c r="I45" i="21"/>
  <c r="J45" i="21"/>
  <c r="K45" i="21"/>
  <c r="L45" i="21"/>
  <c r="M45" i="21"/>
  <c r="H45" i="21"/>
  <c r="G45" i="21"/>
  <c r="I46" i="21"/>
  <c r="J46" i="21"/>
  <c r="K46" i="21"/>
  <c r="L46" i="21"/>
  <c r="M46" i="21"/>
  <c r="H46" i="21"/>
  <c r="G46" i="21"/>
  <c r="G325" i="19"/>
  <c r="O325" i="19"/>
  <c r="G407" i="19"/>
  <c r="O407" i="19"/>
  <c r="I50" i="21"/>
  <c r="J50" i="21"/>
  <c r="K50" i="21"/>
  <c r="L50" i="21"/>
  <c r="M50" i="21"/>
  <c r="H50" i="21"/>
  <c r="G50" i="21"/>
  <c r="I51" i="21"/>
  <c r="J51" i="21"/>
  <c r="K51" i="21"/>
  <c r="L51" i="21"/>
  <c r="M51" i="21"/>
  <c r="H51" i="21"/>
  <c r="G51" i="21"/>
  <c r="I52" i="21"/>
  <c r="J52" i="21"/>
  <c r="K52" i="21"/>
  <c r="L52" i="21"/>
  <c r="M52" i="21"/>
  <c r="H52" i="21"/>
  <c r="G52" i="21"/>
  <c r="I53" i="21"/>
  <c r="J53" i="21"/>
  <c r="K53" i="21"/>
  <c r="L53" i="21"/>
  <c r="M53" i="21"/>
  <c r="H53" i="21"/>
  <c r="G53" i="21"/>
  <c r="I54" i="21"/>
  <c r="J54" i="21"/>
  <c r="K54" i="21"/>
  <c r="L54" i="21"/>
  <c r="M54" i="21"/>
  <c r="H54" i="21"/>
  <c r="G54" i="21"/>
  <c r="I55" i="21"/>
  <c r="J55" i="21"/>
  <c r="K55" i="21"/>
  <c r="L55" i="21"/>
  <c r="M55" i="21"/>
  <c r="H55" i="21"/>
  <c r="G55" i="21"/>
  <c r="I56" i="21"/>
  <c r="J56" i="21"/>
  <c r="K56" i="21"/>
  <c r="L56" i="21"/>
  <c r="M56" i="21"/>
  <c r="H56" i="21"/>
  <c r="G56" i="21"/>
  <c r="I57" i="21"/>
  <c r="J57" i="21"/>
  <c r="K57" i="21"/>
  <c r="L57" i="21"/>
  <c r="G347" i="19"/>
  <c r="S347" i="19"/>
  <c r="G421" i="19"/>
  <c r="S421" i="19"/>
  <c r="M57" i="21"/>
  <c r="H57" i="21"/>
  <c r="G57" i="21"/>
  <c r="I58" i="21"/>
  <c r="J58" i="21"/>
  <c r="K58" i="21"/>
  <c r="L58" i="21"/>
  <c r="G365" i="19"/>
  <c r="S365" i="19"/>
  <c r="G366" i="19"/>
  <c r="S366" i="19"/>
  <c r="G367" i="19"/>
  <c r="S367" i="19"/>
  <c r="M58" i="21"/>
  <c r="H58" i="21"/>
  <c r="G58" i="21"/>
  <c r="I59" i="21"/>
  <c r="J59" i="21"/>
  <c r="K59" i="21"/>
  <c r="L59" i="21"/>
  <c r="M59" i="21"/>
  <c r="H59" i="21"/>
  <c r="G59" i="21"/>
  <c r="I60" i="21"/>
  <c r="J60" i="21"/>
  <c r="K60" i="21"/>
  <c r="L60" i="21"/>
  <c r="G368" i="19"/>
  <c r="S368" i="19"/>
  <c r="M60" i="21"/>
  <c r="H60" i="21"/>
  <c r="G60" i="21"/>
  <c r="I61" i="21"/>
  <c r="J61" i="21"/>
  <c r="K61" i="21"/>
  <c r="L61" i="21"/>
  <c r="M61" i="21"/>
  <c r="H61" i="21"/>
  <c r="G61" i="21"/>
  <c r="I62" i="21"/>
  <c r="J62" i="21"/>
  <c r="K62" i="21"/>
  <c r="L62" i="21"/>
  <c r="M62" i="21"/>
  <c r="H62" i="21"/>
  <c r="G62" i="21"/>
  <c r="G326" i="19"/>
  <c r="O326" i="19"/>
  <c r="G384" i="19"/>
  <c r="O384" i="19"/>
  <c r="G406" i="19"/>
  <c r="O406" i="19"/>
  <c r="G410" i="19"/>
  <c r="O410" i="19"/>
  <c r="G307" i="19"/>
  <c r="O307" i="19"/>
  <c r="G308" i="19"/>
  <c r="O308" i="19"/>
  <c r="G309" i="19"/>
  <c r="O309" i="19"/>
  <c r="G310" i="19"/>
  <c r="O310" i="19"/>
  <c r="G311" i="19"/>
  <c r="O311" i="19"/>
  <c r="G312" i="19"/>
  <c r="O312" i="19"/>
  <c r="G313" i="19"/>
  <c r="O313" i="19"/>
  <c r="G314" i="19"/>
  <c r="O314" i="19"/>
  <c r="G315" i="19"/>
  <c r="O315" i="19"/>
  <c r="G316" i="19"/>
  <c r="O316" i="19"/>
  <c r="G317" i="19"/>
  <c r="O317" i="19"/>
  <c r="G318" i="19"/>
  <c r="O318" i="19"/>
  <c r="G319" i="19"/>
  <c r="O319" i="19"/>
  <c r="G320" i="19"/>
  <c r="O320" i="19"/>
  <c r="G321" i="19"/>
  <c r="O321" i="19"/>
  <c r="G322" i="19"/>
  <c r="O322" i="19"/>
  <c r="G323" i="19"/>
  <c r="O323" i="19"/>
  <c r="G324" i="19"/>
  <c r="O324" i="19"/>
  <c r="G381" i="19"/>
  <c r="O381" i="19"/>
  <c r="G382" i="19"/>
  <c r="O382" i="19"/>
  <c r="G385" i="19"/>
  <c r="O385" i="19"/>
  <c r="G386" i="19"/>
  <c r="O386" i="19"/>
  <c r="G387" i="19"/>
  <c r="O387" i="19"/>
  <c r="G390" i="19"/>
  <c r="O390" i="19"/>
  <c r="G392" i="19"/>
  <c r="O392" i="19"/>
  <c r="G393" i="19"/>
  <c r="O393" i="19"/>
  <c r="G394" i="19"/>
  <c r="O394" i="19"/>
  <c r="G395" i="19"/>
  <c r="O395" i="19"/>
  <c r="G396" i="19"/>
  <c r="O396" i="19"/>
  <c r="G399" i="19"/>
  <c r="O399" i="19"/>
  <c r="G400" i="19"/>
  <c r="O400" i="19"/>
  <c r="G404" i="19"/>
  <c r="O404" i="19"/>
  <c r="G411" i="19"/>
  <c r="O411" i="19"/>
  <c r="G412" i="19"/>
  <c r="O412" i="19"/>
  <c r="G414" i="19"/>
  <c r="O414" i="19"/>
  <c r="G429" i="19"/>
  <c r="O429" i="19"/>
  <c r="G430" i="19"/>
  <c r="O430" i="19"/>
  <c r="G433" i="19"/>
  <c r="O433" i="19"/>
  <c r="G446" i="19"/>
  <c r="O446" i="19"/>
  <c r="G452" i="19"/>
  <c r="O452" i="19"/>
  <c r="G456" i="19"/>
  <c r="O456" i="19"/>
  <c r="G457" i="19"/>
  <c r="O457" i="19"/>
  <c r="G458" i="19"/>
  <c r="O458" i="19"/>
  <c r="G459" i="19"/>
  <c r="O459" i="19"/>
  <c r="G460" i="19"/>
  <c r="O460" i="19"/>
  <c r="G461" i="19"/>
  <c r="O461" i="19"/>
  <c r="G467" i="19"/>
  <c r="O467" i="19"/>
  <c r="G469" i="19"/>
  <c r="O469" i="19"/>
  <c r="G470" i="19"/>
  <c r="O470" i="19"/>
  <c r="G473" i="19"/>
  <c r="O473" i="19"/>
  <c r="G474" i="19"/>
  <c r="O474" i="19"/>
  <c r="G475" i="19"/>
  <c r="O475" i="19"/>
  <c r="G476" i="19"/>
  <c r="O476" i="19"/>
  <c r="G491" i="19"/>
  <c r="O491" i="19"/>
  <c r="G497" i="19"/>
  <c r="O497" i="19"/>
  <c r="G498" i="19"/>
  <c r="O498" i="19"/>
  <c r="G499" i="19"/>
  <c r="O499" i="19"/>
  <c r="G500" i="19"/>
  <c r="O500" i="19"/>
  <c r="G503" i="19"/>
  <c r="O503" i="19"/>
  <c r="G504" i="19"/>
  <c r="O504" i="19"/>
  <c r="G530" i="19"/>
  <c r="O530" i="19"/>
  <c r="G531" i="19"/>
  <c r="O531" i="19"/>
  <c r="G532" i="19"/>
  <c r="O532" i="19"/>
  <c r="G545" i="19"/>
  <c r="O545" i="19"/>
  <c r="G553" i="19"/>
  <c r="O553" i="19"/>
  <c r="G573" i="19"/>
  <c r="O573" i="19"/>
  <c r="G580" i="19"/>
  <c r="O580" i="19"/>
  <c r="G581" i="19"/>
  <c r="O581" i="19"/>
  <c r="G584" i="19"/>
  <c r="O584" i="19"/>
  <c r="G585" i="19"/>
  <c r="O585" i="19"/>
  <c r="G586" i="19"/>
  <c r="O586" i="19"/>
  <c r="G587" i="19"/>
  <c r="O587" i="19"/>
  <c r="G588" i="19"/>
  <c r="O588" i="19"/>
  <c r="G589" i="19"/>
  <c r="O589" i="19"/>
  <c r="G590" i="19"/>
  <c r="O590" i="19"/>
  <c r="G595" i="19"/>
  <c r="O595" i="19"/>
  <c r="G596" i="19"/>
  <c r="O596" i="19"/>
  <c r="G735" i="19"/>
  <c r="O735" i="19"/>
  <c r="G736" i="19"/>
  <c r="O736" i="19"/>
  <c r="G737" i="19"/>
  <c r="O737" i="19"/>
  <c r="G738" i="19"/>
  <c r="O738" i="19"/>
  <c r="G739" i="19"/>
  <c r="O739" i="19"/>
  <c r="G740" i="19"/>
  <c r="O740" i="19"/>
  <c r="G741" i="19"/>
  <c r="O741" i="19"/>
  <c r="G742" i="19"/>
  <c r="O742" i="19"/>
  <c r="G743" i="19"/>
  <c r="O743" i="19"/>
  <c r="G744" i="19"/>
  <c r="O744" i="19"/>
  <c r="G745" i="19"/>
  <c r="O745" i="19"/>
  <c r="G746" i="19"/>
  <c r="O746" i="19"/>
  <c r="G747" i="19"/>
  <c r="O747" i="19"/>
  <c r="G748" i="19"/>
  <c r="O748" i="19"/>
  <c r="G756" i="19"/>
  <c r="O756" i="19"/>
  <c r="I63" i="21"/>
  <c r="J63" i="21"/>
  <c r="K63" i="21"/>
  <c r="L63" i="21"/>
  <c r="M63" i="21"/>
  <c r="H63" i="21"/>
  <c r="G63" i="21"/>
  <c r="I64" i="21"/>
  <c r="J64" i="21"/>
  <c r="K64" i="21"/>
  <c r="L64" i="21"/>
  <c r="G359" i="19"/>
  <c r="S359" i="19"/>
  <c r="G360" i="19"/>
  <c r="S360" i="19"/>
  <c r="G361" i="19"/>
  <c r="S361" i="19"/>
  <c r="G362" i="19"/>
  <c r="S362" i="19"/>
  <c r="G363" i="19"/>
  <c r="S363" i="19"/>
  <c r="G364" i="19"/>
  <c r="S364" i="19"/>
  <c r="G369" i="19"/>
  <c r="S369" i="19"/>
  <c r="G370" i="19"/>
  <c r="S370" i="19"/>
  <c r="G371" i="19"/>
  <c r="S371" i="19"/>
  <c r="G749" i="19"/>
  <c r="S749" i="19"/>
  <c r="G750" i="19"/>
  <c r="S750" i="19"/>
  <c r="G751" i="19"/>
  <c r="S751" i="19"/>
  <c r="G752" i="19"/>
  <c r="S752" i="19"/>
  <c r="G753" i="19"/>
  <c r="S753" i="19"/>
  <c r="G754" i="19"/>
  <c r="S754" i="19"/>
  <c r="M64" i="21"/>
  <c r="H64" i="21"/>
  <c r="G64" i="21"/>
  <c r="I65" i="21"/>
  <c r="J65" i="21"/>
  <c r="K65" i="21"/>
  <c r="L65" i="21"/>
  <c r="M65" i="21"/>
  <c r="H65" i="21"/>
  <c r="G65" i="21"/>
  <c r="I67" i="21"/>
  <c r="J67" i="21"/>
  <c r="K67" i="21"/>
  <c r="G374" i="19"/>
  <c r="R374" i="19"/>
  <c r="G375" i="19"/>
  <c r="R375" i="19"/>
  <c r="G376" i="19"/>
  <c r="R376" i="19"/>
  <c r="L67" i="21"/>
  <c r="M67" i="21"/>
  <c r="H67" i="21"/>
  <c r="G67" i="21"/>
  <c r="I68" i="21"/>
  <c r="J68" i="21"/>
  <c r="K68" i="21"/>
  <c r="L68" i="21"/>
  <c r="M68" i="21"/>
  <c r="H68" i="21"/>
  <c r="G68" i="21"/>
  <c r="I69" i="21"/>
  <c r="J69" i="21"/>
  <c r="K69" i="21"/>
  <c r="L69" i="21"/>
  <c r="M69" i="21"/>
  <c r="H69" i="21"/>
  <c r="G69" i="21"/>
  <c r="I70" i="21"/>
  <c r="J70" i="21"/>
  <c r="K70" i="21"/>
  <c r="L70" i="21"/>
  <c r="M70" i="21"/>
  <c r="H70" i="21"/>
  <c r="G70" i="21"/>
  <c r="I71" i="21"/>
  <c r="J71" i="21"/>
  <c r="K71" i="21"/>
  <c r="L71" i="21"/>
  <c r="M71" i="21"/>
  <c r="H71" i="21"/>
  <c r="G71" i="21"/>
  <c r="I72" i="21"/>
  <c r="J72" i="21"/>
  <c r="K72" i="21"/>
  <c r="L72" i="21"/>
  <c r="M72" i="21"/>
  <c r="H72" i="21"/>
  <c r="G72" i="21"/>
  <c r="I73" i="21"/>
  <c r="J73" i="21"/>
  <c r="K73" i="21"/>
  <c r="L73" i="21"/>
  <c r="M73" i="21"/>
  <c r="H73" i="21"/>
  <c r="G73" i="21"/>
  <c r="G66" i="21"/>
  <c r="I74" i="21"/>
  <c r="J74" i="21"/>
  <c r="K74" i="21"/>
  <c r="L74" i="21"/>
  <c r="M74" i="21"/>
  <c r="H74" i="21"/>
  <c r="G74" i="21"/>
  <c r="I75" i="21"/>
  <c r="J75" i="21"/>
  <c r="K75" i="21"/>
  <c r="L75" i="21"/>
  <c r="M75" i="21"/>
  <c r="H75" i="21"/>
  <c r="G75" i="21"/>
  <c r="I76" i="21"/>
  <c r="J76" i="21"/>
  <c r="K76" i="21"/>
  <c r="L76" i="21"/>
  <c r="M76" i="21"/>
  <c r="H76" i="21"/>
  <c r="G76" i="21"/>
  <c r="I77" i="21"/>
  <c r="J77" i="21"/>
  <c r="K77" i="21"/>
  <c r="L77" i="21"/>
  <c r="M77" i="21"/>
  <c r="H77" i="21"/>
  <c r="G77" i="21"/>
  <c r="I78" i="21"/>
  <c r="J78" i="21"/>
  <c r="K78" i="21"/>
  <c r="L78" i="21"/>
  <c r="M78" i="21"/>
  <c r="H78" i="21"/>
  <c r="G78" i="21"/>
  <c r="I79" i="21"/>
  <c r="J79" i="21"/>
  <c r="K79" i="21"/>
  <c r="L79" i="21"/>
  <c r="M79" i="21"/>
  <c r="H79" i="21"/>
  <c r="G79" i="21"/>
  <c r="I80" i="21"/>
  <c r="J80" i="21"/>
  <c r="K80" i="21"/>
  <c r="L80" i="21"/>
  <c r="M80" i="21"/>
  <c r="H80" i="21"/>
  <c r="G80" i="21"/>
  <c r="I81" i="21"/>
  <c r="J81" i="21"/>
  <c r="K81" i="21"/>
  <c r="L81" i="21"/>
  <c r="M81" i="21"/>
  <c r="H81" i="21"/>
  <c r="G81" i="21"/>
  <c r="I82" i="21"/>
  <c r="J82" i="21"/>
  <c r="K82" i="21"/>
  <c r="L82" i="21"/>
  <c r="M82" i="21"/>
  <c r="H82" i="21"/>
  <c r="G82" i="21"/>
  <c r="I83" i="21"/>
  <c r="J83" i="21"/>
  <c r="K83" i="21"/>
  <c r="L83" i="21"/>
  <c r="M83" i="21"/>
  <c r="H83" i="21"/>
  <c r="G83" i="21"/>
  <c r="I84" i="21"/>
  <c r="J84" i="21"/>
  <c r="K84" i="21"/>
  <c r="L84" i="21"/>
  <c r="M84" i="21"/>
  <c r="H84" i="21"/>
  <c r="G84" i="21"/>
  <c r="I85" i="21"/>
  <c r="J85" i="21"/>
  <c r="K85" i="21"/>
  <c r="L85" i="21"/>
  <c r="M85" i="21"/>
  <c r="H85" i="21"/>
  <c r="G85" i="21"/>
  <c r="I86" i="21"/>
  <c r="J86" i="21"/>
  <c r="K86" i="21"/>
  <c r="L86" i="21"/>
  <c r="M86" i="21"/>
  <c r="H86" i="21"/>
  <c r="G86" i="21"/>
  <c r="I87" i="21"/>
  <c r="J87" i="21"/>
  <c r="K87" i="21"/>
  <c r="L87" i="21"/>
  <c r="M87" i="21"/>
  <c r="H87" i="21"/>
  <c r="G87" i="21"/>
  <c r="I88" i="21"/>
  <c r="J88" i="21"/>
  <c r="K88" i="21"/>
  <c r="L88" i="21"/>
  <c r="M88" i="21"/>
  <c r="H88" i="21"/>
  <c r="G88" i="21"/>
  <c r="I89" i="21"/>
  <c r="J89" i="21"/>
  <c r="K89" i="21"/>
  <c r="L89" i="21"/>
  <c r="M89" i="21"/>
  <c r="H89" i="21"/>
  <c r="G89" i="21"/>
  <c r="I90" i="21"/>
  <c r="J90" i="21"/>
  <c r="K90" i="21"/>
  <c r="L90" i="21"/>
  <c r="M90" i="21"/>
  <c r="H90" i="21"/>
  <c r="G90" i="21"/>
  <c r="I91" i="21"/>
  <c r="J91" i="21"/>
  <c r="K91" i="21"/>
  <c r="L91" i="21"/>
  <c r="M91" i="21"/>
  <c r="H91" i="21"/>
  <c r="G91" i="21"/>
  <c r="I92" i="21"/>
  <c r="J92" i="21"/>
  <c r="K92" i="21"/>
  <c r="L92" i="21"/>
  <c r="M92" i="21"/>
  <c r="H92" i="21"/>
  <c r="G92" i="21"/>
  <c r="I93" i="21"/>
  <c r="J93" i="21"/>
  <c r="K93" i="21"/>
  <c r="L93" i="21"/>
  <c r="M93" i="21"/>
  <c r="H93" i="21"/>
  <c r="G93" i="21"/>
  <c r="I94" i="21"/>
  <c r="J94" i="21"/>
  <c r="K94" i="21"/>
  <c r="L94" i="21"/>
  <c r="M94" i="21"/>
  <c r="H94" i="21"/>
  <c r="G94" i="21"/>
  <c r="I95" i="21"/>
  <c r="J95" i="21"/>
  <c r="K95" i="21"/>
  <c r="L95" i="21"/>
  <c r="M95" i="21"/>
  <c r="H95" i="21"/>
  <c r="G95" i="21"/>
  <c r="I96" i="21"/>
  <c r="J96" i="21"/>
  <c r="K96" i="21"/>
  <c r="L96" i="21"/>
  <c r="M96" i="21"/>
  <c r="H96" i="21"/>
  <c r="G96" i="21"/>
  <c r="I97" i="21"/>
  <c r="J97" i="21"/>
  <c r="K97" i="21"/>
  <c r="L97" i="21"/>
  <c r="M97" i="21"/>
  <c r="H97" i="21"/>
  <c r="G97" i="21"/>
  <c r="I98" i="21"/>
  <c r="J98" i="21"/>
  <c r="K98" i="21"/>
  <c r="L98" i="21"/>
  <c r="M98" i="21"/>
  <c r="H98" i="21"/>
  <c r="G98" i="21"/>
  <c r="I99" i="21"/>
  <c r="J99" i="21"/>
  <c r="K99" i="21"/>
  <c r="L99" i="21"/>
  <c r="M99" i="21"/>
  <c r="H99" i="21"/>
  <c r="G99" i="21"/>
  <c r="G49" i="21"/>
  <c r="I101" i="21"/>
  <c r="J101" i="21"/>
  <c r="K101" i="21"/>
  <c r="L101" i="21"/>
  <c r="M101" i="21"/>
  <c r="H101" i="21"/>
  <c r="G101" i="21"/>
  <c r="I102" i="21"/>
  <c r="J102" i="21"/>
  <c r="K102" i="21"/>
  <c r="L102" i="21"/>
  <c r="M102" i="21"/>
  <c r="H102" i="21"/>
  <c r="G102" i="21"/>
  <c r="I103" i="21"/>
  <c r="J103" i="21"/>
  <c r="K103" i="21"/>
  <c r="L103" i="21"/>
  <c r="M103" i="21"/>
  <c r="H103" i="21"/>
  <c r="G103" i="21"/>
  <c r="I104" i="21"/>
  <c r="J104" i="21"/>
  <c r="K104" i="21"/>
  <c r="L104" i="21"/>
  <c r="M104" i="21"/>
  <c r="H104" i="21"/>
  <c r="G104" i="21"/>
  <c r="I105" i="21"/>
  <c r="J105" i="21"/>
  <c r="K105" i="21"/>
  <c r="L105" i="21"/>
  <c r="M105" i="21"/>
  <c r="H105" i="21"/>
  <c r="G105" i="21"/>
  <c r="I106" i="21"/>
  <c r="J106" i="21"/>
  <c r="K106" i="21"/>
  <c r="L106" i="21"/>
  <c r="M106" i="21"/>
  <c r="H106" i="21"/>
  <c r="G106" i="21"/>
  <c r="I107" i="21"/>
  <c r="J107" i="21"/>
  <c r="K107" i="21"/>
  <c r="L107" i="21"/>
  <c r="M107" i="21"/>
  <c r="H107" i="21"/>
  <c r="G107" i="21"/>
  <c r="I108" i="21"/>
  <c r="J108" i="21"/>
  <c r="K108" i="21"/>
  <c r="L108" i="21"/>
  <c r="M108" i="21"/>
  <c r="H108" i="21"/>
  <c r="G108" i="21"/>
  <c r="I109" i="21"/>
  <c r="J109" i="21"/>
  <c r="K109" i="21"/>
  <c r="L109" i="21"/>
  <c r="M109" i="21"/>
  <c r="H109" i="21"/>
  <c r="G109" i="21"/>
  <c r="I110" i="21"/>
  <c r="J110" i="21"/>
  <c r="K110" i="21"/>
  <c r="L110" i="21"/>
  <c r="M110" i="21"/>
  <c r="H110" i="21"/>
  <c r="G110" i="21"/>
  <c r="I111" i="21"/>
  <c r="J111" i="21"/>
  <c r="K111" i="21"/>
  <c r="L111" i="21"/>
  <c r="M111" i="21"/>
  <c r="H111" i="21"/>
  <c r="G111" i="21"/>
  <c r="I112" i="21"/>
  <c r="J112" i="21"/>
  <c r="K112" i="21"/>
  <c r="L112" i="21"/>
  <c r="M112" i="21"/>
  <c r="H112" i="21"/>
  <c r="G112" i="21"/>
  <c r="I113" i="21"/>
  <c r="J113" i="21"/>
  <c r="K113" i="21"/>
  <c r="L113" i="21"/>
  <c r="M113" i="21"/>
  <c r="H113" i="21"/>
  <c r="G113" i="21"/>
  <c r="I114" i="21"/>
  <c r="J114" i="21"/>
  <c r="K114" i="21"/>
  <c r="L114" i="21"/>
  <c r="M114" i="21"/>
  <c r="H114" i="21"/>
  <c r="G114" i="21"/>
  <c r="I115" i="21"/>
  <c r="J115" i="21"/>
  <c r="K115" i="21"/>
  <c r="L115" i="21"/>
  <c r="M115" i="21"/>
  <c r="H115" i="21"/>
  <c r="G115" i="21"/>
  <c r="I116" i="21"/>
  <c r="J116" i="21"/>
  <c r="K116" i="21"/>
  <c r="L116" i="21"/>
  <c r="M116" i="21"/>
  <c r="H116" i="21"/>
  <c r="G116" i="21"/>
  <c r="I117" i="21"/>
  <c r="J117" i="21"/>
  <c r="K117" i="21"/>
  <c r="L117" i="21"/>
  <c r="M117" i="21"/>
  <c r="H117" i="21"/>
  <c r="G117" i="21"/>
  <c r="I118" i="21"/>
  <c r="J118" i="21"/>
  <c r="K118" i="21"/>
  <c r="L118" i="21"/>
  <c r="M118" i="21"/>
  <c r="H118" i="21"/>
  <c r="G118" i="21"/>
  <c r="G100" i="21"/>
  <c r="I123" i="21"/>
  <c r="J123" i="21"/>
  <c r="K123" i="21"/>
  <c r="L123" i="21"/>
  <c r="M123" i="21"/>
  <c r="H123" i="21"/>
  <c r="G123" i="21"/>
  <c r="I124" i="21"/>
  <c r="J124" i="21"/>
  <c r="K124" i="21"/>
  <c r="L124" i="21"/>
  <c r="M124" i="21"/>
  <c r="H124" i="21"/>
  <c r="G124" i="21"/>
  <c r="I125" i="21"/>
  <c r="J125" i="21"/>
  <c r="K125" i="21"/>
  <c r="L125" i="21"/>
  <c r="M125" i="21"/>
  <c r="H125" i="21"/>
  <c r="G125" i="21"/>
  <c r="I126" i="21"/>
  <c r="J126" i="21"/>
  <c r="K126" i="21"/>
  <c r="L126" i="21"/>
  <c r="M126" i="21"/>
  <c r="H126" i="21"/>
  <c r="G126" i="21"/>
  <c r="I127" i="21"/>
  <c r="J127" i="21"/>
  <c r="K127" i="21"/>
  <c r="L127" i="21"/>
  <c r="M127" i="21"/>
  <c r="H127" i="21"/>
  <c r="G127" i="21"/>
  <c r="I128" i="21"/>
  <c r="J128" i="21"/>
  <c r="K128" i="21"/>
  <c r="L128" i="21"/>
  <c r="M128" i="21"/>
  <c r="H128" i="21"/>
  <c r="G128" i="21"/>
  <c r="I129" i="21"/>
  <c r="J129" i="21"/>
  <c r="K129" i="21"/>
  <c r="L129" i="21"/>
  <c r="M129" i="21"/>
  <c r="H129" i="21"/>
  <c r="G129" i="21"/>
  <c r="I130" i="21"/>
  <c r="J130" i="21"/>
  <c r="K130" i="21"/>
  <c r="L130" i="21"/>
  <c r="M130" i="21"/>
  <c r="H130" i="21"/>
  <c r="G130" i="21"/>
  <c r="I131" i="21"/>
  <c r="J131" i="21"/>
  <c r="K131" i="21"/>
  <c r="L131" i="21"/>
  <c r="M131" i="21"/>
  <c r="H131" i="21"/>
  <c r="G131" i="21"/>
  <c r="I132" i="21"/>
  <c r="J132" i="21"/>
  <c r="K132" i="21"/>
  <c r="L132" i="21"/>
  <c r="M132" i="21"/>
  <c r="H132" i="21"/>
  <c r="G132" i="21"/>
  <c r="I133" i="21"/>
  <c r="J133" i="21"/>
  <c r="K133" i="21"/>
  <c r="L133" i="21"/>
  <c r="M133" i="21"/>
  <c r="H133" i="21"/>
  <c r="G133" i="21"/>
  <c r="I134" i="21"/>
  <c r="J134" i="21"/>
  <c r="K134" i="21"/>
  <c r="L134" i="21"/>
  <c r="M134" i="21"/>
  <c r="H134" i="21"/>
  <c r="G134" i="21"/>
  <c r="I135" i="21"/>
  <c r="J135" i="21"/>
  <c r="K135" i="21"/>
  <c r="L135" i="21"/>
  <c r="M135" i="21"/>
  <c r="H135" i="21"/>
  <c r="G135" i="21"/>
  <c r="I136" i="21"/>
  <c r="J136" i="21"/>
  <c r="K136" i="21"/>
  <c r="L136" i="21"/>
  <c r="M136" i="21"/>
  <c r="H136" i="21"/>
  <c r="G136" i="21"/>
  <c r="I137" i="21"/>
  <c r="J137" i="21"/>
  <c r="K137" i="21"/>
  <c r="L137" i="21"/>
  <c r="M137" i="21"/>
  <c r="H137" i="21"/>
  <c r="G137" i="21"/>
  <c r="I138" i="21"/>
  <c r="J138" i="21"/>
  <c r="K138" i="21"/>
  <c r="L138" i="21"/>
  <c r="M138" i="21"/>
  <c r="H138" i="21"/>
  <c r="G138" i="21"/>
  <c r="I139" i="21"/>
  <c r="J139" i="21"/>
  <c r="K139" i="21"/>
  <c r="L139" i="21"/>
  <c r="M139" i="21"/>
  <c r="H139" i="21"/>
  <c r="G139" i="21"/>
  <c r="I140" i="21"/>
  <c r="J140" i="21"/>
  <c r="K140" i="21"/>
  <c r="L140" i="21"/>
  <c r="M140" i="21"/>
  <c r="H140" i="21"/>
  <c r="G140" i="21"/>
  <c r="I141" i="21"/>
  <c r="J141" i="21"/>
  <c r="K141" i="21"/>
  <c r="L141" i="21"/>
  <c r="M141" i="21"/>
  <c r="H141" i="21"/>
  <c r="G141" i="21"/>
  <c r="I142" i="21"/>
  <c r="J142" i="21"/>
  <c r="K142" i="21"/>
  <c r="L142" i="21"/>
  <c r="M142" i="21"/>
  <c r="H142" i="21"/>
  <c r="G142" i="21"/>
  <c r="I143" i="21"/>
  <c r="J143" i="21"/>
  <c r="K143" i="21"/>
  <c r="L143" i="21"/>
  <c r="M143" i="21"/>
  <c r="H143" i="21"/>
  <c r="G143" i="21"/>
  <c r="G122" i="21"/>
  <c r="I146" i="21"/>
  <c r="J146" i="21"/>
  <c r="K146" i="21"/>
  <c r="L146" i="21"/>
  <c r="M146" i="21"/>
  <c r="H146" i="21"/>
  <c r="G146" i="21"/>
  <c r="I147" i="21"/>
  <c r="J147" i="21"/>
  <c r="K147" i="21"/>
  <c r="L147" i="21"/>
  <c r="M147" i="21"/>
  <c r="H147" i="21"/>
  <c r="G147" i="21"/>
  <c r="I148" i="21"/>
  <c r="J148" i="21"/>
  <c r="K148" i="21"/>
  <c r="L148" i="21"/>
  <c r="M148" i="21"/>
  <c r="H148" i="21"/>
  <c r="G148" i="21"/>
  <c r="I149" i="21"/>
  <c r="J149" i="21"/>
  <c r="K149" i="21"/>
  <c r="L149" i="21"/>
  <c r="M149" i="21"/>
  <c r="H149" i="21"/>
  <c r="G149" i="21"/>
  <c r="I150" i="21"/>
  <c r="J150" i="21"/>
  <c r="K150" i="21"/>
  <c r="L150" i="21"/>
  <c r="M150" i="21"/>
  <c r="H150" i="21"/>
  <c r="G150" i="21"/>
  <c r="I151" i="21"/>
  <c r="J151" i="21"/>
  <c r="K151" i="21"/>
  <c r="L151" i="21"/>
  <c r="M151" i="21"/>
  <c r="H151" i="21"/>
  <c r="G151" i="21"/>
  <c r="I152" i="21"/>
  <c r="J152" i="21"/>
  <c r="K152" i="21"/>
  <c r="L152" i="21"/>
  <c r="M152" i="21"/>
  <c r="H152" i="21"/>
  <c r="G152" i="21"/>
  <c r="I153" i="21"/>
  <c r="J153" i="21"/>
  <c r="K153" i="21"/>
  <c r="L153" i="21"/>
  <c r="M153" i="21"/>
  <c r="H153" i="21"/>
  <c r="G153" i="21"/>
  <c r="I154" i="21"/>
  <c r="J154" i="21"/>
  <c r="K154" i="21"/>
  <c r="L154" i="21"/>
  <c r="M154" i="21"/>
  <c r="H154" i="21"/>
  <c r="G154" i="21"/>
  <c r="I155" i="21"/>
  <c r="J155" i="21"/>
  <c r="K155" i="21"/>
  <c r="L155" i="21"/>
  <c r="M155" i="21"/>
  <c r="H155" i="21"/>
  <c r="G155" i="21"/>
  <c r="I156" i="21"/>
  <c r="J156" i="21"/>
  <c r="K156" i="21"/>
  <c r="L156" i="21"/>
  <c r="M156" i="21"/>
  <c r="H156" i="21"/>
  <c r="G156" i="21"/>
  <c r="I157" i="21"/>
  <c r="J157" i="21"/>
  <c r="K157" i="21"/>
  <c r="L157" i="21"/>
  <c r="M157" i="21"/>
  <c r="H157" i="21"/>
  <c r="G157" i="21"/>
  <c r="I158" i="21"/>
  <c r="J158" i="21"/>
  <c r="K158" i="21"/>
  <c r="L158" i="21"/>
  <c r="M158" i="21"/>
  <c r="H158" i="21"/>
  <c r="G158" i="21"/>
  <c r="I159" i="21"/>
  <c r="J159" i="21"/>
  <c r="K159" i="21"/>
  <c r="L159" i="21"/>
  <c r="M159" i="21"/>
  <c r="H159" i="21"/>
  <c r="G159" i="21"/>
  <c r="I160" i="21"/>
  <c r="J160" i="21"/>
  <c r="K160" i="21"/>
  <c r="L160" i="21"/>
  <c r="M160" i="21"/>
  <c r="H160" i="21"/>
  <c r="G160" i="21"/>
  <c r="I161" i="21"/>
  <c r="J161" i="21"/>
  <c r="K161" i="21"/>
  <c r="L161" i="21"/>
  <c r="M161" i="21"/>
  <c r="H161" i="21"/>
  <c r="G161" i="21"/>
  <c r="G145" i="21"/>
  <c r="I165" i="21"/>
  <c r="J165" i="21"/>
  <c r="K165" i="21"/>
  <c r="L165" i="21"/>
  <c r="M165" i="21"/>
  <c r="H165" i="21"/>
  <c r="G165" i="21"/>
  <c r="I166" i="21"/>
  <c r="J166" i="21"/>
  <c r="K166" i="21"/>
  <c r="L166" i="21"/>
  <c r="M166" i="21"/>
  <c r="H166" i="21"/>
  <c r="G166" i="21"/>
  <c r="I167" i="21"/>
  <c r="J167" i="21"/>
  <c r="K167" i="21"/>
  <c r="L167" i="21"/>
  <c r="M167" i="21"/>
  <c r="H167" i="21"/>
  <c r="G167" i="21"/>
  <c r="I168" i="21"/>
  <c r="J168" i="21"/>
  <c r="K168" i="21"/>
  <c r="L168" i="21"/>
  <c r="M168" i="21"/>
  <c r="H168" i="21"/>
  <c r="G168" i="21"/>
  <c r="I169" i="21"/>
  <c r="J169" i="21"/>
  <c r="K169" i="21"/>
  <c r="L169" i="21"/>
  <c r="M169" i="21"/>
  <c r="H169" i="21"/>
  <c r="G169" i="21"/>
  <c r="I170" i="21"/>
  <c r="J170" i="21"/>
  <c r="K170" i="21"/>
  <c r="L170" i="21"/>
  <c r="M170" i="21"/>
  <c r="H170" i="21"/>
  <c r="G170" i="21"/>
  <c r="I171" i="21"/>
  <c r="J171" i="21"/>
  <c r="K171" i="21"/>
  <c r="L171" i="21"/>
  <c r="M171" i="21"/>
  <c r="H171" i="21"/>
  <c r="G171" i="21"/>
  <c r="I172" i="21"/>
  <c r="J172" i="21"/>
  <c r="K172" i="21"/>
  <c r="L172" i="21"/>
  <c r="M172" i="21"/>
  <c r="H172" i="21"/>
  <c r="G172" i="21"/>
  <c r="I173" i="21"/>
  <c r="J173" i="21"/>
  <c r="K173" i="21"/>
  <c r="L173" i="21"/>
  <c r="M173" i="21"/>
  <c r="H173" i="21"/>
  <c r="G173" i="21"/>
  <c r="I174" i="21"/>
  <c r="J174" i="21"/>
  <c r="K174" i="21"/>
  <c r="L174" i="21"/>
  <c r="M174" i="21"/>
  <c r="H174" i="21"/>
  <c r="G174" i="21"/>
  <c r="I175" i="21"/>
  <c r="J175" i="21"/>
  <c r="K175" i="21"/>
  <c r="L175" i="21"/>
  <c r="M175" i="21"/>
  <c r="H175" i="21"/>
  <c r="G175" i="21"/>
  <c r="I176" i="21"/>
  <c r="J176" i="21"/>
  <c r="K176" i="21"/>
  <c r="L176" i="21"/>
  <c r="M176" i="21"/>
  <c r="H176" i="21"/>
  <c r="G176" i="21"/>
  <c r="I177" i="21"/>
  <c r="J177" i="21"/>
  <c r="K177" i="21"/>
  <c r="L177" i="21"/>
  <c r="M177" i="21"/>
  <c r="H177" i="21"/>
  <c r="G177" i="21"/>
  <c r="I178" i="21"/>
  <c r="J178" i="21"/>
  <c r="K178" i="21"/>
  <c r="L178" i="21"/>
  <c r="M178" i="21"/>
  <c r="H178" i="21"/>
  <c r="G178" i="21"/>
  <c r="I179" i="21"/>
  <c r="J179" i="21"/>
  <c r="K179" i="21"/>
  <c r="L179" i="21"/>
  <c r="M179" i="21"/>
  <c r="H179" i="21"/>
  <c r="G179" i="21"/>
  <c r="I180" i="21"/>
  <c r="J180" i="21"/>
  <c r="K180" i="21"/>
  <c r="L180" i="21"/>
  <c r="M180" i="21"/>
  <c r="H180" i="21"/>
  <c r="G180" i="21"/>
  <c r="I181" i="21"/>
  <c r="J181" i="21"/>
  <c r="K181" i="21"/>
  <c r="L181" i="21"/>
  <c r="M181" i="21"/>
  <c r="H181" i="21"/>
  <c r="G181" i="21"/>
  <c r="I182" i="21"/>
  <c r="J182" i="21"/>
  <c r="K182" i="21"/>
  <c r="L182" i="21"/>
  <c r="M182" i="21"/>
  <c r="H182" i="21"/>
  <c r="G182" i="21"/>
  <c r="I183" i="21"/>
  <c r="J183" i="21"/>
  <c r="K183" i="21"/>
  <c r="L183" i="21"/>
  <c r="M183" i="21"/>
  <c r="H183" i="21"/>
  <c r="G183" i="21"/>
  <c r="I184" i="21"/>
  <c r="J184" i="21"/>
  <c r="K184" i="21"/>
  <c r="L184" i="21"/>
  <c r="M184" i="21"/>
  <c r="H184" i="21"/>
  <c r="G184" i="21"/>
  <c r="G164" i="21"/>
  <c r="I190" i="21"/>
  <c r="J190" i="21"/>
  <c r="K190" i="21"/>
  <c r="L190" i="21"/>
  <c r="M190" i="21"/>
  <c r="H190" i="21"/>
  <c r="G190" i="21"/>
  <c r="I191" i="21"/>
  <c r="J191" i="21"/>
  <c r="K191" i="21"/>
  <c r="L191" i="21"/>
  <c r="M191" i="21"/>
  <c r="H191" i="21"/>
  <c r="G191" i="21"/>
  <c r="I192" i="21"/>
  <c r="J192" i="21"/>
  <c r="K192" i="21"/>
  <c r="L192" i="21"/>
  <c r="M192" i="21"/>
  <c r="H192" i="21"/>
  <c r="G192" i="21"/>
  <c r="I193" i="21"/>
  <c r="J193" i="21"/>
  <c r="K193" i="21"/>
  <c r="L193" i="21"/>
  <c r="M193" i="21"/>
  <c r="H193" i="21"/>
  <c r="G193" i="21"/>
  <c r="I194" i="21"/>
  <c r="J194" i="21"/>
  <c r="K194" i="21"/>
  <c r="L194" i="21"/>
  <c r="M194" i="21"/>
  <c r="H194" i="21"/>
  <c r="G194" i="21"/>
  <c r="I195" i="21"/>
  <c r="J195" i="21"/>
  <c r="K195" i="21"/>
  <c r="L195" i="21"/>
  <c r="M195" i="21"/>
  <c r="H195" i="21"/>
  <c r="G195" i="21"/>
  <c r="I196" i="21"/>
  <c r="J196" i="21"/>
  <c r="K196" i="21"/>
  <c r="L196" i="21"/>
  <c r="M196" i="21"/>
  <c r="H196" i="21"/>
  <c r="G196" i="21"/>
  <c r="I197" i="21"/>
  <c r="J197" i="21"/>
  <c r="K197" i="21"/>
  <c r="L197" i="21"/>
  <c r="M197" i="21"/>
  <c r="H197" i="21"/>
  <c r="G197" i="21"/>
  <c r="I198" i="21"/>
  <c r="J198" i="21"/>
  <c r="K198" i="21"/>
  <c r="L198" i="21"/>
  <c r="M198" i="21"/>
  <c r="H198" i="21"/>
  <c r="G198" i="21"/>
  <c r="G189" i="21"/>
  <c r="I201" i="21"/>
  <c r="J201" i="21"/>
  <c r="K201" i="21"/>
  <c r="L201" i="21"/>
  <c r="M201" i="21"/>
  <c r="H201" i="21"/>
  <c r="G201" i="21"/>
  <c r="I202" i="21"/>
  <c r="J202" i="21"/>
  <c r="K202" i="21"/>
  <c r="L202" i="21"/>
  <c r="M202" i="21"/>
  <c r="H202" i="21"/>
  <c r="G202" i="21"/>
  <c r="I203" i="21"/>
  <c r="J203" i="21"/>
  <c r="K203" i="21"/>
  <c r="L203" i="21"/>
  <c r="M203" i="21"/>
  <c r="H203" i="21"/>
  <c r="G203" i="21"/>
  <c r="I204" i="21"/>
  <c r="J204" i="21"/>
  <c r="K204" i="21"/>
  <c r="L204" i="21"/>
  <c r="M204" i="21"/>
  <c r="H204" i="21"/>
  <c r="G204" i="21"/>
  <c r="I205" i="21"/>
  <c r="J205" i="21"/>
  <c r="K205" i="21"/>
  <c r="L205" i="21"/>
  <c r="M205" i="21"/>
  <c r="H205" i="21"/>
  <c r="G205" i="21"/>
  <c r="I206" i="21"/>
  <c r="J206" i="21"/>
  <c r="K206" i="21"/>
  <c r="L206" i="21"/>
  <c r="M206" i="21"/>
  <c r="H206" i="21"/>
  <c r="G206" i="21"/>
  <c r="I207" i="21"/>
  <c r="J207" i="21"/>
  <c r="K207" i="21"/>
  <c r="L207" i="21"/>
  <c r="M207" i="21"/>
  <c r="H207" i="21"/>
  <c r="G207" i="21"/>
  <c r="I208" i="21"/>
  <c r="J208" i="21"/>
  <c r="K208" i="21"/>
  <c r="L208" i="21"/>
  <c r="M208" i="21"/>
  <c r="H208" i="21"/>
  <c r="G208" i="21"/>
  <c r="I209" i="21"/>
  <c r="J209" i="21"/>
  <c r="K209" i="21"/>
  <c r="L209" i="21"/>
  <c r="M209" i="21"/>
  <c r="H209" i="21"/>
  <c r="G209" i="21"/>
  <c r="I210" i="21"/>
  <c r="J210" i="21"/>
  <c r="K210" i="21"/>
  <c r="L210" i="21"/>
  <c r="M210" i="21"/>
  <c r="H210" i="21"/>
  <c r="G210" i="21"/>
  <c r="I211" i="21"/>
  <c r="J211" i="21"/>
  <c r="K211" i="21"/>
  <c r="L211" i="21"/>
  <c r="M211" i="21"/>
  <c r="H211" i="21"/>
  <c r="G211" i="21"/>
  <c r="I212" i="21"/>
  <c r="J212" i="21"/>
  <c r="K212" i="21"/>
  <c r="L212" i="21"/>
  <c r="M212" i="21"/>
  <c r="H212" i="21"/>
  <c r="G212" i="21"/>
  <c r="I213" i="21"/>
  <c r="J213" i="21"/>
  <c r="K213" i="21"/>
  <c r="L213" i="21"/>
  <c r="M213" i="21"/>
  <c r="H213" i="21"/>
  <c r="G213" i="21"/>
  <c r="I214" i="21"/>
  <c r="J214" i="21"/>
  <c r="K214" i="21"/>
  <c r="L214" i="21"/>
  <c r="M214" i="21"/>
  <c r="H214" i="21"/>
  <c r="G214" i="21"/>
  <c r="I215" i="21"/>
  <c r="J215" i="21"/>
  <c r="K215" i="21"/>
  <c r="L215" i="21"/>
  <c r="M215" i="21"/>
  <c r="H215" i="21"/>
  <c r="G215" i="21"/>
  <c r="G200" i="21"/>
  <c r="I218" i="21"/>
  <c r="J218" i="21"/>
  <c r="K218" i="21"/>
  <c r="L218" i="21"/>
  <c r="M218" i="21"/>
  <c r="H218" i="21"/>
  <c r="G218" i="21"/>
  <c r="I219" i="21"/>
  <c r="J219" i="21"/>
  <c r="K219" i="21"/>
  <c r="L219" i="21"/>
  <c r="M219" i="21"/>
  <c r="H219" i="21"/>
  <c r="G219" i="21"/>
  <c r="I220" i="21"/>
  <c r="J220" i="21"/>
  <c r="K220" i="21"/>
  <c r="L220" i="21"/>
  <c r="M220" i="21"/>
  <c r="H220" i="21"/>
  <c r="G220" i="21"/>
  <c r="I221" i="21"/>
  <c r="J221" i="21"/>
  <c r="K221" i="21"/>
  <c r="L221" i="21"/>
  <c r="M221" i="21"/>
  <c r="H221" i="21"/>
  <c r="G221" i="21"/>
  <c r="I222" i="21"/>
  <c r="J222" i="21"/>
  <c r="K222" i="21"/>
  <c r="L222" i="21"/>
  <c r="M222" i="21"/>
  <c r="H222" i="21"/>
  <c r="G222" i="21"/>
  <c r="I223" i="21"/>
  <c r="J223" i="21"/>
  <c r="K223" i="21"/>
  <c r="L223" i="21"/>
  <c r="M223" i="21"/>
  <c r="H223" i="21"/>
  <c r="G223" i="21"/>
  <c r="I224" i="21"/>
  <c r="J224" i="21"/>
  <c r="K224" i="21"/>
  <c r="L224" i="21"/>
  <c r="M224" i="21"/>
  <c r="H224" i="21"/>
  <c r="G224" i="21"/>
  <c r="I225" i="21"/>
  <c r="J225" i="21"/>
  <c r="K225" i="21"/>
  <c r="L225" i="21"/>
  <c r="M225" i="21"/>
  <c r="H225" i="21"/>
  <c r="G225" i="21"/>
  <c r="I226" i="21"/>
  <c r="J226" i="21"/>
  <c r="K226" i="21"/>
  <c r="L226" i="21"/>
  <c r="M226" i="21"/>
  <c r="H226" i="21"/>
  <c r="G226" i="21"/>
  <c r="I227" i="21"/>
  <c r="J227" i="21"/>
  <c r="K227" i="21"/>
  <c r="L227" i="21"/>
  <c r="M227" i="21"/>
  <c r="H227" i="21"/>
  <c r="G227" i="21"/>
  <c r="I228" i="21"/>
  <c r="J228" i="21"/>
  <c r="K228" i="21"/>
  <c r="L228" i="21"/>
  <c r="M228" i="21"/>
  <c r="H228" i="21"/>
  <c r="G228" i="21"/>
  <c r="I229" i="21"/>
  <c r="J229" i="21"/>
  <c r="K229" i="21"/>
  <c r="L229" i="21"/>
  <c r="M229" i="21"/>
  <c r="H229" i="21"/>
  <c r="G229" i="21"/>
  <c r="I230" i="21"/>
  <c r="J230" i="21"/>
  <c r="K230" i="21"/>
  <c r="L230" i="21"/>
  <c r="M230" i="21"/>
  <c r="H230" i="21"/>
  <c r="G230" i="21"/>
  <c r="I231" i="21"/>
  <c r="J231" i="21"/>
  <c r="K231" i="21"/>
  <c r="L231" i="21"/>
  <c r="M231" i="21"/>
  <c r="H231" i="21"/>
  <c r="G231" i="21"/>
  <c r="I232" i="21"/>
  <c r="J232" i="21"/>
  <c r="K232" i="21"/>
  <c r="L232" i="21"/>
  <c r="M232" i="21"/>
  <c r="H232" i="21"/>
  <c r="G232" i="21"/>
  <c r="I233" i="21"/>
  <c r="J233" i="21"/>
  <c r="K233" i="21"/>
  <c r="L233" i="21"/>
  <c r="M233" i="21"/>
  <c r="H233" i="21"/>
  <c r="G233" i="21"/>
  <c r="G217" i="21"/>
  <c r="I238" i="21"/>
  <c r="J238" i="21"/>
  <c r="K238" i="21"/>
  <c r="L238" i="21"/>
  <c r="M238" i="21"/>
  <c r="H238" i="21"/>
  <c r="G238" i="21"/>
  <c r="I239" i="21"/>
  <c r="J239" i="21"/>
  <c r="K239" i="21"/>
  <c r="L239" i="21"/>
  <c r="M239" i="21"/>
  <c r="H239" i="21"/>
  <c r="G239" i="21"/>
  <c r="I240" i="21"/>
  <c r="J240" i="21"/>
  <c r="K240" i="21"/>
  <c r="L240" i="21"/>
  <c r="M240" i="21"/>
  <c r="H240" i="21"/>
  <c r="G240" i="21"/>
  <c r="I241" i="21"/>
  <c r="J241" i="21"/>
  <c r="K241" i="21"/>
  <c r="L241" i="21"/>
  <c r="M241" i="21"/>
  <c r="H241" i="21"/>
  <c r="G241" i="21"/>
  <c r="I242" i="21"/>
  <c r="J242" i="21"/>
  <c r="K242" i="21"/>
  <c r="L242" i="21"/>
  <c r="M242" i="21"/>
  <c r="H242" i="21"/>
  <c r="G242" i="21"/>
  <c r="I243" i="21"/>
  <c r="J243" i="21"/>
  <c r="K243" i="21"/>
  <c r="L243" i="21"/>
  <c r="M243" i="21"/>
  <c r="H243" i="21"/>
  <c r="G243" i="21"/>
  <c r="I244" i="21"/>
  <c r="J244" i="21"/>
  <c r="K244" i="21"/>
  <c r="L244" i="21"/>
  <c r="M244" i="21"/>
  <c r="H244" i="21"/>
  <c r="G244" i="21"/>
  <c r="I246" i="21"/>
  <c r="J246" i="21"/>
  <c r="K246" i="21"/>
  <c r="L246" i="21"/>
  <c r="M246" i="21"/>
  <c r="H246" i="21"/>
  <c r="G246" i="21"/>
  <c r="I247" i="21"/>
  <c r="J247" i="21"/>
  <c r="K247" i="21"/>
  <c r="L247" i="21"/>
  <c r="M247" i="21"/>
  <c r="H247" i="21"/>
  <c r="G247" i="21"/>
  <c r="G245" i="21"/>
  <c r="I249" i="21"/>
  <c r="J249" i="21"/>
  <c r="K249" i="21"/>
  <c r="L249" i="21"/>
  <c r="M249" i="21"/>
  <c r="H249" i="21"/>
  <c r="G249" i="21"/>
  <c r="I250" i="21"/>
  <c r="J250" i="21"/>
  <c r="K250" i="21"/>
  <c r="L250" i="21"/>
  <c r="M250" i="21"/>
  <c r="H250" i="21"/>
  <c r="G250" i="21"/>
  <c r="G248" i="21"/>
  <c r="I252" i="21"/>
  <c r="J252" i="21"/>
  <c r="K252" i="21"/>
  <c r="L252" i="21"/>
  <c r="M252" i="21"/>
  <c r="H252" i="21"/>
  <c r="G252" i="21"/>
  <c r="I253" i="21"/>
  <c r="J253" i="21"/>
  <c r="K253" i="21"/>
  <c r="L253" i="21"/>
  <c r="M253" i="21"/>
  <c r="H253" i="21"/>
  <c r="G253" i="21"/>
  <c r="I254" i="21"/>
  <c r="J254" i="21"/>
  <c r="K254" i="21"/>
  <c r="L254" i="21"/>
  <c r="M254" i="21"/>
  <c r="H254" i="21"/>
  <c r="G254" i="21"/>
  <c r="I255" i="21"/>
  <c r="J255" i="21"/>
  <c r="K255" i="21"/>
  <c r="L255" i="21"/>
  <c r="M255" i="21"/>
  <c r="H255" i="21"/>
  <c r="G255" i="21"/>
  <c r="I256" i="21"/>
  <c r="J256" i="21"/>
  <c r="K256" i="21"/>
  <c r="L256" i="21"/>
  <c r="M256" i="21"/>
  <c r="H256" i="21"/>
  <c r="G256" i="21"/>
  <c r="I257" i="21"/>
  <c r="J257" i="21"/>
  <c r="K257" i="21"/>
  <c r="L257" i="21"/>
  <c r="M257" i="21"/>
  <c r="H257" i="21"/>
  <c r="G257" i="21"/>
  <c r="I258" i="21"/>
  <c r="J258" i="21"/>
  <c r="K258" i="21"/>
  <c r="L258" i="21"/>
  <c r="M258" i="21"/>
  <c r="H258" i="21"/>
  <c r="G258" i="21"/>
  <c r="I259" i="21"/>
  <c r="J259" i="21"/>
  <c r="K259" i="21"/>
  <c r="L259" i="21"/>
  <c r="M259" i="21"/>
  <c r="H259" i="21"/>
  <c r="G259" i="21"/>
  <c r="G251" i="21"/>
  <c r="G237" i="21"/>
  <c r="G6" i="21"/>
  <c r="B476" i="9"/>
  <c r="I9" i="21"/>
  <c r="I15" i="21"/>
  <c r="I21" i="21"/>
  <c r="I28" i="21"/>
  <c r="I36" i="21"/>
  <c r="I66" i="21"/>
  <c r="I49" i="21"/>
  <c r="I100" i="21"/>
  <c r="I122" i="21"/>
  <c r="I145" i="21"/>
  <c r="I164" i="21"/>
  <c r="I189" i="21"/>
  <c r="I200" i="21"/>
  <c r="I217" i="21"/>
  <c r="I245" i="21"/>
  <c r="I248" i="21"/>
  <c r="I251" i="21"/>
  <c r="I237" i="21"/>
  <c r="I6" i="21"/>
  <c r="B480" i="9"/>
  <c r="H966" i="23"/>
  <c r="C966" i="23"/>
  <c r="D966" i="23"/>
  <c r="E966" i="23"/>
  <c r="J650" i="12"/>
  <c r="I18" i="9"/>
  <c r="I19" i="9"/>
  <c r="H967" i="23"/>
  <c r="B967" i="23"/>
  <c r="C967" i="23"/>
  <c r="D967" i="23"/>
  <c r="E967" i="23"/>
  <c r="J651" i="12"/>
  <c r="H968" i="23"/>
  <c r="C968" i="23"/>
  <c r="D968" i="23"/>
  <c r="E968" i="23"/>
  <c r="J652" i="12"/>
  <c r="B478" i="9"/>
  <c r="H969" i="23"/>
  <c r="C969" i="23"/>
  <c r="D969" i="23"/>
  <c r="E969" i="23"/>
  <c r="J653" i="12"/>
  <c r="H970" i="23"/>
  <c r="C970" i="23"/>
  <c r="D970" i="23"/>
  <c r="E970" i="23"/>
  <c r="J654" i="12"/>
  <c r="H971" i="23"/>
  <c r="C971" i="23"/>
  <c r="D971" i="23"/>
  <c r="E971" i="23"/>
  <c r="J655" i="12"/>
  <c r="C972" i="23"/>
  <c r="D972" i="23"/>
  <c r="E972" i="23"/>
  <c r="J656" i="12"/>
  <c r="H973" i="23"/>
  <c r="C973" i="23"/>
  <c r="D973" i="23"/>
  <c r="E973" i="23"/>
  <c r="J657" i="12"/>
  <c r="C974" i="23"/>
  <c r="D974" i="23"/>
  <c r="E974" i="23"/>
  <c r="J658" i="12"/>
  <c r="C975" i="23"/>
  <c r="D975" i="23"/>
  <c r="E975" i="23"/>
  <c r="J659" i="12"/>
  <c r="C977" i="23"/>
  <c r="D977" i="23"/>
  <c r="E977" i="23"/>
  <c r="J661" i="12"/>
  <c r="D4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145" i="19"/>
  <c r="B60" i="9"/>
  <c r="G66" i="19"/>
  <c r="N66" i="19"/>
  <c r="G67" i="19"/>
  <c r="N67" i="19"/>
  <c r="G68" i="19"/>
  <c r="N68" i="19"/>
  <c r="N71" i="19"/>
  <c r="N8" i="19"/>
  <c r="N9" i="19"/>
  <c r="N10" i="19"/>
  <c r="N11" i="19"/>
  <c r="N12" i="19"/>
  <c r="N13" i="19"/>
  <c r="N14" i="19"/>
  <c r="N15" i="19"/>
  <c r="N16" i="19"/>
  <c r="N17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G69" i="19"/>
  <c r="N69" i="19"/>
  <c r="N70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G95" i="19"/>
  <c r="N95" i="19"/>
  <c r="N96" i="19"/>
  <c r="N97" i="19"/>
  <c r="N98" i="19"/>
  <c r="N99" i="19"/>
  <c r="N100" i="19"/>
  <c r="N101" i="19"/>
  <c r="N102" i="19"/>
  <c r="G103" i="19"/>
  <c r="N103" i="19"/>
  <c r="G104" i="19"/>
  <c r="N104" i="19"/>
  <c r="G105" i="19"/>
  <c r="N105" i="19"/>
  <c r="G106" i="19"/>
  <c r="N106" i="19"/>
  <c r="G107" i="19"/>
  <c r="N107" i="19"/>
  <c r="G108" i="19"/>
  <c r="N108" i="19"/>
  <c r="N109" i="19"/>
  <c r="N110" i="19"/>
  <c r="N111" i="19"/>
  <c r="N112" i="19"/>
  <c r="N113" i="19"/>
  <c r="N114" i="19"/>
  <c r="N115" i="19"/>
  <c r="G116" i="19"/>
  <c r="N116" i="19"/>
  <c r="G117" i="19"/>
  <c r="N117" i="19"/>
  <c r="G118" i="19"/>
  <c r="N118" i="19"/>
  <c r="N119" i="19"/>
  <c r="N120" i="19"/>
  <c r="N121" i="19"/>
  <c r="N122" i="19"/>
  <c r="N123" i="19"/>
  <c r="N124" i="19"/>
  <c r="N125" i="19"/>
  <c r="G126" i="19"/>
  <c r="N126" i="19"/>
  <c r="G127" i="19"/>
  <c r="N127" i="19"/>
  <c r="G128" i="19"/>
  <c r="N128" i="19"/>
  <c r="G129" i="19"/>
  <c r="N129" i="19"/>
  <c r="G130" i="19"/>
  <c r="N130" i="19"/>
  <c r="N131" i="19"/>
  <c r="N132" i="19"/>
  <c r="N133" i="19"/>
  <c r="N134" i="19"/>
  <c r="N135" i="19"/>
  <c r="N136" i="19"/>
  <c r="N137" i="19"/>
  <c r="N138" i="19"/>
  <c r="N139" i="19"/>
  <c r="N140" i="19"/>
  <c r="G141" i="19"/>
  <c r="N141" i="19"/>
  <c r="G142" i="19"/>
  <c r="N142" i="19"/>
  <c r="N143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71" i="19"/>
  <c r="N272" i="19"/>
  <c r="N273" i="19"/>
  <c r="N274" i="19"/>
  <c r="N275" i="19"/>
  <c r="N276" i="19"/>
  <c r="N277" i="19"/>
  <c r="N278" i="19"/>
  <c r="N279" i="19"/>
  <c r="N280" i="19"/>
  <c r="N281" i="19"/>
  <c r="N282" i="19"/>
  <c r="N283" i="19"/>
  <c r="N284" i="19"/>
  <c r="N285" i="19"/>
  <c r="N286" i="19"/>
  <c r="N287" i="19"/>
  <c r="N288" i="19"/>
  <c r="N307" i="19"/>
  <c r="N308" i="19"/>
  <c r="N309" i="19"/>
  <c r="N310" i="19"/>
  <c r="N311" i="19"/>
  <c r="N312" i="19"/>
  <c r="N313" i="19"/>
  <c r="N314" i="19"/>
  <c r="N315" i="19"/>
  <c r="N316" i="19"/>
  <c r="N317" i="19"/>
  <c r="N318" i="19"/>
  <c r="N319" i="19"/>
  <c r="N320" i="19"/>
  <c r="N321" i="19"/>
  <c r="N322" i="19"/>
  <c r="N323" i="19"/>
  <c r="N324" i="19"/>
  <c r="N325" i="19"/>
  <c r="N326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339" i="19"/>
  <c r="N340" i="19"/>
  <c r="N341" i="19"/>
  <c r="N342" i="19"/>
  <c r="N344" i="19"/>
  <c r="N345" i="19"/>
  <c r="N346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25" i="19"/>
  <c r="N426" i="19"/>
  <c r="N427" i="19"/>
  <c r="N429" i="19"/>
  <c r="N430" i="19"/>
  <c r="N431" i="19"/>
  <c r="N432" i="19"/>
  <c r="N433" i="19"/>
  <c r="N434" i="19"/>
  <c r="N435" i="19"/>
  <c r="N439" i="19"/>
  <c r="N440" i="19"/>
  <c r="N441" i="19"/>
  <c r="N442" i="19"/>
  <c r="N443" i="19"/>
  <c r="N444" i="19"/>
  <c r="N445" i="19"/>
  <c r="N446" i="19"/>
  <c r="N447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465" i="19"/>
  <c r="N466" i="19"/>
  <c r="N467" i="19"/>
  <c r="N468" i="19"/>
  <c r="N469" i="19"/>
  <c r="N470" i="19"/>
  <c r="N473" i="19"/>
  <c r="N474" i="19"/>
  <c r="N475" i="19"/>
  <c r="N476" i="19"/>
  <c r="N477" i="19"/>
  <c r="N478" i="19"/>
  <c r="N479" i="19"/>
  <c r="N480" i="19"/>
  <c r="N481" i="19"/>
  <c r="N482" i="19"/>
  <c r="N483" i="19"/>
  <c r="N484" i="19"/>
  <c r="N485" i="19"/>
  <c r="N486" i="19"/>
  <c r="N487" i="19"/>
  <c r="N488" i="19"/>
  <c r="N489" i="19"/>
  <c r="N490" i="19"/>
  <c r="N491" i="19"/>
  <c r="N492" i="19"/>
  <c r="N493" i="19"/>
  <c r="N494" i="19"/>
  <c r="N495" i="19"/>
  <c r="N496" i="19"/>
  <c r="N497" i="19"/>
  <c r="N498" i="19"/>
  <c r="N499" i="19"/>
  <c r="N500" i="19"/>
  <c r="N501" i="19"/>
  <c r="N502" i="19"/>
  <c r="N503" i="19"/>
  <c r="N504" i="19"/>
  <c r="N505" i="19"/>
  <c r="N506" i="19"/>
  <c r="N507" i="19"/>
  <c r="N508" i="19"/>
  <c r="N509" i="19"/>
  <c r="N510" i="19"/>
  <c r="N511" i="19"/>
  <c r="N512" i="19"/>
  <c r="N513" i="19"/>
  <c r="N514" i="19"/>
  <c r="N515" i="19"/>
  <c r="N516" i="19"/>
  <c r="N517" i="19"/>
  <c r="N518" i="19"/>
  <c r="N519" i="19"/>
  <c r="N520" i="19"/>
  <c r="N521" i="19"/>
  <c r="N522" i="19"/>
  <c r="N523" i="19"/>
  <c r="N524" i="19"/>
  <c r="N525" i="19"/>
  <c r="N526" i="19"/>
  <c r="N527" i="19"/>
  <c r="N528" i="19"/>
  <c r="N529" i="19"/>
  <c r="N530" i="19"/>
  <c r="N531" i="19"/>
  <c r="N532" i="19"/>
  <c r="N533" i="19"/>
  <c r="N534" i="19"/>
  <c r="N535" i="19"/>
  <c r="N536" i="19"/>
  <c r="N537" i="19"/>
  <c r="N538" i="19"/>
  <c r="N539" i="19"/>
  <c r="N540" i="19"/>
  <c r="N541" i="19"/>
  <c r="N542" i="19"/>
  <c r="N543" i="19"/>
  <c r="N544" i="19"/>
  <c r="N545" i="19"/>
  <c r="N546" i="19"/>
  <c r="N547" i="19"/>
  <c r="N548" i="19"/>
  <c r="N549" i="19"/>
  <c r="N550" i="19"/>
  <c r="N551" i="19"/>
  <c r="N552" i="19"/>
  <c r="N553" i="19"/>
  <c r="N554" i="19"/>
  <c r="N555" i="19"/>
  <c r="N556" i="19"/>
  <c r="N557" i="19"/>
  <c r="N558" i="19"/>
  <c r="N559" i="19"/>
  <c r="N560" i="19"/>
  <c r="N561" i="19"/>
  <c r="N562" i="19"/>
  <c r="N563" i="19"/>
  <c r="N564" i="19"/>
  <c r="N565" i="19"/>
  <c r="N566" i="19"/>
  <c r="N567" i="19"/>
  <c r="N568" i="19"/>
  <c r="N569" i="19"/>
  <c r="N570" i="19"/>
  <c r="N571" i="19"/>
  <c r="N572" i="19"/>
  <c r="N573" i="19"/>
  <c r="N574" i="19"/>
  <c r="N575" i="19"/>
  <c r="N576" i="19"/>
  <c r="N577" i="19"/>
  <c r="N578" i="19"/>
  <c r="N579" i="19"/>
  <c r="N580" i="19"/>
  <c r="N581" i="19"/>
  <c r="N582" i="19"/>
  <c r="N583" i="19"/>
  <c r="N584" i="19"/>
  <c r="N585" i="19"/>
  <c r="N586" i="19"/>
  <c r="N587" i="19"/>
  <c r="N588" i="19"/>
  <c r="N589" i="19"/>
  <c r="N590" i="19"/>
  <c r="N591" i="19"/>
  <c r="N592" i="19"/>
  <c r="N593" i="19"/>
  <c r="N594" i="19"/>
  <c r="N595" i="19"/>
  <c r="N596" i="19"/>
  <c r="N599" i="19"/>
  <c r="N600" i="19"/>
  <c r="N601" i="19"/>
  <c r="N602" i="19"/>
  <c r="N603" i="19"/>
  <c r="N604" i="19"/>
  <c r="N605" i="19"/>
  <c r="N606" i="19"/>
  <c r="N607" i="19"/>
  <c r="N608" i="19"/>
  <c r="N609" i="19"/>
  <c r="N610" i="19"/>
  <c r="N611" i="19"/>
  <c r="N612" i="19"/>
  <c r="N613" i="19"/>
  <c r="N614" i="19"/>
  <c r="N615" i="19"/>
  <c r="N616" i="19"/>
  <c r="N617" i="19"/>
  <c r="N618" i="19"/>
  <c r="N619" i="19"/>
  <c r="N620" i="19"/>
  <c r="N621" i="19"/>
  <c r="N622" i="19"/>
  <c r="N623" i="19"/>
  <c r="N624" i="19"/>
  <c r="N625" i="19"/>
  <c r="N626" i="19"/>
  <c r="N627" i="19"/>
  <c r="N628" i="19"/>
  <c r="N629" i="19"/>
  <c r="N630" i="19"/>
  <c r="N631" i="19"/>
  <c r="N632" i="19"/>
  <c r="N633" i="19"/>
  <c r="N634" i="19"/>
  <c r="N635" i="19"/>
  <c r="N636" i="19"/>
  <c r="N637" i="19"/>
  <c r="N638" i="19"/>
  <c r="N639" i="19"/>
  <c r="N640" i="19"/>
  <c r="N641" i="19"/>
  <c r="N642" i="19"/>
  <c r="N643" i="19"/>
  <c r="N644" i="19"/>
  <c r="N645" i="19"/>
  <c r="N646" i="19"/>
  <c r="N647" i="19"/>
  <c r="N648" i="19"/>
  <c r="N649" i="19"/>
  <c r="N650" i="19"/>
  <c r="N651" i="19"/>
  <c r="N652" i="19"/>
  <c r="N653" i="19"/>
  <c r="N654" i="19"/>
  <c r="N655" i="19"/>
  <c r="N656" i="19"/>
  <c r="N657" i="19"/>
  <c r="N658" i="19"/>
  <c r="N659" i="19"/>
  <c r="N660" i="19"/>
  <c r="N661" i="19"/>
  <c r="N662" i="19"/>
  <c r="N663" i="19"/>
  <c r="N664" i="19"/>
  <c r="N665" i="19"/>
  <c r="N666" i="19"/>
  <c r="N667" i="19"/>
  <c r="N668" i="19"/>
  <c r="N669" i="19"/>
  <c r="N670" i="19"/>
  <c r="N671" i="19"/>
  <c r="N672" i="19"/>
  <c r="N673" i="19"/>
  <c r="N674" i="19"/>
  <c r="N675" i="19"/>
  <c r="N676" i="19"/>
  <c r="N679" i="19"/>
  <c r="N680" i="19"/>
  <c r="N681" i="19"/>
  <c r="N682" i="19"/>
  <c r="N683" i="19"/>
  <c r="N684" i="19"/>
  <c r="N685" i="19"/>
  <c r="N686" i="19"/>
  <c r="N687" i="19"/>
  <c r="N688" i="19"/>
  <c r="N689" i="19"/>
  <c r="N690" i="19"/>
  <c r="N691" i="19"/>
  <c r="N692" i="19"/>
  <c r="N693" i="19"/>
  <c r="N694" i="19"/>
  <c r="N695" i="19"/>
  <c r="N696" i="19"/>
  <c r="N698" i="19"/>
  <c r="N699" i="19"/>
  <c r="N700" i="19"/>
  <c r="N701" i="19"/>
  <c r="N702" i="19"/>
  <c r="N703" i="19"/>
  <c r="N705" i="19"/>
  <c r="N706" i="19"/>
  <c r="N707" i="19"/>
  <c r="N708" i="19"/>
  <c r="N709" i="19"/>
  <c r="N710" i="19"/>
  <c r="N713" i="19"/>
  <c r="N714" i="19"/>
  <c r="N715" i="19"/>
  <c r="N716" i="19"/>
  <c r="N717" i="19"/>
  <c r="N718" i="19"/>
  <c r="N719" i="19"/>
  <c r="N720" i="19"/>
  <c r="N722" i="19"/>
  <c r="N723" i="19"/>
  <c r="N724" i="19"/>
  <c r="N725" i="19"/>
  <c r="N727" i="19"/>
  <c r="N728" i="19"/>
  <c r="N729" i="19"/>
  <c r="N730" i="19"/>
  <c r="N731" i="19"/>
  <c r="N732" i="19"/>
  <c r="N733" i="19"/>
  <c r="N734" i="19"/>
  <c r="N735" i="19"/>
  <c r="N736" i="19"/>
  <c r="N737" i="19"/>
  <c r="N738" i="19"/>
  <c r="N739" i="19"/>
  <c r="N740" i="19"/>
  <c r="N741" i="19"/>
  <c r="N742" i="19"/>
  <c r="N743" i="19"/>
  <c r="N744" i="19"/>
  <c r="N745" i="19"/>
  <c r="N746" i="19"/>
  <c r="N747" i="19"/>
  <c r="N748" i="19"/>
  <c r="N749" i="19"/>
  <c r="N750" i="19"/>
  <c r="N751" i="19"/>
  <c r="N752" i="19"/>
  <c r="N753" i="19"/>
  <c r="N754" i="19"/>
  <c r="N755" i="19"/>
  <c r="N756" i="19"/>
  <c r="N758" i="19"/>
  <c r="N759" i="19"/>
  <c r="N760" i="19"/>
  <c r="N761" i="19"/>
  <c r="N762" i="19"/>
  <c r="N763" i="19"/>
  <c r="N764" i="19"/>
  <c r="E37" i="21"/>
  <c r="P64" i="9"/>
  <c r="Q64" i="9"/>
  <c r="B67" i="9"/>
  <c r="D3" i="19"/>
  <c r="I131" i="19"/>
  <c r="B3" i="19"/>
  <c r="B65" i="19"/>
  <c r="J131" i="19"/>
  <c r="I132" i="19"/>
  <c r="J132" i="19"/>
  <c r="I133" i="19"/>
  <c r="J133" i="19"/>
  <c r="I134" i="19"/>
  <c r="J134" i="19"/>
  <c r="B4" i="19"/>
  <c r="D7" i="19"/>
  <c r="I8" i="19"/>
  <c r="B7" i="19"/>
  <c r="J8" i="19"/>
  <c r="I9" i="19"/>
  <c r="J9" i="19"/>
  <c r="I10" i="19"/>
  <c r="J10" i="19"/>
  <c r="I11" i="19"/>
  <c r="J11" i="19"/>
  <c r="I12" i="19"/>
  <c r="J12" i="19"/>
  <c r="I13" i="19"/>
  <c r="J13" i="19"/>
  <c r="I14" i="19"/>
  <c r="J14" i="19"/>
  <c r="I15" i="19"/>
  <c r="J15" i="19"/>
  <c r="I16" i="19"/>
  <c r="J16" i="19"/>
  <c r="I17" i="19"/>
  <c r="J17" i="19"/>
  <c r="I22" i="19"/>
  <c r="J22" i="19"/>
  <c r="I23" i="19"/>
  <c r="J23" i="19"/>
  <c r="I24" i="19"/>
  <c r="J24" i="19"/>
  <c r="I25" i="19"/>
  <c r="J25" i="19"/>
  <c r="I26" i="19"/>
  <c r="J26" i="19"/>
  <c r="I27" i="19"/>
  <c r="J27" i="19"/>
  <c r="I28" i="19"/>
  <c r="J28" i="19"/>
  <c r="I29" i="19"/>
  <c r="J29" i="19"/>
  <c r="I30" i="19"/>
  <c r="J30" i="19"/>
  <c r="I31" i="19"/>
  <c r="J31" i="19"/>
  <c r="I32" i="19"/>
  <c r="J32" i="19"/>
  <c r="I33" i="19"/>
  <c r="J33" i="19"/>
  <c r="I34" i="19"/>
  <c r="J34" i="19"/>
  <c r="I35" i="19"/>
  <c r="J35" i="19"/>
  <c r="I36" i="19"/>
  <c r="J36" i="19"/>
  <c r="I37" i="19"/>
  <c r="J37" i="19"/>
  <c r="I38" i="19"/>
  <c r="J38" i="19"/>
  <c r="I39" i="19"/>
  <c r="J39" i="19"/>
  <c r="I40" i="19"/>
  <c r="J40" i="19"/>
  <c r="I41" i="19"/>
  <c r="J41" i="19"/>
  <c r="I42" i="19"/>
  <c r="J42" i="19"/>
  <c r="I43" i="19"/>
  <c r="J43" i="19"/>
  <c r="I44" i="19"/>
  <c r="J44" i="19"/>
  <c r="I46" i="19"/>
  <c r="J46" i="19"/>
  <c r="I47" i="19"/>
  <c r="J47" i="19"/>
  <c r="I48" i="19"/>
  <c r="J48" i="19"/>
  <c r="I49" i="19"/>
  <c r="J49" i="19"/>
  <c r="I50" i="19"/>
  <c r="J50" i="19"/>
  <c r="I51" i="19"/>
  <c r="J51" i="19"/>
  <c r="I52" i="19"/>
  <c r="J52" i="19"/>
  <c r="I53" i="19"/>
  <c r="J53" i="19"/>
  <c r="I54" i="19"/>
  <c r="J54" i="19"/>
  <c r="I55" i="19"/>
  <c r="J55" i="19"/>
  <c r="I56" i="19"/>
  <c r="J56" i="19"/>
  <c r="I57" i="19"/>
  <c r="J57" i="19"/>
  <c r="I58" i="19"/>
  <c r="J58" i="19"/>
  <c r="I59" i="19"/>
  <c r="J59" i="19"/>
  <c r="I60" i="19"/>
  <c r="J60" i="19"/>
  <c r="I61" i="19"/>
  <c r="J61" i="19"/>
  <c r="I62" i="19"/>
  <c r="J62" i="19"/>
  <c r="I66" i="19"/>
  <c r="J66" i="19"/>
  <c r="I67" i="19"/>
  <c r="J67" i="19"/>
  <c r="I68" i="19"/>
  <c r="J68" i="19"/>
  <c r="I69" i="19"/>
  <c r="J69" i="19"/>
  <c r="I70" i="19"/>
  <c r="J70" i="19"/>
  <c r="I71" i="19"/>
  <c r="J71" i="19"/>
  <c r="I72" i="19"/>
  <c r="J72" i="19"/>
  <c r="I73" i="19"/>
  <c r="J73" i="19"/>
  <c r="I74" i="19"/>
  <c r="J74" i="19"/>
  <c r="I75" i="19"/>
  <c r="J75" i="19"/>
  <c r="I76" i="19"/>
  <c r="J76" i="19"/>
  <c r="I77" i="19"/>
  <c r="J77" i="19"/>
  <c r="I78" i="19"/>
  <c r="J78" i="19"/>
  <c r="I79" i="19"/>
  <c r="J79" i="19"/>
  <c r="I80" i="19"/>
  <c r="J80" i="19"/>
  <c r="I81" i="19"/>
  <c r="J81" i="19"/>
  <c r="I82" i="19"/>
  <c r="J82" i="19"/>
  <c r="I83" i="19"/>
  <c r="J83" i="19"/>
  <c r="I84" i="19"/>
  <c r="J84" i="19"/>
  <c r="I85" i="19"/>
  <c r="J85" i="19"/>
  <c r="I86" i="19"/>
  <c r="J86" i="19"/>
  <c r="I87" i="19"/>
  <c r="J87" i="19"/>
  <c r="I88" i="19"/>
  <c r="J88" i="19"/>
  <c r="I89" i="19"/>
  <c r="J89" i="19"/>
  <c r="I90" i="19"/>
  <c r="J90" i="19"/>
  <c r="I91" i="19"/>
  <c r="J91" i="19"/>
  <c r="I92" i="19"/>
  <c r="J92" i="19"/>
  <c r="I93" i="19"/>
  <c r="J93" i="19"/>
  <c r="I94" i="19"/>
  <c r="J94" i="19"/>
  <c r="I95" i="19"/>
  <c r="J95" i="19"/>
  <c r="I96" i="19"/>
  <c r="J96" i="19"/>
  <c r="I97" i="19"/>
  <c r="J97" i="19"/>
  <c r="I98" i="19"/>
  <c r="J98" i="19"/>
  <c r="I99" i="19"/>
  <c r="J99" i="19"/>
  <c r="I100" i="19"/>
  <c r="J100" i="19"/>
  <c r="I101" i="19"/>
  <c r="J101" i="19"/>
  <c r="I102" i="19"/>
  <c r="J102" i="19"/>
  <c r="I103" i="19"/>
  <c r="J103" i="19"/>
  <c r="I104" i="19"/>
  <c r="J104" i="19"/>
  <c r="I105" i="19"/>
  <c r="J105" i="19"/>
  <c r="I106" i="19"/>
  <c r="J106" i="19"/>
  <c r="I107" i="19"/>
  <c r="J107" i="19"/>
  <c r="I108" i="19"/>
  <c r="J108" i="19"/>
  <c r="I109" i="19"/>
  <c r="J109" i="19"/>
  <c r="I110" i="19"/>
  <c r="J110" i="19"/>
  <c r="I111" i="19"/>
  <c r="J111" i="19"/>
  <c r="I112" i="19"/>
  <c r="J112" i="19"/>
  <c r="I113" i="19"/>
  <c r="J113" i="19"/>
  <c r="I114" i="19"/>
  <c r="J114" i="19"/>
  <c r="I115" i="19"/>
  <c r="J115" i="19"/>
  <c r="I116" i="19"/>
  <c r="J116" i="19"/>
  <c r="I117" i="19"/>
  <c r="J117" i="19"/>
  <c r="I118" i="19"/>
  <c r="J118" i="19"/>
  <c r="I119" i="19"/>
  <c r="J119" i="19"/>
  <c r="I120" i="19"/>
  <c r="J120" i="19"/>
  <c r="I121" i="19"/>
  <c r="J121" i="19"/>
  <c r="I122" i="19"/>
  <c r="J122" i="19"/>
  <c r="I123" i="19"/>
  <c r="J123" i="19"/>
  <c r="I124" i="19"/>
  <c r="J124" i="19"/>
  <c r="I125" i="19"/>
  <c r="J125" i="19"/>
  <c r="I126" i="19"/>
  <c r="J126" i="19"/>
  <c r="I127" i="19"/>
  <c r="J127" i="19"/>
  <c r="I128" i="19"/>
  <c r="J128" i="19"/>
  <c r="I129" i="19"/>
  <c r="J129" i="19"/>
  <c r="I130" i="19"/>
  <c r="J130" i="19"/>
  <c r="I135" i="19"/>
  <c r="J135" i="19"/>
  <c r="I136" i="19"/>
  <c r="J136" i="19"/>
  <c r="I137" i="19"/>
  <c r="J137" i="19"/>
  <c r="I138" i="19"/>
  <c r="J138" i="19"/>
  <c r="I139" i="19"/>
  <c r="J139" i="19"/>
  <c r="I140" i="19"/>
  <c r="J140" i="19"/>
  <c r="I141" i="19"/>
  <c r="J141" i="19"/>
  <c r="I142" i="19"/>
  <c r="J142" i="19"/>
  <c r="I143" i="19"/>
  <c r="J143" i="19"/>
  <c r="J65" i="19"/>
  <c r="B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8" i="19"/>
  <c r="J249" i="19"/>
  <c r="J250" i="19"/>
  <c r="J251" i="19"/>
  <c r="J252" i="19"/>
  <c r="J253" i="19"/>
  <c r="J254" i="19"/>
  <c r="J255" i="19"/>
  <c r="J256" i="19"/>
  <c r="J257" i="19"/>
  <c r="J258" i="19"/>
  <c r="J259" i="19"/>
  <c r="J260" i="19"/>
  <c r="J261" i="19"/>
  <c r="J262" i="19"/>
  <c r="J263" i="19"/>
  <c r="J264" i="19"/>
  <c r="J265" i="19"/>
  <c r="J266" i="19"/>
  <c r="J267" i="19"/>
  <c r="J268" i="19"/>
  <c r="J269" i="19"/>
  <c r="J270" i="19"/>
  <c r="J271" i="19"/>
  <c r="J272" i="19"/>
  <c r="J273" i="19"/>
  <c r="J274" i="19"/>
  <c r="J275" i="19"/>
  <c r="J276" i="19"/>
  <c r="J277" i="19"/>
  <c r="J278" i="19"/>
  <c r="J279" i="19"/>
  <c r="J280" i="19"/>
  <c r="J281" i="19"/>
  <c r="J282" i="19"/>
  <c r="J283" i="19"/>
  <c r="J284" i="19"/>
  <c r="J285" i="19"/>
  <c r="J286" i="19"/>
  <c r="J287" i="19"/>
  <c r="J288" i="19"/>
  <c r="J145" i="19"/>
  <c r="I307" i="19"/>
  <c r="I65" i="19"/>
  <c r="B306" i="19"/>
  <c r="J307" i="19"/>
  <c r="I308" i="19"/>
  <c r="J308" i="19"/>
  <c r="I309" i="19"/>
  <c r="J309" i="19"/>
  <c r="I310" i="19"/>
  <c r="J310" i="19"/>
  <c r="I311" i="19"/>
  <c r="J311" i="19"/>
  <c r="I312" i="19"/>
  <c r="J312" i="19"/>
  <c r="I313" i="19"/>
  <c r="J313" i="19"/>
  <c r="I314" i="19"/>
  <c r="J314" i="19"/>
  <c r="I315" i="19"/>
  <c r="J315" i="19"/>
  <c r="I316" i="19"/>
  <c r="J316" i="19"/>
  <c r="I317" i="19"/>
  <c r="J317" i="19"/>
  <c r="I318" i="19"/>
  <c r="J318" i="19"/>
  <c r="I319" i="19"/>
  <c r="J319" i="19"/>
  <c r="I320" i="19"/>
  <c r="J320" i="19"/>
  <c r="I321" i="19"/>
  <c r="J321" i="19"/>
  <c r="I322" i="19"/>
  <c r="J322" i="19"/>
  <c r="I323" i="19"/>
  <c r="J323" i="19"/>
  <c r="I324" i="19"/>
  <c r="J324" i="19"/>
  <c r="I325" i="19"/>
  <c r="J325" i="19"/>
  <c r="I326" i="19"/>
  <c r="J326" i="19"/>
  <c r="I327" i="19"/>
  <c r="J327" i="19"/>
  <c r="I328" i="19"/>
  <c r="J328" i="19"/>
  <c r="I329" i="19"/>
  <c r="J329" i="19"/>
  <c r="I330" i="19"/>
  <c r="J330" i="19"/>
  <c r="I331" i="19"/>
  <c r="J331" i="19"/>
  <c r="I332" i="19"/>
  <c r="J332" i="19"/>
  <c r="I333" i="19"/>
  <c r="J333" i="19"/>
  <c r="I334" i="19"/>
  <c r="J334" i="19"/>
  <c r="I335" i="19"/>
  <c r="J335" i="19"/>
  <c r="I336" i="19"/>
  <c r="J336" i="19"/>
  <c r="I337" i="19"/>
  <c r="J337" i="19"/>
  <c r="I338" i="19"/>
  <c r="J338" i="19"/>
  <c r="I339" i="19"/>
  <c r="J339" i="19"/>
  <c r="I340" i="19"/>
  <c r="J340" i="19"/>
  <c r="I341" i="19"/>
  <c r="J341" i="19"/>
  <c r="I342" i="19"/>
  <c r="J342" i="19"/>
  <c r="I344" i="19"/>
  <c r="J344" i="19"/>
  <c r="I345" i="19"/>
  <c r="J345" i="19"/>
  <c r="I346" i="19"/>
  <c r="J346" i="19"/>
  <c r="I347" i="19"/>
  <c r="J347" i="19"/>
  <c r="I348" i="19"/>
  <c r="J348" i="19"/>
  <c r="I349" i="19"/>
  <c r="J349" i="19"/>
  <c r="I350" i="19"/>
  <c r="J350" i="19"/>
  <c r="I351" i="19"/>
  <c r="J351" i="19"/>
  <c r="I352" i="19"/>
  <c r="J352" i="19"/>
  <c r="I353" i="19"/>
  <c r="J353" i="19"/>
  <c r="I354" i="19"/>
  <c r="J354" i="19"/>
  <c r="I355" i="19"/>
  <c r="J355" i="19"/>
  <c r="I356" i="19"/>
  <c r="J356" i="19"/>
  <c r="I357" i="19"/>
  <c r="J357" i="19"/>
  <c r="I358" i="19"/>
  <c r="J358" i="19"/>
  <c r="I359" i="19"/>
  <c r="J359" i="19"/>
  <c r="I360" i="19"/>
  <c r="J360" i="19"/>
  <c r="I361" i="19"/>
  <c r="J361" i="19"/>
  <c r="I362" i="19"/>
  <c r="J362" i="19"/>
  <c r="I363" i="19"/>
  <c r="J363" i="19"/>
  <c r="I364" i="19"/>
  <c r="J364" i="19"/>
  <c r="I365" i="19"/>
  <c r="J365" i="19"/>
  <c r="I366" i="19"/>
  <c r="J366" i="19"/>
  <c r="I367" i="19"/>
  <c r="J367" i="19"/>
  <c r="I368" i="19"/>
  <c r="J368" i="19"/>
  <c r="I369" i="19"/>
  <c r="J369" i="19"/>
  <c r="I370" i="19"/>
  <c r="J370" i="19"/>
  <c r="I371" i="19"/>
  <c r="J371" i="19"/>
  <c r="I372" i="19"/>
  <c r="J372" i="19"/>
  <c r="I373" i="19"/>
  <c r="J373" i="19"/>
  <c r="I374" i="19"/>
  <c r="J374" i="19"/>
  <c r="I375" i="19"/>
  <c r="J375" i="19"/>
  <c r="I376" i="19"/>
  <c r="J376" i="19"/>
  <c r="I377" i="19"/>
  <c r="J377" i="19"/>
  <c r="I378" i="19"/>
  <c r="J378" i="19"/>
  <c r="I379" i="19"/>
  <c r="J379" i="19"/>
  <c r="I380" i="19"/>
  <c r="J380" i="19"/>
  <c r="I381" i="19"/>
  <c r="J381" i="19"/>
  <c r="I382" i="19"/>
  <c r="J382" i="19"/>
  <c r="I383" i="19"/>
  <c r="J383" i="19"/>
  <c r="I384" i="19"/>
  <c r="J384" i="19"/>
  <c r="I385" i="19"/>
  <c r="J385" i="19"/>
  <c r="I386" i="19"/>
  <c r="J386" i="19"/>
  <c r="I387" i="19"/>
  <c r="J387" i="19"/>
  <c r="I388" i="19"/>
  <c r="J388" i="19"/>
  <c r="I389" i="19"/>
  <c r="J389" i="19"/>
  <c r="I390" i="19"/>
  <c r="J390" i="19"/>
  <c r="I391" i="19"/>
  <c r="J391" i="19"/>
  <c r="I392" i="19"/>
  <c r="J392" i="19"/>
  <c r="I393" i="19"/>
  <c r="J393" i="19"/>
  <c r="I394" i="19"/>
  <c r="J394" i="19"/>
  <c r="I395" i="19"/>
  <c r="J395" i="19"/>
  <c r="I396" i="19"/>
  <c r="J396" i="19"/>
  <c r="I397" i="19"/>
  <c r="J397" i="19"/>
  <c r="I398" i="19"/>
  <c r="J398" i="19"/>
  <c r="I399" i="19"/>
  <c r="J399" i="19"/>
  <c r="I400" i="19"/>
  <c r="J400" i="19"/>
  <c r="I401" i="19"/>
  <c r="J401" i="19"/>
  <c r="I402" i="19"/>
  <c r="J402" i="19"/>
  <c r="I403" i="19"/>
  <c r="J403" i="19"/>
  <c r="I404" i="19"/>
  <c r="J404" i="19"/>
  <c r="I405" i="19"/>
  <c r="J405" i="19"/>
  <c r="I406" i="19"/>
  <c r="J406" i="19"/>
  <c r="I407" i="19"/>
  <c r="J407" i="19"/>
  <c r="I408" i="19"/>
  <c r="J408" i="19"/>
  <c r="I409" i="19"/>
  <c r="J409" i="19"/>
  <c r="I410" i="19"/>
  <c r="J410" i="19"/>
  <c r="I411" i="19"/>
  <c r="J411" i="19"/>
  <c r="I412" i="19"/>
  <c r="J412" i="19"/>
  <c r="I413" i="19"/>
  <c r="J413" i="19"/>
  <c r="I414" i="19"/>
  <c r="J414" i="19"/>
  <c r="I415" i="19"/>
  <c r="J415" i="19"/>
  <c r="I416" i="19"/>
  <c r="J416" i="19"/>
  <c r="I417" i="19"/>
  <c r="J417" i="19"/>
  <c r="I418" i="19"/>
  <c r="J418" i="19"/>
  <c r="I419" i="19"/>
  <c r="J419" i="19"/>
  <c r="I420" i="19"/>
  <c r="J420" i="19"/>
  <c r="I421" i="19"/>
  <c r="J421" i="19"/>
  <c r="I422" i="19"/>
  <c r="J422" i="19"/>
  <c r="I423" i="19"/>
  <c r="J423" i="19"/>
  <c r="I424" i="19"/>
  <c r="J424" i="19"/>
  <c r="I425" i="19"/>
  <c r="J425" i="19"/>
  <c r="I426" i="19"/>
  <c r="J426" i="19"/>
  <c r="I427" i="19"/>
  <c r="J427" i="19"/>
  <c r="I429" i="19"/>
  <c r="J429" i="19"/>
  <c r="I430" i="19"/>
  <c r="J430" i="19"/>
  <c r="I431" i="19"/>
  <c r="J431" i="19"/>
  <c r="I432" i="19"/>
  <c r="J432" i="19"/>
  <c r="I433" i="19"/>
  <c r="J433" i="19"/>
  <c r="I434" i="19"/>
  <c r="J434" i="19"/>
  <c r="I435" i="19"/>
  <c r="J435" i="19"/>
  <c r="I439" i="19"/>
  <c r="B438" i="19"/>
  <c r="J439" i="19"/>
  <c r="I440" i="19"/>
  <c r="J440" i="19"/>
  <c r="I441" i="19"/>
  <c r="J441" i="19"/>
  <c r="I442" i="19"/>
  <c r="J442" i="19"/>
  <c r="I443" i="19"/>
  <c r="J443" i="19"/>
  <c r="I444" i="19"/>
  <c r="J444" i="19"/>
  <c r="I445" i="19"/>
  <c r="J445" i="19"/>
  <c r="I446" i="19"/>
  <c r="J446" i="19"/>
  <c r="I447" i="19"/>
  <c r="J447" i="19"/>
  <c r="I448" i="19"/>
  <c r="J448" i="19"/>
  <c r="I449" i="19"/>
  <c r="J449" i="19"/>
  <c r="I450" i="19"/>
  <c r="J450" i="19"/>
  <c r="I451" i="19"/>
  <c r="J451" i="19"/>
  <c r="I452" i="19"/>
  <c r="J452" i="19"/>
  <c r="I453" i="19"/>
  <c r="J453" i="19"/>
  <c r="I454" i="19"/>
  <c r="J454" i="19"/>
  <c r="I455" i="19"/>
  <c r="J455" i="19"/>
  <c r="I456" i="19"/>
  <c r="J456" i="19"/>
  <c r="I457" i="19"/>
  <c r="J457" i="19"/>
  <c r="I458" i="19"/>
  <c r="J458" i="19"/>
  <c r="I459" i="19"/>
  <c r="J459" i="19"/>
  <c r="I460" i="19"/>
  <c r="J460" i="19"/>
  <c r="I461" i="19"/>
  <c r="J461" i="19"/>
  <c r="I462" i="19"/>
  <c r="J462" i="19"/>
  <c r="I463" i="19"/>
  <c r="J463" i="19"/>
  <c r="I464" i="19"/>
  <c r="J464" i="19"/>
  <c r="I465" i="19"/>
  <c r="J465" i="19"/>
  <c r="I466" i="19"/>
  <c r="J466" i="19"/>
  <c r="I467" i="19"/>
  <c r="J467" i="19"/>
  <c r="I468" i="19"/>
  <c r="J468" i="19"/>
  <c r="I469" i="19"/>
  <c r="J469" i="19"/>
  <c r="I470" i="19"/>
  <c r="J470" i="19"/>
  <c r="I473" i="19"/>
  <c r="B472" i="19"/>
  <c r="J473" i="19"/>
  <c r="I474" i="19"/>
  <c r="J474" i="19"/>
  <c r="I475" i="19"/>
  <c r="J475" i="19"/>
  <c r="I476" i="19"/>
  <c r="J476" i="19"/>
  <c r="I477" i="19"/>
  <c r="J477" i="19"/>
  <c r="I478" i="19"/>
  <c r="J478" i="19"/>
  <c r="I479" i="19"/>
  <c r="J479" i="19"/>
  <c r="I480" i="19"/>
  <c r="J480" i="19"/>
  <c r="I481" i="19"/>
  <c r="J481" i="19"/>
  <c r="I482" i="19"/>
  <c r="J482" i="19"/>
  <c r="I483" i="19"/>
  <c r="J483" i="19"/>
  <c r="I484" i="19"/>
  <c r="J484" i="19"/>
  <c r="I485" i="19"/>
  <c r="J485" i="19"/>
  <c r="I486" i="19"/>
  <c r="J486" i="19"/>
  <c r="I487" i="19"/>
  <c r="J487" i="19"/>
  <c r="I488" i="19"/>
  <c r="J488" i="19"/>
  <c r="I489" i="19"/>
  <c r="J489" i="19"/>
  <c r="I490" i="19"/>
  <c r="J490" i="19"/>
  <c r="I491" i="19"/>
  <c r="J491" i="19"/>
  <c r="I492" i="19"/>
  <c r="J492" i="19"/>
  <c r="I493" i="19"/>
  <c r="J493" i="19"/>
  <c r="I494" i="19"/>
  <c r="J494" i="19"/>
  <c r="I495" i="19"/>
  <c r="J495" i="19"/>
  <c r="I496" i="19"/>
  <c r="J496" i="19"/>
  <c r="I497" i="19"/>
  <c r="J497" i="19"/>
  <c r="I498" i="19"/>
  <c r="J498" i="19"/>
  <c r="I499" i="19"/>
  <c r="J499" i="19"/>
  <c r="I500" i="19"/>
  <c r="J500" i="19"/>
  <c r="I501" i="19"/>
  <c r="J501" i="19"/>
  <c r="I502" i="19"/>
  <c r="J502" i="19"/>
  <c r="I503" i="19"/>
  <c r="J503" i="19"/>
  <c r="I504" i="19"/>
  <c r="J504" i="19"/>
  <c r="I505" i="19"/>
  <c r="J505" i="19"/>
  <c r="I506" i="19"/>
  <c r="J506" i="19"/>
  <c r="I507" i="19"/>
  <c r="J507" i="19"/>
  <c r="I508" i="19"/>
  <c r="J508" i="19"/>
  <c r="I509" i="19"/>
  <c r="J509" i="19"/>
  <c r="I510" i="19"/>
  <c r="J510" i="19"/>
  <c r="I511" i="19"/>
  <c r="J511" i="19"/>
  <c r="I512" i="19"/>
  <c r="J512" i="19"/>
  <c r="I513" i="19"/>
  <c r="J513" i="19"/>
  <c r="I514" i="19"/>
  <c r="J514" i="19"/>
  <c r="I515" i="19"/>
  <c r="J515" i="19"/>
  <c r="I516" i="19"/>
  <c r="J516" i="19"/>
  <c r="I517" i="19"/>
  <c r="J517" i="19"/>
  <c r="I518" i="19"/>
  <c r="J518" i="19"/>
  <c r="I519" i="19"/>
  <c r="J519" i="19"/>
  <c r="I520" i="19"/>
  <c r="J520" i="19"/>
  <c r="I521" i="19"/>
  <c r="J521" i="19"/>
  <c r="I522" i="19"/>
  <c r="J522" i="19"/>
  <c r="I523" i="19"/>
  <c r="J523" i="19"/>
  <c r="I524" i="19"/>
  <c r="J524" i="19"/>
  <c r="I525" i="19"/>
  <c r="J525" i="19"/>
  <c r="I526" i="19"/>
  <c r="J526" i="19"/>
  <c r="I527" i="19"/>
  <c r="J527" i="19"/>
  <c r="I528" i="19"/>
  <c r="J528" i="19"/>
  <c r="I529" i="19"/>
  <c r="J529" i="19"/>
  <c r="I530" i="19"/>
  <c r="J530" i="19"/>
  <c r="I531" i="19"/>
  <c r="J531" i="19"/>
  <c r="I532" i="19"/>
  <c r="J532" i="19"/>
  <c r="I533" i="19"/>
  <c r="J533" i="19"/>
  <c r="I534" i="19"/>
  <c r="J534" i="19"/>
  <c r="I535" i="19"/>
  <c r="J535" i="19"/>
  <c r="I536" i="19"/>
  <c r="J536" i="19"/>
  <c r="I537" i="19"/>
  <c r="J537" i="19"/>
  <c r="I538" i="19"/>
  <c r="J538" i="19"/>
  <c r="I539" i="19"/>
  <c r="J539" i="19"/>
  <c r="I540" i="19"/>
  <c r="J540" i="19"/>
  <c r="I541" i="19"/>
  <c r="J541" i="19"/>
  <c r="I542" i="19"/>
  <c r="J542" i="19"/>
  <c r="I543" i="19"/>
  <c r="J543" i="19"/>
  <c r="I544" i="19"/>
  <c r="J544" i="19"/>
  <c r="I545" i="19"/>
  <c r="J545" i="19"/>
  <c r="I546" i="19"/>
  <c r="J546" i="19"/>
  <c r="I547" i="19"/>
  <c r="J547" i="19"/>
  <c r="I548" i="19"/>
  <c r="J548" i="19"/>
  <c r="I549" i="19"/>
  <c r="J549" i="19"/>
  <c r="I550" i="19"/>
  <c r="J550" i="19"/>
  <c r="I551" i="19"/>
  <c r="J551" i="19"/>
  <c r="I552" i="19"/>
  <c r="J552" i="19"/>
  <c r="I553" i="19"/>
  <c r="J553" i="19"/>
  <c r="I554" i="19"/>
  <c r="J554" i="19"/>
  <c r="I555" i="19"/>
  <c r="J555" i="19"/>
  <c r="I556" i="19"/>
  <c r="J556" i="19"/>
  <c r="I557" i="19"/>
  <c r="J557" i="19"/>
  <c r="I558" i="19"/>
  <c r="J558" i="19"/>
  <c r="I559" i="19"/>
  <c r="J559" i="19"/>
  <c r="I560" i="19"/>
  <c r="J560" i="19"/>
  <c r="I561" i="19"/>
  <c r="J561" i="19"/>
  <c r="I562" i="19"/>
  <c r="J562" i="19"/>
  <c r="I563" i="19"/>
  <c r="J563" i="19"/>
  <c r="I564" i="19"/>
  <c r="J564" i="19"/>
  <c r="I565" i="19"/>
  <c r="J565" i="19"/>
  <c r="I566" i="19"/>
  <c r="J566" i="19"/>
  <c r="I567" i="19"/>
  <c r="J567" i="19"/>
  <c r="I568" i="19"/>
  <c r="J568" i="19"/>
  <c r="I569" i="19"/>
  <c r="J569" i="19"/>
  <c r="I570" i="19"/>
  <c r="J570" i="19"/>
  <c r="I571" i="19"/>
  <c r="J571" i="19"/>
  <c r="I572" i="19"/>
  <c r="J572" i="19"/>
  <c r="I573" i="19"/>
  <c r="J573" i="19"/>
  <c r="I574" i="19"/>
  <c r="J574" i="19"/>
  <c r="I575" i="19"/>
  <c r="J575" i="19"/>
  <c r="I576" i="19"/>
  <c r="J576" i="19"/>
  <c r="I577" i="19"/>
  <c r="J577" i="19"/>
  <c r="I578" i="19"/>
  <c r="J578" i="19"/>
  <c r="I579" i="19"/>
  <c r="J579" i="19"/>
  <c r="I580" i="19"/>
  <c r="J580" i="19"/>
  <c r="I581" i="19"/>
  <c r="J581" i="19"/>
  <c r="I582" i="19"/>
  <c r="J582" i="19"/>
  <c r="I583" i="19"/>
  <c r="J583" i="19"/>
  <c r="I584" i="19"/>
  <c r="J584" i="19"/>
  <c r="I585" i="19"/>
  <c r="J585" i="19"/>
  <c r="I586" i="19"/>
  <c r="J586" i="19"/>
  <c r="I587" i="19"/>
  <c r="J587" i="19"/>
  <c r="I588" i="19"/>
  <c r="J588" i="19"/>
  <c r="I589" i="19"/>
  <c r="J589" i="19"/>
  <c r="I590" i="19"/>
  <c r="J590" i="19"/>
  <c r="I591" i="19"/>
  <c r="J591" i="19"/>
  <c r="I592" i="19"/>
  <c r="J592" i="19"/>
  <c r="I593" i="19"/>
  <c r="J593" i="19"/>
  <c r="I594" i="19"/>
  <c r="J594" i="19"/>
  <c r="I595" i="19"/>
  <c r="J595" i="19"/>
  <c r="I596" i="19"/>
  <c r="J596" i="19"/>
  <c r="I599" i="19"/>
  <c r="J599" i="19"/>
  <c r="I600" i="19"/>
  <c r="J600" i="19"/>
  <c r="I601" i="19"/>
  <c r="J601" i="19"/>
  <c r="I602" i="19"/>
  <c r="J602" i="19"/>
  <c r="I603" i="19"/>
  <c r="J603" i="19"/>
  <c r="I604" i="19"/>
  <c r="J604" i="19"/>
  <c r="I605" i="19"/>
  <c r="J605" i="19"/>
  <c r="I606" i="19"/>
  <c r="J606" i="19"/>
  <c r="I607" i="19"/>
  <c r="J607" i="19"/>
  <c r="I608" i="19"/>
  <c r="J608" i="19"/>
  <c r="I609" i="19"/>
  <c r="J609" i="19"/>
  <c r="I610" i="19"/>
  <c r="J610" i="19"/>
  <c r="I611" i="19"/>
  <c r="J611" i="19"/>
  <c r="I612" i="19"/>
  <c r="J612" i="19"/>
  <c r="I613" i="19"/>
  <c r="J613" i="19"/>
  <c r="I614" i="19"/>
  <c r="J614" i="19"/>
  <c r="I615" i="19"/>
  <c r="J615" i="19"/>
  <c r="I616" i="19"/>
  <c r="J616" i="19"/>
  <c r="I617" i="19"/>
  <c r="J617" i="19"/>
  <c r="I618" i="19"/>
  <c r="J618" i="19"/>
  <c r="I619" i="19"/>
  <c r="J619" i="19"/>
  <c r="I620" i="19"/>
  <c r="J620" i="19"/>
  <c r="I621" i="19"/>
  <c r="J621" i="19"/>
  <c r="I622" i="19"/>
  <c r="J622" i="19"/>
  <c r="I623" i="19"/>
  <c r="J623" i="19"/>
  <c r="I624" i="19"/>
  <c r="J624" i="19"/>
  <c r="I625" i="19"/>
  <c r="J625" i="19"/>
  <c r="I626" i="19"/>
  <c r="J626" i="19"/>
  <c r="I627" i="19"/>
  <c r="J627" i="19"/>
  <c r="I628" i="19"/>
  <c r="J628" i="19"/>
  <c r="I629" i="19"/>
  <c r="J629" i="19"/>
  <c r="I630" i="19"/>
  <c r="J630" i="19"/>
  <c r="I631" i="19"/>
  <c r="J631" i="19"/>
  <c r="I632" i="19"/>
  <c r="J632" i="19"/>
  <c r="I633" i="19"/>
  <c r="J633" i="19"/>
  <c r="I634" i="19"/>
  <c r="J634" i="19"/>
  <c r="I635" i="19"/>
  <c r="J635" i="19"/>
  <c r="I636" i="19"/>
  <c r="J636" i="19"/>
  <c r="I637" i="19"/>
  <c r="J637" i="19"/>
  <c r="I638" i="19"/>
  <c r="J638" i="19"/>
  <c r="I639" i="19"/>
  <c r="J639" i="19"/>
  <c r="I640" i="19"/>
  <c r="J640" i="19"/>
  <c r="I641" i="19"/>
  <c r="J641" i="19"/>
  <c r="I642" i="19"/>
  <c r="J642" i="19"/>
  <c r="I643" i="19"/>
  <c r="J643" i="19"/>
  <c r="I644" i="19"/>
  <c r="J644" i="19"/>
  <c r="I645" i="19"/>
  <c r="J645" i="19"/>
  <c r="I646" i="19"/>
  <c r="J646" i="19"/>
  <c r="I647" i="19"/>
  <c r="J647" i="19"/>
  <c r="I648" i="19"/>
  <c r="J648" i="19"/>
  <c r="I649" i="19"/>
  <c r="J649" i="19"/>
  <c r="I650" i="19"/>
  <c r="J650" i="19"/>
  <c r="I651" i="19"/>
  <c r="J651" i="19"/>
  <c r="I652" i="19"/>
  <c r="J652" i="19"/>
  <c r="I653" i="19"/>
  <c r="J653" i="19"/>
  <c r="I654" i="19"/>
  <c r="J654" i="19"/>
  <c r="I655" i="19"/>
  <c r="J655" i="19"/>
  <c r="I656" i="19"/>
  <c r="J656" i="19"/>
  <c r="I657" i="19"/>
  <c r="J657" i="19"/>
  <c r="I658" i="19"/>
  <c r="J658" i="19"/>
  <c r="I659" i="19"/>
  <c r="J659" i="19"/>
  <c r="I660" i="19"/>
  <c r="J660" i="19"/>
  <c r="I661" i="19"/>
  <c r="J661" i="19"/>
  <c r="I662" i="19"/>
  <c r="J662" i="19"/>
  <c r="I663" i="19"/>
  <c r="J663" i="19"/>
  <c r="I664" i="19"/>
  <c r="J664" i="19"/>
  <c r="I665" i="19"/>
  <c r="J665" i="19"/>
  <c r="I666" i="19"/>
  <c r="J666" i="19"/>
  <c r="I667" i="19"/>
  <c r="J667" i="19"/>
  <c r="I668" i="19"/>
  <c r="J668" i="19"/>
  <c r="I669" i="19"/>
  <c r="J669" i="19"/>
  <c r="I670" i="19"/>
  <c r="J670" i="19"/>
  <c r="I671" i="19"/>
  <c r="J671" i="19"/>
  <c r="I672" i="19"/>
  <c r="J672" i="19"/>
  <c r="I673" i="19"/>
  <c r="J673" i="19"/>
  <c r="I674" i="19"/>
  <c r="J674" i="19"/>
  <c r="I675" i="19"/>
  <c r="J675" i="19"/>
  <c r="I676" i="19"/>
  <c r="J676" i="19"/>
  <c r="I679" i="19"/>
  <c r="J679" i="19"/>
  <c r="I680" i="19"/>
  <c r="J680" i="19"/>
  <c r="I681" i="19"/>
  <c r="J681" i="19"/>
  <c r="I682" i="19"/>
  <c r="J682" i="19"/>
  <c r="I683" i="19"/>
  <c r="J683" i="19"/>
  <c r="I684" i="19"/>
  <c r="J684" i="19"/>
  <c r="I685" i="19"/>
  <c r="J685" i="19"/>
  <c r="I686" i="19"/>
  <c r="J686" i="19"/>
  <c r="I687" i="19"/>
  <c r="J687" i="19"/>
  <c r="I688" i="19"/>
  <c r="J688" i="19"/>
  <c r="I689" i="19"/>
  <c r="J689" i="19"/>
  <c r="I690" i="19"/>
  <c r="J690" i="19"/>
  <c r="I691" i="19"/>
  <c r="J691" i="19"/>
  <c r="I692" i="19"/>
  <c r="J692" i="19"/>
  <c r="I693" i="19"/>
  <c r="J693" i="19"/>
  <c r="I694" i="19"/>
  <c r="J694" i="19"/>
  <c r="I695" i="19"/>
  <c r="J695" i="19"/>
  <c r="I696" i="19"/>
  <c r="J696" i="19"/>
  <c r="I698" i="19"/>
  <c r="J698" i="19"/>
  <c r="I699" i="19"/>
  <c r="J699" i="19"/>
  <c r="I700" i="19"/>
  <c r="J700" i="19"/>
  <c r="I701" i="19"/>
  <c r="J701" i="19"/>
  <c r="I702" i="19"/>
  <c r="J702" i="19"/>
  <c r="I703" i="19"/>
  <c r="J703" i="19"/>
  <c r="I705" i="19"/>
  <c r="J705" i="19"/>
  <c r="I706" i="19"/>
  <c r="J706" i="19"/>
  <c r="I707" i="19"/>
  <c r="J707" i="19"/>
  <c r="I708" i="19"/>
  <c r="J708" i="19"/>
  <c r="I709" i="19"/>
  <c r="J709" i="19"/>
  <c r="I710" i="19"/>
  <c r="J710" i="19"/>
  <c r="I713" i="19"/>
  <c r="J713" i="19"/>
  <c r="I714" i="19"/>
  <c r="J714" i="19"/>
  <c r="I715" i="19"/>
  <c r="J715" i="19"/>
  <c r="I716" i="19"/>
  <c r="J716" i="19"/>
  <c r="I717" i="19"/>
  <c r="J717" i="19"/>
  <c r="I718" i="19"/>
  <c r="J718" i="19"/>
  <c r="I719" i="19"/>
  <c r="J719" i="19"/>
  <c r="I720" i="19"/>
  <c r="J720" i="19"/>
  <c r="I722" i="19"/>
  <c r="J722" i="19"/>
  <c r="I723" i="19"/>
  <c r="J723" i="19"/>
  <c r="I724" i="19"/>
  <c r="J724" i="19"/>
  <c r="I725" i="19"/>
  <c r="J725" i="19"/>
  <c r="I727" i="19"/>
  <c r="J727" i="19"/>
  <c r="I728" i="19"/>
  <c r="J728" i="19"/>
  <c r="I729" i="19"/>
  <c r="J729" i="19"/>
  <c r="I730" i="19"/>
  <c r="J730" i="19"/>
  <c r="I731" i="19"/>
  <c r="J731" i="19"/>
  <c r="I732" i="19"/>
  <c r="J732" i="19"/>
  <c r="I733" i="19"/>
  <c r="J733" i="19"/>
  <c r="I734" i="19"/>
  <c r="J734" i="19"/>
  <c r="I735" i="19"/>
  <c r="J735" i="19"/>
  <c r="I736" i="19"/>
  <c r="J736" i="19"/>
  <c r="I737" i="19"/>
  <c r="J737" i="19"/>
  <c r="I738" i="19"/>
  <c r="J738" i="19"/>
  <c r="I739" i="19"/>
  <c r="J739" i="19"/>
  <c r="I740" i="19"/>
  <c r="J740" i="19"/>
  <c r="I741" i="19"/>
  <c r="J741" i="19"/>
  <c r="I742" i="19"/>
  <c r="J742" i="19"/>
  <c r="I743" i="19"/>
  <c r="J743" i="19"/>
  <c r="I744" i="19"/>
  <c r="J744" i="19"/>
  <c r="I745" i="19"/>
  <c r="J745" i="19"/>
  <c r="I746" i="19"/>
  <c r="J746" i="19"/>
  <c r="I747" i="19"/>
  <c r="J747" i="19"/>
  <c r="I748" i="19"/>
  <c r="J748" i="19"/>
  <c r="I749" i="19"/>
  <c r="J749" i="19"/>
  <c r="I750" i="19"/>
  <c r="J750" i="19"/>
  <c r="I751" i="19"/>
  <c r="J751" i="19"/>
  <c r="I752" i="19"/>
  <c r="J752" i="19"/>
  <c r="I753" i="19"/>
  <c r="J753" i="19"/>
  <c r="I754" i="19"/>
  <c r="J754" i="19"/>
  <c r="I755" i="19"/>
  <c r="J755" i="19"/>
  <c r="I756" i="19"/>
  <c r="J756" i="19"/>
  <c r="I758" i="19"/>
  <c r="J758" i="19"/>
  <c r="I759" i="19"/>
  <c r="J759" i="19"/>
  <c r="I760" i="19"/>
  <c r="J760" i="19"/>
  <c r="I761" i="19"/>
  <c r="J761" i="19"/>
  <c r="I762" i="19"/>
  <c r="J762" i="19"/>
  <c r="I763" i="19"/>
  <c r="J763" i="19"/>
  <c r="I764" i="19"/>
  <c r="J764" i="19"/>
  <c r="B46" i="21"/>
  <c r="C46" i="21"/>
  <c r="O125" i="9"/>
  <c r="P125" i="9"/>
  <c r="B125" i="9"/>
  <c r="B43" i="21"/>
  <c r="C43" i="21"/>
  <c r="P70" i="9"/>
  <c r="Q70" i="9"/>
  <c r="B80" i="9"/>
  <c r="B39" i="21"/>
  <c r="C39" i="21"/>
  <c r="P66" i="9"/>
  <c r="Q66" i="9"/>
  <c r="B75" i="9"/>
  <c r="B41" i="21"/>
  <c r="C41" i="21"/>
  <c r="P68" i="9"/>
  <c r="Q68" i="9"/>
  <c r="I72" i="9"/>
  <c r="B42" i="21"/>
  <c r="C42" i="21"/>
  <c r="P69" i="9"/>
  <c r="Q69" i="9"/>
  <c r="I77" i="9"/>
  <c r="B40" i="21"/>
  <c r="C40" i="21"/>
  <c r="P67" i="9"/>
  <c r="Q67" i="9"/>
  <c r="I67" i="9"/>
  <c r="B93" i="9"/>
  <c r="B138" i="9"/>
  <c r="B212" i="9"/>
  <c r="B290" i="9"/>
  <c r="H860" i="23"/>
  <c r="B860" i="23"/>
  <c r="C860" i="23"/>
  <c r="G860" i="23"/>
  <c r="D860" i="23"/>
  <c r="E860" i="23"/>
  <c r="J570" i="12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22" i="21"/>
  <c r="B190" i="21"/>
  <c r="C190" i="21"/>
  <c r="B301" i="9"/>
  <c r="Q140" i="9"/>
  <c r="V294" i="9"/>
  <c r="B191" i="21"/>
  <c r="C191" i="21"/>
  <c r="B302" i="9"/>
  <c r="V295" i="9"/>
  <c r="B192" i="21"/>
  <c r="C192" i="21"/>
  <c r="B303" i="9"/>
  <c r="V296" i="9"/>
  <c r="B193" i="21"/>
  <c r="C193" i="21"/>
  <c r="B304" i="9"/>
  <c r="V297" i="9"/>
  <c r="B194" i="21"/>
  <c r="C194" i="21"/>
  <c r="B305" i="9"/>
  <c r="V298" i="9"/>
  <c r="B195" i="21"/>
  <c r="C195" i="21"/>
  <c r="B306" i="9"/>
  <c r="V299" i="9"/>
  <c r="B196" i="21"/>
  <c r="C196" i="21"/>
  <c r="Q143" i="9"/>
  <c r="V300" i="9"/>
  <c r="B197" i="21"/>
  <c r="C197" i="21"/>
  <c r="V301" i="9"/>
  <c r="B198" i="21"/>
  <c r="C198" i="21"/>
  <c r="B309" i="9"/>
  <c r="V302" i="9"/>
  <c r="V303" i="9"/>
  <c r="V304" i="9"/>
  <c r="Y294" i="9"/>
  <c r="C301" i="9"/>
  <c r="Y295" i="9"/>
  <c r="C302" i="9"/>
  <c r="Y296" i="9"/>
  <c r="C303" i="9"/>
  <c r="Y297" i="9"/>
  <c r="C304" i="9"/>
  <c r="Y298" i="9"/>
  <c r="C305" i="9"/>
  <c r="Y299" i="9"/>
  <c r="C306" i="9"/>
  <c r="Y300" i="9"/>
  <c r="C307" i="9"/>
  <c r="Y301" i="9"/>
  <c r="C308" i="9"/>
  <c r="Y302" i="9"/>
  <c r="C309" i="9"/>
  <c r="C310" i="9"/>
  <c r="H861" i="23"/>
  <c r="B861" i="23"/>
  <c r="C861" i="23"/>
  <c r="G861" i="23"/>
  <c r="D861" i="23"/>
  <c r="E861" i="23"/>
  <c r="J571" i="12"/>
  <c r="B204" i="21"/>
  <c r="B201" i="21"/>
  <c r="B202" i="21"/>
  <c r="B203" i="21"/>
  <c r="B205" i="21"/>
  <c r="B206" i="21"/>
  <c r="B207" i="21"/>
  <c r="B208" i="21"/>
  <c r="B209" i="21"/>
  <c r="B210" i="21"/>
  <c r="B211" i="21"/>
  <c r="B212" i="21"/>
  <c r="B213" i="21"/>
  <c r="B214" i="21"/>
  <c r="B215" i="21"/>
  <c r="B200" i="21"/>
  <c r="C204" i="21"/>
  <c r="B316" i="9"/>
  <c r="V308" i="9"/>
  <c r="C201" i="21"/>
  <c r="B313" i="9"/>
  <c r="V305" i="9"/>
  <c r="C202" i="21"/>
  <c r="B314" i="9"/>
  <c r="V306" i="9"/>
  <c r="C203" i="21"/>
  <c r="B315" i="9"/>
  <c r="V307" i="9"/>
  <c r="C205" i="21"/>
  <c r="B317" i="9"/>
  <c r="V309" i="9"/>
  <c r="C206" i="21"/>
  <c r="B318" i="9"/>
  <c r="V310" i="9"/>
  <c r="C207" i="21"/>
  <c r="B319" i="9"/>
  <c r="V311" i="9"/>
  <c r="C208" i="21"/>
  <c r="B320" i="9"/>
  <c r="V312" i="9"/>
  <c r="C209" i="21"/>
  <c r="B321" i="9"/>
  <c r="V313" i="9"/>
  <c r="C210" i="21"/>
  <c r="B322" i="9"/>
  <c r="V314" i="9"/>
  <c r="C211" i="21"/>
  <c r="B323" i="9"/>
  <c r="V315" i="9"/>
  <c r="C212" i="21"/>
  <c r="B324" i="9"/>
  <c r="V316" i="9"/>
  <c r="C213" i="21"/>
  <c r="B325" i="9"/>
  <c r="V317" i="9"/>
  <c r="C214" i="21"/>
  <c r="B326" i="9"/>
  <c r="V318" i="9"/>
  <c r="C215" i="21"/>
  <c r="B327" i="9"/>
  <c r="V319" i="9"/>
  <c r="V320" i="9"/>
  <c r="Y308" i="9"/>
  <c r="C316" i="9"/>
  <c r="H863" i="23"/>
  <c r="C863" i="23"/>
  <c r="D863" i="23"/>
  <c r="B220" i="21"/>
  <c r="B218" i="21"/>
  <c r="B219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17" i="21"/>
  <c r="C220" i="21"/>
  <c r="B331" i="9"/>
  <c r="V323" i="9"/>
  <c r="C218" i="21"/>
  <c r="B329" i="9"/>
  <c r="V321" i="9"/>
  <c r="C219" i="21"/>
  <c r="B330" i="9"/>
  <c r="V322" i="9"/>
  <c r="C221" i="21"/>
  <c r="B332" i="9"/>
  <c r="V324" i="9"/>
  <c r="C222" i="21"/>
  <c r="B333" i="9"/>
  <c r="V325" i="9"/>
  <c r="C223" i="21"/>
  <c r="B334" i="9"/>
  <c r="V326" i="9"/>
  <c r="C224" i="21"/>
  <c r="V327" i="9"/>
  <c r="C225" i="21"/>
  <c r="V328" i="9"/>
  <c r="C226" i="21"/>
  <c r="B337" i="9"/>
  <c r="V329" i="9"/>
  <c r="C227" i="21"/>
  <c r="B338" i="9"/>
  <c r="V330" i="9"/>
  <c r="C228" i="21"/>
  <c r="B339" i="9"/>
  <c r="V331" i="9"/>
  <c r="C229" i="21"/>
  <c r="B340" i="9"/>
  <c r="V332" i="9"/>
  <c r="C230" i="21"/>
  <c r="B341" i="9"/>
  <c r="V333" i="9"/>
  <c r="C231" i="21"/>
  <c r="B342" i="9"/>
  <c r="V334" i="9"/>
  <c r="C232" i="21"/>
  <c r="B343" i="9"/>
  <c r="V335" i="9"/>
  <c r="C233" i="21"/>
  <c r="B344" i="9"/>
  <c r="V336" i="9"/>
  <c r="V337" i="9"/>
  <c r="Y323" i="9"/>
  <c r="C331" i="9"/>
  <c r="H864" i="23"/>
  <c r="C864" i="23"/>
  <c r="D864" i="23"/>
  <c r="H865" i="23"/>
  <c r="C865" i="23"/>
  <c r="D865" i="23"/>
  <c r="H866" i="23"/>
  <c r="C866" i="23"/>
  <c r="D866" i="23"/>
  <c r="H867" i="23"/>
  <c r="C867" i="23"/>
  <c r="D867" i="23"/>
  <c r="E862" i="23"/>
  <c r="J572" i="12"/>
  <c r="W298" i="9"/>
  <c r="W294" i="9"/>
  <c r="W295" i="9"/>
  <c r="W296" i="9"/>
  <c r="W297" i="9"/>
  <c r="W299" i="9"/>
  <c r="R143" i="9"/>
  <c r="W300" i="9"/>
  <c r="W301" i="9"/>
  <c r="W302" i="9"/>
  <c r="W303" i="9"/>
  <c r="W304" i="9"/>
  <c r="Z298" i="9"/>
  <c r="X298" i="9"/>
  <c r="X294" i="9"/>
  <c r="X295" i="9"/>
  <c r="X296" i="9"/>
  <c r="X297" i="9"/>
  <c r="X299" i="9"/>
  <c r="X300" i="9"/>
  <c r="X301" i="9"/>
  <c r="X302" i="9"/>
  <c r="X303" i="9"/>
  <c r="X304" i="9"/>
  <c r="AA298" i="9"/>
  <c r="E194" i="21"/>
  <c r="AB298" i="9"/>
  <c r="J17" i="9"/>
  <c r="C60" i="9"/>
  <c r="C67" i="9"/>
  <c r="C124" i="9"/>
  <c r="Q125" i="9"/>
  <c r="C125" i="9"/>
  <c r="C79" i="9"/>
  <c r="R70" i="9"/>
  <c r="C80" i="9"/>
  <c r="C74" i="9"/>
  <c r="R66" i="9"/>
  <c r="C75" i="9"/>
  <c r="J71" i="9"/>
  <c r="R68" i="9"/>
  <c r="J72" i="9"/>
  <c r="R69" i="9"/>
  <c r="J77" i="9"/>
  <c r="J66" i="9"/>
  <c r="R67" i="9"/>
  <c r="J67" i="9"/>
  <c r="C93" i="9"/>
  <c r="C138" i="9"/>
  <c r="C212" i="9"/>
  <c r="C290" i="9"/>
  <c r="J12" i="9"/>
  <c r="K17" i="9"/>
  <c r="D60" i="9"/>
  <c r="C66" i="9"/>
  <c r="D66" i="9"/>
  <c r="S64" i="9"/>
  <c r="D67" i="9"/>
  <c r="D124" i="9"/>
  <c r="R125" i="9"/>
  <c r="D125" i="9"/>
  <c r="D79" i="9"/>
  <c r="S70" i="9"/>
  <c r="D80" i="9"/>
  <c r="D74" i="9"/>
  <c r="S66" i="9"/>
  <c r="D75" i="9"/>
  <c r="K71" i="9"/>
  <c r="S68" i="9"/>
  <c r="K72" i="9"/>
  <c r="J76" i="9"/>
  <c r="K76" i="9"/>
  <c r="S69" i="9"/>
  <c r="K77" i="9"/>
  <c r="K66" i="9"/>
  <c r="S67" i="9"/>
  <c r="K67" i="9"/>
  <c r="D93" i="9"/>
  <c r="D138" i="9"/>
  <c r="D212" i="9"/>
  <c r="D290" i="9"/>
  <c r="AC293" i="9"/>
  <c r="AC298" i="9"/>
  <c r="H869" i="23"/>
  <c r="C869" i="23"/>
  <c r="D869" i="23"/>
  <c r="Y305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Z305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AA305" i="9"/>
  <c r="E201" i="21"/>
  <c r="AB305" i="9"/>
  <c r="AC305" i="9"/>
  <c r="AG305" i="9"/>
  <c r="Y321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Z321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AA321" i="9"/>
  <c r="E218" i="21"/>
  <c r="AB321" i="9"/>
  <c r="AC321" i="9"/>
  <c r="AG321" i="9"/>
  <c r="H870" i="23"/>
  <c r="B870" i="23"/>
  <c r="C870" i="23"/>
  <c r="D870" i="23"/>
  <c r="Y306" i="9"/>
  <c r="Z306" i="9"/>
  <c r="AA306" i="9"/>
  <c r="E202" i="21"/>
  <c r="AB306" i="9"/>
  <c r="AC306" i="9"/>
  <c r="AG306" i="9"/>
  <c r="Y322" i="9"/>
  <c r="Z322" i="9"/>
  <c r="AA322" i="9"/>
  <c r="E219" i="21"/>
  <c r="AB322" i="9"/>
  <c r="AC322" i="9"/>
  <c r="AG322" i="9"/>
  <c r="H871" i="23"/>
  <c r="C871" i="23"/>
  <c r="D871" i="23"/>
  <c r="Y307" i="9"/>
  <c r="Z307" i="9"/>
  <c r="AA307" i="9"/>
  <c r="E203" i="21"/>
  <c r="AB307" i="9"/>
  <c r="AC307" i="9"/>
  <c r="AG307" i="9"/>
  <c r="H872" i="23"/>
  <c r="AD307" i="9"/>
  <c r="AI307" i="9"/>
  <c r="M872" i="23"/>
  <c r="AE307" i="9"/>
  <c r="AK307" i="9"/>
  <c r="R872" i="23"/>
  <c r="B872" i="23"/>
  <c r="C872" i="23"/>
  <c r="D872" i="23"/>
  <c r="Z308" i="9"/>
  <c r="AA308" i="9"/>
  <c r="E204" i="21"/>
  <c r="AB308" i="9"/>
  <c r="AC308" i="9"/>
  <c r="E294" i="9"/>
  <c r="AF308" i="9"/>
  <c r="AG308" i="9"/>
  <c r="H873" i="23"/>
  <c r="C873" i="23"/>
  <c r="D873" i="23"/>
  <c r="E873" i="23"/>
  <c r="Z323" i="9"/>
  <c r="AA323" i="9"/>
  <c r="E220" i="21"/>
  <c r="AB323" i="9"/>
  <c r="AC323" i="9"/>
  <c r="AF323" i="9"/>
  <c r="AG323" i="9"/>
  <c r="H874" i="23"/>
  <c r="C874" i="23"/>
  <c r="D874" i="23"/>
  <c r="E874" i="23"/>
  <c r="Y309" i="9"/>
  <c r="Z309" i="9"/>
  <c r="AA309" i="9"/>
  <c r="E205" i="21"/>
  <c r="AB309" i="9"/>
  <c r="AC309" i="9"/>
  <c r="Y324" i="9"/>
  <c r="Z324" i="9"/>
  <c r="AA324" i="9"/>
  <c r="E221" i="21"/>
  <c r="AB324" i="9"/>
  <c r="AC324" i="9"/>
  <c r="H876" i="23"/>
  <c r="C876" i="23"/>
  <c r="D876" i="23"/>
  <c r="E876" i="23"/>
  <c r="Y336" i="9"/>
  <c r="Z336" i="9"/>
  <c r="AA336" i="9"/>
  <c r="E233" i="21"/>
  <c r="AB336" i="9"/>
  <c r="AC336" i="9"/>
  <c r="H875" i="23"/>
  <c r="C875" i="23"/>
  <c r="D875" i="23"/>
  <c r="E875" i="23"/>
  <c r="E868" i="23"/>
  <c r="J573" i="12"/>
  <c r="H877" i="23"/>
  <c r="C877" i="23"/>
  <c r="D877" i="23"/>
  <c r="E877" i="23"/>
  <c r="J574" i="12"/>
  <c r="H878" i="23"/>
  <c r="C878" i="23"/>
  <c r="D878" i="23"/>
  <c r="E878" i="23"/>
  <c r="J575" i="12"/>
  <c r="Z294" i="9"/>
  <c r="AA294" i="9"/>
  <c r="E190" i="21"/>
  <c r="AB294" i="9"/>
  <c r="AC294" i="9"/>
  <c r="H880" i="23"/>
  <c r="B880" i="23"/>
  <c r="C880" i="23"/>
  <c r="D880" i="23"/>
  <c r="Z295" i="9"/>
  <c r="AA295" i="9"/>
  <c r="E191" i="21"/>
  <c r="AB295" i="9"/>
  <c r="AC295" i="9"/>
  <c r="H881" i="23"/>
  <c r="B881" i="23"/>
  <c r="C881" i="23"/>
  <c r="D881" i="23"/>
  <c r="Z296" i="9"/>
  <c r="AA296" i="9"/>
  <c r="E192" i="21"/>
  <c r="AB296" i="9"/>
  <c r="AC296" i="9"/>
  <c r="H882" i="23"/>
  <c r="C882" i="23"/>
  <c r="D882" i="23"/>
  <c r="Z297" i="9"/>
  <c r="AA297" i="9"/>
  <c r="E193" i="21"/>
  <c r="AB297" i="9"/>
  <c r="AC297" i="9"/>
  <c r="H883" i="23"/>
  <c r="B883" i="23"/>
  <c r="C883" i="23"/>
  <c r="D883" i="23"/>
  <c r="Y316" i="9"/>
  <c r="Z316" i="9"/>
  <c r="AA316" i="9"/>
  <c r="E212" i="21"/>
  <c r="AB316" i="9"/>
  <c r="AC316" i="9"/>
  <c r="H884" i="23"/>
  <c r="C884" i="23"/>
  <c r="D884" i="23"/>
  <c r="Y317" i="9"/>
  <c r="Z317" i="9"/>
  <c r="AA317" i="9"/>
  <c r="E213" i="21"/>
  <c r="AB317" i="9"/>
  <c r="AC317" i="9"/>
  <c r="Y332" i="9"/>
  <c r="Z332" i="9"/>
  <c r="AA332" i="9"/>
  <c r="E229" i="21"/>
  <c r="AB332" i="9"/>
  <c r="AC332" i="9"/>
  <c r="H885" i="23"/>
  <c r="B885" i="23"/>
  <c r="C885" i="23"/>
  <c r="D885" i="23"/>
  <c r="E879" i="23"/>
  <c r="J576" i="12"/>
  <c r="H886" i="23"/>
  <c r="B886" i="23"/>
  <c r="C886" i="23"/>
  <c r="D886" i="23"/>
  <c r="E886" i="23"/>
  <c r="J577" i="12"/>
  <c r="H887" i="23"/>
  <c r="B887" i="23"/>
  <c r="C887" i="23"/>
  <c r="D887" i="23"/>
  <c r="E887" i="23"/>
  <c r="J578" i="12"/>
  <c r="Z299" i="9"/>
  <c r="AA299" i="9"/>
  <c r="E195" i="21"/>
  <c r="AB299" i="9"/>
  <c r="AC299" i="9"/>
  <c r="H889" i="23"/>
  <c r="C889" i="23"/>
  <c r="D889" i="23"/>
  <c r="Z300" i="9"/>
  <c r="AA300" i="9"/>
  <c r="E196" i="21"/>
  <c r="AB300" i="9"/>
  <c r="AC300" i="9"/>
  <c r="H890" i="23"/>
  <c r="B890" i="23"/>
  <c r="C890" i="23"/>
  <c r="D890" i="23"/>
  <c r="Y310" i="9"/>
  <c r="Z310" i="9"/>
  <c r="AA310" i="9"/>
  <c r="E206" i="21"/>
  <c r="AB310" i="9"/>
  <c r="AC310" i="9"/>
  <c r="Y325" i="9"/>
  <c r="Z325" i="9"/>
  <c r="AA325" i="9"/>
  <c r="E222" i="21"/>
  <c r="AB325" i="9"/>
  <c r="AC325" i="9"/>
  <c r="Y311" i="9"/>
  <c r="Z311" i="9"/>
  <c r="AA311" i="9"/>
  <c r="E207" i="21"/>
  <c r="AB311" i="9"/>
  <c r="AC311" i="9"/>
  <c r="Y326" i="9"/>
  <c r="Z326" i="9"/>
  <c r="AA326" i="9"/>
  <c r="E223" i="21"/>
  <c r="AB326" i="9"/>
  <c r="AC326" i="9"/>
  <c r="H891" i="23"/>
  <c r="B891" i="23"/>
  <c r="C891" i="23"/>
  <c r="D891" i="23"/>
  <c r="Y312" i="9"/>
  <c r="Z312" i="9"/>
  <c r="AA312" i="9"/>
  <c r="E208" i="21"/>
  <c r="AB312" i="9"/>
  <c r="AC312" i="9"/>
  <c r="Y327" i="9"/>
  <c r="Z327" i="9"/>
  <c r="AA327" i="9"/>
  <c r="E224" i="21"/>
  <c r="AB327" i="9"/>
  <c r="AC327" i="9"/>
  <c r="H892" i="23"/>
  <c r="B892" i="23"/>
  <c r="C892" i="23"/>
  <c r="D892" i="23"/>
  <c r="E888" i="23"/>
  <c r="J579" i="12"/>
  <c r="H893" i="23"/>
  <c r="B893" i="23"/>
  <c r="C893" i="23"/>
  <c r="D893" i="23"/>
  <c r="E893" i="23"/>
  <c r="J580" i="12"/>
  <c r="H894" i="23"/>
  <c r="B894" i="23"/>
  <c r="C894" i="23"/>
  <c r="D894" i="23"/>
  <c r="E894" i="23"/>
  <c r="J581" i="12"/>
  <c r="H895" i="23"/>
  <c r="AD309" i="9"/>
  <c r="AD324" i="9"/>
  <c r="M876" i="23"/>
  <c r="M877" i="23"/>
  <c r="M878" i="23"/>
  <c r="M895" i="23"/>
  <c r="AE309" i="9"/>
  <c r="AE324" i="9"/>
  <c r="R876" i="23"/>
  <c r="R877" i="23"/>
  <c r="R878" i="23"/>
  <c r="R895" i="23"/>
  <c r="B895" i="23"/>
  <c r="C895" i="23"/>
  <c r="D895" i="23"/>
  <c r="E895" i="23"/>
  <c r="J582" i="12"/>
  <c r="F204" i="21"/>
  <c r="F220" i="21"/>
  <c r="H896" i="23"/>
  <c r="M896" i="23"/>
  <c r="R896" i="23"/>
  <c r="B896" i="23"/>
  <c r="C896" i="23"/>
  <c r="D896" i="23"/>
  <c r="E896" i="23"/>
  <c r="J583" i="12"/>
  <c r="Y319" i="9"/>
  <c r="C327" i="9"/>
  <c r="Y334" i="9"/>
  <c r="C342" i="9"/>
  <c r="H898" i="23"/>
  <c r="C898" i="23"/>
  <c r="D898" i="23"/>
  <c r="E898" i="23"/>
  <c r="H899" i="23"/>
  <c r="C899" i="23"/>
  <c r="D899" i="23"/>
  <c r="E899" i="23"/>
  <c r="H900" i="23"/>
  <c r="Z302" i="9"/>
  <c r="D309" i="9"/>
  <c r="D301" i="9"/>
  <c r="D302" i="9"/>
  <c r="D303" i="9"/>
  <c r="D304" i="9"/>
  <c r="D305" i="9"/>
  <c r="D306" i="9"/>
  <c r="D307" i="9"/>
  <c r="Z301" i="9"/>
  <c r="D308" i="9"/>
  <c r="D310" i="9"/>
  <c r="Z319" i="9"/>
  <c r="D327" i="9"/>
  <c r="Z334" i="9"/>
  <c r="D342" i="9"/>
  <c r="M898" i="23"/>
  <c r="AA302" i="9"/>
  <c r="E309" i="9"/>
  <c r="E301" i="9"/>
  <c r="E302" i="9"/>
  <c r="E303" i="9"/>
  <c r="E304" i="9"/>
  <c r="E305" i="9"/>
  <c r="E306" i="9"/>
  <c r="E307" i="9"/>
  <c r="AA301" i="9"/>
  <c r="E308" i="9"/>
  <c r="E310" i="9"/>
  <c r="AA319" i="9"/>
  <c r="E327" i="9"/>
  <c r="AA334" i="9"/>
  <c r="E342" i="9"/>
  <c r="R898" i="23"/>
  <c r="B900" i="23"/>
  <c r="C900" i="23"/>
  <c r="D900" i="23"/>
  <c r="E900" i="23"/>
  <c r="E897" i="23"/>
  <c r="J584" i="12"/>
  <c r="H901" i="23"/>
  <c r="C901" i="23"/>
  <c r="D901" i="23"/>
  <c r="E901" i="23"/>
  <c r="J585" i="12"/>
  <c r="H902" i="23"/>
  <c r="C902" i="23"/>
  <c r="D902" i="23"/>
  <c r="E902" i="23"/>
  <c r="J586" i="12"/>
  <c r="C903" i="23"/>
  <c r="D903" i="23"/>
  <c r="E903" i="23"/>
  <c r="J587" i="12"/>
  <c r="H905" i="23"/>
  <c r="C905" i="23"/>
  <c r="D905" i="23"/>
  <c r="E905" i="23"/>
  <c r="J589" i="12"/>
  <c r="Y315" i="9"/>
  <c r="C323" i="9"/>
  <c r="H915" i="23"/>
  <c r="C915" i="23"/>
  <c r="D915" i="23"/>
  <c r="E915" i="23"/>
  <c r="J599" i="12"/>
  <c r="H916" i="23"/>
  <c r="C916" i="23"/>
  <c r="D916" i="23"/>
  <c r="E916" i="23"/>
  <c r="J600" i="12"/>
  <c r="Z315" i="9"/>
  <c r="AA315" i="9"/>
  <c r="E211" i="21"/>
  <c r="AB315" i="9"/>
  <c r="AC315" i="9"/>
  <c r="H917" i="23"/>
  <c r="C917" i="23"/>
  <c r="D917" i="23"/>
  <c r="E917" i="23"/>
  <c r="J601" i="12"/>
  <c r="J598" i="12"/>
  <c r="C132" i="21"/>
  <c r="B239" i="9"/>
  <c r="V226" i="9"/>
  <c r="C123" i="21"/>
  <c r="B233" i="9"/>
  <c r="V216" i="9"/>
  <c r="C124" i="21"/>
  <c r="V217" i="9"/>
  <c r="C125" i="21"/>
  <c r="V219" i="9"/>
  <c r="C126" i="21"/>
  <c r="V220" i="9"/>
  <c r="C127" i="21"/>
  <c r="B237" i="9"/>
  <c r="V221" i="9"/>
  <c r="C128" i="21"/>
  <c r="V222" i="9"/>
  <c r="C129" i="21"/>
  <c r="V223" i="9"/>
  <c r="C130" i="21"/>
  <c r="B238" i="9"/>
  <c r="V224" i="9"/>
  <c r="C131" i="21"/>
  <c r="B236" i="9"/>
  <c r="V225" i="9"/>
  <c r="C133" i="21"/>
  <c r="V227" i="9"/>
  <c r="C134" i="21"/>
  <c r="B240" i="9"/>
  <c r="V228" i="9"/>
  <c r="C135" i="21"/>
  <c r="B241" i="9"/>
  <c r="V229" i="9"/>
  <c r="C136" i="21"/>
  <c r="V230" i="9"/>
  <c r="C137" i="21"/>
  <c r="B242" i="9"/>
  <c r="V231" i="9"/>
  <c r="C138" i="21"/>
  <c r="V232" i="9"/>
  <c r="C139" i="21"/>
  <c r="B243" i="9"/>
  <c r="V233" i="9"/>
  <c r="C140" i="21"/>
  <c r="B244" i="9"/>
  <c r="V234" i="9"/>
  <c r="C141" i="21"/>
  <c r="B245" i="9"/>
  <c r="V235" i="9"/>
  <c r="C142" i="21"/>
  <c r="B246" i="9"/>
  <c r="V236" i="9"/>
  <c r="C143" i="21"/>
  <c r="V237" i="9"/>
  <c r="V238" i="9"/>
  <c r="V239" i="9"/>
  <c r="Y226" i="9"/>
  <c r="Y227" i="9"/>
  <c r="C239" i="9"/>
  <c r="Y228" i="9"/>
  <c r="C240" i="9"/>
  <c r="Y229" i="9"/>
  <c r="Y230" i="9"/>
  <c r="C241" i="9"/>
  <c r="Y231" i="9"/>
  <c r="Y232" i="9"/>
  <c r="C242" i="9"/>
  <c r="Y233" i="9"/>
  <c r="C243" i="9"/>
  <c r="Y234" i="9"/>
  <c r="C244" i="9"/>
  <c r="Y235" i="9"/>
  <c r="C245" i="9"/>
  <c r="Y236" i="9"/>
  <c r="Y237" i="9"/>
  <c r="C246" i="9"/>
  <c r="Y216" i="9"/>
  <c r="Y217" i="9"/>
  <c r="Y219" i="9"/>
  <c r="Y220" i="9"/>
  <c r="Y221" i="9"/>
  <c r="Y222" i="9"/>
  <c r="Y223" i="9"/>
  <c r="Y224" i="9"/>
  <c r="Y225" i="9"/>
  <c r="D123" i="21"/>
  <c r="Q7" i="21"/>
  <c r="D124" i="21"/>
  <c r="Q8" i="21"/>
  <c r="D125" i="21"/>
  <c r="Q9" i="21"/>
  <c r="D127" i="21"/>
  <c r="Q10" i="21"/>
  <c r="D128" i="21"/>
  <c r="Q11" i="21"/>
  <c r="D129" i="21"/>
  <c r="Q12" i="21"/>
  <c r="D126" i="21"/>
  <c r="Q13" i="21"/>
  <c r="D174" i="21"/>
  <c r="Q14" i="21"/>
  <c r="D178" i="21"/>
  <c r="Q15" i="21"/>
  <c r="D179" i="21"/>
  <c r="Q16" i="21"/>
  <c r="D131" i="21"/>
  <c r="Q17" i="21"/>
  <c r="Q18" i="21"/>
  <c r="Q5" i="21"/>
  <c r="P227" i="9"/>
  <c r="B277" i="9"/>
  <c r="V268" i="9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45" i="21"/>
  <c r="C146" i="21"/>
  <c r="B251" i="9"/>
  <c r="V240" i="9"/>
  <c r="C147" i="21"/>
  <c r="V241" i="9"/>
  <c r="C148" i="21"/>
  <c r="B252" i="9"/>
  <c r="V242" i="9"/>
  <c r="C149" i="21"/>
  <c r="B253" i="9"/>
  <c r="V243" i="9"/>
  <c r="C150" i="21"/>
  <c r="B254" i="9"/>
  <c r="V244" i="9"/>
  <c r="C151" i="21"/>
  <c r="B255" i="9"/>
  <c r="V245" i="9"/>
  <c r="C152" i="21"/>
  <c r="B256" i="9"/>
  <c r="V246" i="9"/>
  <c r="C153" i="21"/>
  <c r="B257" i="9"/>
  <c r="V247" i="9"/>
  <c r="C154" i="21"/>
  <c r="B258" i="9"/>
  <c r="V248" i="9"/>
  <c r="C155" i="21"/>
  <c r="B259" i="9"/>
  <c r="V249" i="9"/>
  <c r="C156" i="21"/>
  <c r="B260" i="9"/>
  <c r="V250" i="9"/>
  <c r="C157" i="21"/>
  <c r="B261" i="9"/>
  <c r="V251" i="9"/>
  <c r="C158" i="21"/>
  <c r="B262" i="9"/>
  <c r="V252" i="9"/>
  <c r="C159" i="21"/>
  <c r="B263" i="9"/>
  <c r="V253" i="9"/>
  <c r="C160" i="21"/>
  <c r="B264" i="9"/>
  <c r="V254" i="9"/>
  <c r="C161" i="21"/>
  <c r="B265" i="9"/>
  <c r="V255" i="9"/>
  <c r="V256" i="9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64" i="21"/>
  <c r="C165" i="21"/>
  <c r="V257" i="9"/>
  <c r="C166" i="21"/>
  <c r="B267" i="9"/>
  <c r="V258" i="9"/>
  <c r="C167" i="21"/>
  <c r="B268" i="9"/>
  <c r="V259" i="9"/>
  <c r="C168" i="21"/>
  <c r="B269" i="9"/>
  <c r="V260" i="9"/>
  <c r="C169" i="21"/>
  <c r="B270" i="9"/>
  <c r="V261" i="9"/>
  <c r="C170" i="21"/>
  <c r="B272" i="9"/>
  <c r="V262" i="9"/>
  <c r="C171" i="21"/>
  <c r="B273" i="9"/>
  <c r="V263" i="9"/>
  <c r="C172" i="21"/>
  <c r="V264" i="9"/>
  <c r="C173" i="21"/>
  <c r="B274" i="9"/>
  <c r="V265" i="9"/>
  <c r="C175" i="21"/>
  <c r="B276" i="9"/>
  <c r="V266" i="9"/>
  <c r="C177" i="21"/>
  <c r="B278" i="9"/>
  <c r="V267" i="9"/>
  <c r="C178" i="21"/>
  <c r="B279" i="9"/>
  <c r="V269" i="9"/>
  <c r="C179" i="21"/>
  <c r="B280" i="9"/>
  <c r="V270" i="9"/>
  <c r="C174" i="21"/>
  <c r="B275" i="9"/>
  <c r="V271" i="9"/>
  <c r="C180" i="21"/>
  <c r="V272" i="9"/>
  <c r="C181" i="21"/>
  <c r="B281" i="9"/>
  <c r="V273" i="9"/>
  <c r="C182" i="21"/>
  <c r="B282" i="9"/>
  <c r="V274" i="9"/>
  <c r="C183" i="21"/>
  <c r="B283" i="9"/>
  <c r="V275" i="9"/>
  <c r="C184" i="21"/>
  <c r="B284" i="9"/>
  <c r="V276" i="9"/>
  <c r="V277" i="9"/>
  <c r="Y268" i="9"/>
  <c r="Y269" i="9"/>
  <c r="Y270" i="9"/>
  <c r="Y271" i="9"/>
  <c r="W268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9" i="9"/>
  <c r="W270" i="9"/>
  <c r="W271" i="9"/>
  <c r="W272" i="9"/>
  <c r="W273" i="9"/>
  <c r="W274" i="9"/>
  <c r="W275" i="9"/>
  <c r="W276" i="9"/>
  <c r="W277" i="9"/>
  <c r="Z268" i="9"/>
  <c r="X268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B271" i="9"/>
  <c r="X261" i="9"/>
  <c r="X262" i="9"/>
  <c r="X263" i="9"/>
  <c r="X264" i="9"/>
  <c r="X265" i="9"/>
  <c r="X266" i="9"/>
  <c r="X267" i="9"/>
  <c r="X269" i="9"/>
  <c r="X270" i="9"/>
  <c r="X271" i="9"/>
  <c r="X272" i="9"/>
  <c r="X273" i="9"/>
  <c r="X274" i="9"/>
  <c r="X275" i="9"/>
  <c r="X276" i="9"/>
  <c r="X277" i="9"/>
  <c r="AA268" i="9"/>
  <c r="Z269" i="9"/>
  <c r="AA269" i="9"/>
  <c r="Z270" i="9"/>
  <c r="AA270" i="9"/>
  <c r="Z271" i="9"/>
  <c r="AA271" i="9"/>
  <c r="W216" i="9"/>
  <c r="W217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Z216" i="9"/>
  <c r="X216" i="9"/>
  <c r="X217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AA216" i="9"/>
  <c r="Z217" i="9"/>
  <c r="AA217" i="9"/>
  <c r="Z219" i="9"/>
  <c r="AA219" i="9"/>
  <c r="Z220" i="9"/>
  <c r="AA220" i="9"/>
  <c r="Z221" i="9"/>
  <c r="AA221" i="9"/>
  <c r="Z222" i="9"/>
  <c r="AA222" i="9"/>
  <c r="Z223" i="9"/>
  <c r="AA223" i="9"/>
  <c r="P231" i="9"/>
  <c r="P232" i="9"/>
  <c r="P230" i="9"/>
  <c r="P233" i="9"/>
  <c r="C234" i="9"/>
  <c r="P234" i="9"/>
  <c r="C233" i="9"/>
  <c r="C247" i="9"/>
  <c r="H811" i="23"/>
  <c r="B811" i="23"/>
  <c r="C811" i="23"/>
  <c r="D811" i="23"/>
  <c r="E811" i="23"/>
  <c r="J549" i="12"/>
  <c r="Z233" i="9"/>
  <c r="AA233" i="9"/>
  <c r="E139" i="21"/>
  <c r="AB233" i="9"/>
  <c r="AC137" i="9"/>
  <c r="AC233" i="9"/>
  <c r="AG233" i="9"/>
  <c r="H835" i="23"/>
  <c r="C835" i="23"/>
  <c r="D835" i="23"/>
  <c r="Z234" i="9"/>
  <c r="AA234" i="9"/>
  <c r="E140" i="21"/>
  <c r="AB234" i="9"/>
  <c r="AC234" i="9"/>
  <c r="AG234" i="9"/>
  <c r="H836" i="23"/>
  <c r="B836" i="23"/>
  <c r="C836" i="23"/>
  <c r="D836" i="23"/>
  <c r="Y246" i="9"/>
  <c r="Z246" i="9"/>
  <c r="AA246" i="9"/>
  <c r="E152" i="21"/>
  <c r="AB246" i="9"/>
  <c r="AC246" i="9"/>
  <c r="AF246" i="9"/>
  <c r="AG246" i="9"/>
  <c r="Y247" i="9"/>
  <c r="Z247" i="9"/>
  <c r="AA247" i="9"/>
  <c r="E153" i="21"/>
  <c r="AB247" i="9"/>
  <c r="AC247" i="9"/>
  <c r="AF247" i="9"/>
  <c r="AG247" i="9"/>
  <c r="H837" i="23"/>
  <c r="C837" i="23"/>
  <c r="D837" i="23"/>
  <c r="Y248" i="9"/>
  <c r="Z248" i="9"/>
  <c r="AA248" i="9"/>
  <c r="E154" i="21"/>
  <c r="AB248" i="9"/>
  <c r="AC248" i="9"/>
  <c r="AG248" i="9"/>
  <c r="H838" i="23"/>
  <c r="B838" i="23"/>
  <c r="C838" i="23"/>
  <c r="D838" i="23"/>
  <c r="Y249" i="9"/>
  <c r="Z249" i="9"/>
  <c r="AA249" i="9"/>
  <c r="E155" i="21"/>
  <c r="AB249" i="9"/>
  <c r="AC249" i="9"/>
  <c r="AG249" i="9"/>
  <c r="H839" i="23"/>
  <c r="B839" i="23"/>
  <c r="C839" i="23"/>
  <c r="D839" i="23"/>
  <c r="Y262" i="9"/>
  <c r="Z262" i="9"/>
  <c r="AA262" i="9"/>
  <c r="E170" i="21"/>
  <c r="AB262" i="9"/>
  <c r="AC262" i="9"/>
  <c r="AF262" i="9"/>
  <c r="AG262" i="9"/>
  <c r="Y264" i="9"/>
  <c r="Z264" i="9"/>
  <c r="AA264" i="9"/>
  <c r="E172" i="21"/>
  <c r="AB264" i="9"/>
  <c r="AC264" i="9"/>
  <c r="AF264" i="9"/>
  <c r="AG264" i="9"/>
  <c r="H840" i="23"/>
  <c r="C840" i="23"/>
  <c r="D840" i="23"/>
  <c r="Y265" i="9"/>
  <c r="Z265" i="9"/>
  <c r="AA265" i="9"/>
  <c r="E173" i="21"/>
  <c r="AB265" i="9"/>
  <c r="AC265" i="9"/>
  <c r="AG265" i="9"/>
  <c r="H841" i="23"/>
  <c r="B841" i="23"/>
  <c r="C841" i="23"/>
  <c r="D841" i="23"/>
  <c r="E174" i="21"/>
  <c r="AB271" i="9"/>
  <c r="AC271" i="9"/>
  <c r="AG271" i="9"/>
  <c r="H842" i="23"/>
  <c r="B842" i="23"/>
  <c r="C842" i="23"/>
  <c r="D842" i="23"/>
  <c r="Y251" i="9"/>
  <c r="C261" i="9"/>
  <c r="Y252" i="9"/>
  <c r="C262" i="9"/>
  <c r="Y253" i="9"/>
  <c r="C263" i="9"/>
  <c r="Y254" i="9"/>
  <c r="C264" i="9"/>
  <c r="Y255" i="9"/>
  <c r="C265" i="9"/>
  <c r="Y273" i="9"/>
  <c r="C281" i="9"/>
  <c r="Y274" i="9"/>
  <c r="C282" i="9"/>
  <c r="Y275" i="9"/>
  <c r="C283" i="9"/>
  <c r="Y276" i="9"/>
  <c r="C284" i="9"/>
  <c r="H843" i="23"/>
  <c r="C843" i="23"/>
  <c r="G843" i="23"/>
  <c r="D843" i="23"/>
  <c r="E843" i="23"/>
  <c r="H844" i="23"/>
  <c r="C844" i="23"/>
  <c r="D844" i="23"/>
  <c r="E844" i="23"/>
  <c r="E834" i="23"/>
  <c r="J554" i="12"/>
  <c r="Z236" i="9"/>
  <c r="AA236" i="9"/>
  <c r="E142" i="21"/>
  <c r="AB236" i="9"/>
  <c r="AC236" i="9"/>
  <c r="Z251" i="9"/>
  <c r="AA251" i="9"/>
  <c r="E157" i="21"/>
  <c r="AB251" i="9"/>
  <c r="AC251" i="9"/>
  <c r="Z273" i="9"/>
  <c r="AA273" i="9"/>
  <c r="E181" i="21"/>
  <c r="AB273" i="9"/>
  <c r="AC273" i="9"/>
  <c r="H812" i="23"/>
  <c r="B812" i="23"/>
  <c r="C812" i="23"/>
  <c r="D812" i="23"/>
  <c r="E812" i="23"/>
  <c r="J550" i="12"/>
  <c r="Z226" i="9"/>
  <c r="AA226" i="9"/>
  <c r="E132" i="21"/>
  <c r="AB226" i="9"/>
  <c r="AC226" i="9"/>
  <c r="AG226" i="9"/>
  <c r="H814" i="23"/>
  <c r="B814" i="23"/>
  <c r="C814" i="23"/>
  <c r="D814" i="23"/>
  <c r="Z227" i="9"/>
  <c r="AA227" i="9"/>
  <c r="E133" i="21"/>
  <c r="AB227" i="9"/>
  <c r="AC227" i="9"/>
  <c r="AG227" i="9"/>
  <c r="H815" i="23"/>
  <c r="B815" i="23"/>
  <c r="C815" i="23"/>
  <c r="D815" i="23"/>
  <c r="Z228" i="9"/>
  <c r="AA228" i="9"/>
  <c r="E134" i="21"/>
  <c r="AB228" i="9"/>
  <c r="AC228" i="9"/>
  <c r="AG228" i="9"/>
  <c r="H816" i="23"/>
  <c r="C816" i="23"/>
  <c r="D816" i="23"/>
  <c r="Y241" i="9"/>
  <c r="Z241" i="9"/>
  <c r="AA241" i="9"/>
  <c r="E147" i="21"/>
  <c r="AB241" i="9"/>
  <c r="AC241" i="9"/>
  <c r="AG241" i="9"/>
  <c r="H817" i="23"/>
  <c r="C817" i="23"/>
  <c r="D817" i="23"/>
  <c r="Y257" i="9"/>
  <c r="Z257" i="9"/>
  <c r="AA257" i="9"/>
  <c r="E165" i="21"/>
  <c r="AB257" i="9"/>
  <c r="AC257" i="9"/>
  <c r="AG257" i="9"/>
  <c r="H818" i="23"/>
  <c r="C818" i="23"/>
  <c r="D818" i="23"/>
  <c r="Y240" i="9"/>
  <c r="Z240" i="9"/>
  <c r="AA240" i="9"/>
  <c r="E146" i="21"/>
  <c r="AB240" i="9"/>
  <c r="AC240" i="9"/>
  <c r="AG240" i="9"/>
  <c r="H819" i="23"/>
  <c r="C819" i="23"/>
  <c r="D819" i="23"/>
  <c r="H820" i="23"/>
  <c r="C820" i="23"/>
  <c r="D820" i="23"/>
  <c r="Y245" i="9"/>
  <c r="Z245" i="9"/>
  <c r="AA245" i="9"/>
  <c r="E151" i="21"/>
  <c r="AB245" i="9"/>
  <c r="AC245" i="9"/>
  <c r="AF245" i="9"/>
  <c r="AG245" i="9"/>
  <c r="H821" i="23"/>
  <c r="C821" i="23"/>
  <c r="D821" i="23"/>
  <c r="Y244" i="9"/>
  <c r="Z244" i="9"/>
  <c r="AA244" i="9"/>
  <c r="E150" i="21"/>
  <c r="AB244" i="9"/>
  <c r="AC244" i="9"/>
  <c r="AF244" i="9"/>
  <c r="AG244" i="9"/>
  <c r="H822" i="23"/>
  <c r="C822" i="23"/>
  <c r="D822" i="23"/>
  <c r="H823" i="23"/>
  <c r="C823" i="23"/>
  <c r="D823" i="23"/>
  <c r="Y261" i="9"/>
  <c r="Z261" i="9"/>
  <c r="AA261" i="9"/>
  <c r="E169" i="21"/>
  <c r="AB261" i="9"/>
  <c r="AC261" i="9"/>
  <c r="AF261" i="9"/>
  <c r="AG261" i="9"/>
  <c r="H824" i="23"/>
  <c r="C824" i="23"/>
  <c r="D824" i="23"/>
  <c r="Z232" i="9"/>
  <c r="AA232" i="9"/>
  <c r="E138" i="21"/>
  <c r="AB232" i="9"/>
  <c r="AC232" i="9"/>
  <c r="AG232" i="9"/>
  <c r="H825" i="23"/>
  <c r="C825" i="23"/>
  <c r="D825" i="23"/>
  <c r="Z231" i="9"/>
  <c r="AA231" i="9"/>
  <c r="E137" i="21"/>
  <c r="AB231" i="9"/>
  <c r="AC231" i="9"/>
  <c r="AG231" i="9"/>
  <c r="H826" i="23"/>
  <c r="C826" i="23"/>
  <c r="D826" i="23"/>
  <c r="E813" i="23"/>
  <c r="J551" i="12"/>
  <c r="H828" i="23"/>
  <c r="B828" i="23"/>
  <c r="C828" i="23"/>
  <c r="D828" i="23"/>
  <c r="H829" i="23"/>
  <c r="B829" i="23"/>
  <c r="C829" i="23"/>
  <c r="D829" i="23"/>
  <c r="H830" i="23"/>
  <c r="B830" i="23"/>
  <c r="C830" i="23"/>
  <c r="D830" i="23"/>
  <c r="H831" i="23"/>
  <c r="B831" i="23"/>
  <c r="C831" i="23"/>
  <c r="D831" i="23"/>
  <c r="H832" i="23"/>
  <c r="B832" i="23"/>
  <c r="C832" i="23"/>
  <c r="D832" i="23"/>
  <c r="E827" i="23"/>
  <c r="J552" i="12"/>
  <c r="H833" i="23"/>
  <c r="B833" i="23"/>
  <c r="C833" i="23"/>
  <c r="D833" i="23"/>
  <c r="E833" i="23"/>
  <c r="J553" i="12"/>
  <c r="H705" i="23"/>
  <c r="B705" i="23"/>
  <c r="C705" i="23"/>
  <c r="G705" i="23"/>
  <c r="D705" i="23"/>
  <c r="E705" i="23"/>
  <c r="H706" i="23"/>
  <c r="B706" i="23"/>
  <c r="C706" i="23"/>
  <c r="G706" i="23"/>
  <c r="D706" i="23"/>
  <c r="E706" i="23"/>
  <c r="E704" i="23"/>
  <c r="J474" i="12"/>
  <c r="H707" i="23"/>
  <c r="B707" i="23"/>
  <c r="C707" i="23"/>
  <c r="D707" i="23"/>
  <c r="E707" i="23"/>
  <c r="J475" i="12"/>
  <c r="H708" i="23"/>
  <c r="B708" i="23"/>
  <c r="C708" i="23"/>
  <c r="D708" i="23"/>
  <c r="E708" i="23"/>
  <c r="J476" i="12"/>
  <c r="H709" i="23"/>
  <c r="B709" i="23"/>
  <c r="C709" i="23"/>
  <c r="D709" i="23"/>
  <c r="E709" i="23"/>
  <c r="J477" i="12"/>
  <c r="H711" i="23"/>
  <c r="B711" i="23"/>
  <c r="C711" i="23"/>
  <c r="D711" i="23"/>
  <c r="G711" i="23"/>
  <c r="E711" i="23"/>
  <c r="J479" i="12"/>
  <c r="H713" i="23"/>
  <c r="B713" i="23"/>
  <c r="C713" i="23"/>
  <c r="D713" i="23"/>
  <c r="E713" i="23"/>
  <c r="C279" i="9"/>
  <c r="H714" i="23"/>
  <c r="C714" i="23"/>
  <c r="D714" i="23"/>
  <c r="E714" i="23"/>
  <c r="D279" i="9"/>
  <c r="E279" i="9"/>
  <c r="H715" i="23"/>
  <c r="C715" i="23"/>
  <c r="D715" i="23"/>
  <c r="E715" i="23"/>
  <c r="E178" i="21"/>
  <c r="AB269" i="9"/>
  <c r="AC269" i="9"/>
  <c r="H716" i="23"/>
  <c r="C716" i="23"/>
  <c r="D716" i="23"/>
  <c r="E716" i="23"/>
  <c r="H717" i="23"/>
  <c r="C717" i="23"/>
  <c r="D717" i="23"/>
  <c r="E717" i="23"/>
  <c r="Y272" i="9"/>
  <c r="C280" i="9"/>
  <c r="H718" i="23"/>
  <c r="C718" i="23"/>
  <c r="D718" i="23"/>
  <c r="E718" i="23"/>
  <c r="H719" i="23"/>
  <c r="C719" i="23"/>
  <c r="D719" i="23"/>
  <c r="E719" i="23"/>
  <c r="E179" i="21"/>
  <c r="AB270" i="9"/>
  <c r="AC270" i="9"/>
  <c r="AG270" i="9"/>
  <c r="Z272" i="9"/>
  <c r="AA272" i="9"/>
  <c r="E180" i="21"/>
  <c r="AB272" i="9"/>
  <c r="AC272" i="9"/>
  <c r="AG272" i="9"/>
  <c r="H720" i="23"/>
  <c r="C720" i="23"/>
  <c r="D720" i="23"/>
  <c r="E720" i="23"/>
  <c r="H721" i="23"/>
  <c r="B721" i="23"/>
  <c r="C721" i="23"/>
  <c r="D721" i="23"/>
  <c r="E721" i="23"/>
  <c r="E712" i="23"/>
  <c r="J480" i="12"/>
  <c r="E123" i="21"/>
  <c r="AB216" i="9"/>
  <c r="AC216" i="9"/>
  <c r="AG216" i="9"/>
  <c r="H723" i="23"/>
  <c r="B723" i="23"/>
  <c r="C723" i="23"/>
  <c r="G723" i="23"/>
  <c r="D723" i="23"/>
  <c r="E723" i="23"/>
  <c r="E125" i="21"/>
  <c r="AB219" i="9"/>
  <c r="AC219" i="9"/>
  <c r="AG219" i="9"/>
  <c r="H724" i="23"/>
  <c r="C724" i="23"/>
  <c r="D724" i="23"/>
  <c r="E724" i="23"/>
  <c r="E124" i="21"/>
  <c r="AB217" i="9"/>
  <c r="AC217" i="9"/>
  <c r="AG217" i="9"/>
  <c r="H725" i="23"/>
  <c r="B725" i="23"/>
  <c r="C725" i="23"/>
  <c r="D725" i="23"/>
  <c r="E725" i="23"/>
  <c r="E722" i="23"/>
  <c r="J481" i="12"/>
  <c r="H726" i="23"/>
  <c r="C726" i="23"/>
  <c r="D726" i="23"/>
  <c r="E726" i="23"/>
  <c r="J482" i="12"/>
  <c r="H727" i="23"/>
  <c r="B727" i="23"/>
  <c r="C727" i="23"/>
  <c r="D727" i="23"/>
  <c r="E727" i="23"/>
  <c r="J483" i="12"/>
  <c r="H728" i="23"/>
  <c r="C728" i="23"/>
  <c r="D728" i="23"/>
  <c r="E728" i="23"/>
  <c r="J484" i="12"/>
  <c r="H729" i="23"/>
  <c r="B729" i="23"/>
  <c r="C729" i="23"/>
  <c r="G729" i="23"/>
  <c r="D729" i="23"/>
  <c r="E729" i="23"/>
  <c r="J485" i="12"/>
  <c r="H730" i="23"/>
  <c r="B730" i="23"/>
  <c r="C730" i="23"/>
  <c r="D730" i="23"/>
  <c r="E730" i="23"/>
  <c r="J486" i="12"/>
  <c r="F242" i="21"/>
  <c r="H731" i="23"/>
  <c r="C731" i="23"/>
  <c r="D731" i="23"/>
  <c r="E731" i="23"/>
  <c r="J487" i="12"/>
  <c r="Y243" i="9"/>
  <c r="C253" i="9"/>
  <c r="Y242" i="9"/>
  <c r="C252" i="9"/>
  <c r="Y260" i="9"/>
  <c r="C269" i="9"/>
  <c r="Y259" i="9"/>
  <c r="C268" i="9"/>
  <c r="P241" i="9"/>
  <c r="H733" i="23"/>
  <c r="C733" i="23"/>
  <c r="F135" i="21"/>
  <c r="W40" i="21"/>
  <c r="E136" i="21"/>
  <c r="W41" i="21"/>
  <c r="E167" i="21"/>
  <c r="W42" i="21"/>
  <c r="W39" i="21"/>
  <c r="E229" i="9"/>
  <c r="O242" i="9"/>
  <c r="B229" i="9"/>
  <c r="G733" i="23"/>
  <c r="D733" i="23"/>
  <c r="E733" i="23"/>
  <c r="H734" i="23"/>
  <c r="C734" i="23"/>
  <c r="G734" i="23"/>
  <c r="D734" i="23"/>
  <c r="E734" i="23"/>
  <c r="H735" i="23"/>
  <c r="B735" i="23"/>
  <c r="C735" i="23"/>
  <c r="G735" i="23"/>
  <c r="D735" i="23"/>
  <c r="E735" i="23"/>
  <c r="H736" i="23"/>
  <c r="C736" i="23"/>
  <c r="G736" i="23"/>
  <c r="D736" i="23"/>
  <c r="E736" i="23"/>
  <c r="E732" i="23"/>
  <c r="J488" i="12"/>
  <c r="H738" i="23"/>
  <c r="C738" i="23"/>
  <c r="D738" i="23"/>
  <c r="E738" i="23"/>
  <c r="H739" i="23"/>
  <c r="C739" i="23"/>
  <c r="D739" i="23"/>
  <c r="E739" i="23"/>
  <c r="E737" i="23"/>
  <c r="J489" i="12"/>
  <c r="H757" i="23"/>
  <c r="B757" i="23"/>
  <c r="C757" i="23"/>
  <c r="D757" i="23"/>
  <c r="E757" i="23"/>
  <c r="B45" i="21"/>
  <c r="C45" i="21"/>
  <c r="O130" i="9"/>
  <c r="I124" i="9"/>
  <c r="P130" i="9"/>
  <c r="I125" i="9"/>
  <c r="H415" i="23"/>
  <c r="C415" i="23"/>
  <c r="D415" i="23"/>
  <c r="E415" i="23"/>
  <c r="H740" i="23"/>
  <c r="Q231" i="9"/>
  <c r="Q232" i="9"/>
  <c r="C228" i="9"/>
  <c r="Q230" i="9"/>
  <c r="Q233" i="9"/>
  <c r="Q234" i="9"/>
  <c r="M708" i="23"/>
  <c r="I708" i="23"/>
  <c r="C218" i="9"/>
  <c r="J708" i="23"/>
  <c r="M757" i="23"/>
  <c r="I757" i="23"/>
  <c r="J757" i="23"/>
  <c r="J124" i="9"/>
  <c r="Q130" i="9"/>
  <c r="J125" i="9"/>
  <c r="M415" i="23"/>
  <c r="I415" i="23"/>
  <c r="J415" i="23"/>
  <c r="M740" i="23"/>
  <c r="R231" i="9"/>
  <c r="R232" i="9"/>
  <c r="D228" i="9"/>
  <c r="R230" i="9"/>
  <c r="R233" i="9"/>
  <c r="R234" i="9"/>
  <c r="R708" i="23"/>
  <c r="N708" i="23"/>
  <c r="D218" i="9"/>
  <c r="O708" i="23"/>
  <c r="R757" i="23"/>
  <c r="N757" i="23"/>
  <c r="O757" i="23"/>
  <c r="K124" i="9"/>
  <c r="R130" i="9"/>
  <c r="K125" i="9"/>
  <c r="R415" i="23"/>
  <c r="D126" i="9"/>
  <c r="K126" i="9"/>
  <c r="N415" i="23"/>
  <c r="O415" i="23"/>
  <c r="R740" i="23"/>
  <c r="B740" i="23"/>
  <c r="C740" i="23"/>
  <c r="D740" i="23"/>
  <c r="E740" i="23"/>
  <c r="J490" i="12"/>
  <c r="H741" i="23"/>
  <c r="C741" i="23"/>
  <c r="D741" i="23"/>
  <c r="E741" i="23"/>
  <c r="J491" i="12"/>
  <c r="H743" i="23"/>
  <c r="C743" i="23"/>
  <c r="D743" i="23"/>
  <c r="E743" i="23"/>
  <c r="J493" i="12"/>
  <c r="C753" i="23"/>
  <c r="D753" i="23"/>
  <c r="E753" i="23"/>
  <c r="J503" i="12"/>
  <c r="H754" i="23"/>
  <c r="C754" i="23"/>
  <c r="D754" i="23"/>
  <c r="E754" i="23"/>
  <c r="J504" i="12"/>
  <c r="C755" i="23"/>
  <c r="D755" i="23"/>
  <c r="E755" i="23"/>
  <c r="J505" i="12"/>
  <c r="C756" i="23"/>
  <c r="D756" i="23"/>
  <c r="E756" i="23"/>
  <c r="J506" i="12"/>
  <c r="J507" i="12"/>
  <c r="H758" i="23"/>
  <c r="C758" i="23"/>
  <c r="D758" i="23"/>
  <c r="E758" i="23"/>
  <c r="J508" i="12"/>
  <c r="J502" i="12"/>
  <c r="C235" i="9"/>
  <c r="H768" i="23"/>
  <c r="B770" i="23"/>
  <c r="B771" i="23"/>
  <c r="B768" i="23"/>
  <c r="C768" i="23"/>
  <c r="D768" i="23"/>
  <c r="E768" i="23"/>
  <c r="J518" i="12"/>
  <c r="H770" i="23"/>
  <c r="C770" i="23"/>
  <c r="G770" i="23"/>
  <c r="D770" i="23"/>
  <c r="E770" i="23"/>
  <c r="B64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5" i="21"/>
  <c r="B67" i="21"/>
  <c r="B68" i="21"/>
  <c r="B69" i="21"/>
  <c r="B70" i="21"/>
  <c r="B71" i="21"/>
  <c r="B72" i="21"/>
  <c r="B73" i="21"/>
  <c r="B66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49" i="21"/>
  <c r="C64" i="21"/>
  <c r="B156" i="9"/>
  <c r="V153" i="9"/>
  <c r="C50" i="21"/>
  <c r="B149" i="9"/>
  <c r="V138" i="9"/>
  <c r="C51" i="21"/>
  <c r="B150" i="9"/>
  <c r="V139" i="9"/>
  <c r="C52" i="21"/>
  <c r="V140" i="9"/>
  <c r="C53" i="21"/>
  <c r="B151" i="9"/>
  <c r="V141" i="9"/>
  <c r="V142" i="9"/>
  <c r="C55" i="21"/>
  <c r="B152" i="9"/>
  <c r="V143" i="9"/>
  <c r="C56" i="21"/>
  <c r="V144" i="9"/>
  <c r="C57" i="21"/>
  <c r="V145" i="9"/>
  <c r="C58" i="21"/>
  <c r="V146" i="9"/>
  <c r="C59" i="21"/>
  <c r="B158" i="9"/>
  <c r="V147" i="9"/>
  <c r="C60" i="21"/>
  <c r="B153" i="9"/>
  <c r="V148" i="9"/>
  <c r="C97" i="21"/>
  <c r="V149" i="9"/>
  <c r="C61" i="21"/>
  <c r="B154" i="9"/>
  <c r="V150" i="9"/>
  <c r="C62" i="21"/>
  <c r="V151" i="9"/>
  <c r="C63" i="21"/>
  <c r="B155" i="9"/>
  <c r="V152" i="9"/>
  <c r="C65" i="21"/>
  <c r="B157" i="9"/>
  <c r="V154" i="9"/>
  <c r="C67" i="21"/>
  <c r="V156" i="9"/>
  <c r="C68" i="21"/>
  <c r="V157" i="9"/>
  <c r="C69" i="21"/>
  <c r="V158" i="9"/>
  <c r="C70" i="21"/>
  <c r="V159" i="9"/>
  <c r="C71" i="21"/>
  <c r="B161" i="9"/>
  <c r="V160" i="9"/>
  <c r="C72" i="21"/>
  <c r="B159" i="9"/>
  <c r="V161" i="9"/>
  <c r="C73" i="21"/>
  <c r="V162" i="9"/>
  <c r="V155" i="9"/>
  <c r="C74" i="21"/>
  <c r="V163" i="9"/>
  <c r="C75" i="21"/>
  <c r="V164" i="9"/>
  <c r="C76" i="21"/>
  <c r="V165" i="9"/>
  <c r="C77" i="21"/>
  <c r="V166" i="9"/>
  <c r="C78" i="21"/>
  <c r="V167" i="9"/>
  <c r="C79" i="21"/>
  <c r="B160" i="9"/>
  <c r="V168" i="9"/>
  <c r="C80" i="21"/>
  <c r="V169" i="9"/>
  <c r="C81" i="21"/>
  <c r="B162" i="9"/>
  <c r="V170" i="9"/>
  <c r="C82" i="21"/>
  <c r="V171" i="9"/>
  <c r="C83" i="21"/>
  <c r="V172" i="9"/>
  <c r="C84" i="21"/>
  <c r="V173" i="9"/>
  <c r="C85" i="21"/>
  <c r="V174" i="9"/>
  <c r="C86" i="21"/>
  <c r="B163" i="9"/>
  <c r="V175" i="9"/>
  <c r="C87" i="21"/>
  <c r="B164" i="9"/>
  <c r="V176" i="9"/>
  <c r="C88" i="21"/>
  <c r="B165" i="9"/>
  <c r="V177" i="9"/>
  <c r="C89" i="21"/>
  <c r="V178" i="9"/>
  <c r="C90" i="21"/>
  <c r="V179" i="9"/>
  <c r="C91" i="21"/>
  <c r="V180" i="9"/>
  <c r="C92" i="21"/>
  <c r="V181" i="9"/>
  <c r="C93" i="21"/>
  <c r="V182" i="9"/>
  <c r="C94" i="21"/>
  <c r="V183" i="9"/>
  <c r="C95" i="21"/>
  <c r="B166" i="9"/>
  <c r="V184" i="9"/>
  <c r="C96" i="21"/>
  <c r="B167" i="9"/>
  <c r="V185" i="9"/>
  <c r="C98" i="21"/>
  <c r="V186" i="9"/>
  <c r="C99" i="21"/>
  <c r="V187" i="9"/>
  <c r="V188" i="9"/>
  <c r="Y153" i="9"/>
  <c r="C156" i="9"/>
  <c r="H771" i="23"/>
  <c r="C771" i="23"/>
  <c r="G771" i="23"/>
  <c r="D771" i="23"/>
  <c r="E771" i="23"/>
  <c r="H772" i="23"/>
  <c r="B772" i="23"/>
  <c r="C772" i="23"/>
  <c r="G772" i="23"/>
  <c r="D772" i="23"/>
  <c r="E772" i="23"/>
  <c r="E769" i="23"/>
  <c r="J519" i="12"/>
  <c r="H774" i="23"/>
  <c r="B774" i="23"/>
  <c r="C774" i="23"/>
  <c r="G774" i="23"/>
  <c r="D774" i="23"/>
  <c r="E774" i="23"/>
  <c r="H775" i="23"/>
  <c r="B775" i="23"/>
  <c r="C775" i="23"/>
  <c r="G775" i="23"/>
  <c r="D775" i="23"/>
  <c r="E775" i="23"/>
  <c r="E773" i="23"/>
  <c r="J520" i="12"/>
  <c r="H777" i="23"/>
  <c r="C777" i="23"/>
  <c r="G777" i="23"/>
  <c r="D777" i="23"/>
  <c r="E777" i="23"/>
  <c r="H778" i="23"/>
  <c r="B778" i="23"/>
  <c r="C778" i="23"/>
  <c r="G778" i="23"/>
  <c r="D778" i="23"/>
  <c r="E778" i="23"/>
  <c r="E776" i="23"/>
  <c r="J521" i="12"/>
  <c r="H779" i="23"/>
  <c r="B779" i="23"/>
  <c r="C779" i="23"/>
  <c r="G779" i="23"/>
  <c r="D779" i="23"/>
  <c r="E779" i="23"/>
  <c r="J522" i="12"/>
  <c r="E126" i="21"/>
  <c r="AB220" i="9"/>
  <c r="AC220" i="9"/>
  <c r="AG220" i="9"/>
  <c r="H781" i="23"/>
  <c r="B781" i="23"/>
  <c r="C781" i="23"/>
  <c r="D781" i="23"/>
  <c r="E781" i="23"/>
  <c r="W154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6" i="9"/>
  <c r="W157" i="9"/>
  <c r="W158" i="9"/>
  <c r="W159" i="9"/>
  <c r="W160" i="9"/>
  <c r="W161" i="9"/>
  <c r="W162" i="9"/>
  <c r="W155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Z154" i="9"/>
  <c r="H782" i="23"/>
  <c r="C782" i="23"/>
  <c r="D782" i="23"/>
  <c r="E782" i="23"/>
  <c r="E780" i="23"/>
  <c r="J523" i="12"/>
  <c r="H783" i="23"/>
  <c r="B783" i="23"/>
  <c r="C783" i="23"/>
  <c r="D783" i="23"/>
  <c r="E783" i="23"/>
  <c r="J524" i="12"/>
  <c r="H784" i="23"/>
  <c r="C784" i="23"/>
  <c r="D784" i="23"/>
  <c r="E784" i="23"/>
  <c r="J525" i="12"/>
  <c r="J517" i="12"/>
  <c r="C236" i="9"/>
  <c r="C237" i="9"/>
  <c r="C259" i="9"/>
  <c r="C275" i="9"/>
  <c r="Y266" i="9"/>
  <c r="C276" i="9"/>
  <c r="H794" i="23"/>
  <c r="B794" i="23"/>
  <c r="C794" i="23"/>
  <c r="D794" i="23"/>
  <c r="E794" i="23"/>
  <c r="J535" i="12"/>
  <c r="H795" i="23"/>
  <c r="B795" i="23"/>
  <c r="C795" i="23"/>
  <c r="D795" i="23"/>
  <c r="E795" i="23"/>
  <c r="J536" i="12"/>
  <c r="H796" i="23"/>
  <c r="B796" i="23"/>
  <c r="C796" i="23"/>
  <c r="D796" i="23"/>
  <c r="E796" i="23"/>
  <c r="J537" i="12"/>
  <c r="E127" i="21"/>
  <c r="AB221" i="9"/>
  <c r="AC221" i="9"/>
  <c r="AG221" i="9"/>
  <c r="H798" i="23"/>
  <c r="C798" i="23"/>
  <c r="D798" i="23"/>
  <c r="E128" i="21"/>
  <c r="AB222" i="9"/>
  <c r="AC222" i="9"/>
  <c r="AG222" i="9"/>
  <c r="H799" i="23"/>
  <c r="C799" i="23"/>
  <c r="D799" i="23"/>
  <c r="E129" i="21"/>
  <c r="AB223" i="9"/>
  <c r="AC223" i="9"/>
  <c r="AG223" i="9"/>
  <c r="H800" i="23"/>
  <c r="C800" i="23"/>
  <c r="D800" i="23"/>
  <c r="E797" i="23"/>
  <c r="J538" i="12"/>
  <c r="H801" i="23"/>
  <c r="B801" i="23"/>
  <c r="C801" i="23"/>
  <c r="D801" i="23"/>
  <c r="E801" i="23"/>
  <c r="J539" i="12"/>
  <c r="J534" i="12"/>
  <c r="C457" i="23"/>
  <c r="D457" i="23"/>
  <c r="E457" i="23"/>
  <c r="J339" i="12"/>
  <c r="H458" i="23"/>
  <c r="B458" i="23"/>
  <c r="C458" i="23"/>
  <c r="D458" i="23"/>
  <c r="E458" i="23"/>
  <c r="J340" i="12"/>
  <c r="H459" i="23"/>
  <c r="B459" i="23"/>
  <c r="C459" i="23"/>
  <c r="D459" i="23"/>
  <c r="E459" i="23"/>
  <c r="J341" i="12"/>
  <c r="Y142" i="9"/>
  <c r="H462" i="23"/>
  <c r="H461" i="23"/>
  <c r="B461" i="23"/>
  <c r="C461" i="23"/>
  <c r="E95" i="9"/>
  <c r="B96" i="9"/>
  <c r="B97" i="9"/>
  <c r="G461" i="23"/>
  <c r="D461" i="23"/>
  <c r="E461" i="23"/>
  <c r="B462" i="23"/>
  <c r="C462" i="23"/>
  <c r="G462" i="23"/>
  <c r="D462" i="23"/>
  <c r="E462" i="23"/>
  <c r="H463" i="23"/>
  <c r="B463" i="23"/>
  <c r="C463" i="23"/>
  <c r="G463" i="23"/>
  <c r="D463" i="23"/>
  <c r="E463" i="23"/>
  <c r="E460" i="23"/>
  <c r="J342" i="12"/>
  <c r="H464" i="23"/>
  <c r="B464" i="23"/>
  <c r="C464" i="23"/>
  <c r="D464" i="23"/>
  <c r="E464" i="23"/>
  <c r="J343" i="12"/>
  <c r="H465" i="23"/>
  <c r="B465" i="23"/>
  <c r="C465" i="23"/>
  <c r="D465" i="23"/>
  <c r="E465" i="23"/>
  <c r="J344" i="12"/>
  <c r="H466" i="23"/>
  <c r="B466" i="23"/>
  <c r="C466" i="23"/>
  <c r="D466" i="23"/>
  <c r="E466" i="23"/>
  <c r="J345" i="12"/>
  <c r="H467" i="23"/>
  <c r="B467" i="23"/>
  <c r="C467" i="23"/>
  <c r="D467" i="23"/>
  <c r="E467" i="23"/>
  <c r="J346" i="12"/>
  <c r="Y141" i="9"/>
  <c r="Z141" i="9"/>
  <c r="X141" i="9"/>
  <c r="X138" i="9"/>
  <c r="X139" i="9"/>
  <c r="X140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6" i="9"/>
  <c r="X157" i="9"/>
  <c r="X158" i="9"/>
  <c r="X159" i="9"/>
  <c r="X160" i="9"/>
  <c r="X161" i="9"/>
  <c r="X162" i="9"/>
  <c r="X155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AA141" i="9"/>
  <c r="E53" i="21"/>
  <c r="AB141" i="9"/>
  <c r="AC141" i="9"/>
  <c r="AG141" i="9"/>
  <c r="H470" i="23"/>
  <c r="C470" i="23"/>
  <c r="D470" i="23"/>
  <c r="Y143" i="9"/>
  <c r="Z143" i="9"/>
  <c r="AA143" i="9"/>
  <c r="E55" i="21"/>
  <c r="AB143" i="9"/>
  <c r="AC143" i="9"/>
  <c r="AG143" i="9"/>
  <c r="H471" i="23"/>
  <c r="C471" i="23"/>
  <c r="D471" i="23"/>
  <c r="Y144" i="9"/>
  <c r="Z144" i="9"/>
  <c r="AA144" i="9"/>
  <c r="E56" i="21"/>
  <c r="AB144" i="9"/>
  <c r="AC144" i="9"/>
  <c r="AG144" i="9"/>
  <c r="H472" i="23"/>
  <c r="C472" i="23"/>
  <c r="D472" i="23"/>
  <c r="Y145" i="9"/>
  <c r="Z145" i="9"/>
  <c r="AA145" i="9"/>
  <c r="E57" i="21"/>
  <c r="AB145" i="9"/>
  <c r="AC145" i="9"/>
  <c r="AG145" i="9"/>
  <c r="H473" i="23"/>
  <c r="C473" i="23"/>
  <c r="D473" i="23"/>
  <c r="Y146" i="9"/>
  <c r="Z146" i="9"/>
  <c r="AA146" i="9"/>
  <c r="E58" i="21"/>
  <c r="AB146" i="9"/>
  <c r="AC146" i="9"/>
  <c r="AG146" i="9"/>
  <c r="H474" i="23"/>
  <c r="C474" i="23"/>
  <c r="D474" i="23"/>
  <c r="Y150" i="9"/>
  <c r="Z150" i="9"/>
  <c r="AA150" i="9"/>
  <c r="E61" i="21"/>
  <c r="AB150" i="9"/>
  <c r="AC150" i="9"/>
  <c r="AG150" i="9"/>
  <c r="H475" i="23"/>
  <c r="C475" i="23"/>
  <c r="D475" i="23"/>
  <c r="Y151" i="9"/>
  <c r="Z151" i="9"/>
  <c r="AA151" i="9"/>
  <c r="E62" i="21"/>
  <c r="AB151" i="9"/>
  <c r="AC151" i="9"/>
  <c r="AG151" i="9"/>
  <c r="H476" i="23"/>
  <c r="C476" i="23"/>
  <c r="D476" i="23"/>
  <c r="H469" i="23"/>
  <c r="C469" i="23"/>
  <c r="G469" i="23"/>
  <c r="D469" i="23"/>
  <c r="E469" i="23"/>
  <c r="E468" i="23"/>
  <c r="J347" i="12"/>
  <c r="J348" i="12"/>
  <c r="Y138" i="9"/>
  <c r="Z138" i="9"/>
  <c r="AA138" i="9"/>
  <c r="E50" i="21"/>
  <c r="AB138" i="9"/>
  <c r="AC138" i="9"/>
  <c r="AG138" i="9"/>
  <c r="H481" i="23"/>
  <c r="C481" i="23"/>
  <c r="D481" i="23"/>
  <c r="Y139" i="9"/>
  <c r="Z139" i="9"/>
  <c r="AA139" i="9"/>
  <c r="E51" i="21"/>
  <c r="AB139" i="9"/>
  <c r="AC139" i="9"/>
  <c r="AG139" i="9"/>
  <c r="H482" i="23"/>
  <c r="C482" i="23"/>
  <c r="D482" i="23"/>
  <c r="Y140" i="9"/>
  <c r="Z140" i="9"/>
  <c r="AA140" i="9"/>
  <c r="E52" i="21"/>
  <c r="AB140" i="9"/>
  <c r="AC140" i="9"/>
  <c r="AG140" i="9"/>
  <c r="H483" i="23"/>
  <c r="C483" i="23"/>
  <c r="D483" i="23"/>
  <c r="E480" i="23"/>
  <c r="J349" i="12"/>
  <c r="Y168" i="9"/>
  <c r="Z168" i="9"/>
  <c r="AA168" i="9"/>
  <c r="E79" i="21"/>
  <c r="AB168" i="9"/>
  <c r="AC168" i="9"/>
  <c r="B378" i="9"/>
  <c r="Y169" i="9"/>
  <c r="Z169" i="9"/>
  <c r="AA169" i="9"/>
  <c r="E80" i="21"/>
  <c r="AB169" i="9"/>
  <c r="AC169" i="9"/>
  <c r="B401" i="9"/>
  <c r="H484" i="23"/>
  <c r="C484" i="23"/>
  <c r="D484" i="23"/>
  <c r="E484" i="23"/>
  <c r="J350" i="12"/>
  <c r="H485" i="23"/>
  <c r="B485" i="23"/>
  <c r="C485" i="23"/>
  <c r="D485" i="23"/>
  <c r="E485" i="23"/>
  <c r="J351" i="12"/>
  <c r="E143" i="9"/>
  <c r="AF168" i="9"/>
  <c r="AG168" i="9"/>
  <c r="Y171" i="9"/>
  <c r="Z171" i="9"/>
  <c r="AA171" i="9"/>
  <c r="E82" i="21"/>
  <c r="AB171" i="9"/>
  <c r="AC171" i="9"/>
  <c r="AF171" i="9"/>
  <c r="AG171" i="9"/>
  <c r="H487" i="23"/>
  <c r="C487" i="23"/>
  <c r="D487" i="23"/>
  <c r="C488" i="23"/>
  <c r="D488" i="23"/>
  <c r="C489" i="23"/>
  <c r="D489" i="23"/>
  <c r="Y160" i="9"/>
  <c r="Z160" i="9"/>
  <c r="AA160" i="9"/>
  <c r="E71" i="21"/>
  <c r="AB160" i="9"/>
  <c r="AC160" i="9"/>
  <c r="AG160" i="9"/>
  <c r="AG169" i="9"/>
  <c r="Y172" i="9"/>
  <c r="Z172" i="9"/>
  <c r="AA172" i="9"/>
  <c r="E83" i="21"/>
  <c r="AB172" i="9"/>
  <c r="AC172" i="9"/>
  <c r="AG172" i="9"/>
  <c r="H490" i="23"/>
  <c r="B490" i="23"/>
  <c r="C490" i="23"/>
  <c r="D490" i="23"/>
  <c r="B112" i="21"/>
  <c r="B101" i="21"/>
  <c r="B102" i="21"/>
  <c r="B103" i="21"/>
  <c r="B104" i="21"/>
  <c r="B105" i="21"/>
  <c r="B106" i="21"/>
  <c r="B107" i="21"/>
  <c r="B108" i="21"/>
  <c r="B109" i="21"/>
  <c r="B110" i="21"/>
  <c r="B111" i="21"/>
  <c r="B113" i="21"/>
  <c r="B114" i="21"/>
  <c r="B115" i="21"/>
  <c r="B116" i="21"/>
  <c r="B117" i="21"/>
  <c r="B118" i="21"/>
  <c r="B100" i="21"/>
  <c r="C112" i="21"/>
  <c r="B194" i="9"/>
  <c r="V201" i="9"/>
  <c r="C101" i="21"/>
  <c r="B188" i="9"/>
  <c r="V190" i="9"/>
  <c r="C102" i="21"/>
  <c r="B189" i="9"/>
  <c r="V191" i="9"/>
  <c r="C103" i="21"/>
  <c r="V192" i="9"/>
  <c r="C104" i="21"/>
  <c r="B190" i="9"/>
  <c r="V193" i="9"/>
  <c r="C105" i="21"/>
  <c r="V194" i="9"/>
  <c r="C106" i="21"/>
  <c r="V195" i="9"/>
  <c r="C107" i="21"/>
  <c r="B191" i="9"/>
  <c r="V196" i="9"/>
  <c r="C108" i="21"/>
  <c r="V197" i="9"/>
  <c r="C109" i="21"/>
  <c r="V198" i="9"/>
  <c r="C110" i="21"/>
  <c r="B192" i="9"/>
  <c r="V199" i="9"/>
  <c r="C111" i="21"/>
  <c r="B193" i="9"/>
  <c r="V200" i="9"/>
  <c r="C113" i="21"/>
  <c r="B195" i="9"/>
  <c r="V202" i="9"/>
  <c r="C114" i="21"/>
  <c r="B196" i="9"/>
  <c r="V203" i="9"/>
  <c r="C115" i="21"/>
  <c r="B197" i="9"/>
  <c r="V204" i="9"/>
  <c r="C116" i="21"/>
  <c r="B198" i="9"/>
  <c r="V205" i="9"/>
  <c r="C117" i="21"/>
  <c r="B199" i="9"/>
  <c r="V206" i="9"/>
  <c r="C118" i="21"/>
  <c r="V207" i="9"/>
  <c r="V208" i="9"/>
  <c r="Y201" i="9"/>
  <c r="W201" i="9"/>
  <c r="W190" i="9"/>
  <c r="W191" i="9"/>
  <c r="W192" i="9"/>
  <c r="W193" i="9"/>
  <c r="W194" i="9"/>
  <c r="W195" i="9"/>
  <c r="W196" i="9"/>
  <c r="W197" i="9"/>
  <c r="W198" i="9"/>
  <c r="W199" i="9"/>
  <c r="W200" i="9"/>
  <c r="W202" i="9"/>
  <c r="W203" i="9"/>
  <c r="W204" i="9"/>
  <c r="W205" i="9"/>
  <c r="W206" i="9"/>
  <c r="W207" i="9"/>
  <c r="W208" i="9"/>
  <c r="Z201" i="9"/>
  <c r="X201" i="9"/>
  <c r="X190" i="9"/>
  <c r="X191" i="9"/>
  <c r="X192" i="9"/>
  <c r="X193" i="9"/>
  <c r="X194" i="9"/>
  <c r="X195" i="9"/>
  <c r="X196" i="9"/>
  <c r="X197" i="9"/>
  <c r="X198" i="9"/>
  <c r="X199" i="9"/>
  <c r="X200" i="9"/>
  <c r="X202" i="9"/>
  <c r="X203" i="9"/>
  <c r="X204" i="9"/>
  <c r="X205" i="9"/>
  <c r="X206" i="9"/>
  <c r="X207" i="9"/>
  <c r="X208" i="9"/>
  <c r="AA201" i="9"/>
  <c r="E112" i="21"/>
  <c r="AB201" i="9"/>
  <c r="AC201" i="9"/>
  <c r="AG201" i="9"/>
  <c r="Y202" i="9"/>
  <c r="Z202" i="9"/>
  <c r="AA202" i="9"/>
  <c r="E113" i="21"/>
  <c r="AB202" i="9"/>
  <c r="AC202" i="9"/>
  <c r="AG202" i="9"/>
  <c r="H491" i="23"/>
  <c r="C491" i="23"/>
  <c r="D491" i="23"/>
  <c r="Y203" i="9"/>
  <c r="Z203" i="9"/>
  <c r="AA203" i="9"/>
  <c r="E114" i="21"/>
  <c r="AB203" i="9"/>
  <c r="AC203" i="9"/>
  <c r="AG203" i="9"/>
  <c r="H492" i="23"/>
  <c r="B492" i="23"/>
  <c r="C492" i="23"/>
  <c r="D492" i="23"/>
  <c r="E486" i="23"/>
  <c r="J352" i="12"/>
  <c r="H493" i="23"/>
  <c r="C493" i="23"/>
  <c r="D493" i="23"/>
  <c r="E493" i="23"/>
  <c r="J353" i="12"/>
  <c r="F241" i="21"/>
  <c r="H494" i="23"/>
  <c r="C494" i="23"/>
  <c r="D494" i="23"/>
  <c r="E494" i="23"/>
  <c r="J354" i="12"/>
  <c r="E250" i="21"/>
  <c r="H495" i="23"/>
  <c r="C495" i="23"/>
  <c r="D495" i="23"/>
  <c r="E495" i="23"/>
  <c r="J355" i="12"/>
  <c r="H496" i="23"/>
  <c r="B496" i="23"/>
  <c r="C496" i="23"/>
  <c r="D496" i="23"/>
  <c r="E496" i="23"/>
  <c r="J356" i="12"/>
  <c r="C497" i="23"/>
  <c r="D497" i="23"/>
  <c r="E497" i="23"/>
  <c r="J357" i="12"/>
  <c r="F246" i="21"/>
  <c r="H499" i="23"/>
  <c r="B499" i="23"/>
  <c r="C499" i="23"/>
  <c r="D499" i="23"/>
  <c r="F247" i="21"/>
  <c r="H500" i="23"/>
  <c r="C500" i="23"/>
  <c r="D500" i="23"/>
  <c r="E498" i="23"/>
  <c r="J358" i="12"/>
  <c r="C501" i="23"/>
  <c r="D501" i="23"/>
  <c r="E501" i="23"/>
  <c r="J359" i="12"/>
  <c r="C502" i="23"/>
  <c r="D502" i="23"/>
  <c r="E502" i="23"/>
  <c r="J360" i="12"/>
  <c r="H503" i="23"/>
  <c r="C503" i="23"/>
  <c r="D503" i="23"/>
  <c r="E503" i="23"/>
  <c r="J361" i="12"/>
  <c r="H504" i="23"/>
  <c r="C504" i="23"/>
  <c r="D504" i="23"/>
  <c r="E504" i="23"/>
  <c r="J362" i="12"/>
  <c r="Y152" i="9"/>
  <c r="C155" i="9"/>
  <c r="H506" i="23"/>
  <c r="C506" i="23"/>
  <c r="E63" i="21"/>
  <c r="B145" i="9"/>
  <c r="G506" i="23"/>
  <c r="D506" i="23"/>
  <c r="E506" i="23"/>
  <c r="H507" i="23"/>
  <c r="C507" i="23"/>
  <c r="D507" i="23"/>
  <c r="E507" i="23"/>
  <c r="H508" i="23"/>
  <c r="C508" i="23"/>
  <c r="D508" i="23"/>
  <c r="E508" i="23"/>
  <c r="E505" i="23"/>
  <c r="J363" i="12"/>
  <c r="Y156" i="9"/>
  <c r="Y157" i="9"/>
  <c r="Y158" i="9"/>
  <c r="Y159" i="9"/>
  <c r="Y161" i="9"/>
  <c r="Y162" i="9"/>
  <c r="Y155" i="9"/>
  <c r="C158" i="9"/>
  <c r="Y148" i="9"/>
  <c r="Y149" i="9"/>
  <c r="C153" i="9"/>
  <c r="H538" i="23"/>
  <c r="Y163" i="9"/>
  <c r="Z163" i="9"/>
  <c r="AA163" i="9"/>
  <c r="E74" i="21"/>
  <c r="AB163" i="9"/>
  <c r="AC163" i="9"/>
  <c r="AG163" i="9"/>
  <c r="Y164" i="9"/>
  <c r="Z164" i="9"/>
  <c r="AA164" i="9"/>
  <c r="E75" i="21"/>
  <c r="AB164" i="9"/>
  <c r="AC164" i="9"/>
  <c r="AG164" i="9"/>
  <c r="H645" i="23"/>
  <c r="Y165" i="9"/>
  <c r="Z165" i="9"/>
  <c r="AA165" i="9"/>
  <c r="E76" i="21"/>
  <c r="AB165" i="9"/>
  <c r="AC165" i="9"/>
  <c r="AG165" i="9"/>
  <c r="H646" i="23"/>
  <c r="Y166" i="9"/>
  <c r="Z166" i="9"/>
  <c r="AA166" i="9"/>
  <c r="E77" i="21"/>
  <c r="AB166" i="9"/>
  <c r="AC166" i="9"/>
  <c r="AG166" i="9"/>
  <c r="H647" i="23"/>
  <c r="Z156" i="9"/>
  <c r="AA156" i="9"/>
  <c r="E67" i="21"/>
  <c r="AB156" i="9"/>
  <c r="AC156" i="9"/>
  <c r="AG156" i="9"/>
  <c r="Z149" i="9"/>
  <c r="AA149" i="9"/>
  <c r="E97" i="21"/>
  <c r="AB149" i="9"/>
  <c r="AC149" i="9"/>
  <c r="AG149" i="9"/>
  <c r="H534" i="23"/>
  <c r="H509" i="23"/>
  <c r="B509" i="23"/>
  <c r="C509" i="23"/>
  <c r="G509" i="23"/>
  <c r="D509" i="23"/>
  <c r="E509" i="23"/>
  <c r="J364" i="12"/>
  <c r="H510" i="23"/>
  <c r="B510" i="23"/>
  <c r="C510" i="23"/>
  <c r="G510" i="23"/>
  <c r="D510" i="23"/>
  <c r="E510" i="23"/>
  <c r="J365" i="12"/>
  <c r="E94" i="9"/>
  <c r="H320" i="23"/>
  <c r="H318" i="23"/>
  <c r="B318" i="23"/>
  <c r="C318" i="23"/>
  <c r="G318" i="23"/>
  <c r="D318" i="23"/>
  <c r="E318" i="23"/>
  <c r="H319" i="23"/>
  <c r="C319" i="23"/>
  <c r="G319" i="23"/>
  <c r="D319" i="23"/>
  <c r="E319" i="23"/>
  <c r="B320" i="23"/>
  <c r="C320" i="23"/>
  <c r="G320" i="23"/>
  <c r="D320" i="23"/>
  <c r="E320" i="23"/>
  <c r="H321" i="23"/>
  <c r="B321" i="23"/>
  <c r="C321" i="23"/>
  <c r="G321" i="23"/>
  <c r="D321" i="23"/>
  <c r="E321" i="23"/>
  <c r="H339" i="23"/>
  <c r="C339" i="23"/>
  <c r="B98" i="9"/>
  <c r="D339" i="23"/>
  <c r="E339" i="23"/>
  <c r="H340" i="23"/>
  <c r="C340" i="23"/>
  <c r="G340" i="23"/>
  <c r="D340" i="23"/>
  <c r="E340" i="23"/>
  <c r="H341" i="23"/>
  <c r="B342" i="23"/>
  <c r="B341" i="23"/>
  <c r="C341" i="23"/>
  <c r="G341" i="23"/>
  <c r="D341" i="23"/>
  <c r="E341" i="23"/>
  <c r="H342" i="23"/>
  <c r="C342" i="23"/>
  <c r="G342" i="23"/>
  <c r="D342" i="23"/>
  <c r="E342" i="23"/>
  <c r="H401" i="23"/>
  <c r="H403" i="23"/>
  <c r="C403" i="23"/>
  <c r="B126" i="9"/>
  <c r="I126" i="9"/>
  <c r="D403" i="23"/>
  <c r="E403" i="23"/>
  <c r="F403" i="23"/>
  <c r="B401" i="23"/>
  <c r="C401" i="23"/>
  <c r="D401" i="23"/>
  <c r="E401" i="23"/>
  <c r="H402" i="23"/>
  <c r="B402" i="23"/>
  <c r="C402" i="23"/>
  <c r="D402" i="23"/>
  <c r="E402" i="23"/>
  <c r="E400" i="23"/>
  <c r="H404" i="23"/>
  <c r="B404" i="23"/>
  <c r="C404" i="23"/>
  <c r="D404" i="23"/>
  <c r="E404" i="23"/>
  <c r="H406" i="23"/>
  <c r="B406" i="23"/>
  <c r="C406" i="23"/>
  <c r="D406" i="23"/>
  <c r="E406" i="23"/>
  <c r="H407" i="23"/>
  <c r="B407" i="23"/>
  <c r="C407" i="23"/>
  <c r="D407" i="23"/>
  <c r="E407" i="23"/>
  <c r="E405" i="23"/>
  <c r="H412" i="23"/>
  <c r="B412" i="23"/>
  <c r="C412" i="23"/>
  <c r="D412" i="23"/>
  <c r="E412" i="23"/>
  <c r="H324" i="23"/>
  <c r="B324" i="23"/>
  <c r="C324" i="23"/>
  <c r="D324" i="23"/>
  <c r="E324" i="23"/>
  <c r="H511" i="23"/>
  <c r="C96" i="9"/>
  <c r="M320" i="23"/>
  <c r="M318" i="23"/>
  <c r="C92" i="9"/>
  <c r="C97" i="9"/>
  <c r="L318" i="23"/>
  <c r="I318" i="23"/>
  <c r="J318" i="23"/>
  <c r="M319" i="23"/>
  <c r="L319" i="23"/>
  <c r="I319" i="23"/>
  <c r="J319" i="23"/>
  <c r="L320" i="23"/>
  <c r="I320" i="23"/>
  <c r="J320" i="23"/>
  <c r="M321" i="23"/>
  <c r="L321" i="23"/>
  <c r="I321" i="23"/>
  <c r="J321" i="23"/>
  <c r="M339" i="23"/>
  <c r="C98" i="9"/>
  <c r="I339" i="23"/>
  <c r="J339" i="23"/>
  <c r="M340" i="23"/>
  <c r="L340" i="23"/>
  <c r="I340" i="23"/>
  <c r="J340" i="23"/>
  <c r="M341" i="23"/>
  <c r="L341" i="23"/>
  <c r="I341" i="23"/>
  <c r="J341" i="23"/>
  <c r="M342" i="23"/>
  <c r="L342" i="23"/>
  <c r="I342" i="23"/>
  <c r="J342" i="23"/>
  <c r="M401" i="23"/>
  <c r="C126" i="9"/>
  <c r="J126" i="9"/>
  <c r="I401" i="23"/>
  <c r="J401" i="23"/>
  <c r="M402" i="23"/>
  <c r="I402" i="23"/>
  <c r="J402" i="23"/>
  <c r="J400" i="23"/>
  <c r="M403" i="23"/>
  <c r="I403" i="23"/>
  <c r="J403" i="23"/>
  <c r="M404" i="23"/>
  <c r="I404" i="23"/>
  <c r="J404" i="23"/>
  <c r="M406" i="23"/>
  <c r="I406" i="23"/>
  <c r="J406" i="23"/>
  <c r="M407" i="23"/>
  <c r="I407" i="23"/>
  <c r="J407" i="23"/>
  <c r="J405" i="23"/>
  <c r="M412" i="23"/>
  <c r="I412" i="23"/>
  <c r="J412" i="23"/>
  <c r="M324" i="23"/>
  <c r="I324" i="23"/>
  <c r="J324" i="23"/>
  <c r="M511" i="23"/>
  <c r="R318" i="23"/>
  <c r="D92" i="9"/>
  <c r="D96" i="9"/>
  <c r="D97" i="9"/>
  <c r="Q318" i="23"/>
  <c r="N318" i="23"/>
  <c r="O318" i="23"/>
  <c r="R319" i="23"/>
  <c r="Q319" i="23"/>
  <c r="N319" i="23"/>
  <c r="O319" i="23"/>
  <c r="R320" i="23"/>
  <c r="Q320" i="23"/>
  <c r="N320" i="23"/>
  <c r="O320" i="23"/>
  <c r="R321" i="23"/>
  <c r="N321" i="23"/>
  <c r="O321" i="23"/>
  <c r="R339" i="23"/>
  <c r="D98" i="9"/>
  <c r="N339" i="23"/>
  <c r="O339" i="23"/>
  <c r="R340" i="23"/>
  <c r="Q340" i="23"/>
  <c r="N340" i="23"/>
  <c r="O340" i="23"/>
  <c r="R341" i="23"/>
  <c r="Q341" i="23"/>
  <c r="N341" i="23"/>
  <c r="O341" i="23"/>
  <c r="R342" i="23"/>
  <c r="Q342" i="23"/>
  <c r="N342" i="23"/>
  <c r="O342" i="23"/>
  <c r="R401" i="23"/>
  <c r="N401" i="23"/>
  <c r="O401" i="23"/>
  <c r="R402" i="23"/>
  <c r="N402" i="23"/>
  <c r="O402" i="23"/>
  <c r="O400" i="23"/>
  <c r="R403" i="23"/>
  <c r="N403" i="23"/>
  <c r="Q403" i="23"/>
  <c r="O403" i="23"/>
  <c r="R404" i="23"/>
  <c r="N404" i="23"/>
  <c r="Q404" i="23"/>
  <c r="O404" i="23"/>
  <c r="R406" i="23"/>
  <c r="N406" i="23"/>
  <c r="O406" i="23"/>
  <c r="R407" i="23"/>
  <c r="N407" i="23"/>
  <c r="Q407" i="23"/>
  <c r="O407" i="23"/>
  <c r="O405" i="23"/>
  <c r="R412" i="23"/>
  <c r="N412" i="23"/>
  <c r="O412" i="23"/>
  <c r="R511" i="23"/>
  <c r="B511" i="23"/>
  <c r="C511" i="23"/>
  <c r="D511" i="23"/>
  <c r="E511" i="23"/>
  <c r="J366" i="12"/>
  <c r="H512" i="23"/>
  <c r="B512" i="23"/>
  <c r="C512" i="23"/>
  <c r="D512" i="23"/>
  <c r="E512" i="23"/>
  <c r="J367" i="12"/>
  <c r="H513" i="23"/>
  <c r="B513" i="23"/>
  <c r="C513" i="23"/>
  <c r="D513" i="23"/>
  <c r="E513" i="23"/>
  <c r="J368" i="12"/>
  <c r="H516" i="23"/>
  <c r="B516" i="23"/>
  <c r="C516" i="23"/>
  <c r="D516" i="23"/>
  <c r="E516" i="23"/>
  <c r="Y200" i="9"/>
  <c r="Z200" i="9"/>
  <c r="AA200" i="9"/>
  <c r="E111" i="21"/>
  <c r="AB200" i="9"/>
  <c r="AC200" i="9"/>
  <c r="AG200" i="9"/>
  <c r="H517" i="23"/>
  <c r="C517" i="23"/>
  <c r="D517" i="23"/>
  <c r="E517" i="23"/>
  <c r="Z158" i="9"/>
  <c r="AA158" i="9"/>
  <c r="E69" i="21"/>
  <c r="AB158" i="9"/>
  <c r="AC158" i="9"/>
  <c r="AG158" i="9"/>
  <c r="H518" i="23"/>
  <c r="C518" i="23"/>
  <c r="D518" i="23"/>
  <c r="E518" i="23"/>
  <c r="H519" i="23"/>
  <c r="B519" i="23"/>
  <c r="C519" i="23"/>
  <c r="D519" i="23"/>
  <c r="E519" i="23"/>
  <c r="E515" i="23"/>
  <c r="J370" i="12"/>
  <c r="Z157" i="9"/>
  <c r="AA157" i="9"/>
  <c r="E68" i="21"/>
  <c r="AB157" i="9"/>
  <c r="AC157" i="9"/>
  <c r="AG157" i="9"/>
  <c r="Z159" i="9"/>
  <c r="AA159" i="9"/>
  <c r="E70" i="21"/>
  <c r="AB159" i="9"/>
  <c r="AC159" i="9"/>
  <c r="AG159" i="9"/>
  <c r="Z161" i="9"/>
  <c r="AA161" i="9"/>
  <c r="E72" i="21"/>
  <c r="AB161" i="9"/>
  <c r="AC161" i="9"/>
  <c r="AG161" i="9"/>
  <c r="Z162" i="9"/>
  <c r="AA162" i="9"/>
  <c r="E73" i="21"/>
  <c r="AB162" i="9"/>
  <c r="AC162" i="9"/>
  <c r="AG162" i="9"/>
  <c r="AG155" i="9"/>
  <c r="H529" i="23"/>
  <c r="B529" i="23"/>
  <c r="C529" i="23"/>
  <c r="D529" i="23"/>
  <c r="E529" i="23"/>
  <c r="J380" i="12"/>
  <c r="H530" i="23"/>
  <c r="B530" i="23"/>
  <c r="C530" i="23"/>
  <c r="G531" i="23"/>
  <c r="D530" i="23"/>
  <c r="E530" i="23"/>
  <c r="J381" i="12"/>
  <c r="H531" i="23"/>
  <c r="B531" i="23"/>
  <c r="C531" i="23"/>
  <c r="D531" i="23"/>
  <c r="E531" i="23"/>
  <c r="J382" i="12"/>
  <c r="H532" i="23"/>
  <c r="B532" i="23"/>
  <c r="C532" i="23"/>
  <c r="D532" i="23"/>
  <c r="E532" i="23"/>
  <c r="J383" i="12"/>
  <c r="C533" i="23"/>
  <c r="D533" i="23"/>
  <c r="E533" i="23"/>
  <c r="J384" i="12"/>
  <c r="AD137" i="9"/>
  <c r="AD156" i="9"/>
  <c r="AI156" i="9"/>
  <c r="AD149" i="9"/>
  <c r="AI149" i="9"/>
  <c r="M534" i="23"/>
  <c r="AE137" i="9"/>
  <c r="AE156" i="9"/>
  <c r="AK156" i="9"/>
  <c r="R534" i="23"/>
  <c r="B534" i="23"/>
  <c r="C534" i="23"/>
  <c r="D534" i="23"/>
  <c r="E534" i="23"/>
  <c r="J385" i="12"/>
  <c r="C535" i="23"/>
  <c r="D535" i="23"/>
  <c r="E535" i="23"/>
  <c r="J386" i="12"/>
  <c r="C536" i="23"/>
  <c r="D536" i="23"/>
  <c r="E536" i="23"/>
  <c r="J387" i="12"/>
  <c r="C537" i="23"/>
  <c r="D537" i="23"/>
  <c r="E537" i="23"/>
  <c r="J388" i="12"/>
  <c r="C538" i="23"/>
  <c r="D538" i="23"/>
  <c r="E538" i="23"/>
  <c r="J389" i="12"/>
  <c r="C539" i="23"/>
  <c r="D539" i="23"/>
  <c r="E539" i="23"/>
  <c r="J390" i="12"/>
  <c r="C540" i="23"/>
  <c r="D540" i="23"/>
  <c r="E540" i="23"/>
  <c r="J391" i="12"/>
  <c r="H541" i="23"/>
  <c r="B541" i="23"/>
  <c r="C541" i="23"/>
  <c r="D541" i="23"/>
  <c r="E541" i="23"/>
  <c r="J392" i="12"/>
  <c r="J379" i="12"/>
  <c r="C551" i="23"/>
  <c r="D551" i="23"/>
  <c r="E551" i="23"/>
  <c r="J402" i="12"/>
  <c r="H552" i="23"/>
  <c r="B552" i="23"/>
  <c r="C552" i="23"/>
  <c r="D552" i="23"/>
  <c r="E552" i="23"/>
  <c r="J403" i="12"/>
  <c r="H553" i="23"/>
  <c r="B553" i="23"/>
  <c r="C553" i="23"/>
  <c r="D553" i="23"/>
  <c r="E553" i="23"/>
  <c r="J404" i="12"/>
  <c r="H554" i="23"/>
  <c r="C554" i="23"/>
  <c r="D554" i="23"/>
  <c r="E554" i="23"/>
  <c r="J405" i="12"/>
  <c r="H555" i="23"/>
  <c r="C555" i="23"/>
  <c r="D555" i="23"/>
  <c r="E555" i="23"/>
  <c r="J406" i="12"/>
  <c r="J401" i="12"/>
  <c r="H565" i="23"/>
  <c r="B565" i="23"/>
  <c r="C565" i="23"/>
  <c r="D565" i="23"/>
  <c r="E565" i="23"/>
  <c r="J416" i="12"/>
  <c r="Y173" i="9"/>
  <c r="Y175" i="9"/>
  <c r="Y178" i="9"/>
  <c r="Y180" i="9"/>
  <c r="Y147" i="9"/>
  <c r="Y154" i="9"/>
  <c r="Y167" i="9"/>
  <c r="Y170" i="9"/>
  <c r="Y174" i="9"/>
  <c r="Y176" i="9"/>
  <c r="Y177" i="9"/>
  <c r="Y179" i="9"/>
  <c r="Y181" i="9"/>
  <c r="Y182" i="9"/>
  <c r="Y183" i="9"/>
  <c r="Y184" i="9"/>
  <c r="Y185" i="9"/>
  <c r="Y186" i="9"/>
  <c r="Y187" i="9"/>
  <c r="C163" i="9"/>
  <c r="C164" i="9"/>
  <c r="H566" i="23"/>
  <c r="B566" i="23"/>
  <c r="C566" i="23"/>
  <c r="D566" i="23"/>
  <c r="E566" i="23"/>
  <c r="J417" i="12"/>
  <c r="H568" i="23"/>
  <c r="C568" i="23"/>
  <c r="D568" i="23"/>
  <c r="H569" i="23"/>
  <c r="B569" i="23"/>
  <c r="C569" i="23"/>
  <c r="D569" i="23"/>
  <c r="C159" i="9"/>
  <c r="H570" i="23"/>
  <c r="C570" i="23"/>
  <c r="D570" i="23"/>
  <c r="C196" i="9"/>
  <c r="H571" i="23"/>
  <c r="C571" i="23"/>
  <c r="D571" i="23"/>
  <c r="H572" i="23"/>
  <c r="B572" i="23"/>
  <c r="C572" i="23"/>
  <c r="D572" i="23"/>
  <c r="H573" i="23"/>
  <c r="B573" i="23"/>
  <c r="C573" i="23"/>
  <c r="D573" i="23"/>
  <c r="C238" i="9"/>
  <c r="H574" i="23"/>
  <c r="C574" i="23"/>
  <c r="D574" i="23"/>
  <c r="E567" i="23"/>
  <c r="J418" i="12"/>
  <c r="H576" i="23"/>
  <c r="B576" i="23"/>
  <c r="C576" i="23"/>
  <c r="D576" i="23"/>
  <c r="E576" i="23"/>
  <c r="H577" i="23"/>
  <c r="C577" i="23"/>
  <c r="D577" i="23"/>
  <c r="E577" i="23"/>
  <c r="E575" i="23"/>
  <c r="J419" i="12"/>
  <c r="H581" i="23"/>
  <c r="C581" i="23"/>
  <c r="D581" i="23"/>
  <c r="H582" i="23"/>
  <c r="C582" i="23"/>
  <c r="D582" i="23"/>
  <c r="H583" i="23"/>
  <c r="C583" i="23"/>
  <c r="D583" i="23"/>
  <c r="E580" i="23"/>
  <c r="J420" i="12"/>
  <c r="H615" i="23"/>
  <c r="B615" i="23"/>
  <c r="C615" i="23"/>
  <c r="D615" i="23"/>
  <c r="E615" i="23"/>
  <c r="H613" i="23"/>
  <c r="H616" i="23"/>
  <c r="C616" i="23"/>
  <c r="D616" i="23"/>
  <c r="E616" i="23"/>
  <c r="C617" i="23"/>
  <c r="D617" i="23"/>
  <c r="E617" i="23"/>
  <c r="C618" i="23"/>
  <c r="D618" i="23"/>
  <c r="E618" i="23"/>
  <c r="C619" i="23"/>
  <c r="D619" i="23"/>
  <c r="E619" i="23"/>
  <c r="C620" i="23"/>
  <c r="D620" i="23"/>
  <c r="E620" i="23"/>
  <c r="E614" i="23"/>
  <c r="J421" i="12"/>
  <c r="D598" i="19"/>
  <c r="N192" i="9"/>
  <c r="N191" i="9"/>
  <c r="N193" i="9"/>
  <c r="N194" i="9"/>
  <c r="O192" i="9"/>
  <c r="O194" i="9"/>
  <c r="B181" i="9"/>
  <c r="P191" i="9"/>
  <c r="Q191" i="9"/>
  <c r="C182" i="9"/>
  <c r="H624" i="23"/>
  <c r="C624" i="23"/>
  <c r="D624" i="23"/>
  <c r="E624" i="23"/>
  <c r="H625" i="23"/>
  <c r="C625" i="23"/>
  <c r="D625" i="23"/>
  <c r="E625" i="23"/>
  <c r="H626" i="23"/>
  <c r="C626" i="23"/>
  <c r="D626" i="23"/>
  <c r="E626" i="23"/>
  <c r="R191" i="9"/>
  <c r="C181" i="9"/>
  <c r="H627" i="23"/>
  <c r="C627" i="23"/>
  <c r="D627" i="23"/>
  <c r="E627" i="23"/>
  <c r="E623" i="23"/>
  <c r="J422" i="12"/>
  <c r="H630" i="23"/>
  <c r="C630" i="23"/>
  <c r="D630" i="23"/>
  <c r="E630" i="23"/>
  <c r="H631" i="23"/>
  <c r="C631" i="23"/>
  <c r="D631" i="23"/>
  <c r="E631" i="23"/>
  <c r="E629" i="23"/>
  <c r="J423" i="12"/>
  <c r="C632" i="23"/>
  <c r="D632" i="23"/>
  <c r="E632" i="23"/>
  <c r="J424" i="12"/>
  <c r="J415" i="12"/>
  <c r="C642" i="23"/>
  <c r="D642" i="23"/>
  <c r="E642" i="23"/>
  <c r="J434" i="12"/>
  <c r="C170" i="9"/>
  <c r="C171" i="9"/>
  <c r="C172" i="9"/>
  <c r="G643" i="23"/>
  <c r="H643" i="23"/>
  <c r="B643" i="23"/>
  <c r="C643" i="23"/>
  <c r="D643" i="23"/>
  <c r="E643" i="23"/>
  <c r="J435" i="12"/>
  <c r="C645" i="23"/>
  <c r="D645" i="23"/>
  <c r="C646" i="23"/>
  <c r="D646" i="23"/>
  <c r="C647" i="23"/>
  <c r="D647" i="23"/>
  <c r="Z167" i="9"/>
  <c r="AA167" i="9"/>
  <c r="E78" i="21"/>
  <c r="AB167" i="9"/>
  <c r="AC167" i="9"/>
  <c r="AG167" i="9"/>
  <c r="H648" i="23"/>
  <c r="C648" i="23"/>
  <c r="D648" i="23"/>
  <c r="E644" i="23"/>
  <c r="J436" i="12"/>
  <c r="H650" i="23"/>
  <c r="C650" i="23"/>
  <c r="D650" i="23"/>
  <c r="H651" i="23"/>
  <c r="C651" i="23"/>
  <c r="D651" i="23"/>
  <c r="E649" i="23"/>
  <c r="J437" i="12"/>
  <c r="C652" i="23"/>
  <c r="D652" i="23"/>
  <c r="E652" i="23"/>
  <c r="J438" i="12"/>
  <c r="J433" i="12"/>
  <c r="H662" i="23"/>
  <c r="C662" i="23"/>
  <c r="D662" i="23"/>
  <c r="E662" i="23"/>
  <c r="J448" i="12"/>
  <c r="H663" i="23"/>
  <c r="B663" i="23"/>
  <c r="C663" i="23"/>
  <c r="D663" i="23"/>
  <c r="E663" i="23"/>
  <c r="J449" i="12"/>
  <c r="C193" i="9"/>
  <c r="H664" i="23"/>
  <c r="D193" i="9"/>
  <c r="E193" i="9"/>
  <c r="B664" i="23"/>
  <c r="C664" i="23"/>
  <c r="D664" i="23"/>
  <c r="E664" i="23"/>
  <c r="J450" i="12"/>
  <c r="O193" i="9"/>
  <c r="B180" i="9"/>
  <c r="O199" i="9"/>
  <c r="C180" i="9"/>
  <c r="H665" i="23"/>
  <c r="B665" i="23"/>
  <c r="C665" i="23"/>
  <c r="D665" i="23"/>
  <c r="E665" i="23"/>
  <c r="J451" i="12"/>
  <c r="Y193" i="9"/>
  <c r="Z193" i="9"/>
  <c r="AA193" i="9"/>
  <c r="E104" i="21"/>
  <c r="AB193" i="9"/>
  <c r="AC193" i="9"/>
  <c r="AG193" i="9"/>
  <c r="Y194" i="9"/>
  <c r="Z194" i="9"/>
  <c r="AA194" i="9"/>
  <c r="E105" i="21"/>
  <c r="AB194" i="9"/>
  <c r="AC194" i="9"/>
  <c r="AG194" i="9"/>
  <c r="Y195" i="9"/>
  <c r="Z195" i="9"/>
  <c r="AA195" i="9"/>
  <c r="E106" i="21"/>
  <c r="AB195" i="9"/>
  <c r="AC195" i="9"/>
  <c r="AG195" i="9"/>
  <c r="Y196" i="9"/>
  <c r="Z196" i="9"/>
  <c r="AA196" i="9"/>
  <c r="E107" i="21"/>
  <c r="AB196" i="9"/>
  <c r="AC196" i="9"/>
  <c r="AG196" i="9"/>
  <c r="Y197" i="9"/>
  <c r="Z197" i="9"/>
  <c r="AA197" i="9"/>
  <c r="E108" i="21"/>
  <c r="AB197" i="9"/>
  <c r="AC197" i="9"/>
  <c r="AG197" i="9"/>
  <c r="Y198" i="9"/>
  <c r="Z198" i="9"/>
  <c r="AA198" i="9"/>
  <c r="E109" i="21"/>
  <c r="AB198" i="9"/>
  <c r="AC198" i="9"/>
  <c r="AG198" i="9"/>
  <c r="Y199" i="9"/>
  <c r="Z199" i="9"/>
  <c r="AA199" i="9"/>
  <c r="E110" i="21"/>
  <c r="AB199" i="9"/>
  <c r="AC199" i="9"/>
  <c r="AG199" i="9"/>
  <c r="H667" i="23"/>
  <c r="C667" i="23"/>
  <c r="D667" i="23"/>
  <c r="H668" i="23"/>
  <c r="C668" i="23"/>
  <c r="D668" i="23"/>
  <c r="E666" i="23"/>
  <c r="J452" i="12"/>
  <c r="H670" i="23"/>
  <c r="C670" i="23"/>
  <c r="D670" i="23"/>
  <c r="AD158" i="9"/>
  <c r="AI158" i="9"/>
  <c r="H671" i="23"/>
  <c r="C671" i="23"/>
  <c r="D671" i="23"/>
  <c r="E669" i="23"/>
  <c r="J453" i="12"/>
  <c r="Y190" i="9"/>
  <c r="Z190" i="9"/>
  <c r="AA190" i="9"/>
  <c r="E101" i="21"/>
  <c r="AB190" i="9"/>
  <c r="AC190" i="9"/>
  <c r="AG190" i="9"/>
  <c r="H673" i="23"/>
  <c r="C673" i="23"/>
  <c r="D673" i="23"/>
  <c r="Y191" i="9"/>
  <c r="Z191" i="9"/>
  <c r="AA191" i="9"/>
  <c r="E102" i="21"/>
  <c r="AB191" i="9"/>
  <c r="AC191" i="9"/>
  <c r="AG191" i="9"/>
  <c r="H674" i="23"/>
  <c r="C674" i="23"/>
  <c r="D674" i="23"/>
  <c r="Y192" i="9"/>
  <c r="Z192" i="9"/>
  <c r="AA192" i="9"/>
  <c r="E103" i="21"/>
  <c r="AB192" i="9"/>
  <c r="AC192" i="9"/>
  <c r="AG192" i="9"/>
  <c r="H675" i="23"/>
  <c r="C675" i="23"/>
  <c r="D675" i="23"/>
  <c r="H676" i="23"/>
  <c r="B676" i="23"/>
  <c r="C676" i="23"/>
  <c r="D676" i="23"/>
  <c r="E672" i="23"/>
  <c r="J454" i="12"/>
  <c r="C677" i="23"/>
  <c r="D677" i="23"/>
  <c r="E677" i="23"/>
  <c r="J455" i="12"/>
  <c r="H679" i="23"/>
  <c r="B679" i="23"/>
  <c r="C679" i="23"/>
  <c r="D679" i="23"/>
  <c r="E679" i="23"/>
  <c r="C680" i="23"/>
  <c r="D680" i="23"/>
  <c r="E680" i="23"/>
  <c r="H681" i="23"/>
  <c r="C681" i="23"/>
  <c r="D681" i="23"/>
  <c r="E681" i="23"/>
  <c r="H682" i="23"/>
  <c r="C682" i="23"/>
  <c r="D682" i="23"/>
  <c r="E682" i="23"/>
  <c r="E678" i="23"/>
  <c r="J456" i="12"/>
  <c r="H684" i="23"/>
  <c r="B684" i="23"/>
  <c r="C684" i="23"/>
  <c r="D684" i="23"/>
  <c r="E684" i="23"/>
  <c r="H685" i="23"/>
  <c r="C685" i="23"/>
  <c r="D685" i="23"/>
  <c r="E685" i="23"/>
  <c r="E683" i="23"/>
  <c r="J457" i="12"/>
  <c r="J447" i="12"/>
  <c r="C316" i="23"/>
  <c r="D316" i="23"/>
  <c r="E316" i="23"/>
  <c r="J216" i="12"/>
  <c r="H317" i="23"/>
  <c r="C317" i="23"/>
  <c r="D317" i="23"/>
  <c r="E317" i="23"/>
  <c r="J217" i="12"/>
  <c r="J218" i="12"/>
  <c r="J219" i="12"/>
  <c r="J220" i="12"/>
  <c r="J221" i="12"/>
  <c r="H322" i="23"/>
  <c r="B322" i="23"/>
  <c r="C322" i="23"/>
  <c r="D322" i="23"/>
  <c r="E322" i="23"/>
  <c r="J222" i="12"/>
  <c r="H323" i="23"/>
  <c r="B323" i="23"/>
  <c r="C323" i="23"/>
  <c r="D323" i="23"/>
  <c r="E323" i="23"/>
  <c r="J223" i="12"/>
  <c r="J224" i="12"/>
  <c r="B241" i="21"/>
  <c r="C241" i="21"/>
  <c r="H325" i="23"/>
  <c r="C325" i="23"/>
  <c r="D325" i="23"/>
  <c r="E325" i="23"/>
  <c r="J225" i="12"/>
  <c r="H326" i="23"/>
  <c r="B326" i="23"/>
  <c r="C326" i="23"/>
  <c r="D326" i="23"/>
  <c r="E326" i="23"/>
  <c r="J226" i="12"/>
  <c r="J215" i="12"/>
  <c r="H336" i="23"/>
  <c r="B336" i="23"/>
  <c r="C336" i="23"/>
  <c r="D336" i="23"/>
  <c r="E336" i="23"/>
  <c r="J236" i="12"/>
  <c r="C337" i="23"/>
  <c r="D337" i="23"/>
  <c r="E337" i="23"/>
  <c r="J237" i="12"/>
  <c r="H338" i="23"/>
  <c r="C338" i="23"/>
  <c r="D338" i="23"/>
  <c r="E338" i="23"/>
  <c r="J238" i="12"/>
  <c r="J239" i="12"/>
  <c r="J240" i="12"/>
  <c r="J241" i="12"/>
  <c r="J242" i="12"/>
  <c r="B402" i="9"/>
  <c r="H343" i="23"/>
  <c r="C343" i="23"/>
  <c r="D343" i="23"/>
  <c r="E343" i="23"/>
  <c r="J243" i="12"/>
  <c r="H344" i="23"/>
  <c r="B344" i="23"/>
  <c r="C344" i="23"/>
  <c r="D344" i="23"/>
  <c r="E344" i="23"/>
  <c r="J244" i="12"/>
  <c r="H345" i="23"/>
  <c r="C345" i="23"/>
  <c r="D345" i="23"/>
  <c r="E345" i="23"/>
  <c r="J245" i="12"/>
  <c r="H346" i="23"/>
  <c r="C346" i="23"/>
  <c r="G346" i="23"/>
  <c r="D346" i="23"/>
  <c r="E346" i="23"/>
  <c r="J246" i="12"/>
  <c r="C347" i="23"/>
  <c r="D347" i="23"/>
  <c r="E347" i="23"/>
  <c r="J247" i="12"/>
  <c r="J235" i="12"/>
  <c r="H357" i="23"/>
  <c r="B357" i="23"/>
  <c r="C357" i="23"/>
  <c r="D357" i="23"/>
  <c r="E357" i="23"/>
  <c r="J257" i="12"/>
  <c r="H358" i="23"/>
  <c r="B358" i="23"/>
  <c r="C358" i="23"/>
  <c r="D358" i="23"/>
  <c r="E358" i="23"/>
  <c r="J258" i="12"/>
  <c r="H360" i="23"/>
  <c r="C360" i="23"/>
  <c r="D360" i="23"/>
  <c r="E360" i="23"/>
  <c r="H361" i="23"/>
  <c r="C361" i="23"/>
  <c r="D361" i="23"/>
  <c r="E361" i="23"/>
  <c r="H362" i="23"/>
  <c r="C362" i="23"/>
  <c r="D362" i="23"/>
  <c r="E362" i="23"/>
  <c r="E359" i="23"/>
  <c r="J259" i="12"/>
  <c r="H364" i="23"/>
  <c r="B364" i="23"/>
  <c r="C364" i="23"/>
  <c r="D364" i="23"/>
  <c r="E364" i="23"/>
  <c r="J261" i="12"/>
  <c r="H365" i="23"/>
  <c r="B365" i="23"/>
  <c r="C365" i="23"/>
  <c r="D365" i="23"/>
  <c r="E365" i="23"/>
  <c r="J262" i="12"/>
  <c r="J256" i="12"/>
  <c r="F249" i="21"/>
  <c r="F250" i="21"/>
  <c r="F248" i="21"/>
  <c r="F240" i="21"/>
  <c r="H376" i="23"/>
  <c r="B376" i="23"/>
  <c r="C376" i="23"/>
  <c r="D376" i="23"/>
  <c r="E376" i="23"/>
  <c r="H377" i="23"/>
  <c r="B377" i="23"/>
  <c r="C377" i="23"/>
  <c r="D377" i="23"/>
  <c r="E377" i="23"/>
  <c r="E375" i="23"/>
  <c r="J272" i="12"/>
  <c r="F244" i="21"/>
  <c r="H378" i="23"/>
  <c r="B378" i="23"/>
  <c r="C378" i="23"/>
  <c r="D378" i="23"/>
  <c r="E378" i="23"/>
  <c r="J273" i="12"/>
  <c r="H379" i="23"/>
  <c r="C379" i="23"/>
  <c r="D379" i="23"/>
  <c r="E379" i="23"/>
  <c r="J274" i="12"/>
  <c r="H380" i="23"/>
  <c r="B380" i="23"/>
  <c r="C380" i="23"/>
  <c r="D380" i="23"/>
  <c r="E380" i="23"/>
  <c r="J275" i="12"/>
  <c r="H389" i="23"/>
  <c r="H381" i="23"/>
  <c r="B381" i="23"/>
  <c r="C381" i="23"/>
  <c r="D381" i="23"/>
  <c r="E381" i="23"/>
  <c r="J276" i="12"/>
  <c r="D243" i="21"/>
  <c r="H382" i="23"/>
  <c r="B382" i="23"/>
  <c r="C382" i="23"/>
  <c r="D382" i="23"/>
  <c r="E382" i="23"/>
  <c r="J277" i="12"/>
  <c r="C383" i="23"/>
  <c r="D383" i="23"/>
  <c r="E383" i="23"/>
  <c r="J278" i="12"/>
  <c r="H384" i="23"/>
  <c r="B384" i="23"/>
  <c r="C384" i="23"/>
  <c r="D384" i="23"/>
  <c r="E384" i="23"/>
  <c r="J279" i="12"/>
  <c r="H399" i="23"/>
  <c r="H385" i="23"/>
  <c r="B385" i="23"/>
  <c r="C385" i="23"/>
  <c r="D385" i="23"/>
  <c r="E385" i="23"/>
  <c r="J280" i="12"/>
  <c r="H386" i="23"/>
  <c r="B386" i="23"/>
  <c r="C386" i="23"/>
  <c r="D386" i="23"/>
  <c r="E386" i="23"/>
  <c r="J281" i="12"/>
  <c r="H387" i="23"/>
  <c r="B387" i="23"/>
  <c r="C387" i="23"/>
  <c r="D387" i="23"/>
  <c r="E387" i="23"/>
  <c r="J282" i="12"/>
  <c r="C389" i="23"/>
  <c r="D389" i="23"/>
  <c r="E389" i="23"/>
  <c r="J284" i="12"/>
  <c r="B399" i="23"/>
  <c r="C399" i="23"/>
  <c r="D399" i="23"/>
  <c r="E399" i="23"/>
  <c r="J294" i="12"/>
  <c r="J295" i="12"/>
  <c r="J296" i="12"/>
  <c r="J297" i="12"/>
  <c r="J298" i="12"/>
  <c r="H409" i="23"/>
  <c r="B409" i="23"/>
  <c r="C409" i="23"/>
  <c r="D409" i="23"/>
  <c r="E409" i="23"/>
  <c r="H410" i="23"/>
  <c r="B410" i="23"/>
  <c r="C410" i="23"/>
  <c r="D410" i="23"/>
  <c r="E410" i="23"/>
  <c r="E408" i="23"/>
  <c r="J299" i="12"/>
  <c r="H411" i="23"/>
  <c r="B411" i="23"/>
  <c r="C411" i="23"/>
  <c r="D411" i="23"/>
  <c r="E411" i="23"/>
  <c r="J300" i="12"/>
  <c r="J301" i="12"/>
  <c r="H413" i="23"/>
  <c r="C413" i="23"/>
  <c r="D413" i="23"/>
  <c r="E413" i="23"/>
  <c r="J302" i="12"/>
  <c r="H414" i="23"/>
  <c r="B414" i="23"/>
  <c r="C414" i="23"/>
  <c r="D414" i="23"/>
  <c r="E414" i="23"/>
  <c r="J303" i="12"/>
  <c r="J304" i="12"/>
  <c r="H416" i="23"/>
  <c r="B416" i="23"/>
  <c r="C416" i="23"/>
  <c r="D416" i="23"/>
  <c r="E416" i="23"/>
  <c r="J305" i="12"/>
  <c r="F45" i="21"/>
  <c r="F46" i="21"/>
  <c r="H418" i="23"/>
  <c r="B418" i="23"/>
  <c r="C418" i="23"/>
  <c r="D418" i="23"/>
  <c r="H419" i="23"/>
  <c r="B419" i="23"/>
  <c r="C419" i="23"/>
  <c r="D419" i="23"/>
  <c r="H420" i="23"/>
  <c r="B420" i="23"/>
  <c r="C420" i="23"/>
  <c r="D420" i="23"/>
  <c r="D417" i="23"/>
  <c r="E417" i="23"/>
  <c r="J306" i="12"/>
  <c r="H423" i="23"/>
  <c r="B423" i="23"/>
  <c r="C423" i="23"/>
  <c r="D423" i="23"/>
  <c r="E423" i="23"/>
  <c r="J309" i="12"/>
  <c r="H424" i="23"/>
  <c r="B424" i="23"/>
  <c r="C424" i="23"/>
  <c r="D424" i="23"/>
  <c r="E424" i="23"/>
  <c r="J310" i="12"/>
  <c r="J293" i="12"/>
  <c r="C430" i="23"/>
  <c r="D430" i="23"/>
  <c r="E430" i="23"/>
  <c r="J316" i="12"/>
  <c r="C431" i="23"/>
  <c r="D431" i="23"/>
  <c r="E431" i="23"/>
  <c r="J317" i="12"/>
  <c r="C432" i="23"/>
  <c r="D432" i="23"/>
  <c r="E432" i="23"/>
  <c r="J318" i="12"/>
  <c r="C433" i="23"/>
  <c r="D433" i="23"/>
  <c r="E433" i="23"/>
  <c r="J319" i="12"/>
  <c r="C103" i="9"/>
  <c r="C104" i="9"/>
  <c r="D252" i="21"/>
  <c r="C107" i="9"/>
  <c r="D253" i="21"/>
  <c r="C108" i="9"/>
  <c r="D254" i="21"/>
  <c r="C109" i="9"/>
  <c r="D255" i="21"/>
  <c r="C110" i="9"/>
  <c r="D256" i="21"/>
  <c r="C111" i="9"/>
  <c r="D257" i="21"/>
  <c r="C112" i="9"/>
  <c r="D258" i="21"/>
  <c r="C113" i="9"/>
  <c r="C115" i="9"/>
  <c r="H434" i="23"/>
  <c r="B434" i="23"/>
  <c r="C434" i="23"/>
  <c r="D434" i="23"/>
  <c r="E434" i="23"/>
  <c r="J320" i="12"/>
  <c r="H435" i="23"/>
  <c r="B435" i="23"/>
  <c r="C435" i="23"/>
  <c r="D435" i="23"/>
  <c r="E435" i="23"/>
  <c r="J321" i="12"/>
  <c r="H436" i="23"/>
  <c r="B436" i="23"/>
  <c r="C436" i="23"/>
  <c r="D436" i="23"/>
  <c r="E436" i="23"/>
  <c r="J322" i="12"/>
  <c r="B255" i="21"/>
  <c r="B252" i="21"/>
  <c r="B253" i="21"/>
  <c r="B254" i="21"/>
  <c r="B256" i="21"/>
  <c r="B257" i="21"/>
  <c r="B258" i="21"/>
  <c r="B259" i="21"/>
  <c r="B251" i="21"/>
  <c r="C255" i="21"/>
  <c r="B110" i="9"/>
  <c r="V108" i="9"/>
  <c r="C254" i="21"/>
  <c r="B109" i="9"/>
  <c r="V107" i="9"/>
  <c r="C256" i="21"/>
  <c r="B111" i="9"/>
  <c r="V109" i="9"/>
  <c r="C257" i="21"/>
  <c r="B112" i="9"/>
  <c r="V110" i="9"/>
  <c r="C258" i="21"/>
  <c r="B113" i="9"/>
  <c r="V111" i="9"/>
  <c r="V113" i="9"/>
  <c r="Y108" i="9"/>
  <c r="W108" i="9"/>
  <c r="W107" i="9"/>
  <c r="W109" i="9"/>
  <c r="W110" i="9"/>
  <c r="W111" i="9"/>
  <c r="W113" i="9"/>
  <c r="Z108" i="9"/>
  <c r="X108" i="9"/>
  <c r="X107" i="9"/>
  <c r="X109" i="9"/>
  <c r="X110" i="9"/>
  <c r="X111" i="9"/>
  <c r="X113" i="9"/>
  <c r="AA108" i="9"/>
  <c r="E255" i="21"/>
  <c r="AB108" i="9"/>
  <c r="AC104" i="9"/>
  <c r="AC108" i="9"/>
  <c r="Y111" i="9"/>
  <c r="Z111" i="9"/>
  <c r="AA111" i="9"/>
  <c r="E258" i="21"/>
  <c r="AB111" i="9"/>
  <c r="AC111" i="9"/>
  <c r="H438" i="23"/>
  <c r="C438" i="23"/>
  <c r="D438" i="23"/>
  <c r="Y109" i="9"/>
  <c r="Z109" i="9"/>
  <c r="AA109" i="9"/>
  <c r="E256" i="21"/>
  <c r="AB109" i="9"/>
  <c r="AC109" i="9"/>
  <c r="Y110" i="9"/>
  <c r="Z110" i="9"/>
  <c r="AA110" i="9"/>
  <c r="E257" i="21"/>
  <c r="AB110" i="9"/>
  <c r="AC110" i="9"/>
  <c r="H439" i="23"/>
  <c r="B439" i="23"/>
  <c r="C439" i="23"/>
  <c r="D439" i="23"/>
  <c r="C253" i="21"/>
  <c r="B108" i="9"/>
  <c r="V106" i="9"/>
  <c r="Y106" i="9"/>
  <c r="W106" i="9"/>
  <c r="Z106" i="9"/>
  <c r="X106" i="9"/>
  <c r="AA106" i="9"/>
  <c r="E253" i="21"/>
  <c r="AB106" i="9"/>
  <c r="AC106" i="9"/>
  <c r="H440" i="23"/>
  <c r="B440" i="23"/>
  <c r="C440" i="23"/>
  <c r="D440" i="23"/>
  <c r="C252" i="21"/>
  <c r="B107" i="9"/>
  <c r="V105" i="9"/>
  <c r="Y105" i="9"/>
  <c r="W105" i="9"/>
  <c r="Z105" i="9"/>
  <c r="X105" i="9"/>
  <c r="AA105" i="9"/>
  <c r="E252" i="21"/>
  <c r="AB105" i="9"/>
  <c r="AC105" i="9"/>
  <c r="H441" i="23"/>
  <c r="B441" i="23"/>
  <c r="C441" i="23"/>
  <c r="D441" i="23"/>
  <c r="E437" i="23"/>
  <c r="J323" i="12"/>
  <c r="J315" i="12"/>
  <c r="H225" i="23"/>
  <c r="B225" i="23"/>
  <c r="C225" i="23"/>
  <c r="B68" i="9"/>
  <c r="D225" i="23"/>
  <c r="B38" i="21"/>
  <c r="C38" i="21"/>
  <c r="P65" i="9"/>
  <c r="Q65" i="9"/>
  <c r="H226" i="23"/>
  <c r="B226" i="23"/>
  <c r="C226" i="23"/>
  <c r="D226" i="23"/>
  <c r="H227" i="23"/>
  <c r="B227" i="23"/>
  <c r="C227" i="23"/>
  <c r="D227" i="23"/>
  <c r="H228" i="23"/>
  <c r="B228" i="23"/>
  <c r="C228" i="23"/>
  <c r="D228" i="23"/>
  <c r="H229" i="23"/>
  <c r="B229" i="23"/>
  <c r="C229" i="23"/>
  <c r="D229" i="23"/>
  <c r="H230" i="23"/>
  <c r="B230" i="23"/>
  <c r="C230" i="23"/>
  <c r="D230" i="23"/>
  <c r="H231" i="23"/>
  <c r="B231" i="23"/>
  <c r="C231" i="23"/>
  <c r="D231" i="23"/>
  <c r="B232" i="23"/>
  <c r="C232" i="23"/>
  <c r="D232" i="23"/>
  <c r="E224" i="23"/>
  <c r="J168" i="12"/>
  <c r="K168" i="12"/>
  <c r="H232" i="23"/>
  <c r="F224" i="23"/>
  <c r="M168" i="12"/>
  <c r="R64" i="9"/>
  <c r="M225" i="23"/>
  <c r="C68" i="9"/>
  <c r="I225" i="23"/>
  <c r="R65" i="9"/>
  <c r="M226" i="23"/>
  <c r="I226" i="23"/>
  <c r="M227" i="23"/>
  <c r="I227" i="23"/>
  <c r="M228" i="23"/>
  <c r="I228" i="23"/>
  <c r="M229" i="23"/>
  <c r="I229" i="23"/>
  <c r="M230" i="23"/>
  <c r="I230" i="23"/>
  <c r="M231" i="23"/>
  <c r="I231" i="23"/>
  <c r="M232" i="23"/>
  <c r="C61" i="9"/>
  <c r="I232" i="23"/>
  <c r="J224" i="23"/>
  <c r="N168" i="12"/>
  <c r="E233" i="23"/>
  <c r="J169" i="12"/>
  <c r="K169" i="12"/>
  <c r="M169" i="12"/>
  <c r="J233" i="23"/>
  <c r="N169" i="12"/>
  <c r="B234" i="23"/>
  <c r="C234" i="23"/>
  <c r="D234" i="23"/>
  <c r="E234" i="23"/>
  <c r="J170" i="12"/>
  <c r="K170" i="12"/>
  <c r="F234" i="23"/>
  <c r="M170" i="12"/>
  <c r="I234" i="23"/>
  <c r="J234" i="23"/>
  <c r="N170" i="12"/>
  <c r="H236" i="23"/>
  <c r="B236" i="23"/>
  <c r="C236" i="23"/>
  <c r="D236" i="23"/>
  <c r="H237" i="23"/>
  <c r="B237" i="23"/>
  <c r="C237" i="23"/>
  <c r="D237" i="23"/>
  <c r="H238" i="23"/>
  <c r="B238" i="23"/>
  <c r="C238" i="23"/>
  <c r="D238" i="23"/>
  <c r="H239" i="23"/>
  <c r="B239" i="23"/>
  <c r="C239" i="23"/>
  <c r="D239" i="23"/>
  <c r="H240" i="23"/>
  <c r="B240" i="23"/>
  <c r="C240" i="23"/>
  <c r="D240" i="23"/>
  <c r="H241" i="23"/>
  <c r="B241" i="23"/>
  <c r="C241" i="23"/>
  <c r="D241" i="23"/>
  <c r="H242" i="23"/>
  <c r="B242" i="23"/>
  <c r="C242" i="23"/>
  <c r="D242" i="23"/>
  <c r="H243" i="23"/>
  <c r="C243" i="23"/>
  <c r="D243" i="23"/>
  <c r="E235" i="23"/>
  <c r="J171" i="12"/>
  <c r="K171" i="12"/>
  <c r="E236" i="23"/>
  <c r="E237" i="23"/>
  <c r="E238" i="23"/>
  <c r="E239" i="23"/>
  <c r="E240" i="23"/>
  <c r="E241" i="23"/>
  <c r="E242" i="23"/>
  <c r="E243" i="23"/>
  <c r="F235" i="23"/>
  <c r="M171" i="12"/>
  <c r="M236" i="23"/>
  <c r="I236" i="23"/>
  <c r="M237" i="23"/>
  <c r="I237" i="23"/>
  <c r="M238" i="23"/>
  <c r="I238" i="23"/>
  <c r="M239" i="23"/>
  <c r="I239" i="23"/>
  <c r="M240" i="23"/>
  <c r="I240" i="23"/>
  <c r="M241" i="23"/>
  <c r="I241" i="23"/>
  <c r="M242" i="23"/>
  <c r="I242" i="23"/>
  <c r="M243" i="23"/>
  <c r="I243" i="23"/>
  <c r="J235" i="23"/>
  <c r="N171" i="12"/>
  <c r="H245" i="23"/>
  <c r="B245" i="23"/>
  <c r="C245" i="23"/>
  <c r="D245" i="23"/>
  <c r="H246" i="23"/>
  <c r="B246" i="23"/>
  <c r="C246" i="23"/>
  <c r="D246" i="23"/>
  <c r="H247" i="23"/>
  <c r="B247" i="23"/>
  <c r="C247" i="23"/>
  <c r="D247" i="23"/>
  <c r="H248" i="23"/>
  <c r="B248" i="23"/>
  <c r="C248" i="23"/>
  <c r="D248" i="23"/>
  <c r="H249" i="23"/>
  <c r="B249" i="23"/>
  <c r="C249" i="23"/>
  <c r="D249" i="23"/>
  <c r="H250" i="23"/>
  <c r="B250" i="23"/>
  <c r="C250" i="23"/>
  <c r="D250" i="23"/>
  <c r="H251" i="23"/>
  <c r="B251" i="23"/>
  <c r="C251" i="23"/>
  <c r="D251" i="23"/>
  <c r="H252" i="23"/>
  <c r="B252" i="23"/>
  <c r="C252" i="23"/>
  <c r="D252" i="23"/>
  <c r="E244" i="23"/>
  <c r="J172" i="12"/>
  <c r="K172" i="12"/>
  <c r="E245" i="23"/>
  <c r="E246" i="23"/>
  <c r="E247" i="23"/>
  <c r="E248" i="23"/>
  <c r="E249" i="23"/>
  <c r="E250" i="23"/>
  <c r="E251" i="23"/>
  <c r="E252" i="23"/>
  <c r="F244" i="23"/>
  <c r="M172" i="12"/>
  <c r="M245" i="23"/>
  <c r="I245" i="23"/>
  <c r="M246" i="23"/>
  <c r="I246" i="23"/>
  <c r="M247" i="23"/>
  <c r="I247" i="23"/>
  <c r="M248" i="23"/>
  <c r="I248" i="23"/>
  <c r="M249" i="23"/>
  <c r="I249" i="23"/>
  <c r="M250" i="23"/>
  <c r="I250" i="23"/>
  <c r="M251" i="23"/>
  <c r="I251" i="23"/>
  <c r="M252" i="23"/>
  <c r="I252" i="23"/>
  <c r="J244" i="23"/>
  <c r="N172" i="12"/>
  <c r="B253" i="23"/>
  <c r="C253" i="23"/>
  <c r="D253" i="23"/>
  <c r="E253" i="23"/>
  <c r="J173" i="12"/>
  <c r="K173" i="12"/>
  <c r="F253" i="23"/>
  <c r="M173" i="12"/>
  <c r="M253" i="23"/>
  <c r="I253" i="23"/>
  <c r="J253" i="23"/>
  <c r="N173" i="12"/>
  <c r="H255" i="23"/>
  <c r="B255" i="23"/>
  <c r="C255" i="23"/>
  <c r="D255" i="23"/>
  <c r="H256" i="23"/>
  <c r="B256" i="23"/>
  <c r="C256" i="23"/>
  <c r="D256" i="23"/>
  <c r="H257" i="23"/>
  <c r="B257" i="23"/>
  <c r="C257" i="23"/>
  <c r="D257" i="23"/>
  <c r="H258" i="23"/>
  <c r="B258" i="23"/>
  <c r="C258" i="23"/>
  <c r="D258" i="23"/>
  <c r="H259" i="23"/>
  <c r="B259" i="23"/>
  <c r="C259" i="23"/>
  <c r="D259" i="23"/>
  <c r="H260" i="23"/>
  <c r="B260" i="23"/>
  <c r="C260" i="23"/>
  <c r="D260" i="23"/>
  <c r="H261" i="23"/>
  <c r="B261" i="23"/>
  <c r="C261" i="23"/>
  <c r="D261" i="23"/>
  <c r="H262" i="23"/>
  <c r="B262" i="23"/>
  <c r="C262" i="23"/>
  <c r="D262" i="23"/>
  <c r="E254" i="23"/>
  <c r="J174" i="12"/>
  <c r="K174" i="12"/>
  <c r="F254" i="23"/>
  <c r="M174" i="12"/>
  <c r="M255" i="23"/>
  <c r="I255" i="23"/>
  <c r="M256" i="23"/>
  <c r="I256" i="23"/>
  <c r="M257" i="23"/>
  <c r="I257" i="23"/>
  <c r="M258" i="23"/>
  <c r="I258" i="23"/>
  <c r="M259" i="23"/>
  <c r="I259" i="23"/>
  <c r="M260" i="23"/>
  <c r="I260" i="23"/>
  <c r="M261" i="23"/>
  <c r="I261" i="23"/>
  <c r="M262" i="23"/>
  <c r="I262" i="23"/>
  <c r="J254" i="23"/>
  <c r="N174" i="12"/>
  <c r="B37" i="21"/>
  <c r="C37" i="21"/>
  <c r="H263" i="23"/>
  <c r="B264" i="23"/>
  <c r="C264" i="23"/>
  <c r="D264" i="23"/>
  <c r="E264" i="23"/>
  <c r="H264" i="23"/>
  <c r="B265" i="23"/>
  <c r="C265" i="23"/>
  <c r="D265" i="23"/>
  <c r="E265" i="23"/>
  <c r="E263" i="23"/>
  <c r="J175" i="12"/>
  <c r="K175" i="12"/>
  <c r="F264" i="23"/>
  <c r="F265" i="23"/>
  <c r="F263" i="23"/>
  <c r="M175" i="12"/>
  <c r="M264" i="23"/>
  <c r="I264" i="23"/>
  <c r="C71" i="9"/>
  <c r="J264" i="23"/>
  <c r="M265" i="23"/>
  <c r="C70" i="9"/>
  <c r="I265" i="23"/>
  <c r="J265" i="23"/>
  <c r="J263" i="23"/>
  <c r="N175" i="12"/>
  <c r="K176" i="12"/>
  <c r="H265" i="23"/>
  <c r="B266" i="23"/>
  <c r="C266" i="23"/>
  <c r="D266" i="23"/>
  <c r="E266" i="23"/>
  <c r="F266" i="23"/>
  <c r="M176" i="12"/>
  <c r="K177" i="12"/>
  <c r="H267" i="23"/>
  <c r="C267" i="23"/>
  <c r="D267" i="23"/>
  <c r="E267" i="23"/>
  <c r="F267" i="23"/>
  <c r="M177" i="12"/>
  <c r="C268" i="23"/>
  <c r="D268" i="23"/>
  <c r="E268" i="23"/>
  <c r="J178" i="12"/>
  <c r="K178" i="12"/>
  <c r="F268" i="23"/>
  <c r="M178" i="12"/>
  <c r="I268" i="23"/>
  <c r="J268" i="23"/>
  <c r="N178" i="12"/>
  <c r="K179" i="12"/>
  <c r="H268" i="23"/>
  <c r="C269" i="23"/>
  <c r="D269" i="23"/>
  <c r="E269" i="23"/>
  <c r="F269" i="23"/>
  <c r="M179" i="12"/>
  <c r="H270" i="23"/>
  <c r="C270" i="23"/>
  <c r="D270" i="23"/>
  <c r="E270" i="23"/>
  <c r="J180" i="12"/>
  <c r="K180" i="12"/>
  <c r="F270" i="23"/>
  <c r="M180" i="12"/>
  <c r="M270" i="23"/>
  <c r="I270" i="23"/>
  <c r="J270" i="23"/>
  <c r="N180" i="12"/>
  <c r="H282" i="23"/>
  <c r="C281" i="23"/>
  <c r="D281" i="23"/>
  <c r="E281" i="23"/>
  <c r="J181" i="12"/>
  <c r="K181" i="12"/>
  <c r="F281" i="23"/>
  <c r="M181" i="12"/>
  <c r="M282" i="23"/>
  <c r="I281" i="23"/>
  <c r="J281" i="23"/>
  <c r="N181" i="12"/>
  <c r="K182" i="12"/>
  <c r="C282" i="23"/>
  <c r="D282" i="23"/>
  <c r="E282" i="23"/>
  <c r="F282" i="23"/>
  <c r="M182" i="12"/>
  <c r="C283" i="23"/>
  <c r="D283" i="23"/>
  <c r="E283" i="23"/>
  <c r="J183" i="12"/>
  <c r="K183" i="12"/>
  <c r="F283" i="23"/>
  <c r="M183" i="12"/>
  <c r="M283" i="23"/>
  <c r="I283" i="23"/>
  <c r="J283" i="23"/>
  <c r="N183" i="12"/>
  <c r="C284" i="23"/>
  <c r="D284" i="23"/>
  <c r="E284" i="23"/>
  <c r="J184" i="12"/>
  <c r="K184" i="12"/>
  <c r="F284" i="23"/>
  <c r="M184" i="12"/>
  <c r="I284" i="23"/>
  <c r="J284" i="23"/>
  <c r="N184" i="12"/>
  <c r="K185" i="12"/>
  <c r="K186" i="12"/>
  <c r="H285" i="23"/>
  <c r="C286" i="23"/>
  <c r="D286" i="23"/>
  <c r="E286" i="23"/>
  <c r="F286" i="23"/>
  <c r="M186" i="12"/>
  <c r="K187" i="12"/>
  <c r="K188" i="12"/>
  <c r="C289" i="23"/>
  <c r="D289" i="23"/>
  <c r="E289" i="23"/>
  <c r="J189" i="12"/>
  <c r="K189" i="12"/>
  <c r="F289" i="23"/>
  <c r="M189" i="12"/>
  <c r="I289" i="23"/>
  <c r="J289" i="23"/>
  <c r="N189" i="12"/>
  <c r="C290" i="23"/>
  <c r="D290" i="23"/>
  <c r="E290" i="23"/>
  <c r="J190" i="12"/>
  <c r="K190" i="12"/>
  <c r="F290" i="23"/>
  <c r="M190" i="12"/>
  <c r="I290" i="23"/>
  <c r="J290" i="23"/>
  <c r="N190" i="12"/>
  <c r="C291" i="23"/>
  <c r="D291" i="23"/>
  <c r="E291" i="23"/>
  <c r="J191" i="12"/>
  <c r="K191" i="12"/>
  <c r="F291" i="23"/>
  <c r="M191" i="12"/>
  <c r="I291" i="23"/>
  <c r="J291" i="23"/>
  <c r="N191" i="12"/>
  <c r="C292" i="23"/>
  <c r="D292" i="23"/>
  <c r="E292" i="23"/>
  <c r="J192" i="12"/>
  <c r="K192" i="12"/>
  <c r="F292" i="23"/>
  <c r="M192" i="12"/>
  <c r="I292" i="23"/>
  <c r="J292" i="23"/>
  <c r="N192" i="12"/>
  <c r="C293" i="23"/>
  <c r="D293" i="23"/>
  <c r="E293" i="23"/>
  <c r="J193" i="12"/>
  <c r="K193" i="12"/>
  <c r="F293" i="23"/>
  <c r="M193" i="12"/>
  <c r="I293" i="23"/>
  <c r="J293" i="23"/>
  <c r="N193" i="12"/>
  <c r="C294" i="23"/>
  <c r="D294" i="23"/>
  <c r="E294" i="23"/>
  <c r="J194" i="12"/>
  <c r="K194" i="12"/>
  <c r="F294" i="23"/>
  <c r="M194" i="12"/>
  <c r="I294" i="23"/>
  <c r="J294" i="23"/>
  <c r="N194" i="12"/>
  <c r="C295" i="23"/>
  <c r="D295" i="23"/>
  <c r="E295" i="23"/>
  <c r="J195" i="12"/>
  <c r="K195" i="12"/>
  <c r="F295" i="23"/>
  <c r="M195" i="12"/>
  <c r="I295" i="23"/>
  <c r="J295" i="23"/>
  <c r="N195" i="12"/>
  <c r="C296" i="23"/>
  <c r="D296" i="23"/>
  <c r="E296" i="23"/>
  <c r="J196" i="12"/>
  <c r="K196" i="12"/>
  <c r="F296" i="23"/>
  <c r="M196" i="12"/>
  <c r="I296" i="23"/>
  <c r="J296" i="23"/>
  <c r="N196" i="12"/>
  <c r="C297" i="23"/>
  <c r="D297" i="23"/>
  <c r="E297" i="23"/>
  <c r="J197" i="12"/>
  <c r="K197" i="12"/>
  <c r="F297" i="23"/>
  <c r="M197" i="12"/>
  <c r="I297" i="23"/>
  <c r="J297" i="23"/>
  <c r="N197" i="12"/>
  <c r="C298" i="23"/>
  <c r="D298" i="23"/>
  <c r="E298" i="23"/>
  <c r="J198" i="12"/>
  <c r="K198" i="12"/>
  <c r="F298" i="23"/>
  <c r="M198" i="12"/>
  <c r="I298" i="23"/>
  <c r="J298" i="23"/>
  <c r="N198" i="12"/>
  <c r="C299" i="23"/>
  <c r="D299" i="23"/>
  <c r="E299" i="23"/>
  <c r="J199" i="12"/>
  <c r="K199" i="12"/>
  <c r="F299" i="23"/>
  <c r="M199" i="12"/>
  <c r="I299" i="23"/>
  <c r="J299" i="23"/>
  <c r="N199" i="12"/>
  <c r="C300" i="23"/>
  <c r="D300" i="23"/>
  <c r="E300" i="23"/>
  <c r="J200" i="12"/>
  <c r="K200" i="12"/>
  <c r="F300" i="23"/>
  <c r="M200" i="12"/>
  <c r="I300" i="23"/>
  <c r="J300" i="23"/>
  <c r="N200" i="12"/>
  <c r="K201" i="12"/>
  <c r="K202" i="12"/>
  <c r="K203" i="12"/>
  <c r="K204" i="12"/>
  <c r="K205" i="12"/>
  <c r="K206" i="12"/>
  <c r="K207" i="12"/>
  <c r="K208" i="12"/>
  <c r="K210" i="12"/>
  <c r="K211" i="12"/>
  <c r="K216" i="12"/>
  <c r="F316" i="23"/>
  <c r="M216" i="12"/>
  <c r="I316" i="23"/>
  <c r="J316" i="23"/>
  <c r="N216" i="12"/>
  <c r="M317" i="23"/>
  <c r="I317" i="23"/>
  <c r="J317" i="23"/>
  <c r="N217" i="12"/>
  <c r="N218" i="12"/>
  <c r="N219" i="12"/>
  <c r="N220" i="12"/>
  <c r="N221" i="12"/>
  <c r="M322" i="23"/>
  <c r="I322" i="23"/>
  <c r="J322" i="23"/>
  <c r="N222" i="12"/>
  <c r="M323" i="23"/>
  <c r="I323" i="23"/>
  <c r="J323" i="23"/>
  <c r="N223" i="12"/>
  <c r="N224" i="12"/>
  <c r="M325" i="23"/>
  <c r="I325" i="23"/>
  <c r="J325" i="23"/>
  <c r="N225" i="12"/>
  <c r="M326" i="23"/>
  <c r="I326" i="23"/>
  <c r="J326" i="23"/>
  <c r="N226" i="12"/>
  <c r="N215" i="12"/>
  <c r="K217" i="12"/>
  <c r="F317" i="23"/>
  <c r="M217" i="12"/>
  <c r="K218" i="12"/>
  <c r="F318" i="23"/>
  <c r="M218" i="12"/>
  <c r="K219" i="12"/>
  <c r="F319" i="23"/>
  <c r="M219" i="12"/>
  <c r="K220" i="12"/>
  <c r="F320" i="23"/>
  <c r="M220" i="12"/>
  <c r="K221" i="12"/>
  <c r="F321" i="23"/>
  <c r="M221" i="12"/>
  <c r="K222" i="12"/>
  <c r="F322" i="23"/>
  <c r="M222" i="12"/>
  <c r="K223" i="12"/>
  <c r="F323" i="23"/>
  <c r="M223" i="12"/>
  <c r="K224" i="12"/>
  <c r="F324" i="23"/>
  <c r="M224" i="12"/>
  <c r="K225" i="12"/>
  <c r="F325" i="23"/>
  <c r="M225" i="12"/>
  <c r="K226" i="12"/>
  <c r="F326" i="23"/>
  <c r="M226" i="12"/>
  <c r="K227" i="12"/>
  <c r="K228" i="12"/>
  <c r="K229" i="12"/>
  <c r="K230" i="12"/>
  <c r="K231" i="12"/>
  <c r="K232" i="12"/>
  <c r="K233" i="12"/>
  <c r="K234" i="12"/>
  <c r="K236" i="12"/>
  <c r="F336" i="23"/>
  <c r="M236" i="12"/>
  <c r="M336" i="23"/>
  <c r="I336" i="23"/>
  <c r="J336" i="23"/>
  <c r="N236" i="12"/>
  <c r="I337" i="23"/>
  <c r="J337" i="23"/>
  <c r="N237" i="12"/>
  <c r="M338" i="23"/>
  <c r="I338" i="23"/>
  <c r="J338" i="23"/>
  <c r="N238" i="12"/>
  <c r="N239" i="12"/>
  <c r="N240" i="12"/>
  <c r="N241" i="12"/>
  <c r="N242" i="12"/>
  <c r="AD172" i="9"/>
  <c r="C402" i="9"/>
  <c r="M343" i="23"/>
  <c r="I343" i="23"/>
  <c r="J343" i="23"/>
  <c r="N243" i="12"/>
  <c r="M344" i="23"/>
  <c r="I344" i="23"/>
  <c r="J344" i="23"/>
  <c r="N244" i="12"/>
  <c r="M345" i="23"/>
  <c r="I345" i="23"/>
  <c r="J345" i="23"/>
  <c r="N245" i="12"/>
  <c r="M346" i="23"/>
  <c r="L346" i="23"/>
  <c r="I346" i="23"/>
  <c r="J346" i="23"/>
  <c r="N246" i="12"/>
  <c r="I347" i="23"/>
  <c r="J347" i="23"/>
  <c r="N247" i="12"/>
  <c r="N235" i="12"/>
  <c r="K237" i="12"/>
  <c r="F337" i="23"/>
  <c r="M237" i="12"/>
  <c r="K238" i="12"/>
  <c r="F338" i="23"/>
  <c r="M238" i="12"/>
  <c r="K239" i="12"/>
  <c r="F339" i="23"/>
  <c r="M239" i="12"/>
  <c r="K240" i="12"/>
  <c r="F340" i="23"/>
  <c r="M240" i="12"/>
  <c r="K241" i="12"/>
  <c r="F341" i="23"/>
  <c r="M241" i="12"/>
  <c r="K242" i="12"/>
  <c r="F342" i="23"/>
  <c r="M242" i="12"/>
  <c r="K243" i="12"/>
  <c r="F343" i="23"/>
  <c r="M243" i="12"/>
  <c r="K244" i="12"/>
  <c r="F344" i="23"/>
  <c r="M244" i="12"/>
  <c r="K245" i="12"/>
  <c r="F345" i="23"/>
  <c r="M245" i="12"/>
  <c r="K246" i="12"/>
  <c r="F346" i="23"/>
  <c r="M246" i="12"/>
  <c r="K247" i="12"/>
  <c r="F347" i="23"/>
  <c r="M247" i="12"/>
  <c r="K248" i="12"/>
  <c r="K249" i="12"/>
  <c r="K250" i="12"/>
  <c r="K251" i="12"/>
  <c r="K252" i="12"/>
  <c r="K253" i="12"/>
  <c r="K254" i="12"/>
  <c r="K255" i="12"/>
  <c r="K257" i="12"/>
  <c r="F357" i="23"/>
  <c r="M257" i="12"/>
  <c r="M357" i="23"/>
  <c r="C94" i="9"/>
  <c r="I357" i="23"/>
  <c r="J357" i="23"/>
  <c r="N257" i="12"/>
  <c r="K258" i="12"/>
  <c r="F358" i="23"/>
  <c r="M258" i="12"/>
  <c r="M358" i="23"/>
  <c r="C95" i="9"/>
  <c r="I358" i="23"/>
  <c r="J358" i="23"/>
  <c r="N258" i="12"/>
  <c r="K259" i="12"/>
  <c r="F360" i="23"/>
  <c r="F361" i="23"/>
  <c r="F362" i="23"/>
  <c r="F359" i="23"/>
  <c r="M259" i="12"/>
  <c r="M360" i="23"/>
  <c r="I360" i="23"/>
  <c r="J360" i="23"/>
  <c r="M361" i="23"/>
  <c r="I361" i="23"/>
  <c r="J361" i="23"/>
  <c r="M362" i="23"/>
  <c r="I362" i="23"/>
  <c r="J362" i="23"/>
  <c r="J359" i="23"/>
  <c r="N259" i="12"/>
  <c r="M363" i="23"/>
  <c r="B363" i="23"/>
  <c r="C363" i="23"/>
  <c r="I363" i="23"/>
  <c r="J363" i="23"/>
  <c r="N260" i="12"/>
  <c r="M364" i="23"/>
  <c r="I364" i="23"/>
  <c r="J364" i="23"/>
  <c r="N261" i="12"/>
  <c r="M365" i="23"/>
  <c r="I365" i="23"/>
  <c r="J365" i="23"/>
  <c r="N262" i="12"/>
  <c r="N256" i="12"/>
  <c r="K260" i="12"/>
  <c r="H363" i="23"/>
  <c r="D363" i="23"/>
  <c r="E363" i="23"/>
  <c r="F363" i="23"/>
  <c r="M260" i="12"/>
  <c r="K261" i="12"/>
  <c r="F364" i="23"/>
  <c r="M261" i="12"/>
  <c r="K262" i="12"/>
  <c r="F365" i="23"/>
  <c r="M262" i="12"/>
  <c r="K263" i="12"/>
  <c r="K264" i="12"/>
  <c r="K265" i="12"/>
  <c r="K266" i="12"/>
  <c r="K267" i="12"/>
  <c r="K268" i="12"/>
  <c r="K269" i="12"/>
  <c r="K270" i="12"/>
  <c r="K272" i="12"/>
  <c r="F376" i="23"/>
  <c r="F377" i="23"/>
  <c r="F375" i="23"/>
  <c r="M272" i="12"/>
  <c r="K273" i="12"/>
  <c r="F378" i="23"/>
  <c r="M273" i="12"/>
  <c r="M378" i="23"/>
  <c r="I378" i="23"/>
  <c r="J378" i="23"/>
  <c r="N273" i="12"/>
  <c r="K274" i="12"/>
  <c r="F379" i="23"/>
  <c r="M274" i="12"/>
  <c r="M379" i="23"/>
  <c r="I379" i="23"/>
  <c r="J379" i="23"/>
  <c r="N274" i="12"/>
  <c r="K275" i="12"/>
  <c r="F380" i="23"/>
  <c r="M275" i="12"/>
  <c r="M380" i="23"/>
  <c r="I380" i="23"/>
  <c r="J380" i="23"/>
  <c r="N275" i="12"/>
  <c r="K276" i="12"/>
  <c r="F381" i="23"/>
  <c r="M276" i="12"/>
  <c r="M389" i="23"/>
  <c r="M381" i="23"/>
  <c r="I381" i="23"/>
  <c r="J381" i="23"/>
  <c r="N276" i="12"/>
  <c r="K277" i="12"/>
  <c r="F382" i="23"/>
  <c r="M277" i="12"/>
  <c r="M382" i="23"/>
  <c r="I382" i="23"/>
  <c r="J382" i="23"/>
  <c r="N277" i="12"/>
  <c r="K278" i="12"/>
  <c r="F383" i="23"/>
  <c r="M278" i="12"/>
  <c r="I383" i="23"/>
  <c r="J383" i="23"/>
  <c r="N278" i="12"/>
  <c r="K279" i="12"/>
  <c r="F384" i="23"/>
  <c r="M279" i="12"/>
  <c r="M384" i="23"/>
  <c r="I384" i="23"/>
  <c r="J384" i="23"/>
  <c r="N279" i="12"/>
  <c r="K280" i="12"/>
  <c r="F385" i="23"/>
  <c r="M280" i="12"/>
  <c r="M399" i="23"/>
  <c r="M385" i="23"/>
  <c r="I385" i="23"/>
  <c r="J385" i="23"/>
  <c r="N280" i="12"/>
  <c r="K281" i="12"/>
  <c r="F386" i="23"/>
  <c r="M281" i="12"/>
  <c r="M386" i="23"/>
  <c r="I386" i="23"/>
  <c r="J386" i="23"/>
  <c r="N281" i="12"/>
  <c r="K282" i="12"/>
  <c r="F387" i="23"/>
  <c r="M282" i="12"/>
  <c r="M387" i="23"/>
  <c r="I387" i="23"/>
  <c r="J387" i="23"/>
  <c r="N282" i="12"/>
  <c r="K283" i="12"/>
  <c r="K284" i="12"/>
  <c r="F389" i="23"/>
  <c r="M284" i="12"/>
  <c r="I389" i="23"/>
  <c r="J389" i="23"/>
  <c r="N284" i="12"/>
  <c r="K285" i="12"/>
  <c r="K286" i="12"/>
  <c r="K287" i="12"/>
  <c r="K288" i="12"/>
  <c r="K289" i="12"/>
  <c r="K290" i="12"/>
  <c r="K291" i="12"/>
  <c r="K292" i="12"/>
  <c r="K294" i="12"/>
  <c r="F399" i="23"/>
  <c r="M294" i="12"/>
  <c r="I399" i="23"/>
  <c r="J399" i="23"/>
  <c r="N294" i="12"/>
  <c r="K295" i="12"/>
  <c r="F401" i="23"/>
  <c r="F402" i="23"/>
  <c r="F400" i="23"/>
  <c r="M295" i="12"/>
  <c r="N295" i="12"/>
  <c r="K296" i="12"/>
  <c r="M296" i="12"/>
  <c r="N296" i="12"/>
  <c r="K297" i="12"/>
  <c r="F404" i="23"/>
  <c r="M297" i="12"/>
  <c r="N297" i="12"/>
  <c r="K298" i="12"/>
  <c r="F406" i="23"/>
  <c r="F407" i="23"/>
  <c r="F405" i="23"/>
  <c r="M298" i="12"/>
  <c r="N298" i="12"/>
  <c r="K299" i="12"/>
  <c r="F409" i="23"/>
  <c r="F410" i="23"/>
  <c r="F408" i="23"/>
  <c r="M299" i="12"/>
  <c r="M409" i="23"/>
  <c r="I409" i="23"/>
  <c r="J409" i="23"/>
  <c r="M410" i="23"/>
  <c r="I410" i="23"/>
  <c r="J410" i="23"/>
  <c r="J408" i="23"/>
  <c r="N299" i="12"/>
  <c r="K300" i="12"/>
  <c r="F411" i="23"/>
  <c r="M300" i="12"/>
  <c r="M411" i="23"/>
  <c r="I411" i="23"/>
  <c r="J411" i="23"/>
  <c r="N300" i="12"/>
  <c r="K301" i="12"/>
  <c r="F412" i="23"/>
  <c r="M301" i="12"/>
  <c r="N301" i="12"/>
  <c r="K302" i="12"/>
  <c r="F413" i="23"/>
  <c r="M302" i="12"/>
  <c r="M413" i="23"/>
  <c r="I413" i="23"/>
  <c r="J413" i="23"/>
  <c r="N302" i="12"/>
  <c r="K303" i="12"/>
  <c r="F414" i="23"/>
  <c r="M303" i="12"/>
  <c r="M414" i="23"/>
  <c r="I414" i="23"/>
  <c r="J414" i="23"/>
  <c r="N303" i="12"/>
  <c r="K304" i="12"/>
  <c r="F415" i="23"/>
  <c r="M304" i="12"/>
  <c r="N304" i="12"/>
  <c r="K305" i="12"/>
  <c r="F416" i="23"/>
  <c r="M305" i="12"/>
  <c r="M416" i="23"/>
  <c r="I416" i="23"/>
  <c r="J416" i="23"/>
  <c r="N305" i="12"/>
  <c r="K306" i="12"/>
  <c r="H417" i="23"/>
  <c r="C417" i="23"/>
  <c r="F417" i="23"/>
  <c r="M306" i="12"/>
  <c r="M418" i="23"/>
  <c r="I418" i="23"/>
  <c r="M419" i="23"/>
  <c r="I419" i="23"/>
  <c r="M420" i="23"/>
  <c r="I420" i="23"/>
  <c r="I417" i="23"/>
  <c r="J417" i="23"/>
  <c r="N306" i="12"/>
  <c r="K307" i="12"/>
  <c r="K308" i="12"/>
  <c r="K309" i="12"/>
  <c r="F423" i="23"/>
  <c r="M309" i="12"/>
  <c r="C127" i="9"/>
  <c r="M423" i="23"/>
  <c r="I423" i="23"/>
  <c r="J423" i="23"/>
  <c r="N309" i="12"/>
  <c r="K310" i="12"/>
  <c r="F424" i="23"/>
  <c r="M310" i="12"/>
  <c r="M424" i="23"/>
  <c r="I424" i="23"/>
  <c r="J424" i="23"/>
  <c r="N310" i="12"/>
  <c r="N293" i="12"/>
  <c r="K311" i="12"/>
  <c r="H425" i="23"/>
  <c r="B425" i="23"/>
  <c r="C425" i="23"/>
  <c r="D425" i="23"/>
  <c r="E425" i="23"/>
  <c r="F425" i="23"/>
  <c r="M311" i="12"/>
  <c r="K312" i="12"/>
  <c r="K313" i="12"/>
  <c r="K314" i="12"/>
  <c r="K316" i="12"/>
  <c r="F430" i="23"/>
  <c r="M316" i="12"/>
  <c r="I430" i="23"/>
  <c r="J430" i="23"/>
  <c r="N316" i="12"/>
  <c r="I431" i="23"/>
  <c r="J431" i="23"/>
  <c r="N317" i="12"/>
  <c r="I432" i="23"/>
  <c r="J432" i="23"/>
  <c r="N318" i="12"/>
  <c r="I433" i="23"/>
  <c r="J433" i="23"/>
  <c r="N319" i="12"/>
  <c r="D103" i="9"/>
  <c r="D104" i="9"/>
  <c r="D107" i="9"/>
  <c r="D108" i="9"/>
  <c r="D109" i="9"/>
  <c r="D110" i="9"/>
  <c r="D111" i="9"/>
  <c r="D112" i="9"/>
  <c r="D113" i="9"/>
  <c r="D115" i="9"/>
  <c r="M434" i="23"/>
  <c r="I434" i="23"/>
  <c r="J434" i="23"/>
  <c r="N320" i="12"/>
  <c r="M435" i="23"/>
  <c r="I435" i="23"/>
  <c r="J435" i="23"/>
  <c r="N321" i="12"/>
  <c r="M436" i="23"/>
  <c r="I436" i="23"/>
  <c r="J436" i="23"/>
  <c r="N322" i="12"/>
  <c r="AD104" i="9"/>
  <c r="AD108" i="9"/>
  <c r="AD111" i="9"/>
  <c r="M438" i="23"/>
  <c r="I438" i="23"/>
  <c r="AD109" i="9"/>
  <c r="AD110" i="9"/>
  <c r="M439" i="23"/>
  <c r="I439" i="23"/>
  <c r="AD106" i="9"/>
  <c r="M440" i="23"/>
  <c r="I440" i="23"/>
  <c r="AD105" i="9"/>
  <c r="M441" i="23"/>
  <c r="I441" i="23"/>
  <c r="J437" i="23"/>
  <c r="N323" i="12"/>
  <c r="N315" i="12"/>
  <c r="K317" i="12"/>
  <c r="F431" i="23"/>
  <c r="M317" i="12"/>
  <c r="K318" i="12"/>
  <c r="F432" i="23"/>
  <c r="M318" i="12"/>
  <c r="K319" i="12"/>
  <c r="F433" i="23"/>
  <c r="M319" i="12"/>
  <c r="K320" i="12"/>
  <c r="F434" i="23"/>
  <c r="M320" i="12"/>
  <c r="K321" i="12"/>
  <c r="F435" i="23"/>
  <c r="M321" i="12"/>
  <c r="K322" i="12"/>
  <c r="F436" i="23"/>
  <c r="M322" i="12"/>
  <c r="K323" i="12"/>
  <c r="E438" i="23"/>
  <c r="F438" i="23"/>
  <c r="E439" i="23"/>
  <c r="F439" i="23"/>
  <c r="F437" i="23"/>
  <c r="M323" i="12"/>
  <c r="K324" i="12"/>
  <c r="K325" i="12"/>
  <c r="K326" i="12"/>
  <c r="K327" i="12"/>
  <c r="K328" i="12"/>
  <c r="K329" i="12"/>
  <c r="K330" i="12"/>
  <c r="K331" i="12"/>
  <c r="K333" i="12"/>
  <c r="K334" i="12"/>
  <c r="K339" i="12"/>
  <c r="F457" i="23"/>
  <c r="M339" i="12"/>
  <c r="I457" i="23"/>
  <c r="J457" i="23"/>
  <c r="N339" i="12"/>
  <c r="K340" i="12"/>
  <c r="F458" i="23"/>
  <c r="M340" i="12"/>
  <c r="M458" i="23"/>
  <c r="I458" i="23"/>
  <c r="J458" i="23"/>
  <c r="N340" i="12"/>
  <c r="K341" i="12"/>
  <c r="F459" i="23"/>
  <c r="M341" i="12"/>
  <c r="M459" i="23"/>
  <c r="I459" i="23"/>
  <c r="J459" i="23"/>
  <c r="N341" i="12"/>
  <c r="K342" i="12"/>
  <c r="F461" i="23"/>
  <c r="F462" i="23"/>
  <c r="F463" i="23"/>
  <c r="F460" i="23"/>
  <c r="M342" i="12"/>
  <c r="C140" i="9"/>
  <c r="M464" i="23"/>
  <c r="M461" i="23"/>
  <c r="L461" i="23"/>
  <c r="I461" i="23"/>
  <c r="J461" i="23"/>
  <c r="Z142" i="9"/>
  <c r="M462" i="23"/>
  <c r="L462" i="23"/>
  <c r="I462" i="23"/>
  <c r="J462" i="23"/>
  <c r="M463" i="23"/>
  <c r="L463" i="23"/>
  <c r="I463" i="23"/>
  <c r="J463" i="23"/>
  <c r="J460" i="23"/>
  <c r="N342" i="12"/>
  <c r="K343" i="12"/>
  <c r="F464" i="23"/>
  <c r="M343" i="12"/>
  <c r="I464" i="23"/>
  <c r="J464" i="23"/>
  <c r="N343" i="12"/>
  <c r="K344" i="12"/>
  <c r="F465" i="23"/>
  <c r="M344" i="12"/>
  <c r="M465" i="23"/>
  <c r="I465" i="23"/>
  <c r="J465" i="23"/>
  <c r="N344" i="12"/>
  <c r="K345" i="12"/>
  <c r="F466" i="23"/>
  <c r="M345" i="12"/>
  <c r="M466" i="23"/>
  <c r="I466" i="23"/>
  <c r="J466" i="23"/>
  <c r="N345" i="12"/>
  <c r="K346" i="12"/>
  <c r="F467" i="23"/>
  <c r="M346" i="12"/>
  <c r="M467" i="23"/>
  <c r="I467" i="23"/>
  <c r="J467" i="23"/>
  <c r="N346" i="12"/>
  <c r="K347" i="12"/>
  <c r="F469" i="23"/>
  <c r="E470" i="23"/>
  <c r="F470" i="23"/>
  <c r="E471" i="23"/>
  <c r="F471" i="23"/>
  <c r="E472" i="23"/>
  <c r="F472" i="23"/>
  <c r="E473" i="23"/>
  <c r="F473" i="23"/>
  <c r="E474" i="23"/>
  <c r="F474" i="23"/>
  <c r="E475" i="23"/>
  <c r="F475" i="23"/>
  <c r="E476" i="23"/>
  <c r="F476" i="23"/>
  <c r="F468" i="23"/>
  <c r="M347" i="12"/>
  <c r="AD141" i="9"/>
  <c r="AH141" i="9"/>
  <c r="AI141" i="9"/>
  <c r="M470" i="23"/>
  <c r="I470" i="23"/>
  <c r="AD143" i="9"/>
  <c r="AI143" i="9"/>
  <c r="M471" i="23"/>
  <c r="I471" i="23"/>
  <c r="AD144" i="9"/>
  <c r="AI144" i="9"/>
  <c r="M472" i="23"/>
  <c r="I472" i="23"/>
  <c r="AD145" i="9"/>
  <c r="AI145" i="9"/>
  <c r="M473" i="23"/>
  <c r="I473" i="23"/>
  <c r="AD146" i="9"/>
  <c r="AI146" i="9"/>
  <c r="M474" i="23"/>
  <c r="I474" i="23"/>
  <c r="AD150" i="9"/>
  <c r="AI150" i="9"/>
  <c r="M475" i="23"/>
  <c r="I475" i="23"/>
  <c r="AD151" i="9"/>
  <c r="AI151" i="9"/>
  <c r="M476" i="23"/>
  <c r="I476" i="23"/>
  <c r="M469" i="23"/>
  <c r="L469" i="23"/>
  <c r="I469" i="23"/>
  <c r="J469" i="23"/>
  <c r="J468" i="23"/>
  <c r="N347" i="12"/>
  <c r="K348" i="12"/>
  <c r="M348" i="12"/>
  <c r="N348" i="12"/>
  <c r="K349" i="12"/>
  <c r="E481" i="23"/>
  <c r="F481" i="23"/>
  <c r="E482" i="23"/>
  <c r="F482" i="23"/>
  <c r="E483" i="23"/>
  <c r="F483" i="23"/>
  <c r="F480" i="23"/>
  <c r="M349" i="12"/>
  <c r="AD138" i="9"/>
  <c r="AD168" i="9"/>
  <c r="C143" i="9"/>
  <c r="AH168" i="9"/>
  <c r="AH138" i="9"/>
  <c r="AI138" i="9"/>
  <c r="M481" i="23"/>
  <c r="I481" i="23"/>
  <c r="AD139" i="9"/>
  <c r="AH139" i="9"/>
  <c r="AI139" i="9"/>
  <c r="M482" i="23"/>
  <c r="I482" i="23"/>
  <c r="AD140" i="9"/>
  <c r="AH140" i="9"/>
  <c r="AI140" i="9"/>
  <c r="M483" i="23"/>
  <c r="I483" i="23"/>
  <c r="J480" i="23"/>
  <c r="N349" i="12"/>
  <c r="K350" i="12"/>
  <c r="F484" i="23"/>
  <c r="M350" i="12"/>
  <c r="C378" i="9"/>
  <c r="AD169" i="9"/>
  <c r="C401" i="9"/>
  <c r="M484" i="23"/>
  <c r="I484" i="23"/>
  <c r="J484" i="23"/>
  <c r="N350" i="12"/>
  <c r="K351" i="12"/>
  <c r="F485" i="23"/>
  <c r="M351" i="12"/>
  <c r="M485" i="23"/>
  <c r="I485" i="23"/>
  <c r="J485" i="23"/>
  <c r="N351" i="12"/>
  <c r="K352" i="12"/>
  <c r="E487" i="23"/>
  <c r="F487" i="23"/>
  <c r="E488" i="23"/>
  <c r="F488" i="23"/>
  <c r="E489" i="23"/>
  <c r="F489" i="23"/>
  <c r="E490" i="23"/>
  <c r="F490" i="23"/>
  <c r="E491" i="23"/>
  <c r="F491" i="23"/>
  <c r="E492" i="23"/>
  <c r="F492" i="23"/>
  <c r="F486" i="23"/>
  <c r="M352" i="12"/>
  <c r="C359" i="9"/>
  <c r="AI168" i="9"/>
  <c r="AD171" i="9"/>
  <c r="AH171" i="9"/>
  <c r="AI171" i="9"/>
  <c r="M487" i="23"/>
  <c r="I487" i="23"/>
  <c r="I488" i="23"/>
  <c r="I489" i="23"/>
  <c r="AD160" i="9"/>
  <c r="AI160" i="9"/>
  <c r="AI169" i="9"/>
  <c r="AI172" i="9"/>
  <c r="M490" i="23"/>
  <c r="I490" i="23"/>
  <c r="AD201" i="9"/>
  <c r="AI201" i="9"/>
  <c r="AD202" i="9"/>
  <c r="AI202" i="9"/>
  <c r="M491" i="23"/>
  <c r="I491" i="23"/>
  <c r="AD203" i="9"/>
  <c r="AI203" i="9"/>
  <c r="M492" i="23"/>
  <c r="I492" i="23"/>
  <c r="J486" i="23"/>
  <c r="N352" i="12"/>
  <c r="K353" i="12"/>
  <c r="F493" i="23"/>
  <c r="M353" i="12"/>
  <c r="M493" i="23"/>
  <c r="I493" i="23"/>
  <c r="J493" i="23"/>
  <c r="N353" i="12"/>
  <c r="K354" i="12"/>
  <c r="F494" i="23"/>
  <c r="M354" i="12"/>
  <c r="M494" i="23"/>
  <c r="I494" i="23"/>
  <c r="J494" i="23"/>
  <c r="N354" i="12"/>
  <c r="K355" i="12"/>
  <c r="F495" i="23"/>
  <c r="M355" i="12"/>
  <c r="M495" i="23"/>
  <c r="I495" i="23"/>
  <c r="J495" i="23"/>
  <c r="N355" i="12"/>
  <c r="K356" i="12"/>
  <c r="F496" i="23"/>
  <c r="M356" i="12"/>
  <c r="M496" i="23"/>
  <c r="I496" i="23"/>
  <c r="J496" i="23"/>
  <c r="N356" i="12"/>
  <c r="K357" i="12"/>
  <c r="F497" i="23"/>
  <c r="M357" i="12"/>
  <c r="I497" i="23"/>
  <c r="J497" i="23"/>
  <c r="N357" i="12"/>
  <c r="K358" i="12"/>
  <c r="E499" i="23"/>
  <c r="F499" i="23"/>
  <c r="E500" i="23"/>
  <c r="F500" i="23"/>
  <c r="F498" i="23"/>
  <c r="M358" i="12"/>
  <c r="M499" i="23"/>
  <c r="I499" i="23"/>
  <c r="M500" i="23"/>
  <c r="I500" i="23"/>
  <c r="J498" i="23"/>
  <c r="N358" i="12"/>
  <c r="K359" i="12"/>
  <c r="F501" i="23"/>
  <c r="M359" i="12"/>
  <c r="I501" i="23"/>
  <c r="J501" i="23"/>
  <c r="N359" i="12"/>
  <c r="K360" i="12"/>
  <c r="F502" i="23"/>
  <c r="M360" i="12"/>
  <c r="I502" i="23"/>
  <c r="J502" i="23"/>
  <c r="N360" i="12"/>
  <c r="K361" i="12"/>
  <c r="F503" i="23"/>
  <c r="M361" i="12"/>
  <c r="C142" i="9"/>
  <c r="M503" i="23"/>
  <c r="I503" i="23"/>
  <c r="J503" i="23"/>
  <c r="N361" i="12"/>
  <c r="K362" i="12"/>
  <c r="F504" i="23"/>
  <c r="M362" i="12"/>
  <c r="M504" i="23"/>
  <c r="I504" i="23"/>
  <c r="J504" i="23"/>
  <c r="N362" i="12"/>
  <c r="K363" i="12"/>
  <c r="F506" i="23"/>
  <c r="F505" i="23"/>
  <c r="M363" i="12"/>
  <c r="Z152" i="9"/>
  <c r="D155" i="9"/>
  <c r="M506" i="23"/>
  <c r="C145" i="9"/>
  <c r="L506" i="23"/>
  <c r="I506" i="23"/>
  <c r="J506" i="23"/>
  <c r="M507" i="23"/>
  <c r="I507" i="23"/>
  <c r="J507" i="23"/>
  <c r="M508" i="23"/>
  <c r="I508" i="23"/>
  <c r="J508" i="23"/>
  <c r="J505" i="23"/>
  <c r="N363" i="12"/>
  <c r="K364" i="12"/>
  <c r="F509" i="23"/>
  <c r="M364" i="12"/>
  <c r="Z155" i="9"/>
  <c r="D158" i="9"/>
  <c r="J23" i="9"/>
  <c r="Z148" i="9"/>
  <c r="D153" i="9"/>
  <c r="M538" i="23"/>
  <c r="AD163" i="9"/>
  <c r="AI163" i="9"/>
  <c r="AD164" i="9"/>
  <c r="AI164" i="9"/>
  <c r="M645" i="23"/>
  <c r="AD165" i="9"/>
  <c r="AI165" i="9"/>
  <c r="M646" i="23"/>
  <c r="AD166" i="9"/>
  <c r="AI166" i="9"/>
  <c r="M647" i="23"/>
  <c r="M509" i="23"/>
  <c r="L509" i="23"/>
  <c r="I509" i="23"/>
  <c r="J509" i="23"/>
  <c r="N364" i="12"/>
  <c r="K365" i="12"/>
  <c r="F510" i="23"/>
  <c r="M365" i="12"/>
  <c r="M510" i="23"/>
  <c r="L510" i="23"/>
  <c r="I510" i="23"/>
  <c r="J510" i="23"/>
  <c r="N365" i="12"/>
  <c r="K366" i="12"/>
  <c r="F511" i="23"/>
  <c r="M366" i="12"/>
  <c r="I511" i="23"/>
  <c r="J511" i="23"/>
  <c r="N366" i="12"/>
  <c r="K367" i="12"/>
  <c r="F512" i="23"/>
  <c r="M367" i="12"/>
  <c r="M512" i="23"/>
  <c r="I512" i="23"/>
  <c r="J512" i="23"/>
  <c r="N367" i="12"/>
  <c r="K368" i="12"/>
  <c r="F513" i="23"/>
  <c r="M368" i="12"/>
  <c r="M513" i="23"/>
  <c r="I513" i="23"/>
  <c r="J513" i="23"/>
  <c r="N368" i="12"/>
  <c r="K369" i="12"/>
  <c r="K370" i="12"/>
  <c r="F516" i="23"/>
  <c r="F517" i="23"/>
  <c r="F518" i="23"/>
  <c r="F519" i="23"/>
  <c r="F515" i="23"/>
  <c r="M370" i="12"/>
  <c r="M516" i="23"/>
  <c r="I516" i="23"/>
  <c r="J516" i="23"/>
  <c r="AD200" i="9"/>
  <c r="AI200" i="9"/>
  <c r="M517" i="23"/>
  <c r="I517" i="23"/>
  <c r="J517" i="23"/>
  <c r="M518" i="23"/>
  <c r="I518" i="23"/>
  <c r="J518" i="23"/>
  <c r="M519" i="23"/>
  <c r="I519" i="23"/>
  <c r="J519" i="23"/>
  <c r="J515" i="23"/>
  <c r="N370" i="12"/>
  <c r="K371" i="12"/>
  <c r="K372" i="12"/>
  <c r="K373" i="12"/>
  <c r="K374" i="12"/>
  <c r="K375" i="12"/>
  <c r="K376" i="12"/>
  <c r="K377" i="12"/>
  <c r="K378" i="12"/>
  <c r="K380" i="12"/>
  <c r="F529" i="23"/>
  <c r="M380" i="12"/>
  <c r="AD157" i="9"/>
  <c r="AI157" i="9"/>
  <c r="AD159" i="9"/>
  <c r="AI159" i="9"/>
  <c r="AD161" i="9"/>
  <c r="AI161" i="9"/>
  <c r="AD162" i="9"/>
  <c r="AI162" i="9"/>
  <c r="AI155" i="9"/>
  <c r="M529" i="23"/>
  <c r="I529" i="23"/>
  <c r="J529" i="23"/>
  <c r="N380" i="12"/>
  <c r="M530" i="23"/>
  <c r="C144" i="9"/>
  <c r="L531" i="23"/>
  <c r="I530" i="23"/>
  <c r="J530" i="23"/>
  <c r="N381" i="12"/>
  <c r="M531" i="23"/>
  <c r="I531" i="23"/>
  <c r="J531" i="23"/>
  <c r="N382" i="12"/>
  <c r="M532" i="23"/>
  <c r="I532" i="23"/>
  <c r="J532" i="23"/>
  <c r="N383" i="12"/>
  <c r="I533" i="23"/>
  <c r="J533" i="23"/>
  <c r="N384" i="12"/>
  <c r="I534" i="23"/>
  <c r="J534" i="23"/>
  <c r="N385" i="12"/>
  <c r="I535" i="23"/>
  <c r="J535" i="23"/>
  <c r="N386" i="12"/>
  <c r="I536" i="23"/>
  <c r="J536" i="23"/>
  <c r="N387" i="12"/>
  <c r="I537" i="23"/>
  <c r="J537" i="23"/>
  <c r="N388" i="12"/>
  <c r="I538" i="23"/>
  <c r="J538" i="23"/>
  <c r="N389" i="12"/>
  <c r="I539" i="23"/>
  <c r="J539" i="23"/>
  <c r="N390" i="12"/>
  <c r="I540" i="23"/>
  <c r="J540" i="23"/>
  <c r="N391" i="12"/>
  <c r="M541" i="23"/>
  <c r="I541" i="23"/>
  <c r="J541" i="23"/>
  <c r="N392" i="12"/>
  <c r="N379" i="12"/>
  <c r="K381" i="12"/>
  <c r="F530" i="23"/>
  <c r="M381" i="12"/>
  <c r="K382" i="12"/>
  <c r="F531" i="23"/>
  <c r="M382" i="12"/>
  <c r="K383" i="12"/>
  <c r="F532" i="23"/>
  <c r="M383" i="12"/>
  <c r="K384" i="12"/>
  <c r="F533" i="23"/>
  <c r="M384" i="12"/>
  <c r="K385" i="12"/>
  <c r="F534" i="23"/>
  <c r="M385" i="12"/>
  <c r="K386" i="12"/>
  <c r="F535" i="23"/>
  <c r="M386" i="12"/>
  <c r="K387" i="12"/>
  <c r="F536" i="23"/>
  <c r="M387" i="12"/>
  <c r="K388" i="12"/>
  <c r="F537" i="23"/>
  <c r="M388" i="12"/>
  <c r="K389" i="12"/>
  <c r="F538" i="23"/>
  <c r="M389" i="12"/>
  <c r="K390" i="12"/>
  <c r="F539" i="23"/>
  <c r="M390" i="12"/>
  <c r="K391" i="12"/>
  <c r="F540" i="23"/>
  <c r="M391" i="12"/>
  <c r="K392" i="12"/>
  <c r="F541" i="23"/>
  <c r="M392" i="12"/>
  <c r="K393" i="12"/>
  <c r="K394" i="12"/>
  <c r="K395" i="12"/>
  <c r="K396" i="12"/>
  <c r="K397" i="12"/>
  <c r="K398" i="12"/>
  <c r="K399" i="12"/>
  <c r="K400" i="12"/>
  <c r="K402" i="12"/>
  <c r="F551" i="23"/>
  <c r="M402" i="12"/>
  <c r="I551" i="23"/>
  <c r="J551" i="23"/>
  <c r="N402" i="12"/>
  <c r="Z153" i="9"/>
  <c r="D156" i="9"/>
  <c r="M552" i="23"/>
  <c r="I552" i="23"/>
  <c r="J552" i="23"/>
  <c r="N403" i="12"/>
  <c r="M553" i="23"/>
  <c r="I553" i="23"/>
  <c r="J553" i="23"/>
  <c r="N404" i="12"/>
  <c r="M554" i="23"/>
  <c r="I554" i="23"/>
  <c r="J554" i="23"/>
  <c r="N405" i="12"/>
  <c r="AA154" i="9"/>
  <c r="E65" i="21"/>
  <c r="AB154" i="9"/>
  <c r="AC154" i="9"/>
  <c r="M555" i="23"/>
  <c r="I555" i="23"/>
  <c r="J555" i="23"/>
  <c r="N406" i="12"/>
  <c r="N401" i="12"/>
  <c r="K403" i="12"/>
  <c r="F552" i="23"/>
  <c r="M403" i="12"/>
  <c r="K404" i="12"/>
  <c r="F553" i="23"/>
  <c r="M404" i="12"/>
  <c r="K405" i="12"/>
  <c r="F554" i="23"/>
  <c r="M405" i="12"/>
  <c r="K406" i="12"/>
  <c r="F555" i="23"/>
  <c r="M406" i="12"/>
  <c r="K407" i="12"/>
  <c r="K408" i="12"/>
  <c r="K409" i="12"/>
  <c r="K410" i="12"/>
  <c r="K411" i="12"/>
  <c r="K412" i="12"/>
  <c r="K413" i="12"/>
  <c r="K414" i="12"/>
  <c r="K416" i="12"/>
  <c r="F565" i="23"/>
  <c r="M416" i="12"/>
  <c r="M565" i="23"/>
  <c r="I565" i="23"/>
  <c r="J565" i="23"/>
  <c r="N416" i="12"/>
  <c r="K417" i="12"/>
  <c r="F566" i="23"/>
  <c r="M417" i="12"/>
  <c r="Z173" i="9"/>
  <c r="Z175" i="9"/>
  <c r="Z178" i="9"/>
  <c r="Z180" i="9"/>
  <c r="Z147" i="9"/>
  <c r="Z170" i="9"/>
  <c r="Z174" i="9"/>
  <c r="Z176" i="9"/>
  <c r="Z177" i="9"/>
  <c r="Z179" i="9"/>
  <c r="Z181" i="9"/>
  <c r="Z182" i="9"/>
  <c r="Z183" i="9"/>
  <c r="Z184" i="9"/>
  <c r="Z185" i="9"/>
  <c r="Z186" i="9"/>
  <c r="Z187" i="9"/>
  <c r="D163" i="9"/>
  <c r="D164" i="9"/>
  <c r="M566" i="23"/>
  <c r="I566" i="23"/>
  <c r="J566" i="23"/>
  <c r="N417" i="12"/>
  <c r="M568" i="23"/>
  <c r="I568" i="23"/>
  <c r="M569" i="23"/>
  <c r="I569" i="23"/>
  <c r="D159" i="9"/>
  <c r="M570" i="23"/>
  <c r="I570" i="23"/>
  <c r="D196" i="9"/>
  <c r="M571" i="23"/>
  <c r="I571" i="23"/>
  <c r="M572" i="23"/>
  <c r="I572" i="23"/>
  <c r="M573" i="23"/>
  <c r="I573" i="23"/>
  <c r="Z224" i="9"/>
  <c r="D238" i="9"/>
  <c r="M574" i="23"/>
  <c r="I574" i="23"/>
  <c r="J567" i="23"/>
  <c r="N418" i="12"/>
  <c r="M576" i="23"/>
  <c r="I576" i="23"/>
  <c r="J576" i="23"/>
  <c r="M577" i="23"/>
  <c r="I577" i="23"/>
  <c r="J577" i="23"/>
  <c r="J575" i="23"/>
  <c r="N419" i="12"/>
  <c r="M581" i="23"/>
  <c r="I581" i="23"/>
  <c r="M582" i="23"/>
  <c r="I582" i="23"/>
  <c r="M583" i="23"/>
  <c r="I583" i="23"/>
  <c r="J580" i="23"/>
  <c r="N420" i="12"/>
  <c r="M615" i="23"/>
  <c r="I615" i="23"/>
  <c r="J615" i="23"/>
  <c r="M613" i="23"/>
  <c r="M616" i="23"/>
  <c r="I616" i="23"/>
  <c r="J616" i="23"/>
  <c r="J614" i="23"/>
  <c r="N421" i="12"/>
  <c r="P192" i="9"/>
  <c r="Q192" i="9"/>
  <c r="D182" i="9"/>
  <c r="M624" i="23"/>
  <c r="I624" i="23"/>
  <c r="J624" i="23"/>
  <c r="M625" i="23"/>
  <c r="I625" i="23"/>
  <c r="J625" i="23"/>
  <c r="M626" i="23"/>
  <c r="I626" i="23"/>
  <c r="J626" i="23"/>
  <c r="R192" i="9"/>
  <c r="D181" i="9"/>
  <c r="M627" i="23"/>
  <c r="I627" i="23"/>
  <c r="J627" i="23"/>
  <c r="J623" i="23"/>
  <c r="N422" i="12"/>
  <c r="M630" i="23"/>
  <c r="I630" i="23"/>
  <c r="J630" i="23"/>
  <c r="M631" i="23"/>
  <c r="I631" i="23"/>
  <c r="J631" i="23"/>
  <c r="J629" i="23"/>
  <c r="N423" i="12"/>
  <c r="I632" i="23"/>
  <c r="J632" i="23"/>
  <c r="N424" i="12"/>
  <c r="N415" i="12"/>
  <c r="K418" i="12"/>
  <c r="E568" i="23"/>
  <c r="F568" i="23"/>
  <c r="E569" i="23"/>
  <c r="F569" i="23"/>
  <c r="E570" i="23"/>
  <c r="F570" i="23"/>
  <c r="E571" i="23"/>
  <c r="F571" i="23"/>
  <c r="E572" i="23"/>
  <c r="F572" i="23"/>
  <c r="E573" i="23"/>
  <c r="F573" i="23"/>
  <c r="E574" i="23"/>
  <c r="F574" i="23"/>
  <c r="F567" i="23"/>
  <c r="M418" i="12"/>
  <c r="K419" i="12"/>
  <c r="F576" i="23"/>
  <c r="F577" i="23"/>
  <c r="F575" i="23"/>
  <c r="M419" i="12"/>
  <c r="K420" i="12"/>
  <c r="F580" i="23"/>
  <c r="M420" i="12"/>
  <c r="K421" i="12"/>
  <c r="F615" i="23"/>
  <c r="F616" i="23"/>
  <c r="F617" i="23"/>
  <c r="F618" i="23"/>
  <c r="F619" i="23"/>
  <c r="F620" i="23"/>
  <c r="C621" i="23"/>
  <c r="D621" i="23"/>
  <c r="E621" i="23"/>
  <c r="F621" i="23"/>
  <c r="C622" i="23"/>
  <c r="D622" i="23"/>
  <c r="E622" i="23"/>
  <c r="F622" i="23"/>
  <c r="F624" i="23"/>
  <c r="F625" i="23"/>
  <c r="F626" i="23"/>
  <c r="F627" i="23"/>
  <c r="F623" i="23"/>
  <c r="F614" i="23"/>
  <c r="M421" i="12"/>
  <c r="K422" i="12"/>
  <c r="M422" i="12"/>
  <c r="K423" i="12"/>
  <c r="F630" i="23"/>
  <c r="F631" i="23"/>
  <c r="F629" i="23"/>
  <c r="M423" i="12"/>
  <c r="K424" i="12"/>
  <c r="F632" i="23"/>
  <c r="M424" i="12"/>
  <c r="K425" i="12"/>
  <c r="K426" i="12"/>
  <c r="K427" i="12"/>
  <c r="K428" i="12"/>
  <c r="K429" i="12"/>
  <c r="K430" i="12"/>
  <c r="K431" i="12"/>
  <c r="K432" i="12"/>
  <c r="K434" i="12"/>
  <c r="F642" i="23"/>
  <c r="M434" i="12"/>
  <c r="I642" i="23"/>
  <c r="J642" i="23"/>
  <c r="N434" i="12"/>
  <c r="K435" i="12"/>
  <c r="F643" i="23"/>
  <c r="M435" i="12"/>
  <c r="D170" i="9"/>
  <c r="D171" i="9"/>
  <c r="D172" i="9"/>
  <c r="L643" i="23"/>
  <c r="M643" i="23"/>
  <c r="I643" i="23"/>
  <c r="J643" i="23"/>
  <c r="N435" i="12"/>
  <c r="K436" i="12"/>
  <c r="F644" i="23"/>
  <c r="M436" i="12"/>
  <c r="I645" i="23"/>
  <c r="I646" i="23"/>
  <c r="I647" i="23"/>
  <c r="AD167" i="9"/>
  <c r="AI167" i="9"/>
  <c r="M648" i="23"/>
  <c r="I648" i="23"/>
  <c r="J644" i="23"/>
  <c r="N436" i="12"/>
  <c r="M650" i="23"/>
  <c r="I650" i="23"/>
  <c r="M651" i="23"/>
  <c r="I651" i="23"/>
  <c r="J649" i="23"/>
  <c r="N437" i="12"/>
  <c r="I652" i="23"/>
  <c r="J652" i="23"/>
  <c r="N438" i="12"/>
  <c r="N433" i="12"/>
  <c r="K437" i="12"/>
  <c r="F649" i="23"/>
  <c r="M437" i="12"/>
  <c r="K438" i="12"/>
  <c r="F652" i="23"/>
  <c r="M438" i="12"/>
  <c r="K439" i="12"/>
  <c r="K440" i="12"/>
  <c r="K441" i="12"/>
  <c r="K442" i="12"/>
  <c r="K443" i="12"/>
  <c r="K444" i="12"/>
  <c r="K445" i="12"/>
  <c r="K446" i="12"/>
  <c r="K448" i="12"/>
  <c r="F662" i="23"/>
  <c r="M448" i="12"/>
  <c r="M662" i="23"/>
  <c r="I662" i="23"/>
  <c r="J662" i="23"/>
  <c r="N448" i="12"/>
  <c r="J20" i="9"/>
  <c r="J18" i="9"/>
  <c r="M663" i="23"/>
  <c r="I663" i="23"/>
  <c r="J663" i="23"/>
  <c r="N449" i="12"/>
  <c r="M664" i="23"/>
  <c r="I664" i="23"/>
  <c r="J664" i="23"/>
  <c r="N450" i="12"/>
  <c r="P199" i="9"/>
  <c r="D180" i="9"/>
  <c r="M665" i="23"/>
  <c r="I665" i="23"/>
  <c r="J665" i="23"/>
  <c r="N451" i="12"/>
  <c r="AD193" i="9"/>
  <c r="AI193" i="9"/>
  <c r="AD194" i="9"/>
  <c r="AI194" i="9"/>
  <c r="AD195" i="9"/>
  <c r="AI195" i="9"/>
  <c r="AD196" i="9"/>
  <c r="AI196" i="9"/>
  <c r="AD197" i="9"/>
  <c r="AI197" i="9"/>
  <c r="AD198" i="9"/>
  <c r="AI198" i="9"/>
  <c r="AD199" i="9"/>
  <c r="AI199" i="9"/>
  <c r="M667" i="23"/>
  <c r="I667" i="23"/>
  <c r="M668" i="23"/>
  <c r="I668" i="23"/>
  <c r="J666" i="23"/>
  <c r="N452" i="12"/>
  <c r="M670" i="23"/>
  <c r="I670" i="23"/>
  <c r="M671" i="23"/>
  <c r="I671" i="23"/>
  <c r="J669" i="23"/>
  <c r="N453" i="12"/>
  <c r="AD190" i="9"/>
  <c r="AI190" i="9"/>
  <c r="M673" i="23"/>
  <c r="I673" i="23"/>
  <c r="AD191" i="9"/>
  <c r="AI191" i="9"/>
  <c r="M674" i="23"/>
  <c r="I674" i="23"/>
  <c r="AD192" i="9"/>
  <c r="AI192" i="9"/>
  <c r="M675" i="23"/>
  <c r="I675" i="23"/>
  <c r="M676" i="23"/>
  <c r="I676" i="23"/>
  <c r="J672" i="23"/>
  <c r="N454" i="12"/>
  <c r="I677" i="23"/>
  <c r="J677" i="23"/>
  <c r="N455" i="12"/>
  <c r="M679" i="23"/>
  <c r="I679" i="23"/>
  <c r="J679" i="23"/>
  <c r="I680" i="23"/>
  <c r="J680" i="23"/>
  <c r="M681" i="23"/>
  <c r="I681" i="23"/>
  <c r="J681" i="23"/>
  <c r="M682" i="23"/>
  <c r="I682" i="23"/>
  <c r="J682" i="23"/>
  <c r="J678" i="23"/>
  <c r="N456" i="12"/>
  <c r="D185" i="9"/>
  <c r="M684" i="23"/>
  <c r="I684" i="23"/>
  <c r="J684" i="23"/>
  <c r="D183" i="9"/>
  <c r="M685" i="23"/>
  <c r="I685" i="23"/>
  <c r="J685" i="23"/>
  <c r="J683" i="23"/>
  <c r="N457" i="12"/>
  <c r="N447" i="12"/>
  <c r="K449" i="12"/>
  <c r="F663" i="23"/>
  <c r="M449" i="12"/>
  <c r="K450" i="12"/>
  <c r="F664" i="23"/>
  <c r="M450" i="12"/>
  <c r="K451" i="12"/>
  <c r="F665" i="23"/>
  <c r="M451" i="12"/>
  <c r="K452" i="12"/>
  <c r="F666" i="23"/>
  <c r="M452" i="12"/>
  <c r="K453" i="12"/>
  <c r="F669" i="23"/>
  <c r="M453" i="12"/>
  <c r="K454" i="12"/>
  <c r="F672" i="23"/>
  <c r="M454" i="12"/>
  <c r="K455" i="12"/>
  <c r="F677" i="23"/>
  <c r="M455" i="12"/>
  <c r="K456" i="12"/>
  <c r="F678" i="23"/>
  <c r="M456" i="12"/>
  <c r="K457" i="12"/>
  <c r="F684" i="23"/>
  <c r="F685" i="23"/>
  <c r="F683" i="23"/>
  <c r="M457" i="12"/>
  <c r="K458" i="12"/>
  <c r="H687" i="23"/>
  <c r="C687" i="23"/>
  <c r="D687" i="23"/>
  <c r="E687" i="23"/>
  <c r="F687" i="23"/>
  <c r="H688" i="23"/>
  <c r="C688" i="23"/>
  <c r="D688" i="23"/>
  <c r="E688" i="23"/>
  <c r="F688" i="23"/>
  <c r="F686" i="23"/>
  <c r="M458" i="12"/>
  <c r="K459" i="12"/>
  <c r="K460" i="12"/>
  <c r="K461" i="12"/>
  <c r="K462" i="12"/>
  <c r="K463" i="12"/>
  <c r="K464" i="12"/>
  <c r="K465" i="12"/>
  <c r="K466" i="12"/>
  <c r="K468" i="12"/>
  <c r="K469" i="12"/>
  <c r="K474" i="12"/>
  <c r="F705" i="23"/>
  <c r="F706" i="23"/>
  <c r="F704" i="23"/>
  <c r="M474" i="12"/>
  <c r="M705" i="23"/>
  <c r="C213" i="9"/>
  <c r="L705" i="23"/>
  <c r="I705" i="23"/>
  <c r="J705" i="23"/>
  <c r="M706" i="23"/>
  <c r="C214" i="9"/>
  <c r="L706" i="23"/>
  <c r="I706" i="23"/>
  <c r="J706" i="23"/>
  <c r="J704" i="23"/>
  <c r="N474" i="12"/>
  <c r="K475" i="12"/>
  <c r="F707" i="23"/>
  <c r="M475" i="12"/>
  <c r="M707" i="23"/>
  <c r="I707" i="23"/>
  <c r="J707" i="23"/>
  <c r="N475" i="12"/>
  <c r="K476" i="12"/>
  <c r="F708" i="23"/>
  <c r="M476" i="12"/>
  <c r="N476" i="12"/>
  <c r="K477" i="12"/>
  <c r="F709" i="23"/>
  <c r="M477" i="12"/>
  <c r="M709" i="23"/>
  <c r="I709" i="23"/>
  <c r="J709" i="23"/>
  <c r="N477" i="12"/>
  <c r="K478" i="12"/>
  <c r="H710" i="23"/>
  <c r="B710" i="23"/>
  <c r="C710" i="23"/>
  <c r="D710" i="23"/>
  <c r="E710" i="23"/>
  <c r="F710" i="23"/>
  <c r="M478" i="12"/>
  <c r="M710" i="23"/>
  <c r="I710" i="23"/>
  <c r="J710" i="23"/>
  <c r="N478" i="12"/>
  <c r="K479" i="12"/>
  <c r="F711" i="23"/>
  <c r="M479" i="12"/>
  <c r="M711" i="23"/>
  <c r="I711" i="23"/>
  <c r="C220" i="9"/>
  <c r="L711" i="23"/>
  <c r="J711" i="23"/>
  <c r="N479" i="12"/>
  <c r="K480" i="12"/>
  <c r="F712" i="23"/>
  <c r="M480" i="12"/>
  <c r="M713" i="23"/>
  <c r="I713" i="23"/>
  <c r="J713" i="23"/>
  <c r="D239" i="9"/>
  <c r="D240" i="9"/>
  <c r="Z229" i="9"/>
  <c r="Z230" i="9"/>
  <c r="D241" i="9"/>
  <c r="D242" i="9"/>
  <c r="D243" i="9"/>
  <c r="D244" i="9"/>
  <c r="Z235" i="9"/>
  <c r="D245" i="9"/>
  <c r="Z237" i="9"/>
  <c r="D246" i="9"/>
  <c r="Z225" i="9"/>
  <c r="D234" i="9"/>
  <c r="D233" i="9"/>
  <c r="D247" i="9"/>
  <c r="M714" i="23"/>
  <c r="I714" i="23"/>
  <c r="J714" i="23"/>
  <c r="M715" i="23"/>
  <c r="I715" i="23"/>
  <c r="J715" i="23"/>
  <c r="AD269" i="9"/>
  <c r="M716" i="23"/>
  <c r="I716" i="23"/>
  <c r="J716" i="23"/>
  <c r="M717" i="23"/>
  <c r="I717" i="23"/>
  <c r="J717" i="23"/>
  <c r="D280" i="9"/>
  <c r="M718" i="23"/>
  <c r="I718" i="23"/>
  <c r="J718" i="23"/>
  <c r="M719" i="23"/>
  <c r="I719" i="23"/>
  <c r="J719" i="23"/>
  <c r="AD270" i="9"/>
  <c r="AI270" i="9"/>
  <c r="AD272" i="9"/>
  <c r="AI272" i="9"/>
  <c r="M720" i="23"/>
  <c r="I720" i="23"/>
  <c r="J720" i="23"/>
  <c r="Z252" i="9"/>
  <c r="D262" i="9"/>
  <c r="M721" i="23"/>
  <c r="I721" i="23"/>
  <c r="J721" i="23"/>
  <c r="J712" i="23"/>
  <c r="N480" i="12"/>
  <c r="K481" i="12"/>
  <c r="F723" i="23"/>
  <c r="F724" i="23"/>
  <c r="F725" i="23"/>
  <c r="F722" i="23"/>
  <c r="M481" i="12"/>
  <c r="AD216" i="9"/>
  <c r="AI216" i="9"/>
  <c r="M723" i="23"/>
  <c r="L723" i="23"/>
  <c r="I723" i="23"/>
  <c r="J723" i="23"/>
  <c r="AD219" i="9"/>
  <c r="AI219" i="9"/>
  <c r="M724" i="23"/>
  <c r="I724" i="23"/>
  <c r="J724" i="23"/>
  <c r="AD217" i="9"/>
  <c r="AI217" i="9"/>
  <c r="M725" i="23"/>
  <c r="I725" i="23"/>
  <c r="J725" i="23"/>
  <c r="J722" i="23"/>
  <c r="N481" i="12"/>
  <c r="K482" i="12"/>
  <c r="F726" i="23"/>
  <c r="M482" i="12"/>
  <c r="M726" i="23"/>
  <c r="I726" i="23"/>
  <c r="J726" i="23"/>
  <c r="N482" i="12"/>
  <c r="K483" i="12"/>
  <c r="F727" i="23"/>
  <c r="M483" i="12"/>
  <c r="M727" i="23"/>
  <c r="I727" i="23"/>
  <c r="J727" i="23"/>
  <c r="N483" i="12"/>
  <c r="K484" i="12"/>
  <c r="F728" i="23"/>
  <c r="M484" i="12"/>
  <c r="M728" i="23"/>
  <c r="I728" i="23"/>
  <c r="J728" i="23"/>
  <c r="N484" i="12"/>
  <c r="K485" i="12"/>
  <c r="F729" i="23"/>
  <c r="M485" i="12"/>
  <c r="M729" i="23"/>
  <c r="L729" i="23"/>
  <c r="I729" i="23"/>
  <c r="J729" i="23"/>
  <c r="N485" i="12"/>
  <c r="K486" i="12"/>
  <c r="F730" i="23"/>
  <c r="M486" i="12"/>
  <c r="M730" i="23"/>
  <c r="I730" i="23"/>
  <c r="J730" i="23"/>
  <c r="N486" i="12"/>
  <c r="K487" i="12"/>
  <c r="F731" i="23"/>
  <c r="M487" i="12"/>
  <c r="M731" i="23"/>
  <c r="I731" i="23"/>
  <c r="J731" i="23"/>
  <c r="N487" i="12"/>
  <c r="K488" i="12"/>
  <c r="F733" i="23"/>
  <c r="F734" i="23"/>
  <c r="F735" i="23"/>
  <c r="F732" i="23"/>
  <c r="M488" i="12"/>
  <c r="Z243" i="9"/>
  <c r="D253" i="9"/>
  <c r="Z242" i="9"/>
  <c r="D252" i="9"/>
  <c r="Z260" i="9"/>
  <c r="D269" i="9"/>
  <c r="Z259" i="9"/>
  <c r="D268" i="9"/>
  <c r="Q241" i="9"/>
  <c r="M733" i="23"/>
  <c r="C229" i="9"/>
  <c r="L733" i="23"/>
  <c r="I733" i="23"/>
  <c r="J733" i="23"/>
  <c r="M734" i="23"/>
  <c r="L734" i="23"/>
  <c r="I734" i="23"/>
  <c r="J734" i="23"/>
  <c r="M735" i="23"/>
  <c r="L735" i="23"/>
  <c r="I735" i="23"/>
  <c r="J735" i="23"/>
  <c r="M736" i="23"/>
  <c r="L736" i="23"/>
  <c r="I736" i="23"/>
  <c r="J736" i="23"/>
  <c r="J732" i="23"/>
  <c r="N488" i="12"/>
  <c r="K489" i="12"/>
  <c r="F738" i="23"/>
  <c r="F739" i="23"/>
  <c r="F737" i="23"/>
  <c r="M489" i="12"/>
  <c r="M738" i="23"/>
  <c r="I738" i="23"/>
  <c r="J738" i="23"/>
  <c r="M739" i="23"/>
  <c r="I739" i="23"/>
  <c r="J739" i="23"/>
  <c r="J737" i="23"/>
  <c r="N489" i="12"/>
  <c r="K490" i="12"/>
  <c r="F740" i="23"/>
  <c r="M490" i="12"/>
  <c r="I740" i="23"/>
  <c r="J740" i="23"/>
  <c r="N490" i="12"/>
  <c r="K491" i="12"/>
  <c r="F741" i="23"/>
  <c r="M491" i="12"/>
  <c r="M741" i="23"/>
  <c r="I741" i="23"/>
  <c r="J741" i="23"/>
  <c r="N491" i="12"/>
  <c r="K492" i="12"/>
  <c r="K493" i="12"/>
  <c r="F743" i="23"/>
  <c r="M493" i="12"/>
  <c r="M743" i="23"/>
  <c r="I743" i="23"/>
  <c r="J743" i="23"/>
  <c r="N493" i="12"/>
  <c r="K494" i="12"/>
  <c r="K495" i="12"/>
  <c r="K496" i="12"/>
  <c r="K497" i="12"/>
  <c r="K498" i="12"/>
  <c r="K499" i="12"/>
  <c r="K500" i="12"/>
  <c r="K501" i="12"/>
  <c r="K503" i="12"/>
  <c r="F753" i="23"/>
  <c r="M503" i="12"/>
  <c r="I753" i="23"/>
  <c r="J753" i="23"/>
  <c r="N503" i="12"/>
  <c r="K504" i="12"/>
  <c r="F754" i="23"/>
  <c r="M504" i="12"/>
  <c r="M754" i="23"/>
  <c r="I754" i="23"/>
  <c r="J754" i="23"/>
  <c r="N504" i="12"/>
  <c r="K505" i="12"/>
  <c r="F755" i="23"/>
  <c r="M505" i="12"/>
  <c r="I755" i="23"/>
  <c r="J755" i="23"/>
  <c r="N505" i="12"/>
  <c r="I756" i="23"/>
  <c r="J756" i="23"/>
  <c r="N506" i="12"/>
  <c r="N507" i="12"/>
  <c r="M758" i="23"/>
  <c r="I758" i="23"/>
  <c r="J758" i="23"/>
  <c r="N508" i="12"/>
  <c r="N502" i="12"/>
  <c r="K506" i="12"/>
  <c r="F756" i="23"/>
  <c r="M506" i="12"/>
  <c r="K507" i="12"/>
  <c r="F757" i="23"/>
  <c r="M507" i="12"/>
  <c r="K508" i="12"/>
  <c r="F758" i="23"/>
  <c r="M508" i="12"/>
  <c r="K509" i="12"/>
  <c r="K510" i="12"/>
  <c r="K511" i="12"/>
  <c r="K512" i="12"/>
  <c r="K513" i="12"/>
  <c r="K514" i="12"/>
  <c r="K515" i="12"/>
  <c r="K516" i="12"/>
  <c r="D235" i="9"/>
  <c r="M768" i="23"/>
  <c r="I768" i="23"/>
  <c r="J768" i="23"/>
  <c r="N518" i="12"/>
  <c r="M770" i="23"/>
  <c r="C221" i="9"/>
  <c r="L770" i="23"/>
  <c r="I770" i="23"/>
  <c r="J770" i="23"/>
  <c r="M771" i="23"/>
  <c r="L771" i="23"/>
  <c r="I771" i="23"/>
  <c r="J771" i="23"/>
  <c r="M772" i="23"/>
  <c r="L772" i="23"/>
  <c r="I772" i="23"/>
  <c r="J772" i="23"/>
  <c r="J769" i="23"/>
  <c r="N519" i="12"/>
  <c r="M774" i="23"/>
  <c r="L774" i="23"/>
  <c r="I774" i="23"/>
  <c r="J774" i="23"/>
  <c r="M775" i="23"/>
  <c r="L775" i="23"/>
  <c r="I775" i="23"/>
  <c r="J775" i="23"/>
  <c r="J773" i="23"/>
  <c r="N520" i="12"/>
  <c r="M777" i="23"/>
  <c r="L777" i="23"/>
  <c r="I777" i="23"/>
  <c r="J777" i="23"/>
  <c r="M778" i="23"/>
  <c r="L778" i="23"/>
  <c r="I778" i="23"/>
  <c r="J778" i="23"/>
  <c r="J776" i="23"/>
  <c r="N521" i="12"/>
  <c r="M779" i="23"/>
  <c r="C223" i="9"/>
  <c r="L779" i="23"/>
  <c r="I779" i="23"/>
  <c r="J779" i="23"/>
  <c r="N522" i="12"/>
  <c r="AD220" i="9"/>
  <c r="AI220" i="9"/>
  <c r="M781" i="23"/>
  <c r="I781" i="23"/>
  <c r="J781" i="23"/>
  <c r="M782" i="23"/>
  <c r="I782" i="23"/>
  <c r="J782" i="23"/>
  <c r="J780" i="23"/>
  <c r="N523" i="12"/>
  <c r="M783" i="23"/>
  <c r="I783" i="23"/>
  <c r="J783" i="23"/>
  <c r="N524" i="12"/>
  <c r="M784" i="23"/>
  <c r="I784" i="23"/>
  <c r="J784" i="23"/>
  <c r="N525" i="12"/>
  <c r="N517" i="12"/>
  <c r="K518" i="12"/>
  <c r="F768" i="23"/>
  <c r="M518" i="12"/>
  <c r="K519" i="12"/>
  <c r="F770" i="23"/>
  <c r="F771" i="23"/>
  <c r="F772" i="23"/>
  <c r="F769" i="23"/>
  <c r="M519" i="12"/>
  <c r="K520" i="12"/>
  <c r="F774" i="23"/>
  <c r="F775" i="23"/>
  <c r="F773" i="23"/>
  <c r="M520" i="12"/>
  <c r="K521" i="12"/>
  <c r="F777" i="23"/>
  <c r="F778" i="23"/>
  <c r="F776" i="23"/>
  <c r="M521" i="12"/>
  <c r="K522" i="12"/>
  <c r="F779" i="23"/>
  <c r="M522" i="12"/>
  <c r="K523" i="12"/>
  <c r="F781" i="23"/>
  <c r="F782" i="23"/>
  <c r="F780" i="23"/>
  <c r="M523" i="12"/>
  <c r="K524" i="12"/>
  <c r="F783" i="23"/>
  <c r="M524" i="12"/>
  <c r="K525" i="12"/>
  <c r="F784" i="23"/>
  <c r="M525" i="12"/>
  <c r="K526" i="12"/>
  <c r="K527" i="12"/>
  <c r="K528" i="12"/>
  <c r="K529" i="12"/>
  <c r="K530" i="12"/>
  <c r="K531" i="12"/>
  <c r="K532" i="12"/>
  <c r="K533" i="12"/>
  <c r="K535" i="12"/>
  <c r="F794" i="23"/>
  <c r="M535" i="12"/>
  <c r="D237" i="9"/>
  <c r="D259" i="9"/>
  <c r="D275" i="9"/>
  <c r="M794" i="23"/>
  <c r="I794" i="23"/>
  <c r="J794" i="23"/>
  <c r="N535" i="12"/>
  <c r="E254" i="9"/>
  <c r="M795" i="23"/>
  <c r="I795" i="23"/>
  <c r="J795" i="23"/>
  <c r="N536" i="12"/>
  <c r="M796" i="23"/>
  <c r="I796" i="23"/>
  <c r="J796" i="23"/>
  <c r="N537" i="12"/>
  <c r="AD221" i="9"/>
  <c r="AI221" i="9"/>
  <c r="M798" i="23"/>
  <c r="I798" i="23"/>
  <c r="AD222" i="9"/>
  <c r="AI222" i="9"/>
  <c r="M799" i="23"/>
  <c r="I799" i="23"/>
  <c r="AD223" i="9"/>
  <c r="AI223" i="9"/>
  <c r="M800" i="23"/>
  <c r="I800" i="23"/>
  <c r="J797" i="23"/>
  <c r="N538" i="12"/>
  <c r="M801" i="23"/>
  <c r="I801" i="23"/>
  <c r="J801" i="23"/>
  <c r="N539" i="12"/>
  <c r="N534" i="12"/>
  <c r="K536" i="12"/>
  <c r="F795" i="23"/>
  <c r="M536" i="12"/>
  <c r="K537" i="12"/>
  <c r="F796" i="23"/>
  <c r="M537" i="12"/>
  <c r="K538" i="12"/>
  <c r="E798" i="23"/>
  <c r="F798" i="23"/>
  <c r="E799" i="23"/>
  <c r="F799" i="23"/>
  <c r="E800" i="23"/>
  <c r="F800" i="23"/>
  <c r="F797" i="23"/>
  <c r="M538" i="12"/>
  <c r="K539" i="12"/>
  <c r="F801" i="23"/>
  <c r="M539" i="12"/>
  <c r="K540" i="12"/>
  <c r="K541" i="12"/>
  <c r="K542" i="12"/>
  <c r="K543" i="12"/>
  <c r="K544" i="12"/>
  <c r="K545" i="12"/>
  <c r="K546" i="12"/>
  <c r="K547" i="12"/>
  <c r="M811" i="23"/>
  <c r="I811" i="23"/>
  <c r="J811" i="23"/>
  <c r="N549" i="12"/>
  <c r="AD236" i="9"/>
  <c r="AD251" i="9"/>
  <c r="AD273" i="9"/>
  <c r="M812" i="23"/>
  <c r="I812" i="23"/>
  <c r="J812" i="23"/>
  <c r="N550" i="12"/>
  <c r="AD226" i="9"/>
  <c r="AI226" i="9"/>
  <c r="M814" i="23"/>
  <c r="I814" i="23"/>
  <c r="AD227" i="9"/>
  <c r="AI227" i="9"/>
  <c r="M815" i="23"/>
  <c r="I815" i="23"/>
  <c r="AD228" i="9"/>
  <c r="AI228" i="9"/>
  <c r="M816" i="23"/>
  <c r="I816" i="23"/>
  <c r="AD241" i="9"/>
  <c r="AI241" i="9"/>
  <c r="M817" i="23"/>
  <c r="I817" i="23"/>
  <c r="AD257" i="9"/>
  <c r="AI257" i="9"/>
  <c r="M818" i="23"/>
  <c r="I818" i="23"/>
  <c r="AD240" i="9"/>
  <c r="AI240" i="9"/>
  <c r="M819" i="23"/>
  <c r="I819" i="23"/>
  <c r="M820" i="23"/>
  <c r="I820" i="23"/>
  <c r="AD245" i="9"/>
  <c r="AH245" i="9"/>
  <c r="AI245" i="9"/>
  <c r="M821" i="23"/>
  <c r="I821" i="23"/>
  <c r="AD244" i="9"/>
  <c r="AH244" i="9"/>
  <c r="AI244" i="9"/>
  <c r="M822" i="23"/>
  <c r="I822" i="23"/>
  <c r="AD262" i="9"/>
  <c r="AH262" i="9"/>
  <c r="AI262" i="9"/>
  <c r="M823" i="23"/>
  <c r="I823" i="23"/>
  <c r="AD261" i="9"/>
  <c r="AH261" i="9"/>
  <c r="AI261" i="9"/>
  <c r="M824" i="23"/>
  <c r="I824" i="23"/>
  <c r="AD232" i="9"/>
  <c r="AI232" i="9"/>
  <c r="M825" i="23"/>
  <c r="I825" i="23"/>
  <c r="AD231" i="9"/>
  <c r="AI231" i="9"/>
  <c r="M826" i="23"/>
  <c r="I826" i="23"/>
  <c r="J813" i="23"/>
  <c r="N551" i="12"/>
  <c r="M828" i="23"/>
  <c r="I828" i="23"/>
  <c r="M829" i="23"/>
  <c r="I829" i="23"/>
  <c r="M830" i="23"/>
  <c r="I830" i="23"/>
  <c r="M831" i="23"/>
  <c r="I831" i="23"/>
  <c r="M832" i="23"/>
  <c r="I832" i="23"/>
  <c r="J827" i="23"/>
  <c r="N552" i="12"/>
  <c r="M833" i="23"/>
  <c r="I833" i="23"/>
  <c r="J833" i="23"/>
  <c r="N553" i="12"/>
  <c r="J834" i="23"/>
  <c r="N554" i="12"/>
  <c r="N548" i="12"/>
  <c r="K549" i="12"/>
  <c r="F811" i="23"/>
  <c r="M549" i="12"/>
  <c r="K550" i="12"/>
  <c r="F812" i="23"/>
  <c r="M550" i="12"/>
  <c r="K551" i="12"/>
  <c r="E814" i="23"/>
  <c r="F814" i="23"/>
  <c r="E815" i="23"/>
  <c r="F815" i="23"/>
  <c r="E816" i="23"/>
  <c r="F816" i="23"/>
  <c r="E817" i="23"/>
  <c r="F817" i="23"/>
  <c r="E818" i="23"/>
  <c r="F818" i="23"/>
  <c r="E819" i="23"/>
  <c r="F819" i="23"/>
  <c r="E820" i="23"/>
  <c r="F820" i="23"/>
  <c r="E821" i="23"/>
  <c r="F821" i="23"/>
  <c r="E822" i="23"/>
  <c r="F822" i="23"/>
  <c r="E823" i="23"/>
  <c r="F823" i="23"/>
  <c r="E824" i="23"/>
  <c r="F824" i="23"/>
  <c r="E825" i="23"/>
  <c r="F825" i="23"/>
  <c r="E826" i="23"/>
  <c r="F826" i="23"/>
  <c r="F813" i="23"/>
  <c r="M551" i="12"/>
  <c r="K552" i="12"/>
  <c r="E828" i="23"/>
  <c r="F828" i="23"/>
  <c r="E829" i="23"/>
  <c r="F829" i="23"/>
  <c r="E830" i="23"/>
  <c r="F830" i="23"/>
  <c r="E831" i="23"/>
  <c r="F831" i="23"/>
  <c r="E832" i="23"/>
  <c r="F832" i="23"/>
  <c r="F827" i="23"/>
  <c r="M552" i="12"/>
  <c r="K553" i="12"/>
  <c r="F833" i="23"/>
  <c r="M553" i="12"/>
  <c r="K554" i="12"/>
  <c r="E835" i="23"/>
  <c r="F835" i="23"/>
  <c r="E836" i="23"/>
  <c r="F836" i="23"/>
  <c r="E837" i="23"/>
  <c r="F837" i="23"/>
  <c r="E838" i="23"/>
  <c r="F838" i="23"/>
  <c r="E839" i="23"/>
  <c r="F839" i="23"/>
  <c r="E840" i="23"/>
  <c r="F840" i="23"/>
  <c r="E841" i="23"/>
  <c r="F841" i="23"/>
  <c r="E842" i="23"/>
  <c r="F842" i="23"/>
  <c r="F843" i="23"/>
  <c r="F844" i="23"/>
  <c r="F834" i="23"/>
  <c r="M554" i="12"/>
  <c r="K555" i="12"/>
  <c r="K556" i="12"/>
  <c r="K557" i="12"/>
  <c r="K558" i="12"/>
  <c r="K559" i="12"/>
  <c r="K560" i="12"/>
  <c r="K561" i="12"/>
  <c r="K562" i="12"/>
  <c r="K564" i="12"/>
  <c r="K565" i="12"/>
  <c r="K570" i="12"/>
  <c r="F860" i="23"/>
  <c r="M570" i="12"/>
  <c r="M860" i="23"/>
  <c r="C292" i="9"/>
  <c r="L860" i="23"/>
  <c r="I860" i="23"/>
  <c r="J860" i="23"/>
  <c r="N570" i="12"/>
  <c r="K571" i="12"/>
  <c r="F861" i="23"/>
  <c r="M571" i="12"/>
  <c r="M861" i="23"/>
  <c r="C296" i="9"/>
  <c r="L861" i="23"/>
  <c r="I861" i="23"/>
  <c r="J861" i="23"/>
  <c r="N571" i="12"/>
  <c r="K572" i="12"/>
  <c r="D862" i="23"/>
  <c r="F862" i="23"/>
  <c r="M572" i="12"/>
  <c r="D316" i="9"/>
  <c r="M863" i="23"/>
  <c r="I863" i="23"/>
  <c r="D331" i="9"/>
  <c r="M864" i="23"/>
  <c r="I864" i="23"/>
  <c r="M865" i="23"/>
  <c r="I865" i="23"/>
  <c r="M866" i="23"/>
  <c r="I866" i="23"/>
  <c r="M867" i="23"/>
  <c r="I867" i="23"/>
  <c r="J862" i="23"/>
  <c r="N572" i="12"/>
  <c r="K573" i="12"/>
  <c r="F868" i="23"/>
  <c r="M573" i="12"/>
  <c r="AD293" i="9"/>
  <c r="AD298" i="9"/>
  <c r="M869" i="23"/>
  <c r="I869" i="23"/>
  <c r="AD305" i="9"/>
  <c r="AI305" i="9"/>
  <c r="AD321" i="9"/>
  <c r="AI321" i="9"/>
  <c r="M870" i="23"/>
  <c r="I870" i="23"/>
  <c r="AD306" i="9"/>
  <c r="AI306" i="9"/>
  <c r="AD322" i="9"/>
  <c r="AI322" i="9"/>
  <c r="M871" i="23"/>
  <c r="I871" i="23"/>
  <c r="I872" i="23"/>
  <c r="AD308" i="9"/>
  <c r="AH308" i="9"/>
  <c r="AI308" i="9"/>
  <c r="M873" i="23"/>
  <c r="I873" i="23"/>
  <c r="J873" i="23"/>
  <c r="AD323" i="9"/>
  <c r="AH323" i="9"/>
  <c r="AI323" i="9"/>
  <c r="M874" i="23"/>
  <c r="I874" i="23"/>
  <c r="J874" i="23"/>
  <c r="I876" i="23"/>
  <c r="J876" i="23"/>
  <c r="AD336" i="9"/>
  <c r="M875" i="23"/>
  <c r="I875" i="23"/>
  <c r="J875" i="23"/>
  <c r="J868" i="23"/>
  <c r="N573" i="12"/>
  <c r="K574" i="12"/>
  <c r="F877" i="23"/>
  <c r="M574" i="12"/>
  <c r="I877" i="23"/>
  <c r="J877" i="23"/>
  <c r="N574" i="12"/>
  <c r="K575" i="12"/>
  <c r="F878" i="23"/>
  <c r="M575" i="12"/>
  <c r="I878" i="23"/>
  <c r="J878" i="23"/>
  <c r="N575" i="12"/>
  <c r="K576" i="12"/>
  <c r="F879" i="23"/>
  <c r="M576" i="12"/>
  <c r="AD294" i="9"/>
  <c r="M880" i="23"/>
  <c r="I880" i="23"/>
  <c r="AD295" i="9"/>
  <c r="M881" i="23"/>
  <c r="I881" i="23"/>
  <c r="AD296" i="9"/>
  <c r="M882" i="23"/>
  <c r="I882" i="23"/>
  <c r="AD297" i="9"/>
  <c r="M883" i="23"/>
  <c r="I883" i="23"/>
  <c r="AD316" i="9"/>
  <c r="M884" i="23"/>
  <c r="I884" i="23"/>
  <c r="AD317" i="9"/>
  <c r="AD332" i="9"/>
  <c r="M885" i="23"/>
  <c r="I885" i="23"/>
  <c r="J879" i="23"/>
  <c r="N576" i="12"/>
  <c r="K577" i="12"/>
  <c r="F886" i="23"/>
  <c r="M577" i="12"/>
  <c r="M886" i="23"/>
  <c r="I886" i="23"/>
  <c r="J886" i="23"/>
  <c r="N577" i="12"/>
  <c r="K578" i="12"/>
  <c r="F887" i="23"/>
  <c r="M578" i="12"/>
  <c r="M887" i="23"/>
  <c r="I887" i="23"/>
  <c r="J887" i="23"/>
  <c r="N578" i="12"/>
  <c r="K579" i="12"/>
  <c r="F888" i="23"/>
  <c r="M579" i="12"/>
  <c r="AD299" i="9"/>
  <c r="M889" i="23"/>
  <c r="I889" i="23"/>
  <c r="AD300" i="9"/>
  <c r="M890" i="23"/>
  <c r="I890" i="23"/>
  <c r="AD310" i="9"/>
  <c r="AD325" i="9"/>
  <c r="AD311" i="9"/>
  <c r="AD326" i="9"/>
  <c r="M891" i="23"/>
  <c r="I891" i="23"/>
  <c r="AD312" i="9"/>
  <c r="AD327" i="9"/>
  <c r="M892" i="23"/>
  <c r="I892" i="23"/>
  <c r="J888" i="23"/>
  <c r="N579" i="12"/>
  <c r="K580" i="12"/>
  <c r="F893" i="23"/>
  <c r="M580" i="12"/>
  <c r="M893" i="23"/>
  <c r="I893" i="23"/>
  <c r="J893" i="23"/>
  <c r="N580" i="12"/>
  <c r="K581" i="12"/>
  <c r="F894" i="23"/>
  <c r="M581" i="12"/>
  <c r="M894" i="23"/>
  <c r="I894" i="23"/>
  <c r="J894" i="23"/>
  <c r="N581" i="12"/>
  <c r="K582" i="12"/>
  <c r="F895" i="23"/>
  <c r="M582" i="12"/>
  <c r="I895" i="23"/>
  <c r="J895" i="23"/>
  <c r="N582" i="12"/>
  <c r="K583" i="12"/>
  <c r="F896" i="23"/>
  <c r="M583" i="12"/>
  <c r="K584" i="12"/>
  <c r="F898" i="23"/>
  <c r="F899" i="23"/>
  <c r="F900" i="23"/>
  <c r="F897" i="23"/>
  <c r="M584" i="12"/>
  <c r="I898" i="23"/>
  <c r="J898" i="23"/>
  <c r="C293" i="9"/>
  <c r="M899" i="23"/>
  <c r="I899" i="23"/>
  <c r="J899" i="23"/>
  <c r="C295" i="9"/>
  <c r="M900" i="23"/>
  <c r="I900" i="23"/>
  <c r="J900" i="23"/>
  <c r="J897" i="23"/>
  <c r="N584" i="12"/>
  <c r="K585" i="12"/>
  <c r="F901" i="23"/>
  <c r="M585" i="12"/>
  <c r="M901" i="23"/>
  <c r="I901" i="23"/>
  <c r="J901" i="23"/>
  <c r="N585" i="12"/>
  <c r="K586" i="12"/>
  <c r="F902" i="23"/>
  <c r="M586" i="12"/>
  <c r="M902" i="23"/>
  <c r="I902" i="23"/>
  <c r="J902" i="23"/>
  <c r="N586" i="12"/>
  <c r="K587" i="12"/>
  <c r="F903" i="23"/>
  <c r="M587" i="12"/>
  <c r="I903" i="23"/>
  <c r="J903" i="23"/>
  <c r="N587" i="12"/>
  <c r="K588" i="12"/>
  <c r="K589" i="12"/>
  <c r="F905" i="23"/>
  <c r="M589" i="12"/>
  <c r="M905" i="23"/>
  <c r="I905" i="23"/>
  <c r="J905" i="23"/>
  <c r="N589" i="12"/>
  <c r="K590" i="12"/>
  <c r="K591" i="12"/>
  <c r="K592" i="12"/>
  <c r="K593" i="12"/>
  <c r="K594" i="12"/>
  <c r="K595" i="12"/>
  <c r="K596" i="12"/>
  <c r="K597" i="12"/>
  <c r="K599" i="12"/>
  <c r="F915" i="23"/>
  <c r="M599" i="12"/>
  <c r="D323" i="9"/>
  <c r="M915" i="23"/>
  <c r="I915" i="23"/>
  <c r="J915" i="23"/>
  <c r="N599" i="12"/>
  <c r="K600" i="12"/>
  <c r="F916" i="23"/>
  <c r="M600" i="12"/>
  <c r="M916" i="23"/>
  <c r="I916" i="23"/>
  <c r="J916" i="23"/>
  <c r="N600" i="12"/>
  <c r="K601" i="12"/>
  <c r="F917" i="23"/>
  <c r="M601" i="12"/>
  <c r="AD315" i="9"/>
  <c r="M917" i="23"/>
  <c r="I917" i="23"/>
  <c r="J917" i="23"/>
  <c r="N601" i="12"/>
  <c r="N598" i="12"/>
  <c r="K602" i="12"/>
  <c r="K603" i="12"/>
  <c r="K604" i="12"/>
  <c r="K605" i="12"/>
  <c r="K606" i="12"/>
  <c r="K607" i="12"/>
  <c r="K608" i="12"/>
  <c r="K609" i="12"/>
  <c r="K611" i="12"/>
  <c r="K612" i="12"/>
  <c r="H16" i="23"/>
  <c r="B16" i="23"/>
  <c r="C16" i="23"/>
  <c r="D16" i="23"/>
  <c r="E16" i="23"/>
  <c r="H17" i="23"/>
  <c r="B17" i="23"/>
  <c r="C17" i="23"/>
  <c r="D17" i="23"/>
  <c r="E17" i="23"/>
  <c r="E15" i="23"/>
  <c r="J15" i="12"/>
  <c r="H18" i="23"/>
  <c r="B18" i="23"/>
  <c r="C18" i="23"/>
  <c r="D18" i="23"/>
  <c r="E18" i="23"/>
  <c r="J16" i="12"/>
  <c r="H19" i="23"/>
  <c r="C19" i="23"/>
  <c r="D19" i="23"/>
  <c r="E19" i="23"/>
  <c r="J17" i="12"/>
  <c r="H21" i="23"/>
  <c r="B21" i="23"/>
  <c r="C21" i="23"/>
  <c r="D21" i="23"/>
  <c r="E21" i="23"/>
  <c r="H22" i="23"/>
  <c r="B22" i="23"/>
  <c r="C22" i="23"/>
  <c r="D22" i="23"/>
  <c r="E22" i="23"/>
  <c r="E20" i="23"/>
  <c r="J18" i="12"/>
  <c r="H24" i="23"/>
  <c r="B24" i="23"/>
  <c r="C24" i="23"/>
  <c r="D24" i="23"/>
  <c r="E24" i="23"/>
  <c r="H25" i="23"/>
  <c r="B25" i="23"/>
  <c r="C25" i="23"/>
  <c r="D25" i="23"/>
  <c r="E25" i="23"/>
  <c r="E23" i="23"/>
  <c r="J19" i="12"/>
  <c r="H26" i="23"/>
  <c r="B26" i="23"/>
  <c r="C26" i="23"/>
  <c r="D26" i="23"/>
  <c r="E26" i="23"/>
  <c r="J20" i="12"/>
  <c r="H28" i="23"/>
  <c r="B28" i="23"/>
  <c r="C28" i="23"/>
  <c r="D28" i="23"/>
  <c r="E28" i="23"/>
  <c r="H29" i="23"/>
  <c r="B29" i="23"/>
  <c r="C29" i="23"/>
  <c r="D29" i="23"/>
  <c r="E29" i="23"/>
  <c r="E27" i="23"/>
  <c r="J21" i="12"/>
  <c r="H30" i="23"/>
  <c r="B30" i="23"/>
  <c r="C30" i="23"/>
  <c r="D30" i="23"/>
  <c r="E30" i="23"/>
  <c r="J22" i="12"/>
  <c r="C31" i="23"/>
  <c r="D31" i="23"/>
  <c r="E31" i="23"/>
  <c r="J23" i="12"/>
  <c r="H33" i="23"/>
  <c r="C33" i="23"/>
  <c r="D33" i="23"/>
  <c r="E33" i="23"/>
  <c r="H34" i="23"/>
  <c r="C34" i="23"/>
  <c r="D34" i="23"/>
  <c r="E34" i="23"/>
  <c r="E32" i="23"/>
  <c r="J24" i="12"/>
  <c r="C35" i="23"/>
  <c r="D35" i="23"/>
  <c r="E35" i="23"/>
  <c r="J25" i="12"/>
  <c r="H36" i="23"/>
  <c r="B36" i="23"/>
  <c r="C36" i="23"/>
  <c r="D36" i="23"/>
  <c r="E36" i="23"/>
  <c r="J26" i="12"/>
  <c r="H37" i="23"/>
  <c r="B37" i="23"/>
  <c r="C37" i="23"/>
  <c r="D37" i="23"/>
  <c r="E37" i="23"/>
  <c r="J27" i="12"/>
  <c r="C38" i="23"/>
  <c r="D38" i="23"/>
  <c r="E38" i="23"/>
  <c r="J28" i="12"/>
  <c r="H39" i="23"/>
  <c r="B39" i="23"/>
  <c r="C39" i="23"/>
  <c r="D39" i="23"/>
  <c r="E39" i="23"/>
  <c r="J29" i="12"/>
  <c r="J14" i="12"/>
  <c r="K15" i="12"/>
  <c r="F16" i="23"/>
  <c r="F17" i="23"/>
  <c r="F15" i="23"/>
  <c r="M15" i="12"/>
  <c r="M16" i="23"/>
  <c r="I16" i="23"/>
  <c r="J16" i="23"/>
  <c r="J19" i="9"/>
  <c r="M17" i="23"/>
  <c r="I17" i="23"/>
  <c r="J21" i="9"/>
  <c r="J17" i="23"/>
  <c r="J15" i="23"/>
  <c r="N15" i="12"/>
  <c r="K16" i="12"/>
  <c r="F18" i="23"/>
  <c r="M16" i="12"/>
  <c r="M18" i="23"/>
  <c r="I18" i="23"/>
  <c r="J18" i="23"/>
  <c r="N16" i="12"/>
  <c r="K17" i="12"/>
  <c r="F19" i="23"/>
  <c r="M17" i="12"/>
  <c r="M19" i="23"/>
  <c r="I19" i="23"/>
  <c r="J19" i="23"/>
  <c r="N17" i="12"/>
  <c r="K18" i="12"/>
  <c r="F21" i="23"/>
  <c r="F22" i="23"/>
  <c r="F20" i="23"/>
  <c r="M18" i="12"/>
  <c r="M21" i="23"/>
  <c r="I21" i="23"/>
  <c r="J21" i="23"/>
  <c r="M22" i="23"/>
  <c r="I22" i="23"/>
  <c r="J22" i="23"/>
  <c r="J20" i="23"/>
  <c r="N18" i="12"/>
  <c r="K19" i="12"/>
  <c r="F24" i="23"/>
  <c r="F25" i="23"/>
  <c r="F23" i="23"/>
  <c r="M19" i="12"/>
  <c r="M24" i="23"/>
  <c r="I24" i="23"/>
  <c r="J24" i="23"/>
  <c r="M25" i="23"/>
  <c r="I25" i="23"/>
  <c r="J25" i="23"/>
  <c r="J23" i="23"/>
  <c r="N19" i="12"/>
  <c r="K20" i="12"/>
  <c r="F26" i="23"/>
  <c r="M20" i="12"/>
  <c r="M26" i="23"/>
  <c r="I26" i="23"/>
  <c r="J26" i="23"/>
  <c r="N20" i="12"/>
  <c r="K21" i="12"/>
  <c r="F28" i="23"/>
  <c r="F29" i="23"/>
  <c r="F27" i="23"/>
  <c r="M21" i="12"/>
  <c r="M28" i="23"/>
  <c r="I28" i="23"/>
  <c r="J28" i="23"/>
  <c r="M29" i="23"/>
  <c r="I29" i="23"/>
  <c r="J29" i="23"/>
  <c r="J27" i="23"/>
  <c r="N21" i="12"/>
  <c r="K22" i="12"/>
  <c r="F30" i="23"/>
  <c r="M22" i="12"/>
  <c r="M30" i="23"/>
  <c r="I30" i="23"/>
  <c r="J30" i="23"/>
  <c r="N22" i="12"/>
  <c r="K23" i="12"/>
  <c r="F31" i="23"/>
  <c r="M23" i="12"/>
  <c r="I31" i="23"/>
  <c r="J31" i="23"/>
  <c r="N23" i="12"/>
  <c r="K24" i="12"/>
  <c r="F33" i="23"/>
  <c r="F34" i="23"/>
  <c r="F32" i="23"/>
  <c r="M24" i="12"/>
  <c r="C14" i="9"/>
  <c r="M33" i="23"/>
  <c r="I33" i="23"/>
  <c r="J33" i="23"/>
  <c r="M34" i="23"/>
  <c r="I34" i="23"/>
  <c r="J34" i="23"/>
  <c r="J32" i="23"/>
  <c r="N24" i="12"/>
  <c r="K25" i="12"/>
  <c r="F35" i="23"/>
  <c r="M25" i="12"/>
  <c r="I35" i="23"/>
  <c r="J35" i="23"/>
  <c r="N25" i="12"/>
  <c r="K26" i="12"/>
  <c r="F36" i="23"/>
  <c r="M26" i="12"/>
  <c r="M36" i="23"/>
  <c r="I36" i="23"/>
  <c r="J36" i="23"/>
  <c r="N26" i="12"/>
  <c r="K27" i="12"/>
  <c r="F37" i="23"/>
  <c r="M27" i="12"/>
  <c r="M37" i="23"/>
  <c r="I37" i="23"/>
  <c r="J37" i="23"/>
  <c r="N27" i="12"/>
  <c r="K28" i="12"/>
  <c r="F38" i="23"/>
  <c r="M28" i="12"/>
  <c r="I38" i="23"/>
  <c r="J38" i="23"/>
  <c r="N28" i="12"/>
  <c r="K29" i="12"/>
  <c r="F39" i="23"/>
  <c r="M29" i="12"/>
  <c r="M39" i="23"/>
  <c r="I39" i="23"/>
  <c r="J39" i="23"/>
  <c r="N29" i="12"/>
  <c r="K30" i="12"/>
  <c r="K31" i="12"/>
  <c r="K32" i="12"/>
  <c r="K33" i="12"/>
  <c r="K34" i="12"/>
  <c r="K35" i="12"/>
  <c r="K36" i="12"/>
  <c r="K37" i="12"/>
  <c r="K38" i="12"/>
  <c r="K40" i="12"/>
  <c r="K41" i="12"/>
  <c r="C55" i="23"/>
  <c r="D55" i="23"/>
  <c r="E55" i="23"/>
  <c r="J45" i="12"/>
  <c r="H57" i="23"/>
  <c r="B57" i="23"/>
  <c r="C57" i="23"/>
  <c r="D57" i="23"/>
  <c r="E57" i="23"/>
  <c r="H58" i="23"/>
  <c r="C58" i="23"/>
  <c r="D58" i="23"/>
  <c r="E58" i="23"/>
  <c r="E56" i="23"/>
  <c r="J46" i="12"/>
  <c r="H59" i="23"/>
  <c r="B59" i="23"/>
  <c r="C59" i="23"/>
  <c r="D59" i="23"/>
  <c r="E59" i="23"/>
  <c r="J47" i="12"/>
  <c r="H60" i="23"/>
  <c r="C60" i="23"/>
  <c r="D60" i="23"/>
  <c r="E60" i="23"/>
  <c r="J48" i="12"/>
  <c r="H62" i="23"/>
  <c r="C62" i="23"/>
  <c r="D62" i="23"/>
  <c r="E62" i="23"/>
  <c r="H63" i="23"/>
  <c r="C63" i="23"/>
  <c r="D63" i="23"/>
  <c r="E63" i="23"/>
  <c r="E61" i="23"/>
  <c r="J49" i="12"/>
  <c r="C64" i="23"/>
  <c r="D64" i="23"/>
  <c r="E64" i="23"/>
  <c r="J50" i="12"/>
  <c r="C65" i="23"/>
  <c r="D65" i="23"/>
  <c r="E65" i="23"/>
  <c r="J51" i="12"/>
  <c r="C66" i="23"/>
  <c r="D66" i="23"/>
  <c r="E66" i="23"/>
  <c r="J52" i="12"/>
  <c r="C67" i="23"/>
  <c r="D67" i="23"/>
  <c r="E67" i="23"/>
  <c r="J53" i="12"/>
  <c r="C68" i="23"/>
  <c r="D68" i="23"/>
  <c r="E68" i="23"/>
  <c r="J54" i="12"/>
  <c r="C69" i="23"/>
  <c r="D69" i="23"/>
  <c r="E69" i="23"/>
  <c r="J55" i="12"/>
  <c r="C70" i="23"/>
  <c r="D70" i="23"/>
  <c r="E70" i="23"/>
  <c r="J56" i="12"/>
  <c r="C71" i="23"/>
  <c r="D71" i="23"/>
  <c r="E71" i="23"/>
  <c r="J57" i="12"/>
  <c r="C72" i="23"/>
  <c r="D72" i="23"/>
  <c r="E72" i="23"/>
  <c r="J58" i="12"/>
  <c r="C73" i="23"/>
  <c r="D73" i="23"/>
  <c r="E73" i="23"/>
  <c r="J59" i="12"/>
  <c r="C74" i="23"/>
  <c r="D74" i="23"/>
  <c r="E74" i="23"/>
  <c r="J60" i="12"/>
  <c r="H76" i="23"/>
  <c r="B76" i="23"/>
  <c r="C76" i="23"/>
  <c r="D76" i="23"/>
  <c r="E76" i="23"/>
  <c r="H77" i="23"/>
  <c r="B77" i="23"/>
  <c r="C77" i="23"/>
  <c r="D77" i="23"/>
  <c r="E77" i="23"/>
  <c r="E75" i="23"/>
  <c r="J61" i="12"/>
  <c r="C78" i="23"/>
  <c r="D78" i="23"/>
  <c r="E78" i="23"/>
  <c r="J62" i="12"/>
  <c r="H79" i="23"/>
  <c r="B79" i="23"/>
  <c r="C79" i="23"/>
  <c r="D79" i="23"/>
  <c r="E79" i="23"/>
  <c r="J63" i="12"/>
  <c r="H81" i="23"/>
  <c r="B10" i="21"/>
  <c r="B11" i="21"/>
  <c r="B12" i="21"/>
  <c r="B13" i="21"/>
  <c r="B14" i="21"/>
  <c r="B9" i="21"/>
  <c r="C10" i="21"/>
  <c r="C11" i="21"/>
  <c r="C12" i="21"/>
  <c r="C13" i="21"/>
  <c r="C14" i="21"/>
  <c r="C9" i="21"/>
  <c r="B81" i="23"/>
  <c r="C81" i="23"/>
  <c r="D81" i="23"/>
  <c r="E81" i="23"/>
  <c r="H82" i="23"/>
  <c r="B82" i="23"/>
  <c r="C82" i="23"/>
  <c r="D82" i="23"/>
  <c r="E82" i="23"/>
  <c r="E80" i="23"/>
  <c r="J64" i="12"/>
  <c r="H84" i="23"/>
  <c r="B22" i="21"/>
  <c r="B23" i="21"/>
  <c r="B24" i="21"/>
  <c r="B25" i="21"/>
  <c r="B26" i="21"/>
  <c r="B21" i="21"/>
  <c r="C22" i="21"/>
  <c r="C23" i="21"/>
  <c r="C24" i="21"/>
  <c r="C25" i="21"/>
  <c r="C26" i="21"/>
  <c r="C21" i="21"/>
  <c r="B84" i="23"/>
  <c r="C84" i="23"/>
  <c r="D84" i="23"/>
  <c r="E84" i="23"/>
  <c r="H85" i="23"/>
  <c r="B85" i="23"/>
  <c r="C85" i="23"/>
  <c r="D85" i="23"/>
  <c r="E85" i="23"/>
  <c r="E83" i="23"/>
  <c r="J65" i="12"/>
  <c r="C86" i="23"/>
  <c r="D86" i="23"/>
  <c r="E86" i="23"/>
  <c r="J66" i="12"/>
  <c r="H87" i="23"/>
  <c r="B87" i="23"/>
  <c r="C87" i="23"/>
  <c r="D87" i="23"/>
  <c r="E87" i="23"/>
  <c r="J67" i="12"/>
  <c r="H88" i="23"/>
  <c r="C88" i="23"/>
  <c r="D88" i="23"/>
  <c r="E88" i="23"/>
  <c r="J68" i="12"/>
  <c r="H89" i="23"/>
  <c r="C89" i="23"/>
  <c r="D89" i="23"/>
  <c r="E89" i="23"/>
  <c r="J69" i="12"/>
  <c r="E90" i="23"/>
  <c r="J70" i="12"/>
  <c r="J71" i="12"/>
  <c r="H93" i="23"/>
  <c r="C93" i="23"/>
  <c r="D93" i="23"/>
  <c r="E93" i="23"/>
  <c r="H94" i="23"/>
  <c r="C94" i="23"/>
  <c r="D94" i="23"/>
  <c r="E94" i="23"/>
  <c r="E92" i="23"/>
  <c r="J72" i="12"/>
  <c r="H96" i="23"/>
  <c r="B96" i="23"/>
  <c r="C96" i="23"/>
  <c r="D96" i="23"/>
  <c r="E96" i="23"/>
  <c r="H97" i="23"/>
  <c r="B97" i="23"/>
  <c r="C97" i="23"/>
  <c r="D97" i="23"/>
  <c r="E97" i="23"/>
  <c r="E95" i="23"/>
  <c r="J73" i="12"/>
  <c r="E98" i="23"/>
  <c r="J74" i="12"/>
  <c r="B99" i="23"/>
  <c r="C99" i="23"/>
  <c r="D99" i="23"/>
  <c r="E99" i="23"/>
  <c r="J75" i="12"/>
  <c r="H100" i="23"/>
  <c r="C100" i="23"/>
  <c r="D100" i="23"/>
  <c r="E100" i="23"/>
  <c r="J76" i="12"/>
  <c r="C101" i="23"/>
  <c r="D101" i="23"/>
  <c r="E101" i="23"/>
  <c r="J77" i="12"/>
  <c r="H102" i="23"/>
  <c r="C102" i="23"/>
  <c r="D102" i="23"/>
  <c r="E102" i="23"/>
  <c r="J78" i="12"/>
  <c r="H103" i="23"/>
  <c r="C103" i="23"/>
  <c r="D103" i="23"/>
  <c r="E103" i="23"/>
  <c r="J79" i="12"/>
  <c r="H105" i="23"/>
  <c r="B105" i="23"/>
  <c r="C105" i="23"/>
  <c r="D105" i="23"/>
  <c r="E105" i="23"/>
  <c r="H106" i="23"/>
  <c r="C106" i="23"/>
  <c r="D106" i="23"/>
  <c r="E106" i="23"/>
  <c r="E104" i="23"/>
  <c r="J80" i="12"/>
  <c r="H107" i="23"/>
  <c r="B107" i="23"/>
  <c r="C107" i="23"/>
  <c r="D107" i="23"/>
  <c r="E107" i="23"/>
  <c r="J81" i="12"/>
  <c r="C108" i="23"/>
  <c r="D108" i="23"/>
  <c r="E108" i="23"/>
  <c r="J82" i="12"/>
  <c r="H109" i="23"/>
  <c r="C109" i="23"/>
  <c r="D109" i="23"/>
  <c r="E109" i="23"/>
  <c r="J83" i="12"/>
  <c r="H112" i="23"/>
  <c r="C112" i="23"/>
  <c r="D112" i="23"/>
  <c r="E112" i="23"/>
  <c r="H113" i="23"/>
  <c r="C113" i="23"/>
  <c r="D113" i="23"/>
  <c r="E113" i="23"/>
  <c r="E111" i="23"/>
  <c r="J85" i="12"/>
  <c r="C114" i="23"/>
  <c r="D114" i="23"/>
  <c r="E114" i="23"/>
  <c r="J86" i="12"/>
  <c r="J44" i="12"/>
  <c r="K45" i="12"/>
  <c r="F55" i="23"/>
  <c r="M45" i="12"/>
  <c r="I55" i="23"/>
  <c r="J55" i="23"/>
  <c r="N45" i="12"/>
  <c r="K46" i="12"/>
  <c r="F57" i="23"/>
  <c r="F58" i="23"/>
  <c r="F56" i="23"/>
  <c r="M46" i="12"/>
  <c r="M57" i="23"/>
  <c r="I57" i="23"/>
  <c r="J57" i="23"/>
  <c r="M58" i="23"/>
  <c r="I58" i="23"/>
  <c r="J58" i="23"/>
  <c r="J56" i="23"/>
  <c r="N46" i="12"/>
  <c r="K47" i="12"/>
  <c r="F59" i="23"/>
  <c r="M47" i="12"/>
  <c r="M59" i="23"/>
  <c r="I59" i="23"/>
  <c r="J59" i="23"/>
  <c r="N47" i="12"/>
  <c r="K48" i="12"/>
  <c r="F60" i="23"/>
  <c r="M48" i="12"/>
  <c r="M60" i="23"/>
  <c r="I60" i="23"/>
  <c r="J60" i="23"/>
  <c r="N48" i="12"/>
  <c r="K49" i="12"/>
  <c r="F62" i="23"/>
  <c r="F63" i="23"/>
  <c r="F61" i="23"/>
  <c r="M49" i="12"/>
  <c r="M62" i="23"/>
  <c r="I62" i="23"/>
  <c r="J62" i="23"/>
  <c r="M63" i="23"/>
  <c r="I63" i="23"/>
  <c r="J63" i="23"/>
  <c r="J61" i="23"/>
  <c r="N49" i="12"/>
  <c r="K50" i="12"/>
  <c r="F64" i="23"/>
  <c r="M50" i="12"/>
  <c r="I64" i="23"/>
  <c r="J64" i="23"/>
  <c r="N50" i="12"/>
  <c r="K51" i="12"/>
  <c r="F65" i="23"/>
  <c r="M51" i="12"/>
  <c r="I65" i="23"/>
  <c r="J65" i="23"/>
  <c r="N51" i="12"/>
  <c r="K52" i="12"/>
  <c r="F66" i="23"/>
  <c r="M52" i="12"/>
  <c r="I66" i="23"/>
  <c r="J66" i="23"/>
  <c r="N52" i="12"/>
  <c r="K53" i="12"/>
  <c r="F67" i="23"/>
  <c r="M53" i="12"/>
  <c r="I67" i="23"/>
  <c r="J67" i="23"/>
  <c r="N53" i="12"/>
  <c r="K54" i="12"/>
  <c r="F68" i="23"/>
  <c r="M54" i="12"/>
  <c r="I68" i="23"/>
  <c r="J68" i="23"/>
  <c r="N54" i="12"/>
  <c r="K55" i="12"/>
  <c r="F69" i="23"/>
  <c r="M55" i="12"/>
  <c r="I69" i="23"/>
  <c r="J69" i="23"/>
  <c r="N55" i="12"/>
  <c r="K56" i="12"/>
  <c r="F70" i="23"/>
  <c r="M56" i="12"/>
  <c r="I70" i="23"/>
  <c r="J70" i="23"/>
  <c r="N56" i="12"/>
  <c r="K57" i="12"/>
  <c r="F71" i="23"/>
  <c r="M57" i="12"/>
  <c r="I71" i="23"/>
  <c r="J71" i="23"/>
  <c r="N57" i="12"/>
  <c r="K58" i="12"/>
  <c r="F72" i="23"/>
  <c r="M58" i="12"/>
  <c r="I72" i="23"/>
  <c r="J72" i="23"/>
  <c r="N58" i="12"/>
  <c r="K59" i="12"/>
  <c r="F73" i="23"/>
  <c r="M59" i="12"/>
  <c r="I73" i="23"/>
  <c r="J73" i="23"/>
  <c r="N59" i="12"/>
  <c r="K60" i="12"/>
  <c r="F74" i="23"/>
  <c r="M60" i="12"/>
  <c r="I74" i="23"/>
  <c r="J74" i="23"/>
  <c r="N60" i="12"/>
  <c r="K61" i="12"/>
  <c r="F76" i="23"/>
  <c r="F77" i="23"/>
  <c r="F75" i="23"/>
  <c r="M61" i="12"/>
  <c r="M76" i="23"/>
  <c r="I76" i="23"/>
  <c r="J76" i="23"/>
  <c r="M77" i="23"/>
  <c r="I77" i="23"/>
  <c r="J77" i="23"/>
  <c r="J75" i="23"/>
  <c r="N61" i="12"/>
  <c r="K62" i="12"/>
  <c r="F78" i="23"/>
  <c r="M62" i="12"/>
  <c r="I78" i="23"/>
  <c r="J78" i="23"/>
  <c r="N62" i="12"/>
  <c r="K63" i="12"/>
  <c r="F79" i="23"/>
  <c r="M63" i="12"/>
  <c r="M79" i="23"/>
  <c r="I79" i="23"/>
  <c r="J79" i="23"/>
  <c r="N63" i="12"/>
  <c r="K64" i="12"/>
  <c r="F81" i="23"/>
  <c r="F82" i="23"/>
  <c r="F80" i="23"/>
  <c r="M64" i="12"/>
  <c r="M81" i="23"/>
  <c r="I81" i="23"/>
  <c r="J81" i="23"/>
  <c r="M82" i="23"/>
  <c r="I82" i="23"/>
  <c r="J82" i="23"/>
  <c r="J80" i="23"/>
  <c r="N64" i="12"/>
  <c r="K65" i="12"/>
  <c r="F84" i="23"/>
  <c r="F85" i="23"/>
  <c r="F83" i="23"/>
  <c r="M65" i="12"/>
  <c r="M84" i="23"/>
  <c r="I84" i="23"/>
  <c r="J84" i="23"/>
  <c r="M85" i="23"/>
  <c r="I85" i="23"/>
  <c r="J85" i="23"/>
  <c r="J83" i="23"/>
  <c r="N65" i="12"/>
  <c r="K66" i="12"/>
  <c r="F86" i="23"/>
  <c r="M66" i="12"/>
  <c r="I86" i="23"/>
  <c r="J86" i="23"/>
  <c r="N66" i="12"/>
  <c r="K67" i="12"/>
  <c r="F87" i="23"/>
  <c r="M67" i="12"/>
  <c r="M87" i="23"/>
  <c r="I87" i="23"/>
  <c r="J87" i="23"/>
  <c r="N67" i="12"/>
  <c r="K68" i="12"/>
  <c r="F88" i="23"/>
  <c r="M68" i="12"/>
  <c r="M88" i="23"/>
  <c r="I88" i="23"/>
  <c r="J88" i="23"/>
  <c r="N68" i="12"/>
  <c r="K69" i="12"/>
  <c r="F89" i="23"/>
  <c r="M69" i="12"/>
  <c r="M89" i="23"/>
  <c r="I89" i="23"/>
  <c r="J89" i="23"/>
  <c r="N69" i="12"/>
  <c r="K70" i="12"/>
  <c r="F90" i="23"/>
  <c r="M70" i="12"/>
  <c r="C31" i="9"/>
  <c r="J90" i="23"/>
  <c r="N70" i="12"/>
  <c r="K71" i="12"/>
  <c r="M71" i="12"/>
  <c r="N71" i="12"/>
  <c r="K72" i="12"/>
  <c r="F93" i="23"/>
  <c r="F94" i="23"/>
  <c r="F92" i="23"/>
  <c r="M72" i="12"/>
  <c r="M93" i="23"/>
  <c r="I93" i="23"/>
  <c r="J93" i="23"/>
  <c r="M94" i="23"/>
  <c r="I94" i="23"/>
  <c r="J94" i="23"/>
  <c r="J92" i="23"/>
  <c r="N72" i="12"/>
  <c r="K73" i="12"/>
  <c r="F96" i="23"/>
  <c r="F97" i="23"/>
  <c r="F95" i="23"/>
  <c r="M73" i="12"/>
  <c r="M96" i="23"/>
  <c r="I96" i="23"/>
  <c r="J96" i="23"/>
  <c r="M97" i="23"/>
  <c r="I97" i="23"/>
  <c r="J97" i="23"/>
  <c r="J95" i="23"/>
  <c r="N73" i="12"/>
  <c r="K74" i="12"/>
  <c r="F98" i="23"/>
  <c r="M74" i="12"/>
  <c r="C32" i="9"/>
  <c r="J98" i="23"/>
  <c r="N74" i="12"/>
  <c r="K75" i="12"/>
  <c r="F99" i="23"/>
  <c r="M75" i="12"/>
  <c r="I99" i="23"/>
  <c r="J99" i="23"/>
  <c r="N75" i="12"/>
  <c r="K76" i="12"/>
  <c r="F100" i="23"/>
  <c r="M76" i="12"/>
  <c r="M100" i="23"/>
  <c r="I100" i="23"/>
  <c r="J100" i="23"/>
  <c r="N76" i="12"/>
  <c r="K77" i="12"/>
  <c r="F101" i="23"/>
  <c r="M77" i="12"/>
  <c r="I101" i="23"/>
  <c r="J101" i="23"/>
  <c r="N77" i="12"/>
  <c r="K78" i="12"/>
  <c r="F102" i="23"/>
  <c r="M78" i="12"/>
  <c r="M102" i="23"/>
  <c r="I102" i="23"/>
  <c r="J102" i="23"/>
  <c r="N78" i="12"/>
  <c r="K79" i="12"/>
  <c r="F103" i="23"/>
  <c r="M79" i="12"/>
  <c r="M103" i="23"/>
  <c r="I103" i="23"/>
  <c r="J103" i="23"/>
  <c r="N79" i="12"/>
  <c r="K80" i="12"/>
  <c r="F105" i="23"/>
  <c r="F106" i="23"/>
  <c r="F104" i="23"/>
  <c r="M80" i="12"/>
  <c r="M105" i="23"/>
  <c r="I105" i="23"/>
  <c r="J105" i="23"/>
  <c r="M106" i="23"/>
  <c r="I106" i="23"/>
  <c r="J106" i="23"/>
  <c r="J104" i="23"/>
  <c r="N80" i="12"/>
  <c r="K81" i="12"/>
  <c r="F107" i="23"/>
  <c r="M81" i="12"/>
  <c r="M107" i="23"/>
  <c r="I107" i="23"/>
  <c r="J107" i="23"/>
  <c r="N81" i="12"/>
  <c r="K82" i="12"/>
  <c r="F108" i="23"/>
  <c r="M82" i="12"/>
  <c r="I108" i="23"/>
  <c r="J108" i="23"/>
  <c r="N82" i="12"/>
  <c r="K83" i="12"/>
  <c r="F109" i="23"/>
  <c r="M83" i="12"/>
  <c r="M109" i="23"/>
  <c r="I109" i="23"/>
  <c r="J109" i="23"/>
  <c r="N83" i="12"/>
  <c r="K84" i="12"/>
  <c r="K85" i="12"/>
  <c r="F112" i="23"/>
  <c r="F113" i="23"/>
  <c r="F111" i="23"/>
  <c r="M85" i="12"/>
  <c r="M112" i="23"/>
  <c r="I112" i="23"/>
  <c r="J112" i="23"/>
  <c r="M113" i="23"/>
  <c r="I113" i="23"/>
  <c r="J113" i="23"/>
  <c r="J111" i="23"/>
  <c r="N85" i="12"/>
  <c r="K86" i="12"/>
  <c r="F114" i="23"/>
  <c r="M86" i="12"/>
  <c r="I114" i="23"/>
  <c r="J114" i="23"/>
  <c r="N86" i="12"/>
  <c r="K87" i="12"/>
  <c r="K88" i="12"/>
  <c r="K89" i="12"/>
  <c r="K90" i="12"/>
  <c r="K91" i="12"/>
  <c r="K92" i="12"/>
  <c r="K93" i="12"/>
  <c r="K94" i="12"/>
  <c r="K96" i="12"/>
  <c r="K97" i="12"/>
  <c r="H130" i="23"/>
  <c r="C130" i="23"/>
  <c r="D130" i="23"/>
  <c r="E130" i="23"/>
  <c r="J102" i="12"/>
  <c r="H131" i="23"/>
  <c r="C131" i="23"/>
  <c r="D131" i="23"/>
  <c r="E131" i="23"/>
  <c r="J103" i="12"/>
  <c r="H132" i="23"/>
  <c r="C132" i="23"/>
  <c r="D132" i="23"/>
  <c r="E132" i="23"/>
  <c r="J104" i="12"/>
  <c r="H133" i="23"/>
  <c r="C133" i="23"/>
  <c r="D133" i="23"/>
  <c r="E133" i="23"/>
  <c r="J105" i="12"/>
  <c r="H136" i="23"/>
  <c r="C136" i="23"/>
  <c r="D136" i="23"/>
  <c r="E136" i="23"/>
  <c r="J108" i="12"/>
  <c r="H138" i="23"/>
  <c r="C138" i="23"/>
  <c r="D138" i="23"/>
  <c r="E138" i="23"/>
  <c r="J110" i="12"/>
  <c r="H145" i="23"/>
  <c r="C145" i="23"/>
  <c r="D145" i="23"/>
  <c r="E145" i="23"/>
  <c r="J117" i="12"/>
  <c r="J101" i="12"/>
  <c r="J120" i="12"/>
  <c r="J100" i="12"/>
  <c r="J99" i="12"/>
  <c r="K102" i="12"/>
  <c r="F130" i="23"/>
  <c r="M102" i="12"/>
  <c r="M130" i="23"/>
  <c r="I130" i="23"/>
  <c r="J130" i="23"/>
  <c r="N102" i="12"/>
  <c r="K103" i="12"/>
  <c r="F131" i="23"/>
  <c r="M103" i="12"/>
  <c r="M131" i="23"/>
  <c r="I131" i="23"/>
  <c r="J131" i="23"/>
  <c r="N103" i="12"/>
  <c r="K104" i="12"/>
  <c r="F132" i="23"/>
  <c r="M104" i="12"/>
  <c r="M132" i="23"/>
  <c r="I132" i="23"/>
  <c r="J132" i="23"/>
  <c r="N104" i="12"/>
  <c r="K105" i="12"/>
  <c r="F133" i="23"/>
  <c r="M105" i="12"/>
  <c r="M133" i="23"/>
  <c r="I133" i="23"/>
  <c r="J133" i="23"/>
  <c r="N105" i="12"/>
  <c r="K108" i="12"/>
  <c r="F136" i="23"/>
  <c r="M108" i="12"/>
  <c r="M136" i="23"/>
  <c r="I136" i="23"/>
  <c r="J136" i="23"/>
  <c r="N108" i="12"/>
  <c r="K109" i="12"/>
  <c r="H137" i="23"/>
  <c r="C137" i="23"/>
  <c r="D137" i="23"/>
  <c r="E137" i="23"/>
  <c r="F137" i="23"/>
  <c r="M109" i="12"/>
  <c r="M137" i="23"/>
  <c r="I137" i="23"/>
  <c r="J137" i="23"/>
  <c r="N109" i="12"/>
  <c r="K110" i="12"/>
  <c r="F138" i="23"/>
  <c r="M110" i="12"/>
  <c r="M138" i="23"/>
  <c r="I138" i="23"/>
  <c r="J138" i="23"/>
  <c r="N110" i="12"/>
  <c r="K111" i="12"/>
  <c r="H139" i="23"/>
  <c r="C139" i="23"/>
  <c r="D139" i="23"/>
  <c r="E139" i="23"/>
  <c r="F139" i="23"/>
  <c r="M111" i="12"/>
  <c r="M139" i="23"/>
  <c r="I139" i="23"/>
  <c r="J139" i="23"/>
  <c r="N111" i="12"/>
  <c r="K112" i="12"/>
  <c r="H140" i="23"/>
  <c r="C140" i="23"/>
  <c r="D140" i="23"/>
  <c r="E140" i="23"/>
  <c r="F140" i="23"/>
  <c r="M112" i="12"/>
  <c r="M140" i="23"/>
  <c r="I140" i="23"/>
  <c r="J140" i="23"/>
  <c r="N112" i="12"/>
  <c r="K115" i="12"/>
  <c r="H143" i="23"/>
  <c r="B143" i="23"/>
  <c r="C143" i="23"/>
  <c r="D143" i="23"/>
  <c r="E143" i="23"/>
  <c r="F143" i="23"/>
  <c r="M115" i="12"/>
  <c r="M143" i="23"/>
  <c r="I143" i="23"/>
  <c r="J143" i="23"/>
  <c r="N115" i="12"/>
  <c r="K116" i="12"/>
  <c r="H144" i="23"/>
  <c r="B144" i="23"/>
  <c r="C144" i="23"/>
  <c r="D144" i="23"/>
  <c r="E144" i="23"/>
  <c r="F144" i="23"/>
  <c r="M116" i="12"/>
  <c r="M144" i="23"/>
  <c r="I144" i="23"/>
  <c r="J144" i="23"/>
  <c r="N116" i="12"/>
  <c r="K117" i="12"/>
  <c r="F145" i="23"/>
  <c r="M117" i="12"/>
  <c r="M145" i="23"/>
  <c r="I145" i="23"/>
  <c r="J145" i="23"/>
  <c r="N117" i="12"/>
  <c r="K118" i="12"/>
  <c r="K119" i="12"/>
  <c r="K121" i="12"/>
  <c r="V44" i="9"/>
  <c r="V43" i="9"/>
  <c r="B51" i="9"/>
  <c r="V45" i="9"/>
  <c r="B52" i="9"/>
  <c r="V46" i="9"/>
  <c r="B53" i="9"/>
  <c r="V47" i="9"/>
  <c r="V48" i="9"/>
  <c r="Y44" i="9"/>
  <c r="W44" i="9"/>
  <c r="W43" i="9"/>
  <c r="W45" i="9"/>
  <c r="W46" i="9"/>
  <c r="W47" i="9"/>
  <c r="W48" i="9"/>
  <c r="Z44" i="9"/>
  <c r="X44" i="9"/>
  <c r="X43" i="9"/>
  <c r="X45" i="9"/>
  <c r="X46" i="9"/>
  <c r="X47" i="9"/>
  <c r="X48" i="9"/>
  <c r="AA44" i="9"/>
  <c r="E23" i="21"/>
  <c r="AB44" i="9"/>
  <c r="AC42" i="9"/>
  <c r="AC44" i="9"/>
  <c r="H175" i="23"/>
  <c r="B175" i="23"/>
  <c r="C175" i="23"/>
  <c r="D175" i="23"/>
  <c r="E175" i="23"/>
  <c r="F175" i="23"/>
  <c r="M121" i="12"/>
  <c r="K122" i="12"/>
  <c r="B29" i="21"/>
  <c r="B30" i="21"/>
  <c r="B31" i="21"/>
  <c r="B32" i="21"/>
  <c r="B28" i="21"/>
  <c r="C29" i="21"/>
  <c r="C30" i="21"/>
  <c r="C31" i="21"/>
  <c r="C32" i="21"/>
  <c r="C28" i="21"/>
  <c r="H157" i="23"/>
  <c r="B157" i="23"/>
  <c r="C157" i="23"/>
  <c r="D157" i="23"/>
  <c r="E157" i="23"/>
  <c r="H158" i="23"/>
  <c r="C158" i="23"/>
  <c r="D158" i="23"/>
  <c r="E158" i="23"/>
  <c r="E156" i="23"/>
  <c r="J127" i="12"/>
  <c r="F29" i="21"/>
  <c r="H160" i="23"/>
  <c r="C160" i="23"/>
  <c r="D160" i="23"/>
  <c r="F30" i="21"/>
  <c r="H161" i="23"/>
  <c r="C161" i="23"/>
  <c r="D161" i="23"/>
  <c r="F31" i="21"/>
  <c r="H162" i="23"/>
  <c r="B162" i="23"/>
  <c r="C162" i="23"/>
  <c r="D162" i="23"/>
  <c r="F32" i="21"/>
  <c r="H163" i="23"/>
  <c r="C163" i="23"/>
  <c r="D163" i="23"/>
  <c r="C164" i="23"/>
  <c r="D164" i="23"/>
  <c r="D159" i="23"/>
  <c r="E159" i="23"/>
  <c r="J128" i="12"/>
  <c r="E164" i="23"/>
  <c r="J129" i="12"/>
  <c r="H166" i="23"/>
  <c r="B166" i="23"/>
  <c r="C166" i="23"/>
  <c r="D166" i="23"/>
  <c r="E166" i="23"/>
  <c r="H167" i="23"/>
  <c r="B167" i="23"/>
  <c r="C167" i="23"/>
  <c r="D167" i="23"/>
  <c r="E167" i="23"/>
  <c r="E165" i="23"/>
  <c r="J130" i="12"/>
  <c r="H168" i="23"/>
  <c r="B168" i="23"/>
  <c r="C168" i="23"/>
  <c r="D168" i="23"/>
  <c r="E168" i="23"/>
  <c r="J131" i="12"/>
  <c r="H170" i="23"/>
  <c r="B16" i="21"/>
  <c r="B17" i="21"/>
  <c r="B18" i="21"/>
  <c r="B19" i="21"/>
  <c r="B20" i="21"/>
  <c r="B15" i="21"/>
  <c r="C16" i="21"/>
  <c r="C17" i="21"/>
  <c r="C18" i="21"/>
  <c r="C19" i="21"/>
  <c r="C20" i="21"/>
  <c r="C15" i="21"/>
  <c r="B170" i="23"/>
  <c r="C170" i="23"/>
  <c r="D170" i="23"/>
  <c r="H171" i="23"/>
  <c r="B171" i="23"/>
  <c r="C171" i="23"/>
  <c r="D171" i="23"/>
  <c r="E169" i="23"/>
  <c r="J132" i="12"/>
  <c r="H172" i="23"/>
  <c r="C172" i="23"/>
  <c r="D172" i="23"/>
  <c r="E172" i="23"/>
  <c r="J133" i="12"/>
  <c r="Y43" i="9"/>
  <c r="Z43" i="9"/>
  <c r="AA43" i="9"/>
  <c r="E22" i="21"/>
  <c r="AB43" i="9"/>
  <c r="AC43" i="9"/>
  <c r="H174" i="23"/>
  <c r="B174" i="23"/>
  <c r="C174" i="23"/>
  <c r="D174" i="23"/>
  <c r="Y45" i="9"/>
  <c r="Z45" i="9"/>
  <c r="AA45" i="9"/>
  <c r="E24" i="21"/>
  <c r="AB45" i="9"/>
  <c r="AC45" i="9"/>
  <c r="H176" i="23"/>
  <c r="C176" i="23"/>
  <c r="D176" i="23"/>
  <c r="Y46" i="9"/>
  <c r="Z46" i="9"/>
  <c r="AA46" i="9"/>
  <c r="E25" i="21"/>
  <c r="AB46" i="9"/>
  <c r="AC46" i="9"/>
  <c r="H177" i="23"/>
  <c r="C177" i="23"/>
  <c r="D177" i="23"/>
  <c r="Y47" i="9"/>
  <c r="Z47" i="9"/>
  <c r="AA47" i="9"/>
  <c r="E26" i="21"/>
  <c r="AB47" i="9"/>
  <c r="AC47" i="9"/>
  <c r="H178" i="23"/>
  <c r="C178" i="23"/>
  <c r="D178" i="23"/>
  <c r="D173" i="23"/>
  <c r="E173" i="23"/>
  <c r="J134" i="12"/>
  <c r="V51" i="9"/>
  <c r="V52" i="9"/>
  <c r="V53" i="9"/>
  <c r="V54" i="9"/>
  <c r="V55" i="9"/>
  <c r="V56" i="9"/>
  <c r="Y51" i="9"/>
  <c r="W51" i="9"/>
  <c r="W52" i="9"/>
  <c r="W53" i="9"/>
  <c r="W54" i="9"/>
  <c r="W55" i="9"/>
  <c r="W56" i="9"/>
  <c r="Z51" i="9"/>
  <c r="X51" i="9"/>
  <c r="X52" i="9"/>
  <c r="X53" i="9"/>
  <c r="X54" i="9"/>
  <c r="X55" i="9"/>
  <c r="X56" i="9"/>
  <c r="AA51" i="9"/>
  <c r="E16" i="21"/>
  <c r="AB51" i="9"/>
  <c r="AC51" i="9"/>
  <c r="H180" i="23"/>
  <c r="C180" i="23"/>
  <c r="D180" i="23"/>
  <c r="Y52" i="9"/>
  <c r="Z52" i="9"/>
  <c r="AA52" i="9"/>
  <c r="E17" i="21"/>
  <c r="AB52" i="9"/>
  <c r="AC52" i="9"/>
  <c r="H181" i="23"/>
  <c r="C181" i="23"/>
  <c r="D181" i="23"/>
  <c r="Y53" i="9"/>
  <c r="Z53" i="9"/>
  <c r="AA53" i="9"/>
  <c r="E18" i="21"/>
  <c r="AB53" i="9"/>
  <c r="AC53" i="9"/>
  <c r="H182" i="23"/>
  <c r="C182" i="23"/>
  <c r="D182" i="23"/>
  <c r="Y54" i="9"/>
  <c r="Z54" i="9"/>
  <c r="AA54" i="9"/>
  <c r="E19" i="21"/>
  <c r="AB54" i="9"/>
  <c r="AC54" i="9"/>
  <c r="H183" i="23"/>
  <c r="B183" i="23"/>
  <c r="C183" i="23"/>
  <c r="D183" i="23"/>
  <c r="Y55" i="9"/>
  <c r="Z55" i="9"/>
  <c r="AA55" i="9"/>
  <c r="E20" i="21"/>
  <c r="AB55" i="9"/>
  <c r="AC55" i="9"/>
  <c r="H184" i="23"/>
  <c r="C184" i="23"/>
  <c r="D184" i="23"/>
  <c r="E179" i="23"/>
  <c r="J135" i="12"/>
  <c r="V59" i="9"/>
  <c r="V60" i="9"/>
  <c r="V61" i="9"/>
  <c r="V62" i="9"/>
  <c r="V63" i="9"/>
  <c r="V64" i="9"/>
  <c r="Y59" i="9"/>
  <c r="W59" i="9"/>
  <c r="W60" i="9"/>
  <c r="W61" i="9"/>
  <c r="W62" i="9"/>
  <c r="W63" i="9"/>
  <c r="W64" i="9"/>
  <c r="Z59" i="9"/>
  <c r="X59" i="9"/>
  <c r="X60" i="9"/>
  <c r="X61" i="9"/>
  <c r="X62" i="9"/>
  <c r="X63" i="9"/>
  <c r="X64" i="9"/>
  <c r="AA59" i="9"/>
  <c r="E10" i="21"/>
  <c r="AB59" i="9"/>
  <c r="AC59" i="9"/>
  <c r="H186" i="23"/>
  <c r="C186" i="23"/>
  <c r="D186" i="23"/>
  <c r="Y60" i="9"/>
  <c r="Z60" i="9"/>
  <c r="AA60" i="9"/>
  <c r="E11" i="21"/>
  <c r="AB60" i="9"/>
  <c r="AC60" i="9"/>
  <c r="H187" i="23"/>
  <c r="C187" i="23"/>
  <c r="D187" i="23"/>
  <c r="Y61" i="9"/>
  <c r="Z61" i="9"/>
  <c r="AA61" i="9"/>
  <c r="E12" i="21"/>
  <c r="AB61" i="9"/>
  <c r="AC61" i="9"/>
  <c r="H188" i="23"/>
  <c r="C188" i="23"/>
  <c r="D188" i="23"/>
  <c r="Y62" i="9"/>
  <c r="Z62" i="9"/>
  <c r="AA62" i="9"/>
  <c r="E13" i="21"/>
  <c r="AB62" i="9"/>
  <c r="AC62" i="9"/>
  <c r="H189" i="23"/>
  <c r="C189" i="23"/>
  <c r="D189" i="23"/>
  <c r="Y63" i="9"/>
  <c r="Z63" i="9"/>
  <c r="AA63" i="9"/>
  <c r="E14" i="21"/>
  <c r="AB63" i="9"/>
  <c r="AC63" i="9"/>
  <c r="H190" i="23"/>
  <c r="C190" i="23"/>
  <c r="D190" i="23"/>
  <c r="D185" i="23"/>
  <c r="E185" i="23"/>
  <c r="J136" i="12"/>
  <c r="H179" i="23"/>
  <c r="H191" i="23"/>
  <c r="B191" i="23"/>
  <c r="C191" i="23"/>
  <c r="D191" i="23"/>
  <c r="E191" i="23"/>
  <c r="J137" i="12"/>
  <c r="B261" i="21"/>
  <c r="B262" i="21"/>
  <c r="B260" i="21"/>
  <c r="C261" i="21"/>
  <c r="C262" i="21"/>
  <c r="C260" i="21"/>
  <c r="H192" i="23"/>
  <c r="B192" i="23"/>
  <c r="C192" i="23"/>
  <c r="D192" i="23"/>
  <c r="E192" i="23"/>
  <c r="J138" i="12"/>
  <c r="F261" i="21"/>
  <c r="H194" i="23"/>
  <c r="C194" i="23"/>
  <c r="D194" i="23"/>
  <c r="F262" i="21"/>
  <c r="H195" i="23"/>
  <c r="C195" i="23"/>
  <c r="D195" i="23"/>
  <c r="E193" i="23"/>
  <c r="J139" i="12"/>
  <c r="C196" i="23"/>
  <c r="D196" i="23"/>
  <c r="E196" i="23"/>
  <c r="J140" i="12"/>
  <c r="B243" i="21"/>
  <c r="C243" i="21"/>
  <c r="V67" i="9"/>
  <c r="Y67" i="9"/>
  <c r="W67" i="9"/>
  <c r="Z67" i="9"/>
  <c r="X67" i="9"/>
  <c r="AA67" i="9"/>
  <c r="E243" i="21"/>
  <c r="AB67" i="9"/>
  <c r="AC67" i="9"/>
  <c r="H197" i="23"/>
  <c r="F243" i="21"/>
  <c r="B197" i="23"/>
  <c r="C197" i="23"/>
  <c r="D197" i="23"/>
  <c r="E197" i="23"/>
  <c r="J141" i="12"/>
  <c r="H198" i="23"/>
  <c r="B198" i="23"/>
  <c r="C198" i="23"/>
  <c r="D198" i="23"/>
  <c r="E198" i="23"/>
  <c r="J142" i="12"/>
  <c r="H199" i="23"/>
  <c r="B199" i="23"/>
  <c r="C199" i="23"/>
  <c r="D199" i="23"/>
  <c r="E199" i="23"/>
  <c r="J143" i="12"/>
  <c r="C200" i="23"/>
  <c r="D200" i="23"/>
  <c r="E200" i="23"/>
  <c r="J144" i="12"/>
  <c r="C201" i="23"/>
  <c r="D201" i="23"/>
  <c r="E201" i="23"/>
  <c r="J145" i="12"/>
  <c r="C202" i="23"/>
  <c r="D202" i="23"/>
  <c r="E202" i="23"/>
  <c r="J146" i="12"/>
  <c r="C203" i="23"/>
  <c r="D203" i="23"/>
  <c r="E203" i="23"/>
  <c r="J147" i="12"/>
  <c r="C204" i="23"/>
  <c r="D204" i="23"/>
  <c r="E204" i="23"/>
  <c r="J148" i="12"/>
  <c r="H205" i="23"/>
  <c r="C205" i="23"/>
  <c r="D205" i="23"/>
  <c r="E205" i="23"/>
  <c r="J149" i="12"/>
  <c r="H206" i="23"/>
  <c r="C206" i="23"/>
  <c r="D206" i="23"/>
  <c r="E206" i="23"/>
  <c r="J150" i="12"/>
  <c r="H208" i="23"/>
  <c r="B208" i="23"/>
  <c r="C208" i="23"/>
  <c r="D208" i="23"/>
  <c r="E208" i="23"/>
  <c r="J152" i="12"/>
  <c r="J126" i="12"/>
  <c r="K127" i="12"/>
  <c r="F157" i="23"/>
  <c r="F158" i="23"/>
  <c r="F156" i="23"/>
  <c r="M127" i="12"/>
  <c r="M157" i="23"/>
  <c r="I157" i="23"/>
  <c r="J157" i="23"/>
  <c r="M158" i="23"/>
  <c r="I158" i="23"/>
  <c r="J158" i="23"/>
  <c r="J156" i="23"/>
  <c r="N127" i="12"/>
  <c r="K128" i="12"/>
  <c r="H159" i="23"/>
  <c r="C159" i="23"/>
  <c r="F159" i="23"/>
  <c r="M128" i="12"/>
  <c r="M160" i="23"/>
  <c r="I160" i="23"/>
  <c r="M161" i="23"/>
  <c r="I161" i="23"/>
  <c r="M162" i="23"/>
  <c r="I162" i="23"/>
  <c r="M163" i="23"/>
  <c r="I163" i="23"/>
  <c r="I164" i="23"/>
  <c r="I159" i="23"/>
  <c r="J159" i="23"/>
  <c r="N128" i="12"/>
  <c r="K129" i="12"/>
  <c r="F164" i="23"/>
  <c r="M129" i="12"/>
  <c r="J164" i="23"/>
  <c r="N129" i="12"/>
  <c r="K130" i="12"/>
  <c r="F166" i="23"/>
  <c r="F167" i="23"/>
  <c r="F165" i="23"/>
  <c r="M130" i="12"/>
  <c r="M166" i="23"/>
  <c r="I166" i="23"/>
  <c r="J166" i="23"/>
  <c r="M167" i="23"/>
  <c r="I167" i="23"/>
  <c r="J167" i="23"/>
  <c r="J165" i="23"/>
  <c r="N130" i="12"/>
  <c r="K131" i="12"/>
  <c r="F168" i="23"/>
  <c r="M131" i="12"/>
  <c r="M168" i="23"/>
  <c r="I168" i="23"/>
  <c r="J168" i="23"/>
  <c r="N131" i="12"/>
  <c r="K132" i="12"/>
  <c r="E170" i="23"/>
  <c r="F170" i="23"/>
  <c r="E171" i="23"/>
  <c r="F171" i="23"/>
  <c r="F169" i="23"/>
  <c r="M132" i="12"/>
  <c r="M170" i="23"/>
  <c r="I170" i="23"/>
  <c r="M171" i="23"/>
  <c r="I171" i="23"/>
  <c r="J169" i="23"/>
  <c r="N132" i="12"/>
  <c r="K133" i="12"/>
  <c r="F172" i="23"/>
  <c r="M133" i="12"/>
  <c r="M172" i="23"/>
  <c r="I172" i="23"/>
  <c r="J172" i="23"/>
  <c r="N133" i="12"/>
  <c r="K134" i="12"/>
  <c r="H173" i="23"/>
  <c r="C173" i="23"/>
  <c r="F173" i="23"/>
  <c r="M134" i="12"/>
  <c r="AD42" i="9"/>
  <c r="AD43" i="9"/>
  <c r="M174" i="23"/>
  <c r="I174" i="23"/>
  <c r="AD44" i="9"/>
  <c r="M175" i="23"/>
  <c r="I175" i="23"/>
  <c r="AD45" i="9"/>
  <c r="M176" i="23"/>
  <c r="I176" i="23"/>
  <c r="AD46" i="9"/>
  <c r="M177" i="23"/>
  <c r="I177" i="23"/>
  <c r="AD47" i="9"/>
  <c r="M178" i="23"/>
  <c r="I178" i="23"/>
  <c r="I173" i="23"/>
  <c r="J173" i="23"/>
  <c r="N134" i="12"/>
  <c r="K135" i="12"/>
  <c r="C179" i="23"/>
  <c r="F179" i="23"/>
  <c r="M135" i="12"/>
  <c r="K136" i="12"/>
  <c r="H185" i="23"/>
  <c r="C185" i="23"/>
  <c r="F185" i="23"/>
  <c r="M136" i="12"/>
  <c r="AD59" i="9"/>
  <c r="M186" i="23"/>
  <c r="I186" i="23"/>
  <c r="AD60" i="9"/>
  <c r="M187" i="23"/>
  <c r="I187" i="23"/>
  <c r="AD61" i="9"/>
  <c r="M188" i="23"/>
  <c r="I188" i="23"/>
  <c r="AD62" i="9"/>
  <c r="M189" i="23"/>
  <c r="I189" i="23"/>
  <c r="AD63" i="9"/>
  <c r="M190" i="23"/>
  <c r="I190" i="23"/>
  <c r="I185" i="23"/>
  <c r="J185" i="23"/>
  <c r="N136" i="12"/>
  <c r="K137" i="12"/>
  <c r="F191" i="23"/>
  <c r="M137" i="12"/>
  <c r="AD52" i="9"/>
  <c r="M181" i="23"/>
  <c r="AD51" i="9"/>
  <c r="M180" i="23"/>
  <c r="AD53" i="9"/>
  <c r="M182" i="23"/>
  <c r="AD54" i="9"/>
  <c r="M183" i="23"/>
  <c r="AD55" i="9"/>
  <c r="M184" i="23"/>
  <c r="M179" i="23"/>
  <c r="M191" i="23"/>
  <c r="I191" i="23"/>
  <c r="J191" i="23"/>
  <c r="N137" i="12"/>
  <c r="K138" i="12"/>
  <c r="F192" i="23"/>
  <c r="M138" i="12"/>
  <c r="M192" i="23"/>
  <c r="I192" i="23"/>
  <c r="J192" i="23"/>
  <c r="N138" i="12"/>
  <c r="K139" i="12"/>
  <c r="E194" i="23"/>
  <c r="F194" i="23"/>
  <c r="E195" i="23"/>
  <c r="F195" i="23"/>
  <c r="F193" i="23"/>
  <c r="M139" i="12"/>
  <c r="M194" i="23"/>
  <c r="I194" i="23"/>
  <c r="M195" i="23"/>
  <c r="I195" i="23"/>
  <c r="J193" i="23"/>
  <c r="N139" i="12"/>
  <c r="K140" i="12"/>
  <c r="F196" i="23"/>
  <c r="M140" i="12"/>
  <c r="I196" i="23"/>
  <c r="J196" i="23"/>
  <c r="N140" i="12"/>
  <c r="K141" i="12"/>
  <c r="F197" i="23"/>
  <c r="M141" i="12"/>
  <c r="AD67" i="9"/>
  <c r="M197" i="23"/>
  <c r="I197" i="23"/>
  <c r="J197" i="23"/>
  <c r="N141" i="12"/>
  <c r="K142" i="12"/>
  <c r="F198" i="23"/>
  <c r="M142" i="12"/>
  <c r="M198" i="23"/>
  <c r="I198" i="23"/>
  <c r="J198" i="23"/>
  <c r="N142" i="12"/>
  <c r="K143" i="12"/>
  <c r="F199" i="23"/>
  <c r="M143" i="12"/>
  <c r="M199" i="23"/>
  <c r="I199" i="23"/>
  <c r="J199" i="23"/>
  <c r="N143" i="12"/>
  <c r="K144" i="12"/>
  <c r="F200" i="23"/>
  <c r="M144" i="12"/>
  <c r="I200" i="23"/>
  <c r="J200" i="23"/>
  <c r="N144" i="12"/>
  <c r="K145" i="12"/>
  <c r="F201" i="23"/>
  <c r="M145" i="12"/>
  <c r="I201" i="23"/>
  <c r="J201" i="23"/>
  <c r="N145" i="12"/>
  <c r="K146" i="12"/>
  <c r="F202" i="23"/>
  <c r="M146" i="12"/>
  <c r="I202" i="23"/>
  <c r="J202" i="23"/>
  <c r="N146" i="12"/>
  <c r="K147" i="12"/>
  <c r="F203" i="23"/>
  <c r="M147" i="12"/>
  <c r="I203" i="23"/>
  <c r="J203" i="23"/>
  <c r="N147" i="12"/>
  <c r="K148" i="12"/>
  <c r="F204" i="23"/>
  <c r="M148" i="12"/>
  <c r="I204" i="23"/>
  <c r="J204" i="23"/>
  <c r="N148" i="12"/>
  <c r="K149" i="12"/>
  <c r="F205" i="23"/>
  <c r="M149" i="12"/>
  <c r="M205" i="23"/>
  <c r="I205" i="23"/>
  <c r="J205" i="23"/>
  <c r="N149" i="12"/>
  <c r="K150" i="12"/>
  <c r="F206" i="23"/>
  <c r="M150" i="12"/>
  <c r="M206" i="23"/>
  <c r="I206" i="23"/>
  <c r="J206" i="23"/>
  <c r="N150" i="12"/>
  <c r="K151" i="12"/>
  <c r="K152" i="12"/>
  <c r="F208" i="23"/>
  <c r="M152" i="12"/>
  <c r="M208" i="23"/>
  <c r="I208" i="23"/>
  <c r="J208" i="23"/>
  <c r="N152" i="12"/>
  <c r="K153" i="12"/>
  <c r="K154" i="12"/>
  <c r="K155" i="12"/>
  <c r="K156" i="12"/>
  <c r="K157" i="12"/>
  <c r="K158" i="12"/>
  <c r="K159" i="12"/>
  <c r="K160" i="12"/>
  <c r="K162" i="12"/>
  <c r="K163" i="12"/>
  <c r="J548" i="12"/>
  <c r="J96" i="12"/>
  <c r="J95" i="12"/>
  <c r="J43" i="12"/>
  <c r="J40" i="12"/>
  <c r="J39" i="12"/>
  <c r="J13" i="12"/>
  <c r="J162" i="12"/>
  <c r="J161" i="12"/>
  <c r="J125" i="12"/>
  <c r="J124" i="12"/>
  <c r="X8" i="19"/>
  <c r="A2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388" i="28"/>
  <c r="A389" i="28"/>
  <c r="A390" i="28"/>
  <c r="A391" i="28"/>
  <c r="A392" i="28"/>
  <c r="A393" i="28"/>
  <c r="A394" i="28"/>
  <c r="A395" i="28"/>
  <c r="A396" i="28"/>
  <c r="A397" i="28"/>
  <c r="A398" i="28"/>
  <c r="A399" i="28"/>
  <c r="A400" i="28"/>
  <c r="A401" i="28"/>
  <c r="A402" i="28"/>
  <c r="A403" i="28"/>
  <c r="A404" i="28"/>
  <c r="A405" i="28"/>
  <c r="A406" i="28"/>
  <c r="A407" i="28"/>
  <c r="A408" i="28"/>
  <c r="A409" i="28"/>
  <c r="A410" i="28"/>
  <c r="A411" i="28"/>
  <c r="A412" i="28"/>
  <c r="A413" i="28"/>
  <c r="A414" i="28"/>
  <c r="A415" i="28"/>
  <c r="A416" i="28"/>
  <c r="A417" i="28"/>
  <c r="A418" i="28"/>
  <c r="A419" i="28"/>
  <c r="A420" i="28"/>
  <c r="A421" i="28"/>
  <c r="A422" i="28"/>
  <c r="A423" i="28"/>
  <c r="A424" i="28"/>
  <c r="A425" i="28"/>
  <c r="A426" i="28"/>
  <c r="A427" i="28"/>
  <c r="A428" i="28"/>
  <c r="A429" i="28"/>
  <c r="A430" i="28"/>
  <c r="A431" i="28"/>
  <c r="A432" i="28"/>
  <c r="A433" i="28"/>
  <c r="A434" i="28"/>
  <c r="A435" i="28"/>
  <c r="A436" i="28"/>
  <c r="A437" i="28"/>
  <c r="A438" i="28"/>
  <c r="A439" i="28"/>
  <c r="A440" i="28"/>
  <c r="A441" i="28"/>
  <c r="A442" i="28"/>
  <c r="A443" i="28"/>
  <c r="A444" i="28"/>
  <c r="A445" i="28"/>
  <c r="A446" i="28"/>
  <c r="A447" i="28"/>
  <c r="A448" i="28"/>
  <c r="A449" i="28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462" i="28"/>
  <c r="A463" i="28"/>
  <c r="A464" i="28"/>
  <c r="A465" i="28"/>
  <c r="A466" i="28"/>
  <c r="A467" i="28"/>
  <c r="A468" i="28"/>
  <c r="A469" i="28"/>
  <c r="A470" i="28"/>
  <c r="A471" i="28"/>
  <c r="A472" i="28"/>
  <c r="A473" i="28"/>
  <c r="A474" i="28"/>
  <c r="A475" i="28"/>
  <c r="A476" i="28"/>
  <c r="A477" i="28"/>
  <c r="A478" i="28"/>
  <c r="A479" i="28"/>
  <c r="A480" i="28"/>
  <c r="A481" i="28"/>
  <c r="A482" i="28"/>
  <c r="A483" i="28"/>
  <c r="A484" i="28"/>
  <c r="A485" i="28"/>
  <c r="A486" i="28"/>
  <c r="A487" i="28"/>
  <c r="A488" i="28"/>
  <c r="A489" i="28"/>
  <c r="A490" i="28"/>
  <c r="A491" i="28"/>
  <c r="A492" i="28"/>
  <c r="A493" i="28"/>
  <c r="A494" i="28"/>
  <c r="A495" i="28"/>
  <c r="A496" i="28"/>
  <c r="A497" i="28"/>
  <c r="A498" i="28"/>
  <c r="A499" i="28"/>
  <c r="A500" i="28"/>
  <c r="A501" i="28"/>
  <c r="A502" i="28"/>
  <c r="A503" i="28"/>
  <c r="A504" i="28"/>
  <c r="A505" i="28"/>
  <c r="A506" i="28"/>
  <c r="A507" i="28"/>
  <c r="A508" i="28"/>
  <c r="A509" i="28"/>
  <c r="A510" i="28"/>
  <c r="A511" i="28"/>
  <c r="A512" i="28"/>
  <c r="A513" i="28"/>
  <c r="A514" i="28"/>
  <c r="A515" i="28"/>
  <c r="A516" i="28"/>
  <c r="A517" i="28"/>
  <c r="A518" i="28"/>
  <c r="A519" i="28"/>
  <c r="A520" i="28"/>
  <c r="A521" i="28"/>
  <c r="A522" i="28"/>
  <c r="A523" i="28"/>
  <c r="A524" i="28"/>
  <c r="A525" i="28"/>
  <c r="A526" i="28"/>
  <c r="A527" i="28"/>
  <c r="A528" i="28"/>
  <c r="A529" i="28"/>
  <c r="A530" i="28"/>
  <c r="A531" i="28"/>
  <c r="A532" i="28"/>
  <c r="A533" i="28"/>
  <c r="A534" i="28"/>
  <c r="A535" i="28"/>
  <c r="A536" i="28"/>
  <c r="A537" i="28"/>
  <c r="A538" i="28"/>
  <c r="A539" i="28"/>
  <c r="A540" i="28"/>
  <c r="A541" i="28"/>
  <c r="A542" i="28"/>
  <c r="A543" i="28"/>
  <c r="A544" i="28"/>
  <c r="A545" i="28"/>
  <c r="A546" i="28"/>
  <c r="A547" i="28"/>
  <c r="A548" i="28"/>
  <c r="A549" i="28"/>
  <c r="A550" i="28"/>
  <c r="A551" i="28"/>
  <c r="A552" i="28"/>
  <c r="A553" i="28"/>
  <c r="A554" i="28"/>
  <c r="A555" i="28"/>
  <c r="A556" i="28"/>
  <c r="A557" i="28"/>
  <c r="A558" i="28"/>
  <c r="A559" i="28"/>
  <c r="A560" i="28"/>
  <c r="A561" i="28"/>
  <c r="A562" i="28"/>
  <c r="A563" i="28"/>
  <c r="A564" i="28"/>
  <c r="A565" i="28"/>
  <c r="A566" i="28"/>
  <c r="A567" i="28"/>
  <c r="A568" i="28"/>
  <c r="A569" i="28"/>
  <c r="A570" i="28"/>
  <c r="A571" i="28"/>
  <c r="A572" i="28"/>
  <c r="A573" i="28"/>
  <c r="A574" i="28"/>
  <c r="A575" i="28"/>
  <c r="A576" i="28"/>
  <c r="A577" i="28"/>
  <c r="A578" i="28"/>
  <c r="A579" i="28"/>
  <c r="A580" i="28"/>
  <c r="A581" i="28"/>
  <c r="A582" i="28"/>
  <c r="A583" i="28"/>
  <c r="A584" i="28"/>
  <c r="A585" i="28"/>
  <c r="A586" i="28"/>
  <c r="A587" i="28"/>
  <c r="A588" i="28"/>
  <c r="A589" i="28"/>
  <c r="A590" i="28"/>
  <c r="A591" i="28"/>
  <c r="A592" i="28"/>
  <c r="A593" i="28"/>
  <c r="A594" i="28"/>
  <c r="A595" i="28"/>
  <c r="A596" i="28"/>
  <c r="A597" i="28"/>
  <c r="A598" i="28"/>
  <c r="A599" i="28"/>
  <c r="A600" i="28"/>
  <c r="A601" i="28"/>
  <c r="A602" i="28"/>
  <c r="A603" i="28"/>
  <c r="A604" i="28"/>
  <c r="A605" i="28"/>
  <c r="A606" i="28"/>
  <c r="A607" i="28"/>
  <c r="A608" i="28"/>
  <c r="A609" i="28"/>
  <c r="A610" i="28"/>
  <c r="A611" i="28"/>
  <c r="A612" i="28"/>
  <c r="A613" i="28"/>
  <c r="A614" i="28"/>
  <c r="A615" i="28"/>
  <c r="A616" i="28"/>
  <c r="A617" i="28"/>
  <c r="A618" i="28"/>
  <c r="A619" i="28"/>
  <c r="A620" i="28"/>
  <c r="A621" i="28"/>
  <c r="A622" i="28"/>
  <c r="A623" i="28"/>
  <c r="A624" i="28"/>
  <c r="A625" i="28"/>
  <c r="A626" i="28"/>
  <c r="A627" i="28"/>
  <c r="A628" i="28"/>
  <c r="A629" i="28"/>
  <c r="A630" i="28"/>
  <c r="A631" i="28"/>
  <c r="A632" i="28"/>
  <c r="A633" i="28"/>
  <c r="A634" i="28"/>
  <c r="A635" i="28"/>
  <c r="A636" i="28"/>
  <c r="A637" i="28"/>
  <c r="A638" i="28"/>
  <c r="A639" i="28"/>
  <c r="A640" i="28"/>
  <c r="A641" i="28"/>
  <c r="A642" i="28"/>
  <c r="A643" i="28"/>
  <c r="A644" i="28"/>
  <c r="A645" i="28"/>
  <c r="A646" i="28"/>
  <c r="A647" i="28"/>
  <c r="A648" i="28"/>
  <c r="A649" i="28"/>
  <c r="A650" i="28"/>
  <c r="A651" i="28"/>
  <c r="A652" i="28"/>
  <c r="A653" i="28"/>
  <c r="A654" i="28"/>
  <c r="A655" i="28"/>
  <c r="A656" i="28"/>
  <c r="A657" i="28"/>
  <c r="A658" i="28"/>
  <c r="A659" i="28"/>
  <c r="A660" i="28"/>
  <c r="A661" i="28"/>
  <c r="A662" i="28"/>
  <c r="A663" i="28"/>
  <c r="A664" i="28"/>
  <c r="A665" i="28"/>
  <c r="A666" i="28"/>
  <c r="A667" i="28"/>
  <c r="A668" i="28"/>
  <c r="A669" i="28"/>
  <c r="A670" i="28"/>
  <c r="A671" i="28"/>
  <c r="A672" i="28"/>
  <c r="A673" i="28"/>
  <c r="A674" i="28"/>
  <c r="A675" i="28"/>
  <c r="A676" i="28"/>
  <c r="A677" i="28"/>
  <c r="A678" i="28"/>
  <c r="A679" i="28"/>
  <c r="A680" i="28"/>
  <c r="A681" i="28"/>
  <c r="A682" i="28"/>
  <c r="A683" i="28"/>
  <c r="A684" i="28"/>
  <c r="A685" i="28"/>
  <c r="A686" i="28"/>
  <c r="A687" i="28"/>
  <c r="A688" i="28"/>
  <c r="A689" i="28"/>
  <c r="A690" i="28"/>
  <c r="A691" i="28"/>
  <c r="A692" i="28"/>
  <c r="A693" i="28"/>
  <c r="A694" i="28"/>
  <c r="A695" i="28"/>
  <c r="A696" i="28"/>
  <c r="A697" i="28"/>
  <c r="A698" i="28"/>
  <c r="A699" i="28"/>
  <c r="A700" i="28"/>
  <c r="A701" i="28"/>
  <c r="A702" i="28"/>
  <c r="A703" i="28"/>
  <c r="A704" i="28"/>
  <c r="A705" i="28"/>
  <c r="A706" i="28"/>
  <c r="A707" i="28"/>
  <c r="A708" i="28"/>
  <c r="A709" i="28"/>
  <c r="A710" i="28"/>
  <c r="A711" i="28"/>
  <c r="A712" i="28"/>
  <c r="A713" i="28"/>
  <c r="A714" i="28"/>
  <c r="A715" i="28"/>
  <c r="A716" i="28"/>
  <c r="A717" i="28"/>
  <c r="A718" i="28"/>
  <c r="A719" i="28"/>
  <c r="A720" i="28"/>
  <c r="A721" i="28"/>
  <c r="A722" i="28"/>
  <c r="A723" i="28"/>
  <c r="A724" i="28"/>
  <c r="A725" i="28"/>
  <c r="A726" i="28"/>
  <c r="A727" i="28"/>
  <c r="A728" i="28"/>
  <c r="A729" i="28"/>
  <c r="A730" i="28"/>
  <c r="A731" i="28"/>
  <c r="A732" i="28"/>
  <c r="A733" i="28"/>
  <c r="A734" i="28"/>
  <c r="A735" i="28"/>
  <c r="A736" i="28"/>
  <c r="A737" i="28"/>
  <c r="A738" i="28"/>
  <c r="A739" i="28"/>
  <c r="A740" i="28"/>
  <c r="A741" i="28"/>
  <c r="A742" i="28"/>
  <c r="A743" i="28"/>
  <c r="A744" i="28"/>
  <c r="A745" i="28"/>
  <c r="A746" i="28"/>
  <c r="A747" i="28"/>
  <c r="A748" i="28"/>
  <c r="A749" i="28"/>
  <c r="A750" i="28"/>
  <c r="A751" i="28"/>
  <c r="A752" i="28"/>
  <c r="A753" i="28"/>
  <c r="A754" i="28"/>
  <c r="A755" i="28"/>
  <c r="A756" i="28"/>
  <c r="A757" i="28"/>
  <c r="A758" i="28"/>
  <c r="A759" i="28"/>
  <c r="A760" i="28"/>
  <c r="A761" i="28"/>
  <c r="A762" i="28"/>
  <c r="A763" i="28"/>
  <c r="A764" i="28"/>
  <c r="A765" i="28"/>
  <c r="A766" i="28"/>
  <c r="A767" i="28"/>
  <c r="A768" i="28"/>
  <c r="A769" i="28"/>
  <c r="A770" i="28"/>
  <c r="A771" i="28"/>
  <c r="A772" i="28"/>
  <c r="A773" i="28"/>
  <c r="A774" i="28"/>
  <c r="A775" i="28"/>
  <c r="A776" i="28"/>
  <c r="A777" i="28"/>
  <c r="A778" i="28"/>
  <c r="A779" i="28"/>
  <c r="A780" i="28"/>
  <c r="A781" i="28"/>
  <c r="A782" i="28"/>
  <c r="A783" i="28"/>
  <c r="A784" i="28"/>
  <c r="A785" i="28"/>
  <c r="A786" i="28"/>
  <c r="A787" i="28"/>
  <c r="A788" i="28"/>
  <c r="A789" i="28"/>
  <c r="A790" i="28"/>
  <c r="A791" i="28"/>
  <c r="A792" i="28"/>
  <c r="A793" i="28"/>
  <c r="A794" i="28"/>
  <c r="A795" i="28"/>
  <c r="A796" i="28"/>
  <c r="A797" i="28"/>
  <c r="A798" i="28"/>
  <c r="A799" i="28"/>
  <c r="A800" i="28"/>
  <c r="A801" i="28"/>
  <c r="A802" i="28"/>
  <c r="A803" i="28"/>
  <c r="A804" i="28"/>
  <c r="A805" i="28"/>
  <c r="A806" i="28"/>
  <c r="A807" i="28"/>
  <c r="A808" i="28"/>
  <c r="A809" i="28"/>
  <c r="A810" i="28"/>
  <c r="A811" i="28"/>
  <c r="A812" i="28"/>
  <c r="A813" i="28"/>
  <c r="A814" i="28"/>
  <c r="A815" i="28"/>
  <c r="A816" i="28"/>
  <c r="A817" i="28"/>
  <c r="A818" i="28"/>
  <c r="A819" i="28"/>
  <c r="A820" i="28"/>
  <c r="A821" i="28"/>
  <c r="A822" i="28"/>
  <c r="A823" i="28"/>
  <c r="A824" i="28"/>
  <c r="A825" i="28"/>
  <c r="A826" i="28"/>
  <c r="A827" i="28"/>
  <c r="A828" i="28"/>
  <c r="A829" i="28"/>
  <c r="A830" i="28"/>
  <c r="A831" i="28"/>
  <c r="A832" i="28"/>
  <c r="A833" i="28"/>
  <c r="A834" i="28"/>
  <c r="A835" i="28"/>
  <c r="A836" i="28"/>
  <c r="A837" i="28"/>
  <c r="A838" i="28"/>
  <c r="A839" i="28"/>
  <c r="A840" i="28"/>
  <c r="A841" i="28"/>
  <c r="A842" i="28"/>
  <c r="A843" i="28"/>
  <c r="A844" i="28"/>
  <c r="A845" i="28"/>
  <c r="A846" i="28"/>
  <c r="A847" i="28"/>
  <c r="A848" i="28"/>
  <c r="A849" i="28"/>
  <c r="A850" i="28"/>
  <c r="A851" i="28"/>
  <c r="A852" i="28"/>
  <c r="A853" i="28"/>
  <c r="A854" i="28"/>
  <c r="A855" i="28"/>
  <c r="A856" i="28"/>
  <c r="A857" i="28"/>
  <c r="A858" i="28"/>
  <c r="A859" i="28"/>
  <c r="A860" i="28"/>
  <c r="A861" i="28"/>
  <c r="A862" i="28"/>
  <c r="A863" i="28"/>
  <c r="A864" i="28"/>
  <c r="A865" i="28"/>
  <c r="A866" i="28"/>
  <c r="A867" i="28"/>
  <c r="A868" i="28"/>
  <c r="A869" i="28"/>
  <c r="A870" i="28"/>
  <c r="A871" i="28"/>
  <c r="A872" i="28"/>
  <c r="A873" i="28"/>
  <c r="A874" i="28"/>
  <c r="A875" i="28"/>
  <c r="A876" i="28"/>
  <c r="A877" i="28"/>
  <c r="A878" i="28"/>
  <c r="A879" i="28"/>
  <c r="A880" i="28"/>
  <c r="A881" i="28"/>
  <c r="A882" i="28"/>
  <c r="A883" i="28"/>
  <c r="A884" i="28"/>
  <c r="A885" i="28"/>
  <c r="A886" i="28"/>
  <c r="A887" i="28"/>
  <c r="A888" i="28"/>
  <c r="A889" i="28"/>
  <c r="A890" i="28"/>
  <c r="A891" i="28"/>
  <c r="A892" i="28"/>
  <c r="A893" i="28"/>
  <c r="A894" i="28"/>
  <c r="A895" i="28"/>
  <c r="A896" i="28"/>
  <c r="A897" i="28"/>
  <c r="A898" i="28"/>
  <c r="A899" i="28"/>
  <c r="A900" i="28"/>
  <c r="A901" i="28"/>
  <c r="A902" i="28"/>
  <c r="A903" i="28"/>
  <c r="A904" i="28"/>
  <c r="A905" i="28"/>
  <c r="A906" i="28"/>
  <c r="A907" i="28"/>
  <c r="A908" i="28"/>
  <c r="A909" i="28"/>
  <c r="A910" i="28"/>
  <c r="A911" i="28"/>
  <c r="A912" i="28"/>
  <c r="A913" i="28"/>
  <c r="A914" i="28"/>
  <c r="A915" i="28"/>
  <c r="A916" i="28"/>
  <c r="A917" i="28"/>
  <c r="A918" i="28"/>
  <c r="A919" i="28"/>
  <c r="A920" i="28"/>
  <c r="A921" i="28"/>
  <c r="A922" i="28"/>
  <c r="A923" i="28"/>
  <c r="A924" i="28"/>
  <c r="A925" i="28"/>
  <c r="A926" i="28"/>
  <c r="A927" i="28"/>
  <c r="A928" i="28"/>
  <c r="A929" i="28"/>
  <c r="A930" i="28"/>
  <c r="A931" i="28"/>
  <c r="A932" i="28"/>
  <c r="A933" i="28"/>
  <c r="A934" i="28"/>
  <c r="A935" i="28"/>
  <c r="A936" i="28"/>
  <c r="A937" i="28"/>
  <c r="A938" i="28"/>
  <c r="A939" i="28"/>
  <c r="A940" i="28"/>
  <c r="A941" i="28"/>
  <c r="A942" i="28"/>
  <c r="A943" i="28"/>
  <c r="A944" i="28"/>
  <c r="A945" i="28"/>
  <c r="A946" i="28"/>
  <c r="A947" i="28"/>
  <c r="A948" i="28"/>
  <c r="A949" i="28"/>
  <c r="A950" i="28"/>
  <c r="A951" i="28"/>
  <c r="A952" i="28"/>
  <c r="A953" i="28"/>
  <c r="A954" i="28"/>
  <c r="A955" i="28"/>
  <c r="A956" i="28"/>
  <c r="A957" i="28"/>
  <c r="A958" i="28"/>
  <c r="A959" i="28"/>
  <c r="A960" i="28"/>
  <c r="A961" i="28"/>
  <c r="A962" i="28"/>
  <c r="A963" i="28"/>
  <c r="A964" i="28"/>
  <c r="A965" i="28"/>
  <c r="A966" i="28"/>
  <c r="A967" i="28"/>
  <c r="A968" i="28"/>
  <c r="A969" i="28"/>
  <c r="A970" i="28"/>
  <c r="A971" i="28"/>
  <c r="A972" i="28"/>
  <c r="A973" i="28"/>
  <c r="A974" i="28"/>
  <c r="A975" i="28"/>
  <c r="A976" i="28"/>
  <c r="A977" i="28"/>
  <c r="A978" i="28"/>
  <c r="A979" i="28"/>
  <c r="A980" i="28"/>
  <c r="A981" i="28"/>
  <c r="A982" i="28"/>
  <c r="A983" i="28"/>
  <c r="A984" i="28"/>
  <c r="A985" i="28"/>
  <c r="A986" i="28"/>
  <c r="A987" i="28"/>
  <c r="A988" i="28"/>
  <c r="A989" i="28"/>
  <c r="A990" i="28"/>
  <c r="A991" i="28"/>
  <c r="A992" i="28"/>
  <c r="A993" i="28"/>
  <c r="A994" i="28"/>
  <c r="A995" i="28"/>
  <c r="A996" i="28"/>
  <c r="A997" i="28"/>
  <c r="A998" i="28"/>
  <c r="A999" i="28"/>
  <c r="A1000" i="28"/>
  <c r="A1001" i="28"/>
  <c r="A1002" i="28"/>
  <c r="A1003" i="28"/>
  <c r="A1004" i="28"/>
  <c r="A1005" i="28"/>
  <c r="A1006" i="28"/>
  <c r="A1007" i="28"/>
  <c r="A1008" i="28"/>
  <c r="A1009" i="28"/>
  <c r="A1010" i="28"/>
  <c r="A1011" i="28"/>
  <c r="A1012" i="28"/>
  <c r="A1013" i="28"/>
  <c r="A1014" i="28"/>
  <c r="A1015" i="28"/>
  <c r="A1016" i="28"/>
  <c r="A1017" i="28"/>
  <c r="A1018" i="28"/>
  <c r="A1019" i="28"/>
  <c r="A1020" i="28"/>
  <c r="A1021" i="28"/>
  <c r="A1022" i="28"/>
  <c r="A1023" i="28"/>
  <c r="A1024" i="28"/>
  <c r="A1025" i="28"/>
  <c r="A1026" i="28"/>
  <c r="A1027" i="28"/>
  <c r="A1028" i="28"/>
  <c r="A1029" i="28"/>
  <c r="A1030" i="28"/>
  <c r="A1031" i="28"/>
  <c r="A1032" i="28"/>
  <c r="A1033" i="28"/>
  <c r="A1034" i="28"/>
  <c r="A1035" i="28"/>
  <c r="A1036" i="28"/>
  <c r="A1037" i="28"/>
  <c r="A1038" i="28"/>
  <c r="A1039" i="28"/>
  <c r="A1040" i="28"/>
  <c r="A1041" i="28"/>
  <c r="A1042" i="28"/>
  <c r="A1043" i="28"/>
  <c r="A1044" i="28"/>
  <c r="A1045" i="28"/>
  <c r="A1046" i="28"/>
  <c r="A1047" i="28"/>
  <c r="A1048" i="28"/>
  <c r="A1049" i="28"/>
  <c r="A1050" i="28"/>
  <c r="A1051" i="28"/>
  <c r="A1052" i="28"/>
  <c r="A1053" i="28"/>
  <c r="A1054" i="28"/>
  <c r="A1055" i="28"/>
  <c r="A1056" i="28"/>
  <c r="A1057" i="28"/>
  <c r="A1058" i="28"/>
  <c r="A1059" i="28"/>
  <c r="A1060" i="28"/>
  <c r="A1061" i="28"/>
  <c r="A1062" i="28"/>
  <c r="A1063" i="28"/>
  <c r="A1064" i="28"/>
  <c r="A1065" i="28"/>
  <c r="A1066" i="28"/>
  <c r="A1067" i="28"/>
  <c r="A1068" i="28"/>
  <c r="A1069" i="28"/>
  <c r="A1070" i="28"/>
  <c r="A1071" i="28"/>
  <c r="A1072" i="28"/>
  <c r="A1073" i="28"/>
  <c r="A1074" i="28"/>
  <c r="A1075" i="28"/>
  <c r="A1076" i="28"/>
  <c r="A1077" i="28"/>
  <c r="A1078" i="28"/>
  <c r="A1079" i="28"/>
  <c r="A1080" i="28"/>
  <c r="A1081" i="28"/>
  <c r="A1082" i="28"/>
  <c r="A1083" i="28"/>
  <c r="A1084" i="28"/>
  <c r="A1085" i="28"/>
  <c r="A1086" i="28"/>
  <c r="A1087" i="28"/>
  <c r="A1088" i="28"/>
  <c r="A1089" i="28"/>
  <c r="A1090" i="28"/>
  <c r="A1091" i="28"/>
  <c r="A1092" i="28"/>
  <c r="A1093" i="28"/>
  <c r="A1094" i="28"/>
  <c r="A1095" i="28"/>
  <c r="A1096" i="28"/>
  <c r="A1097" i="28"/>
  <c r="A1098" i="28"/>
  <c r="A1099" i="28"/>
  <c r="A1100" i="28"/>
  <c r="A1101" i="28"/>
  <c r="A1102" i="28"/>
  <c r="A1103" i="28"/>
  <c r="A1104" i="28"/>
  <c r="A1105" i="28"/>
  <c r="A1106" i="28"/>
  <c r="A1107" i="28"/>
  <c r="A1108" i="28"/>
  <c r="A1109" i="28"/>
  <c r="A1110" i="28"/>
  <c r="A1111" i="28"/>
  <c r="A1112" i="28"/>
  <c r="A1113" i="28"/>
  <c r="A1114" i="28"/>
  <c r="A1115" i="28"/>
  <c r="A1116" i="28"/>
  <c r="A1117" i="28"/>
  <c r="A1118" i="28"/>
  <c r="A1119" i="28"/>
  <c r="A1120" i="28"/>
  <c r="A1121" i="28"/>
  <c r="A1122" i="28"/>
  <c r="A1123" i="28"/>
  <c r="A1124" i="28"/>
  <c r="A1125" i="28"/>
  <c r="A1126" i="28"/>
  <c r="A1127" i="28"/>
  <c r="A1128" i="28"/>
  <c r="A1129" i="28"/>
  <c r="A1130" i="28"/>
  <c r="A1131" i="28"/>
  <c r="A1132" i="28"/>
  <c r="A1133" i="28"/>
  <c r="A1134" i="28"/>
  <c r="A1135" i="28"/>
  <c r="A1136" i="28"/>
  <c r="A1137" i="28"/>
  <c r="A1138" i="28"/>
  <c r="A1139" i="28"/>
  <c r="A1140" i="28"/>
  <c r="A1141" i="28"/>
  <c r="A1142" i="28"/>
  <c r="A1143" i="28"/>
  <c r="A1144" i="28"/>
  <c r="A1145" i="28"/>
  <c r="A1146" i="28"/>
  <c r="A1147" i="28"/>
  <c r="A1148" i="28"/>
  <c r="A1149" i="28"/>
  <c r="A1150" i="28"/>
  <c r="A1151" i="28"/>
  <c r="A1152" i="28"/>
  <c r="A1153" i="28"/>
  <c r="A1154" i="28"/>
  <c r="A1155" i="28"/>
  <c r="A1156" i="28"/>
  <c r="A1157" i="28"/>
  <c r="A1158" i="28"/>
  <c r="A1159" i="28"/>
  <c r="A1160" i="28"/>
  <c r="A1161" i="28"/>
  <c r="A1162" i="28"/>
  <c r="A1163" i="28"/>
  <c r="A1164" i="28"/>
  <c r="A1165" i="28"/>
  <c r="A1166" i="28"/>
  <c r="A1167" i="28"/>
  <c r="A1168" i="28"/>
  <c r="A1169" i="28"/>
  <c r="A1170" i="28"/>
  <c r="A1171" i="28"/>
  <c r="A1172" i="28"/>
  <c r="A1173" i="28"/>
  <c r="A1174" i="28"/>
  <c r="A1175" i="28"/>
  <c r="A1176" i="28"/>
  <c r="A1177" i="28"/>
  <c r="A1178" i="28"/>
  <c r="A1179" i="28"/>
  <c r="A1180" i="28"/>
  <c r="A1181" i="28"/>
  <c r="A1182" i="28"/>
  <c r="A1183" i="28"/>
  <c r="A1184" i="28"/>
  <c r="A1185" i="28"/>
  <c r="A1186" i="28"/>
  <c r="A1187" i="28"/>
  <c r="A1188" i="28"/>
  <c r="A1189" i="28"/>
  <c r="A1190" i="28"/>
  <c r="A1191" i="28"/>
  <c r="A1192" i="28"/>
  <c r="A1193" i="28"/>
  <c r="A1194" i="28"/>
  <c r="A1195" i="28"/>
  <c r="A1196" i="28"/>
  <c r="A1197" i="28"/>
  <c r="A1198" i="28"/>
  <c r="A1199" i="28"/>
  <c r="A1200" i="28"/>
  <c r="A1201" i="28"/>
  <c r="A1202" i="28"/>
  <c r="A1203" i="28"/>
  <c r="A1204" i="28"/>
  <c r="A1205" i="28"/>
  <c r="A1206" i="28"/>
  <c r="A1207" i="28"/>
  <c r="A1208" i="28"/>
  <c r="A1209" i="28"/>
  <c r="A1210" i="28"/>
  <c r="A1211" i="28"/>
  <c r="A1212" i="28"/>
  <c r="A1213" i="28"/>
  <c r="A1214" i="28"/>
  <c r="A1215" i="28"/>
  <c r="A1216" i="28"/>
  <c r="A1217" i="28"/>
  <c r="A1218" i="28"/>
  <c r="A1219" i="28"/>
  <c r="A1220" i="28"/>
  <c r="A1221" i="28"/>
  <c r="A1222" i="28"/>
  <c r="A1223" i="28"/>
  <c r="A1224" i="28"/>
  <c r="A1225" i="28"/>
  <c r="A1226" i="28"/>
  <c r="A1227" i="28"/>
  <c r="A1228" i="28"/>
  <c r="A1229" i="28"/>
  <c r="A1230" i="28"/>
  <c r="A1231" i="28"/>
  <c r="A1232" i="28"/>
  <c r="A1233" i="28"/>
  <c r="A1234" i="28"/>
  <c r="A1235" i="28"/>
  <c r="A1236" i="28"/>
  <c r="A1237" i="28"/>
  <c r="A1238" i="28"/>
  <c r="A1239" i="28"/>
  <c r="A1240" i="28"/>
  <c r="A1241" i="28"/>
  <c r="A1242" i="28"/>
  <c r="A1243" i="28"/>
  <c r="A1244" i="28"/>
  <c r="A1245" i="28"/>
  <c r="A1246" i="28"/>
  <c r="A1247" i="28"/>
  <c r="A1248" i="28"/>
  <c r="A1249" i="28"/>
  <c r="A1250" i="28"/>
  <c r="A1251" i="28"/>
  <c r="A1252" i="28"/>
  <c r="A1253" i="28"/>
  <c r="A1254" i="28"/>
  <c r="A1255" i="28"/>
  <c r="A1256" i="28"/>
  <c r="A1257" i="28"/>
  <c r="A1258" i="28"/>
  <c r="A1259" i="28"/>
  <c r="A1260" i="28"/>
  <c r="A1261" i="28"/>
  <c r="A1262" i="28"/>
  <c r="A1263" i="28"/>
  <c r="A1264" i="28"/>
  <c r="A1265" i="28"/>
  <c r="A1266" i="28"/>
  <c r="A1267" i="28"/>
  <c r="A1268" i="28"/>
  <c r="A1269" i="28"/>
  <c r="A1270" i="28"/>
  <c r="A1271" i="28"/>
  <c r="A1272" i="28"/>
  <c r="A1273" i="28"/>
  <c r="A1274" i="28"/>
  <c r="A1275" i="28"/>
  <c r="A1276" i="28"/>
  <c r="A1277" i="28"/>
  <c r="A1278" i="28"/>
  <c r="A1279" i="28"/>
  <c r="A1280" i="28"/>
  <c r="A1281" i="28"/>
  <c r="A1282" i="28"/>
  <c r="A1283" i="28"/>
  <c r="A1284" i="28"/>
  <c r="A1285" i="28"/>
  <c r="A1286" i="28"/>
  <c r="A1287" i="28"/>
  <c r="A1288" i="28"/>
  <c r="A1289" i="28"/>
  <c r="A1290" i="28"/>
  <c r="A1291" i="28"/>
  <c r="A1292" i="28"/>
  <c r="A1293" i="28"/>
  <c r="A1294" i="28"/>
  <c r="A1295" i="28"/>
  <c r="A1296" i="28"/>
  <c r="A1297" i="28"/>
  <c r="A1298" i="28"/>
  <c r="A1299" i="28"/>
  <c r="A1300" i="28"/>
  <c r="A1301" i="28"/>
  <c r="A1302" i="28"/>
  <c r="A1303" i="28"/>
  <c r="A1304" i="28"/>
  <c r="A1305" i="28"/>
  <c r="A1306" i="28"/>
  <c r="A1307" i="28"/>
  <c r="A1308" i="28"/>
  <c r="A1309" i="28"/>
  <c r="A1310" i="28"/>
  <c r="A1311" i="28"/>
  <c r="A1312" i="28"/>
  <c r="A1313" i="28"/>
  <c r="A1314" i="28"/>
  <c r="A1315" i="28"/>
  <c r="A1316" i="28"/>
  <c r="A1317" i="28"/>
  <c r="A1318" i="28"/>
  <c r="A1319" i="28"/>
  <c r="A1320" i="28"/>
  <c r="A1321" i="28"/>
  <c r="A1322" i="28"/>
  <c r="A1323" i="28"/>
  <c r="A1324" i="28"/>
  <c r="A1325" i="28"/>
  <c r="A1326" i="28"/>
  <c r="A1327" i="28"/>
  <c r="A1328" i="28"/>
  <c r="A1329" i="28"/>
  <c r="A1330" i="28"/>
  <c r="A1331" i="28"/>
  <c r="A1332" i="28"/>
  <c r="A1333" i="28"/>
  <c r="A1334" i="28"/>
  <c r="A1335" i="28"/>
  <c r="A1336" i="28"/>
  <c r="A1337" i="28"/>
  <c r="A1338" i="28"/>
  <c r="A1339" i="28"/>
  <c r="A1340" i="28"/>
  <c r="A1341" i="28"/>
  <c r="A1342" i="28"/>
  <c r="A1343" i="28"/>
  <c r="A1344" i="28"/>
  <c r="A1345" i="28"/>
  <c r="A1346" i="28"/>
  <c r="A1347" i="28"/>
  <c r="A1348" i="28"/>
  <c r="A1349" i="28"/>
  <c r="A1350" i="28"/>
  <c r="A1351" i="28"/>
  <c r="A1352" i="28"/>
  <c r="A1353" i="28"/>
  <c r="A1354" i="28"/>
  <c r="A1355" i="28"/>
  <c r="A1356" i="28"/>
  <c r="A1357" i="28"/>
  <c r="A1358" i="28"/>
  <c r="A1359" i="28"/>
  <c r="A1360" i="28"/>
  <c r="A1361" i="28"/>
  <c r="A1362" i="28"/>
  <c r="A1363" i="28"/>
  <c r="A1364" i="28"/>
  <c r="A1365" i="28"/>
  <c r="A1366" i="28"/>
  <c r="A1367" i="28"/>
  <c r="A1368" i="28"/>
  <c r="A1369" i="28"/>
  <c r="A1370" i="28"/>
  <c r="A1371" i="28"/>
  <c r="A1372" i="28"/>
  <c r="A1373" i="28"/>
  <c r="A1374" i="28"/>
  <c r="A1375" i="28"/>
  <c r="A1376" i="28"/>
  <c r="A1377" i="28"/>
  <c r="A1378" i="28"/>
  <c r="A1379" i="28"/>
  <c r="A1380" i="28"/>
  <c r="A1381" i="28"/>
  <c r="A1382" i="28"/>
  <c r="A1383" i="28"/>
  <c r="A1384" i="28"/>
  <c r="A1385" i="28"/>
  <c r="A1386" i="28"/>
  <c r="A1387" i="28"/>
  <c r="A1388" i="28"/>
  <c r="A1389" i="28"/>
  <c r="A1390" i="28"/>
  <c r="A1391" i="28"/>
  <c r="A1392" i="28"/>
  <c r="A1393" i="28"/>
  <c r="A1394" i="28"/>
  <c r="A1395" i="28"/>
  <c r="A1396" i="28"/>
  <c r="A1397" i="28"/>
  <c r="A1398" i="28"/>
  <c r="A1399" i="28"/>
  <c r="A1400" i="28"/>
  <c r="A1401" i="28"/>
  <c r="A1402" i="28"/>
  <c r="A1403" i="28"/>
  <c r="A1404" i="28"/>
  <c r="A1405" i="28"/>
  <c r="A1406" i="28"/>
  <c r="A1407" i="28"/>
  <c r="A1408" i="28"/>
  <c r="A1409" i="28"/>
  <c r="A1410" i="28"/>
  <c r="A1411" i="28"/>
  <c r="A1412" i="28"/>
  <c r="A1413" i="28"/>
  <c r="A1414" i="28"/>
  <c r="A1415" i="28"/>
  <c r="A1416" i="28"/>
  <c r="A1417" i="28"/>
  <c r="A1418" i="28"/>
  <c r="A1419" i="28"/>
  <c r="A1420" i="28"/>
  <c r="A1421" i="28"/>
  <c r="A1422" i="28"/>
  <c r="A1423" i="28"/>
  <c r="A1424" i="28"/>
  <c r="A1425" i="28"/>
  <c r="A1426" i="28"/>
  <c r="A1427" i="28"/>
  <c r="A1428" i="28"/>
  <c r="A1429" i="28"/>
  <c r="A1430" i="28"/>
  <c r="A1431" i="28"/>
  <c r="A1432" i="28"/>
  <c r="A1433" i="28"/>
  <c r="A1434" i="28"/>
  <c r="A1435" i="28"/>
  <c r="A1436" i="28"/>
  <c r="A1437" i="28"/>
  <c r="A1438" i="28"/>
  <c r="A1439" i="28"/>
  <c r="A1440" i="28"/>
  <c r="A1441" i="28"/>
  <c r="A1442" i="28"/>
  <c r="A1443" i="28"/>
  <c r="A1444" i="28"/>
  <c r="A1445" i="28"/>
  <c r="A1446" i="28"/>
  <c r="A1447" i="28"/>
  <c r="A1448" i="28"/>
  <c r="A1449" i="28"/>
  <c r="A1450" i="28"/>
  <c r="A1451" i="28"/>
  <c r="A1452" i="28"/>
  <c r="A1453" i="28"/>
  <c r="A1454" i="28"/>
  <c r="A1455" i="28"/>
  <c r="A1456" i="28"/>
  <c r="A1457" i="28"/>
  <c r="A1458" i="28"/>
  <c r="A1459" i="28"/>
  <c r="A1460" i="28"/>
  <c r="A1461" i="28"/>
  <c r="A1462" i="28"/>
  <c r="A1463" i="28"/>
  <c r="A1464" i="28"/>
  <c r="A1465" i="28"/>
  <c r="A1466" i="28"/>
  <c r="A1467" i="28"/>
  <c r="A1468" i="28"/>
  <c r="A1469" i="28"/>
  <c r="A1470" i="28"/>
  <c r="A1471" i="28"/>
  <c r="A1472" i="28"/>
  <c r="A1473" i="28"/>
  <c r="A1474" i="28"/>
  <c r="A1475" i="28"/>
  <c r="A1476" i="28"/>
  <c r="A1477" i="28"/>
  <c r="A1478" i="28"/>
  <c r="A1479" i="28"/>
  <c r="A1480" i="28"/>
  <c r="A1481" i="28"/>
  <c r="A1482" i="28"/>
  <c r="A1483" i="28"/>
  <c r="A1484" i="28"/>
  <c r="A1485" i="28"/>
  <c r="A1486" i="28"/>
  <c r="A1487" i="28"/>
  <c r="A1488" i="28"/>
  <c r="A1489" i="28"/>
  <c r="A1490" i="28"/>
  <c r="A1491" i="28"/>
  <c r="A1492" i="28"/>
  <c r="A1493" i="28"/>
  <c r="A1494" i="28"/>
  <c r="A1495" i="28"/>
  <c r="A1496" i="28"/>
  <c r="A1497" i="28"/>
  <c r="A1498" i="28"/>
  <c r="A1499" i="28"/>
  <c r="A1500" i="28"/>
  <c r="A1501" i="28"/>
  <c r="A1502" i="28"/>
  <c r="A1503" i="28"/>
  <c r="A1504" i="28"/>
  <c r="A1505" i="28"/>
  <c r="A1506" i="28"/>
  <c r="A1507" i="28"/>
  <c r="A1508" i="28"/>
  <c r="A1509" i="28"/>
  <c r="A1510" i="28"/>
  <c r="A1511" i="28"/>
  <c r="A1512" i="28"/>
  <c r="A1513" i="28"/>
  <c r="A1514" i="28"/>
  <c r="A1515" i="28"/>
  <c r="A1516" i="28"/>
  <c r="A1517" i="28"/>
  <c r="A1518" i="28"/>
  <c r="A1519" i="28"/>
  <c r="A1520" i="28"/>
  <c r="A1521" i="28"/>
  <c r="A1522" i="28"/>
  <c r="A1523" i="28"/>
  <c r="A1524" i="28"/>
  <c r="A1525" i="28"/>
  <c r="A1526" i="28"/>
  <c r="A1527" i="28"/>
  <c r="A1528" i="28"/>
  <c r="A1529" i="28"/>
  <c r="A1530" i="28"/>
  <c r="A1531" i="28"/>
  <c r="A1532" i="28"/>
  <c r="A1533" i="28"/>
  <c r="A1534" i="28"/>
  <c r="A1535" i="28"/>
  <c r="A1536" i="28"/>
  <c r="A1537" i="28"/>
  <c r="A1538" i="28"/>
  <c r="A1539" i="28"/>
  <c r="A1540" i="28"/>
  <c r="A1541" i="28"/>
  <c r="A1542" i="28"/>
  <c r="A1543" i="28"/>
  <c r="A1544" i="28"/>
  <c r="A1545" i="28"/>
  <c r="A1546" i="28"/>
  <c r="A1547" i="28"/>
  <c r="A1548" i="28"/>
  <c r="A1549" i="28"/>
  <c r="A1550" i="28"/>
  <c r="A1551" i="28"/>
  <c r="A1552" i="28"/>
  <c r="A1553" i="28"/>
  <c r="A1554" i="28"/>
  <c r="A1555" i="28"/>
  <c r="A1556" i="28"/>
  <c r="A1557" i="28"/>
  <c r="A1558" i="28"/>
  <c r="A1559" i="28"/>
  <c r="A1560" i="28"/>
  <c r="A1561" i="28"/>
  <c r="A1562" i="28"/>
  <c r="A1563" i="28"/>
  <c r="A1564" i="28"/>
  <c r="A1565" i="28"/>
  <c r="A1566" i="28"/>
  <c r="A1567" i="28"/>
  <c r="A1568" i="28"/>
  <c r="A1569" i="28"/>
  <c r="A1570" i="28"/>
  <c r="A1571" i="28"/>
  <c r="A1572" i="28"/>
  <c r="A1573" i="28"/>
  <c r="A1574" i="28"/>
  <c r="A1575" i="28"/>
  <c r="A1576" i="28"/>
  <c r="A1577" i="28"/>
  <c r="A1578" i="28"/>
  <c r="A1579" i="28"/>
  <c r="A1580" i="28"/>
  <c r="A1581" i="28"/>
  <c r="A1582" i="28"/>
  <c r="A1583" i="28"/>
  <c r="A1584" i="28"/>
  <c r="A1585" i="28"/>
  <c r="A1586" i="28"/>
  <c r="A1587" i="28"/>
  <c r="A1588" i="28"/>
  <c r="A1589" i="28"/>
  <c r="A1590" i="28"/>
  <c r="A1591" i="28"/>
  <c r="A1592" i="28"/>
  <c r="A1593" i="28"/>
  <c r="A1594" i="28"/>
  <c r="A1595" i="28"/>
  <c r="A1596" i="28"/>
  <c r="A1597" i="28"/>
  <c r="A1598" i="28"/>
  <c r="A1599" i="28"/>
  <c r="A1600" i="28"/>
  <c r="A1601" i="28"/>
  <c r="A1602" i="28"/>
  <c r="A1603" i="28"/>
  <c r="A1604" i="28"/>
  <c r="A1605" i="28"/>
  <c r="A1606" i="28"/>
  <c r="A1607" i="28"/>
  <c r="A1608" i="28"/>
  <c r="A1609" i="28"/>
  <c r="A1610" i="28"/>
  <c r="A1611" i="28"/>
  <c r="A1612" i="28"/>
  <c r="A1613" i="28"/>
  <c r="A1614" i="28"/>
  <c r="A1615" i="28"/>
  <c r="A1616" i="28"/>
  <c r="A1617" i="28"/>
  <c r="A1618" i="28"/>
  <c r="A1619" i="28"/>
  <c r="A1620" i="28"/>
  <c r="A1621" i="28"/>
  <c r="A1622" i="28"/>
  <c r="A1623" i="28"/>
  <c r="A1624" i="28"/>
  <c r="A1625" i="28"/>
  <c r="A1626" i="28"/>
  <c r="A1627" i="28"/>
  <c r="A1628" i="28"/>
  <c r="A1629" i="28"/>
  <c r="A1630" i="28"/>
  <c r="A1631" i="28"/>
  <c r="A1632" i="28"/>
  <c r="A1633" i="28"/>
  <c r="A1634" i="28"/>
  <c r="A1635" i="28"/>
  <c r="A1636" i="28"/>
  <c r="A1637" i="28"/>
  <c r="A1638" i="28"/>
  <c r="A1639" i="28"/>
  <c r="A1640" i="28"/>
  <c r="A1641" i="28"/>
  <c r="A1642" i="28"/>
  <c r="A1643" i="28"/>
  <c r="A1644" i="28"/>
  <c r="A1645" i="28"/>
  <c r="A1646" i="28"/>
  <c r="A1647" i="28"/>
  <c r="A1648" i="28"/>
  <c r="A1649" i="28"/>
  <c r="A1650" i="28"/>
  <c r="A1651" i="28"/>
  <c r="A1652" i="28"/>
  <c r="A1653" i="28"/>
  <c r="A1654" i="28"/>
  <c r="A1655" i="28"/>
  <c r="A1656" i="28"/>
  <c r="A1657" i="28"/>
  <c r="A1658" i="28"/>
  <c r="A1659" i="28"/>
  <c r="A1660" i="28"/>
  <c r="A1661" i="28"/>
  <c r="A1662" i="28"/>
  <c r="A1663" i="28"/>
  <c r="A1664" i="28"/>
  <c r="A1665" i="28"/>
  <c r="A1666" i="28"/>
  <c r="A1667" i="28"/>
  <c r="A1668" i="28"/>
  <c r="A1669" i="28"/>
  <c r="A1670" i="28"/>
  <c r="A1671" i="28"/>
  <c r="A1672" i="28"/>
  <c r="A1673" i="28"/>
  <c r="A1674" i="28"/>
  <c r="A1675" i="28"/>
  <c r="A1676" i="28"/>
  <c r="A1677" i="28"/>
  <c r="A1678" i="28"/>
  <c r="A1679" i="28"/>
  <c r="A1680" i="28"/>
  <c r="A1681" i="28"/>
  <c r="A1682" i="28"/>
  <c r="A1683" i="28"/>
  <c r="A1684" i="28"/>
  <c r="A1685" i="28"/>
  <c r="A1686" i="28"/>
  <c r="A1687" i="28"/>
  <c r="A1688" i="28"/>
  <c r="A1689" i="28"/>
  <c r="A1690" i="28"/>
  <c r="A1691" i="28"/>
  <c r="A1692" i="28"/>
  <c r="A1693" i="28"/>
  <c r="A1694" i="28"/>
  <c r="A1695" i="28"/>
  <c r="A1696" i="28"/>
  <c r="A1697" i="28"/>
  <c r="A1698" i="28"/>
  <c r="A1699" i="28"/>
  <c r="A1700" i="28"/>
  <c r="A1701" i="28"/>
  <c r="A1702" i="28"/>
  <c r="A1703" i="28"/>
  <c r="A1704" i="28"/>
  <c r="A1705" i="28"/>
  <c r="A1706" i="28"/>
  <c r="A1707" i="28"/>
  <c r="A1708" i="28"/>
  <c r="A1709" i="28"/>
  <c r="A1710" i="28"/>
  <c r="A1711" i="28"/>
  <c r="A1712" i="28"/>
  <c r="A1713" i="28"/>
  <c r="A1714" i="28"/>
  <c r="A1715" i="28"/>
  <c r="A1716" i="28"/>
  <c r="A1717" i="28"/>
  <c r="A1718" i="28"/>
  <c r="A1719" i="28"/>
  <c r="A1720" i="28"/>
  <c r="A1721" i="28"/>
  <c r="A1722" i="28"/>
  <c r="A1723" i="28"/>
  <c r="A1724" i="28"/>
  <c r="A1725" i="28"/>
  <c r="A1726" i="28"/>
  <c r="A1727" i="28"/>
  <c r="A1728" i="28"/>
  <c r="A1729" i="28"/>
  <c r="A1730" i="28"/>
  <c r="A1731" i="28"/>
  <c r="A1732" i="28"/>
  <c r="A1733" i="28"/>
  <c r="A1734" i="28"/>
  <c r="A1735" i="28"/>
  <c r="A1736" i="28"/>
  <c r="A1737" i="28"/>
  <c r="A1738" i="28"/>
  <c r="A1739" i="28"/>
  <c r="A1740" i="28"/>
  <c r="A1741" i="28"/>
  <c r="A1742" i="28"/>
  <c r="A1743" i="28"/>
  <c r="A1744" i="28"/>
  <c r="A1745" i="28"/>
  <c r="A1746" i="28"/>
  <c r="A1747" i="28"/>
  <c r="A1748" i="28"/>
  <c r="A1749" i="28"/>
  <c r="A1750" i="28"/>
  <c r="A1751" i="28"/>
  <c r="A1752" i="28"/>
  <c r="A1753" i="28"/>
  <c r="A1754" i="28"/>
  <c r="A1755" i="28"/>
  <c r="A1756" i="28"/>
  <c r="A1757" i="28"/>
  <c r="A1758" i="28"/>
  <c r="A1759" i="28"/>
  <c r="A1760" i="28"/>
  <c r="A1761" i="28"/>
  <c r="A1762" i="28"/>
  <c r="A1763" i="28"/>
  <c r="A1764" i="28"/>
  <c r="A1765" i="28"/>
  <c r="A1766" i="28"/>
  <c r="A1767" i="28"/>
  <c r="A1768" i="28"/>
  <c r="A1769" i="28"/>
  <c r="A1770" i="28"/>
  <c r="A1771" i="28"/>
  <c r="A1772" i="28"/>
  <c r="A1773" i="28"/>
  <c r="A1774" i="28"/>
  <c r="A1775" i="28"/>
  <c r="A1776" i="28"/>
  <c r="A1777" i="28"/>
  <c r="A1778" i="28"/>
  <c r="A1779" i="28"/>
  <c r="A1780" i="28"/>
  <c r="A1781" i="28"/>
  <c r="A1782" i="28"/>
  <c r="A1783" i="28"/>
  <c r="A1784" i="28"/>
  <c r="A1785" i="28"/>
  <c r="A1786" i="28"/>
  <c r="A1787" i="28"/>
  <c r="A1788" i="28"/>
  <c r="A1789" i="28"/>
  <c r="A1790" i="28"/>
  <c r="A1791" i="28"/>
  <c r="A1792" i="28"/>
  <c r="A1793" i="28"/>
  <c r="A1794" i="28"/>
  <c r="A1795" i="28"/>
  <c r="A1796" i="28"/>
  <c r="A1797" i="28"/>
  <c r="A1798" i="28"/>
  <c r="A1799" i="28"/>
  <c r="A1800" i="28"/>
  <c r="A1801" i="28"/>
  <c r="A1802" i="28"/>
  <c r="A1803" i="28"/>
  <c r="A1804" i="28"/>
  <c r="A1805" i="28"/>
  <c r="A1806" i="28"/>
  <c r="A1807" i="28"/>
  <c r="A1808" i="28"/>
  <c r="A1809" i="28"/>
  <c r="A1810" i="28"/>
  <c r="A1811" i="28"/>
  <c r="A1812" i="28"/>
  <c r="A1813" i="28"/>
  <c r="A1814" i="28"/>
  <c r="A1815" i="28"/>
  <c r="A1816" i="28"/>
  <c r="A1817" i="28"/>
  <c r="A1818" i="28"/>
  <c r="A1819" i="28"/>
  <c r="A1820" i="28"/>
  <c r="A1821" i="28"/>
  <c r="A1822" i="28"/>
  <c r="A1823" i="28"/>
  <c r="A1824" i="28"/>
  <c r="A1825" i="28"/>
  <c r="A1826" i="28"/>
  <c r="A1827" i="28"/>
  <c r="A1828" i="28"/>
  <c r="A1829" i="28"/>
  <c r="A1830" i="28"/>
  <c r="A1831" i="28"/>
  <c r="A1832" i="28"/>
  <c r="A1833" i="28"/>
  <c r="A1834" i="28"/>
  <c r="A1835" i="28"/>
  <c r="A1836" i="28"/>
  <c r="A1837" i="28"/>
  <c r="A1838" i="28"/>
  <c r="A1839" i="28"/>
  <c r="A1840" i="28"/>
  <c r="A1841" i="28"/>
  <c r="A1842" i="28"/>
  <c r="A1843" i="28"/>
  <c r="A1844" i="28"/>
  <c r="A1845" i="28"/>
  <c r="A1846" i="28"/>
  <c r="A1847" i="28"/>
  <c r="A1848" i="28"/>
  <c r="A1849" i="28"/>
  <c r="A1850" i="28"/>
  <c r="A1851" i="28"/>
  <c r="A1852" i="28"/>
  <c r="A1853" i="28"/>
  <c r="A1854" i="28"/>
  <c r="A1855" i="28"/>
  <c r="A1856" i="28"/>
  <c r="A1857" i="28"/>
  <c r="A1858" i="28"/>
  <c r="A1859" i="28"/>
  <c r="A1860" i="28"/>
  <c r="A1861" i="28"/>
  <c r="A1862" i="28"/>
  <c r="A1863" i="28"/>
  <c r="A1864" i="28"/>
  <c r="A1865" i="28"/>
  <c r="A1866" i="28"/>
  <c r="A1867" i="28"/>
  <c r="A1868" i="28"/>
  <c r="A1869" i="28"/>
  <c r="A1870" i="28"/>
  <c r="A1871" i="28"/>
  <c r="A1872" i="28"/>
  <c r="A1873" i="28"/>
  <c r="A1874" i="28"/>
  <c r="A1875" i="28"/>
  <c r="A1876" i="28"/>
  <c r="A1877" i="28"/>
  <c r="A1878" i="28"/>
  <c r="A1879" i="28"/>
  <c r="A1880" i="28"/>
  <c r="A1881" i="28"/>
  <c r="A1882" i="28"/>
  <c r="A1883" i="28"/>
  <c r="A1884" i="28"/>
  <c r="A1885" i="28"/>
  <c r="A1886" i="28"/>
  <c r="A1887" i="28"/>
  <c r="A1888" i="28"/>
  <c r="A1889" i="28"/>
  <c r="A1890" i="28"/>
  <c r="A1891" i="28"/>
  <c r="A1892" i="28"/>
  <c r="A1893" i="28"/>
  <c r="A1894" i="28"/>
  <c r="A1895" i="28"/>
  <c r="A1896" i="28"/>
  <c r="A1897" i="28"/>
  <c r="A1898" i="28"/>
  <c r="A1899" i="28"/>
  <c r="A1900" i="28"/>
  <c r="A1901" i="28"/>
  <c r="A1902" i="28"/>
  <c r="A1903" i="28"/>
  <c r="A1904" i="28"/>
  <c r="A1905" i="28"/>
  <c r="A1906" i="28"/>
  <c r="A1907" i="28"/>
  <c r="A1908" i="28"/>
  <c r="A1909" i="28"/>
  <c r="A1910" i="28"/>
  <c r="A1911" i="28"/>
  <c r="A1912" i="28"/>
  <c r="A1913" i="28"/>
  <c r="A1914" i="28"/>
  <c r="A1915" i="28"/>
  <c r="A1916" i="28"/>
  <c r="A1917" i="28"/>
  <c r="A1918" i="28"/>
  <c r="A1919" i="28"/>
  <c r="A1920" i="28"/>
  <c r="A1921" i="28"/>
  <c r="A1922" i="28"/>
  <c r="A1923" i="28"/>
  <c r="A1924" i="28"/>
  <c r="A1925" i="28"/>
  <c r="A1926" i="28"/>
  <c r="A1927" i="28"/>
  <c r="A1928" i="28"/>
  <c r="A1929" i="28"/>
  <c r="A1930" i="28"/>
  <c r="A1931" i="28"/>
  <c r="A1932" i="28"/>
  <c r="A1933" i="28"/>
  <c r="A1934" i="28"/>
  <c r="A1935" i="28"/>
  <c r="A1936" i="28"/>
  <c r="A1937" i="28"/>
  <c r="A1938" i="28"/>
  <c r="A1939" i="28"/>
  <c r="A1940" i="28"/>
  <c r="A1941" i="28"/>
  <c r="A1942" i="28"/>
  <c r="A1943" i="28"/>
  <c r="A1944" i="28"/>
  <c r="A1945" i="28"/>
  <c r="A1946" i="28"/>
  <c r="A1947" i="28"/>
  <c r="A1948" i="28"/>
  <c r="A1949" i="28"/>
  <c r="A1950" i="28"/>
  <c r="A1951" i="28"/>
  <c r="A1952" i="28"/>
  <c r="A1953" i="28"/>
  <c r="A1954" i="28"/>
  <c r="A1955" i="28"/>
  <c r="A1956" i="28"/>
  <c r="A1957" i="28"/>
  <c r="A1958" i="28"/>
  <c r="A1959" i="28"/>
  <c r="A1960" i="28"/>
  <c r="A1961" i="28"/>
  <c r="A1962" i="28"/>
  <c r="A1963" i="28"/>
  <c r="A1964" i="28"/>
  <c r="A1965" i="28"/>
  <c r="A1966" i="28"/>
  <c r="A1967" i="28"/>
  <c r="A1968" i="28"/>
  <c r="A1969" i="28"/>
  <c r="A1970" i="28"/>
  <c r="A1971" i="28"/>
  <c r="A1972" i="28"/>
  <c r="A1973" i="28"/>
  <c r="A1974" i="28"/>
  <c r="A1975" i="28"/>
  <c r="A1976" i="28"/>
  <c r="A1977" i="28"/>
  <c r="A1978" i="28"/>
  <c r="A1979" i="28"/>
  <c r="A1980" i="28"/>
  <c r="A1981" i="28"/>
  <c r="A1982" i="28"/>
  <c r="A1983" i="28"/>
  <c r="A1984" i="28"/>
  <c r="A1985" i="28"/>
  <c r="A1986" i="28"/>
  <c r="A1987" i="28"/>
  <c r="A1988" i="28"/>
  <c r="A1989" i="28"/>
  <c r="A1990" i="28"/>
  <c r="A1991" i="28"/>
  <c r="A1992" i="28"/>
  <c r="A1993" i="28"/>
  <c r="A1994" i="28"/>
  <c r="A1995" i="28"/>
  <c r="A1996" i="28"/>
  <c r="A1997" i="28"/>
  <c r="A1998" i="28"/>
  <c r="A1999" i="28"/>
  <c r="A2000" i="28"/>
  <c r="A2001" i="28"/>
  <c r="A2002" i="28"/>
  <c r="A2003" i="28"/>
  <c r="A2004" i="28"/>
  <c r="A2005" i="28"/>
  <c r="A2006" i="28"/>
  <c r="A2007" i="28"/>
  <c r="A2008" i="28"/>
  <c r="A2009" i="28"/>
  <c r="A2010" i="28"/>
  <c r="A2011" i="28"/>
  <c r="A2012" i="28"/>
  <c r="A2013" i="28"/>
  <c r="A2014" i="28"/>
  <c r="A2015" i="28"/>
  <c r="A2016" i="28"/>
  <c r="A2017" i="28"/>
  <c r="A2018" i="28"/>
  <c r="A2019" i="28"/>
  <c r="A2020" i="28"/>
  <c r="A2021" i="28"/>
  <c r="A2022" i="28"/>
  <c r="A2023" i="28"/>
  <c r="A2024" i="28"/>
  <c r="A2025" i="28"/>
  <c r="A2026" i="28"/>
  <c r="A2027" i="28"/>
  <c r="A2028" i="28"/>
  <c r="A2029" i="28"/>
  <c r="A2030" i="28"/>
  <c r="A2031" i="28"/>
  <c r="A2032" i="28"/>
  <c r="A2033" i="28"/>
  <c r="A2034" i="28"/>
  <c r="A2035" i="28"/>
  <c r="A2036" i="28"/>
  <c r="A2037" i="28"/>
  <c r="A2038" i="28"/>
  <c r="A2039" i="28"/>
  <c r="A2040" i="28"/>
  <c r="A2041" i="28"/>
  <c r="A2042" i="28"/>
  <c r="A2043" i="28"/>
  <c r="A2044" i="28"/>
  <c r="A2045" i="28"/>
  <c r="A2046" i="28"/>
  <c r="A2047" i="28"/>
  <c r="A2048" i="28"/>
  <c r="A2049" i="28"/>
  <c r="A2050" i="28"/>
  <c r="A2051" i="28"/>
  <c r="A2052" i="28"/>
  <c r="A2053" i="28"/>
  <c r="A2054" i="28"/>
  <c r="A2055" i="28"/>
  <c r="A2056" i="28"/>
  <c r="A2057" i="28"/>
  <c r="A2058" i="28"/>
  <c r="A2059" i="28"/>
  <c r="A2060" i="28"/>
  <c r="A2061" i="28"/>
  <c r="A2062" i="28"/>
  <c r="A2063" i="28"/>
  <c r="A2064" i="28"/>
  <c r="A2065" i="28"/>
  <c r="A2066" i="28"/>
  <c r="A2067" i="28"/>
  <c r="A2068" i="28"/>
  <c r="A2069" i="28"/>
  <c r="A2070" i="28"/>
  <c r="A2071" i="28"/>
  <c r="A2072" i="28"/>
  <c r="A2073" i="28"/>
  <c r="A2074" i="28"/>
  <c r="A2075" i="28"/>
  <c r="A2076" i="28"/>
  <c r="A2077" i="28"/>
  <c r="A2078" i="28"/>
  <c r="A2079" i="28"/>
  <c r="A2080" i="28"/>
  <c r="A2081" i="28"/>
  <c r="A2082" i="28"/>
  <c r="A2083" i="28"/>
  <c r="A2084" i="28"/>
  <c r="A2085" i="28"/>
  <c r="A2086" i="28"/>
  <c r="A2087" i="28"/>
  <c r="A2088" i="28"/>
  <c r="A2089" i="28"/>
  <c r="A2090" i="28"/>
  <c r="A2091" i="28"/>
  <c r="A2092" i="28"/>
  <c r="A2093" i="28"/>
  <c r="A2094" i="28"/>
  <c r="A2095" i="28"/>
  <c r="A2096" i="28"/>
  <c r="A2097" i="28"/>
  <c r="A2098" i="28"/>
  <c r="A2099" i="28"/>
  <c r="A2100" i="28"/>
  <c r="A2101" i="28"/>
  <c r="A2102" i="28"/>
  <c r="A2103" i="28"/>
  <c r="A2104" i="28"/>
  <c r="A2105" i="28"/>
  <c r="A2106" i="28"/>
  <c r="A2107" i="28"/>
  <c r="A2108" i="28"/>
  <c r="A2109" i="28"/>
  <c r="A2110" i="28"/>
  <c r="A2111" i="28"/>
  <c r="A2112" i="28"/>
  <c r="A2113" i="28"/>
  <c r="A2114" i="28"/>
  <c r="A2115" i="28"/>
  <c r="A2116" i="28"/>
  <c r="A2117" i="28"/>
  <c r="A2118" i="28"/>
  <c r="A2119" i="28"/>
  <c r="A2120" i="28"/>
  <c r="A2121" i="28"/>
  <c r="A2122" i="28"/>
  <c r="A2123" i="28"/>
  <c r="A2124" i="28"/>
  <c r="A2125" i="28"/>
  <c r="A2126" i="28"/>
  <c r="A2127" i="28"/>
  <c r="A2128" i="28"/>
  <c r="A2129" i="28"/>
  <c r="A2130" i="28"/>
  <c r="A2131" i="28"/>
  <c r="A2132" i="28"/>
  <c r="A2133" i="28"/>
  <c r="A2134" i="28"/>
  <c r="A2135" i="28"/>
  <c r="A2136" i="28"/>
  <c r="A2137" i="28"/>
  <c r="A2138" i="28"/>
  <c r="A2139" i="28"/>
  <c r="A2140" i="28"/>
  <c r="A2141" i="28"/>
  <c r="A2142" i="28"/>
  <c r="A2143" i="28"/>
  <c r="A2144" i="28"/>
  <c r="A2145" i="28"/>
  <c r="A2146" i="28"/>
  <c r="A2147" i="28"/>
  <c r="A2148" i="28"/>
  <c r="A2149" i="28"/>
  <c r="A2150" i="28"/>
  <c r="A2151" i="28"/>
  <c r="A2152" i="28"/>
  <c r="A2153" i="28"/>
  <c r="A2154" i="28"/>
  <c r="A2155" i="28"/>
  <c r="A2156" i="28"/>
  <c r="A2157" i="28"/>
  <c r="A2158" i="28"/>
  <c r="A2159" i="28"/>
  <c r="A2160" i="28"/>
  <c r="A2161" i="28"/>
  <c r="A2162" i="28"/>
  <c r="A2163" i="28"/>
  <c r="A2164" i="28"/>
  <c r="A2165" i="28"/>
  <c r="A2166" i="28"/>
  <c r="A2167" i="28"/>
  <c r="A2168" i="28"/>
  <c r="A2169" i="28"/>
  <c r="A2170" i="28"/>
  <c r="A2171" i="28"/>
  <c r="A2172" i="28"/>
  <c r="A2173" i="28"/>
  <c r="A2174" i="28"/>
  <c r="A2175" i="28"/>
  <c r="A2176" i="28"/>
  <c r="A2177" i="28"/>
  <c r="A2178" i="28"/>
  <c r="A2179" i="28"/>
  <c r="A2180" i="28"/>
  <c r="A2181" i="28"/>
  <c r="A2182" i="28"/>
  <c r="A2183" i="28"/>
  <c r="A2184" i="28"/>
  <c r="A2185" i="28"/>
  <c r="A2186" i="28"/>
  <c r="A2187" i="28"/>
  <c r="A2188" i="28"/>
  <c r="A2189" i="28"/>
  <c r="A2190" i="28"/>
  <c r="A2191" i="28"/>
  <c r="A2192" i="28"/>
  <c r="A2193" i="28"/>
  <c r="A2194" i="28"/>
  <c r="A2195" i="28"/>
  <c r="A2196" i="28"/>
  <c r="A2197" i="28"/>
  <c r="A2198" i="28"/>
  <c r="A2199" i="28"/>
  <c r="A2200" i="28"/>
  <c r="A2201" i="28"/>
  <c r="A2202" i="28"/>
  <c r="A2203" i="28"/>
  <c r="A2204" i="28"/>
  <c r="A2205" i="28"/>
  <c r="A2206" i="28"/>
  <c r="A2207" i="28"/>
  <c r="A2208" i="28"/>
  <c r="A2209" i="28"/>
  <c r="A2210" i="28"/>
  <c r="A2211" i="28"/>
  <c r="A2212" i="28"/>
  <c r="A2213" i="28"/>
  <c r="A2214" i="28"/>
  <c r="A2215" i="28"/>
  <c r="A2216" i="28"/>
  <c r="A2217" i="28"/>
  <c r="A2218" i="28"/>
  <c r="A2219" i="28"/>
  <c r="A2220" i="28"/>
  <c r="A2221" i="28"/>
  <c r="A2222" i="28"/>
  <c r="A2223" i="28"/>
  <c r="A2224" i="28"/>
  <c r="A2225" i="28"/>
  <c r="A2226" i="28"/>
  <c r="A2227" i="28"/>
  <c r="A2228" i="28"/>
  <c r="A2229" i="28"/>
  <c r="A2230" i="28"/>
  <c r="A2231" i="28"/>
  <c r="A2232" i="28"/>
  <c r="A2233" i="28"/>
  <c r="A2234" i="28"/>
  <c r="A2235" i="28"/>
  <c r="A2236" i="28"/>
  <c r="A2237" i="28"/>
  <c r="A2238" i="28"/>
  <c r="A2239" i="28"/>
  <c r="A2240" i="28"/>
  <c r="A2241" i="28"/>
  <c r="A2242" i="28"/>
  <c r="A2243" i="28"/>
  <c r="A2244" i="28"/>
  <c r="A2245" i="28"/>
  <c r="A2246" i="28"/>
  <c r="A2247" i="28"/>
  <c r="A2248" i="28"/>
  <c r="A2249" i="28"/>
  <c r="A2250" i="28"/>
  <c r="A2251" i="28"/>
  <c r="A2252" i="28"/>
  <c r="A2253" i="28"/>
  <c r="A2254" i="28"/>
  <c r="A2255" i="28"/>
  <c r="A2256" i="28"/>
  <c r="A2257" i="28"/>
  <c r="A2258" i="28"/>
  <c r="A2259" i="28"/>
  <c r="A2260" i="28"/>
  <c r="A2261" i="28"/>
  <c r="A2262" i="28"/>
  <c r="A2263" i="28"/>
  <c r="A2264" i="28"/>
  <c r="A2265" i="28"/>
  <c r="A2266" i="28"/>
  <c r="A2267" i="28"/>
  <c r="A2268" i="28"/>
  <c r="A2269" i="28"/>
  <c r="A2270" i="28"/>
  <c r="A2271" i="28"/>
  <c r="A2272" i="28"/>
  <c r="A2273" i="28"/>
  <c r="A2274" i="28"/>
  <c r="A2275" i="28"/>
  <c r="A2276" i="28"/>
  <c r="A2277" i="28"/>
  <c r="A2278" i="28"/>
  <c r="A2279" i="28"/>
  <c r="A2280" i="28"/>
  <c r="A2281" i="28"/>
  <c r="A2282" i="28"/>
  <c r="A2283" i="28"/>
  <c r="A2284" i="28"/>
  <c r="A2285" i="28"/>
  <c r="A2286" i="28"/>
  <c r="A2287" i="28"/>
  <c r="A2288" i="28"/>
  <c r="A2289" i="28"/>
  <c r="A2290" i="28"/>
  <c r="A2291" i="28"/>
  <c r="A2292" i="28"/>
  <c r="A2293" i="28"/>
  <c r="A2294" i="28"/>
  <c r="A2295" i="28"/>
  <c r="A2296" i="28"/>
  <c r="A2297" i="28"/>
  <c r="A2298" i="28"/>
  <c r="A2299" i="28"/>
  <c r="A2300" i="28"/>
  <c r="A2301" i="28"/>
  <c r="A2302" i="28"/>
  <c r="A2303" i="28"/>
  <c r="A2304" i="28"/>
  <c r="A2305" i="28"/>
  <c r="A2306" i="28"/>
  <c r="A2307" i="28"/>
  <c r="A2308" i="28"/>
  <c r="A2309" i="28"/>
  <c r="A2310" i="28"/>
  <c r="A2311" i="28"/>
  <c r="A2312" i="28"/>
  <c r="A2313" i="28"/>
  <c r="A2314" i="28"/>
  <c r="A2315" i="28"/>
  <c r="A2316" i="28"/>
  <c r="A2317" i="28"/>
  <c r="A2318" i="28"/>
  <c r="A2319" i="28"/>
  <c r="A2320" i="28"/>
  <c r="A2321" i="28"/>
  <c r="A2322" i="28"/>
  <c r="A2323" i="28"/>
  <c r="A2324" i="28"/>
  <c r="A2325" i="28"/>
  <c r="A2326" i="28"/>
  <c r="A2327" i="28"/>
  <c r="A2328" i="28"/>
  <c r="A2329" i="28"/>
  <c r="A2330" i="28"/>
  <c r="A2331" i="28"/>
  <c r="A2332" i="28"/>
  <c r="A2333" i="28"/>
  <c r="A2334" i="28"/>
  <c r="A2335" i="28"/>
  <c r="A2336" i="28"/>
  <c r="A2337" i="28"/>
  <c r="A2338" i="28"/>
  <c r="A2339" i="28"/>
  <c r="A2340" i="28"/>
  <c r="A2341" i="28"/>
  <c r="A2342" i="28"/>
  <c r="A2343" i="28"/>
  <c r="A2344" i="28"/>
  <c r="A2345" i="28"/>
  <c r="A2346" i="28"/>
  <c r="A2347" i="28"/>
  <c r="A2348" i="28"/>
  <c r="A2349" i="28"/>
  <c r="A2350" i="28"/>
  <c r="A2351" i="28"/>
  <c r="A2352" i="28"/>
  <c r="A2353" i="28"/>
  <c r="A2354" i="28"/>
  <c r="A2355" i="28"/>
  <c r="A2356" i="28"/>
  <c r="A2357" i="28"/>
  <c r="A2358" i="28"/>
  <c r="A2359" i="28"/>
  <c r="A2360" i="28"/>
  <c r="A2361" i="28"/>
  <c r="A2362" i="28"/>
  <c r="A2363" i="28"/>
  <c r="A2364" i="28"/>
  <c r="A2365" i="28"/>
  <c r="A2366" i="28"/>
  <c r="A2367" i="28"/>
  <c r="A2368" i="28"/>
  <c r="A2369" i="28"/>
  <c r="A2370" i="28"/>
  <c r="A2371" i="28"/>
  <c r="A2372" i="28"/>
  <c r="A2373" i="28"/>
  <c r="A2374" i="28"/>
  <c r="A2375" i="28"/>
  <c r="A2376" i="28"/>
  <c r="A2377" i="28"/>
  <c r="A2378" i="28"/>
  <c r="A2379" i="28"/>
  <c r="A2380" i="28"/>
  <c r="A2381" i="28"/>
  <c r="A2382" i="28"/>
  <c r="A2383" i="28"/>
  <c r="A2384" i="28"/>
  <c r="A2385" i="28"/>
  <c r="A2386" i="28"/>
  <c r="A2387" i="28"/>
  <c r="A2388" i="28"/>
  <c r="A2389" i="28"/>
  <c r="A2390" i="28"/>
  <c r="A2391" i="28"/>
  <c r="A2392" i="28"/>
  <c r="A2393" i="28"/>
  <c r="A2394" i="28"/>
  <c r="A2395" i="28"/>
  <c r="A2396" i="28"/>
  <c r="A2397" i="28"/>
  <c r="A2398" i="28"/>
  <c r="A2399" i="28"/>
  <c r="A2400" i="28"/>
  <c r="A2401" i="28"/>
  <c r="A2402" i="28"/>
  <c r="A2403" i="28"/>
  <c r="A2404" i="28"/>
  <c r="A2405" i="28"/>
  <c r="A2406" i="28"/>
  <c r="A2407" i="28"/>
  <c r="A2408" i="28"/>
  <c r="A2409" i="28"/>
  <c r="A2410" i="28"/>
  <c r="A2411" i="28"/>
  <c r="A2412" i="28"/>
  <c r="A2413" i="28"/>
  <c r="A2414" i="28"/>
  <c r="A2415" i="28"/>
  <c r="A2416" i="28"/>
  <c r="A2417" i="28"/>
  <c r="A2418" i="28"/>
  <c r="A2419" i="28"/>
  <c r="A2420" i="28"/>
  <c r="A2421" i="28"/>
  <c r="A2422" i="28"/>
  <c r="A2423" i="28"/>
  <c r="A2424" i="28"/>
  <c r="A2425" i="28"/>
  <c r="A2426" i="28"/>
  <c r="A2427" i="28"/>
  <c r="A2428" i="28"/>
  <c r="A2429" i="28"/>
  <c r="A2430" i="28"/>
  <c r="A2431" i="28"/>
  <c r="A2432" i="28"/>
  <c r="A2433" i="28"/>
  <c r="A2434" i="28"/>
  <c r="A2435" i="28"/>
  <c r="A2436" i="28"/>
  <c r="A2437" i="28"/>
  <c r="A2438" i="28"/>
  <c r="A2439" i="28"/>
  <c r="A2440" i="28"/>
  <c r="A2441" i="28"/>
  <c r="A2442" i="28"/>
  <c r="A2443" i="28"/>
  <c r="A2444" i="28"/>
  <c r="A2445" i="28"/>
  <c r="A2446" i="28"/>
  <c r="A2447" i="28"/>
  <c r="A2448" i="28"/>
  <c r="A2449" i="28"/>
  <c r="A2450" i="28"/>
  <c r="A2451" i="28"/>
  <c r="A2452" i="28"/>
  <c r="A2453" i="28"/>
  <c r="A2454" i="28"/>
  <c r="A2455" i="28"/>
  <c r="A2456" i="28"/>
  <c r="A2457" i="28"/>
  <c r="A2458" i="28"/>
  <c r="A2459" i="28"/>
  <c r="A2460" i="28"/>
  <c r="A2461" i="28"/>
  <c r="A2462" i="28"/>
  <c r="A2463" i="28"/>
  <c r="A2464" i="28"/>
  <c r="A2465" i="28"/>
  <c r="A2466" i="28"/>
  <c r="A2467" i="28"/>
  <c r="A2468" i="28"/>
  <c r="A2469" i="28"/>
  <c r="A2470" i="28"/>
  <c r="A2471" i="28"/>
  <c r="A2472" i="28"/>
  <c r="A2473" i="28"/>
  <c r="A2474" i="28"/>
  <c r="A2475" i="28"/>
  <c r="A2476" i="28"/>
  <c r="A2477" i="28"/>
  <c r="A2478" i="28"/>
  <c r="A2479" i="28"/>
  <c r="A2480" i="28"/>
  <c r="A2481" i="28"/>
  <c r="A2482" i="28"/>
  <c r="A2483" i="28"/>
  <c r="A2484" i="28"/>
  <c r="A2485" i="28"/>
  <c r="A2486" i="28"/>
  <c r="A2487" i="28"/>
  <c r="A2488" i="28"/>
  <c r="A2489" i="28"/>
  <c r="A2490" i="28"/>
  <c r="A2491" i="28"/>
  <c r="A2492" i="28"/>
  <c r="A2493" i="28"/>
  <c r="A2494" i="28"/>
  <c r="A2495" i="28"/>
  <c r="A2496" i="28"/>
  <c r="A2497" i="28"/>
  <c r="A2498" i="28"/>
  <c r="A2499" i="28"/>
  <c r="A2500" i="28"/>
  <c r="A2501" i="28"/>
  <c r="A2502" i="28"/>
  <c r="A2503" i="28"/>
  <c r="A2504" i="28"/>
  <c r="A2505" i="28"/>
  <c r="A2506" i="28"/>
  <c r="A2507" i="28"/>
  <c r="A2508" i="28"/>
  <c r="A2509" i="28"/>
  <c r="A2510" i="28"/>
  <c r="A2511" i="28"/>
  <c r="A2512" i="28"/>
  <c r="A2513" i="28"/>
  <c r="A2514" i="28"/>
  <c r="A2515" i="28"/>
  <c r="A2516" i="28"/>
  <c r="A2517" i="28"/>
  <c r="A2518" i="28"/>
  <c r="A2519" i="28"/>
  <c r="A2520" i="28"/>
  <c r="A2521" i="28"/>
  <c r="A2522" i="28"/>
  <c r="A2523" i="28"/>
  <c r="A2524" i="28"/>
  <c r="A2525" i="28"/>
  <c r="A2526" i="28"/>
  <c r="A2527" i="28"/>
  <c r="A2528" i="28"/>
  <c r="A2529" i="28"/>
  <c r="A2530" i="28"/>
  <c r="A2531" i="28"/>
  <c r="A2532" i="28"/>
  <c r="A2533" i="28"/>
  <c r="A2534" i="28"/>
  <c r="A2535" i="28"/>
  <c r="A2536" i="28"/>
  <c r="A2537" i="28"/>
  <c r="A2538" i="28"/>
  <c r="A2539" i="28"/>
  <c r="A2540" i="28"/>
  <c r="A2541" i="28"/>
  <c r="A2542" i="28"/>
  <c r="A2543" i="28"/>
  <c r="A2544" i="28"/>
  <c r="A2545" i="28"/>
  <c r="A2546" i="28"/>
  <c r="A2547" i="28"/>
  <c r="A2548" i="28"/>
  <c r="A2549" i="28"/>
  <c r="A2550" i="28"/>
  <c r="A2551" i="28"/>
  <c r="A2552" i="28"/>
  <c r="A2553" i="28"/>
  <c r="A2554" i="28"/>
  <c r="A2555" i="28"/>
  <c r="A2556" i="28"/>
  <c r="A2557" i="28"/>
  <c r="A2558" i="28"/>
  <c r="A2559" i="28"/>
  <c r="A2560" i="28"/>
  <c r="A2561" i="28"/>
  <c r="A2562" i="28"/>
  <c r="A2563" i="28"/>
  <c r="A2564" i="28"/>
  <c r="A2565" i="28"/>
  <c r="A2566" i="28"/>
  <c r="A2567" i="28"/>
  <c r="A2568" i="28"/>
  <c r="A2569" i="28"/>
  <c r="A2570" i="28"/>
  <c r="A2571" i="28"/>
  <c r="A2572" i="28"/>
  <c r="A2573" i="28"/>
  <c r="A2574" i="28"/>
  <c r="A2575" i="28"/>
  <c r="A2576" i="28"/>
  <c r="A2577" i="28"/>
  <c r="A2578" i="28"/>
  <c r="A2579" i="28"/>
  <c r="A2580" i="28"/>
  <c r="A2581" i="28"/>
  <c r="A2582" i="28"/>
  <c r="A2583" i="28"/>
  <c r="A2584" i="28"/>
  <c r="A2585" i="28"/>
  <c r="A2586" i="28"/>
  <c r="A2587" i="28"/>
  <c r="A2588" i="28"/>
  <c r="A2589" i="28"/>
  <c r="A2590" i="28"/>
  <c r="A2591" i="28"/>
  <c r="A2592" i="28"/>
  <c r="A2593" i="28"/>
  <c r="A2594" i="28"/>
  <c r="A2595" i="28"/>
  <c r="A2596" i="28"/>
  <c r="A2597" i="28"/>
  <c r="A2598" i="28"/>
  <c r="A2599" i="28"/>
  <c r="A2600" i="28"/>
  <c r="A2601" i="28"/>
  <c r="A2602" i="28"/>
  <c r="A2603" i="28"/>
  <c r="A2604" i="28"/>
  <c r="A2605" i="28"/>
  <c r="A2606" i="28"/>
  <c r="A2607" i="28"/>
  <c r="A2608" i="28"/>
  <c r="A2609" i="28"/>
  <c r="A2610" i="28"/>
  <c r="A2611" i="28"/>
  <c r="A2612" i="28"/>
  <c r="A2613" i="28"/>
  <c r="A2614" i="28"/>
  <c r="A2615" i="28"/>
  <c r="A2616" i="28"/>
  <c r="A2617" i="28"/>
  <c r="A2618" i="28"/>
  <c r="A2619" i="28"/>
  <c r="A2620" i="28"/>
  <c r="A2621" i="28"/>
  <c r="A2622" i="28"/>
  <c r="A2623" i="28"/>
  <c r="A2624" i="28"/>
  <c r="A2625" i="28"/>
  <c r="A2626" i="28"/>
  <c r="A2627" i="28"/>
  <c r="A2628" i="28"/>
  <c r="A2629" i="28"/>
  <c r="A2630" i="28"/>
  <c r="A2631" i="28"/>
  <c r="A2632" i="28"/>
  <c r="A2633" i="28"/>
  <c r="A2634" i="28"/>
  <c r="A2635" i="28"/>
  <c r="A2636" i="28"/>
  <c r="A2637" i="28"/>
  <c r="A2638" i="28"/>
  <c r="A2639" i="28"/>
  <c r="A2640" i="28"/>
  <c r="A2641" i="28"/>
  <c r="A2642" i="28"/>
  <c r="A2643" i="28"/>
  <c r="A2644" i="28"/>
  <c r="A2645" i="28"/>
  <c r="A2646" i="28"/>
  <c r="A2647" i="28"/>
  <c r="A2648" i="28"/>
  <c r="A2649" i="28"/>
  <c r="A2650" i="28"/>
  <c r="A2651" i="28"/>
  <c r="A2652" i="28"/>
  <c r="A2653" i="28"/>
  <c r="A2654" i="28"/>
  <c r="A2655" i="28"/>
  <c r="A2656" i="28"/>
  <c r="A2657" i="28"/>
  <c r="A2658" i="28"/>
  <c r="A2659" i="28"/>
  <c r="A2660" i="28"/>
  <c r="A2661" i="28"/>
  <c r="A2662" i="28"/>
  <c r="A2663" i="28"/>
  <c r="A2664" i="28"/>
  <c r="A2665" i="28"/>
  <c r="A2666" i="28"/>
  <c r="A2667" i="28"/>
  <c r="A2668" i="28"/>
  <c r="A2669" i="28"/>
  <c r="A2670" i="28"/>
  <c r="A2671" i="28"/>
  <c r="A2672" i="28"/>
  <c r="A2673" i="28"/>
  <c r="A2674" i="28"/>
  <c r="A2675" i="28"/>
  <c r="A2676" i="28"/>
  <c r="A2677" i="28"/>
  <c r="A2678" i="28"/>
  <c r="A2679" i="28"/>
  <c r="A2680" i="28"/>
  <c r="A2681" i="28"/>
  <c r="A2682" i="28"/>
  <c r="A2683" i="28"/>
  <c r="A2684" i="28"/>
  <c r="A2685" i="28"/>
  <c r="A2686" i="28"/>
  <c r="A2687" i="28"/>
  <c r="A2688" i="28"/>
  <c r="A2689" i="28"/>
  <c r="A2690" i="28"/>
  <c r="A2691" i="28"/>
  <c r="A2692" i="28"/>
  <c r="A2693" i="28"/>
  <c r="A2694" i="28"/>
  <c r="A2695" i="28"/>
  <c r="A2696" i="28"/>
  <c r="A2697" i="28"/>
  <c r="A2698" i="28"/>
  <c r="A2699" i="28"/>
  <c r="A2700" i="28"/>
  <c r="A2701" i="28"/>
  <c r="A2702" i="28"/>
  <c r="A2703" i="28"/>
  <c r="A2704" i="28"/>
  <c r="A2705" i="28"/>
  <c r="A2706" i="28"/>
  <c r="A2707" i="28"/>
  <c r="A2708" i="28"/>
  <c r="A2709" i="28"/>
  <c r="A2710" i="28"/>
  <c r="A2711" i="28"/>
  <c r="A2712" i="28"/>
  <c r="A2713" i="28"/>
  <c r="A2714" i="28"/>
  <c r="A2715" i="28"/>
  <c r="A2716" i="28"/>
  <c r="A2717" i="28"/>
  <c r="A2718" i="28"/>
  <c r="A2719" i="28"/>
  <c r="A2720" i="28"/>
  <c r="A2721" i="28"/>
  <c r="A2722" i="28"/>
  <c r="A2723" i="28"/>
  <c r="A2724" i="28"/>
  <c r="A2725" i="28"/>
  <c r="A2726" i="28"/>
  <c r="A2727" i="28"/>
  <c r="A2728" i="28"/>
  <c r="A2729" i="28"/>
  <c r="A2730" i="28"/>
  <c r="A2731" i="28"/>
  <c r="A2732" i="28"/>
  <c r="A2733" i="28"/>
  <c r="A2734" i="28"/>
  <c r="A2735" i="28"/>
  <c r="A2736" i="28"/>
  <c r="A2737" i="28"/>
  <c r="A2738" i="28"/>
  <c r="A2739" i="28"/>
  <c r="A2740" i="28"/>
  <c r="A2741" i="28"/>
  <c r="A2742" i="28"/>
  <c r="A2743" i="28"/>
  <c r="A2744" i="28"/>
  <c r="A2745" i="28"/>
  <c r="A2746" i="28"/>
  <c r="A2747" i="28"/>
  <c r="A2748" i="28"/>
  <c r="A2749" i="28"/>
  <c r="A2750" i="28"/>
  <c r="A2751" i="28"/>
  <c r="A2752" i="28"/>
  <c r="A2753" i="28"/>
  <c r="A2754" i="28"/>
  <c r="A2755" i="28"/>
  <c r="A2756" i="28"/>
  <c r="A2757" i="28"/>
  <c r="A2758" i="28"/>
  <c r="A2759" i="28"/>
  <c r="A2760" i="28"/>
  <c r="A2761" i="28"/>
  <c r="A2762" i="28"/>
  <c r="A2763" i="28"/>
  <c r="A2764" i="28"/>
  <c r="A2765" i="28"/>
  <c r="A2766" i="28"/>
  <c r="A2767" i="28"/>
  <c r="A2768" i="28"/>
  <c r="A2769" i="28"/>
  <c r="A2770" i="28"/>
  <c r="A2771" i="28"/>
  <c r="A2772" i="28"/>
  <c r="A2773" i="28"/>
  <c r="A2774" i="28"/>
  <c r="A2775" i="28"/>
  <c r="A2776" i="28"/>
  <c r="A2777" i="28"/>
  <c r="A2778" i="28"/>
  <c r="A2779" i="28"/>
  <c r="A2780" i="28"/>
  <c r="A2781" i="28"/>
  <c r="A2782" i="28"/>
  <c r="A2783" i="28"/>
  <c r="A2784" i="28"/>
  <c r="A2785" i="28"/>
  <c r="A2786" i="28"/>
  <c r="A2787" i="28"/>
  <c r="A2788" i="28"/>
  <c r="A2789" i="28"/>
  <c r="A2790" i="28"/>
  <c r="A2791" i="28"/>
  <c r="A2792" i="28"/>
  <c r="A2793" i="28"/>
  <c r="A2794" i="28"/>
  <c r="A2795" i="28"/>
  <c r="A2796" i="28"/>
  <c r="A2797" i="28"/>
  <c r="A2798" i="28"/>
  <c r="A2799" i="28"/>
  <c r="A2800" i="28"/>
  <c r="A2801" i="28"/>
  <c r="A2802" i="28"/>
  <c r="A2803" i="28"/>
  <c r="A2804" i="28"/>
  <c r="A2805" i="28"/>
  <c r="A2806" i="28"/>
  <c r="A2807" i="28"/>
  <c r="A2808" i="28"/>
  <c r="A2809" i="28"/>
  <c r="A2810" i="28"/>
  <c r="A2811" i="28"/>
  <c r="A2812" i="28"/>
  <c r="A2813" i="28"/>
  <c r="A2814" i="28"/>
  <c r="A2815" i="28"/>
  <c r="A2816" i="28"/>
  <c r="A2817" i="28"/>
  <c r="A2818" i="28"/>
  <c r="A2819" i="28"/>
  <c r="A2820" i="28"/>
  <c r="A2821" i="28"/>
  <c r="A2822" i="28"/>
  <c r="A2823" i="28"/>
  <c r="A2824" i="28"/>
  <c r="A2825" i="28"/>
  <c r="A2826" i="28"/>
  <c r="A2827" i="28"/>
  <c r="A2828" i="28"/>
  <c r="A2829" i="28"/>
  <c r="A2830" i="28"/>
  <c r="A2831" i="28"/>
  <c r="A2832" i="28"/>
  <c r="A2833" i="28"/>
  <c r="A2834" i="28"/>
  <c r="A2835" i="28"/>
  <c r="A2836" i="28"/>
  <c r="A2837" i="28"/>
  <c r="A2838" i="28"/>
  <c r="A2839" i="28"/>
  <c r="A2840" i="28"/>
  <c r="A2841" i="28"/>
  <c r="A2842" i="28"/>
  <c r="A2843" i="28"/>
  <c r="A2844" i="28"/>
  <c r="A2845" i="28"/>
  <c r="A2846" i="28"/>
  <c r="A2847" i="28"/>
  <c r="A2848" i="28"/>
  <c r="A2849" i="28"/>
  <c r="A2850" i="28"/>
  <c r="A2851" i="28"/>
  <c r="A2852" i="28"/>
  <c r="A2853" i="28"/>
  <c r="A2854" i="28"/>
  <c r="A2855" i="28"/>
  <c r="A2856" i="28"/>
  <c r="A2857" i="28"/>
  <c r="A2858" i="28"/>
  <c r="A2859" i="28"/>
  <c r="A2860" i="28"/>
  <c r="A2861" i="28"/>
  <c r="A2862" i="28"/>
  <c r="A2863" i="28"/>
  <c r="A2864" i="28"/>
  <c r="A2865" i="28"/>
  <c r="A2866" i="28"/>
  <c r="A2867" i="28"/>
  <c r="A2868" i="28"/>
  <c r="A2869" i="28"/>
  <c r="A2870" i="28"/>
  <c r="A2871" i="28"/>
  <c r="A2872" i="28"/>
  <c r="A2873" i="28"/>
  <c r="A2874" i="28"/>
  <c r="A2875" i="28"/>
  <c r="A2876" i="28"/>
  <c r="A2877" i="28"/>
  <c r="A2878" i="28"/>
  <c r="A2879" i="28"/>
  <c r="A2880" i="28"/>
  <c r="A2881" i="28"/>
  <c r="A2882" i="28"/>
  <c r="A2883" i="28"/>
  <c r="A2884" i="28"/>
  <c r="A2885" i="28"/>
  <c r="A2886" i="28"/>
  <c r="A2887" i="28"/>
  <c r="A2888" i="28"/>
  <c r="A2889" i="28"/>
  <c r="A2890" i="28"/>
  <c r="A2891" i="28"/>
  <c r="A2892" i="28"/>
  <c r="A2893" i="28"/>
  <c r="A2894" i="28"/>
  <c r="A2895" i="28"/>
  <c r="A2896" i="28"/>
  <c r="A2897" i="28"/>
  <c r="A2898" i="28"/>
  <c r="A2899" i="28"/>
  <c r="A2900" i="28"/>
  <c r="A2901" i="28"/>
  <c r="A2902" i="28"/>
  <c r="A2903" i="28"/>
  <c r="A2904" i="28"/>
  <c r="A2905" i="28"/>
  <c r="A2906" i="28"/>
  <c r="A2907" i="28"/>
  <c r="A2908" i="28"/>
  <c r="A2909" i="28"/>
  <c r="A2910" i="28"/>
  <c r="A2911" i="28"/>
  <c r="A2912" i="28"/>
  <c r="A2913" i="28"/>
  <c r="A2914" i="28"/>
  <c r="A2915" i="28"/>
  <c r="A2916" i="28"/>
  <c r="A2917" i="28"/>
  <c r="A2918" i="28"/>
  <c r="A2919" i="28"/>
  <c r="A2920" i="28"/>
  <c r="A2921" i="28"/>
  <c r="A2922" i="28"/>
  <c r="A2923" i="28"/>
  <c r="A2924" i="28"/>
  <c r="A2925" i="28"/>
  <c r="A2926" i="28"/>
  <c r="A2927" i="28"/>
  <c r="A2928" i="28"/>
  <c r="A2929" i="28"/>
  <c r="A2930" i="28"/>
  <c r="A2931" i="28"/>
  <c r="A2932" i="28"/>
  <c r="A2933" i="28"/>
  <c r="A2934" i="28"/>
  <c r="A2935" i="28"/>
  <c r="A2936" i="28"/>
  <c r="A2937" i="28"/>
  <c r="A2938" i="28"/>
  <c r="A2939" i="28"/>
  <c r="A2940" i="28"/>
  <c r="A2941" i="28"/>
  <c r="A2942" i="28"/>
  <c r="A2943" i="28"/>
  <c r="A2944" i="28"/>
  <c r="A2945" i="28"/>
  <c r="A2946" i="28"/>
  <c r="A2947" i="28"/>
  <c r="A2948" i="28"/>
  <c r="A2949" i="28"/>
  <c r="A2950" i="28"/>
  <c r="A2951" i="28"/>
  <c r="A2952" i="28"/>
  <c r="A2953" i="28"/>
  <c r="A2954" i="28"/>
  <c r="A2955" i="28"/>
  <c r="A2956" i="28"/>
  <c r="A2957" i="28"/>
  <c r="A2958" i="28"/>
  <c r="A2959" i="28"/>
  <c r="A2960" i="28"/>
  <c r="A2961" i="28"/>
  <c r="A2962" i="28"/>
  <c r="A2963" i="28"/>
  <c r="A2964" i="28"/>
  <c r="A2965" i="28"/>
  <c r="A2966" i="28"/>
  <c r="A2967" i="28"/>
  <c r="A2968" i="28"/>
  <c r="A2969" i="28"/>
  <c r="A2970" i="28"/>
  <c r="A2971" i="28"/>
  <c r="A2972" i="28"/>
  <c r="A2973" i="28"/>
  <c r="A2974" i="28"/>
  <c r="A2975" i="28"/>
  <c r="A2976" i="28"/>
  <c r="A2977" i="28"/>
  <c r="A2978" i="28"/>
  <c r="A2979" i="28"/>
  <c r="A2980" i="28"/>
  <c r="A2981" i="28"/>
  <c r="A2982" i="28"/>
  <c r="A2983" i="28"/>
  <c r="A2984" i="28"/>
  <c r="A2985" i="28"/>
  <c r="A2986" i="28"/>
  <c r="A2987" i="28"/>
  <c r="A2988" i="28"/>
  <c r="A2989" i="28"/>
  <c r="A2990" i="28"/>
  <c r="A2991" i="28"/>
  <c r="A2992" i="28"/>
  <c r="A2993" i="28"/>
  <c r="A2994" i="28"/>
  <c r="A2995" i="28"/>
  <c r="A2996" i="28"/>
  <c r="A2997" i="28"/>
  <c r="A2998" i="28"/>
  <c r="A2999" i="28"/>
  <c r="A3000" i="28"/>
  <c r="A3001" i="28"/>
  <c r="A3002" i="28"/>
  <c r="A3003" i="28"/>
  <c r="A3004" i="28"/>
  <c r="A3005" i="28"/>
  <c r="A3006" i="28"/>
  <c r="A3007" i="28"/>
  <c r="A3008" i="28"/>
  <c r="A3009" i="28"/>
  <c r="A3010" i="28"/>
  <c r="A3011" i="28"/>
  <c r="A3012" i="28"/>
  <c r="A3013" i="28"/>
  <c r="A3014" i="28"/>
  <c r="A3015" i="28"/>
  <c r="A3016" i="28"/>
  <c r="A3017" i="28"/>
  <c r="A3018" i="28"/>
  <c r="A3019" i="28"/>
  <c r="A3020" i="28"/>
  <c r="A3021" i="28"/>
  <c r="A3022" i="28"/>
  <c r="A3023" i="28"/>
  <c r="A3024" i="28"/>
  <c r="A3025" i="28"/>
  <c r="A3026" i="28"/>
  <c r="A3027" i="28"/>
  <c r="A3028" i="28"/>
  <c r="A3029" i="28"/>
  <c r="A3030" i="28"/>
  <c r="A3031" i="28"/>
  <c r="A3032" i="28"/>
  <c r="A3033" i="28"/>
  <c r="A3034" i="28"/>
  <c r="A3035" i="28"/>
  <c r="A3036" i="28"/>
  <c r="A3037" i="28"/>
  <c r="A3038" i="28"/>
  <c r="A3039" i="28"/>
  <c r="A3040" i="28"/>
  <c r="A3041" i="28"/>
  <c r="A3042" i="28"/>
  <c r="A3043" i="28"/>
  <c r="A3044" i="28"/>
  <c r="A3045" i="28"/>
  <c r="A3046" i="28"/>
  <c r="A3047" i="28"/>
  <c r="A3048" i="28"/>
  <c r="A3049" i="28"/>
  <c r="A3050" i="28"/>
  <c r="A3051" i="28"/>
  <c r="A3052" i="28"/>
  <c r="A3053" i="28"/>
  <c r="A3054" i="28"/>
  <c r="A3055" i="28"/>
  <c r="A3056" i="28"/>
  <c r="A3057" i="28"/>
  <c r="A3058" i="28"/>
  <c r="A3059" i="28"/>
  <c r="A3060" i="28"/>
  <c r="A3061" i="28"/>
  <c r="A3062" i="28"/>
  <c r="A3063" i="28"/>
  <c r="A3064" i="28"/>
  <c r="A3065" i="28"/>
  <c r="A3066" i="28"/>
  <c r="A3067" i="28"/>
  <c r="A3068" i="28"/>
  <c r="A3069" i="28"/>
  <c r="A3070" i="28"/>
  <c r="A3071" i="28"/>
  <c r="A3072" i="28"/>
  <c r="A3073" i="28"/>
  <c r="A3074" i="28"/>
  <c r="A3075" i="28"/>
  <c r="A3076" i="28"/>
  <c r="A3077" i="28"/>
  <c r="A3078" i="28"/>
  <c r="A3079" i="28"/>
  <c r="A3080" i="28"/>
  <c r="A3081" i="28"/>
  <c r="A3082" i="28"/>
  <c r="A3083" i="28"/>
  <c r="A3084" i="28"/>
  <c r="A3085" i="28"/>
  <c r="A3086" i="28"/>
  <c r="A3087" i="28"/>
  <c r="A3088" i="28"/>
  <c r="A3089" i="28"/>
  <c r="A3090" i="28"/>
  <c r="A3091" i="28"/>
  <c r="A3092" i="28"/>
  <c r="A3093" i="28"/>
  <c r="A3094" i="28"/>
  <c r="A3095" i="28"/>
  <c r="A3096" i="28"/>
  <c r="A3097" i="28"/>
  <c r="A3098" i="28"/>
  <c r="A3099" i="28"/>
  <c r="A3100" i="28"/>
  <c r="A3101" i="28"/>
  <c r="A3102" i="28"/>
  <c r="A3103" i="28"/>
  <c r="A3104" i="28"/>
  <c r="A3105" i="28"/>
  <c r="A3106" i="28"/>
  <c r="A3107" i="28"/>
  <c r="A3108" i="28"/>
  <c r="A3109" i="28"/>
  <c r="A3110" i="28"/>
  <c r="A3111" i="28"/>
  <c r="A3112" i="28"/>
  <c r="A3113" i="28"/>
  <c r="A3114" i="28"/>
  <c r="A3115" i="28"/>
  <c r="A3116" i="28"/>
  <c r="A3117" i="28"/>
  <c r="A3118" i="28"/>
  <c r="A3119" i="28"/>
  <c r="A3120" i="28"/>
  <c r="A3121" i="28"/>
  <c r="A3122" i="28"/>
  <c r="A3123" i="28"/>
  <c r="A3124" i="28"/>
  <c r="A3125" i="28"/>
  <c r="A3126" i="28"/>
  <c r="A3127" i="28"/>
  <c r="A3128" i="28"/>
  <c r="A3129" i="28"/>
  <c r="A3130" i="28"/>
  <c r="A3131" i="28"/>
  <c r="A3132" i="28"/>
  <c r="A3133" i="28"/>
  <c r="A3134" i="28"/>
  <c r="A3135" i="28"/>
  <c r="A3136" i="28"/>
  <c r="A3137" i="28"/>
  <c r="A3138" i="28"/>
  <c r="A3139" i="28"/>
  <c r="A3140" i="28"/>
  <c r="A3141" i="28"/>
  <c r="A3142" i="28"/>
  <c r="A3143" i="28"/>
  <c r="A3144" i="28"/>
  <c r="A3145" i="28"/>
  <c r="A3146" i="28"/>
  <c r="A3147" i="28"/>
  <c r="A3148" i="28"/>
  <c r="A3149" i="28"/>
  <c r="A3150" i="28"/>
  <c r="A3151" i="28"/>
  <c r="A3152" i="28"/>
  <c r="A3153" i="28"/>
  <c r="A3154" i="28"/>
  <c r="A3155" i="28"/>
  <c r="A3156" i="28"/>
  <c r="A3157" i="28"/>
  <c r="A3158" i="28"/>
  <c r="A3159" i="28"/>
  <c r="A3160" i="28"/>
  <c r="A3161" i="28"/>
  <c r="A3162" i="28"/>
  <c r="A3163" i="28"/>
  <c r="A3164" i="28"/>
  <c r="A3165" i="28"/>
  <c r="A3166" i="28"/>
  <c r="A3167" i="28"/>
  <c r="A3168" i="28"/>
  <c r="A3169" i="28"/>
  <c r="A3170" i="28"/>
  <c r="A3171" i="28"/>
  <c r="A3172" i="28"/>
  <c r="A3173" i="28"/>
  <c r="A3174" i="28"/>
  <c r="A3175" i="28"/>
  <c r="A3176" i="28"/>
  <c r="A3177" i="28"/>
  <c r="A3178" i="28"/>
  <c r="A3179" i="28"/>
  <c r="A3180" i="28"/>
  <c r="A3181" i="28"/>
  <c r="A3182" i="28"/>
  <c r="A3183" i="28"/>
  <c r="A3184" i="28"/>
  <c r="A3185" i="28"/>
  <c r="A3186" i="28"/>
  <c r="A3187" i="28"/>
  <c r="A3188" i="28"/>
  <c r="A3189" i="28"/>
  <c r="A3190" i="28"/>
  <c r="A3191" i="28"/>
  <c r="A3192" i="28"/>
  <c r="A3193" i="28"/>
  <c r="A3194" i="28"/>
  <c r="A3195" i="28"/>
  <c r="A3196" i="28"/>
  <c r="A3197" i="28"/>
  <c r="A3198" i="28"/>
  <c r="A3199" i="28"/>
  <c r="A3200" i="28"/>
  <c r="A3201" i="28"/>
  <c r="A3202" i="28"/>
  <c r="A3203" i="28"/>
  <c r="A3204" i="28"/>
  <c r="A3205" i="28"/>
  <c r="A3206" i="28"/>
  <c r="A3207" i="28"/>
  <c r="A3208" i="28"/>
  <c r="A3209" i="28"/>
  <c r="A3210" i="28"/>
  <c r="A3211" i="28"/>
  <c r="A3212" i="28"/>
  <c r="A3213" i="28"/>
  <c r="A3214" i="28"/>
  <c r="A3215" i="28"/>
  <c r="A3216" i="28"/>
  <c r="A3217" i="28"/>
  <c r="A3218" i="28"/>
  <c r="A3219" i="28"/>
  <c r="A3220" i="28"/>
  <c r="A3221" i="28"/>
  <c r="A3222" i="28"/>
  <c r="A3223" i="28"/>
  <c r="A3224" i="28"/>
  <c r="A3225" i="28"/>
  <c r="A3226" i="28"/>
  <c r="A3227" i="28"/>
  <c r="A3228" i="28"/>
  <c r="A3229" i="28"/>
  <c r="A3230" i="28"/>
  <c r="A3231" i="28"/>
  <c r="A3232" i="28"/>
  <c r="A3233" i="28"/>
  <c r="A3234" i="28"/>
  <c r="A3235" i="28"/>
  <c r="A3236" i="28"/>
  <c r="A3237" i="28"/>
  <c r="A3238" i="28"/>
  <c r="A3239" i="28"/>
  <c r="A3240" i="28"/>
  <c r="A3241" i="28"/>
  <c r="A3242" i="28"/>
  <c r="A3243" i="28"/>
  <c r="A3244" i="28"/>
  <c r="A3245" i="28"/>
  <c r="A3246" i="28"/>
  <c r="A3247" i="28"/>
  <c r="A3248" i="28"/>
  <c r="A3249" i="28"/>
  <c r="A3250" i="28"/>
  <c r="A3251" i="28"/>
  <c r="A3252" i="28"/>
  <c r="A3253" i="28"/>
  <c r="A3254" i="28"/>
  <c r="A3255" i="28"/>
  <c r="A3256" i="28"/>
  <c r="A3257" i="28"/>
  <c r="A3258" i="28"/>
  <c r="A3259" i="28"/>
  <c r="A3260" i="28"/>
  <c r="A3261" i="28"/>
  <c r="A3262" i="28"/>
  <c r="A3263" i="28"/>
  <c r="A3264" i="28"/>
  <c r="A3265" i="28"/>
  <c r="A3266" i="28"/>
  <c r="A3267" i="28"/>
  <c r="A3268" i="28"/>
  <c r="A3269" i="28"/>
  <c r="A3270" i="28"/>
  <c r="A3271" i="28"/>
  <c r="A3272" i="28"/>
  <c r="A3273" i="28"/>
  <c r="A3274" i="28"/>
  <c r="A3275" i="28"/>
  <c r="A3276" i="28"/>
  <c r="A3277" i="28"/>
  <c r="A3278" i="28"/>
  <c r="A3279" i="28"/>
  <c r="A3280" i="28"/>
  <c r="A3281" i="28"/>
  <c r="A3282" i="28"/>
  <c r="A3283" i="28"/>
  <c r="A3284" i="28"/>
  <c r="A3285" i="28"/>
  <c r="A3286" i="28"/>
  <c r="A3287" i="28"/>
  <c r="A3288" i="28"/>
  <c r="A3289" i="28"/>
  <c r="A3290" i="28"/>
  <c r="A3291" i="28"/>
  <c r="A3292" i="28"/>
  <c r="A3293" i="28"/>
  <c r="A3294" i="28"/>
  <c r="A3295" i="28"/>
  <c r="A3296" i="28"/>
  <c r="A3297" i="28"/>
  <c r="A3298" i="28"/>
  <c r="A3299" i="28"/>
  <c r="A3300" i="28"/>
  <c r="A3301" i="28"/>
  <c r="A3302" i="28"/>
  <c r="A3303" i="28"/>
  <c r="A3304" i="28"/>
  <c r="A3305" i="28"/>
  <c r="A3306" i="28"/>
  <c r="A3307" i="28"/>
  <c r="A3308" i="28"/>
  <c r="A3309" i="28"/>
  <c r="A3310" i="28"/>
  <c r="A3311" i="28"/>
  <c r="A3312" i="28"/>
  <c r="A3313" i="28"/>
  <c r="A3314" i="28"/>
  <c r="A3315" i="28"/>
  <c r="A3316" i="28"/>
  <c r="A3317" i="28"/>
  <c r="A3318" i="28"/>
  <c r="A3319" i="28"/>
  <c r="A3320" i="28"/>
  <c r="A3321" i="28"/>
  <c r="A3322" i="28"/>
  <c r="A3323" i="28"/>
  <c r="A3324" i="28"/>
  <c r="A3325" i="28"/>
  <c r="A3326" i="28"/>
  <c r="A3327" i="28"/>
  <c r="A3328" i="28"/>
  <c r="A3329" i="28"/>
  <c r="A3330" i="28"/>
  <c r="A3331" i="28"/>
  <c r="A3332" i="28"/>
  <c r="A3333" i="28"/>
  <c r="A3334" i="28"/>
  <c r="A3335" i="28"/>
  <c r="A3336" i="28"/>
  <c r="A3337" i="28"/>
  <c r="A3338" i="28"/>
  <c r="A3339" i="28"/>
  <c r="A3340" i="28"/>
  <c r="A3341" i="28"/>
  <c r="A3342" i="28"/>
  <c r="A3343" i="28"/>
  <c r="A3344" i="28"/>
  <c r="A3345" i="28"/>
  <c r="A3346" i="28"/>
  <c r="A3347" i="28"/>
  <c r="A3348" i="28"/>
  <c r="A3349" i="28"/>
  <c r="A3350" i="28"/>
  <c r="A3351" i="28"/>
  <c r="A3352" i="28"/>
  <c r="A3353" i="28"/>
  <c r="A3354" i="28"/>
  <c r="A3355" i="28"/>
  <c r="A3356" i="28"/>
  <c r="A3357" i="28"/>
  <c r="A3358" i="28"/>
  <c r="A3359" i="28"/>
  <c r="A3360" i="28"/>
  <c r="A3361" i="28"/>
  <c r="A3362" i="28"/>
  <c r="A3363" i="28"/>
  <c r="A3364" i="28"/>
  <c r="A3365" i="28"/>
  <c r="A3366" i="28"/>
  <c r="A3367" i="28"/>
  <c r="A3368" i="28"/>
  <c r="A3369" i="28"/>
  <c r="A3370" i="28"/>
  <c r="A3371" i="28"/>
  <c r="A3372" i="28"/>
  <c r="A3373" i="28"/>
  <c r="A3374" i="28"/>
  <c r="A3375" i="28"/>
  <c r="A3376" i="28"/>
  <c r="A3377" i="28"/>
  <c r="A3378" i="28"/>
  <c r="A3379" i="28"/>
  <c r="A3380" i="28"/>
  <c r="A3381" i="28"/>
  <c r="A3382" i="28"/>
  <c r="A3383" i="28"/>
  <c r="A3384" i="28"/>
  <c r="A3385" i="28"/>
  <c r="A3386" i="28"/>
  <c r="A3387" i="28"/>
  <c r="A3388" i="28"/>
  <c r="A3389" i="28"/>
  <c r="A3390" i="28"/>
  <c r="A3391" i="28"/>
  <c r="A3392" i="28"/>
  <c r="A3393" i="28"/>
  <c r="A3394" i="28"/>
  <c r="A3395" i="28"/>
  <c r="A3396" i="28"/>
  <c r="A3397" i="28"/>
  <c r="A3398" i="28"/>
  <c r="A3399" i="28"/>
  <c r="A3400" i="28"/>
  <c r="A3401" i="28"/>
  <c r="A3402" i="28"/>
  <c r="A3403" i="28"/>
  <c r="A3404" i="28"/>
  <c r="A3405" i="28"/>
  <c r="A3406" i="28"/>
  <c r="A3407" i="28"/>
  <c r="A3408" i="28"/>
  <c r="A3409" i="28"/>
  <c r="A3410" i="28"/>
  <c r="A3411" i="28"/>
  <c r="A3412" i="28"/>
  <c r="A3413" i="28"/>
  <c r="A3414" i="28"/>
  <c r="A3415" i="28"/>
  <c r="A3416" i="28"/>
  <c r="A3417" i="28"/>
  <c r="A3418" i="28"/>
  <c r="A3419" i="28"/>
  <c r="A3420" i="28"/>
  <c r="A3421" i="28"/>
  <c r="A3422" i="28"/>
  <c r="A3423" i="28"/>
  <c r="A3424" i="28"/>
  <c r="A3425" i="28"/>
  <c r="A3426" i="28"/>
  <c r="A3427" i="28"/>
  <c r="A3428" i="28"/>
  <c r="A3429" i="28"/>
  <c r="A3430" i="28"/>
  <c r="A3431" i="28"/>
  <c r="A3432" i="28"/>
  <c r="A3433" i="28"/>
  <c r="A3434" i="28"/>
  <c r="A3435" i="28"/>
  <c r="A3436" i="28"/>
  <c r="A3437" i="28"/>
  <c r="A3438" i="28"/>
  <c r="A3439" i="28"/>
  <c r="A3440" i="28"/>
  <c r="A3441" i="28"/>
  <c r="A3442" i="28"/>
  <c r="A3443" i="28"/>
  <c r="A3444" i="28"/>
  <c r="A3445" i="28"/>
  <c r="A3446" i="28"/>
  <c r="A3447" i="28"/>
  <c r="A3448" i="28"/>
  <c r="A3449" i="28"/>
  <c r="A3450" i="28"/>
  <c r="A3451" i="28"/>
  <c r="A3452" i="28"/>
  <c r="A3453" i="28"/>
  <c r="A3454" i="28"/>
  <c r="A3455" i="28"/>
  <c r="A3456" i="28"/>
  <c r="A3457" i="28"/>
  <c r="A3458" i="28"/>
  <c r="A3459" i="28"/>
  <c r="A3460" i="28"/>
  <c r="A3461" i="28"/>
  <c r="A3462" i="28"/>
  <c r="A3463" i="28"/>
  <c r="A3464" i="28"/>
  <c r="A3465" i="28"/>
  <c r="A3466" i="28"/>
  <c r="A3467" i="28"/>
  <c r="A3468" i="28"/>
  <c r="A3469" i="28"/>
  <c r="A3470" i="28"/>
  <c r="A3471" i="28"/>
  <c r="A3472" i="28"/>
  <c r="A3473" i="28"/>
  <c r="A3474" i="28"/>
  <c r="A3475" i="28"/>
  <c r="A3476" i="28"/>
  <c r="A3477" i="28"/>
  <c r="A3478" i="28"/>
  <c r="A3479" i="28"/>
  <c r="A3480" i="28"/>
  <c r="A3481" i="28"/>
  <c r="A3482" i="28"/>
  <c r="A3483" i="28"/>
  <c r="A3484" i="28"/>
  <c r="A3485" i="28"/>
  <c r="A3486" i="28"/>
  <c r="A3487" i="28"/>
  <c r="A3488" i="28"/>
  <c r="A3489" i="28"/>
  <c r="A3490" i="28"/>
  <c r="A3491" i="28"/>
  <c r="A3492" i="28"/>
  <c r="A3493" i="28"/>
  <c r="A3494" i="28"/>
  <c r="A3495" i="28"/>
  <c r="A3496" i="28"/>
  <c r="A3497" i="28"/>
  <c r="A3498" i="28"/>
  <c r="A3499" i="28"/>
  <c r="A3500" i="28"/>
  <c r="A3501" i="28"/>
  <c r="A3502" i="28"/>
  <c r="A3503" i="28"/>
  <c r="A3504" i="28"/>
  <c r="A3505" i="28"/>
  <c r="A3506" i="28"/>
  <c r="A3507" i="28"/>
  <c r="A3508" i="28"/>
  <c r="A3509" i="28"/>
  <c r="A3510" i="28"/>
  <c r="A3511" i="28"/>
  <c r="A3512" i="28"/>
  <c r="A3513" i="28"/>
  <c r="A3514" i="28"/>
  <c r="A3515" i="28"/>
  <c r="A3516" i="28"/>
  <c r="A3517" i="28"/>
  <c r="A3518" i="28"/>
  <c r="A3519" i="28"/>
  <c r="A3520" i="28"/>
  <c r="A3521" i="28"/>
  <c r="A3522" i="28"/>
  <c r="A3523" i="28"/>
  <c r="A3524" i="28"/>
  <c r="A3525" i="28"/>
  <c r="A3526" i="28"/>
  <c r="A3527" i="28"/>
  <c r="A3528" i="28"/>
  <c r="A3529" i="28"/>
  <c r="A3530" i="28"/>
  <c r="A3531" i="28"/>
  <c r="A3532" i="28"/>
  <c r="A3533" i="28"/>
  <c r="A3534" i="28"/>
  <c r="A3535" i="28"/>
  <c r="A3536" i="28"/>
  <c r="A3537" i="28"/>
  <c r="A3538" i="28"/>
  <c r="A3539" i="28"/>
  <c r="A3540" i="28"/>
  <c r="A3541" i="28"/>
  <c r="A3542" i="28"/>
  <c r="A3543" i="28"/>
  <c r="A3544" i="28"/>
  <c r="A3545" i="28"/>
  <c r="A3546" i="28"/>
  <c r="A3547" i="28"/>
  <c r="A3548" i="28"/>
  <c r="A3549" i="28"/>
  <c r="A3550" i="28"/>
  <c r="A3551" i="28"/>
  <c r="A3552" i="28"/>
  <c r="A3553" i="28"/>
  <c r="A3554" i="28"/>
  <c r="A3555" i="28"/>
  <c r="A3556" i="28"/>
  <c r="A3557" i="28"/>
  <c r="A3558" i="28"/>
  <c r="A3559" i="28"/>
  <c r="A3560" i="28"/>
  <c r="A3561" i="28"/>
  <c r="A3562" i="28"/>
  <c r="A3563" i="28"/>
  <c r="A3564" i="28"/>
  <c r="A3565" i="28"/>
  <c r="A3566" i="28"/>
  <c r="A3567" i="28"/>
  <c r="A3568" i="28"/>
  <c r="A3569" i="28"/>
  <c r="A3570" i="28"/>
  <c r="A3571" i="28"/>
  <c r="A3572" i="28"/>
  <c r="A3573" i="28"/>
  <c r="A3574" i="28"/>
  <c r="A3575" i="28"/>
  <c r="A3576" i="28"/>
  <c r="A3577" i="28"/>
  <c r="A3578" i="28"/>
  <c r="A3579" i="28"/>
  <c r="A3580" i="28"/>
  <c r="A3581" i="28"/>
  <c r="A3582" i="28"/>
  <c r="A3583" i="28"/>
  <c r="A3584" i="28"/>
  <c r="A3585" i="28"/>
  <c r="A3586" i="28"/>
  <c r="A3587" i="28"/>
  <c r="A3588" i="28"/>
  <c r="A3589" i="28"/>
  <c r="A3590" i="28"/>
  <c r="A3591" i="28"/>
  <c r="A3592" i="28"/>
  <c r="A3593" i="28"/>
  <c r="A3594" i="28"/>
  <c r="A3595" i="28"/>
  <c r="A3596" i="28"/>
  <c r="A3597" i="28"/>
  <c r="A3598" i="28"/>
  <c r="A3599" i="28"/>
  <c r="A3600" i="28"/>
  <c r="A3601" i="28"/>
  <c r="A3602" i="28"/>
  <c r="A3603" i="28"/>
  <c r="A3604" i="28"/>
  <c r="A3605" i="28"/>
  <c r="A3606" i="28"/>
  <c r="A3607" i="28"/>
  <c r="A3608" i="28"/>
  <c r="A3609" i="28"/>
  <c r="A3610" i="28"/>
  <c r="A3611" i="28"/>
  <c r="A3612" i="28"/>
  <c r="A3613" i="28"/>
  <c r="A3614" i="28"/>
  <c r="A3615" i="28"/>
  <c r="A3616" i="28"/>
  <c r="A3617" i="28"/>
  <c r="A3618" i="28"/>
  <c r="A3619" i="28"/>
  <c r="A3620" i="28"/>
  <c r="A3621" i="28"/>
  <c r="A3622" i="28"/>
  <c r="A3623" i="28"/>
  <c r="A3624" i="28"/>
  <c r="A3625" i="28"/>
  <c r="A3626" i="28"/>
  <c r="A3627" i="28"/>
  <c r="A3628" i="28"/>
  <c r="A3629" i="28"/>
  <c r="A3630" i="28"/>
  <c r="A3631" i="28"/>
  <c r="A3632" i="28"/>
  <c r="A3633" i="28"/>
  <c r="A3634" i="28"/>
  <c r="A3635" i="28"/>
  <c r="A3636" i="28"/>
  <c r="A3637" i="28"/>
  <c r="A3638" i="28"/>
  <c r="A3639" i="28"/>
  <c r="A3640" i="28"/>
  <c r="A3641" i="28"/>
  <c r="A3642" i="28"/>
  <c r="A3643" i="28"/>
  <c r="A3644" i="28"/>
  <c r="A3645" i="28"/>
  <c r="A3646" i="28"/>
  <c r="A3647" i="28"/>
  <c r="A3648" i="28"/>
  <c r="A3649" i="28"/>
  <c r="A3650" i="28"/>
  <c r="A3651" i="28"/>
  <c r="A3652" i="28"/>
  <c r="A3653" i="28"/>
  <c r="A3654" i="28"/>
  <c r="A3655" i="28"/>
  <c r="A3656" i="28"/>
  <c r="A3657" i="28"/>
  <c r="A3658" i="28"/>
  <c r="A3659" i="28"/>
  <c r="A3660" i="28"/>
  <c r="A3661" i="28"/>
  <c r="A3662" i="28"/>
  <c r="A3663" i="28"/>
  <c r="A3664" i="28"/>
  <c r="A3665" i="28"/>
  <c r="A3666" i="28"/>
  <c r="A3667" i="28"/>
  <c r="A3668" i="28"/>
  <c r="A3669" i="28"/>
  <c r="A3670" i="28"/>
  <c r="A3671" i="28"/>
  <c r="A3672" i="28"/>
  <c r="A3673" i="28"/>
  <c r="A3674" i="28"/>
  <c r="A3675" i="28"/>
  <c r="A3676" i="28"/>
  <c r="A3677" i="28"/>
  <c r="A3678" i="28"/>
  <c r="A3679" i="28"/>
  <c r="A3680" i="28"/>
  <c r="A3681" i="28"/>
  <c r="A3682" i="28"/>
  <c r="A3683" i="28"/>
  <c r="A3684" i="28"/>
  <c r="A3685" i="28"/>
  <c r="A3686" i="28"/>
  <c r="A3687" i="28"/>
  <c r="A3688" i="28"/>
  <c r="A3689" i="28"/>
  <c r="A3690" i="28"/>
  <c r="A3691" i="28"/>
  <c r="A3692" i="28"/>
  <c r="A3693" i="28"/>
  <c r="A3694" i="28"/>
  <c r="A3695" i="28"/>
  <c r="A3696" i="28"/>
  <c r="A3697" i="28"/>
  <c r="A3698" i="28"/>
  <c r="A3699" i="28"/>
  <c r="A3700" i="28"/>
  <c r="A3701" i="28"/>
  <c r="A3702" i="28"/>
  <c r="A3703" i="28"/>
  <c r="A3704" i="28"/>
  <c r="A3705" i="28"/>
  <c r="A3706" i="28"/>
  <c r="A3707" i="28"/>
  <c r="A3708" i="28"/>
  <c r="A3709" i="28"/>
  <c r="A3710" i="28"/>
  <c r="A3711" i="28"/>
  <c r="A3712" i="28"/>
  <c r="A3713" i="28"/>
  <c r="A3714" i="28"/>
  <c r="A3715" i="28"/>
  <c r="A3716" i="28"/>
  <c r="A3717" i="28"/>
  <c r="A3718" i="28"/>
  <c r="A3719" i="28"/>
  <c r="A3720" i="28"/>
  <c r="A3721" i="28"/>
  <c r="A3722" i="28"/>
  <c r="A3723" i="28"/>
  <c r="A3724" i="28"/>
  <c r="A3725" i="28"/>
  <c r="A3726" i="28"/>
  <c r="A3727" i="28"/>
  <c r="A3728" i="28"/>
  <c r="A3729" i="28"/>
  <c r="A3730" i="28"/>
  <c r="A3731" i="28"/>
  <c r="A3732" i="28"/>
  <c r="A3733" i="28"/>
  <c r="A3734" i="28"/>
  <c r="A3735" i="28"/>
  <c r="A3736" i="28"/>
  <c r="A3737" i="28"/>
  <c r="A3738" i="28"/>
  <c r="A3739" i="28"/>
  <c r="A3740" i="28"/>
  <c r="A3741" i="28"/>
  <c r="A3742" i="28"/>
  <c r="A3743" i="28"/>
  <c r="A3744" i="28"/>
  <c r="A3745" i="28"/>
  <c r="A3746" i="28"/>
  <c r="A3747" i="28"/>
  <c r="A3748" i="28"/>
  <c r="A3749" i="28"/>
  <c r="A3750" i="28"/>
  <c r="A3751" i="28"/>
  <c r="A3752" i="28"/>
  <c r="A3753" i="28"/>
  <c r="A3754" i="28"/>
  <c r="A3755" i="28"/>
  <c r="A3756" i="28"/>
  <c r="A3757" i="28"/>
  <c r="A3758" i="28"/>
  <c r="A3759" i="28"/>
  <c r="A3760" i="28"/>
  <c r="A3761" i="28"/>
  <c r="A3762" i="28"/>
  <c r="A3763" i="28"/>
  <c r="A3764" i="28"/>
  <c r="A3765" i="28"/>
  <c r="A3766" i="28"/>
  <c r="A3767" i="28"/>
  <c r="A3768" i="28"/>
  <c r="A3769" i="28"/>
  <c r="A3770" i="28"/>
  <c r="A3771" i="28"/>
  <c r="A3772" i="28"/>
  <c r="A3773" i="28"/>
  <c r="A3774" i="28"/>
  <c r="A3775" i="28"/>
  <c r="A3776" i="28"/>
  <c r="A3777" i="28"/>
  <c r="A3778" i="28"/>
  <c r="A3779" i="28"/>
  <c r="A3780" i="28"/>
  <c r="A3781" i="28"/>
  <c r="A3782" i="28"/>
  <c r="A3783" i="28"/>
  <c r="A3784" i="28"/>
  <c r="A3785" i="28"/>
  <c r="A3786" i="28"/>
  <c r="A3787" i="28"/>
  <c r="A3788" i="28"/>
  <c r="A3789" i="28"/>
  <c r="A3790" i="28"/>
  <c r="A3791" i="28"/>
  <c r="A3792" i="28"/>
  <c r="A3793" i="28"/>
  <c r="A3794" i="28"/>
  <c r="A3795" i="28"/>
  <c r="A3796" i="28"/>
  <c r="A3797" i="28"/>
  <c r="A3798" i="28"/>
  <c r="A3799" i="28"/>
  <c r="A3800" i="28"/>
  <c r="A3801" i="28"/>
  <c r="A3802" i="28"/>
  <c r="A3803" i="28"/>
  <c r="A3804" i="28"/>
  <c r="A3805" i="28"/>
  <c r="A3806" i="28"/>
  <c r="A3807" i="28"/>
  <c r="A3808" i="28"/>
  <c r="A3809" i="28"/>
  <c r="A3810" i="28"/>
  <c r="A3811" i="28"/>
  <c r="A3812" i="28"/>
  <c r="A3813" i="28"/>
  <c r="A3814" i="28"/>
  <c r="A3815" i="28"/>
  <c r="A3816" i="28"/>
  <c r="A3817" i="28"/>
  <c r="A3818" i="28"/>
  <c r="A3819" i="28"/>
  <c r="A3820" i="28"/>
  <c r="A3821" i="28"/>
  <c r="A3822" i="28"/>
  <c r="A3823" i="28"/>
  <c r="A3824" i="28"/>
  <c r="A3825" i="28"/>
  <c r="A3826" i="28"/>
  <c r="A3827" i="28"/>
  <c r="A3828" i="28"/>
  <c r="A3829" i="28"/>
  <c r="A3830" i="28"/>
  <c r="A3831" i="28"/>
  <c r="A3832" i="28"/>
  <c r="A3833" i="28"/>
  <c r="A3834" i="28"/>
  <c r="A3835" i="28"/>
  <c r="A3836" i="28"/>
  <c r="A3837" i="28"/>
  <c r="A3838" i="28"/>
  <c r="A3839" i="28"/>
  <c r="A3840" i="28"/>
  <c r="A3841" i="28"/>
  <c r="A3842" i="28"/>
  <c r="A3843" i="28"/>
  <c r="A3844" i="28"/>
  <c r="A3845" i="28"/>
  <c r="A3846" i="28"/>
  <c r="A3847" i="28"/>
  <c r="A3848" i="28"/>
  <c r="A3849" i="28"/>
  <c r="A3850" i="28"/>
  <c r="A3851" i="28"/>
  <c r="A3852" i="28"/>
  <c r="A3853" i="28"/>
  <c r="A3854" i="28"/>
  <c r="A3855" i="28"/>
  <c r="A3856" i="28"/>
  <c r="A3857" i="28"/>
  <c r="A3858" i="28"/>
  <c r="A3859" i="28"/>
  <c r="A3860" i="28"/>
  <c r="A3861" i="28"/>
  <c r="A3862" i="28"/>
  <c r="A3863" i="28"/>
  <c r="A3864" i="28"/>
  <c r="A3865" i="28"/>
  <c r="A3866" i="28"/>
  <c r="A3867" i="28"/>
  <c r="A3868" i="28"/>
  <c r="A3869" i="28"/>
  <c r="A3870" i="28"/>
  <c r="A3871" i="28"/>
  <c r="A3872" i="28"/>
  <c r="A3873" i="28"/>
  <c r="A3874" i="28"/>
  <c r="A3875" i="28"/>
  <c r="A3876" i="28"/>
  <c r="A3877" i="28"/>
  <c r="A3878" i="28"/>
  <c r="A3879" i="28"/>
  <c r="A3880" i="28"/>
  <c r="A3881" i="28"/>
  <c r="A3882" i="28"/>
  <c r="A3883" i="28"/>
  <c r="A3884" i="28"/>
  <c r="A3885" i="28"/>
  <c r="A3886" i="28"/>
  <c r="A3887" i="28"/>
  <c r="A3888" i="28"/>
  <c r="A3889" i="28"/>
  <c r="A3890" i="28"/>
  <c r="A3891" i="28"/>
  <c r="A3892" i="28"/>
  <c r="A3893" i="28"/>
  <c r="A3894" i="28"/>
  <c r="A3895" i="28"/>
  <c r="A3896" i="28"/>
  <c r="A3897" i="28"/>
  <c r="A3898" i="28"/>
  <c r="A3899" i="28"/>
  <c r="A3900" i="28"/>
  <c r="A3901" i="28"/>
  <c r="A3902" i="28"/>
  <c r="A3903" i="28"/>
  <c r="A3904" i="28"/>
  <c r="A3905" i="28"/>
  <c r="A3906" i="28"/>
  <c r="A3907" i="28"/>
  <c r="A3908" i="28"/>
  <c r="A3909" i="28"/>
  <c r="A3910" i="28"/>
  <c r="A3911" i="28"/>
  <c r="A3912" i="28"/>
  <c r="A3913" i="28"/>
  <c r="A3914" i="28"/>
  <c r="A3915" i="28"/>
  <c r="A3916" i="28"/>
  <c r="A3917" i="28"/>
  <c r="A3918" i="28"/>
  <c r="A3919" i="28"/>
  <c r="A3920" i="28"/>
  <c r="A3921" i="28"/>
  <c r="A3922" i="28"/>
  <c r="A3923" i="28"/>
  <c r="A3924" i="28"/>
  <c r="A3925" i="28"/>
  <c r="A3926" i="28"/>
  <c r="A3927" i="28"/>
  <c r="A3928" i="28"/>
  <c r="A3929" i="28"/>
  <c r="A3930" i="28"/>
  <c r="A3931" i="28"/>
  <c r="A3932" i="28"/>
  <c r="A3933" i="28"/>
  <c r="A3934" i="28"/>
  <c r="A3935" i="28"/>
  <c r="A3936" i="28"/>
  <c r="A3937" i="28"/>
  <c r="A3938" i="28"/>
  <c r="A3939" i="28"/>
  <c r="A3940" i="28"/>
  <c r="A3941" i="28"/>
  <c r="A3942" i="28"/>
  <c r="A3943" i="28"/>
  <c r="A3944" i="28"/>
  <c r="A3945" i="28"/>
  <c r="A3946" i="28"/>
  <c r="A3947" i="28"/>
  <c r="A3948" i="28"/>
  <c r="A3949" i="28"/>
  <c r="A3950" i="28"/>
  <c r="A3951" i="28"/>
  <c r="A3952" i="28"/>
  <c r="A3953" i="28"/>
  <c r="A3954" i="28"/>
  <c r="A3955" i="28"/>
  <c r="A3956" i="28"/>
  <c r="A3957" i="28"/>
  <c r="A3958" i="28"/>
  <c r="A3959" i="28"/>
  <c r="A3960" i="28"/>
  <c r="A3961" i="28"/>
  <c r="A3962" i="28"/>
  <c r="A3963" i="28"/>
  <c r="A3964" i="28"/>
  <c r="A3965" i="28"/>
  <c r="A3966" i="28"/>
  <c r="A3967" i="28"/>
  <c r="A3968" i="28"/>
  <c r="A3969" i="28"/>
  <c r="A3970" i="28"/>
  <c r="A3971" i="28"/>
  <c r="A3972" i="28"/>
  <c r="A3973" i="28"/>
  <c r="A3974" i="28"/>
  <c r="A3975" i="28"/>
  <c r="A3976" i="28"/>
  <c r="A3977" i="28"/>
  <c r="A3978" i="28"/>
  <c r="A3979" i="28"/>
  <c r="A3980" i="28"/>
  <c r="A3981" i="28"/>
  <c r="A3982" i="28"/>
  <c r="A3983" i="28"/>
  <c r="A3984" i="28"/>
  <c r="A3985" i="28"/>
  <c r="A3986" i="28"/>
  <c r="A3987" i="28"/>
  <c r="A3988" i="28"/>
  <c r="A3989" i="28"/>
  <c r="A3990" i="28"/>
  <c r="A3991" i="28"/>
  <c r="A3992" i="28"/>
  <c r="A3993" i="28"/>
  <c r="A3994" i="28"/>
  <c r="A3995" i="28"/>
  <c r="A3996" i="28"/>
  <c r="A3997" i="28"/>
  <c r="A3998" i="28"/>
  <c r="A3999" i="28"/>
  <c r="A4000" i="28"/>
  <c r="A4001" i="28"/>
  <c r="A4002" i="28"/>
  <c r="A4003" i="28"/>
  <c r="A4004" i="28"/>
  <c r="A4005" i="28"/>
  <c r="A4006" i="28"/>
  <c r="A4007" i="28"/>
  <c r="A4008" i="28"/>
  <c r="A4009" i="28"/>
  <c r="A4010" i="28"/>
  <c r="A4011" i="28"/>
  <c r="A4012" i="28"/>
  <c r="A4013" i="28"/>
  <c r="A4014" i="28"/>
  <c r="A4015" i="28"/>
  <c r="A4016" i="28"/>
  <c r="A4017" i="28"/>
  <c r="A4018" i="28"/>
  <c r="A4019" i="28"/>
  <c r="A4020" i="28"/>
  <c r="A4021" i="28"/>
  <c r="A4022" i="28"/>
  <c r="A4023" i="28"/>
  <c r="A4024" i="28"/>
  <c r="A4025" i="28"/>
  <c r="A4026" i="28"/>
  <c r="A4027" i="28"/>
  <c r="A4028" i="28"/>
  <c r="A4029" i="28"/>
  <c r="A4030" i="28"/>
  <c r="A4031" i="28"/>
  <c r="A4032" i="28"/>
  <c r="A4033" i="28"/>
  <c r="A4034" i="28"/>
  <c r="A4035" i="28"/>
  <c r="A4036" i="28"/>
  <c r="A4037" i="28"/>
  <c r="A4038" i="28"/>
  <c r="A4039" i="28"/>
  <c r="A4040" i="28"/>
  <c r="A4041" i="28"/>
  <c r="A4042" i="28"/>
  <c r="A4043" i="28"/>
  <c r="A4044" i="28"/>
  <c r="A4045" i="28"/>
  <c r="A4046" i="28"/>
  <c r="A4047" i="28"/>
  <c r="A4048" i="28"/>
  <c r="A4049" i="28"/>
  <c r="A4050" i="28"/>
  <c r="A4051" i="28"/>
  <c r="A4052" i="28"/>
  <c r="A4053" i="28"/>
  <c r="A4054" i="28"/>
  <c r="A4055" i="28"/>
  <c r="A4056" i="28"/>
  <c r="A4057" i="28"/>
  <c r="A4058" i="28"/>
  <c r="A4059" i="28"/>
  <c r="A4060" i="28"/>
  <c r="A4061" i="28"/>
  <c r="A4062" i="28"/>
  <c r="A4063" i="28"/>
  <c r="A4064" i="28"/>
  <c r="A4065" i="28"/>
  <c r="A4066" i="28"/>
  <c r="A4067" i="28"/>
  <c r="A4068" i="28"/>
  <c r="A4069" i="28"/>
  <c r="A4070" i="28"/>
  <c r="A4071" i="28"/>
  <c r="A4072" i="28"/>
  <c r="A4073" i="28"/>
  <c r="A4074" i="28"/>
  <c r="A4075" i="28"/>
  <c r="A4076" i="28"/>
  <c r="A4077" i="28"/>
  <c r="A4078" i="28"/>
  <c r="A4079" i="28"/>
  <c r="A4080" i="28"/>
  <c r="A4081" i="28"/>
  <c r="A4082" i="28"/>
  <c r="A4083" i="28"/>
  <c r="A4084" i="28"/>
  <c r="A4085" i="28"/>
  <c r="A4086" i="28"/>
  <c r="A4087" i="28"/>
  <c r="A4088" i="28"/>
  <c r="A4089" i="28"/>
  <c r="A4090" i="28"/>
  <c r="A4091" i="28"/>
  <c r="A4092" i="28"/>
  <c r="A4093" i="28"/>
  <c r="A4094" i="28"/>
  <c r="A4095" i="28"/>
  <c r="A4096" i="28"/>
  <c r="A4097" i="28"/>
  <c r="A4098" i="28"/>
  <c r="A4099" i="28"/>
  <c r="A4100" i="28"/>
  <c r="A4101" i="28"/>
  <c r="A4102" i="28"/>
  <c r="A4103" i="28"/>
  <c r="A4104" i="28"/>
  <c r="A4105" i="28"/>
  <c r="A4106" i="28"/>
  <c r="A4107" i="28"/>
  <c r="A4108" i="28"/>
  <c r="A4109" i="28"/>
  <c r="A4110" i="28"/>
  <c r="A4111" i="28"/>
  <c r="A4112" i="28"/>
  <c r="A4113" i="28"/>
  <c r="A4114" i="28"/>
  <c r="A4115" i="28"/>
  <c r="A4116" i="28"/>
  <c r="A4117" i="28"/>
  <c r="A4118" i="28"/>
  <c r="A4119" i="28"/>
  <c r="A4120" i="28"/>
  <c r="A4121" i="28"/>
  <c r="A4122" i="28"/>
  <c r="A4123" i="28"/>
  <c r="A4124" i="28"/>
  <c r="A4125" i="28"/>
  <c r="A4126" i="28"/>
  <c r="A4127" i="28"/>
  <c r="A4128" i="28"/>
  <c r="A4129" i="28"/>
  <c r="A4130" i="28"/>
  <c r="A4131" i="28"/>
  <c r="A4132" i="28"/>
  <c r="A4133" i="28"/>
  <c r="A4134" i="28"/>
  <c r="A4135" i="28"/>
  <c r="A4136" i="28"/>
  <c r="A4137" i="28"/>
  <c r="A4138" i="28"/>
  <c r="A4139" i="28"/>
  <c r="A4140" i="28"/>
  <c r="A4141" i="28"/>
  <c r="A4142" i="28"/>
  <c r="A4143" i="28"/>
  <c r="A4144" i="28"/>
  <c r="A4145" i="28"/>
  <c r="A4146" i="28"/>
  <c r="A4147" i="28"/>
  <c r="A4148" i="28"/>
  <c r="A4149" i="28"/>
  <c r="A4150" i="28"/>
  <c r="A4151" i="28"/>
  <c r="A4152" i="28"/>
  <c r="A4153" i="28"/>
  <c r="A4154" i="28"/>
  <c r="A4155" i="28"/>
  <c r="A4156" i="28"/>
  <c r="A4157" i="28"/>
  <c r="A4158" i="28"/>
  <c r="A4159" i="28"/>
  <c r="A4160" i="28"/>
  <c r="A4161" i="28"/>
  <c r="A4162" i="28"/>
  <c r="A4163" i="28"/>
  <c r="A4164" i="28"/>
  <c r="A4165" i="28"/>
  <c r="A4166" i="28"/>
  <c r="A4167" i="28"/>
  <c r="A4168" i="28"/>
  <c r="A4169" i="28"/>
  <c r="A4170" i="28"/>
  <c r="A4171" i="28"/>
  <c r="A4172" i="28"/>
  <c r="A4173" i="28"/>
  <c r="A4174" i="28"/>
  <c r="A4175" i="28"/>
  <c r="A4176" i="28"/>
  <c r="A4177" i="28"/>
  <c r="A4178" i="28"/>
  <c r="A4179" i="28"/>
  <c r="A4180" i="28"/>
  <c r="A4181" i="28"/>
  <c r="A4182" i="28"/>
  <c r="A4183" i="28"/>
  <c r="A4184" i="28"/>
  <c r="A4185" i="28"/>
  <c r="A4186" i="28"/>
  <c r="A4187" i="28"/>
  <c r="A4188" i="28"/>
  <c r="A4189" i="28"/>
  <c r="A4190" i="28"/>
  <c r="A4191" i="28"/>
  <c r="A4192" i="28"/>
  <c r="A4193" i="28"/>
  <c r="A4194" i="28"/>
  <c r="A4195" i="28"/>
  <c r="A4196" i="28"/>
  <c r="A4197" i="28"/>
  <c r="A4198" i="28"/>
  <c r="A4199" i="28"/>
  <c r="A4200" i="28"/>
  <c r="A4201" i="28"/>
  <c r="A4202" i="28"/>
  <c r="A4203" i="28"/>
  <c r="A4204" i="28"/>
  <c r="A4205" i="28"/>
  <c r="A4206" i="28"/>
  <c r="A4207" i="28"/>
  <c r="A4208" i="28"/>
  <c r="A4209" i="28"/>
  <c r="A4210" i="28"/>
  <c r="A4211" i="28"/>
  <c r="A4212" i="28"/>
  <c r="A4213" i="28"/>
  <c r="A4214" i="28"/>
  <c r="A4215" i="28"/>
  <c r="A4216" i="28"/>
  <c r="A4217" i="28"/>
  <c r="A4218" i="28"/>
  <c r="A4219" i="28"/>
  <c r="A4220" i="28"/>
  <c r="A4221" i="28"/>
  <c r="A4222" i="28"/>
  <c r="A4223" i="28"/>
  <c r="A4224" i="28"/>
  <c r="A4225" i="28"/>
  <c r="A4226" i="28"/>
  <c r="A4227" i="28"/>
  <c r="A4228" i="28"/>
  <c r="A4229" i="28"/>
  <c r="A4230" i="28"/>
  <c r="A4231" i="28"/>
  <c r="A4232" i="28"/>
  <c r="A4233" i="28"/>
  <c r="A4234" i="28"/>
  <c r="A4235" i="28"/>
  <c r="A4236" i="28"/>
  <c r="A4237" i="28"/>
  <c r="A4238" i="28"/>
  <c r="A4239" i="28"/>
  <c r="A4240" i="28"/>
  <c r="A4241" i="28"/>
  <c r="A4242" i="28"/>
  <c r="A4243" i="28"/>
  <c r="A4244" i="28"/>
  <c r="A4245" i="28"/>
  <c r="A4246" i="28"/>
  <c r="A4247" i="28"/>
  <c r="A4248" i="28"/>
  <c r="A4249" i="28"/>
  <c r="A4250" i="28"/>
  <c r="A4251" i="28"/>
  <c r="A4252" i="28"/>
  <c r="A4253" i="28"/>
  <c r="A4254" i="28"/>
  <c r="A4255" i="28"/>
  <c r="A4256" i="28"/>
  <c r="A4257" i="28"/>
  <c r="A4258" i="28"/>
  <c r="A4259" i="28"/>
  <c r="A4260" i="28"/>
  <c r="A4261" i="28"/>
  <c r="A4262" i="28"/>
  <c r="A4263" i="28"/>
  <c r="A4264" i="28"/>
  <c r="A4265" i="28"/>
  <c r="A4266" i="28"/>
  <c r="A4267" i="28"/>
  <c r="A4268" i="28"/>
  <c r="A4269" i="28"/>
  <c r="A4270" i="28"/>
  <c r="A4271" i="28"/>
  <c r="A4272" i="28"/>
  <c r="A4273" i="28"/>
  <c r="A4274" i="28"/>
  <c r="A4275" i="28"/>
  <c r="A4276" i="28"/>
  <c r="A4277" i="28"/>
  <c r="A4278" i="28"/>
  <c r="A4279" i="28"/>
  <c r="A4280" i="28"/>
  <c r="A4281" i="28"/>
  <c r="A4282" i="28"/>
  <c r="A4283" i="28"/>
  <c r="A4284" i="28"/>
  <c r="A4285" i="28"/>
  <c r="A4286" i="28"/>
  <c r="A4287" i="28"/>
  <c r="A4288" i="28"/>
  <c r="A4289" i="28"/>
  <c r="A4290" i="28"/>
  <c r="A4291" i="28"/>
  <c r="A4292" i="28"/>
  <c r="A4293" i="28"/>
  <c r="A4294" i="28"/>
  <c r="A4295" i="28"/>
  <c r="A4296" i="28"/>
  <c r="A4297" i="28"/>
  <c r="A4298" i="28"/>
  <c r="A4299" i="28"/>
  <c r="A4300" i="28"/>
  <c r="A4301" i="28"/>
  <c r="A4302" i="28"/>
  <c r="A4303" i="28"/>
  <c r="A4304" i="28"/>
  <c r="A4305" i="28"/>
  <c r="A4306" i="28"/>
  <c r="A4307" i="28"/>
  <c r="A4308" i="28"/>
  <c r="A4309" i="28"/>
  <c r="A4310" i="28"/>
  <c r="A4311" i="28"/>
  <c r="A4312" i="28"/>
  <c r="A4313" i="28"/>
  <c r="A4314" i="28"/>
  <c r="A4315" i="28"/>
  <c r="A4316" i="28"/>
  <c r="A4317" i="28"/>
  <c r="A4318" i="28"/>
  <c r="A4319" i="28"/>
  <c r="A4320" i="28"/>
  <c r="A4321" i="28"/>
  <c r="A4322" i="28"/>
  <c r="A4323" i="28"/>
  <c r="A4324" i="28"/>
  <c r="A4325" i="28"/>
  <c r="A4326" i="28"/>
  <c r="A4327" i="28"/>
  <c r="A4328" i="28"/>
  <c r="A4329" i="28"/>
  <c r="A4330" i="28"/>
  <c r="A4331" i="28"/>
  <c r="A4332" i="28"/>
  <c r="A4333" i="28"/>
  <c r="A4334" i="28"/>
  <c r="A4335" i="28"/>
  <c r="A4336" i="28"/>
  <c r="A4337" i="28"/>
  <c r="A4338" i="28"/>
  <c r="A4339" i="28"/>
  <c r="A4340" i="28"/>
  <c r="A4341" i="28"/>
  <c r="A4342" i="28"/>
  <c r="A4343" i="28"/>
  <c r="A4344" i="28"/>
  <c r="A4345" i="28"/>
  <c r="A4346" i="28"/>
  <c r="A4347" i="28"/>
  <c r="A4348" i="28"/>
  <c r="A4349" i="28"/>
  <c r="A4350" i="28"/>
  <c r="A4351" i="28"/>
  <c r="A4352" i="28"/>
  <c r="A4353" i="28"/>
  <c r="A4354" i="28"/>
  <c r="A4355" i="28"/>
  <c r="A4356" i="28"/>
  <c r="A4357" i="28"/>
  <c r="A4358" i="28"/>
  <c r="A4359" i="28"/>
  <c r="A4360" i="28"/>
  <c r="A4361" i="28"/>
  <c r="A4362" i="28"/>
  <c r="A4363" i="28"/>
  <c r="A4364" i="28"/>
  <c r="A4365" i="28"/>
  <c r="A4366" i="28"/>
  <c r="A4367" i="28"/>
  <c r="A4368" i="28"/>
  <c r="A4369" i="28"/>
  <c r="A4370" i="28"/>
  <c r="A4371" i="28"/>
  <c r="A4372" i="28"/>
  <c r="A4373" i="28"/>
  <c r="A4374" i="28"/>
  <c r="A4375" i="28"/>
  <c r="A4376" i="28"/>
  <c r="A4377" i="28"/>
  <c r="A4378" i="28"/>
  <c r="A4379" i="28"/>
  <c r="A4380" i="28"/>
  <c r="A4381" i="28"/>
  <c r="A4382" i="28"/>
  <c r="A4383" i="28"/>
  <c r="A4384" i="28"/>
  <c r="A4385" i="28"/>
  <c r="A4386" i="28"/>
  <c r="A4387" i="28"/>
  <c r="A4388" i="28"/>
  <c r="A4389" i="28"/>
  <c r="A4390" i="28"/>
  <c r="A4391" i="28"/>
  <c r="A4392" i="28"/>
  <c r="A4393" i="28"/>
  <c r="A4394" i="28"/>
  <c r="A4395" i="28"/>
  <c r="A4396" i="28"/>
  <c r="A4397" i="28"/>
  <c r="A4398" i="28"/>
  <c r="A4399" i="28"/>
  <c r="A4400" i="28"/>
  <c r="A4401" i="28"/>
  <c r="A4402" i="28"/>
  <c r="A4403" i="28"/>
  <c r="A4404" i="28"/>
  <c r="A4405" i="28"/>
  <c r="A4406" i="28"/>
  <c r="A4407" i="28"/>
  <c r="A4408" i="28"/>
  <c r="A4409" i="28"/>
  <c r="A4410" i="28"/>
  <c r="A4411" i="28"/>
  <c r="A4412" i="28"/>
  <c r="A4413" i="28"/>
  <c r="A4414" i="28"/>
  <c r="A4415" i="28"/>
  <c r="A4416" i="28"/>
  <c r="A4417" i="28"/>
  <c r="A4418" i="28"/>
  <c r="A4419" i="28"/>
  <c r="A4420" i="28"/>
  <c r="A4421" i="28"/>
  <c r="A4422" i="28"/>
  <c r="A4423" i="28"/>
  <c r="A4424" i="28"/>
  <c r="A4425" i="28"/>
  <c r="A4426" i="28"/>
  <c r="A4427" i="28"/>
  <c r="A4428" i="28"/>
  <c r="A4429" i="28"/>
  <c r="A4430" i="28"/>
  <c r="A4431" i="28"/>
  <c r="A4432" i="28"/>
  <c r="A4433" i="28"/>
  <c r="A4434" i="28"/>
  <c r="A4435" i="28"/>
  <c r="A4436" i="28"/>
  <c r="A4437" i="28"/>
  <c r="A4438" i="28"/>
  <c r="A4439" i="28"/>
  <c r="A4440" i="28"/>
  <c r="A4441" i="28"/>
  <c r="A4442" i="28"/>
  <c r="A4443" i="28"/>
  <c r="A4444" i="28"/>
  <c r="A4445" i="28"/>
  <c r="A4446" i="28"/>
  <c r="A4447" i="28"/>
  <c r="A4448" i="28"/>
  <c r="A4449" i="28"/>
  <c r="A4450" i="28"/>
  <c r="A4451" i="28"/>
  <c r="A4452" i="28"/>
  <c r="A4453" i="28"/>
  <c r="A4454" i="28"/>
  <c r="A4455" i="28"/>
  <c r="A4456" i="28"/>
  <c r="A4457" i="28"/>
  <c r="A4458" i="28"/>
  <c r="A4459" i="28"/>
  <c r="A4460" i="28"/>
  <c r="A4461" i="28"/>
  <c r="A4462" i="28"/>
  <c r="A4463" i="28"/>
  <c r="A4464" i="28"/>
  <c r="A4465" i="28"/>
  <c r="A4466" i="28"/>
  <c r="A4467" i="28"/>
  <c r="A4468" i="28"/>
  <c r="A4469" i="28"/>
  <c r="A4470" i="28"/>
  <c r="A4471" i="28"/>
  <c r="A4472" i="28"/>
  <c r="A4473" i="28"/>
  <c r="A4474" i="28"/>
  <c r="A4475" i="28"/>
  <c r="A4476" i="28"/>
  <c r="A4477" i="28"/>
  <c r="A4478" i="28"/>
  <c r="A4479" i="28"/>
  <c r="A4480" i="28"/>
  <c r="A4481" i="28"/>
  <c r="A4482" i="28"/>
  <c r="A4483" i="28"/>
  <c r="A4484" i="28"/>
  <c r="A4485" i="28"/>
  <c r="A4486" i="28"/>
  <c r="A4487" i="28"/>
  <c r="A4488" i="28"/>
  <c r="A4489" i="28"/>
  <c r="A4490" i="28"/>
  <c r="A4491" i="28"/>
  <c r="A4492" i="28"/>
  <c r="A4493" i="28"/>
  <c r="A4494" i="28"/>
  <c r="A4495" i="28"/>
  <c r="A4496" i="28"/>
  <c r="A4497" i="28"/>
  <c r="A4498" i="28"/>
  <c r="A4499" i="28"/>
  <c r="A4500" i="28"/>
  <c r="A4501" i="28"/>
  <c r="A4502" i="28"/>
  <c r="A4503" i="28"/>
  <c r="A4504" i="28"/>
  <c r="A4505" i="28"/>
  <c r="A4506" i="28"/>
  <c r="A4507" i="28"/>
  <c r="A4508" i="28"/>
  <c r="A4509" i="28"/>
  <c r="A4510" i="28"/>
  <c r="A4511" i="28"/>
  <c r="A4512" i="28"/>
  <c r="A4513" i="28"/>
  <c r="A4514" i="28"/>
  <c r="A4515" i="28"/>
  <c r="A4516" i="28"/>
  <c r="A4517" i="28"/>
  <c r="A4518" i="28"/>
  <c r="A4519" i="28"/>
  <c r="A4520" i="28"/>
  <c r="A4521" i="28"/>
  <c r="A4522" i="28"/>
  <c r="A4523" i="28"/>
  <c r="A4524" i="28"/>
  <c r="A4525" i="28"/>
  <c r="A4526" i="28"/>
  <c r="A4527" i="28"/>
  <c r="A4528" i="28"/>
  <c r="A4529" i="28"/>
  <c r="A4530" i="28"/>
  <c r="A4531" i="28"/>
  <c r="A4532" i="28"/>
  <c r="A4533" i="28"/>
  <c r="A4534" i="28"/>
  <c r="A4535" i="28"/>
  <c r="A4536" i="28"/>
  <c r="A4537" i="28"/>
  <c r="A4538" i="28"/>
  <c r="A4539" i="28"/>
  <c r="A4540" i="28"/>
  <c r="A4541" i="28"/>
  <c r="A4542" i="28"/>
  <c r="A4543" i="28"/>
  <c r="A4544" i="28"/>
  <c r="A4545" i="28"/>
  <c r="A4546" i="28"/>
  <c r="A4547" i="28"/>
  <c r="A4548" i="28"/>
  <c r="A4549" i="28"/>
  <c r="A4550" i="28"/>
  <c r="A4551" i="28"/>
  <c r="A4552" i="28"/>
  <c r="A4553" i="28"/>
  <c r="A4554" i="28"/>
  <c r="A4555" i="28"/>
  <c r="A4556" i="28"/>
  <c r="A4557" i="28"/>
  <c r="A4558" i="28"/>
  <c r="A4559" i="28"/>
  <c r="A4560" i="28"/>
  <c r="A4561" i="28"/>
  <c r="A4562" i="28"/>
  <c r="A4563" i="28"/>
  <c r="A4564" i="28"/>
  <c r="A4565" i="28"/>
  <c r="A4566" i="28"/>
  <c r="A4567" i="28"/>
  <c r="A4568" i="28"/>
  <c r="A4569" i="28"/>
  <c r="A4570" i="28"/>
  <c r="A4571" i="28"/>
  <c r="A4572" i="28"/>
  <c r="A4573" i="28"/>
  <c r="A4574" i="28"/>
  <c r="A4575" i="28"/>
  <c r="A4576" i="28"/>
  <c r="A4577" i="28"/>
  <c r="A4578" i="28"/>
  <c r="A4579" i="28"/>
  <c r="A4580" i="28"/>
  <c r="A4581" i="28"/>
  <c r="A4582" i="28"/>
  <c r="A4583" i="28"/>
  <c r="A4584" i="28"/>
  <c r="A4585" i="28"/>
  <c r="A4586" i="28"/>
  <c r="A4587" i="28"/>
  <c r="A4588" i="28"/>
  <c r="A4589" i="28"/>
  <c r="A4590" i="28"/>
  <c r="A4591" i="28"/>
  <c r="A4592" i="28"/>
  <c r="A4593" i="28"/>
  <c r="A4594" i="28"/>
  <c r="A4595" i="28"/>
  <c r="A4596" i="28"/>
  <c r="A4597" i="28"/>
  <c r="A4598" i="28"/>
  <c r="A4599" i="28"/>
  <c r="A4600" i="28"/>
  <c r="A4601" i="28"/>
  <c r="A4602" i="28"/>
  <c r="A4603" i="28"/>
  <c r="A4604" i="28"/>
  <c r="A4605" i="28"/>
  <c r="A4606" i="28"/>
  <c r="A4607" i="28"/>
  <c r="A4608" i="28"/>
  <c r="A4609" i="28"/>
  <c r="A4610" i="28"/>
  <c r="A4611" i="28"/>
  <c r="A4612" i="28"/>
  <c r="A4613" i="28"/>
  <c r="A4614" i="28"/>
  <c r="A4615" i="28"/>
  <c r="A4616" i="28"/>
  <c r="A4617" i="28"/>
  <c r="A4618" i="28"/>
  <c r="A4619" i="28"/>
  <c r="A4620" i="28"/>
  <c r="A4621" i="28"/>
  <c r="A4622" i="28"/>
  <c r="A4623" i="28"/>
  <c r="A4624" i="28"/>
  <c r="A4625" i="28"/>
  <c r="A4626" i="28"/>
  <c r="A4627" i="28"/>
  <c r="A4628" i="28"/>
  <c r="A4629" i="28"/>
  <c r="A4630" i="28"/>
  <c r="A4631" i="28"/>
  <c r="A4632" i="28"/>
  <c r="A4633" i="28"/>
  <c r="A4634" i="28"/>
  <c r="A4635" i="28"/>
  <c r="A4636" i="28"/>
  <c r="A4637" i="28"/>
  <c r="A4638" i="28"/>
  <c r="A4639" i="28"/>
  <c r="A4640" i="28"/>
  <c r="A4641" i="28"/>
  <c r="A4642" i="28"/>
  <c r="A4643" i="28"/>
  <c r="A4644" i="28"/>
  <c r="A4645" i="28"/>
  <c r="A4646" i="28"/>
  <c r="A4647" i="28"/>
  <c r="A4648" i="28"/>
  <c r="A4649" i="28"/>
  <c r="A4650" i="28"/>
  <c r="A4651" i="28"/>
  <c r="A4652" i="28"/>
  <c r="A4653" i="28"/>
  <c r="A4654" i="28"/>
  <c r="A4655" i="28"/>
  <c r="A4656" i="28"/>
  <c r="A4657" i="28"/>
  <c r="A4658" i="28"/>
  <c r="A4659" i="28"/>
  <c r="A4660" i="28"/>
  <c r="A4661" i="28"/>
  <c r="A4662" i="28"/>
  <c r="A4663" i="28"/>
  <c r="A4664" i="28"/>
  <c r="A4665" i="28"/>
  <c r="A4666" i="28"/>
  <c r="A4667" i="28"/>
  <c r="A4668" i="28"/>
  <c r="A4669" i="28"/>
  <c r="A4670" i="28"/>
  <c r="A4671" i="28"/>
  <c r="A4672" i="28"/>
  <c r="A4673" i="28"/>
  <c r="A4674" i="28"/>
  <c r="A4675" i="28"/>
  <c r="A4676" i="28"/>
  <c r="A4677" i="28"/>
  <c r="A4678" i="28"/>
  <c r="A4679" i="28"/>
  <c r="A4680" i="28"/>
  <c r="A4681" i="28"/>
  <c r="A4682" i="28"/>
  <c r="A4683" i="28"/>
  <c r="A4684" i="28"/>
  <c r="A4685" i="28"/>
  <c r="A4686" i="28"/>
  <c r="A4687" i="28"/>
  <c r="A4688" i="28"/>
  <c r="A4689" i="28"/>
  <c r="A4690" i="28"/>
  <c r="A4691" i="28"/>
  <c r="A4692" i="28"/>
  <c r="A4693" i="28"/>
  <c r="A4694" i="28"/>
  <c r="A4695" i="28"/>
  <c r="A4696" i="28"/>
  <c r="A4697" i="28"/>
  <c r="A4698" i="28"/>
  <c r="A4699" i="28"/>
  <c r="A4700" i="28"/>
  <c r="A4701" i="28"/>
  <c r="A4702" i="28"/>
  <c r="A4703" i="28"/>
  <c r="A4704" i="28"/>
  <c r="A4705" i="28"/>
  <c r="A4706" i="28"/>
  <c r="A4707" i="28"/>
  <c r="A4708" i="28"/>
  <c r="A4709" i="28"/>
  <c r="A4710" i="28"/>
  <c r="A4711" i="28"/>
  <c r="A4712" i="28"/>
  <c r="A4713" i="28"/>
  <c r="A4714" i="28"/>
  <c r="A4715" i="28"/>
  <c r="A4716" i="28"/>
  <c r="A4717" i="28"/>
  <c r="A4718" i="28"/>
  <c r="A4719" i="28"/>
  <c r="A4720" i="28"/>
  <c r="A4721" i="28"/>
  <c r="A4722" i="28"/>
  <c r="A4723" i="28"/>
  <c r="A4724" i="28"/>
  <c r="A4725" i="28"/>
  <c r="A4726" i="28"/>
  <c r="A4727" i="28"/>
  <c r="A4728" i="28"/>
  <c r="A4729" i="28"/>
  <c r="A4730" i="28"/>
  <c r="A4731" i="28"/>
  <c r="A4732" i="28"/>
  <c r="A4733" i="28"/>
  <c r="A4734" i="28"/>
  <c r="A4735" i="28"/>
  <c r="A4736" i="28"/>
  <c r="A4737" i="28"/>
  <c r="A4738" i="28"/>
  <c r="A4739" i="28"/>
  <c r="A4740" i="28"/>
  <c r="A4741" i="28"/>
  <c r="A4742" i="28"/>
  <c r="A4743" i="28"/>
  <c r="A4744" i="28"/>
  <c r="A4745" i="28"/>
  <c r="A4746" i="28"/>
  <c r="A4747" i="28"/>
  <c r="A4748" i="28"/>
  <c r="A4749" i="28"/>
  <c r="A4750" i="28"/>
  <c r="A4751" i="28"/>
  <c r="A4752" i="28"/>
  <c r="A4753" i="28"/>
  <c r="A4754" i="28"/>
  <c r="A4755" i="28"/>
  <c r="A4756" i="28"/>
  <c r="A4757" i="28"/>
  <c r="A4758" i="28"/>
  <c r="A4759" i="28"/>
  <c r="A4760" i="28"/>
  <c r="A4761" i="28"/>
  <c r="A4762" i="28"/>
  <c r="A4763" i="28"/>
  <c r="A4764" i="28"/>
  <c r="A4765" i="28"/>
  <c r="A4766" i="28"/>
  <c r="A4767" i="28"/>
  <c r="A4768" i="28"/>
  <c r="A4769" i="28"/>
  <c r="A4770" i="28"/>
  <c r="A4771" i="28"/>
  <c r="A4772" i="28"/>
  <c r="A4773" i="28"/>
  <c r="A4774" i="28"/>
  <c r="A4775" i="28"/>
  <c r="A4776" i="28"/>
  <c r="A4777" i="28"/>
  <c r="A4778" i="28"/>
  <c r="A4779" i="28"/>
  <c r="A4780" i="28"/>
  <c r="A4781" i="28"/>
  <c r="A4782" i="28"/>
  <c r="A4783" i="28"/>
  <c r="A4784" i="28"/>
  <c r="A4785" i="28"/>
  <c r="A4786" i="28"/>
  <c r="A4787" i="28"/>
  <c r="A4788" i="28"/>
  <c r="A4789" i="28"/>
  <c r="A4790" i="28"/>
  <c r="A4791" i="28"/>
  <c r="A4792" i="28"/>
  <c r="A4793" i="28"/>
  <c r="A4794" i="28"/>
  <c r="A4795" i="28"/>
  <c r="A4796" i="28"/>
  <c r="A4797" i="28"/>
  <c r="A4798" i="28"/>
  <c r="A4799" i="28"/>
  <c r="A4800" i="28"/>
  <c r="A4801" i="28"/>
  <c r="A4802" i="28"/>
  <c r="A4803" i="28"/>
  <c r="A4804" i="28"/>
  <c r="A4805" i="28"/>
  <c r="A4806" i="28"/>
  <c r="A4807" i="28"/>
  <c r="A4808" i="28"/>
  <c r="A4809" i="28"/>
  <c r="A4810" i="28"/>
  <c r="A4811" i="28"/>
  <c r="A4812" i="28"/>
  <c r="A4813" i="28"/>
  <c r="A4814" i="28"/>
  <c r="A4815" i="28"/>
  <c r="A4816" i="28"/>
  <c r="A4817" i="28"/>
  <c r="A4818" i="28"/>
  <c r="A4819" i="28"/>
  <c r="A4820" i="28"/>
  <c r="A4821" i="28"/>
  <c r="A4822" i="28"/>
  <c r="A4823" i="28"/>
  <c r="A4824" i="28"/>
  <c r="A4825" i="28"/>
  <c r="A4826" i="28"/>
  <c r="A4827" i="28"/>
  <c r="A4828" i="28"/>
  <c r="A4829" i="28"/>
  <c r="A4830" i="28"/>
  <c r="A4831" i="28"/>
  <c r="A4832" i="28"/>
  <c r="A4833" i="28"/>
  <c r="A4834" i="28"/>
  <c r="A4835" i="28"/>
  <c r="A4836" i="28"/>
  <c r="A4837" i="28"/>
  <c r="A4838" i="28"/>
  <c r="A4839" i="28"/>
  <c r="A4840" i="28"/>
  <c r="A4841" i="28"/>
  <c r="A4842" i="28"/>
  <c r="A4843" i="28"/>
  <c r="A4844" i="28"/>
  <c r="A4845" i="28"/>
  <c r="A4846" i="28"/>
  <c r="A4847" i="28"/>
  <c r="A4848" i="28"/>
  <c r="A4849" i="28"/>
  <c r="A4850" i="28"/>
  <c r="A4851" i="28"/>
  <c r="A4852" i="28"/>
  <c r="A4853" i="28"/>
  <c r="A4854" i="28"/>
  <c r="A4855" i="28"/>
  <c r="A4856" i="28"/>
  <c r="A4857" i="28"/>
  <c r="A4858" i="28"/>
  <c r="A4859" i="28"/>
  <c r="A4860" i="28"/>
  <c r="A4861" i="28"/>
  <c r="A4862" i="28"/>
  <c r="A4863" i="28"/>
  <c r="A4864" i="28"/>
  <c r="A4865" i="28"/>
  <c r="A4866" i="28"/>
  <c r="A4867" i="28"/>
  <c r="A4868" i="28"/>
  <c r="A4869" i="28"/>
  <c r="A4870" i="28"/>
  <c r="A4871" i="28"/>
  <c r="A4872" i="28"/>
  <c r="A4873" i="28"/>
  <c r="A4874" i="28"/>
  <c r="A4875" i="28"/>
  <c r="A4876" i="28"/>
  <c r="A4877" i="28"/>
  <c r="A4878" i="28"/>
  <c r="A4879" i="28"/>
  <c r="A4880" i="28"/>
  <c r="A4881" i="28"/>
  <c r="A4882" i="28"/>
  <c r="A4883" i="28"/>
  <c r="A4884" i="28"/>
  <c r="A4885" i="28"/>
  <c r="A4886" i="28"/>
  <c r="A4887" i="28"/>
  <c r="A4888" i="28"/>
  <c r="A4889" i="28"/>
  <c r="A4890" i="28"/>
  <c r="A4891" i="28"/>
  <c r="A4892" i="28"/>
  <c r="A4893" i="28"/>
  <c r="A4894" i="28"/>
  <c r="A4895" i="28"/>
  <c r="A4896" i="28"/>
  <c r="A4897" i="28"/>
  <c r="A4898" i="28"/>
  <c r="A4899" i="28"/>
  <c r="A4900" i="28"/>
  <c r="A4901" i="28"/>
  <c r="A4902" i="28"/>
  <c r="A4903" i="28"/>
  <c r="A4904" i="28"/>
  <c r="A4905" i="28"/>
  <c r="A4906" i="28"/>
  <c r="A4907" i="28"/>
  <c r="A4908" i="28"/>
  <c r="A4909" i="28"/>
  <c r="A4910" i="28"/>
  <c r="A4911" i="28"/>
  <c r="A4912" i="28"/>
  <c r="A4913" i="28"/>
  <c r="A4914" i="28"/>
  <c r="A4915" i="28"/>
  <c r="A4916" i="28"/>
  <c r="A4917" i="28"/>
  <c r="A4918" i="28"/>
  <c r="A4919" i="28"/>
  <c r="A4920" i="28"/>
  <c r="A4921" i="28"/>
  <c r="A4922" i="28"/>
  <c r="A4923" i="28"/>
  <c r="A4924" i="28"/>
  <c r="A4925" i="28"/>
  <c r="A4926" i="28"/>
  <c r="A4927" i="28"/>
  <c r="A4928" i="28"/>
  <c r="A4929" i="28"/>
  <c r="A4930" i="28"/>
  <c r="A4931" i="28"/>
  <c r="A4932" i="28"/>
  <c r="A4933" i="28"/>
  <c r="A4934" i="28"/>
  <c r="A4935" i="28"/>
  <c r="A4936" i="28"/>
  <c r="A4937" i="28"/>
  <c r="A4938" i="28"/>
  <c r="A4939" i="28"/>
  <c r="A4940" i="28"/>
  <c r="A4941" i="28"/>
  <c r="A4942" i="28"/>
  <c r="A4943" i="28"/>
  <c r="A4944" i="28"/>
  <c r="A4945" i="28"/>
  <c r="A4946" i="28"/>
  <c r="A4947" i="28"/>
  <c r="A4948" i="28"/>
  <c r="A4949" i="28"/>
  <c r="A4950" i="28"/>
  <c r="A4951" i="28"/>
  <c r="A4952" i="28"/>
  <c r="A4953" i="28"/>
  <c r="A4954" i="28"/>
  <c r="A4955" i="28"/>
  <c r="A4956" i="28"/>
  <c r="A4957" i="28"/>
  <c r="A4958" i="28"/>
  <c r="A4959" i="28"/>
  <c r="A4960" i="28"/>
  <c r="A4961" i="28"/>
  <c r="A4962" i="28"/>
  <c r="A4963" i="28"/>
  <c r="A4964" i="28"/>
  <c r="A4965" i="28"/>
  <c r="A4966" i="28"/>
  <c r="A4967" i="28"/>
  <c r="A4968" i="28"/>
  <c r="A4969" i="28"/>
  <c r="A4970" i="28"/>
  <c r="A4971" i="28"/>
  <c r="A4972" i="28"/>
  <c r="A4973" i="28"/>
  <c r="A4974" i="28"/>
  <c r="A4975" i="28"/>
  <c r="A4976" i="28"/>
  <c r="A4977" i="28"/>
  <c r="A4978" i="28"/>
  <c r="A4979" i="28"/>
  <c r="A4980" i="28"/>
  <c r="A4981" i="28"/>
  <c r="A4982" i="28"/>
  <c r="A4983" i="28"/>
  <c r="A4984" i="28"/>
  <c r="A4985" i="28"/>
  <c r="A4986" i="28"/>
  <c r="A4987" i="28"/>
  <c r="A4988" i="28"/>
  <c r="A4989" i="28"/>
  <c r="A4990" i="28"/>
  <c r="A4991" i="28"/>
  <c r="A4992" i="28"/>
  <c r="A4993" i="28"/>
  <c r="A4994" i="28"/>
  <c r="A4995" i="28"/>
  <c r="A4996" i="28"/>
  <c r="A4997" i="28"/>
  <c r="A4998" i="28"/>
  <c r="A4999" i="28"/>
  <c r="A5000" i="28"/>
  <c r="A5001" i="28"/>
  <c r="A5002" i="28"/>
  <c r="A5003" i="28"/>
  <c r="A5004" i="28"/>
  <c r="A5005" i="28"/>
  <c r="A5006" i="28"/>
  <c r="A5007" i="28"/>
  <c r="A5008" i="28"/>
  <c r="A5009" i="28"/>
  <c r="A5010" i="28"/>
  <c r="A5011" i="28"/>
  <c r="A5012" i="28"/>
  <c r="A5013" i="28"/>
  <c r="A5014" i="28"/>
  <c r="A5015" i="28"/>
  <c r="A5016" i="28"/>
  <c r="A5017" i="28"/>
  <c r="A5018" i="28"/>
  <c r="A5019" i="28"/>
  <c r="A5020" i="28"/>
  <c r="A5021" i="28"/>
  <c r="A5022" i="28"/>
  <c r="A5023" i="28"/>
  <c r="A5024" i="28"/>
  <c r="A5025" i="28"/>
  <c r="A5026" i="28"/>
  <c r="A5027" i="28"/>
  <c r="A5028" i="28"/>
  <c r="A5029" i="28"/>
  <c r="A5030" i="28"/>
  <c r="A5031" i="28"/>
  <c r="A5032" i="28"/>
  <c r="A5033" i="28"/>
  <c r="A5034" i="28"/>
  <c r="A5035" i="28"/>
  <c r="A5036" i="28"/>
  <c r="A5037" i="28"/>
  <c r="A5038" i="28"/>
  <c r="A5039" i="28"/>
  <c r="A5040" i="28"/>
  <c r="A5041" i="28"/>
  <c r="A5042" i="28"/>
  <c r="A5043" i="28"/>
  <c r="A5044" i="28"/>
  <c r="A5045" i="28"/>
  <c r="A5046" i="28"/>
  <c r="A5047" i="28"/>
  <c r="A5048" i="28"/>
  <c r="A5049" i="28"/>
  <c r="A5050" i="28"/>
  <c r="A5051" i="28"/>
  <c r="A5052" i="28"/>
  <c r="A5053" i="28"/>
  <c r="A5054" i="28"/>
  <c r="A5055" i="28"/>
  <c r="A5056" i="28"/>
  <c r="A5057" i="28"/>
  <c r="A5058" i="28"/>
  <c r="A5059" i="28"/>
  <c r="A5060" i="28"/>
  <c r="A5061" i="28"/>
  <c r="A5062" i="28"/>
  <c r="A5063" i="28"/>
  <c r="A5064" i="28"/>
  <c r="A5065" i="28"/>
  <c r="A5066" i="28"/>
  <c r="A5067" i="28"/>
  <c r="A5068" i="28"/>
  <c r="A5069" i="28"/>
  <c r="A5070" i="28"/>
  <c r="A5071" i="28"/>
  <c r="A5072" i="28"/>
  <c r="A5073" i="28"/>
  <c r="A5074" i="28"/>
  <c r="A5075" i="28"/>
  <c r="A5076" i="28"/>
  <c r="A5077" i="28"/>
  <c r="A5078" i="28"/>
  <c r="A5079" i="28"/>
  <c r="A5080" i="28"/>
  <c r="A5081" i="28"/>
  <c r="A5082" i="28"/>
  <c r="A5083" i="28"/>
  <c r="A5084" i="28"/>
  <c r="A5085" i="28"/>
  <c r="A5086" i="28"/>
  <c r="A5087" i="28"/>
  <c r="A5088" i="28"/>
  <c r="A5089" i="28"/>
  <c r="A5090" i="28"/>
  <c r="A5091" i="28"/>
  <c r="A5092" i="28"/>
  <c r="A5093" i="28"/>
  <c r="A5094" i="28"/>
  <c r="A5095" i="28"/>
  <c r="A5096" i="28"/>
  <c r="A5097" i="28"/>
  <c r="A5098" i="28"/>
  <c r="A5099" i="28"/>
  <c r="A5100" i="28"/>
  <c r="A5101" i="28"/>
  <c r="A5102" i="28"/>
  <c r="A5103" i="28"/>
  <c r="A5104" i="28"/>
  <c r="A5105" i="28"/>
  <c r="A5106" i="28"/>
  <c r="A5107" i="28"/>
  <c r="A5108" i="28"/>
  <c r="A5109" i="28"/>
  <c r="A5110" i="28"/>
  <c r="A5111" i="28"/>
  <c r="A5112" i="28"/>
  <c r="A5113" i="28"/>
  <c r="A5114" i="28"/>
  <c r="A5115" i="28"/>
  <c r="A5116" i="28"/>
  <c r="A5117" i="28"/>
  <c r="A5118" i="28"/>
  <c r="A5119" i="28"/>
  <c r="A5120" i="28"/>
  <c r="A5121" i="28"/>
  <c r="A5122" i="28"/>
  <c r="A5123" i="28"/>
  <c r="A5124" i="28"/>
  <c r="A5125" i="28"/>
  <c r="A5126" i="28"/>
  <c r="A5127" i="28"/>
  <c r="A5128" i="28"/>
  <c r="A5129" i="28"/>
  <c r="A5130" i="28"/>
  <c r="A5131" i="28"/>
  <c r="A5132" i="28"/>
  <c r="A5133" i="28"/>
  <c r="A5134" i="28"/>
  <c r="A5135" i="28"/>
  <c r="A5136" i="28"/>
  <c r="A5137" i="28"/>
  <c r="A5138" i="28"/>
  <c r="A5139" i="28"/>
  <c r="A5140" i="28"/>
  <c r="A5141" i="28"/>
  <c r="A5142" i="28"/>
  <c r="A5143" i="28"/>
  <c r="A5144" i="28"/>
  <c r="A5145" i="28"/>
  <c r="A5146" i="28"/>
  <c r="A5147" i="28"/>
  <c r="A5148" i="28"/>
  <c r="A5149" i="28"/>
  <c r="A5150" i="28"/>
  <c r="A5151" i="28"/>
  <c r="A5152" i="28"/>
  <c r="A5153" i="28"/>
  <c r="A5154" i="28"/>
  <c r="A5155" i="28"/>
  <c r="A5156" i="28"/>
  <c r="A5157" i="28"/>
  <c r="A5158" i="28"/>
  <c r="A5159" i="28"/>
  <c r="A5160" i="28"/>
  <c r="A5161" i="28"/>
  <c r="A5162" i="28"/>
  <c r="A5163" i="28"/>
  <c r="A5164" i="28"/>
  <c r="A5165" i="28"/>
  <c r="A5166" i="28"/>
  <c r="A5167" i="28"/>
  <c r="A5168" i="28"/>
  <c r="A5169" i="28"/>
  <c r="A5170" i="28"/>
  <c r="A5171" i="28"/>
  <c r="A5172" i="28"/>
  <c r="A5173" i="28"/>
  <c r="A5174" i="28"/>
  <c r="A5175" i="28"/>
  <c r="A5176" i="28"/>
  <c r="A5177" i="28"/>
  <c r="A5178" i="28"/>
  <c r="A5179" i="28"/>
  <c r="A5180" i="28"/>
  <c r="A5181" i="28"/>
  <c r="A5182" i="28"/>
  <c r="A5183" i="28"/>
  <c r="A5184" i="28"/>
  <c r="A5185" i="28"/>
  <c r="A5186" i="28"/>
  <c r="A5187" i="28"/>
  <c r="A5188" i="28"/>
  <c r="A5189" i="28"/>
  <c r="A5190" i="28"/>
  <c r="A5191" i="28"/>
  <c r="A5192" i="28"/>
  <c r="A5193" i="28"/>
  <c r="A5194" i="28"/>
  <c r="A5195" i="28"/>
  <c r="A5196" i="28"/>
  <c r="A5197" i="28"/>
  <c r="A5198" i="28"/>
  <c r="A5199" i="28"/>
  <c r="A5200" i="28"/>
  <c r="A5201" i="28"/>
  <c r="A5202" i="28"/>
  <c r="A5203" i="28"/>
  <c r="A5204" i="28"/>
  <c r="A5205" i="28"/>
  <c r="A5206" i="28"/>
  <c r="A5207" i="28"/>
  <c r="A5208" i="28"/>
  <c r="A5209" i="28"/>
  <c r="A5210" i="28"/>
  <c r="A5211" i="28"/>
  <c r="A5212" i="28"/>
  <c r="A5213" i="28"/>
  <c r="A5214" i="28"/>
  <c r="A5215" i="28"/>
  <c r="A5216" i="28"/>
  <c r="A5217" i="28"/>
  <c r="A5218" i="28"/>
  <c r="A5219" i="28"/>
  <c r="A5220" i="28"/>
  <c r="A5221" i="28"/>
  <c r="A5222" i="28"/>
  <c r="A5223" i="28"/>
  <c r="A5224" i="28"/>
  <c r="A5225" i="28"/>
  <c r="A5226" i="28"/>
  <c r="A5227" i="28"/>
  <c r="A5228" i="28"/>
  <c r="A5229" i="28"/>
  <c r="A5230" i="28"/>
  <c r="A5231" i="28"/>
  <c r="A5232" i="28"/>
  <c r="A5233" i="28"/>
  <c r="A5234" i="28"/>
  <c r="A5235" i="28"/>
  <c r="A5236" i="28"/>
  <c r="A5237" i="28"/>
  <c r="A5238" i="28"/>
  <c r="A5239" i="28"/>
  <c r="A5240" i="28"/>
  <c r="A5241" i="28"/>
  <c r="A5242" i="28"/>
  <c r="A5243" i="28"/>
  <c r="A5244" i="28"/>
  <c r="A5245" i="28"/>
  <c r="A5246" i="28"/>
  <c r="A5247" i="28"/>
  <c r="A5248" i="28"/>
  <c r="A5249" i="28"/>
  <c r="A5250" i="28"/>
  <c r="A5251" i="28"/>
  <c r="A5252" i="28"/>
  <c r="A5253" i="28"/>
  <c r="A5254" i="28"/>
  <c r="A5255" i="28"/>
  <c r="A5256" i="28"/>
  <c r="A5257" i="28"/>
  <c r="A5258" i="28"/>
  <c r="A5259" i="28"/>
  <c r="A5260" i="28"/>
  <c r="A5261" i="28"/>
  <c r="A5262" i="28"/>
  <c r="A5263" i="28"/>
  <c r="A5264" i="28"/>
  <c r="A5265" i="28"/>
  <c r="A5266" i="28"/>
  <c r="A5267" i="28"/>
  <c r="A5268" i="28"/>
  <c r="A5269" i="28"/>
  <c r="A5270" i="28"/>
  <c r="A5271" i="28"/>
  <c r="A5272" i="28"/>
  <c r="A5273" i="28"/>
  <c r="A5274" i="28"/>
  <c r="A5275" i="28"/>
  <c r="A5276" i="28"/>
  <c r="A5277" i="28"/>
  <c r="A5278" i="28"/>
  <c r="A5279" i="28"/>
  <c r="A5280" i="28"/>
  <c r="A5281" i="28"/>
  <c r="A5282" i="28"/>
  <c r="A5283" i="28"/>
  <c r="A5284" i="28"/>
  <c r="A5285" i="28"/>
  <c r="A5286" i="28"/>
  <c r="A5287" i="28"/>
  <c r="A5288" i="28"/>
  <c r="A5289" i="28"/>
  <c r="A5290" i="28"/>
  <c r="A5291" i="28"/>
  <c r="A5292" i="28"/>
  <c r="A5293" i="28"/>
  <c r="A5294" i="28"/>
  <c r="A5295" i="28"/>
  <c r="A5296" i="28"/>
  <c r="A5297" i="28"/>
  <c r="A5298" i="28"/>
  <c r="A5299" i="28"/>
  <c r="A5300" i="28"/>
  <c r="A5301" i="28"/>
  <c r="A5302" i="28"/>
  <c r="A5303" i="28"/>
  <c r="A5304" i="28"/>
  <c r="A5305" i="28"/>
  <c r="A5306" i="28"/>
  <c r="A5307" i="28"/>
  <c r="A5308" i="28"/>
  <c r="A5309" i="28"/>
  <c r="A5310" i="28"/>
  <c r="A5311" i="28"/>
  <c r="A5312" i="28"/>
  <c r="A5313" i="28"/>
  <c r="A5314" i="28"/>
  <c r="A5315" i="28"/>
  <c r="A5316" i="28"/>
  <c r="A5317" i="28"/>
  <c r="A5318" i="28"/>
  <c r="A5319" i="28"/>
  <c r="A5320" i="28"/>
  <c r="A5321" i="28"/>
  <c r="A5322" i="28"/>
  <c r="A5323" i="28"/>
  <c r="A5324" i="28"/>
  <c r="A5325" i="28"/>
  <c r="A5326" i="28"/>
  <c r="A5327" i="28"/>
  <c r="A5328" i="28"/>
  <c r="A5329" i="28"/>
  <c r="A5330" i="28"/>
  <c r="A5331" i="28"/>
  <c r="A5332" i="28"/>
  <c r="A5333" i="28"/>
  <c r="A5334" i="28"/>
  <c r="A5335" i="28"/>
  <c r="A5336" i="28"/>
  <c r="A5337" i="28"/>
  <c r="A5338" i="28"/>
  <c r="A5339" i="28"/>
  <c r="A5340" i="28"/>
  <c r="A5341" i="28"/>
  <c r="A5342" i="28"/>
  <c r="A5343" i="28"/>
  <c r="A5344" i="28"/>
  <c r="A5345" i="28"/>
  <c r="A5346" i="28"/>
  <c r="A5347" i="28"/>
  <c r="A5348" i="28"/>
  <c r="A5349" i="28"/>
  <c r="A5350" i="28"/>
  <c r="A5351" i="28"/>
  <c r="A5352" i="28"/>
  <c r="A5353" i="28"/>
  <c r="A5354" i="28"/>
  <c r="A5355" i="28"/>
  <c r="A5356" i="28"/>
  <c r="A5357" i="28"/>
  <c r="A5358" i="28"/>
  <c r="A5359" i="28"/>
  <c r="A5360" i="28"/>
  <c r="A5361" i="28"/>
  <c r="A5362" i="28"/>
  <c r="A5363" i="28"/>
  <c r="A5364" i="28"/>
  <c r="A5365" i="28"/>
  <c r="A5366" i="28"/>
  <c r="A5367" i="28"/>
  <c r="A5368" i="28"/>
  <c r="A5369" i="28"/>
  <c r="A5370" i="28"/>
  <c r="A5371" i="28"/>
  <c r="A5372" i="28"/>
  <c r="A5373" i="28"/>
  <c r="A5374" i="28"/>
  <c r="A5375" i="28"/>
  <c r="A5376" i="28"/>
  <c r="A5377" i="28"/>
  <c r="A5378" i="28"/>
  <c r="A5379" i="28"/>
  <c r="A5380" i="28"/>
  <c r="A5381" i="28"/>
  <c r="A5382" i="28"/>
  <c r="A5383" i="28"/>
  <c r="A5384" i="28"/>
  <c r="A5385" i="28"/>
  <c r="A5386" i="28"/>
  <c r="A5387" i="28"/>
  <c r="A5388" i="28"/>
  <c r="A5389" i="28"/>
  <c r="A5390" i="28"/>
  <c r="A5391" i="28"/>
  <c r="A5392" i="28"/>
  <c r="A5393" i="28"/>
  <c r="A5394" i="28"/>
  <c r="A5395" i="28"/>
  <c r="A5396" i="28"/>
  <c r="A5397" i="28"/>
  <c r="A5398" i="28"/>
  <c r="A5399" i="28"/>
  <c r="A5400" i="28"/>
  <c r="A5401" i="28"/>
  <c r="A5402" i="28"/>
  <c r="A5403" i="28"/>
  <c r="A5404" i="28"/>
  <c r="A5405" i="28"/>
  <c r="A5406" i="28"/>
  <c r="A5407" i="28"/>
  <c r="A5408" i="28"/>
  <c r="A5409" i="28"/>
  <c r="A5410" i="28"/>
  <c r="A5411" i="28"/>
  <c r="A5412" i="28"/>
  <c r="A5413" i="28"/>
  <c r="A5414" i="28"/>
  <c r="A5415" i="28"/>
  <c r="A5416" i="28"/>
  <c r="A5417" i="28"/>
  <c r="A5418" i="28"/>
  <c r="A5419" i="28"/>
  <c r="A5420" i="28"/>
  <c r="A5421" i="28"/>
  <c r="A5422" i="28"/>
  <c r="A5423" i="28"/>
  <c r="A5424" i="28"/>
  <c r="A5425" i="28"/>
  <c r="A5426" i="28"/>
  <c r="A5427" i="28"/>
  <c r="A5428" i="28"/>
  <c r="A5429" i="28"/>
  <c r="A5430" i="28"/>
  <c r="A5431" i="28"/>
  <c r="A5432" i="28"/>
  <c r="A5433" i="28"/>
  <c r="A5434" i="28"/>
  <c r="A5435" i="28"/>
  <c r="A5436" i="28"/>
  <c r="A5437" i="28"/>
  <c r="A5438" i="28"/>
  <c r="A5439" i="28"/>
  <c r="A5440" i="28"/>
  <c r="A5441" i="28"/>
  <c r="A5442" i="28"/>
  <c r="A5443" i="28"/>
  <c r="A5444" i="28"/>
  <c r="A5445" i="28"/>
  <c r="A5446" i="28"/>
  <c r="A5447" i="28"/>
  <c r="A5448" i="28"/>
  <c r="A5449" i="28"/>
  <c r="A5450" i="28"/>
  <c r="A5451" i="28"/>
  <c r="A5452" i="28"/>
  <c r="A5453" i="28"/>
  <c r="A5454" i="28"/>
  <c r="A5455" i="28"/>
  <c r="A5456" i="28"/>
  <c r="A5457" i="28"/>
  <c r="A5458" i="28"/>
  <c r="A5459" i="28"/>
  <c r="A5460" i="28"/>
  <c r="A5461" i="28"/>
  <c r="A5462" i="28"/>
  <c r="A5463" i="28"/>
  <c r="A5464" i="28"/>
  <c r="A5465" i="28"/>
  <c r="A5466" i="28"/>
  <c r="A5467" i="28"/>
  <c r="A5468" i="28"/>
  <c r="A5469" i="28"/>
  <c r="A5470" i="28"/>
  <c r="A5471" i="28"/>
  <c r="A5472" i="28"/>
  <c r="A5473" i="28"/>
  <c r="A5474" i="28"/>
  <c r="A5475" i="28"/>
  <c r="A5476" i="28"/>
  <c r="A5477" i="28"/>
  <c r="A5478" i="28"/>
  <c r="A5479" i="28"/>
  <c r="A5480" i="28"/>
  <c r="A5481" i="28"/>
  <c r="A5482" i="28"/>
  <c r="A5483" i="28"/>
  <c r="A5484" i="28"/>
  <c r="A5485" i="28"/>
  <c r="A5486" i="28"/>
  <c r="A5487" i="28"/>
  <c r="A5488" i="28"/>
  <c r="A5489" i="28"/>
  <c r="A5490" i="28"/>
  <c r="A5491" i="28"/>
  <c r="A5492" i="28"/>
  <c r="A5493" i="28"/>
  <c r="A5494" i="28"/>
  <c r="A5495" i="28"/>
  <c r="A5496" i="28"/>
  <c r="A5497" i="28"/>
  <c r="A5498" i="28"/>
  <c r="A5499" i="28"/>
  <c r="A5500" i="28"/>
  <c r="A5501" i="28"/>
  <c r="A5502" i="28"/>
  <c r="A5503" i="28"/>
  <c r="A5504" i="28"/>
  <c r="A5505" i="28"/>
  <c r="A5506" i="28"/>
  <c r="A5507" i="28"/>
  <c r="A5508" i="28"/>
  <c r="A5509" i="28"/>
  <c r="A5510" i="28"/>
  <c r="A5511" i="28"/>
  <c r="A5512" i="28"/>
  <c r="A5513" i="28"/>
  <c r="A5514" i="28"/>
  <c r="A5515" i="28"/>
  <c r="A5516" i="28"/>
  <c r="A5517" i="28"/>
  <c r="A5518" i="28"/>
  <c r="A5519" i="28"/>
  <c r="A5520" i="28"/>
  <c r="A5521" i="28"/>
  <c r="A5522" i="28"/>
  <c r="A5523" i="28"/>
  <c r="A5524" i="28"/>
  <c r="A5525" i="28"/>
  <c r="A5526" i="28"/>
  <c r="A5527" i="28"/>
  <c r="A5528" i="28"/>
  <c r="A5529" i="28"/>
  <c r="A5530" i="28"/>
  <c r="A5531" i="28"/>
  <c r="A5532" i="28"/>
  <c r="A5533" i="28"/>
  <c r="A5534" i="28"/>
  <c r="A5535" i="28"/>
  <c r="A5536" i="28"/>
  <c r="A5537" i="28"/>
  <c r="A5538" i="28"/>
  <c r="A5539" i="28"/>
  <c r="A5540" i="28"/>
  <c r="A5541" i="28"/>
  <c r="A5542" i="28"/>
  <c r="A5543" i="28"/>
  <c r="A5544" i="28"/>
  <c r="A5545" i="28"/>
  <c r="A5546" i="28"/>
  <c r="A5547" i="28"/>
  <c r="A5548" i="28"/>
  <c r="A5549" i="28"/>
  <c r="A5550" i="28"/>
  <c r="A5551" i="28"/>
  <c r="A5552" i="28"/>
  <c r="A5553" i="28"/>
  <c r="A5554" i="28"/>
  <c r="A5555" i="28"/>
  <c r="A5556" i="28"/>
  <c r="A5557" i="28"/>
  <c r="A5558" i="28"/>
  <c r="A5559" i="28"/>
  <c r="A5560" i="28"/>
  <c r="A5561" i="28"/>
  <c r="A5562" i="28"/>
  <c r="A5563" i="28"/>
  <c r="A5564" i="28"/>
  <c r="A5565" i="28"/>
  <c r="A5566" i="28"/>
  <c r="A5567" i="28"/>
  <c r="A5568" i="28"/>
  <c r="A5569" i="28"/>
  <c r="A5570" i="28"/>
  <c r="A5571" i="28"/>
  <c r="A5572" i="28"/>
  <c r="A5573" i="28"/>
  <c r="A5574" i="28"/>
  <c r="A5575" i="28"/>
  <c r="A5576" i="28"/>
  <c r="A5577" i="28"/>
  <c r="A5578" i="28"/>
  <c r="A5579" i="28"/>
  <c r="A5580" i="28"/>
  <c r="A5581" i="28"/>
  <c r="A5582" i="28"/>
  <c r="A5583" i="28"/>
  <c r="A5584" i="28"/>
  <c r="A5585" i="28"/>
  <c r="A5586" i="28"/>
  <c r="A5587" i="28"/>
  <c r="A5588" i="28"/>
  <c r="A5589" i="28"/>
  <c r="A5590" i="28"/>
  <c r="A5591" i="28"/>
  <c r="A5592" i="28"/>
  <c r="A5593" i="28"/>
  <c r="A5594" i="28"/>
  <c r="A5595" i="28"/>
  <c r="A5596" i="28"/>
  <c r="A5597" i="28"/>
  <c r="A5598" i="28"/>
  <c r="A5599" i="28"/>
  <c r="A5600" i="28"/>
  <c r="A5601" i="28"/>
  <c r="A5602" i="28"/>
  <c r="A5603" i="28"/>
  <c r="A5604" i="28"/>
  <c r="A5605" i="28"/>
  <c r="A5606" i="28"/>
  <c r="A5607" i="28"/>
  <c r="A5608" i="28"/>
  <c r="A5609" i="28"/>
  <c r="A5610" i="28"/>
  <c r="A5611" i="28"/>
  <c r="A5612" i="28"/>
  <c r="A5613" i="28"/>
  <c r="A5614" i="28"/>
  <c r="A5615" i="28"/>
  <c r="A5616" i="28"/>
  <c r="A5617" i="28"/>
  <c r="A5618" i="28"/>
  <c r="A5619" i="28"/>
  <c r="A5620" i="28"/>
  <c r="A5621" i="28"/>
  <c r="A5622" i="28"/>
  <c r="A5623" i="28"/>
  <c r="A5624" i="28"/>
  <c r="A5625" i="28"/>
  <c r="A5626" i="28"/>
  <c r="A5627" i="28"/>
  <c r="A5628" i="28"/>
  <c r="A5629" i="28"/>
  <c r="A5630" i="28"/>
  <c r="A5631" i="28"/>
  <c r="A5632" i="28"/>
  <c r="A5633" i="28"/>
  <c r="A5634" i="28"/>
  <c r="A5635" i="28"/>
  <c r="A5636" i="28"/>
  <c r="A5637" i="28"/>
  <c r="A5638" i="28"/>
  <c r="A5639" i="28"/>
  <c r="A5640" i="28"/>
  <c r="A5641" i="28"/>
  <c r="A5642" i="28"/>
  <c r="A5643" i="28"/>
  <c r="A5644" i="28"/>
  <c r="A5645" i="28"/>
  <c r="A5646" i="28"/>
  <c r="A5647" i="28"/>
  <c r="A5648" i="28"/>
  <c r="A5649" i="28"/>
  <c r="A5650" i="28"/>
  <c r="A5651" i="28"/>
  <c r="A5652" i="28"/>
  <c r="A5653" i="28"/>
  <c r="A5654" i="28"/>
  <c r="A5655" i="28"/>
  <c r="A5656" i="28"/>
  <c r="A5657" i="28"/>
  <c r="A5658" i="28"/>
  <c r="A5659" i="28"/>
  <c r="A5660" i="28"/>
  <c r="A5661" i="28"/>
  <c r="A5662" i="28"/>
  <c r="A5663" i="28"/>
  <c r="A5664" i="28"/>
  <c r="A5665" i="28"/>
  <c r="A5666" i="28"/>
  <c r="A5667" i="28"/>
  <c r="A5668" i="28"/>
  <c r="A5669" i="28"/>
  <c r="A5670" i="28"/>
  <c r="A5671" i="28"/>
  <c r="A5672" i="28"/>
  <c r="A5673" i="28"/>
  <c r="A5674" i="28"/>
  <c r="A5675" i="28"/>
  <c r="A5676" i="28"/>
  <c r="A5677" i="28"/>
  <c r="A5678" i="28"/>
  <c r="A5679" i="28"/>
  <c r="A5680" i="28"/>
  <c r="A5681" i="28"/>
  <c r="A5682" i="28"/>
  <c r="A5683" i="28"/>
  <c r="A5684" i="28"/>
  <c r="A5685" i="28"/>
  <c r="A5686" i="28"/>
  <c r="A5687" i="28"/>
  <c r="A5688" i="28"/>
  <c r="A5689" i="28"/>
  <c r="A5690" i="28"/>
  <c r="A5691" i="28"/>
  <c r="A5692" i="28"/>
  <c r="A5693" i="28"/>
  <c r="A5694" i="28"/>
  <c r="A5695" i="28"/>
  <c r="A5696" i="28"/>
  <c r="A5697" i="28"/>
  <c r="A5698" i="28"/>
  <c r="A5699" i="28"/>
  <c r="A5700" i="28"/>
  <c r="A5701" i="28"/>
  <c r="A5702" i="28"/>
  <c r="A5703" i="28"/>
  <c r="A5704" i="28"/>
  <c r="A5705" i="28"/>
  <c r="A5706" i="28"/>
  <c r="A5707" i="28"/>
  <c r="A5708" i="28"/>
  <c r="A5709" i="28"/>
  <c r="A5710" i="28"/>
  <c r="A5711" i="28"/>
  <c r="A5712" i="28"/>
  <c r="A5713" i="28"/>
  <c r="A5714" i="28"/>
  <c r="A5715" i="28"/>
  <c r="A5716" i="28"/>
  <c r="A5717" i="28"/>
  <c r="A5718" i="28"/>
  <c r="A5719" i="28"/>
  <c r="A5720" i="28"/>
  <c r="A5721" i="28"/>
  <c r="A5722" i="28"/>
  <c r="A5723" i="28"/>
  <c r="A5724" i="28"/>
  <c r="A5725" i="28"/>
  <c r="A5726" i="28"/>
  <c r="A5727" i="28"/>
  <c r="A5728" i="28"/>
  <c r="A5729" i="28"/>
  <c r="A5730" i="28"/>
  <c r="A5731" i="28"/>
  <c r="A5732" i="28"/>
  <c r="A5733" i="28"/>
  <c r="A5734" i="28"/>
  <c r="A5735" i="28"/>
  <c r="A5736" i="28"/>
  <c r="A5737" i="28"/>
  <c r="A5738" i="28"/>
  <c r="A5739" i="28"/>
  <c r="A5740" i="28"/>
  <c r="A5741" i="28"/>
  <c r="A5742" i="28"/>
  <c r="A5743" i="28"/>
  <c r="A5744" i="28"/>
  <c r="A5745" i="28"/>
  <c r="A5746" i="28"/>
  <c r="A5747" i="28"/>
  <c r="A5748" i="28"/>
  <c r="A5749" i="28"/>
  <c r="A5750" i="28"/>
  <c r="A5751" i="28"/>
  <c r="A5752" i="28"/>
  <c r="A5753" i="28"/>
  <c r="A5754" i="28"/>
  <c r="A5755" i="28"/>
  <c r="A5756" i="28"/>
  <c r="A5757" i="28"/>
  <c r="A5758" i="28"/>
  <c r="A5759" i="28"/>
  <c r="A5760" i="28"/>
  <c r="A5761" i="28"/>
  <c r="A5762" i="28"/>
  <c r="A5763" i="28"/>
  <c r="A5764" i="28"/>
  <c r="A5765" i="28"/>
  <c r="A5766" i="28"/>
  <c r="A5767" i="28"/>
  <c r="A5768" i="28"/>
  <c r="A5769" i="28"/>
  <c r="A5770" i="28"/>
  <c r="A5771" i="28"/>
  <c r="A5772" i="28"/>
  <c r="A5773" i="28"/>
  <c r="A5774" i="28"/>
  <c r="A5775" i="28"/>
  <c r="A5776" i="28"/>
  <c r="A5777" i="28"/>
  <c r="A5778" i="28"/>
  <c r="A5779" i="28"/>
  <c r="A5780" i="28"/>
  <c r="A5781" i="28"/>
  <c r="A5782" i="28"/>
  <c r="A5783" i="28"/>
  <c r="A5784" i="28"/>
  <c r="A5785" i="28"/>
  <c r="A5786" i="28"/>
  <c r="A5787" i="28"/>
  <c r="A5788" i="28"/>
  <c r="A5789" i="28"/>
  <c r="A5790" i="28"/>
  <c r="A5791" i="28"/>
  <c r="A5792" i="28"/>
  <c r="A5793" i="28"/>
  <c r="A5794" i="28"/>
  <c r="A5795" i="28"/>
  <c r="A5796" i="28"/>
  <c r="A5797" i="28"/>
  <c r="A5798" i="28"/>
  <c r="A5799" i="28"/>
  <c r="A5800" i="28"/>
  <c r="A5801" i="28"/>
  <c r="A5802" i="28"/>
  <c r="A5803" i="28"/>
  <c r="A5804" i="28"/>
  <c r="A5805" i="28"/>
  <c r="A5806" i="28"/>
  <c r="A5807" i="28"/>
  <c r="A5808" i="28"/>
  <c r="A5809" i="28"/>
  <c r="A5810" i="28"/>
  <c r="A5811" i="28"/>
  <c r="A5812" i="28"/>
  <c r="A5813" i="28"/>
  <c r="A5814" i="28"/>
  <c r="A5815" i="28"/>
  <c r="A5816" i="28"/>
  <c r="A5817" i="28"/>
  <c r="A5818" i="28"/>
  <c r="A5819" i="28"/>
  <c r="A5820" i="28"/>
  <c r="A5821" i="28"/>
  <c r="A5822" i="28"/>
  <c r="A5823" i="28"/>
  <c r="A5824" i="28"/>
  <c r="A5825" i="28"/>
  <c r="A5826" i="28"/>
  <c r="A5827" i="28"/>
  <c r="A5828" i="28"/>
  <c r="A5829" i="28"/>
  <c r="A5830" i="28"/>
  <c r="A5831" i="28"/>
  <c r="A5832" i="28"/>
  <c r="A5833" i="28"/>
  <c r="A5834" i="28"/>
  <c r="A5835" i="28"/>
  <c r="A5836" i="28"/>
  <c r="A5837" i="28"/>
  <c r="A5838" i="28"/>
  <c r="A5839" i="28"/>
  <c r="A5840" i="28"/>
  <c r="A5841" i="28"/>
  <c r="A5842" i="28"/>
  <c r="A5843" i="28"/>
  <c r="A5844" i="28"/>
  <c r="A5845" i="28"/>
  <c r="A5846" i="28"/>
  <c r="A5847" i="28"/>
  <c r="A5848" i="28"/>
  <c r="A5849" i="28"/>
  <c r="A5850" i="28"/>
  <c r="A5851" i="28"/>
  <c r="A5852" i="28"/>
  <c r="A5853" i="28"/>
  <c r="A5854" i="28"/>
  <c r="A5855" i="28"/>
  <c r="A5856" i="28"/>
  <c r="A5857" i="28"/>
  <c r="A5858" i="28"/>
  <c r="A5859" i="28"/>
  <c r="A5860" i="28"/>
  <c r="A5861" i="28"/>
  <c r="A5862" i="28"/>
  <c r="A5863" i="28"/>
  <c r="A5864" i="28"/>
  <c r="A5865" i="28"/>
  <c r="A5866" i="28"/>
  <c r="A5867" i="28"/>
  <c r="A5868" i="28"/>
  <c r="A5869" i="28"/>
  <c r="A5870" i="28"/>
  <c r="A5871" i="28"/>
  <c r="A5872" i="28"/>
  <c r="A5873" i="28"/>
  <c r="A5874" i="28"/>
  <c r="A5875" i="28"/>
  <c r="A5876" i="28"/>
  <c r="A5877" i="28"/>
  <c r="A5878" i="28"/>
  <c r="A5879" i="28"/>
  <c r="A5880" i="28"/>
  <c r="A5881" i="28"/>
  <c r="A5882" i="28"/>
  <c r="A5883" i="28"/>
  <c r="A5884" i="28"/>
  <c r="A5885" i="28"/>
  <c r="A5886" i="28"/>
  <c r="A5887" i="28"/>
  <c r="A5888" i="28"/>
  <c r="A5889" i="28"/>
  <c r="A5890" i="28"/>
  <c r="A5891" i="28"/>
  <c r="A5892" i="28"/>
  <c r="A5893" i="28"/>
  <c r="A5894" i="28"/>
  <c r="A5895" i="28"/>
  <c r="A5896" i="28"/>
  <c r="A5897" i="28"/>
  <c r="A5898" i="28"/>
  <c r="A5899" i="28"/>
  <c r="A5900" i="28"/>
  <c r="A5901" i="28"/>
  <c r="A5902" i="28"/>
  <c r="A5903" i="28"/>
  <c r="A5904" i="28"/>
  <c r="A5905" i="28"/>
  <c r="A5906" i="28"/>
  <c r="A5907" i="28"/>
  <c r="A5908" i="28"/>
  <c r="A5909" i="28"/>
  <c r="A5910" i="28"/>
  <c r="A5911" i="28"/>
  <c r="A5912" i="28"/>
  <c r="A5913" i="28"/>
  <c r="A5914" i="28"/>
  <c r="A5915" i="28"/>
  <c r="A5916" i="28"/>
  <c r="A5917" i="28"/>
  <c r="A5918" i="28"/>
  <c r="A5919" i="28"/>
  <c r="A5920" i="28"/>
  <c r="A5921" i="28"/>
  <c r="A5922" i="28"/>
  <c r="A5923" i="28"/>
  <c r="A5924" i="28"/>
  <c r="A5925" i="28"/>
  <c r="A5926" i="28"/>
  <c r="A5927" i="28"/>
  <c r="A5928" i="28"/>
  <c r="A5929" i="28"/>
  <c r="A5930" i="28"/>
  <c r="A5931" i="28"/>
  <c r="A5932" i="28"/>
  <c r="A5933" i="28"/>
  <c r="A5934" i="28"/>
  <c r="A5935" i="28"/>
  <c r="A5936" i="28"/>
  <c r="A5937" i="28"/>
  <c r="A5938" i="28"/>
  <c r="A5939" i="28"/>
  <c r="A5940" i="28"/>
  <c r="A5941" i="28"/>
  <c r="A5942" i="28"/>
  <c r="A5943" i="28"/>
  <c r="A5944" i="28"/>
  <c r="A5945" i="28"/>
  <c r="A5946" i="28"/>
  <c r="A5947" i="28"/>
  <c r="A5948" i="28"/>
  <c r="A5949" i="28"/>
  <c r="A5950" i="28"/>
  <c r="A5951" i="28"/>
  <c r="A5952" i="28"/>
  <c r="A5953" i="28"/>
  <c r="A5954" i="28"/>
  <c r="A5955" i="28"/>
  <c r="A5956" i="28"/>
  <c r="A5957" i="28"/>
  <c r="A5958" i="28"/>
  <c r="A5959" i="28"/>
  <c r="A5960" i="28"/>
  <c r="A5961" i="28"/>
  <c r="A5962" i="28"/>
  <c r="A5963" i="28"/>
  <c r="A5964" i="28"/>
  <c r="A5965" i="28"/>
  <c r="A5966" i="28"/>
  <c r="A5967" i="28"/>
  <c r="A5968" i="28"/>
  <c r="A5969" i="28"/>
  <c r="A5970" i="28"/>
  <c r="A5971" i="28"/>
  <c r="A5972" i="28"/>
  <c r="A5973" i="28"/>
  <c r="A5974" i="28"/>
  <c r="A5975" i="28"/>
  <c r="A5976" i="28"/>
  <c r="A5977" i="28"/>
  <c r="A5978" i="28"/>
  <c r="A5979" i="28"/>
  <c r="A5980" i="28"/>
  <c r="A5981" i="28"/>
  <c r="A5982" i="28"/>
  <c r="A5983" i="28"/>
  <c r="A5984" i="28"/>
  <c r="A5985" i="28"/>
  <c r="A5986" i="28"/>
  <c r="A5987" i="28"/>
  <c r="A5988" i="28"/>
  <c r="A5989" i="28"/>
  <c r="A5990" i="28"/>
  <c r="A5991" i="28"/>
  <c r="A5992" i="28"/>
  <c r="A5993" i="28"/>
  <c r="A5994" i="28"/>
  <c r="A5995" i="28"/>
  <c r="A5996" i="28"/>
  <c r="A5997" i="28"/>
  <c r="A5998" i="28"/>
  <c r="A5999" i="28"/>
  <c r="A6000" i="28"/>
  <c r="A6001" i="28"/>
  <c r="A6002" i="28"/>
  <c r="A6003" i="28"/>
  <c r="A6004" i="28"/>
  <c r="A6005" i="28"/>
  <c r="A6006" i="28"/>
  <c r="A6007" i="28"/>
  <c r="A6008" i="28"/>
  <c r="A6009" i="28"/>
  <c r="A6010" i="28"/>
  <c r="A6011" i="28"/>
  <c r="A6012" i="28"/>
  <c r="A6013" i="28"/>
  <c r="A6014" i="28"/>
  <c r="A6015" i="28"/>
  <c r="A6016" i="28"/>
  <c r="A6017" i="28"/>
  <c r="A6018" i="28"/>
  <c r="A6019" i="28"/>
  <c r="A6020" i="28"/>
  <c r="A6021" i="28"/>
  <c r="A6022" i="28"/>
  <c r="A6023" i="28"/>
  <c r="A6024" i="28"/>
  <c r="A6025" i="28"/>
  <c r="A6026" i="28"/>
  <c r="A6027" i="28"/>
  <c r="A6028" i="28"/>
  <c r="A6029" i="28"/>
  <c r="A6030" i="28"/>
  <c r="A6031" i="28"/>
  <c r="A6032" i="28"/>
  <c r="A6033" i="28"/>
  <c r="A6034" i="28"/>
  <c r="A6035" i="28"/>
  <c r="A6036" i="28"/>
  <c r="A6037" i="28"/>
  <c r="A6038" i="28"/>
  <c r="A6039" i="28"/>
  <c r="A6040" i="28"/>
  <c r="A6041" i="28"/>
  <c r="A6042" i="28"/>
  <c r="A6043" i="28"/>
  <c r="A6044" i="28"/>
  <c r="A6045" i="28"/>
  <c r="A6046" i="28"/>
  <c r="A6047" i="28"/>
  <c r="A6048" i="28"/>
  <c r="A6049" i="28"/>
  <c r="A6050" i="28"/>
  <c r="A6051" i="28"/>
  <c r="A6052" i="28"/>
  <c r="A6053" i="28"/>
  <c r="A6054" i="28"/>
  <c r="A6055" i="28"/>
  <c r="A6056" i="28"/>
  <c r="A6057" i="28"/>
  <c r="A6058" i="28"/>
  <c r="A6059" i="28"/>
  <c r="A6060" i="28"/>
  <c r="A6061" i="28"/>
  <c r="A6062" i="28"/>
  <c r="A6063" i="28"/>
  <c r="A6064" i="28"/>
  <c r="A6065" i="28"/>
  <c r="A6066" i="28"/>
  <c r="A6067" i="28"/>
  <c r="A6068" i="28"/>
  <c r="A6069" i="28"/>
  <c r="A6070" i="28"/>
  <c r="A6071" i="28"/>
  <c r="A6072" i="28"/>
  <c r="A6073" i="28"/>
  <c r="A6074" i="28"/>
  <c r="A6075" i="28"/>
  <c r="A6076" i="28"/>
  <c r="A6077" i="28"/>
  <c r="A6078" i="28"/>
  <c r="A6079" i="28"/>
  <c r="A6080" i="28"/>
  <c r="A6081" i="28"/>
  <c r="A6082" i="28"/>
  <c r="A6083" i="28"/>
  <c r="A6084" i="28"/>
  <c r="A6085" i="28"/>
  <c r="A6086" i="28"/>
  <c r="A6087" i="28"/>
  <c r="A6088" i="28"/>
  <c r="A6089" i="28"/>
  <c r="A6090" i="28"/>
  <c r="A6091" i="28"/>
  <c r="A6092" i="28"/>
  <c r="A6093" i="28"/>
  <c r="A6094" i="28"/>
  <c r="A6095" i="28"/>
  <c r="A6096" i="28"/>
  <c r="A6097" i="28"/>
  <c r="A6098" i="28"/>
  <c r="A6099" i="28"/>
  <c r="A6100" i="28"/>
  <c r="A6101" i="28"/>
  <c r="A6102" i="28"/>
  <c r="A6103" i="28"/>
  <c r="A6104" i="28"/>
  <c r="A6105" i="28"/>
  <c r="A6106" i="28"/>
  <c r="A6107" i="28"/>
  <c r="A6108" i="28"/>
  <c r="A6109" i="28"/>
  <c r="A6110" i="28"/>
  <c r="A6111" i="28"/>
  <c r="A6112" i="28"/>
  <c r="A6113" i="28"/>
  <c r="A6114" i="28"/>
  <c r="A6115" i="28"/>
  <c r="A6116" i="28"/>
  <c r="A6117" i="28"/>
  <c r="A6118" i="28"/>
  <c r="A6119" i="28"/>
  <c r="A6120" i="28"/>
  <c r="A6121" i="28"/>
  <c r="A6122" i="28"/>
  <c r="A6123" i="28"/>
  <c r="A6124" i="28"/>
  <c r="A6125" i="28"/>
  <c r="A6126" i="28"/>
  <c r="A6127" i="28"/>
  <c r="A6128" i="28"/>
  <c r="A6129" i="28"/>
  <c r="A6130" i="28"/>
  <c r="A6131" i="28"/>
  <c r="A6132" i="28"/>
  <c r="A6133" i="28"/>
  <c r="A6134" i="28"/>
  <c r="A6135" i="28"/>
  <c r="A6136" i="28"/>
  <c r="A6137" i="28"/>
  <c r="A6138" i="28"/>
  <c r="A6139" i="28"/>
  <c r="A6140" i="28"/>
  <c r="A6141" i="28"/>
  <c r="A6142" i="28"/>
  <c r="A6143" i="28"/>
  <c r="A6144" i="28"/>
  <c r="A6145" i="28"/>
  <c r="A6146" i="28"/>
  <c r="A6147" i="28"/>
  <c r="A6148" i="28"/>
  <c r="A6149" i="28"/>
  <c r="A6150" i="28"/>
  <c r="A6151" i="28"/>
  <c r="A6152" i="28"/>
  <c r="A6153" i="28"/>
  <c r="A6154" i="28"/>
  <c r="A6155" i="28"/>
  <c r="A6156" i="28"/>
  <c r="A6157" i="28"/>
  <c r="A6158" i="28"/>
  <c r="A6159" i="28"/>
  <c r="A6160" i="28"/>
  <c r="A6161" i="28"/>
  <c r="A6162" i="28"/>
  <c r="A6163" i="28"/>
  <c r="A6164" i="28"/>
  <c r="A6165" i="28"/>
  <c r="A6166" i="28"/>
  <c r="A6167" i="28"/>
  <c r="A6168" i="28"/>
  <c r="A6169" i="28"/>
  <c r="A6170" i="28"/>
  <c r="A6171" i="28"/>
  <c r="A6172" i="28"/>
  <c r="A6173" i="28"/>
  <c r="A6174" i="28"/>
  <c r="A6175" i="28"/>
  <c r="A6176" i="28"/>
  <c r="A6177" i="28"/>
  <c r="A6178" i="28"/>
  <c r="A6179" i="28"/>
  <c r="A6180" i="28"/>
  <c r="A6181" i="28"/>
  <c r="A6182" i="28"/>
  <c r="A6183" i="28"/>
  <c r="A6184" i="28"/>
  <c r="A6185" i="28"/>
  <c r="A6186" i="28"/>
  <c r="A6187" i="28"/>
  <c r="A6188" i="28"/>
  <c r="A6189" i="28"/>
  <c r="A6190" i="28"/>
  <c r="A6191" i="28"/>
  <c r="A6192" i="28"/>
  <c r="A6193" i="28"/>
  <c r="A6194" i="28"/>
  <c r="A6195" i="28"/>
  <c r="A6196" i="28"/>
  <c r="A6197" i="28"/>
  <c r="A6198" i="28"/>
  <c r="A6199" i="28"/>
  <c r="A6200" i="28"/>
  <c r="A6201" i="28"/>
  <c r="A6202" i="28"/>
  <c r="A6203" i="28"/>
  <c r="A6204" i="28"/>
  <c r="A6205" i="28"/>
  <c r="A6206" i="28"/>
  <c r="A6207" i="28"/>
  <c r="A6208" i="28"/>
  <c r="A6209" i="28"/>
  <c r="A6210" i="28"/>
  <c r="A6211" i="28"/>
  <c r="A6212" i="28"/>
  <c r="A6213" i="28"/>
  <c r="A6214" i="28"/>
  <c r="A6215" i="28"/>
  <c r="A6216" i="28"/>
  <c r="A6217" i="28"/>
  <c r="A6218" i="28"/>
  <c r="A6219" i="28"/>
  <c r="A6220" i="28"/>
  <c r="A6221" i="28"/>
  <c r="A6222" i="28"/>
  <c r="A6223" i="28"/>
  <c r="A6224" i="28"/>
  <c r="A6225" i="28"/>
  <c r="A6226" i="28"/>
  <c r="A6227" i="28"/>
  <c r="A6228" i="28"/>
  <c r="A6229" i="28"/>
  <c r="A6230" i="28"/>
  <c r="A6231" i="28"/>
  <c r="A6232" i="28"/>
  <c r="A6233" i="28"/>
  <c r="A6234" i="28"/>
  <c r="A6235" i="28"/>
  <c r="A6236" i="28"/>
  <c r="A6237" i="28"/>
  <c r="A6238" i="28"/>
  <c r="A6239" i="28"/>
  <c r="A6240" i="28"/>
  <c r="A6241" i="28"/>
  <c r="A6242" i="28"/>
  <c r="A6243" i="28"/>
  <c r="A6244" i="28"/>
  <c r="A6245" i="28"/>
  <c r="A6246" i="28"/>
  <c r="A6247" i="28"/>
  <c r="A6248" i="28"/>
  <c r="A6249" i="28"/>
  <c r="A6250" i="28"/>
  <c r="A6251" i="28"/>
  <c r="A6252" i="28"/>
  <c r="A6253" i="28"/>
  <c r="A6254" i="28"/>
  <c r="A6255" i="28"/>
  <c r="A6256" i="28"/>
  <c r="A6257" i="28"/>
  <c r="A6258" i="28"/>
  <c r="A6259" i="28"/>
  <c r="A6260" i="28"/>
  <c r="A6261" i="28"/>
  <c r="A6262" i="28"/>
  <c r="A6263" i="28"/>
  <c r="A6264" i="28"/>
  <c r="A6265" i="28"/>
  <c r="A6266" i="28"/>
  <c r="A6267" i="28"/>
  <c r="A6268" i="28"/>
  <c r="A6269" i="28"/>
  <c r="A6270" i="28"/>
  <c r="A6271" i="28"/>
  <c r="A6272" i="28"/>
  <c r="A6273" i="28"/>
  <c r="A6274" i="28"/>
  <c r="A6275" i="28"/>
  <c r="A6276" i="28"/>
  <c r="A6277" i="28"/>
  <c r="A6278" i="28"/>
  <c r="A6279" i="28"/>
  <c r="A6280" i="28"/>
  <c r="A6281" i="28"/>
  <c r="A6282" i="28"/>
  <c r="A6283" i="28"/>
  <c r="A6284" i="28"/>
  <c r="A6285" i="28"/>
  <c r="A6286" i="28"/>
  <c r="A6287" i="28"/>
  <c r="A6288" i="28"/>
  <c r="A6289" i="28"/>
  <c r="A6290" i="28"/>
  <c r="A6291" i="28"/>
  <c r="A6292" i="28"/>
  <c r="A6293" i="28"/>
  <c r="A6294" i="28"/>
  <c r="A6295" i="28"/>
  <c r="A6296" i="28"/>
  <c r="A6297" i="28"/>
  <c r="A6298" i="28"/>
  <c r="A6299" i="28"/>
  <c r="A6300" i="28"/>
  <c r="A6301" i="28"/>
  <c r="A6302" i="28"/>
  <c r="A6303" i="28"/>
  <c r="A6304" i="28"/>
  <c r="A6305" i="28"/>
  <c r="A6306" i="28"/>
  <c r="A6307" i="28"/>
  <c r="A6308" i="28"/>
  <c r="A6309" i="28"/>
  <c r="A6310" i="28"/>
  <c r="A6311" i="28"/>
  <c r="A6312" i="28"/>
  <c r="A6313" i="28"/>
  <c r="A6314" i="28"/>
  <c r="A6315" i="28"/>
  <c r="A6316" i="28"/>
  <c r="A6317" i="28"/>
  <c r="A6318" i="28"/>
  <c r="A6319" i="28"/>
  <c r="A6320" i="28"/>
  <c r="A6321" i="28"/>
  <c r="A6322" i="28"/>
  <c r="A6323" i="28"/>
  <c r="A6324" i="28"/>
  <c r="A6325" i="28"/>
  <c r="A6326" i="28"/>
  <c r="A6327" i="28"/>
  <c r="A6328" i="28"/>
  <c r="A6329" i="28"/>
  <c r="A6330" i="28"/>
  <c r="A6331" i="28"/>
  <c r="A6332" i="28"/>
  <c r="A6333" i="28"/>
  <c r="A6334" i="28"/>
  <c r="A6335" i="28"/>
  <c r="A6336" i="28"/>
  <c r="A6337" i="28"/>
  <c r="A6338" i="28"/>
  <c r="A6339" i="28"/>
  <c r="A6340" i="28"/>
  <c r="A6341" i="28"/>
  <c r="A6342" i="28"/>
  <c r="A6343" i="28"/>
  <c r="A6344" i="28"/>
  <c r="A6345" i="28"/>
  <c r="A6346" i="28"/>
  <c r="A6347" i="28"/>
  <c r="A6348" i="28"/>
  <c r="A6349" i="28"/>
  <c r="A6350" i="28"/>
  <c r="A6351" i="28"/>
  <c r="A6352" i="28"/>
  <c r="A6353" i="28"/>
  <c r="A6354" i="28"/>
  <c r="A6355" i="28"/>
  <c r="A6356" i="28"/>
  <c r="A6357" i="28"/>
  <c r="A6358" i="28"/>
  <c r="A6359" i="28"/>
  <c r="A6360" i="28"/>
  <c r="A6361" i="28"/>
  <c r="A6362" i="28"/>
  <c r="A6363" i="28"/>
  <c r="A6364" i="28"/>
  <c r="A6365" i="28"/>
  <c r="A6366" i="28"/>
  <c r="A6367" i="28"/>
  <c r="A6368" i="28"/>
  <c r="A6369" i="28"/>
  <c r="A6370" i="28"/>
  <c r="A6371" i="28"/>
  <c r="A6372" i="28"/>
  <c r="A6373" i="28"/>
  <c r="A6374" i="28"/>
  <c r="A6375" i="28"/>
  <c r="A6376" i="28"/>
  <c r="A6377" i="28"/>
  <c r="A6378" i="28"/>
  <c r="A6379" i="28"/>
  <c r="A6380" i="28"/>
  <c r="A6381" i="28"/>
  <c r="A6382" i="28"/>
  <c r="A6383" i="28"/>
  <c r="A6384" i="28"/>
  <c r="A6385" i="28"/>
  <c r="A6386" i="28"/>
  <c r="A6387" i="28"/>
  <c r="A6388" i="28"/>
  <c r="A6389" i="28"/>
  <c r="A6390" i="28"/>
  <c r="A6391" i="28"/>
  <c r="A6392" i="28"/>
  <c r="A6393" i="28"/>
  <c r="A6394" i="28"/>
  <c r="A6395" i="28"/>
  <c r="A6396" i="28"/>
  <c r="A6397" i="28"/>
  <c r="A6398" i="28"/>
  <c r="A6399" i="28"/>
  <c r="A6400" i="28"/>
  <c r="A6401" i="28"/>
  <c r="A6402" i="28"/>
  <c r="A6403" i="28"/>
  <c r="A6404" i="28"/>
  <c r="A6405" i="28"/>
  <c r="A6406" i="28"/>
  <c r="A6407" i="28"/>
  <c r="A6408" i="28"/>
  <c r="A6409" i="28"/>
  <c r="A6410" i="28"/>
  <c r="A6411" i="28"/>
  <c r="A6412" i="28"/>
  <c r="A6413" i="28"/>
  <c r="A6414" i="28"/>
  <c r="A6415" i="28"/>
  <c r="A6416" i="28"/>
  <c r="A6417" i="28"/>
  <c r="A6418" i="28"/>
  <c r="A6419" i="28"/>
  <c r="A6420" i="28"/>
  <c r="A6421" i="28"/>
  <c r="A6422" i="28"/>
  <c r="A6423" i="28"/>
  <c r="A6424" i="28"/>
  <c r="A6425" i="28"/>
  <c r="A6426" i="28"/>
  <c r="A6427" i="28"/>
  <c r="A6428" i="28"/>
  <c r="A6429" i="28"/>
  <c r="A6430" i="28"/>
  <c r="A6431" i="28"/>
  <c r="A6432" i="28"/>
  <c r="A6433" i="28"/>
  <c r="A6434" i="28"/>
  <c r="A6435" i="28"/>
  <c r="A6436" i="28"/>
  <c r="A6437" i="28"/>
  <c r="A6438" i="28"/>
  <c r="A6439" i="28"/>
  <c r="A6440" i="28"/>
  <c r="A6441" i="28"/>
  <c r="A6442" i="28"/>
  <c r="A6443" i="28"/>
  <c r="A6444" i="28"/>
  <c r="A6445" i="28"/>
  <c r="A6446" i="28"/>
  <c r="A6447" i="28"/>
  <c r="A6448" i="28"/>
  <c r="A6449" i="28"/>
  <c r="A6450" i="28"/>
  <c r="A6451" i="28"/>
  <c r="A6452" i="28"/>
  <c r="A6453" i="28"/>
  <c r="A6454" i="28"/>
  <c r="A6455" i="28"/>
  <c r="A6456" i="28"/>
  <c r="A6457" i="28"/>
  <c r="A6458" i="28"/>
  <c r="A6459" i="28"/>
  <c r="A6460" i="28"/>
  <c r="A6461" i="28"/>
  <c r="A6462" i="28"/>
  <c r="A6463" i="28"/>
  <c r="A6464" i="28"/>
  <c r="A6465" i="28"/>
  <c r="A6466" i="28"/>
  <c r="A6467" i="28"/>
  <c r="A6468" i="28"/>
  <c r="A6469" i="28"/>
  <c r="A6470" i="28"/>
  <c r="A6471" i="28"/>
  <c r="A6472" i="28"/>
  <c r="A6473" i="28"/>
  <c r="A6474" i="28"/>
  <c r="A6475" i="28"/>
  <c r="A6476" i="28"/>
  <c r="A6477" i="28"/>
  <c r="A6478" i="28"/>
  <c r="A6479" i="28"/>
  <c r="A6480" i="28"/>
  <c r="A6481" i="28"/>
  <c r="A6482" i="28"/>
  <c r="A6483" i="28"/>
  <c r="A6484" i="28"/>
  <c r="A6485" i="28"/>
  <c r="A6486" i="28"/>
  <c r="A6487" i="28"/>
  <c r="A6488" i="28"/>
  <c r="A6489" i="28"/>
  <c r="A6490" i="28"/>
  <c r="A6491" i="28"/>
  <c r="A6492" i="28"/>
  <c r="A6493" i="28"/>
  <c r="A6494" i="28"/>
  <c r="A6495" i="28"/>
  <c r="A6496" i="28"/>
  <c r="A6497" i="28"/>
  <c r="A6498" i="28"/>
  <c r="A6499" i="28"/>
  <c r="A6500" i="28"/>
  <c r="A6501" i="28"/>
  <c r="A6502" i="28"/>
  <c r="A6503" i="28"/>
  <c r="A6504" i="28"/>
  <c r="A6505" i="28"/>
  <c r="A6506" i="28"/>
  <c r="A6507" i="28"/>
  <c r="A6508" i="28"/>
  <c r="A6509" i="28"/>
  <c r="A6510" i="28"/>
  <c r="A6511" i="28"/>
  <c r="A6512" i="28"/>
  <c r="A6513" i="28"/>
  <c r="A6514" i="28"/>
  <c r="A6515" i="28"/>
  <c r="A6516" i="28"/>
  <c r="A6517" i="28"/>
  <c r="A6518" i="28"/>
  <c r="A6519" i="28"/>
  <c r="A6520" i="28"/>
  <c r="A6521" i="28"/>
  <c r="A6522" i="28"/>
  <c r="A6523" i="28"/>
  <c r="A6524" i="28"/>
  <c r="A6525" i="28"/>
  <c r="A6526" i="28"/>
  <c r="A6527" i="28"/>
  <c r="A6528" i="28"/>
  <c r="A6529" i="28"/>
  <c r="A6530" i="28"/>
  <c r="A6531" i="28"/>
  <c r="A6532" i="28"/>
  <c r="A6533" i="28"/>
  <c r="A6534" i="28"/>
  <c r="A6535" i="28"/>
  <c r="A6536" i="28"/>
  <c r="A6537" i="28"/>
  <c r="A6538" i="28"/>
  <c r="A6539" i="28"/>
  <c r="A6540" i="28"/>
  <c r="A6541" i="28"/>
  <c r="A6542" i="28"/>
  <c r="A6543" i="28"/>
  <c r="A6544" i="28"/>
  <c r="A6545" i="28"/>
  <c r="A6546" i="28"/>
  <c r="A6547" i="28"/>
  <c r="A6548" i="28"/>
  <c r="A6549" i="28"/>
  <c r="A6550" i="28"/>
  <c r="A6551" i="28"/>
  <c r="A6552" i="28"/>
  <c r="A6553" i="28"/>
  <c r="A6554" i="28"/>
  <c r="A6555" i="28"/>
  <c r="A6556" i="28"/>
  <c r="A6557" i="28"/>
  <c r="A6558" i="28"/>
  <c r="A6559" i="28"/>
  <c r="A6560" i="28"/>
  <c r="A6561" i="28"/>
  <c r="A6562" i="28"/>
  <c r="A6563" i="28"/>
  <c r="A6564" i="28"/>
  <c r="A6565" i="28"/>
  <c r="A6566" i="28"/>
  <c r="A6567" i="28"/>
  <c r="A6568" i="28"/>
  <c r="A6569" i="28"/>
  <c r="A6570" i="28"/>
  <c r="A6571" i="28"/>
  <c r="A6572" i="28"/>
  <c r="A6573" i="28"/>
  <c r="A6574" i="28"/>
  <c r="A6575" i="28"/>
  <c r="A6576" i="28"/>
  <c r="A6577" i="28"/>
  <c r="A6578" i="28"/>
  <c r="A6579" i="28"/>
  <c r="A6580" i="28"/>
  <c r="A6581" i="28"/>
  <c r="A6582" i="28"/>
  <c r="A6583" i="28"/>
  <c r="A6584" i="28"/>
  <c r="A6585" i="28"/>
  <c r="A6586" i="28"/>
  <c r="A6587" i="28"/>
  <c r="A6588" i="28"/>
  <c r="A6589" i="28"/>
  <c r="A6590" i="28"/>
  <c r="A6591" i="28"/>
  <c r="A6592" i="28"/>
  <c r="A6593" i="28"/>
  <c r="A6594" i="28"/>
  <c r="A6595" i="28"/>
  <c r="A6596" i="28"/>
  <c r="A6597" i="28"/>
  <c r="A6598" i="28"/>
  <c r="A6599" i="28"/>
  <c r="A6600" i="28"/>
  <c r="A6601" i="28"/>
  <c r="A6602" i="28"/>
  <c r="A6603" i="28"/>
  <c r="A6604" i="28"/>
  <c r="A6605" i="28"/>
  <c r="A6606" i="28"/>
  <c r="A6607" i="28"/>
  <c r="A6608" i="28"/>
  <c r="A6609" i="28"/>
  <c r="A6610" i="28"/>
  <c r="A6611" i="28"/>
  <c r="A6612" i="28"/>
  <c r="A6613" i="28"/>
  <c r="A6614" i="28"/>
  <c r="A6615" i="28"/>
  <c r="A6616" i="28"/>
  <c r="A6617" i="28"/>
  <c r="A6618" i="28"/>
  <c r="A6619" i="28"/>
  <c r="A6620" i="28"/>
  <c r="A6621" i="28"/>
  <c r="A6622" i="28"/>
  <c r="A6623" i="28"/>
  <c r="A6624" i="28"/>
  <c r="A6625" i="28"/>
  <c r="A6626" i="28"/>
  <c r="A6627" i="28"/>
  <c r="A6628" i="28"/>
  <c r="A6629" i="28"/>
  <c r="A6630" i="28"/>
  <c r="A6631" i="28"/>
  <c r="A6632" i="28"/>
  <c r="A6633" i="28"/>
  <c r="A6634" i="28"/>
  <c r="A6635" i="28"/>
  <c r="A6636" i="28"/>
  <c r="A6637" i="28"/>
  <c r="A6638" i="28"/>
  <c r="A6639" i="28"/>
  <c r="A6640" i="28"/>
  <c r="A6641" i="28"/>
  <c r="A6642" i="28"/>
  <c r="A6643" i="28"/>
  <c r="A6644" i="28"/>
  <c r="A6645" i="28"/>
  <c r="A6646" i="28"/>
  <c r="A6647" i="28"/>
  <c r="A6648" i="28"/>
  <c r="A6649" i="28"/>
  <c r="A6650" i="28"/>
  <c r="A6651" i="28"/>
  <c r="A6652" i="28"/>
  <c r="A6653" i="28"/>
  <c r="A6654" i="28"/>
  <c r="A6655" i="28"/>
  <c r="A6656" i="28"/>
  <c r="A6657" i="28"/>
  <c r="A6658" i="28"/>
  <c r="A6659" i="28"/>
  <c r="A6660" i="28"/>
  <c r="A6661" i="28"/>
  <c r="A6662" i="28"/>
  <c r="A6663" i="28"/>
  <c r="A6664" i="28"/>
  <c r="A6665" i="28"/>
  <c r="A6666" i="28"/>
  <c r="A6667" i="28"/>
  <c r="A6668" i="28"/>
  <c r="A6669" i="28"/>
  <c r="A6670" i="28"/>
  <c r="A6671" i="28"/>
  <c r="A6672" i="28"/>
  <c r="A6673" i="28"/>
  <c r="A6674" i="28"/>
  <c r="A6675" i="28"/>
  <c r="A6676" i="28"/>
  <c r="A6677" i="28"/>
  <c r="A6678" i="28"/>
  <c r="A6679" i="28"/>
  <c r="A6680" i="28"/>
  <c r="A6681" i="28"/>
  <c r="A6682" i="28"/>
  <c r="A6683" i="28"/>
  <c r="A6684" i="28"/>
  <c r="A6685" i="28"/>
  <c r="A6686" i="28"/>
  <c r="A6687" i="28"/>
  <c r="A6688" i="28"/>
  <c r="A6689" i="28"/>
  <c r="A6690" i="28"/>
  <c r="A6691" i="28"/>
  <c r="A6692" i="28"/>
  <c r="A6693" i="28"/>
  <c r="A6694" i="28"/>
  <c r="A6695" i="28"/>
  <c r="A6696" i="28"/>
  <c r="A6697" i="28"/>
  <c r="A6698" i="28"/>
  <c r="A6699" i="28"/>
  <c r="A6700" i="28"/>
  <c r="A6701" i="28"/>
  <c r="A6702" i="28"/>
  <c r="A6703" i="28"/>
  <c r="A6704" i="28"/>
  <c r="A6705" i="28"/>
  <c r="A6706" i="28"/>
  <c r="A6707" i="28"/>
  <c r="A6708" i="28"/>
  <c r="A6709" i="28"/>
  <c r="A6710" i="28"/>
  <c r="A6711" i="28"/>
  <c r="A6712" i="28"/>
  <c r="A6713" i="28"/>
  <c r="A6714" i="28"/>
  <c r="A6715" i="28"/>
  <c r="A6716" i="28"/>
  <c r="A6717" i="28"/>
  <c r="A6718" i="28"/>
  <c r="A6719" i="28"/>
  <c r="A6720" i="28"/>
  <c r="A6721" i="28"/>
  <c r="A6722" i="28"/>
  <c r="A6723" i="28"/>
  <c r="A6724" i="28"/>
  <c r="A6725" i="28"/>
  <c r="A6726" i="28"/>
  <c r="A6727" i="28"/>
  <c r="A6728" i="28"/>
  <c r="A6729" i="28"/>
  <c r="A6730" i="28"/>
  <c r="A6731" i="28"/>
  <c r="A6732" i="28"/>
  <c r="A6733" i="28"/>
  <c r="A6734" i="28"/>
  <c r="A6735" i="28"/>
  <c r="A6736" i="28"/>
  <c r="A6737" i="28"/>
  <c r="A6738" i="28"/>
  <c r="A6739" i="28"/>
  <c r="A6740" i="28"/>
  <c r="A6741" i="28"/>
  <c r="A6742" i="28"/>
  <c r="A6743" i="28"/>
  <c r="A6744" i="28"/>
  <c r="A6745" i="28"/>
  <c r="A6746" i="28"/>
  <c r="A6747" i="28"/>
  <c r="A6748" i="28"/>
  <c r="A6749" i="28"/>
  <c r="A6750" i="28"/>
  <c r="A6751" i="28"/>
  <c r="A6752" i="28"/>
  <c r="A6753" i="28"/>
  <c r="A6754" i="28"/>
  <c r="A6755" i="28"/>
  <c r="A6756" i="28"/>
  <c r="A6757" i="28"/>
  <c r="A6758" i="28"/>
  <c r="A6759" i="28"/>
  <c r="A6760" i="28"/>
  <c r="A6761" i="28"/>
  <c r="A6762" i="28"/>
  <c r="A6763" i="28"/>
  <c r="A6764" i="28"/>
  <c r="A6765" i="28"/>
  <c r="A6766" i="28"/>
  <c r="A6767" i="28"/>
  <c r="A6768" i="28"/>
  <c r="A6769" i="28"/>
  <c r="A6770" i="28"/>
  <c r="A6771" i="28"/>
  <c r="A6772" i="28"/>
  <c r="A6773" i="28"/>
  <c r="A6774" i="28"/>
  <c r="A6775" i="28"/>
  <c r="A6776" i="28"/>
  <c r="A6777" i="28"/>
  <c r="A6778" i="28"/>
  <c r="A6779" i="28"/>
  <c r="A6780" i="28"/>
  <c r="A6781" i="28"/>
  <c r="A6782" i="28"/>
  <c r="A6783" i="28"/>
  <c r="A6784" i="28"/>
  <c r="A6785" i="28"/>
  <c r="A6786" i="28"/>
  <c r="A6787" i="28"/>
  <c r="A6788" i="28"/>
  <c r="A6789" i="28"/>
  <c r="A6790" i="28"/>
  <c r="A6791" i="28"/>
  <c r="A6792" i="28"/>
  <c r="A6793" i="28"/>
  <c r="A6794" i="28"/>
  <c r="A6795" i="28"/>
  <c r="A6796" i="28"/>
  <c r="A6797" i="28"/>
  <c r="A6798" i="28"/>
  <c r="A6799" i="28"/>
  <c r="A6800" i="28"/>
  <c r="A6801" i="28"/>
  <c r="A6802" i="28"/>
  <c r="A6803" i="28"/>
  <c r="A6804" i="28"/>
  <c r="A6805" i="28"/>
  <c r="A6806" i="28"/>
  <c r="A6807" i="28"/>
  <c r="A6808" i="28"/>
  <c r="A6809" i="28"/>
  <c r="A6810" i="28"/>
  <c r="A6811" i="28"/>
  <c r="A6812" i="28"/>
  <c r="A6813" i="28"/>
  <c r="A6814" i="28"/>
  <c r="A6815" i="28"/>
  <c r="A6816" i="28"/>
  <c r="A6817" i="28"/>
  <c r="A6818" i="28"/>
  <c r="A6819" i="28"/>
  <c r="A6820" i="28"/>
  <c r="A6821" i="28"/>
  <c r="A6822" i="28"/>
  <c r="A6823" i="28"/>
  <c r="A6824" i="28"/>
  <c r="A6825" i="28"/>
  <c r="A6826" i="28"/>
  <c r="A6827" i="28"/>
  <c r="A6828" i="28"/>
  <c r="A6829" i="28"/>
  <c r="A6830" i="28"/>
  <c r="A6831" i="28"/>
  <c r="A6832" i="28"/>
  <c r="A6833" i="28"/>
  <c r="A6834" i="28"/>
  <c r="A6835" i="28"/>
  <c r="A6836" i="28"/>
  <c r="A6837" i="28"/>
  <c r="A6838" i="28"/>
  <c r="A6839" i="28"/>
  <c r="A6840" i="28"/>
  <c r="A6841" i="28"/>
  <c r="A6842" i="28"/>
  <c r="A6843" i="28"/>
  <c r="A6844" i="28"/>
  <c r="A6845" i="28"/>
  <c r="A6846" i="28"/>
  <c r="A6847" i="28"/>
  <c r="A6848" i="28"/>
  <c r="A6849" i="28"/>
  <c r="A6850" i="28"/>
  <c r="A6851" i="28"/>
  <c r="A6852" i="28"/>
  <c r="A6853" i="28"/>
  <c r="A6854" i="28"/>
  <c r="A6855" i="28"/>
  <c r="A6856" i="28"/>
  <c r="A6857" i="28"/>
  <c r="A6858" i="28"/>
  <c r="A6859" i="28"/>
  <c r="A6860" i="28"/>
  <c r="A6861" i="28"/>
  <c r="A6862" i="28"/>
  <c r="A6863" i="28"/>
  <c r="A6864" i="28"/>
  <c r="A6865" i="28"/>
  <c r="A6866" i="28"/>
  <c r="A6867" i="28"/>
  <c r="A6868" i="28"/>
  <c r="A6869" i="28"/>
  <c r="A6870" i="28"/>
  <c r="A6871" i="28"/>
  <c r="A6872" i="28"/>
  <c r="A6873" i="28"/>
  <c r="A6874" i="28"/>
  <c r="A6875" i="28"/>
  <c r="A6876" i="28"/>
  <c r="A6877" i="28"/>
  <c r="A6878" i="28"/>
  <c r="A6879" i="28"/>
  <c r="A6880" i="28"/>
  <c r="A6881" i="28"/>
  <c r="A6882" i="28"/>
  <c r="A6883" i="28"/>
  <c r="A6884" i="28"/>
  <c r="A6885" i="28"/>
  <c r="A6886" i="28"/>
  <c r="A6887" i="28"/>
  <c r="A6888" i="28"/>
  <c r="A6889" i="28"/>
  <c r="A6890" i="28"/>
  <c r="A6891" i="28"/>
  <c r="A6892" i="28"/>
  <c r="A6893" i="28"/>
  <c r="A6894" i="28"/>
  <c r="A6895" i="28"/>
  <c r="A6896" i="28"/>
  <c r="A6897" i="28"/>
  <c r="A6898" i="28"/>
  <c r="A6899" i="28"/>
  <c r="A6900" i="28"/>
  <c r="A6901" i="28"/>
  <c r="A6902" i="28"/>
  <c r="A6903" i="28"/>
  <c r="A6904" i="28"/>
  <c r="A6905" i="28"/>
  <c r="A6906" i="28"/>
  <c r="A6907" i="28"/>
  <c r="A6908" i="28"/>
  <c r="A6909" i="28"/>
  <c r="A6910" i="28"/>
  <c r="A6911" i="28"/>
  <c r="A6912" i="28"/>
  <c r="A6913" i="28"/>
  <c r="A6914" i="28"/>
  <c r="A6915" i="28"/>
  <c r="A6916" i="28"/>
  <c r="A6917" i="28"/>
  <c r="A6918" i="28"/>
  <c r="A6919" i="28"/>
  <c r="A6920" i="28"/>
  <c r="A6921" i="28"/>
  <c r="A6922" i="28"/>
  <c r="A6923" i="28"/>
  <c r="A6924" i="28"/>
  <c r="A6925" i="28"/>
  <c r="A6926" i="28"/>
  <c r="A6927" i="28"/>
  <c r="A6928" i="28"/>
  <c r="A6929" i="28"/>
  <c r="A6930" i="28"/>
  <c r="A6931" i="28"/>
  <c r="A6932" i="28"/>
  <c r="A6933" i="28"/>
  <c r="A6934" i="28"/>
  <c r="A6935" i="28"/>
  <c r="A6936" i="28"/>
  <c r="A6937" i="28"/>
  <c r="A6938" i="28"/>
  <c r="A6939" i="28"/>
  <c r="A6940" i="28"/>
  <c r="A6941" i="28"/>
  <c r="A6942" i="28"/>
  <c r="A6943" i="28"/>
  <c r="A6944" i="28"/>
  <c r="A6945" i="28"/>
  <c r="A6946" i="28"/>
  <c r="A6947" i="28"/>
  <c r="A6948" i="28"/>
  <c r="A6949" i="28"/>
  <c r="A6950" i="28"/>
  <c r="A6951" i="28"/>
  <c r="A6952" i="28"/>
  <c r="A6953" i="28"/>
  <c r="A6954" i="28"/>
  <c r="A6955" i="28"/>
  <c r="A6956" i="28"/>
  <c r="A6957" i="28"/>
  <c r="A6958" i="28"/>
  <c r="A6959" i="28"/>
  <c r="A6960" i="28"/>
  <c r="A6961" i="28"/>
  <c r="A6962" i="28"/>
  <c r="A6963" i="28"/>
  <c r="A6964" i="28"/>
  <c r="A6965" i="28"/>
  <c r="A6966" i="28"/>
  <c r="A6967" i="28"/>
  <c r="A6968" i="28"/>
  <c r="A6969" i="28"/>
  <c r="A6970" i="28"/>
  <c r="A6971" i="28"/>
  <c r="A6972" i="28"/>
  <c r="A6973" i="28"/>
  <c r="A6974" i="28"/>
  <c r="A6975" i="28"/>
  <c r="A6976" i="28"/>
  <c r="A6977" i="28"/>
  <c r="A6978" i="28"/>
  <c r="A6979" i="28"/>
  <c r="A6980" i="28"/>
  <c r="A6981" i="28"/>
  <c r="A6982" i="28"/>
  <c r="A6983" i="28"/>
  <c r="A6984" i="28"/>
  <c r="A6985" i="28"/>
  <c r="A6986" i="28"/>
  <c r="A6987" i="28"/>
  <c r="A6988" i="28"/>
  <c r="A6989" i="28"/>
  <c r="A6990" i="28"/>
  <c r="A6991" i="28"/>
  <c r="A6992" i="28"/>
  <c r="A6993" i="28"/>
  <c r="A6994" i="28"/>
  <c r="A6995" i="28"/>
  <c r="A6996" i="28"/>
  <c r="A6997" i="28"/>
  <c r="A6998" i="28"/>
  <c r="A6999" i="28"/>
  <c r="A7000" i="28"/>
  <c r="A7001" i="28"/>
  <c r="A7002" i="28"/>
  <c r="A7003" i="28"/>
  <c r="A7004" i="28"/>
  <c r="A7005" i="28"/>
  <c r="A7006" i="28"/>
  <c r="A7007" i="28"/>
  <c r="A7008" i="28"/>
  <c r="A7009" i="28"/>
  <c r="A7010" i="28"/>
  <c r="A7011" i="28"/>
  <c r="A7012" i="28"/>
  <c r="A7013" i="28"/>
  <c r="A7014" i="28"/>
  <c r="A7015" i="28"/>
  <c r="A7016" i="28"/>
  <c r="A7017" i="28"/>
  <c r="A7018" i="28"/>
  <c r="A7019" i="28"/>
  <c r="A7020" i="28"/>
  <c r="A7021" i="28"/>
  <c r="A7022" i="28"/>
  <c r="A7023" i="28"/>
  <c r="A7024" i="28"/>
  <c r="A7025" i="28"/>
  <c r="A7026" i="28"/>
  <c r="A7027" i="28"/>
  <c r="A7028" i="28"/>
  <c r="A7029" i="28"/>
  <c r="A7030" i="28"/>
  <c r="A7031" i="28"/>
  <c r="A7032" i="28"/>
  <c r="A7033" i="28"/>
  <c r="A7034" i="28"/>
  <c r="A7035" i="28"/>
  <c r="A7036" i="28"/>
  <c r="A7037" i="28"/>
  <c r="A7038" i="28"/>
  <c r="A7039" i="28"/>
  <c r="A7040" i="28"/>
  <c r="A7041" i="28"/>
  <c r="A7042" i="28"/>
  <c r="A7043" i="28"/>
  <c r="A7044" i="28"/>
  <c r="A7045" i="28"/>
  <c r="A7046" i="28"/>
  <c r="A7047" i="28"/>
  <c r="A7048" i="28"/>
  <c r="A7049" i="28"/>
  <c r="A7050" i="28"/>
  <c r="A7051" i="28"/>
  <c r="A7052" i="28"/>
  <c r="A7053" i="28"/>
  <c r="A7054" i="28"/>
  <c r="A7055" i="28"/>
  <c r="A7056" i="28"/>
  <c r="A7057" i="28"/>
  <c r="A7058" i="28"/>
  <c r="A7059" i="28"/>
  <c r="A7060" i="28"/>
  <c r="A7061" i="28"/>
  <c r="A7062" i="28"/>
  <c r="A7063" i="28"/>
  <c r="A7064" i="28"/>
  <c r="A7065" i="28"/>
  <c r="A7066" i="28"/>
  <c r="A7067" i="28"/>
  <c r="A7068" i="28"/>
  <c r="A7069" i="28"/>
  <c r="A7070" i="28"/>
  <c r="A7071" i="28"/>
  <c r="A7072" i="28"/>
  <c r="A7073" i="28"/>
  <c r="A7074" i="28"/>
  <c r="A7075" i="28"/>
  <c r="A7076" i="28"/>
  <c r="A7077" i="28"/>
  <c r="A7078" i="28"/>
  <c r="A7079" i="28"/>
  <c r="A7080" i="28"/>
  <c r="A7081" i="28"/>
  <c r="A7082" i="28"/>
  <c r="A7083" i="28"/>
  <c r="A7084" i="28"/>
  <c r="A7085" i="28"/>
  <c r="A7086" i="28"/>
  <c r="A7087" i="28"/>
  <c r="A7088" i="28"/>
  <c r="A7089" i="28"/>
  <c r="A7090" i="28"/>
  <c r="A7091" i="28"/>
  <c r="A7092" i="28"/>
  <c r="A7093" i="28"/>
  <c r="A7094" i="28"/>
  <c r="A7095" i="28"/>
  <c r="A7096" i="28"/>
  <c r="A7097" i="28"/>
  <c r="A7098" i="28"/>
  <c r="A7099" i="28"/>
  <c r="A7100" i="28"/>
  <c r="A7101" i="28"/>
  <c r="A7102" i="28"/>
  <c r="A7103" i="28"/>
  <c r="A7104" i="28"/>
  <c r="A7105" i="28"/>
  <c r="A7106" i="28"/>
  <c r="A7107" i="28"/>
  <c r="A7108" i="28"/>
  <c r="A7109" i="28"/>
  <c r="A7110" i="28"/>
  <c r="A7111" i="28"/>
  <c r="A7112" i="28"/>
  <c r="A7113" i="28"/>
  <c r="A7114" i="28"/>
  <c r="A7115" i="28"/>
  <c r="A7116" i="28"/>
  <c r="A7117" i="28"/>
  <c r="A7118" i="28"/>
  <c r="A7119" i="28"/>
  <c r="A7120" i="28"/>
  <c r="A7121" i="28"/>
  <c r="A7122" i="28"/>
  <c r="A7123" i="28"/>
  <c r="A7124" i="28"/>
  <c r="A7125" i="28"/>
  <c r="A7126" i="28"/>
  <c r="A7127" i="28"/>
  <c r="A7128" i="28"/>
  <c r="A7129" i="28"/>
  <c r="A7130" i="28"/>
  <c r="A7131" i="28"/>
  <c r="A7132" i="28"/>
  <c r="A7133" i="28"/>
  <c r="A7134" i="28"/>
  <c r="A7135" i="28"/>
  <c r="A7136" i="28"/>
  <c r="A7137" i="28"/>
  <c r="A7138" i="28"/>
  <c r="A7139" i="28"/>
  <c r="A7140" i="28"/>
  <c r="A7141" i="28"/>
  <c r="A7142" i="28"/>
  <c r="A7143" i="28"/>
  <c r="A7144" i="28"/>
  <c r="A7145" i="28"/>
  <c r="A7146" i="28"/>
  <c r="A7147" i="28"/>
  <c r="A7148" i="28"/>
  <c r="A7149" i="28"/>
  <c r="A7150" i="28"/>
  <c r="A7151" i="28"/>
  <c r="A7152" i="28"/>
  <c r="A7153" i="28"/>
  <c r="A7154" i="28"/>
  <c r="A7155" i="28"/>
  <c r="A7156" i="28"/>
  <c r="A7157" i="28"/>
  <c r="A7158" i="28"/>
  <c r="A7159" i="28"/>
  <c r="A7160" i="28"/>
  <c r="A7161" i="28"/>
  <c r="A7162" i="28"/>
  <c r="A7163" i="28"/>
  <c r="A7164" i="28"/>
  <c r="A7165" i="28"/>
  <c r="A7166" i="28"/>
  <c r="A7167" i="28"/>
  <c r="A7168" i="28"/>
  <c r="A7169" i="28"/>
  <c r="A7170" i="28"/>
  <c r="A7171" i="28"/>
  <c r="A7172" i="28"/>
  <c r="A7173" i="28"/>
  <c r="A7174" i="28"/>
  <c r="A7175" i="28"/>
  <c r="A7176" i="28"/>
  <c r="A7177" i="28"/>
  <c r="A7178" i="28"/>
  <c r="A7179" i="28"/>
  <c r="A7180" i="28"/>
  <c r="A7181" i="28"/>
  <c r="A7182" i="28"/>
  <c r="A7183" i="28"/>
  <c r="A7184" i="28"/>
  <c r="A7185" i="28"/>
  <c r="A7186" i="28"/>
  <c r="A7187" i="28"/>
  <c r="A7188" i="28"/>
  <c r="A7189" i="28"/>
  <c r="A7190" i="28"/>
  <c r="A7191" i="28"/>
  <c r="A7192" i="28"/>
  <c r="A7193" i="28"/>
  <c r="A7194" i="28"/>
  <c r="A7195" i="28"/>
  <c r="A7196" i="28"/>
  <c r="A7197" i="28"/>
  <c r="A7198" i="28"/>
  <c r="A7199" i="28"/>
  <c r="A7200" i="28"/>
  <c r="A7201" i="28"/>
  <c r="A7202" i="28"/>
  <c r="A7203" i="28"/>
  <c r="A7204" i="28"/>
  <c r="A7205" i="28"/>
  <c r="A7206" i="28"/>
  <c r="A7207" i="28"/>
  <c r="A7208" i="28"/>
  <c r="A7209" i="28"/>
  <c r="A7210" i="28"/>
  <c r="A7211" i="28"/>
  <c r="A7212" i="28"/>
  <c r="A7213" i="28"/>
  <c r="A7214" i="28"/>
  <c r="A7215" i="28"/>
  <c r="A7216" i="28"/>
  <c r="A7217" i="28"/>
  <c r="A7218" i="28"/>
  <c r="A7219" i="28"/>
  <c r="A7220" i="28"/>
  <c r="A7221" i="28"/>
  <c r="A7222" i="28"/>
  <c r="A7223" i="28"/>
  <c r="A7224" i="28"/>
  <c r="A7225" i="28"/>
  <c r="A7226" i="28"/>
  <c r="A7227" i="28"/>
  <c r="A7228" i="28"/>
  <c r="A7229" i="28"/>
  <c r="A7230" i="28"/>
  <c r="A7231" i="28"/>
  <c r="A7232" i="28"/>
  <c r="A7233" i="28"/>
  <c r="A7234" i="28"/>
  <c r="A7235" i="28"/>
  <c r="A7236" i="28"/>
  <c r="A7237" i="28"/>
  <c r="A7238" i="28"/>
  <c r="A7239" i="28"/>
  <c r="A7240" i="28"/>
  <c r="A7241" i="28"/>
  <c r="A7242" i="28"/>
  <c r="A7243" i="28"/>
  <c r="A7244" i="28"/>
  <c r="A7245" i="28"/>
  <c r="A7246" i="28"/>
  <c r="A7247" i="28"/>
  <c r="A7248" i="28"/>
  <c r="A7249" i="28"/>
  <c r="A7250" i="28"/>
  <c r="A7251" i="28"/>
  <c r="A7252" i="28"/>
  <c r="A7253" i="28"/>
  <c r="A7254" i="28"/>
  <c r="A7255" i="28"/>
  <c r="A7256" i="28"/>
  <c r="A7257" i="28"/>
  <c r="A7258" i="28"/>
  <c r="A7259" i="28"/>
  <c r="A7260" i="28"/>
  <c r="A7261" i="28"/>
  <c r="A7262" i="28"/>
  <c r="A7263" i="28"/>
  <c r="A7264" i="28"/>
  <c r="A7265" i="28"/>
  <c r="A7266" i="28"/>
  <c r="A7267" i="28"/>
  <c r="A7268" i="28"/>
  <c r="A7269" i="28"/>
  <c r="A7270" i="28"/>
  <c r="A7271" i="28"/>
  <c r="A7272" i="28"/>
  <c r="A7273" i="28"/>
  <c r="A7274" i="28"/>
  <c r="A7275" i="28"/>
  <c r="A7276" i="28"/>
  <c r="A7277" i="28"/>
  <c r="A7278" i="28"/>
  <c r="A7279" i="28"/>
  <c r="A7280" i="28"/>
  <c r="A7281" i="28"/>
  <c r="A7282" i="28"/>
  <c r="A7283" i="28"/>
  <c r="A7284" i="28"/>
  <c r="A7285" i="28"/>
  <c r="A7286" i="28"/>
  <c r="A7287" i="28"/>
  <c r="A7288" i="28"/>
  <c r="A7289" i="28"/>
  <c r="A7290" i="28"/>
  <c r="A7291" i="28"/>
  <c r="A7292" i="28"/>
  <c r="A7293" i="28"/>
  <c r="A7294" i="28"/>
  <c r="A7295" i="28"/>
  <c r="A7296" i="28"/>
  <c r="A7297" i="28"/>
  <c r="A7298" i="28"/>
  <c r="A7299" i="28"/>
  <c r="A7300" i="28"/>
  <c r="A7301" i="28"/>
  <c r="A7302" i="28"/>
  <c r="A7303" i="28"/>
  <c r="A7304" i="28"/>
  <c r="A7305" i="28"/>
  <c r="A7306" i="28"/>
  <c r="A7307" i="28"/>
  <c r="A7308" i="28"/>
  <c r="A7309" i="28"/>
  <c r="A7310" i="28"/>
  <c r="A7311" i="28"/>
  <c r="A7312" i="28"/>
  <c r="A7313" i="28"/>
  <c r="A7314" i="28"/>
  <c r="A7315" i="28"/>
  <c r="A7316" i="28"/>
  <c r="A7317" i="28"/>
  <c r="A7318" i="28"/>
  <c r="A7319" i="28"/>
  <c r="A7320" i="28"/>
  <c r="A7321" i="28"/>
  <c r="A7322" i="28"/>
  <c r="A7323" i="28"/>
  <c r="A7324" i="28"/>
  <c r="A7325" i="28"/>
  <c r="A7326" i="28"/>
  <c r="A7327" i="28"/>
  <c r="A7328" i="28"/>
  <c r="A7329" i="28"/>
  <c r="A7330" i="28"/>
  <c r="A7331" i="28"/>
  <c r="A7332" i="28"/>
  <c r="A7333" i="28"/>
  <c r="A7334" i="28"/>
  <c r="A7335" i="28"/>
  <c r="A7336" i="28"/>
  <c r="A7337" i="28"/>
  <c r="A7338" i="28"/>
  <c r="A7339" i="28"/>
  <c r="A7340" i="28"/>
  <c r="A7341" i="28"/>
  <c r="A7342" i="28"/>
  <c r="A7343" i="28"/>
  <c r="A7344" i="28"/>
  <c r="A7345" i="28"/>
  <c r="A7346" i="28"/>
  <c r="A7347" i="28"/>
  <c r="A7348" i="28"/>
  <c r="A7349" i="28"/>
  <c r="A7350" i="28"/>
  <c r="A7351" i="28"/>
  <c r="A7352" i="28"/>
  <c r="A7353" i="28"/>
  <c r="A7354" i="28"/>
  <c r="A7355" i="28"/>
  <c r="A7356" i="28"/>
  <c r="A7357" i="28"/>
  <c r="A7358" i="28"/>
  <c r="A7359" i="28"/>
  <c r="A7360" i="28"/>
  <c r="A7361" i="28"/>
  <c r="A7362" i="28"/>
  <c r="A7363" i="28"/>
  <c r="A7364" i="28"/>
  <c r="A7365" i="28"/>
  <c r="A7366" i="28"/>
  <c r="A7367" i="28"/>
  <c r="A7368" i="28"/>
  <c r="A7369" i="28"/>
  <c r="A7370" i="28"/>
  <c r="A7371" i="28"/>
  <c r="A7372" i="28"/>
  <c r="A7373" i="28"/>
  <c r="A7374" i="28"/>
  <c r="A7375" i="28"/>
  <c r="A7376" i="28"/>
  <c r="A7377" i="28"/>
  <c r="A7378" i="28"/>
  <c r="A7379" i="28"/>
  <c r="A7380" i="28"/>
  <c r="A7381" i="28"/>
  <c r="A7382" i="28"/>
  <c r="A7383" i="28"/>
  <c r="A7384" i="28"/>
  <c r="A7385" i="28"/>
  <c r="A7386" i="28"/>
  <c r="A7387" i="28"/>
  <c r="A7388" i="28"/>
  <c r="A7389" i="28"/>
  <c r="A7390" i="28"/>
  <c r="A7391" i="28"/>
  <c r="A7392" i="28"/>
  <c r="A7393" i="28"/>
  <c r="A7394" i="28"/>
  <c r="A7395" i="28"/>
  <c r="A7396" i="28"/>
  <c r="A7397" i="28"/>
  <c r="A7398" i="28"/>
  <c r="A7399" i="28"/>
  <c r="A7400" i="28"/>
  <c r="A7401" i="28"/>
  <c r="A7402" i="28"/>
  <c r="A7403" i="28"/>
  <c r="A7404" i="28"/>
  <c r="A7405" i="28"/>
  <c r="A7406" i="28"/>
  <c r="A7407" i="28"/>
  <c r="A7408" i="28"/>
  <c r="A7409" i="28"/>
  <c r="A7410" i="28"/>
  <c r="A7411" i="28"/>
  <c r="A7412" i="28"/>
  <c r="A7413" i="28"/>
  <c r="A7414" i="28"/>
  <c r="A7415" i="28"/>
  <c r="A7416" i="28"/>
  <c r="A7417" i="28"/>
  <c r="A7418" i="28"/>
  <c r="A7419" i="28"/>
  <c r="A7420" i="28"/>
  <c r="A7421" i="28"/>
  <c r="A7422" i="28"/>
  <c r="A7423" i="28"/>
  <c r="A7424" i="28"/>
  <c r="A7425" i="28"/>
  <c r="A7426" i="28"/>
  <c r="A7427" i="28"/>
  <c r="A7428" i="28"/>
  <c r="A7429" i="28"/>
  <c r="A7430" i="28"/>
  <c r="A7431" i="28"/>
  <c r="A7432" i="28"/>
  <c r="A7433" i="28"/>
  <c r="A7434" i="28"/>
  <c r="A7435" i="28"/>
  <c r="A7436" i="28"/>
  <c r="A7437" i="28"/>
  <c r="A7438" i="28"/>
  <c r="A7439" i="28"/>
  <c r="A7440" i="28"/>
  <c r="A7441" i="28"/>
  <c r="A7442" i="28"/>
  <c r="A7443" i="28"/>
  <c r="A7444" i="28"/>
  <c r="A7445" i="28"/>
  <c r="A7446" i="28"/>
  <c r="A7447" i="28"/>
  <c r="A7448" i="28"/>
  <c r="A7449" i="28"/>
  <c r="A7450" i="28"/>
  <c r="A7451" i="28"/>
  <c r="A7452" i="28"/>
  <c r="A7453" i="28"/>
  <c r="A7454" i="28"/>
  <c r="A7455" i="28"/>
  <c r="A7456" i="28"/>
  <c r="A7457" i="28"/>
  <c r="A7458" i="28"/>
  <c r="A7459" i="28"/>
  <c r="A7460" i="28"/>
  <c r="A7461" i="28"/>
  <c r="A7462" i="28"/>
  <c r="A7463" i="28"/>
  <c r="A7464" i="28"/>
  <c r="A7465" i="28"/>
  <c r="A7466" i="28"/>
  <c r="A7467" i="28"/>
  <c r="A7468" i="28"/>
  <c r="A7469" i="28"/>
  <c r="A7470" i="28"/>
  <c r="A7471" i="28"/>
  <c r="A7472" i="28"/>
  <c r="A7473" i="28"/>
  <c r="A7474" i="28"/>
  <c r="A7475" i="28"/>
  <c r="A7476" i="28"/>
  <c r="A7477" i="28"/>
  <c r="A7478" i="28"/>
  <c r="A7479" i="28"/>
  <c r="A7480" i="28"/>
  <c r="A7481" i="28"/>
  <c r="A7482" i="28"/>
  <c r="A7483" i="28"/>
  <c r="A7484" i="28"/>
  <c r="A7485" i="28"/>
  <c r="A7486" i="28"/>
  <c r="A7487" i="28"/>
  <c r="A7488" i="28"/>
  <c r="A7489" i="28"/>
  <c r="A7490" i="28"/>
  <c r="A7491" i="28"/>
  <c r="A7492" i="28"/>
  <c r="A7493" i="28"/>
  <c r="A7494" i="28"/>
  <c r="A7495" i="28"/>
  <c r="A7496" i="28"/>
  <c r="A7497" i="28"/>
  <c r="A7498" i="28"/>
  <c r="A7499" i="28"/>
  <c r="A7500" i="28"/>
  <c r="A7501" i="28"/>
  <c r="A7502" i="28"/>
  <c r="A7503" i="28"/>
  <c r="A7504" i="28"/>
  <c r="A7505" i="28"/>
  <c r="A7506" i="28"/>
  <c r="A7507" i="28"/>
  <c r="A7508" i="28"/>
  <c r="A7509" i="28"/>
  <c r="A7510" i="28"/>
  <c r="A7511" i="28"/>
  <c r="A7512" i="28"/>
  <c r="A7513" i="28"/>
  <c r="A7514" i="28"/>
  <c r="A7515" i="28"/>
  <c r="A7516" i="28"/>
  <c r="A7517" i="28"/>
  <c r="A7518" i="28"/>
  <c r="A7519" i="28"/>
  <c r="A7520" i="28"/>
  <c r="A7521" i="28"/>
  <c r="A7522" i="28"/>
  <c r="A7523" i="28"/>
  <c r="A7524" i="28"/>
  <c r="A7525" i="28"/>
  <c r="A7526" i="28"/>
  <c r="A7527" i="28"/>
  <c r="A7528" i="28"/>
  <c r="A7529" i="28"/>
  <c r="A7530" i="28"/>
  <c r="A7531" i="28"/>
  <c r="A7532" i="28"/>
  <c r="A7533" i="28"/>
  <c r="A7534" i="28"/>
  <c r="A7535" i="28"/>
  <c r="A7536" i="28"/>
  <c r="A7537" i="28"/>
  <c r="A7538" i="28"/>
  <c r="A7539" i="28"/>
  <c r="A7540" i="28"/>
  <c r="A7541" i="28"/>
  <c r="A7542" i="28"/>
  <c r="A7543" i="28"/>
  <c r="A7544" i="28"/>
  <c r="A7545" i="28"/>
  <c r="A7546" i="28"/>
  <c r="A7547" i="28"/>
  <c r="A7548" i="28"/>
  <c r="A7549" i="28"/>
  <c r="A7550" i="28"/>
  <c r="A7551" i="28"/>
  <c r="A7552" i="28"/>
  <c r="A7553" i="28"/>
  <c r="A7554" i="28"/>
  <c r="A7555" i="28"/>
  <c r="A7556" i="28"/>
  <c r="A7557" i="28"/>
  <c r="A7558" i="28"/>
  <c r="A7559" i="28"/>
  <c r="A7560" i="28"/>
  <c r="A7561" i="28"/>
  <c r="A7562" i="28"/>
  <c r="A7563" i="28"/>
  <c r="A7564" i="28"/>
  <c r="A7565" i="28"/>
  <c r="A7566" i="28"/>
  <c r="A7567" i="28"/>
  <c r="A7568" i="28"/>
  <c r="A7569" i="28"/>
  <c r="A7570" i="28"/>
  <c r="A7571" i="28"/>
  <c r="A7572" i="28"/>
  <c r="A7573" i="28"/>
  <c r="A7574" i="28"/>
  <c r="A7575" i="28"/>
  <c r="A7576" i="28"/>
  <c r="A7577" i="28"/>
  <c r="A7578" i="28"/>
  <c r="A7579" i="28"/>
  <c r="A7580" i="28"/>
  <c r="A7581" i="28"/>
  <c r="A7582" i="28"/>
  <c r="A7583" i="28"/>
  <c r="A7584" i="28"/>
  <c r="A7585" i="28"/>
  <c r="A7586" i="28"/>
  <c r="A7587" i="28"/>
  <c r="A7588" i="28"/>
  <c r="A7589" i="28"/>
  <c r="A7590" i="28"/>
  <c r="A7591" i="28"/>
  <c r="A7592" i="28"/>
  <c r="A7593" i="28"/>
  <c r="A7594" i="28"/>
  <c r="A7595" i="28"/>
  <c r="A7596" i="28"/>
  <c r="A7597" i="28"/>
  <c r="A7598" i="28"/>
  <c r="A7599" i="28"/>
  <c r="A7600" i="28"/>
  <c r="A7601" i="28"/>
  <c r="A7602" i="28"/>
  <c r="A7603" i="28"/>
  <c r="A7604" i="28"/>
  <c r="A7605" i="28"/>
  <c r="A7606" i="28"/>
  <c r="A7607" i="28"/>
  <c r="A7608" i="28"/>
  <c r="A7609" i="28"/>
  <c r="A7610" i="28"/>
  <c r="A7611" i="28"/>
  <c r="A7612" i="28"/>
  <c r="A7613" i="28"/>
  <c r="A7614" i="28"/>
  <c r="A7615" i="28"/>
  <c r="A7616" i="28"/>
  <c r="A7617" i="28"/>
  <c r="A7618" i="28"/>
  <c r="A7619" i="28"/>
  <c r="A7620" i="28"/>
  <c r="A7621" i="28"/>
  <c r="A7622" i="28"/>
  <c r="A7623" i="28"/>
  <c r="A7624" i="28"/>
  <c r="A7625" i="28"/>
  <c r="A7626" i="28"/>
  <c r="A7627" i="28"/>
  <c r="A7628" i="28"/>
  <c r="A7629" i="28"/>
  <c r="A7630" i="28"/>
  <c r="A7631" i="28"/>
  <c r="A7632" i="28"/>
  <c r="A7633" i="28"/>
  <c r="A7634" i="28"/>
  <c r="A7635" i="28"/>
  <c r="A7636" i="28"/>
  <c r="A7637" i="28"/>
  <c r="A7638" i="28"/>
  <c r="A7639" i="28"/>
  <c r="A7640" i="28"/>
  <c r="A7641" i="28"/>
  <c r="A7642" i="28"/>
  <c r="A7643" i="28"/>
  <c r="A7644" i="28"/>
  <c r="A7645" i="28"/>
  <c r="A7646" i="28"/>
  <c r="A7647" i="28"/>
  <c r="A7648" i="28"/>
  <c r="A7649" i="28"/>
  <c r="A7650" i="28"/>
  <c r="A7651" i="28"/>
  <c r="A7652" i="28"/>
  <c r="A7653" i="28"/>
  <c r="A7654" i="28"/>
  <c r="A7655" i="28"/>
  <c r="A7656" i="28"/>
  <c r="A7657" i="28"/>
  <c r="A7658" i="28"/>
  <c r="A7659" i="28"/>
  <c r="A7660" i="28"/>
  <c r="A7661" i="28"/>
  <c r="A7662" i="28"/>
  <c r="A7663" i="28"/>
  <c r="A7664" i="28"/>
  <c r="A7665" i="28"/>
  <c r="A7666" i="28"/>
  <c r="A7667" i="28"/>
  <c r="A7668" i="28"/>
  <c r="A7669" i="28"/>
  <c r="A7670" i="28"/>
  <c r="A7671" i="28"/>
  <c r="A7672" i="28"/>
  <c r="A7673" i="28"/>
  <c r="A7674" i="28"/>
  <c r="A7675" i="28"/>
  <c r="A7676" i="28"/>
  <c r="A7677" i="28"/>
  <c r="A7678" i="28"/>
  <c r="A7679" i="28"/>
  <c r="A7680" i="28"/>
  <c r="A7681" i="28"/>
  <c r="A7682" i="28"/>
  <c r="A7683" i="28"/>
  <c r="A7684" i="28"/>
  <c r="A7685" i="28"/>
  <c r="A7686" i="28"/>
  <c r="A7687" i="28"/>
  <c r="A7688" i="28"/>
  <c r="A7689" i="28"/>
  <c r="A7690" i="28"/>
  <c r="A7691" i="28"/>
  <c r="A7692" i="28"/>
  <c r="A7693" i="28"/>
  <c r="A7694" i="28"/>
  <c r="A7695" i="28"/>
  <c r="A7696" i="28"/>
  <c r="A7697" i="28"/>
  <c r="A7698" i="28"/>
  <c r="A7699" i="28"/>
  <c r="A7700" i="28"/>
  <c r="A7701" i="28"/>
  <c r="A7702" i="28"/>
  <c r="A7703" i="28"/>
  <c r="A7704" i="28"/>
  <c r="A7705" i="28"/>
  <c r="A7706" i="28"/>
  <c r="A7707" i="28"/>
  <c r="A7708" i="28"/>
  <c r="A7709" i="28"/>
  <c r="A7710" i="28"/>
  <c r="A7711" i="28"/>
  <c r="A7712" i="28"/>
  <c r="A7713" i="28"/>
  <c r="A7714" i="28"/>
  <c r="A7715" i="28"/>
  <c r="A7716" i="28"/>
  <c r="A7717" i="28"/>
  <c r="A7718" i="28"/>
  <c r="A7719" i="28"/>
  <c r="A7720" i="28"/>
  <c r="A7721" i="28"/>
  <c r="A7722" i="28"/>
  <c r="A7723" i="28"/>
  <c r="A7724" i="28"/>
  <c r="A7725" i="28"/>
  <c r="A7726" i="28"/>
  <c r="A7727" i="28"/>
  <c r="A7728" i="28"/>
  <c r="A7729" i="28"/>
  <c r="A7730" i="28"/>
  <c r="A7731" i="28"/>
  <c r="A7732" i="28"/>
  <c r="A7733" i="28"/>
  <c r="A7734" i="28"/>
  <c r="A7735" i="28"/>
  <c r="A7736" i="28"/>
  <c r="A7737" i="28"/>
  <c r="A7738" i="28"/>
  <c r="A7739" i="28"/>
  <c r="A7740" i="28"/>
  <c r="A7741" i="28"/>
  <c r="A7742" i="28"/>
  <c r="A7743" i="28"/>
  <c r="A7744" i="28"/>
  <c r="A7745" i="28"/>
  <c r="A7746" i="28"/>
  <c r="A7747" i="28"/>
  <c r="A7748" i="28"/>
  <c r="A7749" i="28"/>
  <c r="A7750" i="28"/>
  <c r="A7751" i="28"/>
  <c r="A7752" i="28"/>
  <c r="A7753" i="28"/>
  <c r="A7754" i="28"/>
  <c r="A7755" i="28"/>
  <c r="A7756" i="28"/>
  <c r="A7757" i="28"/>
  <c r="A7758" i="28"/>
  <c r="A7759" i="28"/>
  <c r="A7760" i="28"/>
  <c r="A7761" i="28"/>
  <c r="A7762" i="28"/>
  <c r="A7763" i="28"/>
  <c r="A7764" i="28"/>
  <c r="A7765" i="28"/>
  <c r="A7766" i="28"/>
  <c r="A7767" i="28"/>
  <c r="A7768" i="28"/>
  <c r="A7769" i="28"/>
  <c r="A7770" i="28"/>
  <c r="A7771" i="28"/>
  <c r="A7772" i="28"/>
  <c r="A7773" i="28"/>
  <c r="A7774" i="28"/>
  <c r="A7775" i="28"/>
  <c r="A7776" i="28"/>
  <c r="A7777" i="28"/>
  <c r="A7778" i="28"/>
  <c r="A7779" i="28"/>
  <c r="A7780" i="28"/>
  <c r="A7781" i="28"/>
  <c r="A7782" i="28"/>
  <c r="A7783" i="28"/>
  <c r="A7784" i="28"/>
  <c r="A7785" i="28"/>
  <c r="A7786" i="28"/>
  <c r="A7787" i="28"/>
  <c r="A7788" i="28"/>
  <c r="A7789" i="28"/>
  <c r="A7790" i="28"/>
  <c r="A7791" i="28"/>
  <c r="A7792" i="28"/>
  <c r="A7793" i="28"/>
  <c r="A7794" i="28"/>
  <c r="A7795" i="28"/>
  <c r="A7796" i="28"/>
  <c r="A7797" i="28"/>
  <c r="A7798" i="28"/>
  <c r="A7799" i="28"/>
  <c r="A7800" i="28"/>
  <c r="A7801" i="28"/>
  <c r="A7802" i="28"/>
  <c r="A7803" i="28"/>
  <c r="A7804" i="28"/>
  <c r="A7805" i="28"/>
  <c r="A7806" i="28"/>
  <c r="A7807" i="28"/>
  <c r="A7808" i="28"/>
  <c r="A7809" i="28"/>
  <c r="A7810" i="28"/>
  <c r="A7811" i="28"/>
  <c r="A7812" i="28"/>
  <c r="A7813" i="28"/>
  <c r="A7814" i="28"/>
  <c r="A7815" i="28"/>
  <c r="A7816" i="28"/>
  <c r="A7817" i="28"/>
  <c r="A7818" i="28"/>
  <c r="A7819" i="28"/>
  <c r="A7820" i="28"/>
  <c r="A7821" i="28"/>
  <c r="A7822" i="28"/>
  <c r="A7823" i="28"/>
  <c r="A7824" i="28"/>
  <c r="A7825" i="28"/>
  <c r="A7826" i="28"/>
  <c r="A7827" i="28"/>
  <c r="A7828" i="28"/>
  <c r="A7829" i="28"/>
  <c r="A7830" i="28"/>
  <c r="A7831" i="28"/>
  <c r="A7832" i="28"/>
  <c r="A7833" i="28"/>
  <c r="A7834" i="28"/>
  <c r="A7835" i="28"/>
  <c r="A7836" i="28"/>
  <c r="A7837" i="28"/>
  <c r="A7838" i="28"/>
  <c r="A7839" i="28"/>
  <c r="A7840" i="28"/>
  <c r="A7841" i="28"/>
  <c r="A7842" i="28"/>
  <c r="A7843" i="28"/>
  <c r="A7844" i="28"/>
  <c r="A7845" i="28"/>
  <c r="A7846" i="28"/>
  <c r="A7847" i="28"/>
  <c r="A7848" i="28"/>
  <c r="A7849" i="28"/>
  <c r="A7850" i="28"/>
  <c r="A7851" i="28"/>
  <c r="A7852" i="28"/>
  <c r="A7853" i="28"/>
  <c r="A7854" i="28"/>
  <c r="A7855" i="28"/>
  <c r="A7856" i="28"/>
  <c r="A7857" i="28"/>
  <c r="A7858" i="28"/>
  <c r="A7859" i="28"/>
  <c r="A7860" i="28"/>
  <c r="A7861" i="28"/>
  <c r="A7862" i="28"/>
  <c r="A7863" i="28"/>
  <c r="A7864" i="28"/>
  <c r="A7865" i="28"/>
  <c r="A7866" i="28"/>
  <c r="A7867" i="28"/>
  <c r="A7868" i="28"/>
  <c r="A7869" i="28"/>
  <c r="A7870" i="28"/>
  <c r="A7871" i="28"/>
  <c r="A7872" i="28"/>
  <c r="A7873" i="28"/>
  <c r="A7874" i="28"/>
  <c r="A7875" i="28"/>
  <c r="A7876" i="28"/>
  <c r="A7877" i="28"/>
  <c r="A7878" i="28"/>
  <c r="A7879" i="28"/>
  <c r="A7880" i="28"/>
  <c r="A7881" i="28"/>
  <c r="A7882" i="28"/>
  <c r="A7883" i="28"/>
  <c r="A7884" i="28"/>
  <c r="A7885" i="28"/>
  <c r="A7886" i="28"/>
  <c r="A7887" i="28"/>
  <c r="A7888" i="28"/>
  <c r="A7889" i="28"/>
  <c r="A7890" i="28"/>
  <c r="A7891" i="28"/>
  <c r="A7892" i="28"/>
  <c r="A7893" i="28"/>
  <c r="A7894" i="28"/>
  <c r="A7895" i="28"/>
  <c r="A7896" i="28"/>
  <c r="A7897" i="28"/>
  <c r="A7898" i="28"/>
  <c r="A7899" i="28"/>
  <c r="A7900" i="28"/>
  <c r="A7901" i="28"/>
  <c r="A7902" i="28"/>
  <c r="A7903" i="28"/>
  <c r="A7904" i="28"/>
  <c r="A7905" i="28"/>
  <c r="A7906" i="28"/>
  <c r="A7907" i="28"/>
  <c r="A7908" i="28"/>
  <c r="A7909" i="28"/>
  <c r="A7910" i="28"/>
  <c r="A7911" i="28"/>
  <c r="A7912" i="28"/>
  <c r="A7913" i="28"/>
  <c r="A7914" i="28"/>
  <c r="A7915" i="28"/>
  <c r="A7916" i="28"/>
  <c r="A7917" i="28"/>
  <c r="A7918" i="28"/>
  <c r="A7919" i="28"/>
  <c r="A7920" i="28"/>
  <c r="A7921" i="28"/>
  <c r="A7922" i="28"/>
  <c r="A7923" i="28"/>
  <c r="A7924" i="28"/>
  <c r="A7925" i="28"/>
  <c r="A7926" i="28"/>
  <c r="A7927" i="28"/>
  <c r="A7928" i="28"/>
  <c r="A7929" i="28"/>
  <c r="A7930" i="28"/>
  <c r="A7931" i="28"/>
  <c r="A7932" i="28"/>
  <c r="A7933" i="28"/>
  <c r="A7934" i="28"/>
  <c r="A7935" i="28"/>
  <c r="A7936" i="28"/>
  <c r="A7937" i="28"/>
  <c r="A7938" i="28"/>
  <c r="A7939" i="28"/>
  <c r="A7940" i="28"/>
  <c r="A7941" i="28"/>
  <c r="A7942" i="28"/>
  <c r="A7943" i="28"/>
  <c r="A7944" i="28"/>
  <c r="A7945" i="28"/>
  <c r="A7946" i="28"/>
  <c r="A7947" i="28"/>
  <c r="A7948" i="28"/>
  <c r="A7949" i="28"/>
  <c r="A7950" i="28"/>
  <c r="A7951" i="28"/>
  <c r="A7952" i="28"/>
  <c r="A7953" i="28"/>
  <c r="A7954" i="28"/>
  <c r="A7955" i="28"/>
  <c r="A7956" i="28"/>
  <c r="A7957" i="28"/>
  <c r="A7958" i="28"/>
  <c r="A7959" i="28"/>
  <c r="A7960" i="28"/>
  <c r="A7961" i="28"/>
  <c r="A7962" i="28"/>
  <c r="A7963" i="28"/>
  <c r="A7964" i="28"/>
  <c r="A7965" i="28"/>
  <c r="A7966" i="28"/>
  <c r="A7967" i="28"/>
  <c r="A7968" i="28"/>
  <c r="A7969" i="28"/>
  <c r="A7970" i="28"/>
  <c r="A7971" i="28"/>
  <c r="A7972" i="28"/>
  <c r="A7973" i="28"/>
  <c r="A7974" i="28"/>
  <c r="A7975" i="28"/>
  <c r="A7976" i="28"/>
  <c r="A7977" i="28"/>
  <c r="A7978" i="28"/>
  <c r="A7979" i="28"/>
  <c r="A7980" i="28"/>
  <c r="A7981" i="28"/>
  <c r="A7982" i="28"/>
  <c r="A7983" i="28"/>
  <c r="A7984" i="28"/>
  <c r="A7985" i="28"/>
  <c r="A7986" i="28"/>
  <c r="A7987" i="28"/>
  <c r="A7988" i="28"/>
  <c r="A7989" i="28"/>
  <c r="A7990" i="28"/>
  <c r="A7991" i="28"/>
  <c r="A7992" i="28"/>
  <c r="A7993" i="28"/>
  <c r="A7994" i="28"/>
  <c r="A7995" i="28"/>
  <c r="A7996" i="28"/>
  <c r="A7997" i="28"/>
  <c r="A7998" i="28"/>
  <c r="A7999" i="28"/>
  <c r="A8000" i="28"/>
  <c r="A8001" i="28"/>
  <c r="A8002" i="28"/>
  <c r="A8003" i="28"/>
  <c r="A8004" i="28"/>
  <c r="A8005" i="28"/>
  <c r="A8006" i="28"/>
  <c r="A8007" i="28"/>
  <c r="A8008" i="28"/>
  <c r="A8009" i="28"/>
  <c r="A8010" i="28"/>
  <c r="A8011" i="28"/>
  <c r="A8012" i="28"/>
  <c r="A8013" i="28"/>
  <c r="A8014" i="28"/>
  <c r="A8015" i="28"/>
  <c r="A8016" i="28"/>
  <c r="A8017" i="28"/>
  <c r="A8018" i="28"/>
  <c r="A8019" i="28"/>
  <c r="A8020" i="28"/>
  <c r="A8021" i="28"/>
  <c r="A8022" i="28"/>
  <c r="A8023" i="28"/>
  <c r="A8024" i="28"/>
  <c r="A8025" i="28"/>
  <c r="A8026" i="28"/>
  <c r="A8027" i="28"/>
  <c r="A8028" i="28"/>
  <c r="A8029" i="28"/>
  <c r="A8030" i="28"/>
  <c r="A8031" i="28"/>
  <c r="A8032" i="28"/>
  <c r="A8033" i="28"/>
  <c r="A8034" i="28"/>
  <c r="A8035" i="28"/>
  <c r="A8036" i="28"/>
  <c r="A8037" i="28"/>
  <c r="A8038" i="28"/>
  <c r="A8039" i="28"/>
  <c r="A8040" i="28"/>
  <c r="A8041" i="28"/>
  <c r="A8042" i="28"/>
  <c r="A8043" i="28"/>
  <c r="A8044" i="28"/>
  <c r="A8045" i="28"/>
  <c r="A8046" i="28"/>
  <c r="A8047" i="28"/>
  <c r="A8048" i="28"/>
  <c r="A8049" i="28"/>
  <c r="A8050" i="28"/>
  <c r="A8051" i="28"/>
  <c r="A8052" i="28"/>
  <c r="A8053" i="28"/>
  <c r="A8054" i="28"/>
  <c r="A8055" i="28"/>
  <c r="A8056" i="28"/>
  <c r="A8057" i="28"/>
  <c r="A8058" i="28"/>
  <c r="A8059" i="28"/>
  <c r="A8060" i="28"/>
  <c r="A8061" i="28"/>
  <c r="A8062" i="28"/>
  <c r="A8063" i="28"/>
  <c r="A8064" i="28"/>
  <c r="A8065" i="28"/>
  <c r="A8066" i="28"/>
  <c r="A8067" i="28"/>
  <c r="A8068" i="28"/>
  <c r="A8069" i="28"/>
  <c r="A8070" i="28"/>
  <c r="A8071" i="28"/>
  <c r="A8072" i="28"/>
  <c r="A8073" i="28"/>
  <c r="A8074" i="28"/>
  <c r="A8075" i="28"/>
  <c r="A8076" i="28"/>
  <c r="A8077" i="28"/>
  <c r="A8078" i="28"/>
  <c r="A8079" i="28"/>
  <c r="A8080" i="28"/>
  <c r="A8081" i="28"/>
  <c r="A8082" i="28"/>
  <c r="A8083" i="28"/>
  <c r="A8084" i="28"/>
  <c r="A8085" i="28"/>
  <c r="A8086" i="28"/>
  <c r="A8087" i="28"/>
  <c r="A8088" i="28"/>
  <c r="A8089" i="28"/>
  <c r="A8090" i="28"/>
  <c r="A8091" i="28"/>
  <c r="A8092" i="28"/>
  <c r="A8093" i="28"/>
  <c r="A8094" i="28"/>
  <c r="A8095" i="28"/>
  <c r="A8096" i="28"/>
  <c r="A8097" i="28"/>
  <c r="A8098" i="28"/>
  <c r="A8099" i="28"/>
  <c r="A8100" i="28"/>
  <c r="A8101" i="28"/>
  <c r="A8102" i="28"/>
  <c r="A8103" i="28"/>
  <c r="A8104" i="28"/>
  <c r="A8105" i="28"/>
  <c r="A8106" i="28"/>
  <c r="A8107" i="28"/>
  <c r="A8108" i="28"/>
  <c r="A8109" i="28"/>
  <c r="A8110" i="28"/>
  <c r="A8111" i="28"/>
  <c r="A8112" i="28"/>
  <c r="A8113" i="28"/>
  <c r="A8114" i="28"/>
  <c r="A8115" i="28"/>
  <c r="A8116" i="28"/>
  <c r="A8117" i="28"/>
  <c r="A8118" i="28"/>
  <c r="A8119" i="28"/>
  <c r="A8120" i="28"/>
  <c r="A8121" i="28"/>
  <c r="A8122" i="28"/>
  <c r="A8123" i="28"/>
  <c r="A8124" i="28"/>
  <c r="A8125" i="28"/>
  <c r="A8126" i="28"/>
  <c r="A8127" i="28"/>
  <c r="A8128" i="28"/>
  <c r="A8129" i="28"/>
  <c r="A8130" i="28"/>
  <c r="A8131" i="28"/>
  <c r="A8132" i="28"/>
  <c r="A8133" i="28"/>
  <c r="A8134" i="28"/>
  <c r="A8135" i="28"/>
  <c r="A8136" i="28"/>
  <c r="A8137" i="28"/>
  <c r="A8138" i="28"/>
  <c r="A8139" i="28"/>
  <c r="A8140" i="28"/>
  <c r="A8141" i="28"/>
  <c r="A8142" i="28"/>
  <c r="A8143" i="28"/>
  <c r="A8144" i="28"/>
  <c r="A8145" i="28"/>
  <c r="A8146" i="28"/>
  <c r="A8147" i="28"/>
  <c r="A8148" i="28"/>
  <c r="A8149" i="28"/>
  <c r="A8150" i="28"/>
  <c r="A8151" i="28"/>
  <c r="A8152" i="28"/>
  <c r="A8153" i="28"/>
  <c r="A8154" i="28"/>
  <c r="A8155" i="28"/>
  <c r="A8156" i="28"/>
  <c r="A8157" i="28"/>
  <c r="A8158" i="28"/>
  <c r="A8159" i="28"/>
  <c r="A8160" i="28"/>
  <c r="A8161" i="28"/>
  <c r="A8162" i="28"/>
  <c r="A8163" i="28"/>
  <c r="A8164" i="28"/>
  <c r="A8165" i="28"/>
  <c r="A8166" i="28"/>
  <c r="A8167" i="28"/>
  <c r="A8168" i="28"/>
  <c r="A8169" i="28"/>
  <c r="A8170" i="28"/>
  <c r="A8171" i="28"/>
  <c r="A8172" i="28"/>
  <c r="A8173" i="28"/>
  <c r="A8174" i="28"/>
  <c r="A8175" i="28"/>
  <c r="A8176" i="28"/>
  <c r="A8177" i="28"/>
  <c r="A8178" i="28"/>
  <c r="A8179" i="28"/>
  <c r="A8180" i="28"/>
  <c r="A8181" i="28"/>
  <c r="A8182" i="28"/>
  <c r="A8183" i="28"/>
  <c r="A8184" i="28"/>
  <c r="A8185" i="28"/>
  <c r="A8186" i="28"/>
  <c r="A8187" i="28"/>
  <c r="A8188" i="28"/>
  <c r="A8189" i="28"/>
  <c r="A8190" i="28"/>
  <c r="A8191" i="28"/>
  <c r="A8192" i="28"/>
  <c r="A8193" i="28"/>
  <c r="A8194" i="28"/>
  <c r="A8195" i="28"/>
  <c r="A8196" i="28"/>
  <c r="A8197" i="28"/>
  <c r="A8198" i="28"/>
  <c r="A8199" i="28"/>
  <c r="A8200" i="28"/>
  <c r="A8201" i="28"/>
  <c r="A8202" i="28"/>
  <c r="A8203" i="28"/>
  <c r="A8204" i="28"/>
  <c r="A8205" i="28"/>
  <c r="A8206" i="28"/>
  <c r="A8207" i="28"/>
  <c r="A8208" i="28"/>
  <c r="A8209" i="28"/>
  <c r="A8210" i="28"/>
  <c r="A8211" i="28"/>
  <c r="A8212" i="28"/>
  <c r="A8213" i="28"/>
  <c r="A8214" i="28"/>
  <c r="A8215" i="28"/>
  <c r="A8216" i="28"/>
  <c r="A8217" i="28"/>
  <c r="A8218" i="28"/>
  <c r="A8219" i="28"/>
  <c r="A8220" i="28"/>
  <c r="A8221" i="28"/>
  <c r="A8222" i="28"/>
  <c r="A8223" i="28"/>
  <c r="A8224" i="28"/>
  <c r="A8225" i="28"/>
  <c r="A8226" i="28"/>
  <c r="A8227" i="28"/>
  <c r="A8228" i="28"/>
  <c r="A8229" i="28"/>
  <c r="A8230" i="28"/>
  <c r="A8231" i="28"/>
  <c r="A8232" i="28"/>
  <c r="A8233" i="28"/>
  <c r="A8234" i="28"/>
  <c r="A8235" i="28"/>
  <c r="A8236" i="28"/>
  <c r="A8237" i="28"/>
  <c r="A8238" i="28"/>
  <c r="A8239" i="28"/>
  <c r="A8240" i="28"/>
  <c r="A8241" i="28"/>
  <c r="A8242" i="28"/>
  <c r="A8243" i="28"/>
  <c r="A8244" i="28"/>
  <c r="A8245" i="28"/>
  <c r="A8246" i="28"/>
  <c r="A8247" i="28"/>
  <c r="A8248" i="28"/>
  <c r="A8249" i="28"/>
  <c r="A8250" i="28"/>
  <c r="A8251" i="28"/>
  <c r="A8252" i="28"/>
  <c r="A8253" i="28"/>
  <c r="A8254" i="28"/>
  <c r="A8255" i="28"/>
  <c r="A8256" i="28"/>
  <c r="A8257" i="28"/>
  <c r="A8258" i="28"/>
  <c r="A8259" i="28"/>
  <c r="A8260" i="28"/>
  <c r="A8261" i="28"/>
  <c r="A8262" i="28"/>
  <c r="A8263" i="28"/>
  <c r="A8264" i="28"/>
  <c r="A8265" i="28"/>
  <c r="A8266" i="28"/>
  <c r="A8267" i="28"/>
  <c r="A8268" i="28"/>
  <c r="A8269" i="28"/>
  <c r="A8270" i="28"/>
  <c r="A8271" i="28"/>
  <c r="A8272" i="28"/>
  <c r="A8273" i="28"/>
  <c r="A8274" i="28"/>
  <c r="A8275" i="28"/>
  <c r="A8276" i="28"/>
  <c r="A8277" i="28"/>
  <c r="A8278" i="28"/>
  <c r="A8279" i="28"/>
  <c r="A8280" i="28"/>
  <c r="A8281" i="28"/>
  <c r="A8282" i="28"/>
  <c r="A8283" i="28"/>
  <c r="A8284" i="28"/>
  <c r="A8285" i="28"/>
  <c r="A8286" i="28"/>
  <c r="A8287" i="28"/>
  <c r="A8288" i="28"/>
  <c r="A8289" i="28"/>
  <c r="A8290" i="28"/>
  <c r="A8291" i="28"/>
  <c r="A8292" i="28"/>
  <c r="A8293" i="28"/>
  <c r="A8294" i="28"/>
  <c r="A8295" i="28"/>
  <c r="A8296" i="28"/>
  <c r="A8297" i="28"/>
  <c r="A8298" i="28"/>
  <c r="A8299" i="28"/>
  <c r="A8300" i="28"/>
  <c r="A8301" i="28"/>
  <c r="A8302" i="28"/>
  <c r="A8303" i="28"/>
  <c r="A8304" i="28"/>
  <c r="A8305" i="28"/>
  <c r="A8306" i="28"/>
  <c r="A8307" i="28"/>
  <c r="A8308" i="28"/>
  <c r="A8309" i="28"/>
  <c r="A8310" i="28"/>
  <c r="A8311" i="28"/>
  <c r="A8312" i="28"/>
  <c r="A8313" i="28"/>
  <c r="A8314" i="28"/>
  <c r="A8315" i="28"/>
  <c r="A8316" i="28"/>
  <c r="A8317" i="28"/>
  <c r="A8318" i="28"/>
  <c r="A8319" i="28"/>
  <c r="A8320" i="28"/>
  <c r="A8321" i="28"/>
  <c r="A8322" i="28"/>
  <c r="A8323" i="28"/>
  <c r="A8324" i="28"/>
  <c r="A8325" i="28"/>
  <c r="A8326" i="28"/>
  <c r="A8327" i="28"/>
  <c r="A8328" i="28"/>
  <c r="A8329" i="28"/>
  <c r="A8330" i="28"/>
  <c r="A8331" i="28"/>
  <c r="A8332" i="28"/>
  <c r="A8333" i="28"/>
  <c r="A8334" i="28"/>
  <c r="A8335" i="28"/>
  <c r="A8336" i="28"/>
  <c r="A8337" i="28"/>
  <c r="A8338" i="28"/>
  <c r="A8339" i="28"/>
  <c r="A8340" i="28"/>
  <c r="A8341" i="28"/>
  <c r="A8342" i="28"/>
  <c r="A8343" i="28"/>
  <c r="A8344" i="28"/>
  <c r="A8345" i="28"/>
  <c r="A8346" i="28"/>
  <c r="A8347" i="28"/>
  <c r="A8348" i="28"/>
  <c r="A8349" i="28"/>
  <c r="A8350" i="28"/>
  <c r="A8351" i="28"/>
  <c r="A8352" i="28"/>
  <c r="A8353" i="28"/>
  <c r="A8354" i="28"/>
  <c r="A8355" i="28"/>
  <c r="A8356" i="28"/>
  <c r="A8357" i="28"/>
  <c r="A8358" i="28"/>
  <c r="A8359" i="28"/>
  <c r="A8360" i="28"/>
  <c r="A8361" i="28"/>
  <c r="A8362" i="28"/>
  <c r="A8363" i="28"/>
  <c r="A8364" i="28"/>
  <c r="A8365" i="28"/>
  <c r="A8366" i="28"/>
  <c r="A8367" i="28"/>
  <c r="A8368" i="28"/>
  <c r="A8369" i="28"/>
  <c r="A8370" i="28"/>
  <c r="A8371" i="28"/>
  <c r="A8372" i="28"/>
  <c r="A8373" i="28"/>
  <c r="A8374" i="28"/>
  <c r="A8375" i="28"/>
  <c r="A8376" i="28"/>
  <c r="A8377" i="28"/>
  <c r="A8378" i="28"/>
  <c r="A8379" i="28"/>
  <c r="A8380" i="28"/>
  <c r="A8381" i="28"/>
  <c r="A8382" i="28"/>
  <c r="A8383" i="28"/>
  <c r="A8384" i="28"/>
  <c r="A8385" i="28"/>
  <c r="A8386" i="28"/>
  <c r="A8387" i="28"/>
  <c r="A8388" i="28"/>
  <c r="A8389" i="28"/>
  <c r="A8390" i="28"/>
  <c r="A8391" i="28"/>
  <c r="A8392" i="28"/>
  <c r="A8393" i="28"/>
  <c r="A8394" i="28"/>
  <c r="A8395" i="28"/>
  <c r="A8396" i="28"/>
  <c r="A8397" i="28"/>
  <c r="A8398" i="28"/>
  <c r="A8399" i="28"/>
  <c r="A8400" i="28"/>
  <c r="A8401" i="28"/>
  <c r="A8402" i="28"/>
  <c r="A8403" i="28"/>
  <c r="A8404" i="28"/>
  <c r="A8405" i="28"/>
  <c r="A8406" i="28"/>
  <c r="A8407" i="28"/>
  <c r="A8408" i="28"/>
  <c r="A8409" i="28"/>
  <c r="A8410" i="28"/>
  <c r="A8411" i="28"/>
  <c r="A8412" i="28"/>
  <c r="A8413" i="28"/>
  <c r="A8414" i="28"/>
  <c r="A8415" i="28"/>
  <c r="A8416" i="28"/>
  <c r="A8417" i="28"/>
  <c r="A8418" i="28"/>
  <c r="A8419" i="28"/>
  <c r="A8420" i="28"/>
  <c r="A8421" i="28"/>
  <c r="A8422" i="28"/>
  <c r="A8423" i="28"/>
  <c r="A8424" i="28"/>
  <c r="A8425" i="28"/>
  <c r="A8426" i="28"/>
  <c r="A8427" i="28"/>
  <c r="A8428" i="28"/>
  <c r="A8429" i="28"/>
  <c r="A8430" i="28"/>
  <c r="A8431" i="28"/>
  <c r="A8432" i="28"/>
  <c r="A8433" i="28"/>
  <c r="A8434" i="28"/>
  <c r="A8435" i="28"/>
  <c r="A8436" i="28"/>
  <c r="A8437" i="28"/>
  <c r="A8438" i="28"/>
  <c r="A8439" i="28"/>
  <c r="A8440" i="28"/>
  <c r="A8441" i="28"/>
  <c r="A8442" i="28"/>
  <c r="A8443" i="28"/>
  <c r="A8444" i="28"/>
  <c r="A8445" i="28"/>
  <c r="A8446" i="28"/>
  <c r="A8447" i="28"/>
  <c r="A8448" i="28"/>
  <c r="A8449" i="28"/>
  <c r="A8450" i="28"/>
  <c r="A8451" i="28"/>
  <c r="A8452" i="28"/>
  <c r="A8453" i="28"/>
  <c r="A8454" i="28"/>
  <c r="A8455" i="28"/>
  <c r="A8456" i="28"/>
  <c r="A8457" i="28"/>
  <c r="A8458" i="28"/>
  <c r="A8459" i="28"/>
  <c r="A8460" i="28"/>
  <c r="A8461" i="28"/>
  <c r="A8462" i="28"/>
  <c r="A8463" i="28"/>
  <c r="A8464" i="28"/>
  <c r="A8465" i="28"/>
  <c r="A8466" i="28"/>
  <c r="A8467" i="28"/>
  <c r="A8468" i="28"/>
  <c r="A8469" i="28"/>
  <c r="A8470" i="28"/>
  <c r="A8471" i="28"/>
  <c r="A8472" i="28"/>
  <c r="A8473" i="28"/>
  <c r="A8474" i="28"/>
  <c r="A8475" i="28"/>
  <c r="A8476" i="28"/>
  <c r="A8477" i="28"/>
  <c r="A8478" i="28"/>
  <c r="A8479" i="28"/>
  <c r="A8480" i="28"/>
  <c r="A8481" i="28"/>
  <c r="A8482" i="28"/>
  <c r="A8483" i="28"/>
  <c r="A8484" i="28"/>
  <c r="A8485" i="28"/>
  <c r="A8486" i="28"/>
  <c r="A8487" i="28"/>
  <c r="A8488" i="28"/>
  <c r="A8489" i="28"/>
  <c r="A8490" i="28"/>
  <c r="A8491" i="28"/>
  <c r="A8492" i="28"/>
  <c r="A8493" i="28"/>
  <c r="A8494" i="28"/>
  <c r="A8495" i="28"/>
  <c r="A8496" i="28"/>
  <c r="A8497" i="28"/>
  <c r="A8498" i="28"/>
  <c r="A8499" i="28"/>
  <c r="A8500" i="28"/>
  <c r="A8501" i="28"/>
  <c r="A8502" i="28"/>
  <c r="A8503" i="28"/>
  <c r="A8504" i="28"/>
  <c r="A8505" i="28"/>
  <c r="A8506" i="28"/>
  <c r="A8507" i="28"/>
  <c r="A8508" i="28"/>
  <c r="A8509" i="28"/>
  <c r="A8510" i="28"/>
  <c r="A8511" i="28"/>
  <c r="A8512" i="28"/>
  <c r="A8513" i="28"/>
  <c r="A8514" i="28"/>
  <c r="A8515" i="28"/>
  <c r="A8516" i="28"/>
  <c r="A8517" i="28"/>
  <c r="A8518" i="28"/>
  <c r="A8519" i="28"/>
  <c r="A8520" i="28"/>
  <c r="A8521" i="28"/>
  <c r="A8522" i="28"/>
  <c r="A8523" i="28"/>
  <c r="A8524" i="28"/>
  <c r="A8525" i="28"/>
  <c r="A8526" i="28"/>
  <c r="A8527" i="28"/>
  <c r="A8528" i="28"/>
  <c r="A8529" i="28"/>
  <c r="A8530" i="28"/>
  <c r="A8531" i="28"/>
  <c r="A8532" i="28"/>
  <c r="A8533" i="28"/>
  <c r="A8534" i="28"/>
  <c r="A8535" i="28"/>
  <c r="A8536" i="28"/>
  <c r="A8537" i="28"/>
  <c r="A8538" i="28"/>
  <c r="A8539" i="28"/>
  <c r="A8540" i="28"/>
  <c r="A8541" i="28"/>
  <c r="A8542" i="28"/>
  <c r="A8543" i="28"/>
  <c r="A8544" i="28"/>
  <c r="A8545" i="28"/>
  <c r="A8546" i="28"/>
  <c r="A8547" i="28"/>
  <c r="A8548" i="28"/>
  <c r="A8549" i="28"/>
  <c r="A8550" i="28"/>
  <c r="A8551" i="28"/>
  <c r="A8552" i="28"/>
  <c r="A8553" i="28"/>
  <c r="A8554" i="28"/>
  <c r="A8555" i="28"/>
  <c r="A8556" i="28"/>
  <c r="A8557" i="28"/>
  <c r="A8558" i="28"/>
  <c r="A8559" i="28"/>
  <c r="A8560" i="28"/>
  <c r="A8561" i="28"/>
  <c r="A8562" i="28"/>
  <c r="A8563" i="28"/>
  <c r="A8564" i="28"/>
  <c r="A8565" i="28"/>
  <c r="A8566" i="28"/>
  <c r="A8567" i="28"/>
  <c r="A8568" i="28"/>
  <c r="A8569" i="28"/>
  <c r="A8570" i="28"/>
  <c r="A8571" i="28"/>
  <c r="A8572" i="28"/>
  <c r="A8573" i="28"/>
  <c r="A8574" i="28"/>
  <c r="A8575" i="28"/>
  <c r="A8576" i="28"/>
  <c r="A8577" i="28"/>
  <c r="A8578" i="28"/>
  <c r="A8579" i="28"/>
  <c r="A8580" i="28"/>
  <c r="A8581" i="28"/>
  <c r="A8582" i="28"/>
  <c r="A8583" i="28"/>
  <c r="A8584" i="28"/>
  <c r="A8585" i="28"/>
  <c r="A8586" i="28"/>
  <c r="A8587" i="28"/>
  <c r="A8588" i="28"/>
  <c r="A8589" i="28"/>
  <c r="A8590" i="28"/>
  <c r="A8591" i="28"/>
  <c r="A8592" i="28"/>
  <c r="A8593" i="28"/>
  <c r="A8594" i="28"/>
  <c r="A8595" i="28"/>
  <c r="A8596" i="28"/>
  <c r="A8597" i="28"/>
  <c r="A8598" i="28"/>
  <c r="A8599" i="28"/>
  <c r="A8600" i="28"/>
  <c r="A8601" i="28"/>
  <c r="A8602" i="28"/>
  <c r="A8603" i="28"/>
  <c r="A8604" i="28"/>
  <c r="A8605" i="28"/>
  <c r="A8606" i="28"/>
  <c r="A8607" i="28"/>
  <c r="A8608" i="28"/>
  <c r="A8609" i="28"/>
  <c r="A8610" i="28"/>
  <c r="A8611" i="28"/>
  <c r="A8612" i="28"/>
  <c r="A8613" i="28"/>
  <c r="A8614" i="28"/>
  <c r="A8615" i="28"/>
  <c r="A8616" i="28"/>
  <c r="A8617" i="28"/>
  <c r="A8618" i="28"/>
  <c r="A8619" i="28"/>
  <c r="A8620" i="28"/>
  <c r="A8621" i="28"/>
  <c r="A8622" i="28"/>
  <c r="A8623" i="28"/>
  <c r="A8624" i="28"/>
  <c r="A8625" i="28"/>
  <c r="A8626" i="28"/>
  <c r="A8627" i="28"/>
  <c r="A8628" i="28"/>
  <c r="A8629" i="28"/>
  <c r="A8630" i="28"/>
  <c r="A8631" i="28"/>
  <c r="A8632" i="28"/>
  <c r="A8633" i="28"/>
  <c r="A8634" i="28"/>
  <c r="A8635" i="28"/>
  <c r="A8636" i="28"/>
  <c r="A8637" i="28"/>
  <c r="A8638" i="28"/>
  <c r="A8639" i="28"/>
  <c r="A8640" i="28"/>
  <c r="A8641" i="28"/>
  <c r="A8642" i="28"/>
  <c r="A8643" i="28"/>
  <c r="A8644" i="28"/>
  <c r="A8645" i="28"/>
  <c r="A8646" i="28"/>
  <c r="A8647" i="28"/>
  <c r="A8648" i="28"/>
  <c r="A8649" i="28"/>
  <c r="A8650" i="28"/>
  <c r="A8651" i="28"/>
  <c r="A8652" i="28"/>
  <c r="A8653" i="28"/>
  <c r="A8654" i="28"/>
  <c r="A8655" i="28"/>
  <c r="A8656" i="28"/>
  <c r="A8657" i="28"/>
  <c r="A8658" i="28"/>
  <c r="A8659" i="28"/>
  <c r="A8660" i="28"/>
  <c r="A8661" i="28"/>
  <c r="A8662" i="28"/>
  <c r="A8663" i="28"/>
  <c r="A8664" i="28"/>
  <c r="A8665" i="28"/>
  <c r="A8666" i="28"/>
  <c r="A8667" i="28"/>
  <c r="A8668" i="28"/>
  <c r="A8669" i="28"/>
  <c r="A8670" i="28"/>
  <c r="A8671" i="28"/>
  <c r="A8672" i="28"/>
  <c r="A8673" i="28"/>
  <c r="A8674" i="28"/>
  <c r="A8675" i="28"/>
  <c r="A8676" i="28"/>
  <c r="A8677" i="28"/>
  <c r="A8678" i="28"/>
  <c r="A8679" i="28"/>
  <c r="A8680" i="28"/>
  <c r="A8681" i="28"/>
  <c r="A8682" i="28"/>
  <c r="A8683" i="28"/>
  <c r="A8684" i="28"/>
  <c r="A8685" i="28"/>
  <c r="A8686" i="28"/>
  <c r="A8687" i="28"/>
  <c r="A8688" i="28"/>
  <c r="A8689" i="28"/>
  <c r="A8690" i="28"/>
  <c r="A8691" i="28"/>
  <c r="A8692" i="28"/>
  <c r="A8693" i="28"/>
  <c r="A8694" i="28"/>
  <c r="A8695" i="28"/>
  <c r="A8696" i="28"/>
  <c r="A8697" i="28"/>
  <c r="A8698" i="28"/>
  <c r="A8699" i="28"/>
  <c r="A8700" i="28"/>
  <c r="A8701" i="28"/>
  <c r="A8702" i="28"/>
  <c r="A8703" i="28"/>
  <c r="A8704" i="28"/>
  <c r="A8705" i="28"/>
  <c r="A8706" i="28"/>
  <c r="A8707" i="28"/>
  <c r="A8708" i="28"/>
  <c r="A8709" i="28"/>
  <c r="A8710" i="28"/>
  <c r="A8711" i="28"/>
  <c r="A8712" i="28"/>
  <c r="A8713" i="28"/>
  <c r="A8714" i="28"/>
  <c r="A8715" i="28"/>
  <c r="A8716" i="28"/>
  <c r="A8717" i="28"/>
  <c r="A8718" i="28"/>
  <c r="A8719" i="28"/>
  <c r="A8720" i="28"/>
  <c r="A8721" i="28"/>
  <c r="A8722" i="28"/>
  <c r="A8723" i="28"/>
  <c r="A8724" i="28"/>
  <c r="A8725" i="28"/>
  <c r="A8726" i="28"/>
  <c r="A8727" i="28"/>
  <c r="A8728" i="28"/>
  <c r="A8729" i="28"/>
  <c r="A8730" i="28"/>
  <c r="A8731" i="28"/>
  <c r="A8732" i="28"/>
  <c r="A8733" i="28"/>
  <c r="A8734" i="28"/>
  <c r="A8735" i="28"/>
  <c r="A8736" i="28"/>
  <c r="A8737" i="28"/>
  <c r="A8738" i="28"/>
  <c r="A8739" i="28"/>
  <c r="A8740" i="28"/>
  <c r="A8741" i="28"/>
  <c r="A8742" i="28"/>
  <c r="A8743" i="28"/>
  <c r="A8744" i="28"/>
  <c r="A8745" i="28"/>
  <c r="A8746" i="28"/>
  <c r="A8747" i="28"/>
  <c r="A8748" i="28"/>
  <c r="A8749" i="28"/>
  <c r="A8750" i="28"/>
  <c r="A8751" i="28"/>
  <c r="A8752" i="28"/>
  <c r="A8753" i="28"/>
  <c r="A8754" i="28"/>
  <c r="A8755" i="28"/>
  <c r="A8756" i="28"/>
  <c r="A8757" i="28"/>
  <c r="A8758" i="28"/>
  <c r="A8759" i="28"/>
  <c r="A8760" i="28"/>
  <c r="A8761" i="28"/>
  <c r="A8762" i="28"/>
  <c r="A8763" i="28"/>
  <c r="A8764" i="28"/>
  <c r="A8765" i="28"/>
  <c r="A8766" i="28"/>
  <c r="A8767" i="28"/>
  <c r="A8768" i="28"/>
  <c r="A8769" i="28"/>
  <c r="A8770" i="28"/>
  <c r="A8771" i="28"/>
  <c r="A8772" i="28"/>
  <c r="A8773" i="28"/>
  <c r="A8774" i="28"/>
  <c r="A8775" i="28"/>
  <c r="A8776" i="28"/>
  <c r="A8777" i="28"/>
  <c r="A8778" i="28"/>
  <c r="A8779" i="28"/>
  <c r="A8780" i="28"/>
  <c r="A8781" i="28"/>
  <c r="A8782" i="28"/>
  <c r="A8783" i="28"/>
  <c r="A8784" i="28"/>
  <c r="A8785" i="28"/>
  <c r="A8786" i="28"/>
  <c r="A8787" i="28"/>
  <c r="A8788" i="28"/>
  <c r="A8789" i="28"/>
  <c r="A8790" i="28"/>
  <c r="A8791" i="28"/>
  <c r="A8792" i="28"/>
  <c r="A8793" i="28"/>
  <c r="A8794" i="28"/>
  <c r="A8795" i="28"/>
  <c r="A8796" i="28"/>
  <c r="A8797" i="28"/>
  <c r="A8798" i="28"/>
  <c r="A8799" i="28"/>
  <c r="A8800" i="28"/>
  <c r="A8801" i="28"/>
  <c r="A8802" i="28"/>
  <c r="A8803" i="28"/>
  <c r="A8804" i="28"/>
  <c r="A8805" i="28"/>
  <c r="A8806" i="28"/>
  <c r="A8807" i="28"/>
  <c r="A8808" i="28"/>
  <c r="A8809" i="28"/>
  <c r="A8810" i="28"/>
  <c r="A8811" i="28"/>
  <c r="A8812" i="28"/>
  <c r="A8813" i="28"/>
  <c r="A8814" i="28"/>
  <c r="A8815" i="28"/>
  <c r="A8816" i="28"/>
  <c r="A8817" i="28"/>
  <c r="A8818" i="28"/>
  <c r="A8819" i="28"/>
  <c r="A8820" i="28"/>
  <c r="A8821" i="28"/>
  <c r="A8822" i="28"/>
  <c r="A8823" i="28"/>
  <c r="A8824" i="28"/>
  <c r="A8825" i="28"/>
  <c r="A8826" i="28"/>
  <c r="A8827" i="28"/>
  <c r="A8828" i="28"/>
  <c r="A8829" i="28"/>
  <c r="A8830" i="28"/>
  <c r="A8831" i="28"/>
  <c r="A8832" i="28"/>
  <c r="A8833" i="28"/>
  <c r="A8834" i="28"/>
  <c r="A8835" i="28"/>
  <c r="A8836" i="28"/>
  <c r="A8837" i="28"/>
  <c r="A8838" i="28"/>
  <c r="A8839" i="28"/>
  <c r="A8840" i="28"/>
  <c r="A8841" i="28"/>
  <c r="A8842" i="28"/>
  <c r="A8843" i="28"/>
  <c r="A8844" i="28"/>
  <c r="A8845" i="28"/>
  <c r="A8846" i="28"/>
  <c r="A8847" i="28"/>
  <c r="A8848" i="28"/>
  <c r="A8849" i="28"/>
  <c r="A8850" i="28"/>
  <c r="A8851" i="28"/>
  <c r="A8852" i="28"/>
  <c r="A8853" i="28"/>
  <c r="A8854" i="28"/>
  <c r="A8855" i="28"/>
  <c r="A8856" i="28"/>
  <c r="A8857" i="28"/>
  <c r="A8858" i="28"/>
  <c r="A8859" i="28"/>
  <c r="A8860" i="28"/>
  <c r="A8861" i="28"/>
  <c r="A8862" i="28"/>
  <c r="A8863" i="28"/>
  <c r="A8864" i="28"/>
  <c r="A8865" i="28"/>
  <c r="A8866" i="28"/>
  <c r="A8867" i="28"/>
  <c r="A8868" i="28"/>
  <c r="A8869" i="28"/>
  <c r="A8870" i="28"/>
  <c r="A8871" i="28"/>
  <c r="A8872" i="28"/>
  <c r="A8873" i="28"/>
  <c r="A8874" i="28"/>
  <c r="A8875" i="28"/>
  <c r="A8876" i="28"/>
  <c r="A8877" i="28"/>
  <c r="A8878" i="28"/>
  <c r="A8879" i="28"/>
  <c r="A8880" i="28"/>
  <c r="A8881" i="28"/>
  <c r="A8882" i="28"/>
  <c r="A8883" i="28"/>
  <c r="A8884" i="28"/>
  <c r="A8885" i="28"/>
  <c r="A8886" i="28"/>
  <c r="A8887" i="28"/>
  <c r="A8888" i="28"/>
  <c r="A8889" i="28"/>
  <c r="A8890" i="28"/>
  <c r="A8891" i="28"/>
  <c r="A8892" i="28"/>
  <c r="A8893" i="28"/>
  <c r="A8894" i="28"/>
  <c r="A8895" i="28"/>
  <c r="A8896" i="28"/>
  <c r="A8897" i="28"/>
  <c r="A8898" i="28"/>
  <c r="A8899" i="28"/>
  <c r="A8900" i="28"/>
  <c r="A8901" i="28"/>
  <c r="A8902" i="28"/>
  <c r="A8903" i="28"/>
  <c r="A8904" i="28"/>
  <c r="A8905" i="28"/>
  <c r="A8906" i="28"/>
  <c r="A8907" i="28"/>
  <c r="A8908" i="28"/>
  <c r="A8909" i="28"/>
  <c r="A8910" i="28"/>
  <c r="A8911" i="28"/>
  <c r="A8912" i="28"/>
  <c r="A8913" i="28"/>
  <c r="A8914" i="28"/>
  <c r="A8915" i="28"/>
  <c r="A8916" i="28"/>
  <c r="A8917" i="28"/>
  <c r="A8918" i="28"/>
  <c r="A8919" i="28"/>
  <c r="A8920" i="28"/>
  <c r="A8921" i="28"/>
  <c r="A8922" i="28"/>
  <c r="A8923" i="28"/>
  <c r="A8924" i="28"/>
  <c r="A8925" i="28"/>
  <c r="A8926" i="28"/>
  <c r="A8927" i="28"/>
  <c r="A8928" i="28"/>
  <c r="A8929" i="28"/>
  <c r="A8930" i="28"/>
  <c r="A8931" i="28"/>
  <c r="A8932" i="28"/>
  <c r="A8933" i="28"/>
  <c r="A8934" i="28"/>
  <c r="A8935" i="28"/>
  <c r="A8936" i="28"/>
  <c r="A8937" i="28"/>
  <c r="A8938" i="28"/>
  <c r="A8939" i="28"/>
  <c r="A8940" i="28"/>
  <c r="A8941" i="28"/>
  <c r="A8942" i="28"/>
  <c r="A8943" i="28"/>
  <c r="A8944" i="28"/>
  <c r="A8945" i="28"/>
  <c r="A8946" i="28"/>
  <c r="A8947" i="28"/>
  <c r="A8948" i="28"/>
  <c r="A8949" i="28"/>
  <c r="A8950" i="28"/>
  <c r="A8951" i="28"/>
  <c r="A8952" i="28"/>
  <c r="A8953" i="28"/>
  <c r="A8954" i="28"/>
  <c r="A8955" i="28"/>
  <c r="A8956" i="28"/>
  <c r="A8957" i="28"/>
  <c r="A8958" i="28"/>
  <c r="A8959" i="28"/>
  <c r="A8960" i="28"/>
  <c r="A8961" i="28"/>
  <c r="A8962" i="28"/>
  <c r="A8963" i="28"/>
  <c r="A8964" i="28"/>
  <c r="A8965" i="28"/>
  <c r="A8966" i="28"/>
  <c r="A8967" i="28"/>
  <c r="A8968" i="28"/>
  <c r="A8969" i="28"/>
  <c r="A8970" i="28"/>
  <c r="A8971" i="28"/>
  <c r="A8972" i="28"/>
  <c r="A8973" i="28"/>
  <c r="A8974" i="28"/>
  <c r="A8975" i="28"/>
  <c r="A8976" i="28"/>
  <c r="A8977" i="28"/>
  <c r="A8978" i="28"/>
  <c r="A8979" i="28"/>
  <c r="A8980" i="28"/>
  <c r="A8981" i="28"/>
  <c r="A8982" i="28"/>
  <c r="A8983" i="28"/>
  <c r="A8984" i="28"/>
  <c r="A8985" i="28"/>
  <c r="A8986" i="28"/>
  <c r="A8987" i="28"/>
  <c r="A8988" i="28"/>
  <c r="A8989" i="28"/>
  <c r="A8990" i="28"/>
  <c r="A8991" i="28"/>
  <c r="A8992" i="28"/>
  <c r="A8993" i="28"/>
  <c r="A8994" i="28"/>
  <c r="A8995" i="28"/>
  <c r="A8996" i="28"/>
  <c r="A8997" i="28"/>
  <c r="A8998" i="28"/>
  <c r="A8999" i="28"/>
  <c r="A9000" i="28"/>
  <c r="A9001" i="28"/>
  <c r="A9002" i="28"/>
  <c r="A9003" i="28"/>
  <c r="A9004" i="28"/>
  <c r="A9005" i="28"/>
  <c r="A9006" i="28"/>
  <c r="A9007" i="28"/>
  <c r="A9008" i="28"/>
  <c r="A9009" i="28"/>
  <c r="A9010" i="28"/>
  <c r="A9011" i="28"/>
  <c r="A9012" i="28"/>
  <c r="A9013" i="28"/>
  <c r="A9014" i="28"/>
  <c r="A9015" i="28"/>
  <c r="A9016" i="28"/>
  <c r="A9017" i="28"/>
  <c r="A9018" i="28"/>
  <c r="A9019" i="28"/>
  <c r="A9020" i="28"/>
  <c r="A9021" i="28"/>
  <c r="A9022" i="28"/>
  <c r="A9023" i="28"/>
  <c r="A9024" i="28"/>
  <c r="A9025" i="28"/>
  <c r="A9026" i="28"/>
  <c r="A9027" i="28"/>
  <c r="A9028" i="28"/>
  <c r="A9029" i="28"/>
  <c r="A9030" i="28"/>
  <c r="A9031" i="28"/>
  <c r="A9032" i="28"/>
  <c r="A9033" i="28"/>
  <c r="A9034" i="28"/>
  <c r="A9035" i="28"/>
  <c r="A9036" i="28"/>
  <c r="A9037" i="28"/>
  <c r="A9038" i="28"/>
  <c r="A9039" i="28"/>
  <c r="A9040" i="28"/>
  <c r="A9041" i="28"/>
  <c r="A9042" i="28"/>
  <c r="A9043" i="28"/>
  <c r="A9044" i="28"/>
  <c r="A9045" i="28"/>
  <c r="A9046" i="28"/>
  <c r="A9047" i="28"/>
  <c r="A9048" i="28"/>
  <c r="A9049" i="28"/>
  <c r="A9050" i="28"/>
  <c r="A9051" i="28"/>
  <c r="A9052" i="28"/>
  <c r="A9053" i="28"/>
  <c r="A9054" i="28"/>
  <c r="A9055" i="28"/>
  <c r="A9056" i="28"/>
  <c r="A9057" i="28"/>
  <c r="A9058" i="28"/>
  <c r="A9059" i="28"/>
  <c r="A9060" i="28"/>
  <c r="A9061" i="28"/>
  <c r="A9062" i="28"/>
  <c r="A9063" i="28"/>
  <c r="A9064" i="28"/>
  <c r="A9065" i="28"/>
  <c r="A9066" i="28"/>
  <c r="A9067" i="28"/>
  <c r="A9068" i="28"/>
  <c r="A9069" i="28"/>
  <c r="A9070" i="28"/>
  <c r="A9071" i="28"/>
  <c r="A9072" i="28"/>
  <c r="A9073" i="28"/>
  <c r="A9074" i="28"/>
  <c r="A9075" i="28"/>
  <c r="A9076" i="28"/>
  <c r="A9077" i="28"/>
  <c r="A9078" i="28"/>
  <c r="A9079" i="28"/>
  <c r="A9080" i="28"/>
  <c r="A9081" i="28"/>
  <c r="A9082" i="28"/>
  <c r="A9083" i="28"/>
  <c r="A9084" i="28"/>
  <c r="A9085" i="28"/>
  <c r="A9086" i="28"/>
  <c r="A9087" i="28"/>
  <c r="A9088" i="28"/>
  <c r="A9089" i="28"/>
  <c r="A9090" i="28"/>
  <c r="A9091" i="28"/>
  <c r="A9092" i="28"/>
  <c r="A9093" i="28"/>
  <c r="A9094" i="28"/>
  <c r="A9095" i="28"/>
  <c r="A9096" i="28"/>
  <c r="A9097" i="28"/>
  <c r="A9098" i="28"/>
  <c r="A9099" i="28"/>
  <c r="A9100" i="28"/>
  <c r="A9101" i="28"/>
  <c r="A9102" i="28"/>
  <c r="A9103" i="28"/>
  <c r="A9104" i="28"/>
  <c r="A9105" i="28"/>
  <c r="A9106" i="28"/>
  <c r="A9107" i="28"/>
  <c r="A9108" i="28"/>
  <c r="A9109" i="28"/>
  <c r="A9110" i="28"/>
  <c r="A9111" i="28"/>
  <c r="A9112" i="28"/>
  <c r="A9113" i="28"/>
  <c r="A9114" i="28"/>
  <c r="A9115" i="28"/>
  <c r="A9116" i="28"/>
  <c r="A9117" i="28"/>
  <c r="A9118" i="28"/>
  <c r="A9119" i="28"/>
  <c r="A9120" i="28"/>
  <c r="A9121" i="28"/>
  <c r="A9122" i="28"/>
  <c r="A9123" i="28"/>
  <c r="A9124" i="28"/>
  <c r="A9125" i="28"/>
  <c r="A9126" i="28"/>
  <c r="A9127" i="28"/>
  <c r="A9128" i="28"/>
  <c r="A9129" i="28"/>
  <c r="A9130" i="28"/>
  <c r="A9131" i="28"/>
  <c r="A9132" i="28"/>
  <c r="A9133" i="28"/>
  <c r="A9134" i="28"/>
  <c r="A9135" i="28"/>
  <c r="A9136" i="28"/>
  <c r="A9137" i="28"/>
  <c r="A9138" i="28"/>
  <c r="A9139" i="28"/>
  <c r="A9140" i="28"/>
  <c r="A9141" i="28"/>
  <c r="A9142" i="28"/>
  <c r="A9143" i="28"/>
  <c r="A9144" i="28"/>
  <c r="A9145" i="28"/>
  <c r="A9146" i="28"/>
  <c r="A9147" i="28"/>
  <c r="A9148" i="28"/>
  <c r="A9149" i="28"/>
  <c r="A9150" i="28"/>
  <c r="A9151" i="28"/>
  <c r="A9152" i="28"/>
  <c r="A9153" i="28"/>
  <c r="A9154" i="28"/>
  <c r="A9155" i="28"/>
  <c r="A9156" i="28"/>
  <c r="A9157" i="28"/>
  <c r="A9158" i="28"/>
  <c r="A9159" i="28"/>
  <c r="A9160" i="28"/>
  <c r="A9161" i="28"/>
  <c r="A9162" i="28"/>
  <c r="A9163" i="28"/>
  <c r="A9164" i="28"/>
  <c r="A9165" i="28"/>
  <c r="A9166" i="28"/>
  <c r="A9167" i="28"/>
  <c r="A9168" i="28"/>
  <c r="A9169" i="28"/>
  <c r="A9170" i="28"/>
  <c r="A9171" i="28"/>
  <c r="A9172" i="28"/>
  <c r="A9173" i="28"/>
  <c r="A9174" i="28"/>
  <c r="A9175" i="28"/>
  <c r="A9176" i="28"/>
  <c r="A9177" i="28"/>
  <c r="A9178" i="28"/>
  <c r="A9179" i="28"/>
  <c r="A9180" i="28"/>
  <c r="A9181" i="28"/>
  <c r="A9182" i="28"/>
  <c r="A9183" i="28"/>
  <c r="A9184" i="28"/>
  <c r="A9185" i="28"/>
  <c r="A9186" i="28"/>
  <c r="A9187" i="28"/>
  <c r="A9188" i="28"/>
  <c r="A9189" i="28"/>
  <c r="A9190" i="28"/>
  <c r="A9191" i="28"/>
  <c r="A9192" i="28"/>
  <c r="A9193" i="28"/>
  <c r="A9194" i="28"/>
  <c r="A9195" i="28"/>
  <c r="A9196" i="28"/>
  <c r="A9197" i="28"/>
  <c r="A9198" i="28"/>
  <c r="A9199" i="28"/>
  <c r="A9200" i="28"/>
  <c r="A9201" i="28"/>
  <c r="A9202" i="28"/>
  <c r="A9203" i="28"/>
  <c r="A9204" i="28"/>
  <c r="A9205" i="28"/>
  <c r="A9206" i="28"/>
  <c r="A9207" i="28"/>
  <c r="A9208" i="28"/>
  <c r="A9209" i="28"/>
  <c r="A9210" i="28"/>
  <c r="A9211" i="28"/>
  <c r="A9212" i="28"/>
  <c r="A9213" i="28"/>
  <c r="A9214" i="28"/>
  <c r="A9215" i="28"/>
  <c r="A9216" i="28"/>
  <c r="A9217" i="28"/>
  <c r="A9218" i="28"/>
  <c r="A9219" i="28"/>
  <c r="A9220" i="28"/>
  <c r="A9221" i="28"/>
  <c r="A9222" i="28"/>
  <c r="A9223" i="28"/>
  <c r="A9224" i="28"/>
  <c r="A9225" i="28"/>
  <c r="A9226" i="28"/>
  <c r="A9227" i="28"/>
  <c r="A9228" i="28"/>
  <c r="A9229" i="28"/>
  <c r="A9230" i="28"/>
  <c r="A9231" i="28"/>
  <c r="A9232" i="28"/>
  <c r="A9233" i="28"/>
  <c r="A9234" i="28"/>
  <c r="A9235" i="28"/>
  <c r="A9236" i="28"/>
  <c r="A9237" i="28"/>
  <c r="A9238" i="28"/>
  <c r="A9239" i="28"/>
  <c r="A9240" i="28"/>
  <c r="A9241" i="28"/>
  <c r="A9242" i="28"/>
  <c r="A9243" i="28"/>
  <c r="A9244" i="28"/>
  <c r="A9245" i="28"/>
  <c r="A9246" i="28"/>
  <c r="A9247" i="28"/>
  <c r="A9248" i="28"/>
  <c r="A9249" i="28"/>
  <c r="A9250" i="28"/>
  <c r="A9251" i="28"/>
  <c r="A9252" i="28"/>
  <c r="A9253" i="28"/>
  <c r="A9254" i="28"/>
  <c r="A9255" i="28"/>
  <c r="A9256" i="28"/>
  <c r="A9257" i="28"/>
  <c r="A9258" i="28"/>
  <c r="A9259" i="28"/>
  <c r="A9260" i="28"/>
  <c r="A9261" i="28"/>
  <c r="A9262" i="28"/>
  <c r="A9263" i="28"/>
  <c r="A9264" i="28"/>
  <c r="A9265" i="28"/>
  <c r="A9266" i="28"/>
  <c r="A9267" i="28"/>
  <c r="A9268" i="28"/>
  <c r="A9269" i="28"/>
  <c r="A9270" i="28"/>
  <c r="A9271" i="28"/>
  <c r="A9272" i="28"/>
  <c r="A9273" i="28"/>
  <c r="A9274" i="28"/>
  <c r="A9275" i="28"/>
  <c r="A9276" i="28"/>
  <c r="A9277" i="28"/>
  <c r="A9278" i="28"/>
  <c r="A9279" i="28"/>
  <c r="A9280" i="28"/>
  <c r="A9281" i="28"/>
  <c r="A9282" i="28"/>
  <c r="A9283" i="28"/>
  <c r="A9284" i="28"/>
  <c r="A9285" i="28"/>
  <c r="A9286" i="28"/>
  <c r="A9287" i="28"/>
  <c r="A9288" i="28"/>
  <c r="A9289" i="28"/>
  <c r="A9290" i="28"/>
  <c r="A9291" i="28"/>
  <c r="A9292" i="28"/>
  <c r="A9293" i="28"/>
  <c r="A9294" i="28"/>
  <c r="A9295" i="28"/>
  <c r="A9296" i="28"/>
  <c r="A9297" i="28"/>
  <c r="A9298" i="28"/>
  <c r="A9299" i="28"/>
  <c r="A9300" i="28"/>
  <c r="A9301" i="28"/>
  <c r="A9302" i="28"/>
  <c r="A9303" i="28"/>
  <c r="A9304" i="28"/>
  <c r="A9305" i="28"/>
  <c r="A9306" i="28"/>
  <c r="A9307" i="28"/>
  <c r="A9308" i="28"/>
  <c r="A9309" i="28"/>
  <c r="A9310" i="28"/>
  <c r="A9311" i="28"/>
  <c r="A9312" i="28"/>
  <c r="A9313" i="28"/>
  <c r="A9314" i="28"/>
  <c r="A9315" i="28"/>
  <c r="A9316" i="28"/>
  <c r="A9317" i="28"/>
  <c r="A9318" i="28"/>
  <c r="A9319" i="28"/>
  <c r="A9320" i="28"/>
  <c r="A9321" i="28"/>
  <c r="A9322" i="28"/>
  <c r="A9323" i="28"/>
  <c r="A9324" i="28"/>
  <c r="A9325" i="28"/>
  <c r="A9326" i="28"/>
  <c r="A9327" i="28"/>
  <c r="A9328" i="28"/>
  <c r="A9329" i="28"/>
  <c r="A9330" i="28"/>
  <c r="A9331" i="28"/>
  <c r="A9332" i="28"/>
  <c r="A9333" i="28"/>
  <c r="A9334" i="28"/>
  <c r="A9335" i="28"/>
  <c r="A9336" i="28"/>
  <c r="A9337" i="28"/>
  <c r="A9338" i="28"/>
  <c r="A9339" i="28"/>
  <c r="A9340" i="28"/>
  <c r="A9341" i="28"/>
  <c r="A9342" i="28"/>
  <c r="A9343" i="28"/>
  <c r="A9344" i="28"/>
  <c r="A9345" i="28"/>
  <c r="A9346" i="28"/>
  <c r="A9347" i="28"/>
  <c r="A9348" i="28"/>
  <c r="A9349" i="28"/>
  <c r="A9350" i="28"/>
  <c r="A9351" i="28"/>
  <c r="A9352" i="28"/>
  <c r="A9353" i="28"/>
  <c r="A9354" i="28"/>
  <c r="A9355" i="28"/>
  <c r="A9356" i="28"/>
  <c r="A9357" i="28"/>
  <c r="A9358" i="28"/>
  <c r="A9359" i="28"/>
  <c r="A9360" i="28"/>
  <c r="A9361" i="28"/>
  <c r="A9362" i="28"/>
  <c r="A9363" i="28"/>
  <c r="A9364" i="28"/>
  <c r="A9365" i="28"/>
  <c r="A9366" i="28"/>
  <c r="A9367" i="28"/>
  <c r="A9368" i="28"/>
  <c r="A9369" i="28"/>
  <c r="A9370" i="28"/>
  <c r="A9371" i="28"/>
  <c r="A9372" i="28"/>
  <c r="A9373" i="28"/>
  <c r="A9374" i="28"/>
  <c r="A9375" i="28"/>
  <c r="A9376" i="28"/>
  <c r="A9377" i="28"/>
  <c r="A9378" i="28"/>
  <c r="A9379" i="28"/>
  <c r="A9380" i="28"/>
  <c r="A9381" i="28"/>
  <c r="A9382" i="28"/>
  <c r="A9383" i="28"/>
  <c r="A9384" i="28"/>
  <c r="A9385" i="28"/>
  <c r="A9386" i="28"/>
  <c r="A9387" i="28"/>
  <c r="A9388" i="28"/>
  <c r="A9389" i="28"/>
  <c r="A9390" i="28"/>
  <c r="A9391" i="28"/>
  <c r="A9392" i="28"/>
  <c r="A9393" i="28"/>
  <c r="A9394" i="28"/>
  <c r="A9395" i="28"/>
  <c r="A9396" i="28"/>
  <c r="A9397" i="28"/>
  <c r="A9398" i="28"/>
  <c r="A9399" i="28"/>
  <c r="A9400" i="28"/>
  <c r="A9401" i="28"/>
  <c r="A9402" i="28"/>
  <c r="A9403" i="28"/>
  <c r="A9404" i="28"/>
  <c r="A9405" i="28"/>
  <c r="A9406" i="28"/>
  <c r="A9407" i="28"/>
  <c r="A9408" i="28"/>
  <c r="A9409" i="28"/>
  <c r="A9410" i="28"/>
  <c r="A9411" i="28"/>
  <c r="A9412" i="28"/>
  <c r="A9413" i="28"/>
  <c r="A9414" i="28"/>
  <c r="A9415" i="28"/>
  <c r="A9416" i="28"/>
  <c r="A9417" i="28"/>
  <c r="A9418" i="28"/>
  <c r="A9419" i="28"/>
  <c r="A9420" i="28"/>
  <c r="A9421" i="28"/>
  <c r="A9422" i="28"/>
  <c r="A9423" i="28"/>
  <c r="A9424" i="28"/>
  <c r="A9425" i="28"/>
  <c r="A9426" i="28"/>
  <c r="A9427" i="28"/>
  <c r="A9428" i="28"/>
  <c r="A9429" i="28"/>
  <c r="A9430" i="28"/>
  <c r="A9431" i="28"/>
  <c r="A9432" i="28"/>
  <c r="A9433" i="28"/>
  <c r="A9434" i="28"/>
  <c r="A9435" i="28"/>
  <c r="A9436" i="28"/>
  <c r="A9437" i="28"/>
  <c r="A9438" i="28"/>
  <c r="A9439" i="28"/>
  <c r="A9440" i="28"/>
  <c r="A9441" i="28"/>
  <c r="A9442" i="28"/>
  <c r="A9443" i="28"/>
  <c r="A9444" i="28"/>
  <c r="A9445" i="28"/>
  <c r="A9446" i="28"/>
  <c r="A9447" i="28"/>
  <c r="A9448" i="28"/>
  <c r="A9449" i="28"/>
  <c r="A9450" i="28"/>
  <c r="A9451" i="28"/>
  <c r="A9452" i="28"/>
  <c r="A9453" i="28"/>
  <c r="A9454" i="28"/>
  <c r="A9455" i="28"/>
  <c r="A9456" i="28"/>
  <c r="A9457" i="28"/>
  <c r="A9458" i="28"/>
  <c r="A9459" i="28"/>
  <c r="A9460" i="28"/>
  <c r="A9461" i="28"/>
  <c r="A9462" i="28"/>
  <c r="A9463" i="28"/>
  <c r="A9464" i="28"/>
  <c r="A9465" i="28"/>
  <c r="A9466" i="28"/>
  <c r="A9467" i="28"/>
  <c r="A9468" i="28"/>
  <c r="A9469" i="28"/>
  <c r="A9470" i="28"/>
  <c r="A9471" i="28"/>
  <c r="A9472" i="28"/>
  <c r="A9473" i="28"/>
  <c r="A9474" i="28"/>
  <c r="A9475" i="28"/>
  <c r="A9476" i="28"/>
  <c r="A9477" i="28"/>
  <c r="A9478" i="28"/>
  <c r="A9479" i="28"/>
  <c r="A9480" i="28"/>
  <c r="A9481" i="28"/>
  <c r="A9482" i="28"/>
  <c r="A9483" i="28"/>
  <c r="A9484" i="28"/>
  <c r="A9485" i="28"/>
  <c r="A9486" i="28"/>
  <c r="A9487" i="28"/>
  <c r="A9488" i="28"/>
  <c r="A9489" i="28"/>
  <c r="A9490" i="28"/>
  <c r="A9491" i="28"/>
  <c r="A9492" i="28"/>
  <c r="A9493" i="28"/>
  <c r="A9494" i="28"/>
  <c r="A9495" i="28"/>
  <c r="A9496" i="28"/>
  <c r="A9497" i="28"/>
  <c r="A9498" i="28"/>
  <c r="A9499" i="28"/>
  <c r="A9500" i="28"/>
  <c r="A9501" i="28"/>
  <c r="A9502" i="28"/>
  <c r="A9503" i="28"/>
  <c r="A9504" i="28"/>
  <c r="A9505" i="28"/>
  <c r="A9506" i="28"/>
  <c r="A9507" i="28"/>
  <c r="A9508" i="28"/>
  <c r="A9509" i="28"/>
  <c r="A9510" i="28"/>
  <c r="A9511" i="28"/>
  <c r="A9512" i="28"/>
  <c r="A9513" i="28"/>
  <c r="A9514" i="28"/>
  <c r="A9515" i="28"/>
  <c r="A9516" i="28"/>
  <c r="A9517" i="28"/>
  <c r="A9518" i="28"/>
  <c r="A9519" i="28"/>
  <c r="A9520" i="28"/>
  <c r="A9521" i="28"/>
  <c r="A9522" i="28"/>
  <c r="A9523" i="28"/>
  <c r="A9524" i="28"/>
  <c r="A9525" i="28"/>
  <c r="A9526" i="28"/>
  <c r="A9527" i="28"/>
  <c r="A9528" i="28"/>
  <c r="A9529" i="28"/>
  <c r="A9530" i="28"/>
  <c r="A9531" i="28"/>
  <c r="A9532" i="28"/>
  <c r="A9533" i="28"/>
  <c r="A9534" i="28"/>
  <c r="A9535" i="28"/>
  <c r="A9536" i="28"/>
  <c r="A9537" i="28"/>
  <c r="A9538" i="28"/>
  <c r="A9539" i="28"/>
  <c r="A9540" i="28"/>
  <c r="A9541" i="28"/>
  <c r="A9542" i="28"/>
  <c r="A9543" i="28"/>
  <c r="A9544" i="28"/>
  <c r="A9545" i="28"/>
  <c r="A9546" i="28"/>
  <c r="A9547" i="28"/>
  <c r="A9548" i="28"/>
  <c r="A9549" i="28"/>
  <c r="A9550" i="28"/>
  <c r="A9551" i="28"/>
  <c r="A9552" i="28"/>
  <c r="A9553" i="28"/>
  <c r="A9554" i="28"/>
  <c r="A9555" i="28"/>
  <c r="A9556" i="28"/>
  <c r="A9557" i="28"/>
  <c r="A9558" i="28"/>
  <c r="A9559" i="28"/>
  <c r="A9560" i="28"/>
  <c r="A9561" i="28"/>
  <c r="A9562" i="28"/>
  <c r="A9563" i="28"/>
  <c r="A9564" i="28"/>
  <c r="A9565" i="28"/>
  <c r="A9566" i="28"/>
  <c r="A9567" i="28"/>
  <c r="A9568" i="28"/>
  <c r="A9569" i="28"/>
  <c r="A9570" i="28"/>
  <c r="A9571" i="28"/>
  <c r="A9572" i="28"/>
  <c r="A9573" i="28"/>
  <c r="A9574" i="28"/>
  <c r="A9575" i="28"/>
  <c r="A9576" i="28"/>
  <c r="A9577" i="28"/>
  <c r="A9578" i="28"/>
  <c r="A9579" i="28"/>
  <c r="A9580" i="28"/>
  <c r="A9581" i="28"/>
  <c r="A9582" i="28"/>
  <c r="A9583" i="28"/>
  <c r="A9584" i="28"/>
  <c r="A9585" i="28"/>
  <c r="A9586" i="28"/>
  <c r="A9587" i="28"/>
  <c r="A9588" i="28"/>
  <c r="A9589" i="28"/>
  <c r="A9590" i="28"/>
  <c r="A9591" i="28"/>
  <c r="A9592" i="28"/>
  <c r="A9593" i="28"/>
  <c r="A9594" i="28"/>
  <c r="A9595" i="28"/>
  <c r="A9596" i="28"/>
  <c r="A9597" i="28"/>
  <c r="A9598" i="28"/>
  <c r="A9599" i="28"/>
  <c r="A9600" i="28"/>
  <c r="A9601" i="28"/>
  <c r="A9602" i="28"/>
  <c r="A9603" i="28"/>
  <c r="A9604" i="28"/>
  <c r="A9605" i="28"/>
  <c r="A9606" i="28"/>
  <c r="A9607" i="28"/>
  <c r="A9608" i="28"/>
  <c r="A9609" i="28"/>
  <c r="A9610" i="28"/>
  <c r="A9611" i="28"/>
  <c r="A9612" i="28"/>
  <c r="A9613" i="28"/>
  <c r="A9614" i="28"/>
  <c r="A9615" i="28"/>
  <c r="A9616" i="28"/>
  <c r="A9617" i="28"/>
  <c r="A9618" i="28"/>
  <c r="A9619" i="28"/>
  <c r="A9620" i="28"/>
  <c r="A9621" i="28"/>
  <c r="A9622" i="28"/>
  <c r="A9623" i="28"/>
  <c r="A9624" i="28"/>
  <c r="A9625" i="28"/>
  <c r="A9626" i="28"/>
  <c r="A9627" i="28"/>
  <c r="A9628" i="28"/>
  <c r="A9629" i="28"/>
  <c r="A9630" i="28"/>
  <c r="A9631" i="28"/>
  <c r="A9632" i="28"/>
  <c r="A9633" i="28"/>
  <c r="A9634" i="28"/>
  <c r="A9635" i="28"/>
  <c r="A9636" i="28"/>
  <c r="A9637" i="28"/>
  <c r="A9638" i="28"/>
  <c r="A9639" i="28"/>
  <c r="A9640" i="28"/>
  <c r="A9641" i="28"/>
  <c r="A9642" i="28"/>
  <c r="A9643" i="28"/>
  <c r="A9644" i="28"/>
  <c r="A9645" i="28"/>
  <c r="A9646" i="28"/>
  <c r="A9647" i="28"/>
  <c r="A9648" i="28"/>
  <c r="A9649" i="28"/>
  <c r="A9650" i="28"/>
  <c r="A9651" i="28"/>
  <c r="A9652" i="28"/>
  <c r="A9653" i="28"/>
  <c r="A9654" i="28"/>
  <c r="A9655" i="28"/>
  <c r="A9656" i="28"/>
  <c r="A9657" i="28"/>
  <c r="A9658" i="28"/>
  <c r="A9659" i="28"/>
  <c r="A9660" i="28"/>
  <c r="A9661" i="28"/>
  <c r="A9662" i="28"/>
  <c r="A9663" i="28"/>
  <c r="A9664" i="28"/>
  <c r="A9665" i="28"/>
  <c r="A9666" i="28"/>
  <c r="A9667" i="28"/>
  <c r="A9668" i="28"/>
  <c r="A9669" i="28"/>
  <c r="A9670" i="28"/>
  <c r="A9671" i="28"/>
  <c r="A9672" i="28"/>
  <c r="A9673" i="28"/>
  <c r="A9674" i="28"/>
  <c r="A9675" i="28"/>
  <c r="A9676" i="28"/>
  <c r="A9677" i="28"/>
  <c r="A9678" i="28"/>
  <c r="A9679" i="28"/>
  <c r="A9680" i="28"/>
  <c r="A9681" i="28"/>
  <c r="A9682" i="28"/>
  <c r="A9683" i="28"/>
  <c r="A9684" i="28"/>
  <c r="A9685" i="28"/>
  <c r="A9686" i="28"/>
  <c r="A9687" i="28"/>
  <c r="A9688" i="28"/>
  <c r="A9689" i="28"/>
  <c r="A9690" i="28"/>
  <c r="A9691" i="28"/>
  <c r="A9692" i="28"/>
  <c r="A9693" i="28"/>
  <c r="A9694" i="28"/>
  <c r="A9695" i="28"/>
  <c r="A9696" i="28"/>
  <c r="A9697" i="28"/>
  <c r="A9698" i="28"/>
  <c r="A9699" i="28"/>
  <c r="A9700" i="28"/>
  <c r="A9701" i="28"/>
  <c r="A9702" i="28"/>
  <c r="A9703" i="28"/>
  <c r="A9704" i="28"/>
  <c r="A9705" i="28"/>
  <c r="A9706" i="28"/>
  <c r="A9707" i="28"/>
  <c r="A9708" i="28"/>
  <c r="A9709" i="28"/>
  <c r="A9710" i="28"/>
  <c r="A9711" i="28"/>
  <c r="A9712" i="28"/>
  <c r="A9713" i="28"/>
  <c r="A9714" i="28"/>
  <c r="A9715" i="28"/>
  <c r="A9716" i="28"/>
  <c r="A9717" i="28"/>
  <c r="A9718" i="28"/>
  <c r="A9719" i="28"/>
  <c r="A9720" i="28"/>
  <c r="A9721" i="28"/>
  <c r="A9722" i="28"/>
  <c r="A9723" i="28"/>
  <c r="A9724" i="28"/>
  <c r="A9725" i="28"/>
  <c r="A9726" i="28"/>
  <c r="A9727" i="28"/>
  <c r="A9728" i="28"/>
  <c r="A9729" i="28"/>
  <c r="A9730" i="28"/>
  <c r="A9731" i="28"/>
  <c r="A9732" i="28"/>
  <c r="A9733" i="28"/>
  <c r="A9734" i="28"/>
  <c r="A9735" i="28"/>
  <c r="A9736" i="28"/>
  <c r="A9737" i="28"/>
  <c r="A9738" i="28"/>
  <c r="A9739" i="28"/>
  <c r="A9740" i="28"/>
  <c r="A9741" i="28"/>
  <c r="A9742" i="28"/>
  <c r="A9743" i="28"/>
  <c r="A9744" i="28"/>
  <c r="A9745" i="28"/>
  <c r="A9746" i="28"/>
  <c r="A9747" i="28"/>
  <c r="A9748" i="28"/>
  <c r="A9749" i="28"/>
  <c r="A9750" i="28"/>
  <c r="A9751" i="28"/>
  <c r="A9752" i="28"/>
  <c r="A9753" i="28"/>
  <c r="A9754" i="28"/>
  <c r="A9755" i="28"/>
  <c r="A9756" i="28"/>
  <c r="A9757" i="28"/>
  <c r="A9758" i="28"/>
  <c r="A9759" i="28"/>
  <c r="A9760" i="28"/>
  <c r="A9761" i="28"/>
  <c r="A9762" i="28"/>
  <c r="A9763" i="28"/>
  <c r="A9764" i="28"/>
  <c r="A9765" i="28"/>
  <c r="A9766" i="28"/>
  <c r="A9767" i="28"/>
  <c r="A9768" i="28"/>
  <c r="A9769" i="28"/>
  <c r="A9770" i="28"/>
  <c r="A9771" i="28"/>
  <c r="A9772" i="28"/>
  <c r="A9773" i="28"/>
  <c r="A9774" i="28"/>
  <c r="A9775" i="28"/>
  <c r="A9776" i="28"/>
  <c r="A9777" i="28"/>
  <c r="A9778" i="28"/>
  <c r="A9779" i="28"/>
  <c r="A9780" i="28"/>
  <c r="A9781" i="28"/>
  <c r="A9782" i="28"/>
  <c r="A9783" i="28"/>
  <c r="A9784" i="28"/>
  <c r="A9785" i="28"/>
  <c r="A9786" i="28"/>
  <c r="A9787" i="28"/>
  <c r="A9788" i="28"/>
  <c r="A9789" i="28"/>
  <c r="A9790" i="28"/>
  <c r="A9791" i="28"/>
  <c r="A9792" i="28"/>
  <c r="A9793" i="28"/>
  <c r="A9794" i="28"/>
  <c r="A9795" i="28"/>
  <c r="A9796" i="28"/>
  <c r="A9797" i="28"/>
  <c r="A9798" i="28"/>
  <c r="A9799" i="28"/>
  <c r="A9800" i="28"/>
  <c r="A9801" i="28"/>
  <c r="A9802" i="28"/>
  <c r="A9803" i="28"/>
  <c r="A9804" i="28"/>
  <c r="A9805" i="28"/>
  <c r="A9806" i="28"/>
  <c r="A9807" i="28"/>
  <c r="A9808" i="28"/>
  <c r="A9809" i="28"/>
  <c r="A9810" i="28"/>
  <c r="A9811" i="28"/>
  <c r="A9812" i="28"/>
  <c r="A9813" i="28"/>
  <c r="A9814" i="28"/>
  <c r="A9815" i="28"/>
  <c r="A9816" i="28"/>
  <c r="A9817" i="28"/>
  <c r="A9818" i="28"/>
  <c r="A9819" i="28"/>
  <c r="A9820" i="28"/>
  <c r="A9821" i="28"/>
  <c r="A9822" i="28"/>
  <c r="A9823" i="28"/>
  <c r="A9824" i="28"/>
  <c r="A9825" i="28"/>
  <c r="A9826" i="28"/>
  <c r="A9827" i="28"/>
  <c r="A9828" i="28"/>
  <c r="A9829" i="28"/>
  <c r="A9830" i="28"/>
  <c r="A9831" i="28"/>
  <c r="A9832" i="28"/>
  <c r="A9833" i="28"/>
  <c r="A9834" i="28"/>
  <c r="A9835" i="28"/>
  <c r="A9836" i="28"/>
  <c r="A9837" i="28"/>
  <c r="A9838" i="28"/>
  <c r="A9839" i="28"/>
  <c r="A9840" i="28"/>
  <c r="A9841" i="28"/>
  <c r="A9842" i="28"/>
  <c r="A9843" i="28"/>
  <c r="A9844" i="28"/>
  <c r="A9845" i="28"/>
  <c r="A9846" i="28"/>
  <c r="A9847" i="28"/>
  <c r="A9848" i="28"/>
  <c r="A9849" i="28"/>
  <c r="A9850" i="28"/>
  <c r="A9851" i="28"/>
  <c r="A9852" i="28"/>
  <c r="A9853" i="28"/>
  <c r="A9854" i="28"/>
  <c r="A9855" i="28"/>
  <c r="A9856" i="28"/>
  <c r="A9857" i="28"/>
  <c r="A9858" i="28"/>
  <c r="A9859" i="28"/>
  <c r="A9860" i="28"/>
  <c r="A9861" i="28"/>
  <c r="A9862" i="28"/>
  <c r="A9863" i="28"/>
  <c r="A9864" i="28"/>
  <c r="A9865" i="28"/>
  <c r="A9866" i="28"/>
  <c r="A9867" i="28"/>
  <c r="A9868" i="28"/>
  <c r="A9869" i="28"/>
  <c r="A9870" i="28"/>
  <c r="A9871" i="28"/>
  <c r="A9872" i="28"/>
  <c r="A9873" i="28"/>
  <c r="A9874" i="28"/>
  <c r="A9875" i="28"/>
  <c r="A9876" i="28"/>
  <c r="A9877" i="28"/>
  <c r="A9878" i="28"/>
  <c r="A9879" i="28"/>
  <c r="A9880" i="28"/>
  <c r="A9881" i="28"/>
  <c r="A9882" i="28"/>
  <c r="A9883" i="28"/>
  <c r="A9884" i="28"/>
  <c r="A9885" i="28"/>
  <c r="A9886" i="28"/>
  <c r="A9887" i="28"/>
  <c r="A9888" i="28"/>
  <c r="A9889" i="28"/>
  <c r="A9890" i="28"/>
  <c r="A9891" i="28"/>
  <c r="A9892" i="28"/>
  <c r="A9893" i="28"/>
  <c r="A9894" i="28"/>
  <c r="A9895" i="28"/>
  <c r="A9896" i="28"/>
  <c r="A9897" i="28"/>
  <c r="A9898" i="28"/>
  <c r="A9899" i="28"/>
  <c r="A9900" i="28"/>
  <c r="A9901" i="28"/>
  <c r="A9902" i="28"/>
  <c r="A9903" i="28"/>
  <c r="A9904" i="28"/>
  <c r="A9905" i="28"/>
  <c r="A9906" i="28"/>
  <c r="A9907" i="28"/>
  <c r="A9908" i="28"/>
  <c r="A9909" i="28"/>
  <c r="A9910" i="28"/>
  <c r="A9911" i="28"/>
  <c r="A9912" i="28"/>
  <c r="A9913" i="28"/>
  <c r="A9914" i="28"/>
  <c r="A9915" i="28"/>
  <c r="A9916" i="28"/>
  <c r="A9917" i="28"/>
  <c r="A9918" i="28"/>
  <c r="A9919" i="28"/>
  <c r="A9920" i="28"/>
  <c r="A9921" i="28"/>
  <c r="A9922" i="28"/>
  <c r="A9923" i="28"/>
  <c r="A9924" i="28"/>
  <c r="A9925" i="28"/>
  <c r="A9926" i="28"/>
  <c r="A9927" i="28"/>
  <c r="A9928" i="28"/>
  <c r="A9929" i="28"/>
  <c r="A9930" i="28"/>
  <c r="A9931" i="28"/>
  <c r="A9932" i="28"/>
  <c r="A9933" i="28"/>
  <c r="A9934" i="28"/>
  <c r="A9935" i="28"/>
  <c r="A9936" i="28"/>
  <c r="A9937" i="28"/>
  <c r="A9938" i="28"/>
  <c r="A9939" i="28"/>
  <c r="A9940" i="28"/>
  <c r="A9941" i="28"/>
  <c r="A9942" i="28"/>
  <c r="A9943" i="28"/>
  <c r="A9944" i="28"/>
  <c r="A9945" i="28"/>
  <c r="A9946" i="28"/>
  <c r="A9947" i="28"/>
  <c r="A9948" i="28"/>
  <c r="A9949" i="28"/>
  <c r="A9950" i="28"/>
  <c r="A9951" i="28"/>
  <c r="A9952" i="28"/>
  <c r="A9953" i="28"/>
  <c r="A9954" i="28"/>
  <c r="A9955" i="28"/>
  <c r="A9956" i="28"/>
  <c r="A9957" i="28"/>
  <c r="A9958" i="28"/>
  <c r="A9959" i="28"/>
  <c r="A9960" i="28"/>
  <c r="A9961" i="28"/>
  <c r="A9962" i="28"/>
  <c r="A9963" i="28"/>
  <c r="A9964" i="28"/>
  <c r="A9965" i="28"/>
  <c r="A9966" i="28"/>
  <c r="A9967" i="28"/>
  <c r="A9968" i="28"/>
  <c r="A9969" i="28"/>
  <c r="A9970" i="28"/>
  <c r="A9971" i="28"/>
  <c r="A9972" i="28"/>
  <c r="A9973" i="28"/>
  <c r="A9974" i="28"/>
  <c r="A9975" i="28"/>
  <c r="A9976" i="28"/>
  <c r="A9977" i="28"/>
  <c r="A9978" i="28"/>
  <c r="A9979" i="28"/>
  <c r="A9980" i="28"/>
  <c r="A9981" i="28"/>
  <c r="A9982" i="28"/>
  <c r="A9983" i="28"/>
  <c r="A9984" i="28"/>
  <c r="A9985" i="28"/>
  <c r="A9986" i="28"/>
  <c r="A9987" i="28"/>
  <c r="A9988" i="28"/>
  <c r="A9989" i="28"/>
  <c r="A9990" i="28"/>
  <c r="A9991" i="28"/>
  <c r="A9992" i="28"/>
  <c r="A9993" i="28"/>
  <c r="A9994" i="28"/>
  <c r="A9995" i="28"/>
  <c r="A9996" i="28"/>
  <c r="A9997" i="28"/>
  <c r="A9998" i="28"/>
  <c r="A9999" i="28"/>
  <c r="A10000" i="28"/>
  <c r="A10001" i="28"/>
  <c r="A10002" i="28"/>
  <c r="A10003" i="28"/>
  <c r="A10004" i="28"/>
  <c r="A10005" i="28"/>
  <c r="A10006" i="28"/>
  <c r="A10007" i="28"/>
  <c r="A10008" i="28"/>
  <c r="A10009" i="28"/>
  <c r="A10010" i="28"/>
  <c r="A10011" i="28"/>
  <c r="A10012" i="28"/>
  <c r="A10013" i="28"/>
  <c r="A10014" i="28"/>
  <c r="A10015" i="28"/>
  <c r="A10016" i="28"/>
  <c r="A10017" i="28"/>
  <c r="A10018" i="28"/>
  <c r="A10019" i="28"/>
  <c r="A10020" i="28"/>
  <c r="A10021" i="28"/>
  <c r="A10022" i="28"/>
  <c r="A10023" i="28"/>
  <c r="A10024" i="28"/>
  <c r="A10025" i="28"/>
  <c r="A10026" i="28"/>
  <c r="A10027" i="28"/>
  <c r="A10028" i="28"/>
  <c r="A10029" i="28"/>
  <c r="A10030" i="28"/>
  <c r="A10031" i="28"/>
  <c r="A10032" i="28"/>
  <c r="A10033" i="28"/>
  <c r="A10034" i="28"/>
  <c r="A10035" i="28"/>
  <c r="A10036" i="28"/>
  <c r="A10037" i="28"/>
  <c r="A10038" i="28"/>
  <c r="A10039" i="28"/>
  <c r="A10040" i="28"/>
  <c r="A10041" i="28"/>
  <c r="A10042" i="28"/>
  <c r="A10043" i="28"/>
  <c r="A10044" i="28"/>
  <c r="A10045" i="28"/>
  <c r="A10046" i="28"/>
  <c r="A10047" i="28"/>
  <c r="A10048" i="28"/>
  <c r="A10049" i="28"/>
  <c r="A10050" i="28"/>
  <c r="A10051" i="28"/>
  <c r="A10052" i="28"/>
  <c r="A10053" i="28"/>
  <c r="A10054" i="28"/>
  <c r="A10055" i="28"/>
  <c r="A10056" i="28"/>
  <c r="A10057" i="28"/>
  <c r="A10058" i="28"/>
  <c r="A10059" i="28"/>
  <c r="A10060" i="28"/>
  <c r="A10061" i="28"/>
  <c r="A10062" i="28"/>
  <c r="A10063" i="28"/>
  <c r="A10064" i="28"/>
  <c r="A10065" i="28"/>
  <c r="A10066" i="28"/>
  <c r="A10067" i="28"/>
  <c r="A10068" i="28"/>
  <c r="A10069" i="28"/>
  <c r="A10070" i="28"/>
  <c r="A10071" i="28"/>
  <c r="A10072" i="28"/>
  <c r="A10073" i="28"/>
  <c r="A10074" i="28"/>
  <c r="A10075" i="28"/>
  <c r="A10076" i="28"/>
  <c r="A10077" i="28"/>
  <c r="A10078" i="28"/>
  <c r="A10079" i="28"/>
  <c r="A10080" i="28"/>
  <c r="A10081" i="28"/>
  <c r="A10082" i="28"/>
  <c r="A10083" i="28"/>
  <c r="A10084" i="28"/>
  <c r="A10085" i="28"/>
  <c r="A10086" i="28"/>
  <c r="A10087" i="28"/>
  <c r="A10088" i="28"/>
  <c r="A10089" i="28"/>
  <c r="A10090" i="28"/>
  <c r="A10091" i="28"/>
  <c r="A10092" i="28"/>
  <c r="A10093" i="28"/>
  <c r="A10094" i="28"/>
  <c r="A10095" i="28"/>
  <c r="A10096" i="28"/>
  <c r="A10097" i="28"/>
  <c r="A10098" i="28"/>
  <c r="A10099" i="28"/>
  <c r="A10100" i="28"/>
  <c r="A10101" i="28"/>
  <c r="A10102" i="28"/>
  <c r="A10103" i="28"/>
  <c r="A10104" i="28"/>
  <c r="A10105" i="28"/>
  <c r="A10106" i="28"/>
  <c r="A10107" i="28"/>
  <c r="A10108" i="28"/>
  <c r="A10109" i="28"/>
  <c r="A10110" i="28"/>
  <c r="A10111" i="28"/>
  <c r="A10112" i="28"/>
  <c r="A10113" i="28"/>
  <c r="A10114" i="28"/>
  <c r="A10115" i="28"/>
  <c r="A10116" i="28"/>
  <c r="A10117" i="28"/>
  <c r="A10118" i="28"/>
  <c r="A10119" i="28"/>
  <c r="A10120" i="28"/>
  <c r="A10121" i="28"/>
  <c r="A10122" i="28"/>
  <c r="A10123" i="28"/>
  <c r="A10124" i="28"/>
  <c r="A10125" i="28"/>
  <c r="A10126" i="28"/>
  <c r="A10127" i="28"/>
  <c r="A10128" i="28"/>
  <c r="A10129" i="28"/>
  <c r="A10130" i="28"/>
  <c r="A10131" i="28"/>
  <c r="A10132" i="28"/>
  <c r="A10133" i="28"/>
  <c r="A10134" i="28"/>
  <c r="A10135" i="28"/>
  <c r="A10136" i="28"/>
  <c r="A10137" i="28"/>
  <c r="A10138" i="28"/>
  <c r="A10139" i="28"/>
  <c r="A10140" i="28"/>
  <c r="A10141" i="28"/>
  <c r="A10142" i="28"/>
  <c r="A10143" i="28"/>
  <c r="A10144" i="28"/>
  <c r="A10145" i="28"/>
  <c r="A10146" i="28"/>
  <c r="A10147" i="28"/>
  <c r="A10148" i="28"/>
  <c r="A10149" i="28"/>
  <c r="A10150" i="28"/>
  <c r="A10151" i="28"/>
  <c r="A10152" i="28"/>
  <c r="A10153" i="28"/>
  <c r="A10154" i="28"/>
  <c r="A10155" i="28"/>
  <c r="A10156" i="28"/>
  <c r="A10157" i="28"/>
  <c r="A10158" i="28"/>
  <c r="A10159" i="28"/>
  <c r="A10160" i="28"/>
  <c r="A10161" i="28"/>
  <c r="A10162" i="28"/>
  <c r="A10163" i="28"/>
  <c r="A10164" i="28"/>
  <c r="A10165" i="28"/>
  <c r="A10166" i="28"/>
  <c r="A10167" i="28"/>
  <c r="A10168" i="28"/>
  <c r="A10169" i="28"/>
  <c r="A10170" i="28"/>
  <c r="A10171" i="28"/>
  <c r="A10172" i="28"/>
  <c r="A10173" i="28"/>
  <c r="A10174" i="28"/>
  <c r="A10175" i="28"/>
  <c r="A10176" i="28"/>
  <c r="A10177" i="28"/>
  <c r="A10178" i="28"/>
  <c r="A10179" i="28"/>
  <c r="A10180" i="28"/>
  <c r="A10181" i="28"/>
  <c r="A10182" i="28"/>
  <c r="A10183" i="28"/>
  <c r="A10184" i="28"/>
  <c r="A10185" i="28"/>
  <c r="A10186" i="28"/>
  <c r="A10187" i="28"/>
  <c r="A10188" i="28"/>
  <c r="A10189" i="28"/>
  <c r="A10190" i="28"/>
  <c r="A10191" i="28"/>
  <c r="A10192" i="28"/>
  <c r="A10193" i="28"/>
  <c r="A10194" i="28"/>
  <c r="A10195" i="28"/>
  <c r="A10196" i="28"/>
  <c r="A10197" i="28"/>
  <c r="A10198" i="28"/>
  <c r="A10199" i="28"/>
  <c r="A10200" i="28"/>
  <c r="A10201" i="28"/>
  <c r="A10202" i="28"/>
  <c r="A10203" i="28"/>
  <c r="A10204" i="28"/>
  <c r="A10205" i="28"/>
  <c r="A10206" i="28"/>
  <c r="A10207" i="28"/>
  <c r="A10208" i="28"/>
  <c r="A10209" i="28"/>
  <c r="A10210" i="28"/>
  <c r="A10211" i="28"/>
  <c r="A10212" i="28"/>
  <c r="A10213" i="28"/>
  <c r="A10214" i="28"/>
  <c r="A10215" i="28"/>
  <c r="A10216" i="28"/>
  <c r="A10217" i="28"/>
  <c r="A10218" i="28"/>
  <c r="A10219" i="28"/>
  <c r="A10220" i="28"/>
  <c r="A10221" i="28"/>
  <c r="A10222" i="28"/>
  <c r="A10223" i="28"/>
  <c r="A10224" i="28"/>
  <c r="A10225" i="28"/>
  <c r="A10226" i="28"/>
  <c r="A10227" i="28"/>
  <c r="A10228" i="28"/>
  <c r="A10229" i="28"/>
  <c r="A10230" i="28"/>
  <c r="A10231" i="28"/>
  <c r="A10232" i="28"/>
  <c r="A10233" i="28"/>
  <c r="A10234" i="28"/>
  <c r="A10235" i="28"/>
  <c r="A10236" i="28"/>
  <c r="A10237" i="28"/>
  <c r="A10238" i="28"/>
  <c r="A10239" i="28"/>
  <c r="A10240" i="28"/>
  <c r="A10241" i="28"/>
  <c r="A10242" i="28"/>
  <c r="A10243" i="28"/>
  <c r="A10244" i="28"/>
  <c r="A10245" i="28"/>
  <c r="A10246" i="28"/>
  <c r="A10247" i="28"/>
  <c r="A10248" i="28"/>
  <c r="A10249" i="28"/>
  <c r="A10250" i="28"/>
  <c r="A10251" i="28"/>
  <c r="A10252" i="28"/>
  <c r="A10253" i="28"/>
  <c r="A10254" i="28"/>
  <c r="A10255" i="28"/>
  <c r="A10256" i="28"/>
  <c r="A10257" i="28"/>
  <c r="A10258" i="28"/>
  <c r="A10259" i="28"/>
  <c r="A10260" i="28"/>
  <c r="A10261" i="28"/>
  <c r="A10262" i="28"/>
  <c r="A10263" i="28"/>
  <c r="A10264" i="28"/>
  <c r="A10265" i="28"/>
  <c r="A10266" i="28"/>
  <c r="A10267" i="28"/>
  <c r="A10268" i="28"/>
  <c r="A10269" i="28"/>
  <c r="A10270" i="28"/>
  <c r="A10271" i="28"/>
  <c r="A10272" i="28"/>
  <c r="A10273" i="28"/>
  <c r="A10274" i="28"/>
  <c r="A10275" i="28"/>
  <c r="A10276" i="28"/>
  <c r="A10277" i="28"/>
  <c r="A10278" i="28"/>
  <c r="A10279" i="28"/>
  <c r="A10280" i="28"/>
  <c r="A10281" i="28"/>
  <c r="A10282" i="28"/>
  <c r="A10283" i="28"/>
  <c r="A10284" i="28"/>
  <c r="A10285" i="28"/>
  <c r="A10286" i="28"/>
  <c r="A10287" i="28"/>
  <c r="A10288" i="28"/>
  <c r="A10289" i="28"/>
  <c r="A10290" i="28"/>
  <c r="A10291" i="28"/>
  <c r="A10292" i="28"/>
  <c r="A10293" i="28"/>
  <c r="A10294" i="28"/>
  <c r="A10295" i="28"/>
  <c r="A10296" i="28"/>
  <c r="A10297" i="28"/>
  <c r="A10298" i="28"/>
  <c r="A10299" i="28"/>
  <c r="A10300" i="28"/>
  <c r="A10301" i="28"/>
  <c r="A10302" i="28"/>
  <c r="A10303" i="28"/>
  <c r="A10304" i="28"/>
  <c r="A10305" i="28"/>
  <c r="A10306" i="28"/>
  <c r="A10307" i="28"/>
  <c r="A10308" i="28"/>
  <c r="A10309" i="28"/>
  <c r="A10310" i="28"/>
  <c r="A10311" i="28"/>
  <c r="A10312" i="28"/>
  <c r="A10313" i="28"/>
  <c r="A10314" i="28"/>
  <c r="A10315" i="28"/>
  <c r="A10316" i="28"/>
  <c r="A10317" i="28"/>
  <c r="A10318" i="28"/>
  <c r="A10319" i="28"/>
  <c r="A10320" i="28"/>
  <c r="A10321" i="28"/>
  <c r="A10322" i="28"/>
  <c r="A10323" i="28"/>
  <c r="A10324" i="28"/>
  <c r="A10325" i="28"/>
  <c r="A10326" i="28"/>
  <c r="A10327" i="28"/>
  <c r="A10328" i="28"/>
  <c r="A10329" i="28"/>
  <c r="A10330" i="28"/>
  <c r="A10331" i="28"/>
  <c r="A10332" i="28"/>
  <c r="A10333" i="28"/>
  <c r="A10334" i="28"/>
  <c r="A10335" i="28"/>
  <c r="A10336" i="28"/>
  <c r="A10337" i="28"/>
  <c r="A10338" i="28"/>
  <c r="A10339" i="28"/>
  <c r="A10340" i="28"/>
  <c r="A10341" i="28"/>
  <c r="A10342" i="28"/>
  <c r="A10343" i="28"/>
  <c r="A10344" i="28"/>
  <c r="A10345" i="28"/>
  <c r="A10346" i="28"/>
  <c r="A10347" i="28"/>
  <c r="A10348" i="28"/>
  <c r="A10349" i="28"/>
  <c r="A10350" i="28"/>
  <c r="A10351" i="28"/>
  <c r="A10352" i="28"/>
  <c r="A10353" i="28"/>
  <c r="A10354" i="28"/>
  <c r="A10355" i="28"/>
  <c r="A10356" i="28"/>
  <c r="A10357" i="28"/>
  <c r="A10358" i="28"/>
  <c r="A10359" i="28"/>
  <c r="A10360" i="28"/>
  <c r="A10361" i="28"/>
  <c r="A10362" i="28"/>
  <c r="A10363" i="28"/>
  <c r="A10364" i="28"/>
  <c r="A10365" i="28"/>
  <c r="A10366" i="28"/>
  <c r="A10367" i="28"/>
  <c r="A10368" i="28"/>
  <c r="A10369" i="28"/>
  <c r="A10370" i="28"/>
  <c r="A10371" i="28"/>
  <c r="A10372" i="28"/>
  <c r="A10373" i="28"/>
  <c r="A10374" i="28"/>
  <c r="A10375" i="28"/>
  <c r="A10376" i="28"/>
  <c r="A10377" i="28"/>
  <c r="A10378" i="28"/>
  <c r="A10379" i="28"/>
  <c r="A10380" i="28"/>
  <c r="A10381" i="28"/>
  <c r="A10382" i="28"/>
  <c r="A10383" i="28"/>
  <c r="A10384" i="28"/>
  <c r="A10385" i="28"/>
  <c r="A10386" i="28"/>
  <c r="A10387" i="28"/>
  <c r="A10388" i="28"/>
  <c r="A10389" i="28"/>
  <c r="A10390" i="28"/>
  <c r="A10391" i="28"/>
  <c r="A10392" i="28"/>
  <c r="A10393" i="28"/>
  <c r="A10394" i="28"/>
  <c r="A10395" i="28"/>
  <c r="A10396" i="28"/>
  <c r="A10397" i="28"/>
  <c r="A10398" i="28"/>
  <c r="A10399" i="28"/>
  <c r="A10400" i="28"/>
  <c r="A10401" i="28"/>
  <c r="A10402" i="28"/>
  <c r="A10403" i="28"/>
  <c r="A10404" i="28"/>
  <c r="A10405" i="28"/>
  <c r="A10406" i="28"/>
  <c r="A10407" i="28"/>
  <c r="A10408" i="28"/>
  <c r="A10409" i="28"/>
  <c r="A10410" i="28"/>
  <c r="A10411" i="28"/>
  <c r="A10412" i="28"/>
  <c r="A10413" i="28"/>
  <c r="A10414" i="28"/>
  <c r="A10415" i="28"/>
  <c r="A10416" i="28"/>
  <c r="A10417" i="28"/>
  <c r="A10418" i="28"/>
  <c r="A10419" i="28"/>
  <c r="A10420" i="28"/>
  <c r="A10421" i="28"/>
  <c r="A10422" i="28"/>
  <c r="A10423" i="28"/>
  <c r="A10424" i="28"/>
  <c r="A10425" i="28"/>
  <c r="A10426" i="28"/>
  <c r="A10427" i="28"/>
  <c r="A10428" i="28"/>
  <c r="A10429" i="28"/>
  <c r="A10430" i="28"/>
  <c r="A10431" i="28"/>
  <c r="A10432" i="28"/>
  <c r="A10433" i="28"/>
  <c r="A10434" i="28"/>
  <c r="A10435" i="28"/>
  <c r="A10436" i="28"/>
  <c r="A10437" i="28"/>
  <c r="A10438" i="28"/>
  <c r="A10439" i="28"/>
  <c r="A10440" i="28"/>
  <c r="A10441" i="28"/>
  <c r="A10442" i="28"/>
  <c r="A10443" i="28"/>
  <c r="A10444" i="28"/>
  <c r="A10445" i="28"/>
  <c r="A10446" i="28"/>
  <c r="A10447" i="28"/>
  <c r="A10448" i="28"/>
  <c r="A10449" i="28"/>
  <c r="A10450" i="28"/>
  <c r="A10451" i="28"/>
  <c r="A10452" i="28"/>
  <c r="A10453" i="28"/>
  <c r="A10454" i="28"/>
  <c r="A10455" i="28"/>
  <c r="A10456" i="28"/>
  <c r="A10457" i="28"/>
  <c r="A10458" i="28"/>
  <c r="A10459" i="28"/>
  <c r="A10460" i="28"/>
  <c r="A10461" i="28"/>
  <c r="A10462" i="28"/>
  <c r="A10463" i="28"/>
  <c r="A10464" i="28"/>
  <c r="A10465" i="28"/>
  <c r="A10466" i="28"/>
  <c r="A10467" i="28"/>
  <c r="A10468" i="28"/>
  <c r="A10469" i="28"/>
  <c r="A10470" i="28"/>
  <c r="A10471" i="28"/>
  <c r="A10472" i="28"/>
  <c r="A10473" i="28"/>
  <c r="A10474" i="28"/>
  <c r="A10475" i="28"/>
  <c r="A10476" i="28"/>
  <c r="A10477" i="28"/>
  <c r="A10478" i="28"/>
  <c r="A10479" i="28"/>
  <c r="A10480" i="28"/>
  <c r="A10481" i="28"/>
  <c r="A10482" i="28"/>
  <c r="A10483" i="28"/>
  <c r="A10484" i="28"/>
  <c r="A10485" i="28"/>
  <c r="A10486" i="28"/>
  <c r="A10487" i="28"/>
  <c r="A10488" i="28"/>
  <c r="A10489" i="28"/>
  <c r="A10490" i="28"/>
  <c r="A10491" i="28"/>
  <c r="A10492" i="28"/>
  <c r="A10493" i="28"/>
  <c r="A10494" i="28"/>
  <c r="A10495" i="28"/>
  <c r="A10496" i="28"/>
  <c r="A10497" i="28"/>
  <c r="A10498" i="28"/>
  <c r="A10499" i="28"/>
  <c r="A10500" i="28"/>
  <c r="A10501" i="28"/>
  <c r="A10502" i="28"/>
  <c r="A10503" i="28"/>
  <c r="A10504" i="28"/>
  <c r="A10505" i="28"/>
  <c r="A10506" i="28"/>
  <c r="A10507" i="28"/>
  <c r="A10508" i="28"/>
  <c r="A10509" i="28"/>
  <c r="A10510" i="28"/>
  <c r="A10511" i="28"/>
  <c r="A10512" i="28"/>
  <c r="A10513" i="28"/>
  <c r="A10514" i="28"/>
  <c r="A10515" i="28"/>
  <c r="A10516" i="28"/>
  <c r="A10517" i="28"/>
  <c r="A10518" i="28"/>
  <c r="A10519" i="28"/>
  <c r="A10520" i="28"/>
  <c r="A10521" i="28"/>
  <c r="A10522" i="28"/>
  <c r="A10523" i="28"/>
  <c r="A10524" i="28"/>
  <c r="A10525" i="28"/>
  <c r="A10526" i="28"/>
  <c r="A10527" i="28"/>
  <c r="A10528" i="28"/>
  <c r="A10529" i="28"/>
  <c r="A10530" i="28"/>
  <c r="A10531" i="28"/>
  <c r="A10532" i="28"/>
  <c r="A10533" i="28"/>
  <c r="A10534" i="28"/>
  <c r="A10535" i="28"/>
  <c r="A10536" i="28"/>
  <c r="A10537" i="28"/>
  <c r="A10538" i="28"/>
  <c r="A10539" i="28"/>
  <c r="A10540" i="28"/>
  <c r="A10541" i="28"/>
  <c r="A10542" i="28"/>
  <c r="A10543" i="28"/>
  <c r="A10544" i="28"/>
  <c r="A10545" i="28"/>
  <c r="A10546" i="28"/>
  <c r="A10547" i="28"/>
  <c r="A10548" i="28"/>
  <c r="A10549" i="28"/>
  <c r="A10550" i="28"/>
  <c r="A10551" i="28"/>
  <c r="A10552" i="28"/>
  <c r="A10553" i="28"/>
  <c r="A10554" i="28"/>
  <c r="A10555" i="28"/>
  <c r="A10556" i="28"/>
  <c r="A10557" i="28"/>
  <c r="A10558" i="28"/>
  <c r="A10559" i="28"/>
  <c r="A10560" i="28"/>
  <c r="A10561" i="28"/>
  <c r="A10562" i="28"/>
  <c r="A10563" i="28"/>
  <c r="A10564" i="28"/>
  <c r="A10565" i="28"/>
  <c r="A10566" i="28"/>
  <c r="A10567" i="28"/>
  <c r="A10568" i="28"/>
  <c r="A10569" i="28"/>
  <c r="A10570" i="28"/>
  <c r="A10571" i="28"/>
  <c r="A10572" i="28"/>
  <c r="A10573" i="28"/>
  <c r="A10574" i="28"/>
  <c r="A10575" i="28"/>
  <c r="A10576" i="28"/>
  <c r="A10577" i="28"/>
  <c r="A10578" i="28"/>
  <c r="A10579" i="28"/>
  <c r="A10580" i="28"/>
  <c r="A10581" i="28"/>
  <c r="A10582" i="28"/>
  <c r="A10583" i="28"/>
  <c r="A10584" i="28"/>
  <c r="A10585" i="28"/>
  <c r="A10586" i="28"/>
  <c r="A10587" i="28"/>
  <c r="A10588" i="28"/>
  <c r="A10589" i="28"/>
  <c r="A10590" i="28"/>
  <c r="A10591" i="28"/>
  <c r="A10592" i="28"/>
  <c r="A10593" i="28"/>
  <c r="A10594" i="28"/>
  <c r="A10595" i="28"/>
  <c r="A10596" i="28"/>
  <c r="A10597" i="28"/>
  <c r="A10598" i="28"/>
  <c r="A10599" i="28"/>
  <c r="A10600" i="28"/>
  <c r="A10601" i="28"/>
  <c r="A10602" i="28"/>
  <c r="A10603" i="28"/>
  <c r="A10604" i="28"/>
  <c r="A10605" i="28"/>
  <c r="A10606" i="28"/>
  <c r="A10607" i="28"/>
  <c r="A10608" i="28"/>
  <c r="A10609" i="28"/>
  <c r="A10610" i="28"/>
  <c r="A10611" i="28"/>
  <c r="A10612" i="28"/>
  <c r="A10613" i="28"/>
  <c r="A10614" i="28"/>
  <c r="A10615" i="28"/>
  <c r="A10616" i="28"/>
  <c r="A10617" i="28"/>
  <c r="A10618" i="28"/>
  <c r="A10619" i="28"/>
  <c r="A10620" i="28"/>
  <c r="A10621" i="28"/>
  <c r="A10622" i="28"/>
  <c r="A10623" i="28"/>
  <c r="A10624" i="28"/>
  <c r="A10625" i="28"/>
  <c r="A10626" i="28"/>
  <c r="A10627" i="28"/>
  <c r="A10628" i="28"/>
  <c r="A10629" i="28"/>
  <c r="A10630" i="28"/>
  <c r="A10631" i="28"/>
  <c r="A10632" i="28"/>
  <c r="A10633" i="28"/>
  <c r="A10634" i="28"/>
  <c r="A10635" i="28"/>
  <c r="A10636" i="28"/>
  <c r="A10637" i="28"/>
  <c r="A10638" i="28"/>
  <c r="A10639" i="28"/>
  <c r="A10640" i="28"/>
  <c r="A10641" i="28"/>
  <c r="A10642" i="28"/>
  <c r="A10643" i="28"/>
  <c r="A10644" i="28"/>
  <c r="A10645" i="28"/>
  <c r="A10646" i="28"/>
  <c r="A10647" i="28"/>
  <c r="A10648" i="28"/>
  <c r="A10649" i="28"/>
  <c r="A10650" i="28"/>
  <c r="A10651" i="28"/>
  <c r="A10652" i="28"/>
  <c r="A10653" i="28"/>
  <c r="A10654" i="28"/>
  <c r="A10655" i="28"/>
  <c r="A10656" i="28"/>
  <c r="A10657" i="28"/>
  <c r="A10658" i="28"/>
  <c r="A10659" i="28"/>
  <c r="A10660" i="28"/>
  <c r="A10661" i="28"/>
  <c r="A10662" i="28"/>
  <c r="A10663" i="28"/>
  <c r="A10664" i="28"/>
  <c r="A10665" i="28"/>
  <c r="A10666" i="28"/>
  <c r="A10667" i="28"/>
  <c r="A10668" i="28"/>
  <c r="A10669" i="28"/>
  <c r="A10670" i="28"/>
  <c r="A10671" i="28"/>
  <c r="A10672" i="28"/>
  <c r="A10673" i="28"/>
  <c r="A10674" i="28"/>
  <c r="A10675" i="28"/>
  <c r="A10676" i="28"/>
  <c r="A10677" i="28"/>
  <c r="A10678" i="28"/>
  <c r="A10679" i="28"/>
  <c r="A10680" i="28"/>
  <c r="A10681" i="28"/>
  <c r="A10682" i="28"/>
  <c r="A10683" i="28"/>
  <c r="A10684" i="28"/>
  <c r="A10685" i="28"/>
  <c r="A10686" i="28"/>
  <c r="A10687" i="28"/>
  <c r="A10688" i="28"/>
  <c r="A10689" i="28"/>
  <c r="A10690" i="28"/>
  <c r="A10691" i="28"/>
  <c r="A10692" i="28"/>
  <c r="A10693" i="28"/>
  <c r="A10694" i="28"/>
  <c r="A10695" i="28"/>
  <c r="A10696" i="28"/>
  <c r="A10697" i="28"/>
  <c r="A10698" i="28"/>
  <c r="A10699" i="28"/>
  <c r="A10700" i="28"/>
  <c r="A10701" i="28"/>
  <c r="A10702" i="28"/>
  <c r="A10703" i="28"/>
  <c r="A10704" i="28"/>
  <c r="A10705" i="28"/>
  <c r="A10706" i="28"/>
  <c r="A10707" i="28"/>
  <c r="A10708" i="28"/>
  <c r="A10709" i="28"/>
  <c r="A10710" i="28"/>
  <c r="A10711" i="28"/>
  <c r="A10712" i="28"/>
  <c r="A10713" i="28"/>
  <c r="A10714" i="28"/>
  <c r="A10715" i="28"/>
  <c r="A10716" i="28"/>
  <c r="A10717" i="28"/>
  <c r="A10718" i="28"/>
  <c r="A10719" i="28"/>
  <c r="A10720" i="28"/>
  <c r="A10721" i="28"/>
  <c r="A10722" i="28"/>
  <c r="A10723" i="28"/>
  <c r="A10724" i="28"/>
  <c r="A10725" i="28"/>
  <c r="A10726" i="28"/>
  <c r="A10727" i="28"/>
  <c r="A10728" i="28"/>
  <c r="A10729" i="28"/>
  <c r="A10730" i="28"/>
  <c r="A10731" i="28"/>
  <c r="A10732" i="28"/>
  <c r="A10733" i="28"/>
  <c r="A10734" i="28"/>
  <c r="A10735" i="28"/>
  <c r="A10736" i="28"/>
  <c r="A10737" i="28"/>
  <c r="A10738" i="28"/>
  <c r="A10739" i="28"/>
  <c r="A10740" i="28"/>
  <c r="A10741" i="28"/>
  <c r="A10742" i="28"/>
  <c r="A10743" i="28"/>
  <c r="A10744" i="28"/>
  <c r="A10745" i="28"/>
  <c r="A10746" i="28"/>
  <c r="A10747" i="28"/>
  <c r="A10748" i="28"/>
  <c r="A10749" i="28"/>
  <c r="A10750" i="28"/>
  <c r="A10751" i="28"/>
  <c r="A10752" i="28"/>
  <c r="A10753" i="28"/>
  <c r="A10754" i="28"/>
  <c r="A10755" i="28"/>
  <c r="A10756" i="28"/>
  <c r="A10757" i="28"/>
  <c r="A10758" i="28"/>
  <c r="A10759" i="28"/>
  <c r="A10760" i="28"/>
  <c r="A10761" i="28"/>
  <c r="A10762" i="28"/>
  <c r="A10763" i="28"/>
  <c r="A10764" i="28"/>
  <c r="A10765" i="28"/>
  <c r="A10766" i="28"/>
  <c r="A10767" i="28"/>
  <c r="A10768" i="28"/>
  <c r="A10769" i="28"/>
  <c r="A10770" i="28"/>
  <c r="A10771" i="28"/>
  <c r="A10772" i="28"/>
  <c r="A10773" i="28"/>
  <c r="A10774" i="28"/>
  <c r="A10775" i="28"/>
  <c r="A10776" i="28"/>
  <c r="A10777" i="28"/>
  <c r="A10778" i="28"/>
  <c r="A10779" i="28"/>
  <c r="A10780" i="28"/>
  <c r="A10781" i="28"/>
  <c r="A10782" i="28"/>
  <c r="A10783" i="28"/>
  <c r="A10784" i="28"/>
  <c r="A10785" i="28"/>
  <c r="A10786" i="28"/>
  <c r="A10787" i="28"/>
  <c r="A10788" i="28"/>
  <c r="A10789" i="28"/>
  <c r="A10790" i="28"/>
  <c r="A10791" i="28"/>
  <c r="A10792" i="28"/>
  <c r="A10793" i="28"/>
  <c r="A10794" i="28"/>
  <c r="A10795" i="28"/>
  <c r="A10796" i="28"/>
  <c r="A10797" i="28"/>
  <c r="A10798" i="28"/>
  <c r="A10799" i="28"/>
  <c r="A10800" i="28"/>
  <c r="A10801" i="28"/>
  <c r="A10802" i="28"/>
  <c r="A10803" i="28"/>
  <c r="A10804" i="28"/>
  <c r="A10805" i="28"/>
  <c r="A10806" i="28"/>
  <c r="A10807" i="28"/>
  <c r="A10808" i="28"/>
  <c r="A10809" i="28"/>
  <c r="A10810" i="28"/>
  <c r="A10811" i="28"/>
  <c r="A10812" i="28"/>
  <c r="A10813" i="28"/>
  <c r="A10814" i="28"/>
  <c r="A10815" i="28"/>
  <c r="A10816" i="28"/>
  <c r="A10817" i="28"/>
  <c r="A10818" i="28"/>
  <c r="A10819" i="28"/>
  <c r="A10820" i="28"/>
  <c r="A10821" i="28"/>
  <c r="A10822" i="28"/>
  <c r="A10823" i="28"/>
  <c r="A10824" i="28"/>
  <c r="A10825" i="28"/>
  <c r="A10826" i="28"/>
  <c r="A10827" i="28"/>
  <c r="A10828" i="28"/>
  <c r="A10829" i="28"/>
  <c r="A10830" i="28"/>
  <c r="A10831" i="28"/>
  <c r="A10832" i="28"/>
  <c r="A10833" i="28"/>
  <c r="A10834" i="28"/>
  <c r="A10835" i="28"/>
  <c r="A10836" i="28"/>
  <c r="A10837" i="28"/>
  <c r="A10838" i="28"/>
  <c r="A10839" i="28"/>
  <c r="A10840" i="28"/>
  <c r="A10841" i="28"/>
  <c r="A10842" i="28"/>
  <c r="A10843" i="28"/>
  <c r="A10844" i="28"/>
  <c r="A10845" i="28"/>
  <c r="A10846" i="28"/>
  <c r="A10847" i="28"/>
  <c r="A10848" i="28"/>
  <c r="A10849" i="28"/>
  <c r="A10850" i="28"/>
  <c r="A10851" i="28"/>
  <c r="A10852" i="28"/>
  <c r="A10853" i="28"/>
  <c r="A10854" i="28"/>
  <c r="A10855" i="28"/>
  <c r="A10856" i="28"/>
  <c r="A10857" i="28"/>
  <c r="A10858" i="28"/>
  <c r="A10859" i="28"/>
  <c r="A10860" i="28"/>
  <c r="A10861" i="28"/>
  <c r="A10862" i="28"/>
  <c r="A10863" i="28"/>
  <c r="A10864" i="28"/>
  <c r="A10865" i="28"/>
  <c r="A10866" i="28"/>
  <c r="A10867" i="28"/>
  <c r="A10868" i="28"/>
  <c r="A10869" i="28"/>
  <c r="A10870" i="28"/>
  <c r="A10871" i="28"/>
  <c r="A10872" i="28"/>
  <c r="A10873" i="28"/>
  <c r="A10874" i="28"/>
  <c r="A10875" i="28"/>
  <c r="A10876" i="28"/>
  <c r="A10877" i="28"/>
  <c r="A10878" i="28"/>
  <c r="A10879" i="28"/>
  <c r="A10880" i="28"/>
  <c r="A10881" i="28"/>
  <c r="A10882" i="28"/>
  <c r="A10883" i="28"/>
  <c r="A10884" i="28"/>
  <c r="A10885" i="28"/>
  <c r="A10886" i="28"/>
  <c r="A10887" i="28"/>
  <c r="A10888" i="28"/>
  <c r="A10889" i="28"/>
  <c r="A10890" i="28"/>
  <c r="A10891" i="28"/>
  <c r="A10892" i="28"/>
  <c r="A10893" i="28"/>
  <c r="A10894" i="28"/>
  <c r="A10895" i="28"/>
  <c r="A10896" i="28"/>
  <c r="A10897" i="28"/>
  <c r="A10898" i="28"/>
  <c r="A10899" i="28"/>
  <c r="A10900" i="28"/>
  <c r="A10901" i="28"/>
  <c r="A10902" i="28"/>
  <c r="A10903" i="28"/>
  <c r="A10904" i="28"/>
  <c r="A10905" i="28"/>
  <c r="A10906" i="28"/>
  <c r="A10907" i="28"/>
  <c r="A10908" i="28"/>
  <c r="A10909" i="28"/>
  <c r="A10910" i="28"/>
  <c r="A10911" i="28"/>
  <c r="A10912" i="28"/>
  <c r="A10913" i="28"/>
  <c r="A10914" i="28"/>
  <c r="A10915" i="28"/>
  <c r="A10916" i="28"/>
  <c r="A10917" i="28"/>
  <c r="A10918" i="28"/>
  <c r="A10919" i="28"/>
  <c r="A10920" i="28"/>
  <c r="A10921" i="28"/>
  <c r="A10922" i="28"/>
  <c r="A10923" i="28"/>
  <c r="A10924" i="28"/>
  <c r="A10925" i="28"/>
  <c r="A10926" i="28"/>
  <c r="A10927" i="28"/>
  <c r="A10928" i="28"/>
  <c r="A10929" i="28"/>
  <c r="A10930" i="28"/>
  <c r="A10931" i="28"/>
  <c r="A10932" i="28"/>
  <c r="A10933" i="28"/>
  <c r="A10934" i="28"/>
  <c r="A10935" i="28"/>
  <c r="A10936" i="28"/>
  <c r="A10937" i="28"/>
  <c r="A10938" i="28"/>
  <c r="A10939" i="28"/>
  <c r="A10940" i="28"/>
  <c r="A10941" i="28"/>
  <c r="A10942" i="28"/>
  <c r="A10943" i="28"/>
  <c r="A10944" i="28"/>
  <c r="A10945" i="28"/>
  <c r="A10946" i="28"/>
  <c r="A10947" i="28"/>
  <c r="A10948" i="28"/>
  <c r="A10949" i="28"/>
  <c r="A10950" i="28"/>
  <c r="A10951" i="28"/>
  <c r="A10952" i="28"/>
  <c r="A10953" i="28"/>
  <c r="A10954" i="28"/>
  <c r="A10955" i="28"/>
  <c r="A10956" i="28"/>
  <c r="A10957" i="28"/>
  <c r="A10958" i="28"/>
  <c r="A10959" i="28"/>
  <c r="A10960" i="28"/>
  <c r="A10961" i="28"/>
  <c r="A10962" i="28"/>
  <c r="A10963" i="28"/>
  <c r="A10964" i="28"/>
  <c r="A10965" i="28"/>
  <c r="A10966" i="28"/>
  <c r="A10967" i="28"/>
  <c r="A10968" i="28"/>
  <c r="A10969" i="28"/>
  <c r="A10970" i="28"/>
  <c r="A10971" i="28"/>
  <c r="A10972" i="28"/>
  <c r="A10973" i="28"/>
  <c r="A10974" i="28"/>
  <c r="A10975" i="28"/>
  <c r="A10976" i="28"/>
  <c r="A10977" i="28"/>
  <c r="A10978" i="28"/>
  <c r="A10979" i="28"/>
  <c r="A10980" i="28"/>
  <c r="A10981" i="28"/>
  <c r="A10982" i="28"/>
  <c r="A10983" i="28"/>
  <c r="A10984" i="28"/>
  <c r="A10985" i="28"/>
  <c r="A10986" i="28"/>
  <c r="A10987" i="28"/>
  <c r="A10988" i="28"/>
  <c r="A10989" i="28"/>
  <c r="A10990" i="28"/>
  <c r="A10991" i="28"/>
  <c r="A10992" i="28"/>
  <c r="A10993" i="28"/>
  <c r="A10994" i="28"/>
  <c r="A10995" i="28"/>
  <c r="A10996" i="28"/>
  <c r="A10997" i="28"/>
  <c r="A10998" i="28"/>
  <c r="A10999" i="28"/>
  <c r="A11000" i="28"/>
  <c r="A11001" i="28"/>
  <c r="A11002" i="28"/>
  <c r="A11003" i="28"/>
  <c r="A11004" i="28"/>
  <c r="A11005" i="28"/>
  <c r="A11006" i="28"/>
  <c r="A11007" i="28"/>
  <c r="A11008" i="28"/>
  <c r="A11009" i="28"/>
  <c r="A11010" i="28"/>
  <c r="A11011" i="28"/>
  <c r="A11012" i="28"/>
  <c r="A11013" i="28"/>
  <c r="A11014" i="28"/>
  <c r="A11015" i="28"/>
  <c r="A11016" i="28"/>
  <c r="A11017" i="28"/>
  <c r="A11018" i="28"/>
  <c r="A11019" i="28"/>
  <c r="A11020" i="28"/>
  <c r="A11021" i="28"/>
  <c r="A11022" i="28"/>
  <c r="A11023" i="28"/>
  <c r="A11024" i="28"/>
  <c r="A11025" i="28"/>
  <c r="A11026" i="28"/>
  <c r="A11027" i="28"/>
  <c r="A11028" i="28"/>
  <c r="A11029" i="28"/>
  <c r="A11030" i="28"/>
  <c r="A11031" i="28"/>
  <c r="A11032" i="28"/>
  <c r="A11033" i="28"/>
  <c r="A11034" i="28"/>
  <c r="A11035" i="28"/>
  <c r="A11036" i="28"/>
  <c r="A11037" i="28"/>
  <c r="A11038" i="28"/>
  <c r="A11039" i="28"/>
  <c r="A11040" i="28"/>
  <c r="A11041" i="28"/>
  <c r="A11042" i="28"/>
  <c r="A11043" i="28"/>
  <c r="A11044" i="28"/>
  <c r="A11045" i="28"/>
  <c r="A11046" i="28"/>
  <c r="A11047" i="28"/>
  <c r="A11048" i="28"/>
  <c r="A11049" i="28"/>
  <c r="A11050" i="28"/>
  <c r="A11051" i="28"/>
  <c r="A11052" i="28"/>
  <c r="A11053" i="28"/>
  <c r="A11054" i="28"/>
  <c r="A11055" i="28"/>
  <c r="A11056" i="28"/>
  <c r="A11057" i="28"/>
  <c r="A11058" i="28"/>
  <c r="A11059" i="28"/>
  <c r="A11060" i="28"/>
  <c r="A11061" i="28"/>
  <c r="A11062" i="28"/>
  <c r="A11063" i="28"/>
  <c r="A11064" i="28"/>
  <c r="A11065" i="28"/>
  <c r="A11066" i="28"/>
  <c r="A11067" i="28"/>
  <c r="A11068" i="28"/>
  <c r="A11069" i="28"/>
  <c r="A11070" i="28"/>
  <c r="A11071" i="28"/>
  <c r="A11072" i="28"/>
  <c r="A11073" i="28"/>
  <c r="A11074" i="28"/>
  <c r="A11075" i="28"/>
  <c r="A11076" i="28"/>
  <c r="A11077" i="28"/>
  <c r="A11078" i="28"/>
  <c r="A11079" i="28"/>
  <c r="A11080" i="28"/>
  <c r="A11081" i="28"/>
  <c r="A11082" i="28"/>
  <c r="A11083" i="28"/>
  <c r="A11084" i="28"/>
  <c r="A11085" i="28"/>
  <c r="A11086" i="28"/>
  <c r="A11087" i="28"/>
  <c r="A11088" i="28"/>
  <c r="A11089" i="28"/>
  <c r="A11090" i="28"/>
  <c r="A11091" i="28"/>
  <c r="A11092" i="28"/>
  <c r="A11093" i="28"/>
  <c r="A11094" i="28"/>
  <c r="A11095" i="28"/>
  <c r="A11096" i="28"/>
  <c r="A11097" i="28"/>
  <c r="A11098" i="28"/>
  <c r="A11099" i="28"/>
  <c r="A11100" i="28"/>
  <c r="A11101" i="28"/>
  <c r="A11102" i="28"/>
  <c r="A11103" i="28"/>
  <c r="A11104" i="28"/>
  <c r="A11105" i="28"/>
  <c r="A11106" i="28"/>
  <c r="A11107" i="28"/>
  <c r="A11108" i="28"/>
  <c r="A11109" i="28"/>
  <c r="A11110" i="28"/>
  <c r="A11111" i="28"/>
  <c r="A11112" i="28"/>
  <c r="A11113" i="28"/>
  <c r="A11114" i="28"/>
  <c r="A11115" i="28"/>
  <c r="A11116" i="28"/>
  <c r="A11117" i="28"/>
  <c r="A11118" i="28"/>
  <c r="A11119" i="28"/>
  <c r="A11120" i="28"/>
  <c r="A11121" i="28"/>
  <c r="A11122" i="28"/>
  <c r="A11123" i="28"/>
  <c r="A11124" i="28"/>
  <c r="A11125" i="28"/>
  <c r="A11126" i="28"/>
  <c r="A11127" i="28"/>
  <c r="A11128" i="28"/>
  <c r="A11129" i="28"/>
  <c r="A11130" i="28"/>
  <c r="A11131" i="28"/>
  <c r="A11132" i="28"/>
  <c r="A11133" i="28"/>
  <c r="A11134" i="28"/>
  <c r="A11135" i="28"/>
  <c r="A11136" i="28"/>
  <c r="A11137" i="28"/>
  <c r="A11138" i="28"/>
  <c r="A11139" i="28"/>
  <c r="A11140" i="28"/>
  <c r="A11141" i="28"/>
  <c r="A11142" i="28"/>
  <c r="A11143" i="28"/>
  <c r="A11144" i="28"/>
  <c r="A11145" i="28"/>
  <c r="A11146" i="28"/>
  <c r="A11147" i="28"/>
  <c r="A11148" i="28"/>
  <c r="A11149" i="28"/>
  <c r="A11150" i="28"/>
  <c r="A11151" i="28"/>
  <c r="A11152" i="28"/>
  <c r="A11153" i="28"/>
  <c r="A11154" i="28"/>
  <c r="A11155" i="28"/>
  <c r="A11156" i="28"/>
  <c r="A11157" i="28"/>
  <c r="A11158" i="28"/>
  <c r="A11159" i="28"/>
  <c r="A11160" i="28"/>
  <c r="A11161" i="28"/>
  <c r="A11162" i="28"/>
  <c r="A11163" i="28"/>
  <c r="A11164" i="28"/>
  <c r="A11165" i="28"/>
  <c r="A11166" i="28"/>
  <c r="A11167" i="28"/>
  <c r="A11168" i="28"/>
  <c r="A11169" i="28"/>
  <c r="A11170" i="28"/>
  <c r="A11171" i="28"/>
  <c r="A11172" i="28"/>
  <c r="A11173" i="28"/>
  <c r="A11174" i="28"/>
  <c r="A11175" i="28"/>
  <c r="A11176" i="28"/>
  <c r="A11177" i="28"/>
  <c r="A11178" i="28"/>
  <c r="A11179" i="28"/>
  <c r="A11180" i="28"/>
  <c r="A11181" i="28"/>
  <c r="A11182" i="28"/>
  <c r="A11183" i="28"/>
  <c r="A11184" i="28"/>
  <c r="A11185" i="28"/>
  <c r="A11186" i="28"/>
  <c r="A11187" i="28"/>
  <c r="A11188" i="28"/>
  <c r="A11189" i="28"/>
  <c r="A11190" i="28"/>
  <c r="A11191" i="28"/>
  <c r="A11192" i="28"/>
  <c r="A11193" i="28"/>
  <c r="A11194" i="28"/>
  <c r="A11195" i="28"/>
  <c r="A11196" i="28"/>
  <c r="A11197" i="28"/>
  <c r="A11198" i="28"/>
  <c r="A11199" i="28"/>
  <c r="A11200" i="28"/>
  <c r="A11201" i="28"/>
  <c r="A11202" i="28"/>
  <c r="A11203" i="28"/>
  <c r="A11204" i="28"/>
  <c r="A11205" i="28"/>
  <c r="A11206" i="28"/>
  <c r="A11207" i="28"/>
  <c r="A11208" i="28"/>
  <c r="A11209" i="28"/>
  <c r="A11210" i="28"/>
  <c r="A11211" i="28"/>
  <c r="A11212" i="28"/>
  <c r="A11213" i="28"/>
  <c r="A11214" i="28"/>
  <c r="A11215" i="28"/>
  <c r="A11216" i="28"/>
  <c r="A11217" i="28"/>
  <c r="A11218" i="28"/>
  <c r="A11219" i="28"/>
  <c r="A11220" i="28"/>
  <c r="A11221" i="28"/>
  <c r="A11222" i="28"/>
  <c r="A11223" i="28"/>
  <c r="A11224" i="28"/>
  <c r="A11225" i="28"/>
  <c r="A11226" i="28"/>
  <c r="A11227" i="28"/>
  <c r="A11228" i="28"/>
  <c r="A11229" i="28"/>
  <c r="A11230" i="28"/>
  <c r="A11231" i="28"/>
  <c r="A11232" i="28"/>
  <c r="A11233" i="28"/>
  <c r="A11234" i="28"/>
  <c r="A11235" i="28"/>
  <c r="A11236" i="28"/>
  <c r="A11237" i="28"/>
  <c r="A11238" i="28"/>
  <c r="A11239" i="28"/>
  <c r="A11240" i="28"/>
  <c r="A11241" i="28"/>
  <c r="A11242" i="28"/>
  <c r="A11243" i="28"/>
  <c r="A11244" i="28"/>
  <c r="A11245" i="28"/>
  <c r="A11246" i="28"/>
  <c r="A11247" i="28"/>
  <c r="A11248" i="28"/>
  <c r="A11249" i="28"/>
  <c r="A11250" i="28"/>
  <c r="A11251" i="28"/>
  <c r="A11252" i="28"/>
  <c r="A11253" i="28"/>
  <c r="A11254" i="28"/>
  <c r="A11255" i="28"/>
  <c r="A11256" i="28"/>
  <c r="A11257" i="28"/>
  <c r="A11258" i="28"/>
  <c r="A11259" i="28"/>
  <c r="A11260" i="28"/>
  <c r="A11261" i="28"/>
  <c r="A11262" i="28"/>
  <c r="A11263" i="28"/>
  <c r="A11264" i="28"/>
  <c r="A11265" i="28"/>
  <c r="A11266" i="28"/>
  <c r="A11267" i="28"/>
  <c r="A11268" i="28"/>
  <c r="A11269" i="28"/>
  <c r="A11270" i="28"/>
  <c r="A11271" i="28"/>
  <c r="A11272" i="28"/>
  <c r="A11273" i="28"/>
  <c r="A11274" i="28"/>
  <c r="A11275" i="28"/>
  <c r="A11276" i="28"/>
  <c r="A11277" i="28"/>
  <c r="A11278" i="28"/>
  <c r="A11279" i="28"/>
  <c r="A11280" i="28"/>
  <c r="A11281" i="28"/>
  <c r="A11282" i="28"/>
  <c r="A11283" i="28"/>
  <c r="A11284" i="28"/>
  <c r="A11285" i="28"/>
  <c r="A11286" i="28"/>
  <c r="A11287" i="28"/>
  <c r="A11288" i="28"/>
  <c r="A11289" i="28"/>
  <c r="A11290" i="28"/>
  <c r="A11291" i="28"/>
  <c r="A11292" i="28"/>
  <c r="A11293" i="28"/>
  <c r="A11294" i="28"/>
  <c r="A11295" i="28"/>
  <c r="A11296" i="28"/>
  <c r="A11297" i="28"/>
  <c r="A11298" i="28"/>
  <c r="A11299" i="28"/>
  <c r="A11300" i="28"/>
  <c r="A11301" i="28"/>
  <c r="A11302" i="28"/>
  <c r="A11303" i="28"/>
  <c r="A11304" i="28"/>
  <c r="A11305" i="28"/>
  <c r="A11306" i="28"/>
  <c r="A11307" i="28"/>
  <c r="A11308" i="28"/>
  <c r="A11309" i="28"/>
  <c r="A11310" i="28"/>
  <c r="A11311" i="28"/>
  <c r="A11312" i="28"/>
  <c r="A11313" i="28"/>
  <c r="A11314" i="28"/>
  <c r="A11315" i="28"/>
  <c r="A11316" i="28"/>
  <c r="A11317" i="28"/>
  <c r="A11318" i="28"/>
  <c r="A11319" i="28"/>
  <c r="A11320" i="28"/>
  <c r="A11321" i="28"/>
  <c r="A11322" i="28"/>
  <c r="A11323" i="28"/>
  <c r="A11324" i="28"/>
  <c r="A11325" i="28"/>
  <c r="A11326" i="28"/>
  <c r="A11327" i="28"/>
  <c r="A11328" i="28"/>
  <c r="A11329" i="28"/>
  <c r="A11330" i="28"/>
  <c r="A11331" i="28"/>
  <c r="A11332" i="28"/>
  <c r="A11333" i="28"/>
  <c r="A11334" i="28"/>
  <c r="A11335" i="28"/>
  <c r="A11336" i="28"/>
  <c r="A11337" i="28"/>
  <c r="A11338" i="28"/>
  <c r="A11339" i="28"/>
  <c r="A11340" i="28"/>
  <c r="A11341" i="28"/>
  <c r="A11342" i="28"/>
  <c r="A11343" i="28"/>
  <c r="A11344" i="28"/>
  <c r="A11345" i="28"/>
  <c r="A11346" i="28"/>
  <c r="A11347" i="28"/>
  <c r="A11348" i="28"/>
  <c r="A11349" i="28"/>
  <c r="A11350" i="28"/>
  <c r="A11351" i="28"/>
  <c r="A11352" i="28"/>
  <c r="A11353" i="28"/>
  <c r="A11354" i="28"/>
  <c r="A11355" i="28"/>
  <c r="A11356" i="28"/>
  <c r="A11357" i="28"/>
  <c r="A11358" i="28"/>
  <c r="A11359" i="28"/>
  <c r="A11360" i="28"/>
  <c r="A11361" i="28"/>
  <c r="A11362" i="28"/>
  <c r="A11363" i="28"/>
  <c r="A11364" i="28"/>
  <c r="A11365" i="28"/>
  <c r="A11366" i="28"/>
  <c r="A11367" i="28"/>
  <c r="A11368" i="28"/>
  <c r="A11369" i="28"/>
  <c r="A11370" i="28"/>
  <c r="A11371" i="28"/>
  <c r="A11372" i="28"/>
  <c r="A11373" i="28"/>
  <c r="A11374" i="28"/>
  <c r="A11375" i="28"/>
  <c r="A11376" i="28"/>
  <c r="A11377" i="28"/>
  <c r="A11378" i="28"/>
  <c r="A11379" i="28"/>
  <c r="A11380" i="28"/>
  <c r="A11381" i="28"/>
  <c r="A11382" i="28"/>
  <c r="A11383" i="28"/>
  <c r="A11384" i="28"/>
  <c r="A11385" i="28"/>
  <c r="A11386" i="28"/>
  <c r="A11387" i="28"/>
  <c r="A11388" i="28"/>
  <c r="A11389" i="28"/>
  <c r="A11390" i="28"/>
  <c r="A11391" i="28"/>
  <c r="A11392" i="28"/>
  <c r="A11393" i="28"/>
  <c r="A11394" i="28"/>
  <c r="A11395" i="28"/>
  <c r="A11396" i="28"/>
  <c r="A11397" i="28"/>
  <c r="A11398" i="28"/>
  <c r="A11399" i="28"/>
  <c r="A11400" i="28"/>
  <c r="A11401" i="28"/>
  <c r="A11402" i="28"/>
  <c r="A11403" i="28"/>
  <c r="A11404" i="28"/>
  <c r="A11405" i="28"/>
  <c r="A11406" i="28"/>
  <c r="A11407" i="28"/>
  <c r="A11408" i="28"/>
  <c r="A11409" i="28"/>
  <c r="A11410" i="28"/>
  <c r="A11411" i="28"/>
  <c r="A11412" i="28"/>
  <c r="A11413" i="28"/>
  <c r="A11414" i="28"/>
  <c r="A11415" i="28"/>
  <c r="A11416" i="28"/>
  <c r="A11417" i="28"/>
  <c r="A11418" i="28"/>
  <c r="A11419" i="28"/>
  <c r="A11420" i="28"/>
  <c r="A11421" i="28"/>
  <c r="A11422" i="28"/>
  <c r="A11423" i="28"/>
  <c r="A11424" i="28"/>
  <c r="A11425" i="28"/>
  <c r="A11426" i="28"/>
  <c r="A11427" i="28"/>
  <c r="A11428" i="28"/>
  <c r="A11429" i="28"/>
  <c r="A11430" i="28"/>
  <c r="A11431" i="28"/>
  <c r="A11432" i="28"/>
  <c r="A11433" i="28"/>
  <c r="A11434" i="28"/>
  <c r="A11435" i="28"/>
  <c r="A11436" i="28"/>
  <c r="A11437" i="28"/>
  <c r="A11438" i="28"/>
  <c r="A11439" i="28"/>
  <c r="A11440" i="28"/>
  <c r="A11441" i="28"/>
  <c r="A11442" i="28"/>
  <c r="A11443" i="28"/>
  <c r="A11444" i="28"/>
  <c r="A11445" i="28"/>
  <c r="A11446" i="28"/>
  <c r="A11447" i="28"/>
  <c r="A11448" i="28"/>
  <c r="A11449" i="28"/>
  <c r="A11450" i="28"/>
  <c r="A11451" i="28"/>
  <c r="A11452" i="28"/>
  <c r="A11453" i="28"/>
  <c r="A11454" i="28"/>
  <c r="A11455" i="28"/>
  <c r="A11456" i="28"/>
  <c r="A11457" i="28"/>
  <c r="A11458" i="28"/>
  <c r="A11459" i="28"/>
  <c r="A11460" i="28"/>
  <c r="A11461" i="28"/>
  <c r="A11462" i="28"/>
  <c r="A11463" i="28"/>
  <c r="A11464" i="28"/>
  <c r="A11465" i="28"/>
  <c r="A11466" i="28"/>
  <c r="A11467" i="28"/>
  <c r="A11468" i="28"/>
  <c r="A11469" i="28"/>
  <c r="A11470" i="28"/>
  <c r="A11471" i="28"/>
  <c r="A11472" i="28"/>
  <c r="A11473" i="28"/>
  <c r="A11474" i="28"/>
  <c r="A11475" i="28"/>
  <c r="A11476" i="28"/>
  <c r="A11477" i="28"/>
  <c r="A11478" i="28"/>
  <c r="A11479" i="28"/>
  <c r="A11480" i="28"/>
  <c r="A11481" i="28"/>
  <c r="A11482" i="28"/>
  <c r="A11483" i="28"/>
  <c r="A11484" i="28"/>
  <c r="A11485" i="28"/>
  <c r="A11486" i="28"/>
  <c r="A11487" i="28"/>
  <c r="A11488" i="28"/>
  <c r="A11489" i="28"/>
  <c r="A11490" i="28"/>
  <c r="A11491" i="28"/>
  <c r="A11492" i="28"/>
  <c r="A11493" i="28"/>
  <c r="A11494" i="28"/>
  <c r="A11495" i="28"/>
  <c r="A11496" i="28"/>
  <c r="A11497" i="28"/>
  <c r="A11498" i="28"/>
  <c r="A11499" i="28"/>
  <c r="A11500" i="28"/>
  <c r="A11501" i="28"/>
  <c r="A11502" i="28"/>
  <c r="A11503" i="28"/>
  <c r="A11504" i="28"/>
  <c r="A11505" i="28"/>
  <c r="A11506" i="28"/>
  <c r="A11507" i="28"/>
  <c r="A11508" i="28"/>
  <c r="A11509" i="28"/>
  <c r="A11510" i="28"/>
  <c r="A11511" i="28"/>
  <c r="A11512" i="28"/>
  <c r="A11513" i="28"/>
  <c r="A11514" i="28"/>
  <c r="A11515" i="28"/>
  <c r="A11516" i="28"/>
  <c r="A11517" i="28"/>
  <c r="A11518" i="28"/>
  <c r="A11519" i="28"/>
  <c r="A11520" i="28"/>
  <c r="A11521" i="28"/>
  <c r="A11522" i="28"/>
  <c r="A11523" i="28"/>
  <c r="A11524" i="28"/>
  <c r="A11525" i="28"/>
  <c r="A11526" i="28"/>
  <c r="A11527" i="28"/>
  <c r="A11528" i="28"/>
  <c r="A11529" i="28"/>
  <c r="A11530" i="28"/>
  <c r="A11531" i="28"/>
  <c r="A11532" i="28"/>
  <c r="A11533" i="28"/>
  <c r="A11534" i="28"/>
  <c r="A11535" i="28"/>
  <c r="A11536" i="28"/>
  <c r="A11537" i="28"/>
  <c r="A11538" i="28"/>
  <c r="A11539" i="28"/>
  <c r="A11540" i="28"/>
  <c r="A11541" i="28"/>
  <c r="A11542" i="28"/>
  <c r="A11543" i="28"/>
  <c r="A11544" i="28"/>
  <c r="A11545" i="28"/>
  <c r="A11546" i="28"/>
  <c r="A11547" i="28"/>
  <c r="A11548" i="28"/>
  <c r="A11549" i="28"/>
  <c r="A11550" i="28"/>
  <c r="A11551" i="28"/>
  <c r="A11552" i="28"/>
  <c r="A11553" i="28"/>
  <c r="A11554" i="28"/>
  <c r="A11555" i="28"/>
  <c r="A11556" i="28"/>
  <c r="A11557" i="28"/>
  <c r="A11558" i="28"/>
  <c r="A11559" i="28"/>
  <c r="A11560" i="28"/>
  <c r="A11561" i="28"/>
  <c r="A11562" i="28"/>
  <c r="A11563" i="28"/>
  <c r="A11564" i="28"/>
  <c r="A11565" i="28"/>
  <c r="A11566" i="28"/>
  <c r="A11567" i="28"/>
  <c r="A11568" i="28"/>
  <c r="A11569" i="28"/>
  <c r="A11570" i="28"/>
  <c r="A11571" i="28"/>
  <c r="A11572" i="28"/>
  <c r="A11573" i="28"/>
  <c r="A11574" i="28"/>
  <c r="A11575" i="28"/>
  <c r="A11576" i="28"/>
  <c r="A11577" i="28"/>
  <c r="A11578" i="28"/>
  <c r="A11579" i="28"/>
  <c r="A11580" i="28"/>
  <c r="A11581" i="28"/>
  <c r="A11582" i="28"/>
  <c r="A11583" i="28"/>
  <c r="A11584" i="28"/>
  <c r="A11585" i="28"/>
  <c r="A11586" i="28"/>
  <c r="A11587" i="28"/>
  <c r="A11588" i="28"/>
  <c r="A11589" i="28"/>
  <c r="A11590" i="28"/>
  <c r="A11591" i="28"/>
  <c r="A11592" i="28"/>
  <c r="A11593" i="28"/>
  <c r="A11594" i="28"/>
  <c r="A11595" i="28"/>
  <c r="A11596" i="28"/>
  <c r="A11597" i="28"/>
  <c r="A11598" i="28"/>
  <c r="A11599" i="28"/>
  <c r="A11600" i="28"/>
  <c r="A11601" i="28"/>
  <c r="A11602" i="28"/>
  <c r="A11603" i="28"/>
  <c r="A11604" i="28"/>
  <c r="A11605" i="28"/>
  <c r="A11606" i="28"/>
  <c r="A11607" i="28"/>
  <c r="A11608" i="28"/>
  <c r="A11609" i="28"/>
  <c r="A11610" i="28"/>
  <c r="A11611" i="28"/>
  <c r="A11612" i="28"/>
  <c r="A11613" i="28"/>
  <c r="A11614" i="28"/>
  <c r="A11615" i="28"/>
  <c r="A11616" i="28"/>
  <c r="A11617" i="28"/>
  <c r="A11618" i="28"/>
  <c r="A11619" i="28"/>
  <c r="A11620" i="28"/>
  <c r="A11621" i="28"/>
  <c r="A11622" i="28"/>
  <c r="A11623" i="28"/>
  <c r="A11624" i="28"/>
  <c r="A11625" i="28"/>
  <c r="A11626" i="28"/>
  <c r="A11627" i="28"/>
  <c r="A11628" i="28"/>
  <c r="A11629" i="28"/>
  <c r="A11630" i="28"/>
  <c r="A11631" i="28"/>
  <c r="A11632" i="28"/>
  <c r="A11633" i="28"/>
  <c r="A11634" i="28"/>
  <c r="A11635" i="28"/>
  <c r="A11636" i="28"/>
  <c r="A11637" i="28"/>
  <c r="A11638" i="28"/>
  <c r="A11639" i="28"/>
  <c r="A11640" i="28"/>
  <c r="A11641" i="28"/>
  <c r="A11642" i="28"/>
  <c r="A11643" i="28"/>
  <c r="A11644" i="28"/>
  <c r="A11645" i="28"/>
  <c r="A11646" i="28"/>
  <c r="A11647" i="28"/>
  <c r="A11648" i="28"/>
  <c r="A11649" i="28"/>
  <c r="A11650" i="28"/>
  <c r="A11651" i="28"/>
  <c r="A11652" i="28"/>
  <c r="A11653" i="28"/>
  <c r="A11654" i="28"/>
  <c r="A11655" i="28"/>
  <c r="A11656" i="28"/>
  <c r="A11657" i="28"/>
  <c r="A11658" i="28"/>
  <c r="A11659" i="28"/>
  <c r="A11660" i="28"/>
  <c r="A11661" i="28"/>
  <c r="A11662" i="28"/>
  <c r="A11663" i="28"/>
  <c r="A11664" i="28"/>
  <c r="A11665" i="28"/>
  <c r="A11666" i="28"/>
  <c r="A11667" i="28"/>
  <c r="A11668" i="28"/>
  <c r="A11669" i="28"/>
  <c r="A11670" i="28"/>
  <c r="A11671" i="28"/>
  <c r="A11672" i="28"/>
  <c r="A11673" i="28"/>
  <c r="A11674" i="28"/>
  <c r="A11675" i="28"/>
  <c r="A11676" i="28"/>
  <c r="A11677" i="28"/>
  <c r="A11678" i="28"/>
  <c r="A11679" i="28"/>
  <c r="A11680" i="28"/>
  <c r="A11681" i="28"/>
  <c r="A11682" i="28"/>
  <c r="A11683" i="28"/>
  <c r="A11684" i="28"/>
  <c r="A11685" i="28"/>
  <c r="A11686" i="28"/>
  <c r="A11687" i="28"/>
  <c r="A11688" i="28"/>
  <c r="A11689" i="28"/>
  <c r="A11690" i="28"/>
  <c r="A11691" i="28"/>
  <c r="A11692" i="28"/>
  <c r="A11693" i="28"/>
  <c r="A11694" i="28"/>
  <c r="A11695" i="28"/>
  <c r="A11696" i="28"/>
  <c r="A11697" i="28"/>
  <c r="A11698" i="28"/>
  <c r="A11699" i="28"/>
  <c r="A11700" i="28"/>
  <c r="A11701" i="28"/>
  <c r="A11702" i="28"/>
  <c r="A11703" i="28"/>
  <c r="A11704" i="28"/>
  <c r="A11705" i="28"/>
  <c r="A11706" i="28"/>
  <c r="A11707" i="28"/>
  <c r="A11708" i="28"/>
  <c r="A11709" i="28"/>
  <c r="A11710" i="28"/>
  <c r="A11711" i="28"/>
  <c r="A11712" i="28"/>
  <c r="A11713" i="28"/>
  <c r="A11714" i="28"/>
  <c r="A11715" i="28"/>
  <c r="A11716" i="28"/>
  <c r="A11717" i="28"/>
  <c r="A11718" i="28"/>
  <c r="A11719" i="28"/>
  <c r="A11720" i="28"/>
  <c r="A11721" i="28"/>
  <c r="A11722" i="28"/>
  <c r="A11723" i="28"/>
  <c r="A11724" i="28"/>
  <c r="A11725" i="28"/>
  <c r="A11726" i="28"/>
  <c r="A11727" i="28"/>
  <c r="A11728" i="28"/>
  <c r="A11729" i="28"/>
  <c r="A11730" i="28"/>
  <c r="A11731" i="28"/>
  <c r="A11732" i="28"/>
  <c r="A11733" i="28"/>
  <c r="A11734" i="28"/>
  <c r="A11735" i="28"/>
  <c r="A11736" i="28"/>
  <c r="A11737" i="28"/>
  <c r="A11738" i="28"/>
  <c r="A11739" i="28"/>
  <c r="A11740" i="28"/>
  <c r="A11741" i="28"/>
  <c r="A11742" i="28"/>
  <c r="A11743" i="28"/>
  <c r="A11744" i="28"/>
  <c r="A11745" i="28"/>
  <c r="A11746" i="28"/>
  <c r="A11747" i="28"/>
  <c r="A11748" i="28"/>
  <c r="A11749" i="28"/>
  <c r="A11750" i="28"/>
  <c r="A11751" i="28"/>
  <c r="A11752" i="28"/>
  <c r="A11753" i="28"/>
  <c r="A11754" i="28"/>
  <c r="A11755" i="28"/>
  <c r="A11756" i="28"/>
  <c r="A11757" i="28"/>
  <c r="A11758" i="28"/>
  <c r="A11759" i="28"/>
  <c r="A11760" i="28"/>
  <c r="A11761" i="28"/>
  <c r="A11762" i="28"/>
  <c r="A11763" i="28"/>
  <c r="A11764" i="28"/>
  <c r="A11765" i="28"/>
  <c r="A11766" i="28"/>
  <c r="A11767" i="28"/>
  <c r="A11768" i="28"/>
  <c r="A11769" i="28"/>
  <c r="A11770" i="28"/>
  <c r="A11771" i="28"/>
  <c r="A11772" i="28"/>
  <c r="A11773" i="28"/>
  <c r="A11774" i="28"/>
  <c r="A11775" i="28"/>
  <c r="A11776" i="28"/>
  <c r="A11777" i="28"/>
  <c r="A11778" i="28"/>
  <c r="A11779" i="28"/>
  <c r="A11780" i="28"/>
  <c r="A11781" i="28"/>
  <c r="A11782" i="28"/>
  <c r="A11783" i="28"/>
  <c r="A11784" i="28"/>
  <c r="A11785" i="28"/>
  <c r="A11786" i="28"/>
  <c r="A11787" i="28"/>
  <c r="A11788" i="28"/>
  <c r="A11789" i="28"/>
  <c r="A11790" i="28"/>
  <c r="A11791" i="28"/>
  <c r="A11792" i="28"/>
  <c r="A11793" i="28"/>
  <c r="A11794" i="28"/>
  <c r="A11795" i="28"/>
  <c r="A11796" i="28"/>
  <c r="A11797" i="28"/>
  <c r="A11798" i="28"/>
  <c r="A11799" i="28"/>
  <c r="A11800" i="28"/>
  <c r="A11801" i="28"/>
  <c r="A11802" i="28"/>
  <c r="A11803" i="28"/>
  <c r="A11804" i="28"/>
  <c r="A11805" i="28"/>
  <c r="A11806" i="28"/>
  <c r="A11807" i="28"/>
  <c r="A11808" i="28"/>
  <c r="A11809" i="28"/>
  <c r="A11810" i="28"/>
  <c r="A11811" i="28"/>
  <c r="A11812" i="28"/>
  <c r="A11813" i="28"/>
  <c r="A11814" i="28"/>
  <c r="A11815" i="28"/>
  <c r="A11816" i="28"/>
  <c r="A11817" i="28"/>
  <c r="A11818" i="28"/>
  <c r="A11819" i="28"/>
  <c r="A11820" i="28"/>
  <c r="A11821" i="28"/>
  <c r="A11822" i="28"/>
  <c r="A11823" i="28"/>
  <c r="A11824" i="28"/>
  <c r="A11825" i="28"/>
  <c r="A11826" i="28"/>
  <c r="A11827" i="28"/>
  <c r="A11828" i="28"/>
  <c r="A11829" i="28"/>
  <c r="A11830" i="28"/>
  <c r="A11831" i="28"/>
  <c r="A11832" i="28"/>
  <c r="A11833" i="28"/>
  <c r="A11834" i="28"/>
  <c r="A11835" i="28"/>
  <c r="A11836" i="28"/>
  <c r="A11837" i="28"/>
  <c r="A11838" i="28"/>
  <c r="A11839" i="28"/>
  <c r="A11840" i="28"/>
  <c r="A11841" i="28"/>
  <c r="A11842" i="28"/>
  <c r="A11843" i="28"/>
  <c r="A11844" i="28"/>
  <c r="A11845" i="28"/>
  <c r="A11846" i="28"/>
  <c r="A11847" i="28"/>
  <c r="A11848" i="28"/>
  <c r="A11849" i="28"/>
  <c r="A11850" i="28"/>
  <c r="A11851" i="28"/>
  <c r="A11852" i="28"/>
  <c r="A11853" i="28"/>
  <c r="A11854" i="28"/>
  <c r="A11855" i="28"/>
  <c r="A11856" i="28"/>
  <c r="A11857" i="28"/>
  <c r="A11858" i="28"/>
  <c r="A11859" i="28"/>
  <c r="A11860" i="28"/>
  <c r="A11861" i="28"/>
  <c r="A11862" i="28"/>
  <c r="A11863" i="28"/>
  <c r="A11864" i="28"/>
  <c r="A11865" i="28"/>
  <c r="A11866" i="28"/>
  <c r="A11867" i="28"/>
  <c r="A11868" i="28"/>
  <c r="A11869" i="28"/>
  <c r="A11870" i="28"/>
  <c r="A11871" i="28"/>
  <c r="A11872" i="28"/>
  <c r="A11873" i="28"/>
  <c r="A11874" i="28"/>
  <c r="A11875" i="28"/>
  <c r="A11876" i="28"/>
  <c r="A11877" i="28"/>
  <c r="A11878" i="28"/>
  <c r="A11879" i="28"/>
  <c r="A11880" i="28"/>
  <c r="A11881" i="28"/>
  <c r="A11882" i="28"/>
  <c r="A11883" i="28"/>
  <c r="A11884" i="28"/>
  <c r="A11885" i="28"/>
  <c r="A11886" i="28"/>
  <c r="A11887" i="28"/>
  <c r="A11888" i="28"/>
  <c r="A11889" i="28"/>
  <c r="A11890" i="28"/>
  <c r="A11891" i="28"/>
  <c r="A11892" i="28"/>
  <c r="A11893" i="28"/>
  <c r="A11894" i="28"/>
  <c r="A11895" i="28"/>
  <c r="A11896" i="28"/>
  <c r="A11897" i="28"/>
  <c r="A11898" i="28"/>
  <c r="A11899" i="28"/>
  <c r="A11900" i="28"/>
  <c r="A11901" i="28"/>
  <c r="A11902" i="28"/>
  <c r="A11903" i="28"/>
  <c r="A11904" i="28"/>
  <c r="A11905" i="28"/>
  <c r="A11906" i="28"/>
  <c r="A11907" i="28"/>
  <c r="A11908" i="28"/>
  <c r="A11909" i="28"/>
  <c r="A11910" i="28"/>
  <c r="A11911" i="28"/>
  <c r="A11912" i="28"/>
  <c r="A11913" i="28"/>
  <c r="A11914" i="28"/>
  <c r="A11915" i="28"/>
  <c r="A11916" i="28"/>
  <c r="A11917" i="28"/>
  <c r="A11918" i="28"/>
  <c r="A11919" i="28"/>
  <c r="A11920" i="28"/>
  <c r="A11921" i="28"/>
  <c r="A11922" i="28"/>
  <c r="A11923" i="28"/>
  <c r="A11924" i="28"/>
  <c r="A11925" i="28"/>
  <c r="A11926" i="28"/>
  <c r="A11927" i="28"/>
  <c r="A11928" i="28"/>
  <c r="A11929" i="28"/>
  <c r="A11930" i="28"/>
  <c r="A11931" i="28"/>
  <c r="A11932" i="28"/>
  <c r="A11933" i="28"/>
  <c r="A11934" i="28"/>
  <c r="A11935" i="28"/>
  <c r="A11936" i="28"/>
  <c r="A11937" i="28"/>
  <c r="A11938" i="28"/>
  <c r="A11939" i="28"/>
  <c r="A11940" i="28"/>
  <c r="A11941" i="28"/>
  <c r="A11942" i="28"/>
  <c r="A11943" i="28"/>
  <c r="A11944" i="28"/>
  <c r="A11945" i="28"/>
  <c r="A11946" i="28"/>
  <c r="A11947" i="28"/>
  <c r="A11948" i="28"/>
  <c r="A11949" i="28"/>
  <c r="A11950" i="28"/>
  <c r="A11951" i="28"/>
  <c r="A11952" i="28"/>
  <c r="A11953" i="28"/>
  <c r="A11954" i="28"/>
  <c r="A11955" i="28"/>
  <c r="A11956" i="28"/>
  <c r="A11957" i="28"/>
  <c r="A11958" i="28"/>
  <c r="A11959" i="28"/>
  <c r="A11960" i="28"/>
  <c r="A11961" i="28"/>
  <c r="A11962" i="28"/>
  <c r="A11963" i="28"/>
  <c r="A11964" i="28"/>
  <c r="A11965" i="28"/>
  <c r="A11966" i="28"/>
  <c r="A11967" i="28"/>
  <c r="A11968" i="28"/>
  <c r="A11969" i="28"/>
  <c r="A11970" i="28"/>
  <c r="A11971" i="28"/>
  <c r="A11972" i="28"/>
  <c r="A11973" i="28"/>
  <c r="A11974" i="28"/>
  <c r="A11975" i="28"/>
  <c r="A11976" i="28"/>
  <c r="A11977" i="28"/>
  <c r="A11978" i="28"/>
  <c r="A11979" i="28"/>
  <c r="A11980" i="28"/>
  <c r="A11981" i="28"/>
  <c r="A11982" i="28"/>
  <c r="A11983" i="28"/>
  <c r="A11984" i="28"/>
  <c r="A11985" i="28"/>
  <c r="A11986" i="28"/>
  <c r="A11987" i="28"/>
  <c r="A11988" i="28"/>
  <c r="A11989" i="28"/>
  <c r="A11990" i="28"/>
  <c r="A11991" i="28"/>
  <c r="A11992" i="28"/>
  <c r="A11993" i="28"/>
  <c r="A11994" i="28"/>
  <c r="A11995" i="28"/>
  <c r="A11996" i="28"/>
  <c r="A11997" i="28"/>
  <c r="A11998" i="28"/>
  <c r="A11999" i="28"/>
  <c r="A12000" i="28"/>
  <c r="A12001" i="28"/>
  <c r="A12002" i="28"/>
  <c r="A12003" i="28"/>
  <c r="A12004" i="28"/>
  <c r="A12005" i="28"/>
  <c r="A12006" i="28"/>
  <c r="A12007" i="28"/>
  <c r="A12008" i="28"/>
  <c r="A12009" i="28"/>
  <c r="A12010" i="28"/>
  <c r="A12011" i="28"/>
  <c r="A12012" i="28"/>
  <c r="A12013" i="28"/>
  <c r="A12014" i="28"/>
  <c r="A12015" i="28"/>
  <c r="A12016" i="28"/>
  <c r="A12017" i="28"/>
  <c r="A12018" i="28"/>
  <c r="A12019" i="28"/>
  <c r="A12020" i="28"/>
  <c r="A12021" i="28"/>
  <c r="A12022" i="28"/>
  <c r="A12023" i="28"/>
  <c r="A12024" i="28"/>
  <c r="A12025" i="28"/>
  <c r="A12026" i="28"/>
  <c r="A12027" i="28"/>
  <c r="A12028" i="28"/>
  <c r="A12029" i="28"/>
  <c r="A12030" i="28"/>
  <c r="A12031" i="28"/>
  <c r="A12032" i="28"/>
  <c r="A12033" i="28"/>
  <c r="A12034" i="28"/>
  <c r="A12035" i="28"/>
  <c r="A12036" i="28"/>
  <c r="A12037" i="28"/>
  <c r="A12038" i="28"/>
  <c r="A12039" i="28"/>
  <c r="A12040" i="28"/>
  <c r="A12041" i="28"/>
  <c r="A12042" i="28"/>
  <c r="A12043" i="28"/>
  <c r="A12044" i="28"/>
  <c r="A12045" i="28"/>
  <c r="A12046" i="28"/>
  <c r="A12047" i="28"/>
  <c r="A12048" i="28"/>
  <c r="A12049" i="28"/>
  <c r="A12050" i="28"/>
  <c r="A12051" i="28"/>
  <c r="A12052" i="28"/>
  <c r="A12053" i="28"/>
  <c r="A12054" i="28"/>
  <c r="A12055" i="28"/>
  <c r="A12056" i="28"/>
  <c r="A12057" i="28"/>
  <c r="A12058" i="28"/>
  <c r="A12059" i="28"/>
  <c r="A12060" i="28"/>
  <c r="A12061" i="28"/>
  <c r="A12062" i="28"/>
  <c r="A12063" i="28"/>
  <c r="A12064" i="28"/>
  <c r="A12065" i="28"/>
  <c r="A12066" i="28"/>
  <c r="A12067" i="28"/>
  <c r="A12068" i="28"/>
  <c r="A12069" i="28"/>
  <c r="A12070" i="28"/>
  <c r="A12071" i="28"/>
  <c r="A12072" i="28"/>
  <c r="A12073" i="28"/>
  <c r="A12074" i="28"/>
  <c r="A12075" i="28"/>
  <c r="A12076" i="28"/>
  <c r="A12077" i="28"/>
  <c r="A12078" i="28"/>
  <c r="A12079" i="28"/>
  <c r="A12080" i="28"/>
  <c r="A12081" i="28"/>
  <c r="A12082" i="28"/>
  <c r="A12083" i="28"/>
  <c r="A12084" i="28"/>
  <c r="A12085" i="28"/>
  <c r="A12086" i="28"/>
  <c r="A12087" i="28"/>
  <c r="A12088" i="28"/>
  <c r="A12089" i="28"/>
  <c r="A12090" i="28"/>
  <c r="A12091" i="28"/>
  <c r="A12092" i="28"/>
  <c r="A12093" i="28"/>
  <c r="A12094" i="28"/>
  <c r="A12095" i="28"/>
  <c r="A12096" i="28"/>
  <c r="A12097" i="28"/>
  <c r="A12098" i="28"/>
  <c r="A12099" i="28"/>
  <c r="A12100" i="28"/>
  <c r="A12101" i="28"/>
  <c r="A12102" i="28"/>
  <c r="A12103" i="28"/>
  <c r="A12104" i="28"/>
  <c r="A12105" i="28"/>
  <c r="A12106" i="28"/>
  <c r="A12107" i="28"/>
  <c r="A12108" i="28"/>
  <c r="A12109" i="28"/>
  <c r="A12110" i="28"/>
  <c r="A12111" i="28"/>
  <c r="A12112" i="28"/>
  <c r="A12113" i="28"/>
  <c r="A12114" i="28"/>
  <c r="A12115" i="28"/>
  <c r="A12116" i="28"/>
  <c r="A12117" i="28"/>
  <c r="A12118" i="28"/>
  <c r="A12119" i="28"/>
  <c r="A12120" i="28"/>
  <c r="A12121" i="28"/>
  <c r="A12122" i="28"/>
  <c r="A12123" i="28"/>
  <c r="A12124" i="28"/>
  <c r="A12125" i="28"/>
  <c r="A12126" i="28"/>
  <c r="A12127" i="28"/>
  <c r="A12128" i="28"/>
  <c r="A12129" i="28"/>
  <c r="A12130" i="28"/>
  <c r="A12131" i="28"/>
  <c r="A12132" i="28"/>
  <c r="A12133" i="28"/>
  <c r="A12134" i="28"/>
  <c r="A12135" i="28"/>
  <c r="A12136" i="28"/>
  <c r="A12137" i="28"/>
  <c r="A12138" i="28"/>
  <c r="A12139" i="28"/>
  <c r="A12140" i="28"/>
  <c r="A12141" i="28"/>
  <c r="A12142" i="28"/>
  <c r="A12143" i="28"/>
  <c r="A12144" i="28"/>
  <c r="A12145" i="28"/>
  <c r="A12146" i="28"/>
  <c r="A12147" i="28"/>
  <c r="A12148" i="28"/>
  <c r="A12149" i="28"/>
  <c r="A12150" i="28"/>
  <c r="A12151" i="28"/>
  <c r="A12152" i="28"/>
  <c r="A12153" i="28"/>
  <c r="A12154" i="28"/>
  <c r="A12155" i="28"/>
  <c r="A12156" i="28"/>
  <c r="A12157" i="28"/>
  <c r="A12158" i="28"/>
  <c r="A12159" i="28"/>
  <c r="A12160" i="28"/>
  <c r="A12161" i="28"/>
  <c r="A12162" i="28"/>
  <c r="A12163" i="28"/>
  <c r="A12164" i="28"/>
  <c r="A12165" i="28"/>
  <c r="A12166" i="28"/>
  <c r="A12167" i="28"/>
  <c r="A12168" i="28"/>
  <c r="A12169" i="28"/>
  <c r="A12170" i="28"/>
  <c r="A12171" i="28"/>
  <c r="A12172" i="28"/>
  <c r="A12173" i="28"/>
  <c r="A12174" i="28"/>
  <c r="A12175" i="28"/>
  <c r="A12176" i="28"/>
  <c r="A12177" i="28"/>
  <c r="A12178" i="28"/>
  <c r="A12179" i="28"/>
  <c r="A12180" i="28"/>
  <c r="A12181" i="28"/>
  <c r="A12182" i="28"/>
  <c r="A12183" i="28"/>
  <c r="A12184" i="28"/>
  <c r="A12185" i="28"/>
  <c r="A12186" i="28"/>
  <c r="A12187" i="28"/>
  <c r="A12188" i="28"/>
  <c r="A12189" i="28"/>
  <c r="A12190" i="28"/>
  <c r="A12191" i="28"/>
  <c r="A12192" i="28"/>
  <c r="A12193" i="28"/>
  <c r="A12194" i="28"/>
  <c r="A12195" i="28"/>
  <c r="A12196" i="28"/>
  <c r="A12197" i="28"/>
  <c r="A12198" i="28"/>
  <c r="A12199" i="28"/>
  <c r="A12200" i="28"/>
  <c r="A12201" i="28"/>
  <c r="A12202" i="28"/>
  <c r="A12203" i="28"/>
  <c r="A12204" i="28"/>
  <c r="A12205" i="28"/>
  <c r="A12206" i="28"/>
  <c r="A12207" i="28"/>
  <c r="A12208" i="28"/>
  <c r="A12209" i="28"/>
  <c r="A12210" i="28"/>
  <c r="A12211" i="28"/>
  <c r="A12212" i="28"/>
  <c r="A12213" i="28"/>
  <c r="A12214" i="28"/>
  <c r="A12215" i="28"/>
  <c r="A12216" i="28"/>
  <c r="A12217" i="28"/>
  <c r="A12218" i="28"/>
  <c r="A12219" i="28"/>
  <c r="A12220" i="28"/>
  <c r="A12221" i="28"/>
  <c r="A12222" i="28"/>
  <c r="A12223" i="28"/>
  <c r="A12224" i="28"/>
  <c r="A12225" i="28"/>
  <c r="A12226" i="28"/>
  <c r="A12227" i="28"/>
  <c r="A12228" i="28"/>
  <c r="A12229" i="28"/>
  <c r="A12230" i="28"/>
  <c r="A12231" i="28"/>
  <c r="A12232" i="28"/>
  <c r="A12233" i="28"/>
  <c r="A12234" i="28"/>
  <c r="A12235" i="28"/>
  <c r="A12236" i="28"/>
  <c r="A12237" i="28"/>
  <c r="A12238" i="28"/>
  <c r="A12239" i="28"/>
  <c r="A12240" i="28"/>
  <c r="A12241" i="28"/>
  <c r="A12242" i="28"/>
  <c r="A12243" i="28"/>
  <c r="A12244" i="28"/>
  <c r="A12245" i="28"/>
  <c r="A12246" i="28"/>
  <c r="A12247" i="28"/>
  <c r="A12248" i="28"/>
  <c r="A12249" i="28"/>
  <c r="A12250" i="28"/>
  <c r="A12251" i="28"/>
  <c r="A12252" i="28"/>
  <c r="A12253" i="28"/>
  <c r="A12254" i="28"/>
  <c r="A12255" i="28"/>
  <c r="A12256" i="28"/>
  <c r="A12257" i="28"/>
  <c r="A12258" i="28"/>
  <c r="A12259" i="28"/>
  <c r="A12260" i="28"/>
  <c r="A12261" i="28"/>
  <c r="A12262" i="28"/>
  <c r="A12263" i="28"/>
  <c r="A12264" i="28"/>
  <c r="A12265" i="28"/>
  <c r="A12266" i="28"/>
  <c r="A12267" i="28"/>
  <c r="A12268" i="28"/>
  <c r="A12269" i="28"/>
  <c r="A12270" i="28"/>
  <c r="A12271" i="28"/>
  <c r="A12272" i="28"/>
  <c r="A12273" i="28"/>
  <c r="A12274" i="28"/>
  <c r="A12275" i="28"/>
  <c r="A12276" i="28"/>
  <c r="A12277" i="28"/>
  <c r="A12278" i="28"/>
  <c r="A12279" i="28"/>
  <c r="A12280" i="28"/>
  <c r="A12281" i="28"/>
  <c r="A12282" i="28"/>
  <c r="A12283" i="28"/>
  <c r="A12284" i="28"/>
  <c r="A12285" i="28"/>
  <c r="A12286" i="28"/>
  <c r="A12287" i="28"/>
  <c r="A12288" i="28"/>
  <c r="A12289" i="28"/>
  <c r="A12290" i="28"/>
  <c r="A12291" i="28"/>
  <c r="A12292" i="28"/>
  <c r="A12293" i="28"/>
  <c r="A12294" i="28"/>
  <c r="A12295" i="28"/>
  <c r="A12296" i="28"/>
  <c r="A12297" i="28"/>
  <c r="A12298" i="28"/>
  <c r="A12299" i="28"/>
  <c r="A12300" i="28"/>
  <c r="A12301" i="28"/>
  <c r="A12302" i="28"/>
  <c r="A12303" i="28"/>
  <c r="A12304" i="28"/>
  <c r="A12305" i="28"/>
  <c r="A12306" i="28"/>
  <c r="A12307" i="28"/>
  <c r="A12308" i="28"/>
  <c r="A12309" i="28"/>
  <c r="A12310" i="28"/>
  <c r="A12311" i="28"/>
  <c r="A12312" i="28"/>
  <c r="A12313" i="28"/>
  <c r="A12314" i="28"/>
  <c r="A12315" i="28"/>
  <c r="A12316" i="28"/>
  <c r="A12317" i="28"/>
  <c r="A12318" i="28"/>
  <c r="A12319" i="28"/>
  <c r="A12320" i="28"/>
  <c r="A12321" i="28"/>
  <c r="A12322" i="28"/>
  <c r="A12323" i="28"/>
  <c r="A12324" i="28"/>
  <c r="A12325" i="28"/>
  <c r="A12326" i="28"/>
  <c r="A12327" i="28"/>
  <c r="A12328" i="28"/>
  <c r="A12329" i="28"/>
  <c r="A12330" i="28"/>
  <c r="A12331" i="28"/>
  <c r="A12332" i="28"/>
  <c r="A12333" i="28"/>
  <c r="A12334" i="28"/>
  <c r="A12335" i="28"/>
  <c r="A12336" i="28"/>
  <c r="A12337" i="28"/>
  <c r="A12338" i="28"/>
  <c r="A12339" i="28"/>
  <c r="A12340" i="28"/>
  <c r="A12341" i="28"/>
  <c r="A12342" i="28"/>
  <c r="A12343" i="28"/>
  <c r="A12344" i="28"/>
  <c r="A12345" i="28"/>
  <c r="A12346" i="28"/>
  <c r="A12347" i="28"/>
  <c r="A12348" i="28"/>
  <c r="A12349" i="28"/>
  <c r="A12350" i="28"/>
  <c r="A12351" i="28"/>
  <c r="A12352" i="28"/>
  <c r="A12353" i="28"/>
  <c r="A12354" i="28"/>
  <c r="A12355" i="28"/>
  <c r="A12356" i="28"/>
  <c r="A12357" i="28"/>
  <c r="A12358" i="28"/>
  <c r="A12359" i="28"/>
  <c r="A12360" i="28"/>
  <c r="A12361" i="28"/>
  <c r="A12362" i="28"/>
  <c r="A12363" i="28"/>
  <c r="A12364" i="28"/>
  <c r="A12365" i="28"/>
  <c r="A12366" i="28"/>
  <c r="A12367" i="28"/>
  <c r="A12368" i="28"/>
  <c r="A12369" i="28"/>
  <c r="A12370" i="28"/>
  <c r="A12371" i="28"/>
  <c r="A12372" i="28"/>
  <c r="A12373" i="28"/>
  <c r="A12374" i="28"/>
  <c r="A12375" i="28"/>
  <c r="A12376" i="28"/>
  <c r="A12377" i="28"/>
  <c r="A12378" i="28"/>
  <c r="A12379" i="28"/>
  <c r="A12380" i="28"/>
  <c r="A12381" i="28"/>
  <c r="A12382" i="28"/>
  <c r="A12383" i="28"/>
  <c r="A12384" i="28"/>
  <c r="A12385" i="28"/>
  <c r="A12386" i="28"/>
  <c r="A12387" i="28"/>
  <c r="A12388" i="28"/>
  <c r="A12389" i="28"/>
  <c r="A12390" i="28"/>
  <c r="A12391" i="28"/>
  <c r="A12392" i="28"/>
  <c r="A12393" i="28"/>
  <c r="A12394" i="28"/>
  <c r="A12395" i="28"/>
  <c r="A12396" i="28"/>
  <c r="A12397" i="28"/>
  <c r="A12398" i="28"/>
  <c r="A12399" i="28"/>
  <c r="A12400" i="28"/>
  <c r="A12401" i="28"/>
  <c r="A12402" i="28"/>
  <c r="A12403" i="28"/>
  <c r="A12404" i="28"/>
  <c r="A12405" i="28"/>
  <c r="A12406" i="28"/>
  <c r="A12407" i="28"/>
  <c r="A12408" i="28"/>
  <c r="A12409" i="28"/>
  <c r="A12410" i="28"/>
  <c r="A12411" i="28"/>
  <c r="A12412" i="28"/>
  <c r="A12413" i="28"/>
  <c r="A12414" i="28"/>
  <c r="A12415" i="28"/>
  <c r="A12416" i="28"/>
  <c r="A12417" i="28"/>
  <c r="A12418" i="28"/>
  <c r="A12419" i="28"/>
  <c r="A12420" i="28"/>
  <c r="A12421" i="28"/>
  <c r="A12422" i="28"/>
  <c r="A12423" i="28"/>
  <c r="A12424" i="28"/>
  <c r="A12425" i="28"/>
  <c r="A12426" i="28"/>
  <c r="A12427" i="28"/>
  <c r="A12428" i="28"/>
  <c r="A12429" i="28"/>
  <c r="A12430" i="28"/>
  <c r="A12431" i="28"/>
  <c r="A12432" i="28"/>
  <c r="A12433" i="28"/>
  <c r="A12434" i="28"/>
  <c r="A12435" i="28"/>
  <c r="A12436" i="28"/>
  <c r="A12437" i="28"/>
  <c r="A12438" i="28"/>
  <c r="A12439" i="28"/>
  <c r="A12440" i="28"/>
  <c r="A12441" i="28"/>
  <c r="A12442" i="28"/>
  <c r="A12443" i="28"/>
  <c r="A12444" i="28"/>
  <c r="A12445" i="28"/>
  <c r="A12446" i="28"/>
  <c r="A12447" i="28"/>
  <c r="A12448" i="28"/>
  <c r="A12449" i="28"/>
  <c r="A12450" i="28"/>
  <c r="A12451" i="28"/>
  <c r="A12452" i="28"/>
  <c r="A12453" i="28"/>
  <c r="A12454" i="28"/>
  <c r="A12455" i="28"/>
  <c r="A12456" i="28"/>
  <c r="A12457" i="28"/>
  <c r="A12458" i="28"/>
  <c r="A12459" i="28"/>
  <c r="A12460" i="28"/>
  <c r="A12461" i="28"/>
  <c r="A12462" i="28"/>
  <c r="A12463" i="28"/>
  <c r="A12464" i="28"/>
  <c r="A12465" i="28"/>
  <c r="A12466" i="28"/>
  <c r="A12467" i="28"/>
  <c r="A12468" i="28"/>
  <c r="A12469" i="28"/>
  <c r="A12470" i="28"/>
  <c r="A12471" i="28"/>
  <c r="A12472" i="28"/>
  <c r="A12473" i="28"/>
  <c r="A12474" i="28"/>
  <c r="A12475" i="28"/>
  <c r="A12476" i="28"/>
  <c r="A12477" i="28"/>
  <c r="A12478" i="28"/>
  <c r="A12479" i="28"/>
  <c r="A12480" i="28"/>
  <c r="A12481" i="28"/>
  <c r="A12482" i="28"/>
  <c r="A12483" i="28"/>
  <c r="A12484" i="28"/>
  <c r="A12485" i="28"/>
  <c r="A12486" i="28"/>
  <c r="A12487" i="28"/>
  <c r="A12488" i="28"/>
  <c r="A12489" i="28"/>
  <c r="A12490" i="28"/>
  <c r="A12491" i="28"/>
  <c r="A12492" i="28"/>
  <c r="A12493" i="28"/>
  <c r="A12494" i="28"/>
  <c r="A12495" i="28"/>
  <c r="A12496" i="28"/>
  <c r="A12497" i="28"/>
  <c r="A12498" i="28"/>
  <c r="A12499" i="28"/>
  <c r="A12500" i="28"/>
  <c r="A12501" i="28"/>
  <c r="A12502" i="28"/>
  <c r="A12503" i="28"/>
  <c r="A12504" i="28"/>
  <c r="A12505" i="28"/>
  <c r="A12506" i="28"/>
  <c r="A12507" i="28"/>
  <c r="A12508" i="28"/>
  <c r="A12509" i="28"/>
  <c r="A12510" i="28"/>
  <c r="A12511" i="28"/>
  <c r="A12512" i="28"/>
  <c r="A12513" i="28"/>
  <c r="A12514" i="28"/>
  <c r="A12515" i="28"/>
  <c r="A12516" i="28"/>
  <c r="A12517" i="28"/>
  <c r="A12518" i="28"/>
  <c r="A12519" i="28"/>
  <c r="A12520" i="28"/>
  <c r="A12521" i="28"/>
  <c r="A12522" i="28"/>
  <c r="A12523" i="28"/>
  <c r="A12524" i="28"/>
  <c r="A12525" i="28"/>
  <c r="A12526" i="28"/>
  <c r="A12527" i="28"/>
  <c r="A12528" i="28"/>
  <c r="A12529" i="28"/>
  <c r="A12530" i="28"/>
  <c r="A12531" i="28"/>
  <c r="A12532" i="28"/>
  <c r="A12533" i="28"/>
  <c r="A12534" i="28"/>
  <c r="A12535" i="28"/>
  <c r="A12536" i="28"/>
  <c r="A12537" i="28"/>
  <c r="A12538" i="28"/>
  <c r="A12539" i="28"/>
  <c r="A12540" i="28"/>
  <c r="A12541" i="28"/>
  <c r="A12542" i="28"/>
  <c r="A12543" i="28"/>
  <c r="A12544" i="28"/>
  <c r="A12545" i="28"/>
  <c r="A12546" i="28"/>
  <c r="A12547" i="28"/>
  <c r="A12548" i="28"/>
  <c r="A12549" i="28"/>
  <c r="A12550" i="28"/>
  <c r="A12551" i="28"/>
  <c r="A12552" i="28"/>
  <c r="A12553" i="28"/>
  <c r="A12554" i="28"/>
  <c r="A12555" i="28"/>
  <c r="A12556" i="28"/>
  <c r="A12557" i="28"/>
  <c r="A12558" i="28"/>
  <c r="A12559" i="28"/>
  <c r="A12560" i="28"/>
  <c r="A12561" i="28"/>
  <c r="A12562" i="28"/>
  <c r="A12563" i="28"/>
  <c r="A12564" i="28"/>
  <c r="A12565" i="28"/>
  <c r="A12566" i="28"/>
  <c r="A12567" i="28"/>
  <c r="A12568" i="28"/>
  <c r="A12569" i="28"/>
  <c r="A12570" i="28"/>
  <c r="A12571" i="28"/>
  <c r="A12572" i="28"/>
  <c r="A12573" i="28"/>
  <c r="A12574" i="28"/>
  <c r="A12575" i="28"/>
  <c r="A12576" i="28"/>
  <c r="A12577" i="28"/>
  <c r="A12578" i="28"/>
  <c r="A12579" i="28"/>
  <c r="A12580" i="28"/>
  <c r="A12581" i="28"/>
  <c r="A12582" i="28"/>
  <c r="A12583" i="28"/>
  <c r="A12584" i="28"/>
  <c r="A12585" i="28"/>
  <c r="A12586" i="28"/>
  <c r="A12587" i="28"/>
  <c r="A12588" i="28"/>
  <c r="A12589" i="28"/>
  <c r="A12590" i="28"/>
  <c r="A12591" i="28"/>
  <c r="A12592" i="28"/>
  <c r="A12593" i="28"/>
  <c r="A12594" i="28"/>
  <c r="A12595" i="28"/>
  <c r="A12596" i="28"/>
  <c r="A12597" i="28"/>
  <c r="A12598" i="28"/>
  <c r="A12599" i="28"/>
  <c r="A12600" i="28"/>
  <c r="A12601" i="28"/>
  <c r="A12602" i="28"/>
  <c r="A12603" i="28"/>
  <c r="A12604" i="28"/>
  <c r="A12605" i="28"/>
  <c r="A12606" i="28"/>
  <c r="A12607" i="28"/>
  <c r="A12608" i="28"/>
  <c r="A12609" i="28"/>
  <c r="A12610" i="28"/>
  <c r="A12611" i="28"/>
  <c r="A12612" i="28"/>
  <c r="A12613" i="28"/>
  <c r="A12614" i="28"/>
  <c r="A12615" i="28"/>
  <c r="A12616" i="28"/>
  <c r="A12617" i="28"/>
  <c r="A12618" i="28"/>
  <c r="A12619" i="28"/>
  <c r="A12620" i="28"/>
  <c r="A12621" i="28"/>
  <c r="A12622" i="28"/>
  <c r="A12623" i="28"/>
  <c r="A12624" i="28"/>
  <c r="A12625" i="28"/>
  <c r="A12626" i="28"/>
  <c r="A12627" i="28"/>
  <c r="A12628" i="28"/>
  <c r="A12629" i="28"/>
  <c r="A12630" i="28"/>
  <c r="A12631" i="28"/>
  <c r="A12632" i="28"/>
  <c r="A12633" i="28"/>
  <c r="A12634" i="28"/>
  <c r="A12635" i="28"/>
  <c r="A12636" i="28"/>
  <c r="A12637" i="28"/>
  <c r="A12638" i="28"/>
  <c r="A12639" i="28"/>
  <c r="A12640" i="28"/>
  <c r="A12641" i="28"/>
  <c r="A12642" i="28"/>
  <c r="A12643" i="28"/>
  <c r="A12644" i="28"/>
  <c r="A12645" i="28"/>
  <c r="A12646" i="28"/>
  <c r="A12647" i="28"/>
  <c r="A12648" i="28"/>
  <c r="A12649" i="28"/>
  <c r="A12650" i="28"/>
  <c r="A12651" i="28"/>
  <c r="A12652" i="28"/>
  <c r="A12653" i="28"/>
  <c r="A12654" i="28"/>
  <c r="A12655" i="28"/>
  <c r="A12656" i="28"/>
  <c r="A12657" i="28"/>
  <c r="A12658" i="28"/>
  <c r="A12659" i="28"/>
  <c r="A12660" i="28"/>
  <c r="A12661" i="28"/>
  <c r="A12662" i="28"/>
  <c r="A12663" i="28"/>
  <c r="A12664" i="28"/>
  <c r="A12665" i="28"/>
  <c r="A12666" i="28"/>
  <c r="A12667" i="28"/>
  <c r="A12668" i="28"/>
  <c r="A12669" i="28"/>
  <c r="A12670" i="28"/>
  <c r="A12671" i="28"/>
  <c r="A12672" i="28"/>
  <c r="A12673" i="28"/>
  <c r="A12674" i="28"/>
  <c r="A12675" i="28"/>
  <c r="A12676" i="28"/>
  <c r="A12677" i="28"/>
  <c r="A12678" i="28"/>
  <c r="A12679" i="28"/>
  <c r="A12680" i="28"/>
  <c r="A12681" i="28"/>
  <c r="A12682" i="28"/>
  <c r="A12683" i="28"/>
  <c r="A12684" i="28"/>
  <c r="A12685" i="28"/>
  <c r="A12686" i="28"/>
  <c r="A12687" i="28"/>
  <c r="A12688" i="28"/>
  <c r="A12689" i="28"/>
  <c r="A12690" i="28"/>
  <c r="A12691" i="28"/>
  <c r="A12692" i="28"/>
  <c r="A12693" i="28"/>
  <c r="A12694" i="28"/>
  <c r="A12695" i="28"/>
  <c r="A12696" i="28"/>
  <c r="A12697" i="28"/>
  <c r="A12698" i="28"/>
  <c r="A12699" i="28"/>
  <c r="A12700" i="28"/>
  <c r="A12701" i="28"/>
  <c r="A12702" i="28"/>
  <c r="A12703" i="28"/>
  <c r="A12704" i="28"/>
  <c r="A12705" i="28"/>
  <c r="A12706" i="28"/>
  <c r="A12707" i="28"/>
  <c r="A12708" i="28"/>
  <c r="A12709" i="28"/>
  <c r="A12710" i="28"/>
  <c r="A12711" i="28"/>
  <c r="A12712" i="28"/>
  <c r="A12713" i="28"/>
  <c r="A12714" i="28"/>
  <c r="A12715" i="28"/>
  <c r="A12716" i="28"/>
  <c r="A12717" i="28"/>
  <c r="A12718" i="28"/>
  <c r="A12719" i="28"/>
  <c r="A12720" i="28"/>
  <c r="A12721" i="28"/>
  <c r="A12722" i="28"/>
  <c r="A12723" i="28"/>
  <c r="A12724" i="28"/>
  <c r="A12725" i="28"/>
  <c r="A12726" i="28"/>
  <c r="A12727" i="28"/>
  <c r="A12728" i="28"/>
  <c r="A12729" i="28"/>
  <c r="A12730" i="28"/>
  <c r="A12731" i="28"/>
  <c r="A12732" i="28"/>
  <c r="A12733" i="28"/>
  <c r="A12734" i="28"/>
  <c r="A12735" i="28"/>
  <c r="A12736" i="28"/>
  <c r="A12737" i="28"/>
  <c r="A12738" i="28"/>
  <c r="A12739" i="28"/>
  <c r="A12740" i="28"/>
  <c r="A12741" i="28"/>
  <c r="A12742" i="28"/>
  <c r="A12743" i="28"/>
  <c r="A12744" i="28"/>
  <c r="A12745" i="28"/>
  <c r="A12746" i="28"/>
  <c r="A12747" i="28"/>
  <c r="A12748" i="28"/>
  <c r="A12749" i="28"/>
  <c r="A12750" i="28"/>
  <c r="A12751" i="28"/>
  <c r="A12752" i="28"/>
  <c r="A12753" i="28"/>
  <c r="A12754" i="28"/>
  <c r="A12755" i="28"/>
  <c r="A12756" i="28"/>
  <c r="A12757" i="28"/>
  <c r="A12758" i="28"/>
  <c r="A12759" i="28"/>
  <c r="A12760" i="28"/>
  <c r="A12761" i="28"/>
  <c r="A12762" i="28"/>
  <c r="A12763" i="28"/>
  <c r="A12764" i="28"/>
  <c r="A12765" i="28"/>
  <c r="A12766" i="28"/>
  <c r="A12767" i="28"/>
  <c r="A12768" i="28"/>
  <c r="A12769" i="28"/>
  <c r="A12770" i="28"/>
  <c r="A12771" i="28"/>
  <c r="A12772" i="28"/>
  <c r="A12773" i="28"/>
  <c r="A12774" i="28"/>
  <c r="A12775" i="28"/>
  <c r="A12776" i="28"/>
  <c r="A12777" i="28"/>
  <c r="A12778" i="28"/>
  <c r="A12779" i="28"/>
  <c r="A12780" i="28"/>
  <c r="A12781" i="28"/>
  <c r="A12782" i="28"/>
  <c r="A12783" i="28"/>
  <c r="A12784" i="28"/>
  <c r="A12785" i="28"/>
  <c r="A12786" i="28"/>
  <c r="A12787" i="28"/>
  <c r="A12788" i="28"/>
  <c r="A12789" i="28"/>
  <c r="A12790" i="28"/>
  <c r="A12791" i="28"/>
  <c r="A12792" i="28"/>
  <c r="A12793" i="28"/>
  <c r="A12794" i="28"/>
  <c r="A12795" i="28"/>
  <c r="A12796" i="28"/>
  <c r="A12797" i="28"/>
  <c r="A12798" i="28"/>
  <c r="A12799" i="28"/>
  <c r="A12800" i="28"/>
  <c r="A12801" i="28"/>
  <c r="A12802" i="28"/>
  <c r="A12803" i="28"/>
  <c r="A12804" i="28"/>
  <c r="A12805" i="28"/>
  <c r="A12806" i="28"/>
  <c r="A12807" i="28"/>
  <c r="A12808" i="28"/>
  <c r="A12809" i="28"/>
  <c r="A12810" i="28"/>
  <c r="A12811" i="28"/>
  <c r="A12812" i="28"/>
  <c r="A12813" i="28"/>
  <c r="A12814" i="28"/>
  <c r="A12815" i="28"/>
  <c r="A12816" i="28"/>
  <c r="A12817" i="28"/>
  <c r="A12818" i="28"/>
  <c r="A12819" i="28"/>
  <c r="A12820" i="28"/>
  <c r="A12821" i="28"/>
  <c r="A12822" i="28"/>
  <c r="A12823" i="28"/>
  <c r="A12824" i="28"/>
  <c r="A12825" i="28"/>
  <c r="A12826" i="28"/>
  <c r="A12827" i="28"/>
  <c r="A12828" i="28"/>
  <c r="A12829" i="28"/>
  <c r="A12830" i="28"/>
  <c r="A12831" i="28"/>
  <c r="A12832" i="28"/>
  <c r="A12833" i="28"/>
  <c r="A12834" i="28"/>
  <c r="A12835" i="28"/>
  <c r="A12836" i="28"/>
  <c r="A12837" i="28"/>
  <c r="A12838" i="28"/>
  <c r="A12839" i="28"/>
  <c r="A12840" i="28"/>
  <c r="A12841" i="28"/>
  <c r="A12842" i="28"/>
  <c r="A12843" i="28"/>
  <c r="A12844" i="28"/>
  <c r="A12845" i="28"/>
  <c r="A12846" i="28"/>
  <c r="A12847" i="28"/>
  <c r="A12848" i="28"/>
  <c r="A12849" i="28"/>
  <c r="A12850" i="28"/>
  <c r="A12851" i="28"/>
  <c r="A12852" i="28"/>
  <c r="A12853" i="28"/>
  <c r="A12854" i="28"/>
  <c r="A12855" i="28"/>
  <c r="A12856" i="28"/>
  <c r="A12857" i="28"/>
  <c r="A12858" i="28"/>
  <c r="A12859" i="28"/>
  <c r="A12860" i="28"/>
  <c r="A12861" i="28"/>
  <c r="A12862" i="28"/>
  <c r="A12863" i="28"/>
  <c r="A12864" i="28"/>
  <c r="A12865" i="28"/>
  <c r="A12866" i="28"/>
  <c r="A12867" i="28"/>
  <c r="A12868" i="28"/>
  <c r="A12869" i="28"/>
  <c r="A12870" i="28"/>
  <c r="A12871" i="28"/>
  <c r="A12872" i="28"/>
  <c r="A12873" i="28"/>
  <c r="A12874" i="28"/>
  <c r="A12875" i="28"/>
  <c r="A12876" i="28"/>
  <c r="A12877" i="28"/>
  <c r="A12878" i="28"/>
  <c r="A12879" i="28"/>
  <c r="A12880" i="28"/>
  <c r="A12881" i="28"/>
  <c r="A12882" i="28"/>
  <c r="A12883" i="28"/>
  <c r="A12884" i="28"/>
  <c r="A12885" i="28"/>
  <c r="A12886" i="28"/>
  <c r="A12887" i="28"/>
  <c r="A12888" i="28"/>
  <c r="A12889" i="28"/>
  <c r="A12890" i="28"/>
  <c r="A12891" i="28"/>
  <c r="A12892" i="28"/>
  <c r="A12893" i="28"/>
  <c r="A12894" i="28"/>
  <c r="A12895" i="28"/>
  <c r="A12896" i="28"/>
  <c r="A12897" i="28"/>
  <c r="A12898" i="28"/>
  <c r="A12899" i="28"/>
  <c r="A12900" i="28"/>
  <c r="A12901" i="28"/>
  <c r="A12902" i="28"/>
  <c r="A12903" i="28"/>
  <c r="A12904" i="28"/>
  <c r="A12905" i="28"/>
  <c r="A12906" i="28"/>
  <c r="A12907" i="28"/>
  <c r="A12908" i="28"/>
  <c r="A12909" i="28"/>
  <c r="A12910" i="28"/>
  <c r="A12911" i="28"/>
  <c r="A12912" i="28"/>
  <c r="A12913" i="28"/>
  <c r="A12914" i="28"/>
  <c r="A12915" i="28"/>
  <c r="A12916" i="28"/>
  <c r="A12917" i="28"/>
  <c r="A12918" i="28"/>
  <c r="A12919" i="28"/>
  <c r="A12920" i="28"/>
  <c r="A12921" i="28"/>
  <c r="A12922" i="28"/>
  <c r="A12923" i="28"/>
  <c r="A12924" i="28"/>
  <c r="A12925" i="28"/>
  <c r="A12926" i="28"/>
  <c r="A12927" i="28"/>
  <c r="A12928" i="28"/>
  <c r="A12929" i="28"/>
  <c r="A12930" i="28"/>
  <c r="A12931" i="28"/>
  <c r="A12932" i="28"/>
  <c r="A12933" i="28"/>
  <c r="A12934" i="28"/>
  <c r="A12935" i="28"/>
  <c r="A12936" i="28"/>
  <c r="A12937" i="28"/>
  <c r="A12938" i="28"/>
  <c r="A12939" i="28"/>
  <c r="A12940" i="28"/>
  <c r="A12941" i="28"/>
  <c r="A12942" i="28"/>
  <c r="A12943" i="28"/>
  <c r="A12944" i="28"/>
  <c r="A12945" i="28"/>
  <c r="A12946" i="28"/>
  <c r="A12947" i="28"/>
  <c r="A12948" i="28"/>
  <c r="A12949" i="28"/>
  <c r="A12950" i="28"/>
  <c r="A12951" i="28"/>
  <c r="A12952" i="28"/>
  <c r="A12953" i="28"/>
  <c r="A12954" i="28"/>
  <c r="A12955" i="28"/>
  <c r="A12956" i="28"/>
  <c r="A12957" i="28"/>
  <c r="A12958" i="28"/>
  <c r="A12959" i="28"/>
  <c r="A12960" i="28"/>
  <c r="A12961" i="28"/>
  <c r="A12962" i="28"/>
  <c r="A12963" i="28"/>
  <c r="A12964" i="28"/>
  <c r="A12965" i="28"/>
  <c r="A12966" i="28"/>
  <c r="A12967" i="28"/>
  <c r="A12968" i="28"/>
  <c r="A12969" i="28"/>
  <c r="A12970" i="28"/>
  <c r="A12971" i="28"/>
  <c r="A12972" i="28"/>
  <c r="A12973" i="28"/>
  <c r="A12974" i="28"/>
  <c r="A12975" i="28"/>
  <c r="A12976" i="28"/>
  <c r="A12977" i="28"/>
  <c r="A12978" i="28"/>
  <c r="A12979" i="28"/>
  <c r="A12980" i="28"/>
  <c r="A12981" i="28"/>
  <c r="A12982" i="28"/>
  <c r="A12983" i="28"/>
  <c r="A12984" i="28"/>
  <c r="A12985" i="28"/>
  <c r="A12986" i="28"/>
  <c r="A12987" i="28"/>
  <c r="A12988" i="28"/>
  <c r="A12989" i="28"/>
  <c r="A12990" i="28"/>
  <c r="A12991" i="28"/>
  <c r="A12992" i="28"/>
  <c r="A12993" i="28"/>
  <c r="A12994" i="28"/>
  <c r="A12995" i="28"/>
  <c r="A12996" i="28"/>
  <c r="A12997" i="28"/>
  <c r="A12998" i="28"/>
  <c r="A12999" i="28"/>
  <c r="A13000" i="28"/>
  <c r="A13001" i="28"/>
  <c r="A13002" i="28"/>
  <c r="A13003" i="28"/>
  <c r="A13004" i="28"/>
  <c r="A13005" i="28"/>
  <c r="A13006" i="28"/>
  <c r="A13007" i="28"/>
  <c r="A13008" i="28"/>
  <c r="A13009" i="28"/>
  <c r="A13010" i="28"/>
  <c r="A13011" i="28"/>
  <c r="A13012" i="28"/>
  <c r="A13013" i="28"/>
  <c r="A13014" i="28"/>
  <c r="A13015" i="28"/>
  <c r="A13016" i="28"/>
  <c r="A13017" i="28"/>
  <c r="A13018" i="28"/>
  <c r="A13019" i="28"/>
  <c r="A13020" i="28"/>
  <c r="A13021" i="28"/>
  <c r="A13022" i="28"/>
  <c r="A13023" i="28"/>
  <c r="A13024" i="28"/>
  <c r="A13025" i="28"/>
  <c r="A13026" i="28"/>
  <c r="A13027" i="28"/>
  <c r="A13028" i="28"/>
  <c r="A13029" i="28"/>
  <c r="A13030" i="28"/>
  <c r="A13031" i="28"/>
  <c r="A13032" i="28"/>
  <c r="A13033" i="28"/>
  <c r="A13034" i="28"/>
  <c r="A13035" i="28"/>
  <c r="A13036" i="28"/>
  <c r="A13037" i="28"/>
  <c r="A13038" i="28"/>
  <c r="A13039" i="28"/>
  <c r="A13040" i="28"/>
  <c r="A13041" i="28"/>
  <c r="A13042" i="28"/>
  <c r="A13043" i="28"/>
  <c r="A13044" i="28"/>
  <c r="A13045" i="28"/>
  <c r="A13046" i="28"/>
  <c r="A13047" i="28"/>
  <c r="A13048" i="28"/>
  <c r="A13049" i="28"/>
  <c r="A13050" i="28"/>
  <c r="A13051" i="28"/>
  <c r="A13052" i="28"/>
  <c r="A13053" i="28"/>
  <c r="A13054" i="28"/>
  <c r="A13055" i="28"/>
  <c r="A13056" i="28"/>
  <c r="A13057" i="28"/>
  <c r="A13058" i="28"/>
  <c r="A13059" i="28"/>
  <c r="A13060" i="28"/>
  <c r="A13061" i="28"/>
  <c r="A13062" i="28"/>
  <c r="A13063" i="28"/>
  <c r="A13064" i="28"/>
  <c r="A13065" i="28"/>
  <c r="A13066" i="28"/>
  <c r="A13067" i="28"/>
  <c r="A13068" i="28"/>
  <c r="A13069" i="28"/>
  <c r="A13070" i="28"/>
  <c r="A13071" i="28"/>
  <c r="A13072" i="28"/>
  <c r="A13073" i="28"/>
  <c r="A13074" i="28"/>
  <c r="A13075" i="28"/>
  <c r="A13076" i="28"/>
  <c r="A13077" i="28"/>
  <c r="A13078" i="28"/>
  <c r="A13079" i="28"/>
  <c r="A13080" i="28"/>
  <c r="A13081" i="28"/>
  <c r="A13082" i="28"/>
  <c r="A13083" i="28"/>
  <c r="A13084" i="28"/>
  <c r="A13085" i="28"/>
  <c r="A13086" i="28"/>
  <c r="A13087" i="28"/>
  <c r="A13088" i="28"/>
  <c r="A13089" i="28"/>
  <c r="A13090" i="28"/>
  <c r="A13091" i="28"/>
  <c r="A13092" i="28"/>
  <c r="A13093" i="28"/>
  <c r="A13094" i="28"/>
  <c r="A13095" i="28"/>
  <c r="A13096" i="28"/>
  <c r="A13097" i="28"/>
  <c r="A13098" i="28"/>
  <c r="A13099" i="28"/>
  <c r="A13100" i="28"/>
  <c r="A13101" i="28"/>
  <c r="A13102" i="28"/>
  <c r="A13103" i="28"/>
  <c r="A13104" i="28"/>
  <c r="A13105" i="28"/>
  <c r="A13106" i="28"/>
  <c r="A13107" i="28"/>
  <c r="A13108" i="28"/>
  <c r="A13109" i="28"/>
  <c r="A13110" i="28"/>
  <c r="A13111" i="28"/>
  <c r="A13112" i="28"/>
  <c r="A13113" i="28"/>
  <c r="A13114" i="28"/>
  <c r="A13115" i="28"/>
  <c r="A13116" i="28"/>
  <c r="A13117" i="28"/>
  <c r="A13118" i="28"/>
  <c r="A13119" i="28"/>
  <c r="A13120" i="28"/>
  <c r="A13121" i="28"/>
  <c r="A13122" i="28"/>
  <c r="A13123" i="28"/>
  <c r="A13124" i="28"/>
  <c r="A13125" i="28"/>
  <c r="A13126" i="28"/>
  <c r="A13127" i="28"/>
  <c r="A13128" i="28"/>
  <c r="A13129" i="28"/>
  <c r="A13130" i="28"/>
  <c r="A13131" i="28"/>
  <c r="A13132" i="28"/>
  <c r="A13133" i="28"/>
  <c r="A13134" i="28"/>
  <c r="A13135" i="28"/>
  <c r="A13136" i="28"/>
  <c r="A13137" i="28"/>
  <c r="A13138" i="28"/>
  <c r="A13139" i="28"/>
  <c r="A13140" i="28"/>
  <c r="A13141" i="28"/>
  <c r="A13142" i="28"/>
  <c r="A13143" i="28"/>
  <c r="A13144" i="28"/>
  <c r="A13145" i="28"/>
  <c r="A13146" i="28"/>
  <c r="A13147" i="28"/>
  <c r="A13148" i="28"/>
  <c r="A13149" i="28"/>
  <c r="A13150" i="28"/>
  <c r="A13151" i="28"/>
  <c r="A13152" i="28"/>
  <c r="A13153" i="28"/>
  <c r="A13154" i="28"/>
  <c r="A13155" i="28"/>
  <c r="A13156" i="28"/>
  <c r="A13157" i="28"/>
  <c r="A13158" i="28"/>
  <c r="A13159" i="28"/>
  <c r="A13160" i="28"/>
  <c r="A13161" i="28"/>
  <c r="A13162" i="28"/>
  <c r="A13163" i="28"/>
  <c r="A13164" i="28"/>
  <c r="A13165" i="28"/>
  <c r="A13166" i="28"/>
  <c r="A13167" i="28"/>
  <c r="A13168" i="28"/>
  <c r="A13169" i="28"/>
  <c r="A13170" i="28"/>
  <c r="A13171" i="28"/>
  <c r="A13172" i="28"/>
  <c r="A13173" i="28"/>
  <c r="A13174" i="28"/>
  <c r="A13175" i="28"/>
  <c r="A13176" i="28"/>
  <c r="A13177" i="28"/>
  <c r="A13178" i="28"/>
  <c r="A13179" i="28"/>
  <c r="A13180" i="28"/>
  <c r="A13181" i="28"/>
  <c r="A13182" i="28"/>
  <c r="A13183" i="28"/>
  <c r="A13184" i="28"/>
  <c r="A13185" i="28"/>
  <c r="A13186" i="28"/>
  <c r="A13187" i="28"/>
  <c r="A13188" i="28"/>
  <c r="A13189" i="28"/>
  <c r="A13190" i="28"/>
  <c r="A13191" i="28"/>
  <c r="A13192" i="28"/>
  <c r="A13193" i="28"/>
  <c r="A13194" i="28"/>
  <c r="A13195" i="28"/>
  <c r="A13196" i="28"/>
  <c r="A13197" i="28"/>
  <c r="A13198" i="28"/>
  <c r="A13199" i="28"/>
  <c r="A13200" i="28"/>
  <c r="A13201" i="28"/>
  <c r="A13202" i="28"/>
  <c r="A13203" i="28"/>
  <c r="A13204" i="28"/>
  <c r="A13205" i="28"/>
  <c r="A13206" i="28"/>
  <c r="A13207" i="28"/>
  <c r="A13208" i="28"/>
  <c r="A13209" i="28"/>
  <c r="A13210" i="28"/>
  <c r="A13211" i="28"/>
  <c r="A13212" i="28"/>
  <c r="A13213" i="28"/>
  <c r="A13214" i="28"/>
  <c r="A13215" i="28"/>
  <c r="A13216" i="28"/>
  <c r="A13217" i="28"/>
  <c r="A13218" i="28"/>
  <c r="A13219" i="28"/>
  <c r="A13220" i="28"/>
  <c r="A13221" i="28"/>
  <c r="A13222" i="28"/>
  <c r="A13223" i="28"/>
  <c r="A13224" i="28"/>
  <c r="A13225" i="28"/>
  <c r="A13226" i="28"/>
  <c r="A13227" i="28"/>
  <c r="A13228" i="28"/>
  <c r="A13229" i="28"/>
  <c r="A13230" i="28"/>
  <c r="A13231" i="28"/>
  <c r="A13232" i="28"/>
  <c r="A13233" i="28"/>
  <c r="A13234" i="28"/>
  <c r="A13235" i="28"/>
  <c r="A13236" i="28"/>
  <c r="A13237" i="28"/>
  <c r="A13238" i="28"/>
  <c r="A13239" i="28"/>
  <c r="A13240" i="28"/>
  <c r="A13241" i="28"/>
  <c r="A13242" i="28"/>
  <c r="A13243" i="28"/>
  <c r="A13244" i="28"/>
  <c r="A13245" i="28"/>
  <c r="A13246" i="28"/>
  <c r="A13247" i="28"/>
  <c r="A13248" i="28"/>
  <c r="A13249" i="28"/>
  <c r="A13250" i="28"/>
  <c r="A13251" i="28"/>
  <c r="A13252" i="28"/>
  <c r="A13253" i="28"/>
  <c r="A13254" i="28"/>
  <c r="A13255" i="28"/>
  <c r="A13256" i="28"/>
  <c r="A13257" i="28"/>
  <c r="A13258" i="28"/>
  <c r="A13259" i="28"/>
  <c r="A13260" i="28"/>
  <c r="A13261" i="28"/>
  <c r="A13262" i="28"/>
  <c r="A13263" i="28"/>
  <c r="A13264" i="28"/>
  <c r="A13265" i="28"/>
  <c r="A13266" i="28"/>
  <c r="A13267" i="28"/>
  <c r="A13268" i="28"/>
  <c r="A13269" i="28"/>
  <c r="A13270" i="28"/>
  <c r="A13271" i="28"/>
  <c r="A13272" i="28"/>
  <c r="A13273" i="28"/>
  <c r="A13274" i="28"/>
  <c r="A13275" i="28"/>
  <c r="A13276" i="28"/>
  <c r="A13277" i="28"/>
  <c r="A13278" i="28"/>
  <c r="A13279" i="28"/>
  <c r="A13280" i="28"/>
  <c r="A13281" i="28"/>
  <c r="A13282" i="28"/>
  <c r="A13283" i="28"/>
  <c r="A13284" i="28"/>
  <c r="A13285" i="28"/>
  <c r="A13286" i="28"/>
  <c r="A13287" i="28"/>
  <c r="A13288" i="28"/>
  <c r="A13289" i="28"/>
  <c r="A13290" i="28"/>
  <c r="A13291" i="28"/>
  <c r="A13292" i="28"/>
  <c r="A13293" i="28"/>
  <c r="A13294" i="28"/>
  <c r="A13295" i="28"/>
  <c r="A13296" i="28"/>
  <c r="A13297" i="28"/>
  <c r="A13298" i="28"/>
  <c r="A13299" i="28"/>
  <c r="A13300" i="28"/>
  <c r="A13301" i="28"/>
  <c r="A13302" i="28"/>
  <c r="A13303" i="28"/>
  <c r="A13304" i="28"/>
  <c r="A13305" i="28"/>
  <c r="A13306" i="28"/>
  <c r="A13307" i="28"/>
  <c r="A13308" i="28"/>
  <c r="A13309" i="28"/>
  <c r="A13310" i="28"/>
  <c r="A13311" i="28"/>
  <c r="A13312" i="28"/>
  <c r="A13313" i="28"/>
  <c r="A13314" i="28"/>
  <c r="A13315" i="28"/>
  <c r="A13316" i="28"/>
  <c r="A13317" i="28"/>
  <c r="A13318" i="28"/>
  <c r="A13319" i="28"/>
  <c r="A13320" i="28"/>
  <c r="A13321" i="28"/>
  <c r="A13322" i="28"/>
  <c r="A13323" i="28"/>
  <c r="A13324" i="28"/>
  <c r="A13325" i="28"/>
  <c r="A13326" i="28"/>
  <c r="A13327" i="28"/>
  <c r="A13328" i="28"/>
  <c r="A13329" i="28"/>
  <c r="A13330" i="28"/>
  <c r="A13331" i="28"/>
  <c r="A13332" i="28"/>
  <c r="A13333" i="28"/>
  <c r="A13334" i="28"/>
  <c r="A13335" i="28"/>
  <c r="A13336" i="28"/>
  <c r="A13337" i="28"/>
  <c r="A13338" i="28"/>
  <c r="A13339" i="28"/>
  <c r="A13340" i="28"/>
  <c r="A13341" i="28"/>
  <c r="A13342" i="28"/>
  <c r="A13343" i="28"/>
  <c r="A13344" i="28"/>
  <c r="A13345" i="28"/>
  <c r="A13346" i="28"/>
  <c r="A13347" i="28"/>
  <c r="A13348" i="28"/>
  <c r="A13349" i="28"/>
  <c r="A13350" i="28"/>
  <c r="A13351" i="28"/>
  <c r="A13352" i="28"/>
  <c r="A13353" i="28"/>
  <c r="A13354" i="28"/>
  <c r="A13355" i="28"/>
  <c r="A13356" i="28"/>
  <c r="A13357" i="28"/>
  <c r="A13358" i="28"/>
  <c r="A13359" i="28"/>
  <c r="A13360" i="28"/>
  <c r="A13361" i="28"/>
  <c r="A13362" i="28"/>
  <c r="A13363" i="28"/>
  <c r="A13364" i="28"/>
  <c r="A13365" i="28"/>
  <c r="A13366" i="28"/>
  <c r="A13367" i="28"/>
  <c r="A13368" i="28"/>
  <c r="A13369" i="28"/>
  <c r="A13370" i="28"/>
  <c r="A13371" i="28"/>
  <c r="A13372" i="28"/>
  <c r="A13373" i="28"/>
  <c r="A13374" i="28"/>
  <c r="A13375" i="28"/>
  <c r="A13376" i="28"/>
  <c r="A13377" i="28"/>
  <c r="A13378" i="28"/>
  <c r="A13379" i="28"/>
  <c r="A13380" i="28"/>
  <c r="A13381" i="28"/>
  <c r="A13382" i="28"/>
  <c r="A13383" i="28"/>
  <c r="A13384" i="28"/>
  <c r="A13385" i="28"/>
  <c r="A13386" i="28"/>
  <c r="A13387" i="28"/>
  <c r="A13388" i="28"/>
  <c r="A13389" i="28"/>
  <c r="A13390" i="28"/>
  <c r="A13391" i="28"/>
  <c r="A13392" i="28"/>
  <c r="A13393" i="28"/>
  <c r="A13394" i="28"/>
  <c r="A13395" i="28"/>
  <c r="A13396" i="28"/>
  <c r="A13397" i="28"/>
  <c r="A13398" i="28"/>
  <c r="A13399" i="28"/>
  <c r="A13400" i="28"/>
  <c r="A13401" i="28"/>
  <c r="A13402" i="28"/>
  <c r="A13403" i="28"/>
  <c r="A13404" i="28"/>
  <c r="A13405" i="28"/>
  <c r="A13406" i="28"/>
  <c r="A13407" i="28"/>
  <c r="A13408" i="28"/>
  <c r="A13409" i="28"/>
  <c r="A13410" i="28"/>
  <c r="A13411" i="28"/>
  <c r="A13412" i="28"/>
  <c r="A13413" i="28"/>
  <c r="A13414" i="28"/>
  <c r="A13415" i="28"/>
  <c r="A13416" i="28"/>
  <c r="A13417" i="28"/>
  <c r="A13418" i="28"/>
  <c r="A13419" i="28"/>
  <c r="A13420" i="28"/>
  <c r="A13421" i="28"/>
  <c r="A13422" i="28"/>
  <c r="A13423" i="28"/>
  <c r="A13424" i="28"/>
  <c r="A13425" i="28"/>
  <c r="A13426" i="28"/>
  <c r="A13427" i="28"/>
  <c r="A13428" i="28"/>
  <c r="A13429" i="28"/>
  <c r="A13430" i="28"/>
  <c r="A13431" i="28"/>
  <c r="A13432" i="28"/>
  <c r="A13433" i="28"/>
  <c r="A13434" i="28"/>
  <c r="A13435" i="28"/>
  <c r="A13436" i="28"/>
  <c r="A13437" i="28"/>
  <c r="A13438" i="28"/>
  <c r="A13439" i="28"/>
  <c r="A13440" i="28"/>
  <c r="A13441" i="28"/>
  <c r="A13442" i="28"/>
  <c r="A13443" i="28"/>
  <c r="A13444" i="28"/>
  <c r="A13445" i="28"/>
  <c r="A13446" i="28"/>
  <c r="A13447" i="28"/>
  <c r="A13448" i="28"/>
  <c r="A13449" i="28"/>
  <c r="A13450" i="28"/>
  <c r="A13451" i="28"/>
  <c r="A13452" i="28"/>
  <c r="A13453" i="28"/>
  <c r="A13454" i="28"/>
  <c r="A13455" i="28"/>
  <c r="A13456" i="28"/>
  <c r="A13457" i="28"/>
  <c r="A13458" i="28"/>
  <c r="A13459" i="28"/>
  <c r="A13460" i="28"/>
  <c r="A13461" i="28"/>
  <c r="A13462" i="28"/>
  <c r="A13463" i="28"/>
  <c r="A13464" i="28"/>
  <c r="A13465" i="28"/>
  <c r="A13466" i="28"/>
  <c r="A13467" i="28"/>
  <c r="A13468" i="28"/>
  <c r="A13469" i="28"/>
  <c r="A13470" i="28"/>
  <c r="A13471" i="28"/>
  <c r="A13472" i="28"/>
  <c r="A13473" i="28"/>
  <c r="A13474" i="28"/>
  <c r="A13475" i="28"/>
  <c r="A13476" i="28"/>
  <c r="A13477" i="28"/>
  <c r="A13478" i="28"/>
  <c r="A13479" i="28"/>
  <c r="A13480" i="28"/>
  <c r="A13481" i="28"/>
  <c r="A13482" i="28"/>
  <c r="A13483" i="28"/>
  <c r="A13484" i="28"/>
  <c r="A13485" i="28"/>
  <c r="A13486" i="28"/>
  <c r="A13487" i="28"/>
  <c r="A13488" i="28"/>
  <c r="A13489" i="28"/>
  <c r="A13490" i="28"/>
  <c r="A13491" i="28"/>
  <c r="A13492" i="28"/>
  <c r="A13493" i="28"/>
  <c r="A13494" i="28"/>
  <c r="A13495" i="28"/>
  <c r="A13496" i="28"/>
  <c r="A13497" i="28"/>
  <c r="A13498" i="28"/>
  <c r="A13499" i="28"/>
  <c r="A13500" i="28"/>
  <c r="A13501" i="28"/>
  <c r="A13502" i="28"/>
  <c r="A13503" i="28"/>
  <c r="A13504" i="28"/>
  <c r="A13505" i="28"/>
  <c r="A13506" i="28"/>
  <c r="A13507" i="28"/>
  <c r="A13508" i="28"/>
  <c r="A13509" i="28"/>
  <c r="A13510" i="28"/>
  <c r="A13511" i="28"/>
  <c r="A13512" i="28"/>
  <c r="A13513" i="28"/>
  <c r="A13514" i="28"/>
  <c r="A13515" i="28"/>
  <c r="A13516" i="28"/>
  <c r="A13517" i="28"/>
  <c r="A13518" i="28"/>
  <c r="A13519" i="28"/>
  <c r="A13520" i="28"/>
  <c r="A13521" i="28"/>
  <c r="A13522" i="28"/>
  <c r="A13523" i="28"/>
  <c r="A13524" i="28"/>
  <c r="A13525" i="28"/>
  <c r="A13526" i="28"/>
  <c r="A13527" i="28"/>
  <c r="A13528" i="28"/>
  <c r="A13529" i="28"/>
  <c r="A13530" i="28"/>
  <c r="A13531" i="28"/>
  <c r="A13532" i="28"/>
  <c r="A13533" i="28"/>
  <c r="A13534" i="28"/>
  <c r="A13535" i="28"/>
  <c r="A13536" i="28"/>
  <c r="A13537" i="28"/>
  <c r="A13538" i="28"/>
  <c r="A13539" i="28"/>
  <c r="A13540" i="28"/>
  <c r="A13541" i="28"/>
  <c r="A13542" i="28"/>
  <c r="A13543" i="28"/>
  <c r="A13544" i="28"/>
  <c r="A13545" i="28"/>
  <c r="A13546" i="28"/>
  <c r="A13547" i="28"/>
  <c r="A13548" i="28"/>
  <c r="A13549" i="28"/>
  <c r="A13550" i="28"/>
  <c r="A13551" i="28"/>
  <c r="A13552" i="28"/>
  <c r="A13553" i="28"/>
  <c r="A13554" i="28"/>
  <c r="A13555" i="28"/>
  <c r="A13556" i="28"/>
  <c r="A13557" i="28"/>
  <c r="A13558" i="28"/>
  <c r="A13559" i="28"/>
  <c r="A13560" i="28"/>
  <c r="A13561" i="28"/>
  <c r="A13562" i="28"/>
  <c r="A13563" i="28"/>
  <c r="A13564" i="28"/>
  <c r="A13565" i="28"/>
  <c r="A13566" i="28"/>
  <c r="A13567" i="28"/>
  <c r="A13568" i="28"/>
  <c r="A13569" i="28"/>
  <c r="A13570" i="28"/>
  <c r="A13571" i="28"/>
  <c r="A13572" i="28"/>
  <c r="A13573" i="28"/>
  <c r="A13574" i="28"/>
  <c r="A13575" i="28"/>
  <c r="A13576" i="28"/>
  <c r="A13577" i="28"/>
  <c r="A13578" i="28"/>
  <c r="A13579" i="28"/>
  <c r="A13580" i="28"/>
  <c r="A13581" i="28"/>
  <c r="A13582" i="28"/>
  <c r="A13583" i="28"/>
  <c r="A13584" i="28"/>
  <c r="A13585" i="28"/>
  <c r="A13586" i="28"/>
  <c r="A13587" i="28"/>
  <c r="A13588" i="28"/>
  <c r="A13589" i="28"/>
  <c r="A13590" i="28"/>
  <c r="A13591" i="28"/>
  <c r="A13592" i="28"/>
  <c r="A13593" i="28"/>
  <c r="A13594" i="28"/>
  <c r="A13595" i="28"/>
  <c r="A13596" i="28"/>
  <c r="A13597" i="28"/>
  <c r="A13598" i="28"/>
  <c r="A13599" i="28"/>
  <c r="A13600" i="28"/>
  <c r="A13601" i="28"/>
  <c r="A13602" i="28"/>
  <c r="A13603" i="28"/>
  <c r="A13604" i="28"/>
  <c r="A13605" i="28"/>
  <c r="A13606" i="28"/>
  <c r="A13607" i="28"/>
  <c r="A13608" i="28"/>
  <c r="A13609" i="28"/>
  <c r="A13610" i="28"/>
  <c r="A13611" i="28"/>
  <c r="A13612" i="28"/>
  <c r="A13613" i="28"/>
  <c r="A13614" i="28"/>
  <c r="A13615" i="28"/>
  <c r="A13616" i="28"/>
  <c r="A13617" i="28"/>
  <c r="A13618" i="28"/>
  <c r="A13619" i="28"/>
  <c r="A13620" i="28"/>
  <c r="A13621" i="28"/>
  <c r="A13622" i="28"/>
  <c r="A13623" i="28"/>
  <c r="A13624" i="28"/>
  <c r="A13625" i="28"/>
  <c r="A13626" i="28"/>
  <c r="A13627" i="28"/>
  <c r="A13628" i="28"/>
  <c r="A13629" i="28"/>
  <c r="A13630" i="28"/>
  <c r="A13631" i="28"/>
  <c r="A13632" i="28"/>
  <c r="A13633" i="28"/>
  <c r="A13634" i="28"/>
  <c r="A13635" i="28"/>
  <c r="A13636" i="28"/>
  <c r="A13637" i="28"/>
  <c r="A13638" i="28"/>
  <c r="A13639" i="28"/>
  <c r="A13640" i="28"/>
  <c r="A13641" i="28"/>
  <c r="A13642" i="28"/>
  <c r="A13643" i="28"/>
  <c r="A13644" i="28"/>
  <c r="A13645" i="28"/>
  <c r="A13646" i="28"/>
  <c r="A13647" i="28"/>
  <c r="A13648" i="28"/>
  <c r="A13649" i="28"/>
  <c r="A13650" i="28"/>
  <c r="A13651" i="28"/>
  <c r="A13652" i="28"/>
  <c r="A13653" i="28"/>
  <c r="A13654" i="28"/>
  <c r="A13655" i="28"/>
  <c r="A13656" i="28"/>
  <c r="A13657" i="28"/>
  <c r="A13658" i="28"/>
  <c r="A13659" i="28"/>
  <c r="A13660" i="28"/>
  <c r="A13661" i="28"/>
  <c r="A13662" i="28"/>
  <c r="A13663" i="28"/>
  <c r="A13664" i="28"/>
  <c r="A13665" i="28"/>
  <c r="A13666" i="28"/>
  <c r="A13667" i="28"/>
  <c r="A13668" i="28"/>
  <c r="A13669" i="28"/>
  <c r="A13670" i="28"/>
  <c r="A13671" i="28"/>
  <c r="A13672" i="28"/>
  <c r="A13673" i="28"/>
  <c r="A13674" i="28"/>
  <c r="A13675" i="28"/>
  <c r="A13676" i="28"/>
  <c r="A13677" i="28"/>
  <c r="A13678" i="28"/>
  <c r="A13679" i="28"/>
  <c r="A13680" i="28"/>
  <c r="A13681" i="28"/>
  <c r="A13682" i="28"/>
  <c r="A13683" i="28"/>
  <c r="A13684" i="28"/>
  <c r="A13685" i="28"/>
  <c r="A13686" i="28"/>
  <c r="A13687" i="28"/>
  <c r="A13688" i="28"/>
  <c r="A13689" i="28"/>
  <c r="A13690" i="28"/>
  <c r="A13691" i="28"/>
  <c r="A13692" i="28"/>
  <c r="A13693" i="28"/>
  <c r="A13694" i="28"/>
  <c r="A13695" i="28"/>
  <c r="A13696" i="28"/>
  <c r="A13697" i="28"/>
  <c r="A13698" i="28"/>
  <c r="A13699" i="28"/>
  <c r="A13700" i="28"/>
  <c r="A13701" i="28"/>
  <c r="A13702" i="28"/>
  <c r="A13703" i="28"/>
  <c r="A13704" i="28"/>
  <c r="A13705" i="28"/>
  <c r="A13706" i="28"/>
  <c r="A13707" i="28"/>
  <c r="A13708" i="28"/>
  <c r="A13709" i="28"/>
  <c r="A13710" i="28"/>
  <c r="A13711" i="28"/>
  <c r="A13712" i="28"/>
  <c r="A13713" i="28"/>
  <c r="A13714" i="28"/>
  <c r="A13715" i="28"/>
  <c r="A13716" i="28"/>
  <c r="A13717" i="28"/>
  <c r="A13718" i="28"/>
  <c r="A13719" i="28"/>
  <c r="A13720" i="28"/>
  <c r="A13721" i="28"/>
  <c r="A13722" i="28"/>
  <c r="A13723" i="28"/>
  <c r="A13724" i="28"/>
  <c r="A13725" i="28"/>
  <c r="A13726" i="28"/>
  <c r="A13727" i="28"/>
  <c r="A13728" i="28"/>
  <c r="A13729" i="28"/>
  <c r="A13730" i="28"/>
  <c r="A13731" i="28"/>
  <c r="A13732" i="28"/>
  <c r="A13733" i="28"/>
  <c r="A13734" i="28"/>
  <c r="A13735" i="28"/>
  <c r="A13736" i="28"/>
  <c r="A13737" i="28"/>
  <c r="A13738" i="28"/>
  <c r="A13739" i="28"/>
  <c r="A13740" i="28"/>
  <c r="A13741" i="28"/>
  <c r="A13742" i="28"/>
  <c r="A13743" i="28"/>
  <c r="A13744" i="28"/>
  <c r="A13745" i="28"/>
  <c r="A13746" i="28"/>
  <c r="A13747" i="28"/>
  <c r="A13748" i="28"/>
  <c r="A13749" i="28"/>
  <c r="A13750" i="28"/>
  <c r="A13751" i="28"/>
  <c r="A13752" i="28"/>
  <c r="A13753" i="28"/>
  <c r="A13754" i="28"/>
  <c r="A13755" i="28"/>
  <c r="A13756" i="28"/>
  <c r="A13757" i="28"/>
  <c r="A13758" i="28"/>
  <c r="A13759" i="28"/>
  <c r="A13760" i="28"/>
  <c r="A13761" i="28"/>
  <c r="A13762" i="28"/>
  <c r="A13763" i="28"/>
  <c r="A13764" i="28"/>
  <c r="A13765" i="28"/>
  <c r="A13766" i="28"/>
  <c r="A13767" i="28"/>
  <c r="A13768" i="28"/>
  <c r="A13769" i="28"/>
  <c r="A13770" i="28"/>
  <c r="A13771" i="28"/>
  <c r="A13772" i="28"/>
  <c r="A13773" i="28"/>
  <c r="A13774" i="28"/>
  <c r="A13775" i="28"/>
  <c r="A13776" i="28"/>
  <c r="A13777" i="28"/>
  <c r="A13778" i="28"/>
  <c r="A13779" i="28"/>
  <c r="A13780" i="28"/>
  <c r="A13781" i="28"/>
  <c r="A13782" i="28"/>
  <c r="A13783" i="28"/>
  <c r="A13784" i="28"/>
  <c r="A13785" i="28"/>
  <c r="A13786" i="28"/>
  <c r="A13787" i="28"/>
  <c r="A13788" i="28"/>
  <c r="A13789" i="28"/>
  <c r="A13790" i="28"/>
  <c r="A13791" i="28"/>
  <c r="A13792" i="28"/>
  <c r="A13793" i="28"/>
  <c r="A13794" i="28"/>
  <c r="A13795" i="28"/>
  <c r="A13796" i="28"/>
  <c r="A13797" i="28"/>
  <c r="A13798" i="28"/>
  <c r="A13799" i="28"/>
  <c r="A13800" i="28"/>
  <c r="A13801" i="28"/>
  <c r="A13802" i="28"/>
  <c r="A13803" i="28"/>
  <c r="A13804" i="28"/>
  <c r="A13805" i="28"/>
  <c r="A13806" i="28"/>
  <c r="A13807" i="28"/>
  <c r="A13808" i="28"/>
  <c r="A13809" i="28"/>
  <c r="A13810" i="28"/>
  <c r="A13811" i="28"/>
  <c r="A13812" i="28"/>
  <c r="A13813" i="28"/>
  <c r="A13814" i="28"/>
  <c r="A13815" i="28"/>
  <c r="A13816" i="28"/>
  <c r="A13817" i="28"/>
  <c r="A13818" i="28"/>
  <c r="A13819" i="28"/>
  <c r="A13820" i="28"/>
  <c r="A13821" i="28"/>
  <c r="A13822" i="28"/>
  <c r="A13823" i="28"/>
  <c r="A13824" i="28"/>
  <c r="A13825" i="28"/>
  <c r="A13826" i="28"/>
  <c r="A13827" i="28"/>
  <c r="A13828" i="28"/>
  <c r="A13829" i="28"/>
  <c r="A13830" i="28"/>
  <c r="A13831" i="28"/>
  <c r="A13832" i="28"/>
  <c r="A13833" i="28"/>
  <c r="A13834" i="28"/>
  <c r="A13835" i="28"/>
  <c r="A13836" i="28"/>
  <c r="A13837" i="28"/>
  <c r="A13838" i="28"/>
  <c r="A13839" i="28"/>
  <c r="A13840" i="28"/>
  <c r="A13841" i="28"/>
  <c r="A13842" i="28"/>
  <c r="A13843" i="28"/>
  <c r="A13844" i="28"/>
  <c r="A13845" i="28"/>
  <c r="A13846" i="28"/>
  <c r="A13847" i="28"/>
  <c r="A13848" i="28"/>
  <c r="A13849" i="28"/>
  <c r="A13850" i="28"/>
  <c r="A13851" i="28"/>
  <c r="A13852" i="28"/>
  <c r="A13853" i="28"/>
  <c r="A13854" i="28"/>
  <c r="A13855" i="28"/>
  <c r="A13856" i="28"/>
  <c r="A13857" i="28"/>
  <c r="A13858" i="28"/>
  <c r="A13859" i="28"/>
  <c r="A13860" i="28"/>
  <c r="A13861" i="28"/>
  <c r="A13862" i="28"/>
  <c r="A13863" i="28"/>
  <c r="A13864" i="28"/>
  <c r="A13865" i="28"/>
  <c r="A13866" i="28"/>
  <c r="A13867" i="28"/>
  <c r="A13868" i="28"/>
  <c r="A13869" i="28"/>
  <c r="A13870" i="28"/>
  <c r="A13871" i="28"/>
  <c r="A13872" i="28"/>
  <c r="A13873" i="28"/>
  <c r="A13874" i="28"/>
  <c r="A13875" i="28"/>
  <c r="A13876" i="28"/>
  <c r="A13877" i="28"/>
  <c r="A13878" i="28"/>
  <c r="A13879" i="28"/>
  <c r="A13880" i="28"/>
  <c r="A13881" i="28"/>
  <c r="A13882" i="28"/>
  <c r="A13883" i="28"/>
  <c r="A13884" i="28"/>
  <c r="A13885" i="28"/>
  <c r="A13886" i="28"/>
  <c r="A13887" i="28"/>
  <c r="A13888" i="28"/>
  <c r="A13889" i="28"/>
  <c r="A13890" i="28"/>
  <c r="A13891" i="28"/>
  <c r="A13892" i="28"/>
  <c r="A13893" i="28"/>
  <c r="A13894" i="28"/>
  <c r="A13895" i="28"/>
  <c r="A13896" i="28"/>
  <c r="A13897" i="28"/>
  <c r="A13898" i="28"/>
  <c r="A13899" i="28"/>
  <c r="A13900" i="28"/>
  <c r="A13901" i="28"/>
  <c r="A13902" i="28"/>
  <c r="A13903" i="28"/>
  <c r="A13904" i="28"/>
  <c r="A13905" i="28"/>
  <c r="A13906" i="28"/>
  <c r="A13907" i="28"/>
  <c r="A13908" i="28"/>
  <c r="A13909" i="28"/>
  <c r="A13910" i="28"/>
  <c r="A13911" i="28"/>
  <c r="A13912" i="28"/>
  <c r="A13913" i="28"/>
  <c r="A13914" i="28"/>
  <c r="A13915" i="28"/>
  <c r="A13916" i="28"/>
  <c r="A13917" i="28"/>
  <c r="A13918" i="28"/>
  <c r="A13919" i="28"/>
  <c r="A13920" i="28"/>
  <c r="A13921" i="28"/>
  <c r="A13922" i="28"/>
  <c r="A13923" i="28"/>
  <c r="A13924" i="28"/>
  <c r="A13925" i="28"/>
  <c r="A13926" i="28"/>
  <c r="A13927" i="28"/>
  <c r="A13928" i="28"/>
  <c r="A13929" i="28"/>
  <c r="A13930" i="28"/>
  <c r="A13931" i="28"/>
  <c r="A13932" i="28"/>
  <c r="A13933" i="28"/>
  <c r="A13934" i="28"/>
  <c r="A13935" i="28"/>
  <c r="A13936" i="28"/>
  <c r="A13937" i="28"/>
  <c r="A13938" i="28"/>
  <c r="A13939" i="28"/>
  <c r="A13940" i="28"/>
  <c r="A13941" i="28"/>
  <c r="A13942" i="28"/>
  <c r="A13943" i="28"/>
  <c r="A13944" i="28"/>
  <c r="A13945" i="28"/>
  <c r="A13946" i="28"/>
  <c r="A13947" i="28"/>
  <c r="A13948" i="28"/>
  <c r="A13949" i="28"/>
  <c r="A13950" i="28"/>
  <c r="A13951" i="28"/>
  <c r="A13952" i="28"/>
  <c r="A13953" i="28"/>
  <c r="A13954" i="28"/>
  <c r="A13955" i="28"/>
  <c r="A13956" i="28"/>
  <c r="A13957" i="28"/>
  <c r="A13958" i="28"/>
  <c r="A13959" i="28"/>
  <c r="A13960" i="28"/>
  <c r="A13961" i="28"/>
  <c r="A13962" i="28"/>
  <c r="A13963" i="28"/>
  <c r="A13964" i="28"/>
  <c r="A13965" i="28"/>
  <c r="A13966" i="28"/>
  <c r="A13967" i="28"/>
  <c r="A13968" i="28"/>
  <c r="A13969" i="28"/>
  <c r="A13970" i="28"/>
  <c r="A13971" i="28"/>
  <c r="A13972" i="28"/>
  <c r="A13973" i="28"/>
  <c r="A13974" i="28"/>
  <c r="A13975" i="28"/>
  <c r="A13976" i="28"/>
  <c r="A13977" i="28"/>
  <c r="A13978" i="28"/>
  <c r="A13979" i="28"/>
  <c r="A13980" i="28"/>
  <c r="A13981" i="28"/>
  <c r="A13982" i="28"/>
  <c r="A13983" i="28"/>
  <c r="A13984" i="28"/>
  <c r="A13985" i="28"/>
  <c r="A13986" i="28"/>
  <c r="A13987" i="28"/>
  <c r="A13988" i="28"/>
  <c r="A13989" i="28"/>
  <c r="A13990" i="28"/>
  <c r="A13991" i="28"/>
  <c r="A13992" i="28"/>
  <c r="A13993" i="28"/>
  <c r="A13994" i="28"/>
  <c r="A13995" i="28"/>
  <c r="A13996" i="28"/>
  <c r="A13997" i="28"/>
  <c r="A13998" i="28"/>
  <c r="A13999" i="28"/>
  <c r="A14000" i="28"/>
  <c r="A14001" i="28"/>
  <c r="A14002" i="28"/>
  <c r="A14003" i="28"/>
  <c r="A14004" i="28"/>
  <c r="A14005" i="28"/>
  <c r="A14006" i="28"/>
  <c r="A14007" i="28"/>
  <c r="A14008" i="28"/>
  <c r="A14009" i="28"/>
  <c r="A14010" i="28"/>
  <c r="A14011" i="28"/>
  <c r="A14012" i="28"/>
  <c r="A14013" i="28"/>
  <c r="A14014" i="28"/>
  <c r="A14015" i="28"/>
  <c r="A14016" i="28"/>
  <c r="A14017" i="28"/>
  <c r="A14018" i="28"/>
  <c r="A14019" i="28"/>
  <c r="A14020" i="28"/>
  <c r="A14021" i="28"/>
  <c r="A14022" i="28"/>
  <c r="A14023" i="28"/>
  <c r="A14024" i="28"/>
  <c r="A14025" i="28"/>
  <c r="A14026" i="28"/>
  <c r="A14027" i="28"/>
  <c r="A14028" i="28"/>
  <c r="A14029" i="28"/>
  <c r="A14030" i="28"/>
  <c r="A14031" i="28"/>
  <c r="A14032" i="28"/>
  <c r="A14033" i="28"/>
  <c r="A14034" i="28"/>
  <c r="A14035" i="28"/>
  <c r="A14036" i="28"/>
  <c r="A14037" i="28"/>
  <c r="A14038" i="28"/>
  <c r="A14039" i="28"/>
  <c r="A14040" i="28"/>
  <c r="A14041" i="28"/>
  <c r="A14042" i="28"/>
  <c r="A14043" i="28"/>
  <c r="A14044" i="28"/>
  <c r="A14045" i="28"/>
  <c r="A14046" i="28"/>
  <c r="A14047" i="28"/>
  <c r="A14048" i="28"/>
  <c r="A14049" i="28"/>
  <c r="A14050" i="28"/>
  <c r="A14051" i="28"/>
  <c r="A14052" i="28"/>
  <c r="A14053" i="28"/>
  <c r="A14054" i="28"/>
  <c r="A14055" i="28"/>
  <c r="A14056" i="28"/>
  <c r="A14057" i="28"/>
  <c r="A14058" i="28"/>
  <c r="A14059" i="28"/>
  <c r="A14060" i="28"/>
  <c r="A14061" i="28"/>
  <c r="A14062" i="28"/>
  <c r="A14063" i="28"/>
  <c r="A14064" i="28"/>
  <c r="A14065" i="28"/>
  <c r="A14066" i="28"/>
  <c r="A14067" i="28"/>
  <c r="A14068" i="28"/>
  <c r="A14069" i="28"/>
  <c r="A14070" i="28"/>
  <c r="A14071" i="28"/>
  <c r="A14072" i="28"/>
  <c r="A14073" i="28"/>
  <c r="A14074" i="28"/>
  <c r="A14075" i="28"/>
  <c r="A14076" i="28"/>
  <c r="A14077" i="28"/>
  <c r="A14078" i="28"/>
  <c r="A14079" i="28"/>
  <c r="A14080" i="28"/>
  <c r="A14081" i="28"/>
  <c r="A14082" i="28"/>
  <c r="A14083" i="28"/>
  <c r="A14084" i="28"/>
  <c r="A14085" i="28"/>
  <c r="A14086" i="28"/>
  <c r="A14087" i="28"/>
  <c r="A14088" i="28"/>
  <c r="A14089" i="28"/>
  <c r="A14090" i="28"/>
  <c r="A14091" i="28"/>
  <c r="A14092" i="28"/>
  <c r="A14093" i="28"/>
  <c r="A14094" i="28"/>
  <c r="A14095" i="28"/>
  <c r="A14096" i="28"/>
  <c r="A14097" i="28"/>
  <c r="A14098" i="28"/>
  <c r="A14099" i="28"/>
  <c r="A14100" i="28"/>
  <c r="A14101" i="28"/>
  <c r="A14102" i="28"/>
  <c r="A14103" i="28"/>
  <c r="A14104" i="28"/>
  <c r="A14105" i="28"/>
  <c r="A14106" i="28"/>
  <c r="A14107" i="28"/>
  <c r="A14108" i="28"/>
  <c r="A14109" i="28"/>
  <c r="A14110" i="28"/>
  <c r="A14111" i="28"/>
  <c r="A14112" i="28"/>
  <c r="A14113" i="28"/>
  <c r="A14114" i="28"/>
  <c r="A14115" i="28"/>
  <c r="A14116" i="28"/>
  <c r="A14117" i="28"/>
  <c r="A14118" i="28"/>
  <c r="A14119" i="28"/>
  <c r="A14120" i="28"/>
  <c r="A14121" i="28"/>
  <c r="A14122" i="28"/>
  <c r="A14123" i="28"/>
  <c r="A14124" i="28"/>
  <c r="A14125" i="28"/>
  <c r="A14126" i="28"/>
  <c r="A14127" i="28"/>
  <c r="A14128" i="28"/>
  <c r="A14129" i="28"/>
  <c r="A14130" i="28"/>
  <c r="A14131" i="28"/>
  <c r="A14132" i="28"/>
  <c r="A14133" i="28"/>
  <c r="A14134" i="28"/>
  <c r="A14135" i="28"/>
  <c r="A14136" i="28"/>
  <c r="A14137" i="28"/>
  <c r="A14138" i="28"/>
  <c r="A14139" i="28"/>
  <c r="A14140" i="28"/>
  <c r="A14141" i="28"/>
  <c r="A14142" i="28"/>
  <c r="A14143" i="28"/>
  <c r="A14144" i="28"/>
  <c r="A14145" i="28"/>
  <c r="A14146" i="28"/>
  <c r="A14147" i="28"/>
  <c r="A14148" i="28"/>
  <c r="A14149" i="28"/>
  <c r="A14150" i="28"/>
  <c r="A14151" i="28"/>
  <c r="A14152" i="28"/>
  <c r="A14153" i="28"/>
  <c r="A14154" i="28"/>
  <c r="A14155" i="28"/>
  <c r="A14156" i="28"/>
  <c r="A14157" i="28"/>
  <c r="A14158" i="28"/>
  <c r="A14159" i="28"/>
  <c r="A14160" i="28"/>
  <c r="A14161" i="28"/>
  <c r="A14162" i="28"/>
  <c r="A14163" i="28"/>
  <c r="A14164" i="28"/>
  <c r="A14165" i="28"/>
  <c r="A14166" i="28"/>
  <c r="A14167" i="28"/>
  <c r="A14168" i="28"/>
  <c r="A14169" i="28"/>
  <c r="A14170" i="28"/>
  <c r="A14171" i="28"/>
  <c r="A14172" i="28"/>
  <c r="A14173" i="28"/>
  <c r="A14174" i="28"/>
  <c r="A14175" i="28"/>
  <c r="A14176" i="28"/>
  <c r="A14177" i="28"/>
  <c r="A14178" i="28"/>
  <c r="A14179" i="28"/>
  <c r="A14180" i="28"/>
  <c r="A14181" i="28"/>
  <c r="A14182" i="28"/>
  <c r="A14183" i="28"/>
  <c r="A14184" i="28"/>
  <c r="A14185" i="28"/>
  <c r="A14186" i="28"/>
  <c r="A14187" i="28"/>
  <c r="A14188" i="28"/>
  <c r="A14189" i="28"/>
  <c r="A14190" i="28"/>
  <c r="A14191" i="28"/>
  <c r="A14192" i="28"/>
  <c r="A14193" i="28"/>
  <c r="A14194" i="28"/>
  <c r="A14195" i="28"/>
  <c r="A14196" i="28"/>
  <c r="A14197" i="28"/>
  <c r="A14198" i="28"/>
  <c r="A14199" i="28"/>
  <c r="A14200" i="28"/>
  <c r="A14201" i="28"/>
  <c r="A14202" i="28"/>
  <c r="A14203" i="28"/>
  <c r="A14204" i="28"/>
  <c r="A14205" i="28"/>
  <c r="A14206" i="28"/>
  <c r="A14207" i="28"/>
  <c r="A14208" i="28"/>
  <c r="A14209" i="28"/>
  <c r="A14210" i="28"/>
  <c r="A14211" i="28"/>
  <c r="A14212" i="28"/>
  <c r="A14213" i="28"/>
  <c r="A14214" i="28"/>
  <c r="A14215" i="28"/>
  <c r="A14216" i="28"/>
  <c r="A14217" i="28"/>
  <c r="A14218" i="28"/>
  <c r="A14219" i="28"/>
  <c r="A14220" i="28"/>
  <c r="A14221" i="28"/>
  <c r="A14222" i="28"/>
  <c r="A14223" i="28"/>
  <c r="A14224" i="28"/>
  <c r="A14225" i="28"/>
  <c r="A14226" i="28"/>
  <c r="A14227" i="28"/>
  <c r="A14228" i="28"/>
  <c r="A14229" i="28"/>
  <c r="A14230" i="28"/>
  <c r="A14231" i="28"/>
  <c r="A14232" i="28"/>
  <c r="A14233" i="28"/>
  <c r="A14234" i="28"/>
  <c r="A14235" i="28"/>
  <c r="A14236" i="28"/>
  <c r="A14237" i="28"/>
  <c r="A14238" i="28"/>
  <c r="A14239" i="28"/>
  <c r="A14240" i="28"/>
  <c r="A14241" i="28"/>
  <c r="A14242" i="28"/>
  <c r="A14243" i="28"/>
  <c r="A14244" i="28"/>
  <c r="A14245" i="28"/>
  <c r="A14246" i="28"/>
  <c r="A14247" i="28"/>
  <c r="A14248" i="28"/>
  <c r="A14249" i="28"/>
  <c r="A14250" i="28"/>
  <c r="A14251" i="28"/>
  <c r="A14252" i="28"/>
  <c r="A14253" i="28"/>
  <c r="A14254" i="28"/>
  <c r="A14255" i="28"/>
  <c r="A14256" i="28"/>
  <c r="A14257" i="28"/>
  <c r="A14258" i="28"/>
  <c r="A14259" i="28"/>
  <c r="A14260" i="28"/>
  <c r="A14261" i="28"/>
  <c r="A14262" i="28"/>
  <c r="A14263" i="28"/>
  <c r="A14264" i="28"/>
  <c r="A14265" i="28"/>
  <c r="A14266" i="28"/>
  <c r="A14267" i="28"/>
  <c r="A14268" i="28"/>
  <c r="A14269" i="28"/>
  <c r="A14270" i="28"/>
  <c r="A14271" i="28"/>
  <c r="A14272" i="28"/>
  <c r="A14273" i="28"/>
  <c r="A14274" i="28"/>
  <c r="A14275" i="28"/>
  <c r="A14276" i="28"/>
  <c r="A14277" i="28"/>
  <c r="A14278" i="28"/>
  <c r="A14279" i="28"/>
  <c r="A14280" i="28"/>
  <c r="A14281" i="28"/>
  <c r="A14282" i="28"/>
  <c r="A14283" i="28"/>
  <c r="A14284" i="28"/>
  <c r="A14285" i="28"/>
  <c r="A14286" i="28"/>
  <c r="A14287" i="28"/>
  <c r="A14288" i="28"/>
  <c r="A14289" i="28"/>
  <c r="A14290" i="28"/>
  <c r="A14291" i="28"/>
  <c r="A14292" i="28"/>
  <c r="A14293" i="28"/>
  <c r="A14294" i="28"/>
  <c r="A14295" i="28"/>
  <c r="A14296" i="28"/>
  <c r="A14297" i="28"/>
  <c r="A14298" i="28"/>
  <c r="A14299" i="28"/>
  <c r="A14300" i="28"/>
  <c r="A14301" i="28"/>
  <c r="A14302" i="28"/>
  <c r="A14303" i="28"/>
  <c r="A14304" i="28"/>
  <c r="A14305" i="28"/>
  <c r="A14306" i="28"/>
  <c r="A14307" i="28"/>
  <c r="A14308" i="28"/>
  <c r="A14309" i="28"/>
  <c r="A14310" i="28"/>
  <c r="A14311" i="28"/>
  <c r="A14312" i="28"/>
  <c r="A14313" i="28"/>
  <c r="A14314" i="28"/>
  <c r="A14315" i="28"/>
  <c r="A14316" i="28"/>
  <c r="A14317" i="28"/>
  <c r="A14318" i="28"/>
  <c r="A14319" i="28"/>
  <c r="A14320" i="28"/>
  <c r="A14321" i="28"/>
  <c r="A14322" i="28"/>
  <c r="A14323" i="28"/>
  <c r="A14324" i="28"/>
  <c r="A14325" i="28"/>
  <c r="A14326" i="28"/>
  <c r="A14327" i="28"/>
  <c r="A14328" i="28"/>
  <c r="A14329" i="28"/>
  <c r="A14330" i="28"/>
  <c r="A14331" i="28"/>
  <c r="A14332" i="28"/>
  <c r="A14333" i="28"/>
  <c r="A14334" i="28"/>
  <c r="A14335" i="28"/>
  <c r="A14336" i="28"/>
  <c r="A14337" i="28"/>
  <c r="A14338" i="28"/>
  <c r="A14339" i="28"/>
  <c r="A14340" i="28"/>
  <c r="A14341" i="28"/>
  <c r="A14342" i="28"/>
  <c r="A14343" i="28"/>
  <c r="A14344" i="28"/>
  <c r="A14345" i="28"/>
  <c r="A14346" i="28"/>
  <c r="A14347" i="28"/>
  <c r="A14348" i="28"/>
  <c r="A14349" i="28"/>
  <c r="A14350" i="28"/>
  <c r="A14351" i="28"/>
  <c r="A14352" i="28"/>
  <c r="A14353" i="28"/>
  <c r="A14354" i="28"/>
  <c r="A14355" i="28"/>
  <c r="A14356" i="28"/>
  <c r="A14357" i="28"/>
  <c r="A14358" i="28"/>
  <c r="A14359" i="28"/>
  <c r="A14360" i="28"/>
  <c r="A14361" i="28"/>
  <c r="A14362" i="28"/>
  <c r="A14363" i="28"/>
  <c r="A14364" i="28"/>
  <c r="A14365" i="28"/>
  <c r="A14366" i="28"/>
  <c r="A14367" i="28"/>
  <c r="A14368" i="28"/>
  <c r="A14369" i="28"/>
  <c r="A14370" i="28"/>
  <c r="A14371" i="28"/>
  <c r="A14372" i="28"/>
  <c r="A14373" i="28"/>
  <c r="A14374" i="28"/>
  <c r="A14375" i="28"/>
  <c r="A14376" i="28"/>
  <c r="A14377" i="28"/>
  <c r="A14378" i="28"/>
  <c r="A14379" i="28"/>
  <c r="A14380" i="28"/>
  <c r="A14381" i="28"/>
  <c r="A14382" i="28"/>
  <c r="A14383" i="28"/>
  <c r="A14384" i="28"/>
  <c r="A14385" i="28"/>
  <c r="A14386" i="28"/>
  <c r="A14387" i="28"/>
  <c r="A14388" i="28"/>
  <c r="A14389" i="28"/>
  <c r="A14390" i="28"/>
  <c r="A14391" i="28"/>
  <c r="A14392" i="28"/>
  <c r="A14393" i="28"/>
  <c r="A14394" i="28"/>
  <c r="A14395" i="28"/>
  <c r="A14396" i="28"/>
  <c r="A14397" i="28"/>
  <c r="A14398" i="28"/>
  <c r="A14399" i="28"/>
  <c r="A14400" i="28"/>
  <c r="A14401" i="28"/>
  <c r="A14402" i="28"/>
  <c r="A14403" i="28"/>
  <c r="A14404" i="28"/>
  <c r="A14405" i="28"/>
  <c r="A14406" i="28"/>
  <c r="A14407" i="28"/>
  <c r="A14408" i="28"/>
  <c r="A14409" i="28"/>
  <c r="A14410" i="28"/>
  <c r="A14411" i="28"/>
  <c r="A14412" i="28"/>
  <c r="A14413" i="28"/>
  <c r="A14414" i="28"/>
  <c r="A14415" i="28"/>
  <c r="A14416" i="28"/>
  <c r="A14417" i="28"/>
  <c r="A14418" i="28"/>
  <c r="A14419" i="28"/>
  <c r="A14420" i="28"/>
  <c r="A14421" i="28"/>
  <c r="A14422" i="28"/>
  <c r="A14423" i="28"/>
  <c r="A14424" i="28"/>
  <c r="A14425" i="28"/>
  <c r="A14426" i="28"/>
  <c r="A14427" i="28"/>
  <c r="A14428" i="28"/>
  <c r="A14429" i="28"/>
  <c r="A14430" i="28"/>
  <c r="A14431" i="28"/>
  <c r="A14432" i="28"/>
  <c r="A14433" i="28"/>
  <c r="A14434" i="28"/>
  <c r="A14435" i="28"/>
  <c r="A14436" i="28"/>
  <c r="A14437" i="28"/>
  <c r="A14438" i="28"/>
  <c r="A14439" i="28"/>
  <c r="A14440" i="28"/>
  <c r="A14441" i="28"/>
  <c r="A14442" i="28"/>
  <c r="A14443" i="28"/>
  <c r="A14444" i="28"/>
  <c r="A14445" i="28"/>
  <c r="A14446" i="28"/>
  <c r="A14447" i="28"/>
  <c r="A14448" i="28"/>
  <c r="A14449" i="28"/>
  <c r="A14450" i="28"/>
  <c r="A14451" i="28"/>
  <c r="A14452" i="28"/>
  <c r="A14453" i="28"/>
  <c r="A14454" i="28"/>
  <c r="A14455" i="28"/>
  <c r="A14456" i="28"/>
  <c r="A14457" i="28"/>
  <c r="A14458" i="28"/>
  <c r="A14459" i="28"/>
  <c r="A14460" i="28"/>
  <c r="A14461" i="28"/>
  <c r="A14462" i="28"/>
  <c r="A14463" i="28"/>
  <c r="A14464" i="28"/>
  <c r="A14465" i="28"/>
  <c r="A14466" i="28"/>
  <c r="A14467" i="28"/>
  <c r="A14468" i="28"/>
  <c r="A14469" i="28"/>
  <c r="A14470" i="28"/>
  <c r="A14471" i="28"/>
  <c r="A14472" i="28"/>
  <c r="A14473" i="28"/>
  <c r="A14474" i="28"/>
  <c r="A14475" i="28"/>
  <c r="A14476" i="28"/>
  <c r="A14477" i="28"/>
  <c r="A14478" i="28"/>
  <c r="A14479" i="28"/>
  <c r="A14480" i="28"/>
  <c r="A14481" i="28"/>
  <c r="A14482" i="28"/>
  <c r="A14483" i="28"/>
  <c r="A14484" i="28"/>
  <c r="A14485" i="28"/>
  <c r="A14486" i="28"/>
  <c r="A14487" i="28"/>
  <c r="A14488" i="28"/>
  <c r="A14489" i="28"/>
  <c r="A14490" i="28"/>
  <c r="A14491" i="28"/>
  <c r="A14492" i="28"/>
  <c r="A14493" i="28"/>
  <c r="A14494" i="28"/>
  <c r="A14495" i="28"/>
  <c r="A14496" i="28"/>
  <c r="A14497" i="28"/>
  <c r="A14498" i="28"/>
  <c r="A14499" i="28"/>
  <c r="A14500" i="28"/>
  <c r="A14501" i="28"/>
  <c r="A14502" i="28"/>
  <c r="A14503" i="28"/>
  <c r="A14504" i="28"/>
  <c r="A14505" i="28"/>
  <c r="A14506" i="28"/>
  <c r="A14507" i="28"/>
  <c r="A14508" i="28"/>
  <c r="A14509" i="28"/>
  <c r="A14510" i="28"/>
  <c r="A14511" i="28"/>
  <c r="A14512" i="28"/>
  <c r="A14513" i="28"/>
  <c r="A14514" i="28"/>
  <c r="A14515" i="28"/>
  <c r="A14516" i="28"/>
  <c r="A14517" i="28"/>
  <c r="A14518" i="28"/>
  <c r="A14519" i="28"/>
  <c r="A14520" i="28"/>
  <c r="A14521" i="28"/>
  <c r="A14522" i="28"/>
  <c r="A14523" i="28"/>
  <c r="A14524" i="28"/>
  <c r="A14525" i="28"/>
  <c r="A14526" i="28"/>
  <c r="A14527" i="28"/>
  <c r="A14528" i="28"/>
  <c r="A14529" i="28"/>
  <c r="A14530" i="28"/>
  <c r="A14531" i="28"/>
  <c r="A14532" i="28"/>
  <c r="A14533" i="28"/>
  <c r="A14534" i="28"/>
  <c r="A14535" i="28"/>
  <c r="A14536" i="28"/>
  <c r="A14537" i="28"/>
  <c r="A14538" i="28"/>
  <c r="A14539" i="28"/>
  <c r="A14540" i="28"/>
  <c r="A14541" i="28"/>
  <c r="A14542" i="28"/>
  <c r="A14543" i="28"/>
  <c r="A14544" i="28"/>
  <c r="A14545" i="28"/>
  <c r="A14546" i="28"/>
  <c r="A14547" i="28"/>
  <c r="A14548" i="28"/>
  <c r="A14549" i="28"/>
  <c r="A14550" i="28"/>
  <c r="A14551" i="28"/>
  <c r="A14552" i="28"/>
  <c r="A14553" i="28"/>
  <c r="A14554" i="28"/>
  <c r="A14555" i="28"/>
  <c r="A14556" i="28"/>
  <c r="A14557" i="28"/>
  <c r="A14558" i="28"/>
  <c r="A14559" i="28"/>
  <c r="A14560" i="28"/>
  <c r="A14561" i="28"/>
  <c r="A14562" i="28"/>
  <c r="A14563" i="28"/>
  <c r="A14564" i="28"/>
  <c r="A14565" i="28"/>
  <c r="A14566" i="28"/>
  <c r="A14567" i="28"/>
  <c r="A14568" i="28"/>
  <c r="A14569" i="28"/>
  <c r="A14570" i="28"/>
  <c r="A14571" i="28"/>
  <c r="A14572" i="28"/>
  <c r="A14573" i="28"/>
  <c r="A14574" i="28"/>
  <c r="A14575" i="28"/>
  <c r="A14576" i="28"/>
  <c r="A14577" i="28"/>
  <c r="A14578" i="28"/>
  <c r="A14579" i="28"/>
  <c r="A14580" i="28"/>
  <c r="A14581" i="28"/>
  <c r="A14582" i="28"/>
  <c r="A14583" i="28"/>
  <c r="A14584" i="28"/>
  <c r="A14585" i="28"/>
  <c r="A14586" i="28"/>
  <c r="A14587" i="28"/>
  <c r="A14588" i="28"/>
  <c r="A14589" i="28"/>
  <c r="A14590" i="28"/>
  <c r="A14591" i="28"/>
  <c r="A14592" i="28"/>
  <c r="A14593" i="28"/>
  <c r="A14594" i="28"/>
  <c r="A14595" i="28"/>
  <c r="A14596" i="28"/>
  <c r="A14597" i="28"/>
  <c r="A14598" i="28"/>
  <c r="A14599" i="28"/>
  <c r="A14600" i="28"/>
  <c r="A14601" i="28"/>
  <c r="A14602" i="28"/>
  <c r="A14603" i="28"/>
  <c r="A14604" i="28"/>
  <c r="A14605" i="28"/>
  <c r="A14606" i="28"/>
  <c r="A14607" i="28"/>
  <c r="A14608" i="28"/>
  <c r="A14609" i="28"/>
  <c r="A14610" i="28"/>
  <c r="A14611" i="28"/>
  <c r="A14612" i="28"/>
  <c r="A14613" i="28"/>
  <c r="A14614" i="28"/>
  <c r="A14615" i="28"/>
  <c r="A14616" i="28"/>
  <c r="A14617" i="28"/>
  <c r="A14618" i="28"/>
  <c r="A14619" i="28"/>
  <c r="A14620" i="28"/>
  <c r="A14621" i="28"/>
  <c r="A14622" i="28"/>
  <c r="A14623" i="28"/>
  <c r="A14624" i="28"/>
  <c r="A14625" i="28"/>
  <c r="A14626" i="28"/>
  <c r="A14627" i="28"/>
  <c r="A14628" i="28"/>
  <c r="A14629" i="28"/>
  <c r="A14630" i="28"/>
  <c r="A14631" i="28"/>
  <c r="A14632" i="28"/>
  <c r="A14633" i="28"/>
  <c r="A14634" i="28"/>
  <c r="A14635" i="28"/>
  <c r="A14636" i="28"/>
  <c r="A14637" i="28"/>
  <c r="A14638" i="28"/>
  <c r="A14639" i="28"/>
  <c r="A14640" i="28"/>
  <c r="A14641" i="28"/>
  <c r="A14642" i="28"/>
  <c r="A14643" i="28"/>
  <c r="A14644" i="28"/>
  <c r="A14645" i="28"/>
  <c r="A14646" i="28"/>
  <c r="A14647" i="28"/>
  <c r="A14648" i="28"/>
  <c r="A14649" i="28"/>
  <c r="A14650" i="28"/>
  <c r="A14651" i="28"/>
  <c r="A14652" i="28"/>
  <c r="A14653" i="28"/>
  <c r="A14654" i="28"/>
  <c r="A14655" i="28"/>
  <c r="A14656" i="28"/>
  <c r="A14657" i="28"/>
  <c r="A14658" i="28"/>
  <c r="A14659" i="28"/>
  <c r="A14660" i="28"/>
  <c r="A14661" i="28"/>
  <c r="A14662" i="28"/>
  <c r="A14663" i="28"/>
  <c r="A14664" i="28"/>
  <c r="A14665" i="28"/>
  <c r="A14666" i="28"/>
  <c r="A14667" i="28"/>
  <c r="A14668" i="28"/>
  <c r="A14669" i="28"/>
  <c r="A14670" i="28"/>
  <c r="A14671" i="28"/>
  <c r="A14672" i="28"/>
  <c r="A14673" i="28"/>
  <c r="A14674" i="28"/>
  <c r="A14675" i="28"/>
  <c r="A14676" i="28"/>
  <c r="A14677" i="28"/>
  <c r="A14678" i="28"/>
  <c r="A14679" i="28"/>
  <c r="A14680" i="28"/>
  <c r="A14681" i="28"/>
  <c r="A14682" i="28"/>
  <c r="A14683" i="28"/>
  <c r="A14684" i="28"/>
  <c r="A14685" i="28"/>
  <c r="A14686" i="28"/>
  <c r="A14687" i="28"/>
  <c r="A14688" i="28"/>
  <c r="A14689" i="28"/>
  <c r="A14690" i="28"/>
  <c r="A14691" i="28"/>
  <c r="A14692" i="28"/>
  <c r="A14693" i="28"/>
  <c r="A14694" i="28"/>
  <c r="A14695" i="28"/>
  <c r="A14696" i="28"/>
  <c r="A14697" i="28"/>
  <c r="A14698" i="28"/>
  <c r="A14699" i="28"/>
  <c r="A14700" i="28"/>
  <c r="A14701" i="28"/>
  <c r="A14702" i="28"/>
  <c r="A14703" i="28"/>
  <c r="A14704" i="28"/>
  <c r="A14705" i="28"/>
  <c r="A14706" i="28"/>
  <c r="A14707" i="28"/>
  <c r="A14708" i="28"/>
  <c r="A14709" i="28"/>
  <c r="A14710" i="28"/>
  <c r="A14711" i="28"/>
  <c r="A14712" i="28"/>
  <c r="A14713" i="28"/>
  <c r="A14714" i="28"/>
  <c r="A14715" i="28"/>
  <c r="A14716" i="28"/>
  <c r="A14717" i="28"/>
  <c r="A14718" i="28"/>
  <c r="A14719" i="28"/>
  <c r="A14720" i="28"/>
  <c r="A14721" i="28"/>
  <c r="A14722" i="28"/>
  <c r="A14723" i="28"/>
  <c r="A14724" i="28"/>
  <c r="A14725" i="28"/>
  <c r="A14726" i="28"/>
  <c r="A14727" i="28"/>
  <c r="A14728" i="28"/>
  <c r="A14729" i="28"/>
  <c r="A14730" i="28"/>
  <c r="A14731" i="28"/>
  <c r="A14732" i="28"/>
  <c r="A14733" i="28"/>
  <c r="A14734" i="28"/>
  <c r="A14735" i="28"/>
  <c r="A14736" i="28"/>
  <c r="A14737" i="28"/>
  <c r="A14738" i="28"/>
  <c r="A14739" i="28"/>
  <c r="A14740" i="28"/>
  <c r="A14741" i="28"/>
  <c r="A14742" i="28"/>
  <c r="A14743" i="28"/>
  <c r="A14744" i="28"/>
  <c r="A14745" i="28"/>
  <c r="A14746" i="28"/>
  <c r="A14747" i="28"/>
  <c r="A14748" i="28"/>
  <c r="A14749" i="28"/>
  <c r="A14750" i="28"/>
  <c r="A14751" i="28"/>
  <c r="A14752" i="28"/>
  <c r="A14753" i="28"/>
  <c r="A14754" i="28"/>
  <c r="A14755" i="28"/>
  <c r="A14756" i="28"/>
  <c r="A14757" i="28"/>
  <c r="A14758" i="28"/>
  <c r="A14759" i="28"/>
  <c r="A14760" i="28"/>
  <c r="A14761" i="28"/>
  <c r="A14762" i="28"/>
  <c r="A14763" i="28"/>
  <c r="A14764" i="28"/>
  <c r="A14765" i="28"/>
  <c r="A14766" i="28"/>
  <c r="A14767" i="28"/>
  <c r="A14768" i="28"/>
  <c r="A14769" i="28"/>
  <c r="A14770" i="28"/>
  <c r="A14771" i="28"/>
  <c r="A14772" i="28"/>
  <c r="A14773" i="28"/>
  <c r="A14774" i="28"/>
  <c r="A14775" i="28"/>
  <c r="A14776" i="28"/>
  <c r="A14777" i="28"/>
  <c r="A14778" i="28"/>
  <c r="A14779" i="28"/>
  <c r="A14780" i="28"/>
  <c r="A14781" i="28"/>
  <c r="A14782" i="28"/>
  <c r="A14783" i="28"/>
  <c r="A14784" i="28"/>
  <c r="A14785" i="28"/>
  <c r="A14786" i="28"/>
  <c r="A14787" i="28"/>
  <c r="A14788" i="28"/>
  <c r="A14789" i="28"/>
  <c r="A14790" i="28"/>
  <c r="A14791" i="28"/>
  <c r="A14792" i="28"/>
  <c r="A14793" i="28"/>
  <c r="A14794" i="28"/>
  <c r="A14795" i="28"/>
  <c r="A14796" i="28"/>
  <c r="A14797" i="28"/>
  <c r="A14798" i="28"/>
  <c r="A14799" i="28"/>
  <c r="A14800" i="28"/>
  <c r="A14801" i="28"/>
  <c r="A14802" i="28"/>
  <c r="A14803" i="28"/>
  <c r="A14804" i="28"/>
  <c r="A14805" i="28"/>
  <c r="A14806" i="28"/>
  <c r="A14807" i="28"/>
  <c r="A14808" i="28"/>
  <c r="A14809" i="28"/>
  <c r="A14810" i="28"/>
  <c r="A14811" i="28"/>
  <c r="A14812" i="28"/>
  <c r="A14813" i="28"/>
  <c r="A14814" i="28"/>
  <c r="A14815" i="28"/>
  <c r="A14816" i="28"/>
  <c r="A14817" i="28"/>
  <c r="A14818" i="28"/>
  <c r="A14819" i="28"/>
  <c r="A14820" i="28"/>
  <c r="A14821" i="28"/>
  <c r="A14822" i="28"/>
  <c r="A14823" i="28"/>
  <c r="A14824" i="28"/>
  <c r="A14825" i="28"/>
  <c r="A14826" i="28"/>
  <c r="A14827" i="28"/>
  <c r="A14828" i="28"/>
  <c r="A14829" i="28"/>
  <c r="A14830" i="28"/>
  <c r="A14831" i="28"/>
  <c r="A14832" i="28"/>
  <c r="A14833" i="28"/>
  <c r="A14834" i="28"/>
  <c r="A14835" i="28"/>
  <c r="A14836" i="28"/>
  <c r="A14837" i="28"/>
  <c r="A14838" i="28"/>
  <c r="A14839" i="28"/>
  <c r="A14840" i="28"/>
  <c r="A14841" i="28"/>
  <c r="A14842" i="28"/>
  <c r="A14843" i="28"/>
  <c r="A14844" i="28"/>
  <c r="A14845" i="28"/>
  <c r="A14846" i="28"/>
  <c r="A14847" i="28"/>
  <c r="A14848" i="28"/>
  <c r="A14849" i="28"/>
  <c r="A14850" i="28"/>
  <c r="A14851" i="28"/>
  <c r="A14852" i="28"/>
  <c r="A14853" i="28"/>
  <c r="A14854" i="28"/>
  <c r="A14855" i="28"/>
  <c r="A14856" i="28"/>
  <c r="A14857" i="28"/>
  <c r="A14858" i="28"/>
  <c r="A14859" i="28"/>
  <c r="A14860" i="28"/>
  <c r="A14861" i="28"/>
  <c r="A14862" i="28"/>
  <c r="A14863" i="28"/>
  <c r="A14864" i="28"/>
  <c r="A14865" i="28"/>
  <c r="A14866" i="28"/>
  <c r="A14867" i="28"/>
  <c r="A14868" i="28"/>
  <c r="A14869" i="28"/>
  <c r="A14870" i="28"/>
  <c r="A14871" i="28"/>
  <c r="A14872" i="28"/>
  <c r="A14873" i="28"/>
  <c r="A14874" i="28"/>
  <c r="A14875" i="28"/>
  <c r="A14876" i="28"/>
  <c r="A14877" i="28"/>
  <c r="A14878" i="28"/>
  <c r="A14879" i="28"/>
  <c r="A14880" i="28"/>
  <c r="A14881" i="28"/>
  <c r="A14882" i="28"/>
  <c r="A14883" i="28"/>
  <c r="A14884" i="28"/>
  <c r="A14885" i="28"/>
  <c r="A14886" i="28"/>
  <c r="A14887" i="28"/>
  <c r="A14888" i="28"/>
  <c r="A14889" i="28"/>
  <c r="A14890" i="28"/>
  <c r="A14891" i="28"/>
  <c r="A14892" i="28"/>
  <c r="A14893" i="28"/>
  <c r="A14894" i="28"/>
  <c r="A14895" i="28"/>
  <c r="A14896" i="28"/>
  <c r="A14897" i="28"/>
  <c r="A14898" i="28"/>
  <c r="A14899" i="28"/>
  <c r="A14900" i="28"/>
  <c r="A14901" i="28"/>
  <c r="A14902" i="28"/>
  <c r="A14903" i="28"/>
  <c r="A14904" i="28"/>
  <c r="A14905" i="28"/>
  <c r="A14906" i="28"/>
  <c r="A14907" i="28"/>
  <c r="A14908" i="28"/>
  <c r="A14909" i="28"/>
  <c r="A14910" i="28"/>
  <c r="A14911" i="28"/>
  <c r="A14912" i="28"/>
  <c r="A14913" i="28"/>
  <c r="A14914" i="28"/>
  <c r="A14915" i="28"/>
  <c r="A14916" i="28"/>
  <c r="A14917" i="28"/>
  <c r="A14918" i="28"/>
  <c r="A14919" i="28"/>
  <c r="A14920" i="28"/>
  <c r="A14921" i="28"/>
  <c r="A14922" i="28"/>
  <c r="A14923" i="28"/>
  <c r="A14924" i="28"/>
  <c r="A14925" i="28"/>
  <c r="A14926" i="28"/>
  <c r="A14927" i="28"/>
  <c r="A14928" i="28"/>
  <c r="A14929" i="28"/>
  <c r="A14930" i="28"/>
  <c r="A14931" i="28"/>
  <c r="A14932" i="28"/>
  <c r="A14933" i="28"/>
  <c r="A14934" i="28"/>
  <c r="A14935" i="28"/>
  <c r="A14936" i="28"/>
  <c r="A14937" i="28"/>
  <c r="A14938" i="28"/>
  <c r="A14939" i="28"/>
  <c r="A14940" i="28"/>
  <c r="A14941" i="28"/>
  <c r="A14942" i="28"/>
  <c r="A14943" i="28"/>
  <c r="A14944" i="28"/>
  <c r="A14945" i="28"/>
  <c r="A14946" i="28"/>
  <c r="A14947" i="28"/>
  <c r="A14948" i="28"/>
  <c r="A14949" i="28"/>
  <c r="A14950" i="28"/>
  <c r="A14951" i="28"/>
  <c r="A14952" i="28"/>
  <c r="A14953" i="28"/>
  <c r="A14954" i="28"/>
  <c r="A14955" i="28"/>
  <c r="A14956" i="28"/>
  <c r="A14957" i="28"/>
  <c r="A14958" i="28"/>
  <c r="A14959" i="28"/>
  <c r="A14960" i="28"/>
  <c r="A14961" i="28"/>
  <c r="A14962" i="28"/>
  <c r="A14963" i="28"/>
  <c r="A14964" i="28"/>
  <c r="A14965" i="28"/>
  <c r="A14966" i="28"/>
  <c r="A14967" i="28"/>
  <c r="A14968" i="28"/>
  <c r="A14969" i="28"/>
  <c r="A14970" i="28"/>
  <c r="A14971" i="28"/>
  <c r="A14972" i="28"/>
  <c r="A14973" i="28"/>
  <c r="A14974" i="28"/>
  <c r="A14975" i="28"/>
  <c r="A14976" i="28"/>
  <c r="A14977" i="28"/>
  <c r="A14978" i="28"/>
  <c r="A14979" i="28"/>
  <c r="A14980" i="28"/>
  <c r="A14981" i="28"/>
  <c r="A14982" i="28"/>
  <c r="A14983" i="28"/>
  <c r="A14984" i="28"/>
  <c r="A14985" i="28"/>
  <c r="A14986" i="28"/>
  <c r="A14987" i="28"/>
  <c r="A14988" i="28"/>
  <c r="A14989" i="28"/>
  <c r="A14990" i="28"/>
  <c r="A14991" i="28"/>
  <c r="A14992" i="28"/>
  <c r="A14993" i="28"/>
  <c r="A14994" i="28"/>
  <c r="A14995" i="28"/>
  <c r="A14996" i="28"/>
  <c r="A14997" i="28"/>
  <c r="A14998" i="28"/>
  <c r="A14999" i="28"/>
  <c r="A15000" i="28"/>
  <c r="A15001" i="28"/>
  <c r="A15002" i="28"/>
  <c r="A15003" i="28"/>
  <c r="A15004" i="28"/>
  <c r="A15005" i="28"/>
  <c r="A15006" i="28"/>
  <c r="A15007" i="28"/>
  <c r="A15008" i="28"/>
  <c r="A15009" i="28"/>
  <c r="A15010" i="28"/>
  <c r="A15011" i="28"/>
  <c r="A15012" i="28"/>
  <c r="A15013" i="28"/>
  <c r="A15014" i="28"/>
  <c r="A15015" i="28"/>
  <c r="A15016" i="28"/>
  <c r="A15017" i="28"/>
  <c r="A15018" i="28"/>
  <c r="A15019" i="28"/>
  <c r="A15020" i="28"/>
  <c r="A15021" i="28"/>
  <c r="A15022" i="28"/>
  <c r="A15023" i="28"/>
  <c r="A15024" i="28"/>
  <c r="A15025" i="28"/>
  <c r="A15026" i="28"/>
  <c r="A15027" i="28"/>
  <c r="A15028" i="28"/>
  <c r="A15029" i="28"/>
  <c r="A15030" i="28"/>
  <c r="A15031" i="28"/>
  <c r="A15032" i="28"/>
  <c r="A15033" i="28"/>
  <c r="A15034" i="28"/>
  <c r="A15035" i="28"/>
  <c r="A15036" i="28"/>
  <c r="A15037" i="28"/>
  <c r="A15038" i="28"/>
  <c r="A15039" i="28"/>
  <c r="A15040" i="28"/>
  <c r="A15041" i="28"/>
  <c r="A15042" i="28"/>
  <c r="A15043" i="28"/>
  <c r="A15044" i="28"/>
  <c r="A15045" i="28"/>
  <c r="A15046" i="28"/>
  <c r="A15047" i="28"/>
  <c r="A15048" i="28"/>
  <c r="A15049" i="28"/>
  <c r="A15050" i="28"/>
  <c r="A15051" i="28"/>
  <c r="A15052" i="28"/>
  <c r="A15053" i="28"/>
  <c r="A15054" i="28"/>
  <c r="A15055" i="28"/>
  <c r="A15056" i="28"/>
  <c r="A15057" i="28"/>
  <c r="A15058" i="28"/>
  <c r="A15059" i="28"/>
  <c r="A15060" i="28"/>
  <c r="A15061" i="28"/>
  <c r="A15062" i="28"/>
  <c r="A15063" i="28"/>
  <c r="A15064" i="28"/>
  <c r="A15065" i="28"/>
  <c r="A15066" i="28"/>
  <c r="A15067" i="28"/>
  <c r="A15068" i="28"/>
  <c r="A15069" i="28"/>
  <c r="A15070" i="28"/>
  <c r="A15071" i="28"/>
  <c r="A15072" i="28"/>
  <c r="A15073" i="28"/>
  <c r="A15074" i="28"/>
  <c r="A15075" i="28"/>
  <c r="A15076" i="28"/>
  <c r="A15077" i="28"/>
  <c r="A15078" i="28"/>
  <c r="A15079" i="28"/>
  <c r="A15080" i="28"/>
  <c r="A15081" i="28"/>
  <c r="A15082" i="28"/>
  <c r="A15083" i="28"/>
  <c r="A15084" i="28"/>
  <c r="A15085" i="28"/>
  <c r="A15086" i="28"/>
  <c r="A15087" i="28"/>
  <c r="A15088" i="28"/>
  <c r="A15089" i="28"/>
  <c r="A15090" i="28"/>
  <c r="A15091" i="28"/>
  <c r="A15092" i="28"/>
  <c r="A15093" i="28"/>
  <c r="A15094" i="28"/>
  <c r="A15095" i="28"/>
  <c r="A15096" i="28"/>
  <c r="A15097" i="28"/>
  <c r="A15098" i="28"/>
  <c r="A15099" i="28"/>
  <c r="A15100" i="28"/>
  <c r="A15101" i="28"/>
  <c r="A15102" i="28"/>
  <c r="A15103" i="28"/>
  <c r="A15104" i="28"/>
  <c r="A15105" i="28"/>
  <c r="A15106" i="28"/>
  <c r="A15107" i="28"/>
  <c r="A15108" i="28"/>
  <c r="A15109" i="28"/>
  <c r="A15110" i="28"/>
  <c r="A15111" i="28"/>
  <c r="A15112" i="28"/>
  <c r="A15113" i="28"/>
  <c r="A15114" i="28"/>
  <c r="A15115" i="28"/>
  <c r="A15116" i="28"/>
  <c r="A15117" i="28"/>
  <c r="A15118" i="28"/>
  <c r="A15119" i="28"/>
  <c r="A15120" i="28"/>
  <c r="A15121" i="28"/>
  <c r="A15122" i="28"/>
  <c r="A15123" i="28"/>
  <c r="A15124" i="28"/>
  <c r="A15125" i="28"/>
  <c r="A15126" i="28"/>
  <c r="A15127" i="28"/>
  <c r="A15128" i="28"/>
  <c r="A15129" i="28"/>
  <c r="A15130" i="28"/>
  <c r="A15131" i="28"/>
  <c r="A15132" i="28"/>
  <c r="A15133" i="28"/>
  <c r="A15134" i="28"/>
  <c r="A15135" i="28"/>
  <c r="A15136" i="28"/>
  <c r="A15137" i="28"/>
  <c r="A15138" i="28"/>
  <c r="A15139" i="28"/>
  <c r="A15140" i="28"/>
  <c r="A15141" i="28"/>
  <c r="A15142" i="28"/>
  <c r="A15143" i="28"/>
  <c r="A15144" i="28"/>
  <c r="A15145" i="28"/>
  <c r="A15146" i="28"/>
  <c r="A15147" i="28"/>
  <c r="A15148" i="28"/>
  <c r="A15149" i="28"/>
  <c r="A15150" i="28"/>
  <c r="A15151" i="28"/>
  <c r="A15152" i="28"/>
  <c r="A15153" i="28"/>
  <c r="A15154" i="28"/>
  <c r="A15155" i="28"/>
  <c r="A15156" i="28"/>
  <c r="A15157" i="28"/>
  <c r="A15158" i="28"/>
  <c r="A15159" i="28"/>
  <c r="A15160" i="28"/>
  <c r="A15161" i="28"/>
  <c r="A15162" i="28"/>
  <c r="A15163" i="28"/>
  <c r="A15164" i="28"/>
  <c r="A15165" i="28"/>
  <c r="A15166" i="28"/>
  <c r="A15167" i="28"/>
  <c r="A15168" i="28"/>
  <c r="A15169" i="28"/>
  <c r="A15170" i="28"/>
  <c r="A15171" i="28"/>
  <c r="A15172" i="28"/>
  <c r="A15173" i="28"/>
  <c r="A15174" i="28"/>
  <c r="A15175" i="28"/>
  <c r="A15176" i="28"/>
  <c r="A15177" i="28"/>
  <c r="A15178" i="28"/>
  <c r="A15179" i="28"/>
  <c r="A15180" i="28"/>
  <c r="A15181" i="28"/>
  <c r="A15182" i="28"/>
  <c r="A15183" i="28"/>
  <c r="A15184" i="28"/>
  <c r="A15185" i="28"/>
  <c r="A15186" i="28"/>
  <c r="A15187" i="28"/>
  <c r="A15188" i="28"/>
  <c r="A15189" i="28"/>
  <c r="A15190" i="28"/>
  <c r="A15191" i="28"/>
  <c r="A15192" i="28"/>
  <c r="A15193" i="28"/>
  <c r="A15194" i="28"/>
  <c r="A15195" i="28"/>
  <c r="A15196" i="28"/>
  <c r="A15197" i="28"/>
  <c r="A15198" i="28"/>
  <c r="A15199" i="28"/>
  <c r="A15200" i="28"/>
  <c r="A15201" i="28"/>
  <c r="A15202" i="28"/>
  <c r="A15203" i="28"/>
  <c r="A15204" i="28"/>
  <c r="A15205" i="28"/>
  <c r="A15206" i="28"/>
  <c r="A15207" i="28"/>
  <c r="A15208" i="28"/>
  <c r="A15209" i="28"/>
  <c r="A15210" i="28"/>
  <c r="A15211" i="28"/>
  <c r="A15212" i="28"/>
  <c r="A15213" i="28"/>
  <c r="A15214" i="28"/>
  <c r="A15215" i="28"/>
  <c r="A15216" i="28"/>
  <c r="A15217" i="28"/>
  <c r="A15218" i="28"/>
  <c r="A15219" i="28"/>
  <c r="A15220" i="28"/>
  <c r="A15221" i="28"/>
  <c r="A15222" i="28"/>
  <c r="A15223" i="28"/>
  <c r="A15224" i="28"/>
  <c r="A15225" i="28"/>
  <c r="A15226" i="28"/>
  <c r="A15227" i="28"/>
  <c r="A15228" i="28"/>
  <c r="A15229" i="28"/>
  <c r="A15230" i="28"/>
  <c r="A15231" i="28"/>
  <c r="A15232" i="28"/>
  <c r="A15233" i="28"/>
  <c r="A15234" i="28"/>
  <c r="A15235" i="28"/>
  <c r="A15236" i="28"/>
  <c r="A15237" i="28"/>
  <c r="A15238" i="28"/>
  <c r="A15239" i="28"/>
  <c r="A15240" i="28"/>
  <c r="A15241" i="28"/>
  <c r="A15242" i="28"/>
  <c r="A15243" i="28"/>
  <c r="A15244" i="28"/>
  <c r="A15245" i="28"/>
  <c r="A15246" i="28"/>
  <c r="A15247" i="28"/>
  <c r="A15248" i="28"/>
  <c r="A15249" i="28"/>
  <c r="A15250" i="28"/>
  <c r="A15251" i="28"/>
  <c r="A15252" i="28"/>
  <c r="A15253" i="28"/>
  <c r="A15254" i="28"/>
  <c r="A15255" i="28"/>
  <c r="A15256" i="28"/>
  <c r="A15257" i="28"/>
  <c r="A15258" i="28"/>
  <c r="A15259" i="28"/>
  <c r="A15260" i="28"/>
  <c r="A15261" i="28"/>
  <c r="A15262" i="28"/>
  <c r="A15263" i="28"/>
  <c r="A15264" i="28"/>
  <c r="A15265" i="28"/>
  <c r="A15266" i="28"/>
  <c r="A15267" i="28"/>
  <c r="A15268" i="28"/>
  <c r="A15269" i="28"/>
  <c r="A15270" i="28"/>
  <c r="A15271" i="28"/>
  <c r="A15272" i="28"/>
  <c r="A15273" i="28"/>
  <c r="A15274" i="28"/>
  <c r="A15275" i="28"/>
  <c r="A15276" i="28"/>
  <c r="A15277" i="28"/>
  <c r="A15278" i="28"/>
  <c r="A15279" i="28"/>
  <c r="A15280" i="28"/>
  <c r="A15281" i="28"/>
  <c r="A15282" i="28"/>
  <c r="A15283" i="28"/>
  <c r="A15284" i="28"/>
  <c r="A15285" i="28"/>
  <c r="A15286" i="28"/>
  <c r="A15287" i="28"/>
  <c r="A15288" i="28"/>
  <c r="A15289" i="28"/>
  <c r="A15290" i="28"/>
  <c r="A15291" i="28"/>
  <c r="A15292" i="28"/>
  <c r="A15293" i="28"/>
  <c r="A15294" i="28"/>
  <c r="A15295" i="28"/>
  <c r="A15296" i="28"/>
  <c r="A15297" i="28"/>
  <c r="A15298" i="28"/>
  <c r="A15299" i="28"/>
  <c r="A15300" i="28"/>
  <c r="A15301" i="28"/>
  <c r="A15302" i="28"/>
  <c r="A15303" i="28"/>
  <c r="A15304" i="28"/>
  <c r="A15305" i="28"/>
  <c r="A15306" i="28"/>
  <c r="A15307" i="28"/>
  <c r="A15308" i="28"/>
  <c r="A15309" i="28"/>
  <c r="A15310" i="28"/>
  <c r="A15311" i="28"/>
  <c r="A15312" i="28"/>
  <c r="A15313" i="28"/>
  <c r="A15314" i="28"/>
  <c r="A15315" i="28"/>
  <c r="A15316" i="28"/>
  <c r="A15317" i="28"/>
  <c r="A15318" i="28"/>
  <c r="A15319" i="28"/>
  <c r="A15320" i="28"/>
  <c r="A15321" i="28"/>
  <c r="A15322" i="28"/>
  <c r="A15323" i="28"/>
  <c r="A15324" i="28"/>
  <c r="A15325" i="28"/>
  <c r="A15326" i="28"/>
  <c r="A15327" i="28"/>
  <c r="A15328" i="28"/>
  <c r="A15329" i="28"/>
  <c r="A15330" i="28"/>
  <c r="A15331" i="28"/>
  <c r="A15332" i="28"/>
  <c r="A15333" i="28"/>
  <c r="A15334" i="28"/>
  <c r="A15335" i="28"/>
  <c r="A15336" i="28"/>
  <c r="A15337" i="28"/>
  <c r="A15338" i="28"/>
  <c r="A15339" i="28"/>
  <c r="A15340" i="28"/>
  <c r="A15341" i="28"/>
  <c r="A15342" i="28"/>
  <c r="A15343" i="28"/>
  <c r="A15344" i="28"/>
  <c r="A15345" i="28"/>
  <c r="A15346" i="28"/>
  <c r="A15347" i="28"/>
  <c r="A15348" i="28"/>
  <c r="A15349" i="28"/>
  <c r="A15350" i="28"/>
  <c r="A15351" i="28"/>
  <c r="A15352" i="28"/>
  <c r="A15353" i="28"/>
  <c r="A15354" i="28"/>
  <c r="A15355" i="28"/>
  <c r="A15356" i="28"/>
  <c r="A15357" i="28"/>
  <c r="A15358" i="28"/>
  <c r="A15359" i="28"/>
  <c r="A15360" i="28"/>
  <c r="A15361" i="28"/>
  <c r="A15362" i="28"/>
  <c r="A15363" i="28"/>
  <c r="A15364" i="28"/>
  <c r="A15365" i="28"/>
  <c r="A15366" i="28"/>
  <c r="A15367" i="28"/>
  <c r="A15368" i="28"/>
  <c r="A15369" i="28"/>
  <c r="A15370" i="28"/>
  <c r="A15371" i="28"/>
  <c r="A15372" i="28"/>
  <c r="A15373" i="28"/>
  <c r="A15374" i="28"/>
  <c r="A15375" i="28"/>
  <c r="A15376" i="28"/>
  <c r="A15377" i="28"/>
  <c r="A15378" i="28"/>
  <c r="A15379" i="28"/>
  <c r="A15380" i="28"/>
  <c r="A15381" i="28"/>
  <c r="A15382" i="28"/>
  <c r="A15383" i="28"/>
  <c r="A15384" i="28"/>
  <c r="A15385" i="28"/>
  <c r="A15386" i="28"/>
  <c r="A15387" i="28"/>
  <c r="A15388" i="28"/>
  <c r="A15389" i="28"/>
  <c r="A15390" i="28"/>
  <c r="A15391" i="28"/>
  <c r="A15392" i="28"/>
  <c r="A15393" i="28"/>
  <c r="A15394" i="28"/>
  <c r="A15395" i="28"/>
  <c r="A15396" i="28"/>
  <c r="A15397" i="28"/>
  <c r="A15398" i="28"/>
  <c r="A15399" i="28"/>
  <c r="A15400" i="28"/>
  <c r="A15401" i="28"/>
  <c r="A15402" i="28"/>
  <c r="A15403" i="28"/>
  <c r="A15404" i="28"/>
  <c r="A15405" i="28"/>
  <c r="A15406" i="28"/>
  <c r="A15407" i="28"/>
  <c r="A15408" i="28"/>
  <c r="A15409" i="28"/>
  <c r="A15410" i="28"/>
  <c r="A15411" i="28"/>
  <c r="A15412" i="28"/>
  <c r="A15413" i="28"/>
  <c r="A15414" i="28"/>
  <c r="A15415" i="28"/>
  <c r="A15416" i="28"/>
  <c r="A15417" i="28"/>
  <c r="A15418" i="28"/>
  <c r="A15419" i="28"/>
  <c r="A15420" i="28"/>
  <c r="A15421" i="28"/>
  <c r="A15422" i="28"/>
  <c r="A15423" i="28"/>
  <c r="A15424" i="28"/>
  <c r="A15425" i="28"/>
  <c r="A15426" i="28"/>
  <c r="A15427" i="28"/>
  <c r="A15428" i="28"/>
  <c r="A15429" i="28"/>
  <c r="A15430" i="28"/>
  <c r="A15431" i="28"/>
  <c r="A15432" i="28"/>
  <c r="A15433" i="28"/>
  <c r="A15434" i="28"/>
  <c r="A15435" i="28"/>
  <c r="A15436" i="28"/>
  <c r="A15437" i="28"/>
  <c r="A15438" i="28"/>
  <c r="A15439" i="28"/>
  <c r="A15440" i="28"/>
  <c r="A15441" i="28"/>
  <c r="A15442" i="28"/>
  <c r="A15443" i="28"/>
  <c r="A15444" i="28"/>
  <c r="A15445" i="28"/>
  <c r="A15446" i="28"/>
  <c r="A15447" i="28"/>
  <c r="A15448" i="28"/>
  <c r="A15449" i="28"/>
  <c r="A15450" i="28"/>
  <c r="A15451" i="28"/>
  <c r="A15452" i="28"/>
  <c r="A15453" i="28"/>
  <c r="A15454" i="28"/>
  <c r="A15455" i="28"/>
  <c r="A15456" i="28"/>
  <c r="A15457" i="28"/>
  <c r="A15458" i="28"/>
  <c r="A15459" i="28"/>
  <c r="A15460" i="28"/>
  <c r="A15461" i="28"/>
  <c r="A15462" i="28"/>
  <c r="A15463" i="28"/>
  <c r="A15464" i="28"/>
  <c r="A15465" i="28"/>
  <c r="A15466" i="28"/>
  <c r="A15467" i="28"/>
  <c r="A15468" i="28"/>
  <c r="A15469" i="28"/>
  <c r="A15470" i="28"/>
  <c r="A15471" i="28"/>
  <c r="A15472" i="28"/>
  <c r="A15473" i="28"/>
  <c r="A15474" i="28"/>
  <c r="A15475" i="28"/>
  <c r="A15476" i="28"/>
  <c r="A15477" i="28"/>
  <c r="A15478" i="28"/>
  <c r="A15479" i="28"/>
  <c r="A15480" i="28"/>
  <c r="A15481" i="28"/>
  <c r="A15482" i="28"/>
  <c r="A15483" i="28"/>
  <c r="A15484" i="28"/>
  <c r="A15485" i="28"/>
  <c r="A15486" i="28"/>
  <c r="A15487" i="28"/>
  <c r="A15488" i="28"/>
  <c r="A15489" i="28"/>
  <c r="A15490" i="28"/>
  <c r="A15491" i="28"/>
  <c r="A15492" i="28"/>
  <c r="A15493" i="28"/>
  <c r="A15494" i="28"/>
  <c r="A15495" i="28"/>
  <c r="A15496" i="28"/>
  <c r="A15497" i="28"/>
  <c r="A15498" i="28"/>
  <c r="A15499" i="28"/>
  <c r="A15500" i="28"/>
  <c r="A15501" i="28"/>
  <c r="A15502" i="28"/>
  <c r="A15503" i="28"/>
  <c r="A15504" i="28"/>
  <c r="A15505" i="28"/>
  <c r="A15506" i="28"/>
  <c r="A15507" i="28"/>
  <c r="A15508" i="28"/>
  <c r="A15509" i="28"/>
  <c r="A15510" i="28"/>
  <c r="A15511" i="28"/>
  <c r="A15512" i="28"/>
  <c r="A15513" i="28"/>
  <c r="A15514" i="28"/>
  <c r="A15515" i="28"/>
  <c r="A15516" i="28"/>
  <c r="A15517" i="28"/>
  <c r="A15518" i="28"/>
  <c r="A15519" i="28"/>
  <c r="A15520" i="28"/>
  <c r="A15521" i="28"/>
  <c r="A15522" i="28"/>
  <c r="A15523" i="28"/>
  <c r="A15524" i="28"/>
  <c r="A15525" i="28"/>
  <c r="A15526" i="28"/>
  <c r="A15527" i="28"/>
  <c r="A15528" i="28"/>
  <c r="A15529" i="28"/>
  <c r="A15530" i="28"/>
  <c r="A15531" i="28"/>
  <c r="A15532" i="28"/>
  <c r="A15533" i="28"/>
  <c r="A15534" i="28"/>
  <c r="A15535" i="28"/>
  <c r="A15536" i="28"/>
  <c r="A15537" i="28"/>
  <c r="A15538" i="28"/>
  <c r="A15539" i="28"/>
  <c r="A15540" i="28"/>
  <c r="A15541" i="28"/>
  <c r="A15542" i="28"/>
  <c r="A15543" i="28"/>
  <c r="A15544" i="28"/>
  <c r="A15545" i="28"/>
  <c r="A15546" i="28"/>
  <c r="A15547" i="28"/>
  <c r="A15548" i="28"/>
  <c r="A15549" i="28"/>
  <c r="A15550" i="28"/>
  <c r="A15551" i="28"/>
  <c r="A15552" i="28"/>
  <c r="A15553" i="28"/>
  <c r="A15554" i="28"/>
  <c r="A15555" i="28"/>
  <c r="A15556" i="28"/>
  <c r="A15557" i="28"/>
  <c r="A15558" i="28"/>
  <c r="A15559" i="28"/>
  <c r="A15560" i="28"/>
  <c r="A15561" i="28"/>
  <c r="A15562" i="28"/>
  <c r="A15563" i="28"/>
  <c r="A15564" i="28"/>
  <c r="A15565" i="28"/>
  <c r="A15566" i="28"/>
  <c r="A15567" i="28"/>
  <c r="A15568" i="28"/>
  <c r="A15569" i="28"/>
  <c r="A15570" i="28"/>
  <c r="A15571" i="28"/>
  <c r="A15572" i="28"/>
  <c r="A15573" i="28"/>
  <c r="A15574" i="28"/>
  <c r="A15575" i="28"/>
  <c r="A15576" i="28"/>
  <c r="A15577" i="28"/>
  <c r="A15578" i="28"/>
  <c r="A15579" i="28"/>
  <c r="A15580" i="28"/>
  <c r="A15581" i="28"/>
  <c r="A15582" i="28"/>
  <c r="A15583" i="28"/>
  <c r="A15584" i="28"/>
  <c r="A15585" i="28"/>
  <c r="A15586" i="28"/>
  <c r="A15587" i="28"/>
  <c r="A15588" i="28"/>
  <c r="A15589" i="28"/>
  <c r="A15590" i="28"/>
  <c r="A15591" i="28"/>
  <c r="A15592" i="28"/>
  <c r="A15593" i="28"/>
  <c r="A15594" i="28"/>
  <c r="A15595" i="28"/>
  <c r="A15596" i="28"/>
  <c r="A15597" i="28"/>
  <c r="A15598" i="28"/>
  <c r="A15599" i="28"/>
  <c r="A15600" i="28"/>
  <c r="A15601" i="28"/>
  <c r="A15602" i="28"/>
  <c r="A15603" i="28"/>
  <c r="A15604" i="28"/>
  <c r="A15605" i="28"/>
  <c r="A15606" i="28"/>
  <c r="A15607" i="28"/>
  <c r="A15608" i="28"/>
  <c r="A15609" i="28"/>
  <c r="A15610" i="28"/>
  <c r="A15611" i="28"/>
  <c r="A15612" i="28"/>
  <c r="A15613" i="28"/>
  <c r="A15614" i="28"/>
  <c r="A15615" i="28"/>
  <c r="A15616" i="28"/>
  <c r="A15617" i="28"/>
  <c r="A15618" i="28"/>
  <c r="A15619" i="28"/>
  <c r="A15620" i="28"/>
  <c r="A15621" i="28"/>
  <c r="A15622" i="28"/>
  <c r="A15623" i="28"/>
  <c r="A15624" i="28"/>
  <c r="A15625" i="28"/>
  <c r="A15626" i="28"/>
  <c r="A15627" i="28"/>
  <c r="A15628" i="28"/>
  <c r="A15629" i="28"/>
  <c r="A15630" i="28"/>
  <c r="A15631" i="28"/>
  <c r="A15632" i="28"/>
  <c r="A15633" i="28"/>
  <c r="A15634" i="28"/>
  <c r="A15635" i="28"/>
  <c r="A15636" i="28"/>
  <c r="A15637" i="28"/>
  <c r="A15638" i="28"/>
  <c r="A15639" i="28"/>
  <c r="A15640" i="28"/>
  <c r="A15641" i="28"/>
  <c r="A15642" i="28"/>
  <c r="A15643" i="28"/>
  <c r="A15644" i="28"/>
  <c r="A15645" i="28"/>
  <c r="A15646" i="28"/>
  <c r="A15647" i="28"/>
  <c r="A15648" i="28"/>
  <c r="A15649" i="28"/>
  <c r="A15650" i="28"/>
  <c r="A15651" i="28"/>
  <c r="A15652" i="28"/>
  <c r="A15653" i="28"/>
  <c r="A15654" i="28"/>
  <c r="A15655" i="28"/>
  <c r="A15656" i="28"/>
  <c r="A15657" i="28"/>
  <c r="A15658" i="28"/>
  <c r="A15659" i="28"/>
  <c r="A15660" i="28"/>
  <c r="A15661" i="28"/>
  <c r="A15662" i="28"/>
  <c r="A15663" i="28"/>
  <c r="A15664" i="28"/>
  <c r="A15665" i="28"/>
  <c r="A15666" i="28"/>
  <c r="A15667" i="28"/>
  <c r="A15668" i="28"/>
  <c r="A15669" i="28"/>
  <c r="A15670" i="28"/>
  <c r="A15671" i="28"/>
  <c r="A15672" i="28"/>
  <c r="A15673" i="28"/>
  <c r="A15674" i="28"/>
  <c r="A15675" i="28"/>
  <c r="A15676" i="28"/>
  <c r="A15677" i="28"/>
  <c r="A15678" i="28"/>
  <c r="A15679" i="28"/>
  <c r="A15680" i="28"/>
  <c r="A15681" i="28"/>
  <c r="A15682" i="28"/>
  <c r="A15683" i="28"/>
  <c r="A15684" i="28"/>
  <c r="A15685" i="28"/>
  <c r="A15686" i="28"/>
  <c r="A15687" i="28"/>
  <c r="A15688" i="28"/>
  <c r="A15689" i="28"/>
  <c r="A15690" i="28"/>
  <c r="A15691" i="28"/>
  <c r="A15692" i="28"/>
  <c r="A15693" i="28"/>
  <c r="A15694" i="28"/>
  <c r="A15695" i="28"/>
  <c r="A15696" i="28"/>
  <c r="A15697" i="28"/>
  <c r="A15698" i="28"/>
  <c r="A15699" i="28"/>
  <c r="A15700" i="28"/>
  <c r="A15701" i="28"/>
  <c r="A15702" i="28"/>
  <c r="A15703" i="28"/>
  <c r="A15704" i="28"/>
  <c r="A15705" i="28"/>
  <c r="A15706" i="28"/>
  <c r="A15707" i="28"/>
  <c r="A15708" i="28"/>
  <c r="A15709" i="28"/>
  <c r="A15710" i="28"/>
  <c r="A15711" i="28"/>
  <c r="A15712" i="28"/>
  <c r="A15713" i="28"/>
  <c r="A15714" i="28"/>
  <c r="A15715" i="28"/>
  <c r="A15716" i="28"/>
  <c r="A15717" i="28"/>
  <c r="A15718" i="28"/>
  <c r="A15719" i="28"/>
  <c r="A15720" i="28"/>
  <c r="A15721" i="28"/>
  <c r="A15722" i="28"/>
  <c r="A15723" i="28"/>
  <c r="A15724" i="28"/>
  <c r="A15725" i="28"/>
  <c r="A15726" i="28"/>
  <c r="A15727" i="28"/>
  <c r="A15728" i="28"/>
  <c r="A15729" i="28"/>
  <c r="A15730" i="28"/>
  <c r="A15731" i="28"/>
  <c r="A15732" i="28"/>
  <c r="A15733" i="28"/>
  <c r="A15734" i="28"/>
  <c r="A15735" i="28"/>
  <c r="A15736" i="28"/>
  <c r="A15737" i="28"/>
  <c r="A15738" i="28"/>
  <c r="A15739" i="28"/>
  <c r="A15740" i="28"/>
  <c r="A15741" i="28"/>
  <c r="A15742" i="28"/>
  <c r="A15743" i="28"/>
  <c r="A15744" i="28"/>
  <c r="A15745" i="28"/>
  <c r="A15746" i="28"/>
  <c r="A15747" i="28"/>
  <c r="A15748" i="28"/>
  <c r="A15749" i="28"/>
  <c r="A15750" i="28"/>
  <c r="A15751" i="28"/>
  <c r="A15752" i="28"/>
  <c r="A15753" i="28"/>
  <c r="A15754" i="28"/>
  <c r="A15755" i="28"/>
  <c r="A15756" i="28"/>
  <c r="A15757" i="28"/>
  <c r="A15758" i="28"/>
  <c r="A15759" i="28"/>
  <c r="A15760" i="28"/>
  <c r="A15761" i="28"/>
  <c r="A15762" i="28"/>
  <c r="A15763" i="28"/>
  <c r="A15764" i="28"/>
  <c r="A15765" i="28"/>
  <c r="A15766" i="28"/>
  <c r="A15767" i="28"/>
  <c r="A15768" i="28"/>
  <c r="A15769" i="28"/>
  <c r="A15770" i="28"/>
  <c r="A15771" i="28"/>
  <c r="A15772" i="28"/>
  <c r="A15773" i="28"/>
  <c r="A15774" i="28"/>
  <c r="A15775" i="28"/>
  <c r="A15776" i="28"/>
  <c r="A15777" i="28"/>
  <c r="A15778" i="28"/>
  <c r="A15779" i="28"/>
  <c r="A15780" i="28"/>
  <c r="A15781" i="28"/>
  <c r="A15782" i="28"/>
  <c r="A15783" i="28"/>
  <c r="A15784" i="28"/>
  <c r="A15785" i="28"/>
  <c r="A15786" i="28"/>
  <c r="A15787" i="28"/>
  <c r="A15788" i="28"/>
  <c r="A15789" i="28"/>
  <c r="A15790" i="28"/>
  <c r="A15791" i="28"/>
  <c r="A15792" i="28"/>
  <c r="A15793" i="28"/>
  <c r="A15794" i="28"/>
  <c r="A15795" i="28"/>
  <c r="A15796" i="28"/>
  <c r="A15797" i="28"/>
  <c r="A15798" i="28"/>
  <c r="A15799" i="28"/>
  <c r="A15800" i="28"/>
  <c r="A15801" i="28"/>
  <c r="A15802" i="28"/>
  <c r="A15803" i="28"/>
  <c r="A15804" i="28"/>
  <c r="A15805" i="28"/>
  <c r="A15806" i="28"/>
  <c r="A15807" i="28"/>
  <c r="A15808" i="28"/>
  <c r="A15809" i="28"/>
  <c r="A15810" i="28"/>
  <c r="A15811" i="28"/>
  <c r="A15812" i="28"/>
  <c r="A15813" i="28"/>
  <c r="A15814" i="28"/>
  <c r="A15815" i="28"/>
  <c r="A15816" i="28"/>
  <c r="A15817" i="28"/>
  <c r="A15818" i="28"/>
  <c r="A15819" i="28"/>
  <c r="A15820" i="28"/>
  <c r="A15821" i="28"/>
  <c r="A15822" i="28"/>
  <c r="A15823" i="28"/>
  <c r="A15824" i="28"/>
  <c r="A15825" i="28"/>
  <c r="A15826" i="28"/>
  <c r="A15827" i="28"/>
  <c r="A15828" i="28"/>
  <c r="A15829" i="28"/>
  <c r="A15830" i="28"/>
  <c r="A15831" i="28"/>
  <c r="A15832" i="28"/>
  <c r="A15833" i="28"/>
  <c r="A15834" i="28"/>
  <c r="A15835" i="28"/>
  <c r="A15836" i="28"/>
  <c r="A15837" i="28"/>
  <c r="A15838" i="28"/>
  <c r="A15839" i="28"/>
  <c r="A15840" i="28"/>
  <c r="A15841" i="28"/>
  <c r="A15842" i="28"/>
  <c r="A15843" i="28"/>
  <c r="A15844" i="28"/>
  <c r="A15845" i="28"/>
  <c r="A15846" i="28"/>
  <c r="A15847" i="28"/>
  <c r="A15848" i="28"/>
  <c r="A15849" i="28"/>
  <c r="A15850" i="28"/>
  <c r="A15851" i="28"/>
  <c r="A15852" i="28"/>
  <c r="A15853" i="28"/>
  <c r="A15854" i="28"/>
  <c r="A15855" i="28"/>
  <c r="A15856" i="28"/>
  <c r="A15857" i="28"/>
  <c r="A15858" i="28"/>
  <c r="A15859" i="28"/>
  <c r="A15860" i="28"/>
  <c r="A15861" i="28"/>
  <c r="A15862" i="28"/>
  <c r="A15863" i="28"/>
  <c r="A15864" i="28"/>
  <c r="A15865" i="28"/>
  <c r="A15866" i="28"/>
  <c r="A15867" i="28"/>
  <c r="A15868" i="28"/>
  <c r="A15869" i="28"/>
  <c r="A15870" i="28"/>
  <c r="A15871" i="28"/>
  <c r="A15872" i="28"/>
  <c r="A15873" i="28"/>
  <c r="A15874" i="28"/>
  <c r="A15875" i="28"/>
  <c r="A15876" i="28"/>
  <c r="A15877" i="28"/>
  <c r="A15878" i="28"/>
  <c r="A15879" i="28"/>
  <c r="A15880" i="28"/>
  <c r="A15881" i="28"/>
  <c r="A15882" i="28"/>
  <c r="A15883" i="28"/>
  <c r="A15884" i="28"/>
  <c r="A15885" i="28"/>
  <c r="A15886" i="28"/>
  <c r="A15887" i="28"/>
  <c r="A15888" i="28"/>
  <c r="A15889" i="28"/>
  <c r="A15890" i="28"/>
  <c r="A15891" i="28"/>
  <c r="A15892" i="28"/>
  <c r="A15893" i="28"/>
  <c r="A15894" i="28"/>
  <c r="A15895" i="28"/>
  <c r="A15896" i="28"/>
  <c r="A15897" i="28"/>
  <c r="A15898" i="28"/>
  <c r="A15899" i="28"/>
  <c r="A15900" i="28"/>
  <c r="A15901" i="28"/>
  <c r="A15902" i="28"/>
  <c r="A15903" i="28"/>
  <c r="A15904" i="28"/>
  <c r="A15905" i="28"/>
  <c r="A15906" i="28"/>
  <c r="A15907" i="28"/>
  <c r="A15908" i="28"/>
  <c r="A15909" i="28"/>
  <c r="A15910" i="28"/>
  <c r="A15911" i="28"/>
  <c r="A15912" i="28"/>
  <c r="A15913" i="28"/>
  <c r="A15914" i="28"/>
  <c r="A15915" i="28"/>
  <c r="A15916" i="28"/>
  <c r="A15917" i="28"/>
  <c r="A15918" i="28"/>
  <c r="A15919" i="28"/>
  <c r="A15920" i="28"/>
  <c r="A15921" i="28"/>
  <c r="A15922" i="28"/>
  <c r="A15923" i="28"/>
  <c r="A15924" i="28"/>
  <c r="A15925" i="28"/>
  <c r="A15926" i="28"/>
  <c r="A15927" i="28"/>
  <c r="A15928" i="28"/>
  <c r="A15929" i="28"/>
  <c r="A15930" i="28"/>
  <c r="A15931" i="28"/>
  <c r="A15932" i="28"/>
  <c r="A15933" i="28"/>
  <c r="A15934" i="28"/>
  <c r="A15935" i="28"/>
  <c r="A15936" i="28"/>
  <c r="A15937" i="28"/>
  <c r="A15938" i="28"/>
  <c r="A15939" i="28"/>
  <c r="A15940" i="28"/>
  <c r="A15941" i="28"/>
  <c r="A15942" i="28"/>
  <c r="A15943" i="28"/>
  <c r="A15944" i="28"/>
  <c r="A15945" i="28"/>
  <c r="A15946" i="28"/>
  <c r="A15947" i="28"/>
  <c r="A15948" i="28"/>
  <c r="A15949" i="28"/>
  <c r="A15950" i="28"/>
  <c r="A15951" i="28"/>
  <c r="A15952" i="28"/>
  <c r="A15953" i="28"/>
  <c r="A15954" i="28"/>
  <c r="A15955" i="28"/>
  <c r="A15956" i="28"/>
  <c r="A15957" i="28"/>
  <c r="A15958" i="28"/>
  <c r="A15959" i="28"/>
  <c r="A15960" i="28"/>
  <c r="A15961" i="28"/>
  <c r="A15962" i="28"/>
  <c r="A15963" i="28"/>
  <c r="A15964" i="28"/>
  <c r="A15965" i="28"/>
  <c r="A15966" i="28"/>
  <c r="A15967" i="28"/>
  <c r="A15968" i="28"/>
  <c r="A15969" i="28"/>
  <c r="A15970" i="28"/>
  <c r="A15971" i="28"/>
  <c r="A15972" i="28"/>
  <c r="A15973" i="28"/>
  <c r="A15974" i="28"/>
  <c r="A15975" i="28"/>
  <c r="A15976" i="28"/>
  <c r="A15977" i="28"/>
  <c r="A15978" i="28"/>
  <c r="A15979" i="28"/>
  <c r="A15980" i="28"/>
  <c r="A15981" i="28"/>
  <c r="A15982" i="28"/>
  <c r="A15983" i="28"/>
  <c r="A15984" i="28"/>
  <c r="A15985" i="28"/>
  <c r="A15986" i="28"/>
  <c r="A15987" i="28"/>
  <c r="A15988" i="28"/>
  <c r="A15989" i="28"/>
  <c r="A15990" i="28"/>
  <c r="A15991" i="28"/>
  <c r="A15992" i="28"/>
  <c r="A15993" i="28"/>
  <c r="A15994" i="28"/>
  <c r="A15995" i="28"/>
  <c r="A15996" i="28"/>
  <c r="A15997" i="28"/>
  <c r="A15998" i="28"/>
  <c r="A15999" i="28"/>
  <c r="A16000" i="28"/>
  <c r="A16001" i="28"/>
  <c r="A16002" i="28"/>
  <c r="A16003" i="28"/>
  <c r="A16004" i="28"/>
  <c r="A16005" i="28"/>
  <c r="A16006" i="28"/>
  <c r="A16007" i="28"/>
  <c r="A16008" i="28"/>
  <c r="A16009" i="28"/>
  <c r="A16010" i="28"/>
  <c r="A16011" i="28"/>
  <c r="A16012" i="28"/>
  <c r="A16013" i="28"/>
  <c r="A16014" i="28"/>
  <c r="A16015" i="28"/>
  <c r="A16016" i="28"/>
  <c r="A16017" i="28"/>
  <c r="A16018" i="28"/>
  <c r="A16019" i="28"/>
  <c r="A16020" i="28"/>
  <c r="A16021" i="28"/>
  <c r="A16022" i="28"/>
  <c r="A16023" i="28"/>
  <c r="A16024" i="28"/>
  <c r="A16025" i="28"/>
  <c r="A16026" i="28"/>
  <c r="A16027" i="28"/>
  <c r="A16028" i="28"/>
  <c r="A16029" i="28"/>
  <c r="A16030" i="28"/>
  <c r="A16031" i="28"/>
  <c r="A16032" i="28"/>
  <c r="A16033" i="28"/>
  <c r="A16034" i="28"/>
  <c r="A16035" i="28"/>
  <c r="A16036" i="28"/>
  <c r="A16037" i="28"/>
  <c r="A16038" i="28"/>
  <c r="A16039" i="28"/>
  <c r="A16040" i="28"/>
  <c r="A16041" i="28"/>
  <c r="A16042" i="28"/>
  <c r="A16043" i="28"/>
  <c r="A16044" i="28"/>
  <c r="A16045" i="28"/>
  <c r="A16046" i="28"/>
  <c r="A16047" i="28"/>
  <c r="A16048" i="28"/>
  <c r="A16049" i="28"/>
  <c r="A16050" i="28"/>
  <c r="A16051" i="28"/>
  <c r="A16052" i="28"/>
  <c r="A16053" i="28"/>
  <c r="A16054" i="28"/>
  <c r="A16055" i="28"/>
  <c r="A16056" i="28"/>
  <c r="A16057" i="28"/>
  <c r="A16058" i="28"/>
  <c r="A16059" i="28"/>
  <c r="A16060" i="28"/>
  <c r="A16061" i="28"/>
  <c r="A16062" i="28"/>
  <c r="A16063" i="28"/>
  <c r="A16064" i="28"/>
  <c r="A16065" i="28"/>
  <c r="A16066" i="28"/>
  <c r="A16067" i="28"/>
  <c r="A16068" i="28"/>
  <c r="A16069" i="28"/>
  <c r="A16070" i="28"/>
  <c r="A16071" i="28"/>
  <c r="A16072" i="28"/>
  <c r="A16073" i="28"/>
  <c r="A16074" i="28"/>
  <c r="A16075" i="28"/>
  <c r="A16076" i="28"/>
  <c r="A16077" i="28"/>
  <c r="A16078" i="28"/>
  <c r="A16079" i="28"/>
  <c r="A16080" i="28"/>
  <c r="A16081" i="28"/>
  <c r="A16082" i="28"/>
  <c r="A16083" i="28"/>
  <c r="A16084" i="28"/>
  <c r="A16085" i="28"/>
  <c r="A16086" i="28"/>
  <c r="A16087" i="28"/>
  <c r="A16088" i="28"/>
  <c r="A16089" i="28"/>
  <c r="A16090" i="28"/>
  <c r="A16091" i="28"/>
  <c r="A16092" i="28"/>
  <c r="A16093" i="28"/>
  <c r="A16094" i="28"/>
  <c r="A16095" i="28"/>
  <c r="A16096" i="28"/>
  <c r="A16097" i="28"/>
  <c r="A16098" i="28"/>
  <c r="A16099" i="28"/>
  <c r="A16100" i="28"/>
  <c r="A16101" i="28"/>
  <c r="A16102" i="28"/>
  <c r="A16103" i="28"/>
  <c r="A16104" i="28"/>
  <c r="A16105" i="28"/>
  <c r="A16106" i="28"/>
  <c r="A16107" i="28"/>
  <c r="A16108" i="28"/>
  <c r="A16109" i="28"/>
  <c r="A16110" i="28"/>
  <c r="A16111" i="28"/>
  <c r="A16112" i="28"/>
  <c r="A16113" i="28"/>
  <c r="A16114" i="28"/>
  <c r="A16115" i="28"/>
  <c r="A16116" i="28"/>
  <c r="A16117" i="28"/>
  <c r="A16118" i="28"/>
  <c r="A16119" i="28"/>
  <c r="A16120" i="28"/>
  <c r="A16121" i="28"/>
  <c r="A16122" i="28"/>
  <c r="A16123" i="28"/>
  <c r="A16124" i="28"/>
  <c r="A16125" i="28"/>
  <c r="A16126" i="28"/>
  <c r="A16127" i="28"/>
  <c r="A16128" i="28"/>
  <c r="A16129" i="28"/>
  <c r="A16130" i="28"/>
  <c r="A16131" i="28"/>
  <c r="A16132" i="28"/>
  <c r="A16133" i="28"/>
  <c r="A16134" i="28"/>
  <c r="A16135" i="28"/>
  <c r="A16136" i="28"/>
  <c r="A16137" i="28"/>
  <c r="A16138" i="28"/>
  <c r="A16139" i="28"/>
  <c r="A16140" i="28"/>
  <c r="A16141" i="28"/>
  <c r="A16142" i="28"/>
  <c r="A16143" i="28"/>
  <c r="A16144" i="28"/>
  <c r="A16145" i="28"/>
  <c r="A16146" i="28"/>
  <c r="A16147" i="28"/>
  <c r="A16148" i="28"/>
  <c r="A16149" i="28"/>
  <c r="A16150" i="28"/>
  <c r="A16151" i="28"/>
  <c r="A16152" i="28"/>
  <c r="A16153" i="28"/>
  <c r="A16154" i="28"/>
  <c r="A16155" i="28"/>
  <c r="A16156" i="28"/>
  <c r="A16157" i="28"/>
  <c r="A16158" i="28"/>
  <c r="A16159" i="28"/>
  <c r="A16160" i="28"/>
  <c r="A16161" i="28"/>
  <c r="A16162" i="28"/>
  <c r="A16163" i="28"/>
  <c r="A16164" i="28"/>
  <c r="A16165" i="28"/>
  <c r="A16166" i="28"/>
  <c r="A16167" i="28"/>
  <c r="A16168" i="28"/>
  <c r="A16169" i="28"/>
  <c r="A16170" i="28"/>
  <c r="A16171" i="28"/>
  <c r="A16172" i="28"/>
  <c r="A16173" i="28"/>
  <c r="A16174" i="28"/>
  <c r="A16175" i="28"/>
  <c r="A16176" i="28"/>
  <c r="A16177" i="28"/>
  <c r="A16178" i="28"/>
  <c r="A16179" i="28"/>
  <c r="A16180" i="28"/>
  <c r="A16181" i="28"/>
  <c r="A16182" i="28"/>
  <c r="A16183" i="28"/>
  <c r="A16184" i="28"/>
  <c r="A16185" i="28"/>
  <c r="A16186" i="28"/>
  <c r="A16187" i="28"/>
  <c r="A16188" i="28"/>
  <c r="A16189" i="28"/>
  <c r="A16190" i="28"/>
  <c r="A16191" i="28"/>
  <c r="A16192" i="28"/>
  <c r="A16193" i="28"/>
  <c r="A16194" i="28"/>
  <c r="A16195" i="28"/>
  <c r="A16196" i="28"/>
  <c r="A16197" i="28"/>
  <c r="A16198" i="28"/>
  <c r="A16199" i="28"/>
  <c r="A16200" i="28"/>
  <c r="A16201" i="28"/>
  <c r="A16202" i="28"/>
  <c r="A16203" i="28"/>
  <c r="A16204" i="28"/>
  <c r="A16205" i="28"/>
  <c r="A16206" i="28"/>
  <c r="A16207" i="28"/>
  <c r="A16208" i="28"/>
  <c r="A16209" i="28"/>
  <c r="A16210" i="28"/>
  <c r="A16211" i="28"/>
  <c r="A16212" i="28"/>
  <c r="A16213" i="28"/>
  <c r="A16214" i="28"/>
  <c r="A16215" i="28"/>
  <c r="A16216" i="28"/>
  <c r="A16217" i="28"/>
  <c r="A16218" i="28"/>
  <c r="A16219" i="28"/>
  <c r="A16220" i="28"/>
  <c r="A16221" i="28"/>
  <c r="A16222" i="28"/>
  <c r="A16223" i="28"/>
  <c r="A16224" i="28"/>
  <c r="A16225" i="28"/>
  <c r="A16226" i="28"/>
  <c r="A16227" i="28"/>
  <c r="A16228" i="28"/>
  <c r="A16229" i="28"/>
  <c r="A16230" i="28"/>
  <c r="A16231" i="28"/>
  <c r="A16232" i="28"/>
  <c r="A16233" i="28"/>
  <c r="A16234" i="28"/>
  <c r="A16235" i="28"/>
  <c r="A16236" i="28"/>
  <c r="A16237" i="28"/>
  <c r="A16238" i="28"/>
  <c r="A16239" i="28"/>
  <c r="A16240" i="28"/>
  <c r="A16241" i="28"/>
  <c r="A16242" i="28"/>
  <c r="A16243" i="28"/>
  <c r="A16244" i="28"/>
  <c r="A16245" i="28"/>
  <c r="A16246" i="28"/>
  <c r="A16247" i="28"/>
  <c r="A16248" i="28"/>
  <c r="A16249" i="28"/>
  <c r="A16250" i="28"/>
  <c r="A16251" i="28"/>
  <c r="A16252" i="28"/>
  <c r="A16253" i="28"/>
  <c r="A16254" i="28"/>
  <c r="A16255" i="28"/>
  <c r="A16256" i="28"/>
  <c r="A16257" i="28"/>
  <c r="A16258" i="28"/>
  <c r="A16259" i="28"/>
  <c r="A16260" i="28"/>
  <c r="A16261" i="28"/>
  <c r="A16262" i="28"/>
  <c r="A16263" i="28"/>
  <c r="A16264" i="28"/>
  <c r="A16265" i="28"/>
  <c r="A16266" i="28"/>
  <c r="A16267" i="28"/>
  <c r="A16268" i="28"/>
  <c r="A16269" i="28"/>
  <c r="A16270" i="28"/>
  <c r="A16271" i="28"/>
  <c r="A16272" i="28"/>
  <c r="A16273" i="28"/>
  <c r="A16274" i="28"/>
  <c r="A16275" i="28"/>
  <c r="A16276" i="28"/>
  <c r="A16277" i="28"/>
  <c r="A16278" i="28"/>
  <c r="A16279" i="28"/>
  <c r="A16280" i="28"/>
  <c r="A16281" i="28"/>
  <c r="A16282" i="28"/>
  <c r="A16283" i="28"/>
  <c r="A16284" i="28"/>
  <c r="A16285" i="28"/>
  <c r="A16286" i="28"/>
  <c r="A16287" i="28"/>
  <c r="A16288" i="28"/>
  <c r="A16289" i="28"/>
  <c r="A16290" i="28"/>
  <c r="A16291" i="28"/>
  <c r="A16292" i="28"/>
  <c r="A16293" i="28"/>
  <c r="A16294" i="28"/>
  <c r="A16295" i="28"/>
  <c r="A16296" i="28"/>
  <c r="A16297" i="28"/>
  <c r="A16298" i="28"/>
  <c r="A16299" i="28"/>
  <c r="A16300" i="28"/>
  <c r="A16301" i="28"/>
  <c r="A16302" i="28"/>
  <c r="A16303" i="28"/>
  <c r="A16304" i="28"/>
  <c r="A16305" i="28"/>
  <c r="A16306" i="28"/>
  <c r="A16307" i="28"/>
  <c r="A16308" i="28"/>
  <c r="A16309" i="28"/>
  <c r="A16310" i="28"/>
  <c r="A16311" i="28"/>
  <c r="A16312" i="28"/>
  <c r="A16313" i="28"/>
  <c r="A16314" i="28"/>
  <c r="A16315" i="28"/>
  <c r="A16316" i="28"/>
  <c r="A16317" i="28"/>
  <c r="A16318" i="28"/>
  <c r="A16319" i="28"/>
  <c r="A16320" i="28"/>
  <c r="A16321" i="28"/>
  <c r="A16322" i="28"/>
  <c r="A16323" i="28"/>
  <c r="A16324" i="28"/>
  <c r="A16325" i="28"/>
  <c r="A16326" i="28"/>
  <c r="A16327" i="28"/>
  <c r="A16328" i="28"/>
  <c r="A16329" i="28"/>
  <c r="A16330" i="28"/>
  <c r="A16331" i="28"/>
  <c r="A16332" i="28"/>
  <c r="A16333" i="28"/>
  <c r="A16334" i="28"/>
  <c r="A16335" i="28"/>
  <c r="A16336" i="28"/>
  <c r="A16337" i="28"/>
  <c r="A16338" i="28"/>
  <c r="A16339" i="28"/>
  <c r="A16340" i="28"/>
  <c r="A16341" i="28"/>
  <c r="A16342" i="28"/>
  <c r="A16343" i="28"/>
  <c r="A16344" i="28"/>
  <c r="A16345" i="28"/>
  <c r="A16346" i="28"/>
  <c r="A16347" i="28"/>
  <c r="A16348" i="28"/>
  <c r="A16349" i="28"/>
  <c r="A16350" i="28"/>
  <c r="A16351" i="28"/>
  <c r="A16352" i="28"/>
  <c r="A16353" i="28"/>
  <c r="A16354" i="28"/>
  <c r="A16355" i="28"/>
  <c r="A16356" i="28"/>
  <c r="A16357" i="28"/>
  <c r="A16358" i="28"/>
  <c r="A16359" i="28"/>
  <c r="A16360" i="28"/>
  <c r="A16361" i="28"/>
  <c r="A16362" i="28"/>
  <c r="A16363" i="28"/>
  <c r="A16364" i="28"/>
  <c r="A16365" i="28"/>
  <c r="A16366" i="28"/>
  <c r="A16367" i="28"/>
  <c r="A16368" i="28"/>
  <c r="A16369" i="28"/>
  <c r="A16370" i="28"/>
  <c r="A16371" i="28"/>
  <c r="A16372" i="28"/>
  <c r="A16373" i="28"/>
  <c r="A16374" i="28"/>
  <c r="A16375" i="28"/>
  <c r="A16376" i="28"/>
  <c r="A16377" i="28"/>
  <c r="A16378" i="28"/>
  <c r="A16379" i="28"/>
  <c r="A16380" i="28"/>
  <c r="A16381" i="28"/>
  <c r="A16382" i="28"/>
  <c r="A16383" i="28"/>
  <c r="A16384" i="28"/>
  <c r="A16385" i="28"/>
  <c r="A16386" i="28"/>
  <c r="A16387" i="28"/>
  <c r="A16388" i="28"/>
  <c r="A16389" i="28"/>
  <c r="A16390" i="28"/>
  <c r="A16391" i="28"/>
  <c r="A16392" i="28"/>
  <c r="A16393" i="28"/>
  <c r="A16394" i="28"/>
  <c r="A16395" i="28"/>
  <c r="A16396" i="28"/>
  <c r="A16397" i="28"/>
  <c r="A16398" i="28"/>
  <c r="A16399" i="28"/>
  <c r="A16400" i="28"/>
  <c r="A16401" i="28"/>
  <c r="A16402" i="28"/>
  <c r="A16403" i="28"/>
  <c r="A16404" i="28"/>
  <c r="A16405" i="28"/>
  <c r="A16406" i="28"/>
  <c r="A16407" i="28"/>
  <c r="A16408" i="28"/>
  <c r="A16409" i="28"/>
  <c r="A16410" i="28"/>
  <c r="A16411" i="28"/>
  <c r="A16412" i="28"/>
  <c r="A16413" i="28"/>
  <c r="A16414" i="28"/>
  <c r="A16415" i="28"/>
  <c r="A16416" i="28"/>
  <c r="A16417" i="28"/>
  <c r="A16418" i="28"/>
  <c r="A16419" i="28"/>
  <c r="A16420" i="28"/>
  <c r="A16421" i="28"/>
  <c r="A16422" i="28"/>
  <c r="A16423" i="28"/>
  <c r="A16424" i="28"/>
  <c r="A16425" i="28"/>
  <c r="A16426" i="28"/>
  <c r="A16427" i="28"/>
  <c r="A16428" i="28"/>
  <c r="A16429" i="28"/>
  <c r="A16430" i="28"/>
  <c r="A16431" i="28"/>
  <c r="A16432" i="28"/>
  <c r="A16433" i="28"/>
  <c r="A16434" i="28"/>
  <c r="A16435" i="28"/>
  <c r="A16436" i="28"/>
  <c r="A16437" i="28"/>
  <c r="A16438" i="28"/>
  <c r="A16439" i="28"/>
  <c r="A16440" i="28"/>
  <c r="A16441" i="28"/>
  <c r="A16442" i="28"/>
  <c r="A16443" i="28"/>
  <c r="A16444" i="28"/>
  <c r="A16445" i="28"/>
  <c r="A16446" i="28"/>
  <c r="A16447" i="28"/>
  <c r="A16448" i="28"/>
  <c r="A16449" i="28"/>
  <c r="A16450" i="28"/>
  <c r="A16451" i="28"/>
  <c r="A16452" i="28"/>
  <c r="A16453" i="28"/>
  <c r="A16454" i="28"/>
  <c r="A16455" i="28"/>
  <c r="A16456" i="28"/>
  <c r="A16457" i="28"/>
  <c r="A16458" i="28"/>
  <c r="A16459" i="28"/>
  <c r="A16460" i="28"/>
  <c r="A16461" i="28"/>
  <c r="A16462" i="28"/>
  <c r="A16463" i="28"/>
  <c r="A16464" i="28"/>
  <c r="A16465" i="28"/>
  <c r="A16466" i="28"/>
  <c r="A16467" i="28"/>
  <c r="A16468" i="28"/>
  <c r="A16469" i="28"/>
  <c r="A16470" i="28"/>
  <c r="A16471" i="28"/>
  <c r="A16472" i="28"/>
  <c r="A16473" i="28"/>
  <c r="A16474" i="28"/>
  <c r="A16475" i="28"/>
  <c r="A16476" i="28"/>
  <c r="A16477" i="28"/>
  <c r="A16478" i="28"/>
  <c r="A16479" i="28"/>
  <c r="A16480" i="28"/>
  <c r="A16481" i="28"/>
  <c r="A16482" i="28"/>
  <c r="A16483" i="28"/>
  <c r="A16484" i="28"/>
  <c r="A16485" i="28"/>
  <c r="A16486" i="28"/>
  <c r="A16487" i="28"/>
  <c r="A16488" i="28"/>
  <c r="A16489" i="28"/>
  <c r="A16490" i="28"/>
  <c r="A16491" i="28"/>
  <c r="A16492" i="28"/>
  <c r="A16493" i="28"/>
  <c r="A16494" i="28"/>
  <c r="A16495" i="28"/>
  <c r="A16496" i="28"/>
  <c r="A16497" i="28"/>
  <c r="A16498" i="28"/>
  <c r="A16499" i="28"/>
  <c r="A16500" i="28"/>
  <c r="A16501" i="28"/>
  <c r="A16502" i="28"/>
  <c r="A16503" i="28"/>
  <c r="A16504" i="28"/>
  <c r="A16505" i="28"/>
  <c r="A16506" i="28"/>
  <c r="A16507" i="28"/>
  <c r="A16508" i="28"/>
  <c r="A16509" i="28"/>
  <c r="A16510" i="28"/>
  <c r="A16511" i="28"/>
  <c r="A16512" i="28"/>
  <c r="A16513" i="28"/>
  <c r="A16514" i="28"/>
  <c r="A16515" i="28"/>
  <c r="A16516" i="28"/>
  <c r="A16517" i="28"/>
  <c r="A16518" i="28"/>
  <c r="A16519" i="28"/>
  <c r="A16520" i="28"/>
  <c r="A16521" i="28"/>
  <c r="A16522" i="28"/>
  <c r="A16523" i="28"/>
  <c r="A16524" i="28"/>
  <c r="A16525" i="28"/>
  <c r="A16526" i="28"/>
  <c r="A16527" i="28"/>
  <c r="A16528" i="28"/>
  <c r="A16529" i="28"/>
  <c r="A16530" i="28"/>
  <c r="A16531" i="28"/>
  <c r="A16532" i="28"/>
  <c r="A16533" i="28"/>
  <c r="A16534" i="28"/>
  <c r="A16535" i="28"/>
  <c r="A16536" i="28"/>
  <c r="A16537" i="28"/>
  <c r="A16538" i="28"/>
  <c r="A16539" i="28"/>
  <c r="A16540" i="28"/>
  <c r="A16541" i="28"/>
  <c r="A16542" i="28"/>
  <c r="A16543" i="28"/>
  <c r="A16544" i="28"/>
  <c r="A16545" i="28"/>
  <c r="A16546" i="28"/>
  <c r="A16547" i="28"/>
  <c r="A16548" i="28"/>
  <c r="A16549" i="28"/>
  <c r="A16550" i="28"/>
  <c r="A16551" i="28"/>
  <c r="A16552" i="28"/>
  <c r="A16553" i="28"/>
  <c r="A16554" i="28"/>
  <c r="A16555" i="28"/>
  <c r="A16556" i="28"/>
  <c r="A16557" i="28"/>
  <c r="A16558" i="28"/>
  <c r="A16559" i="28"/>
  <c r="A16560" i="28"/>
  <c r="A16561" i="28"/>
  <c r="A16562" i="28"/>
  <c r="A16563" i="28"/>
  <c r="A16564" i="28"/>
  <c r="A16565" i="28"/>
  <c r="A16566" i="28"/>
  <c r="A16567" i="28"/>
  <c r="A16568" i="28"/>
  <c r="A16569" i="28"/>
  <c r="A16570" i="28"/>
  <c r="A16571" i="28"/>
  <c r="A16572" i="28"/>
  <c r="A16573" i="28"/>
  <c r="A16574" i="28"/>
  <c r="A16575" i="28"/>
  <c r="A16576" i="28"/>
  <c r="A16577" i="28"/>
  <c r="A16578" i="28"/>
  <c r="A16579" i="28"/>
  <c r="A16580" i="28"/>
  <c r="A16581" i="28"/>
  <c r="A16582" i="28"/>
  <c r="A16583" i="28"/>
  <c r="A16584" i="28"/>
  <c r="A16585" i="28"/>
  <c r="A16586" i="28"/>
  <c r="A16587" i="28"/>
  <c r="A16588" i="28"/>
  <c r="A16589" i="28"/>
  <c r="A16590" i="28"/>
  <c r="A16591" i="28"/>
  <c r="A16592" i="28"/>
  <c r="A16593" i="28"/>
  <c r="A16594" i="28"/>
  <c r="A16595" i="28"/>
  <c r="A16596" i="28"/>
  <c r="A16597" i="28"/>
  <c r="A16598" i="28"/>
  <c r="A16599" i="28"/>
  <c r="A16600" i="28"/>
  <c r="A16601" i="28"/>
  <c r="A16602" i="28"/>
  <c r="A16603" i="28"/>
  <c r="A16604" i="28"/>
  <c r="A16605" i="28"/>
  <c r="A16606" i="28"/>
  <c r="A16607" i="28"/>
  <c r="A16608" i="28"/>
  <c r="A16609" i="28"/>
  <c r="A16610" i="28"/>
  <c r="A16611" i="28"/>
  <c r="A16612" i="28"/>
  <c r="A16613" i="28"/>
  <c r="A16614" i="28"/>
  <c r="A16615" i="28"/>
  <c r="A16616" i="28"/>
  <c r="A16617" i="28"/>
  <c r="A16618" i="28"/>
  <c r="A16619" i="28"/>
  <c r="A16620" i="28"/>
  <c r="A16621" i="28"/>
  <c r="A16622" i="28"/>
  <c r="A16623" i="28"/>
  <c r="A16624" i="28"/>
  <c r="A16625" i="28"/>
  <c r="A16626" i="28"/>
  <c r="A16627" i="28"/>
  <c r="A16628" i="28"/>
  <c r="A16629" i="28"/>
  <c r="A16630" i="28"/>
  <c r="A16631" i="28"/>
  <c r="A16632" i="28"/>
  <c r="A16633" i="28"/>
  <c r="A16634" i="28"/>
  <c r="A16635" i="28"/>
  <c r="A16636" i="28"/>
  <c r="A16637" i="28"/>
  <c r="A16638" i="28"/>
  <c r="A16639" i="28"/>
  <c r="A16640" i="28"/>
  <c r="A16641" i="28"/>
  <c r="A16642" i="28"/>
  <c r="A16643" i="28"/>
  <c r="A16644" i="28"/>
  <c r="A16645" i="28"/>
  <c r="A16646" i="28"/>
  <c r="A16647" i="28"/>
  <c r="A16648" i="28"/>
  <c r="A16649" i="28"/>
  <c r="A16650" i="28"/>
  <c r="A16651" i="28"/>
  <c r="A16652" i="28"/>
  <c r="A16653" i="28"/>
  <c r="A16654" i="28"/>
  <c r="A16655" i="28"/>
  <c r="A16656" i="28"/>
  <c r="A16657" i="28"/>
  <c r="A16658" i="28"/>
  <c r="A16659" i="28"/>
  <c r="A16660" i="28"/>
  <c r="A16661" i="28"/>
  <c r="A16662" i="28"/>
  <c r="A16663" i="28"/>
  <c r="A16664" i="28"/>
  <c r="A16665" i="28"/>
  <c r="A16666" i="28"/>
  <c r="A16667" i="28"/>
  <c r="A16668" i="28"/>
  <c r="A16669" i="28"/>
  <c r="A16670" i="28"/>
  <c r="A16671" i="28"/>
  <c r="A16672" i="28"/>
  <c r="A16673" i="28"/>
  <c r="A16674" i="28"/>
  <c r="A16675" i="28"/>
  <c r="A16676" i="28"/>
  <c r="A16677" i="28"/>
  <c r="A16678" i="28"/>
  <c r="A16679" i="28"/>
  <c r="A16680" i="28"/>
  <c r="A16681" i="28"/>
  <c r="A16682" i="28"/>
  <c r="A16683" i="28"/>
  <c r="A16684" i="28"/>
  <c r="A16685" i="28"/>
  <c r="A16686" i="28"/>
  <c r="A16687" i="28"/>
  <c r="A16688" i="28"/>
  <c r="A16689" i="28"/>
  <c r="A16690" i="28"/>
  <c r="A16691" i="28"/>
  <c r="A16692" i="28"/>
  <c r="A16693" i="28"/>
  <c r="A16694" i="28"/>
  <c r="A16695" i="28"/>
  <c r="A16696" i="28"/>
  <c r="A16697" i="28"/>
  <c r="A16698" i="28"/>
  <c r="A16699" i="28"/>
  <c r="A16700" i="28"/>
  <c r="A16701" i="28"/>
  <c r="A16702" i="28"/>
  <c r="A16703" i="28"/>
  <c r="A16704" i="28"/>
  <c r="A16705" i="28"/>
  <c r="A16706" i="28"/>
  <c r="A16707" i="28"/>
  <c r="A16708" i="28"/>
  <c r="A16709" i="28"/>
  <c r="A16710" i="28"/>
  <c r="A16711" i="28"/>
  <c r="A16712" i="28"/>
  <c r="A16713" i="28"/>
  <c r="A16714" i="28"/>
  <c r="A16715" i="28"/>
  <c r="A16716" i="28"/>
  <c r="A16717" i="28"/>
  <c r="A16718" i="28"/>
  <c r="A16719" i="28"/>
  <c r="A16720" i="28"/>
  <c r="A16721" i="28"/>
  <c r="A16722" i="28"/>
  <c r="A16723" i="28"/>
  <c r="A16724" i="28"/>
  <c r="A16725" i="28"/>
  <c r="A16726" i="28"/>
  <c r="A16727" i="28"/>
  <c r="A16728" i="28"/>
  <c r="A16729" i="28"/>
  <c r="A16730" i="28"/>
  <c r="A16731" i="28"/>
  <c r="A16732" i="28"/>
  <c r="A16733" i="28"/>
  <c r="A16734" i="28"/>
  <c r="A16735" i="28"/>
  <c r="A16736" i="28"/>
  <c r="A16737" i="28"/>
  <c r="A16738" i="28"/>
  <c r="A16739" i="28"/>
  <c r="A16740" i="28"/>
  <c r="A16741" i="28"/>
  <c r="A16742" i="28"/>
  <c r="A16743" i="28"/>
  <c r="A16744" i="28"/>
  <c r="A16745" i="28"/>
  <c r="A16746" i="28"/>
  <c r="A16747" i="28"/>
  <c r="A16748" i="28"/>
  <c r="A16749" i="28"/>
  <c r="A16750" i="28"/>
  <c r="A16751" i="28"/>
  <c r="A16752" i="28"/>
  <c r="A16753" i="28"/>
  <c r="A16754" i="28"/>
  <c r="A16755" i="28"/>
  <c r="A16756" i="28"/>
  <c r="A16757" i="28"/>
  <c r="A16758" i="28"/>
  <c r="A16759" i="28"/>
  <c r="A16760" i="28"/>
  <c r="A16761" i="28"/>
  <c r="A16762" i="28"/>
  <c r="A16763" i="28"/>
  <c r="A16764" i="28"/>
  <c r="A16765" i="28"/>
  <c r="A16766" i="28"/>
  <c r="A16767" i="28"/>
  <c r="A16768" i="28"/>
  <c r="A16769" i="28"/>
  <c r="A16770" i="28"/>
  <c r="A16771" i="28"/>
  <c r="A16772" i="28"/>
  <c r="A16773" i="28"/>
  <c r="A16774" i="28"/>
  <c r="A16775" i="28"/>
  <c r="A16776" i="28"/>
  <c r="A16777" i="28"/>
  <c r="A16778" i="28"/>
  <c r="A16779" i="28"/>
  <c r="A16780" i="28"/>
  <c r="A16781" i="28"/>
  <c r="A16782" i="28"/>
  <c r="A16783" i="28"/>
  <c r="A16784" i="28"/>
  <c r="A16785" i="28"/>
  <c r="A16786" i="28"/>
  <c r="A16787" i="28"/>
  <c r="A16788" i="28"/>
  <c r="A16789" i="28"/>
  <c r="A16790" i="28"/>
  <c r="A16791" i="28"/>
  <c r="A16792" i="28"/>
  <c r="A16793" i="28"/>
  <c r="A16794" i="28"/>
  <c r="A16795" i="28"/>
  <c r="A16796" i="28"/>
  <c r="A16797" i="28"/>
  <c r="A16798" i="28"/>
  <c r="A16799" i="28"/>
  <c r="A16800" i="28"/>
  <c r="A16801" i="28"/>
  <c r="A16802" i="28"/>
  <c r="A16803" i="28"/>
  <c r="A16804" i="28"/>
  <c r="A16805" i="28"/>
  <c r="A16806" i="28"/>
  <c r="A16807" i="28"/>
  <c r="A16808" i="28"/>
  <c r="A16809" i="28"/>
  <c r="A16810" i="28"/>
  <c r="A16811" i="28"/>
  <c r="A16812" i="28"/>
  <c r="A16813" i="28"/>
  <c r="A16814" i="28"/>
  <c r="A16815" i="28"/>
  <c r="A16816" i="28"/>
  <c r="A16817" i="28"/>
  <c r="A16818" i="28"/>
  <c r="A16819" i="28"/>
  <c r="A16820" i="28"/>
  <c r="A16821" i="28"/>
  <c r="A16822" i="28"/>
  <c r="A16823" i="28"/>
  <c r="A16824" i="28"/>
  <c r="A16825" i="28"/>
  <c r="A16826" i="28"/>
  <c r="A16827" i="28"/>
  <c r="A16828" i="28"/>
  <c r="A16829" i="28"/>
  <c r="A16830" i="28"/>
  <c r="A16831" i="28"/>
  <c r="A16832" i="28"/>
  <c r="A16833" i="28"/>
  <c r="A16834" i="28"/>
  <c r="A16835" i="28"/>
  <c r="A16836" i="28"/>
  <c r="A16837" i="28"/>
  <c r="A16838" i="28"/>
  <c r="A16839" i="28"/>
  <c r="A16840" i="28"/>
  <c r="A16841" i="28"/>
  <c r="A16842" i="28"/>
  <c r="A16843" i="28"/>
  <c r="A16844" i="28"/>
  <c r="A16845" i="28"/>
  <c r="A16846" i="28"/>
  <c r="A16847" i="28"/>
  <c r="A16848" i="28"/>
  <c r="A16849" i="28"/>
  <c r="A16850" i="28"/>
  <c r="A16851" i="28"/>
  <c r="A16852" i="28"/>
  <c r="A16853" i="28"/>
  <c r="A16854" i="28"/>
  <c r="A16855" i="28"/>
  <c r="A16856" i="28"/>
  <c r="A16857" i="28"/>
  <c r="A16858" i="28"/>
  <c r="A16859" i="28"/>
  <c r="A16860" i="28"/>
  <c r="A16861" i="28"/>
  <c r="A16862" i="28"/>
  <c r="A16863" i="28"/>
  <c r="A16864" i="28"/>
  <c r="A16865" i="28"/>
  <c r="A16866" i="28"/>
  <c r="A16867" i="28"/>
  <c r="A16868" i="28"/>
  <c r="A16869" i="28"/>
  <c r="A16870" i="28"/>
  <c r="A16871" i="28"/>
  <c r="A16872" i="28"/>
  <c r="A16873" i="28"/>
  <c r="A16874" i="28"/>
  <c r="A16875" i="28"/>
  <c r="A16876" i="28"/>
  <c r="A16877" i="28"/>
  <c r="A16878" i="28"/>
  <c r="A16879" i="28"/>
  <c r="A16880" i="28"/>
  <c r="A16881" i="28"/>
  <c r="A16882" i="28"/>
  <c r="A16883" i="28"/>
  <c r="A16884" i="28"/>
  <c r="A16885" i="28"/>
  <c r="A16886" i="28"/>
  <c r="A16887" i="28"/>
  <c r="A16888" i="28"/>
  <c r="A16889" i="28"/>
  <c r="A16890" i="28"/>
  <c r="A16891" i="28"/>
  <c r="A16892" i="28"/>
  <c r="A16893" i="28"/>
  <c r="A16894" i="28"/>
  <c r="A16895" i="28"/>
  <c r="A16896" i="28"/>
  <c r="A16897" i="28"/>
  <c r="A16898" i="28"/>
  <c r="A16899" i="28"/>
  <c r="A16900" i="28"/>
  <c r="A16901" i="28"/>
  <c r="A16902" i="28"/>
  <c r="A16903" i="28"/>
  <c r="A16904" i="28"/>
  <c r="A16905" i="28"/>
  <c r="A16906" i="28"/>
  <c r="A16907" i="28"/>
  <c r="A16908" i="28"/>
  <c r="A16909" i="28"/>
  <c r="A16910" i="28"/>
  <c r="A16911" i="28"/>
  <c r="A16912" i="28"/>
  <c r="A16913" i="28"/>
  <c r="A16914" i="28"/>
  <c r="A16915" i="28"/>
  <c r="A16916" i="28"/>
  <c r="A16917" i="28"/>
  <c r="A16918" i="28"/>
  <c r="A16919" i="28"/>
  <c r="A16920" i="28"/>
  <c r="A16921" i="28"/>
  <c r="A16922" i="28"/>
  <c r="A16923" i="28"/>
  <c r="A16924" i="28"/>
  <c r="A16925" i="28"/>
  <c r="A16926" i="28"/>
  <c r="A16927" i="28"/>
  <c r="A16928" i="28"/>
  <c r="A16929" i="28"/>
  <c r="A16930" i="28"/>
  <c r="A16931" i="28"/>
  <c r="A16932" i="28"/>
  <c r="A16933" i="28"/>
  <c r="A16934" i="28"/>
  <c r="A16935" i="28"/>
  <c r="A16936" i="28"/>
  <c r="A16937" i="28"/>
  <c r="A16938" i="28"/>
  <c r="A16939" i="28"/>
  <c r="A16940" i="28"/>
  <c r="A16941" i="28"/>
  <c r="A16942" i="28"/>
  <c r="A16943" i="28"/>
  <c r="A16944" i="28"/>
  <c r="A16945" i="28"/>
  <c r="A16946" i="28"/>
  <c r="A16947" i="28"/>
  <c r="A16948" i="28"/>
  <c r="A16949" i="28"/>
  <c r="A16950" i="28"/>
  <c r="A16951" i="28"/>
  <c r="A16952" i="28"/>
  <c r="A16953" i="28"/>
  <c r="A16954" i="28"/>
  <c r="A16955" i="28"/>
  <c r="A16956" i="28"/>
  <c r="A16957" i="28"/>
  <c r="A16958" i="28"/>
  <c r="A16959" i="28"/>
  <c r="A16960" i="28"/>
  <c r="A16961" i="28"/>
  <c r="A16962" i="28"/>
  <c r="A16963" i="28"/>
  <c r="A16964" i="28"/>
  <c r="A16965" i="28"/>
  <c r="A16966" i="28"/>
  <c r="A16967" i="28"/>
  <c r="A16968" i="28"/>
  <c r="A16969" i="28"/>
  <c r="A16970" i="28"/>
  <c r="A16971" i="28"/>
  <c r="A16972" i="28"/>
  <c r="A16973" i="28"/>
  <c r="A16974" i="28"/>
  <c r="A16975" i="28"/>
  <c r="A16976" i="28"/>
  <c r="A16977" i="28"/>
  <c r="A16978" i="28"/>
  <c r="A16979" i="28"/>
  <c r="A16980" i="28"/>
  <c r="A16981" i="28"/>
  <c r="A16982" i="28"/>
  <c r="A16983" i="28"/>
  <c r="A16984" i="28"/>
  <c r="A16985" i="28"/>
  <c r="A16986" i="28"/>
  <c r="A16987" i="28"/>
  <c r="A16988" i="28"/>
  <c r="A16989" i="28"/>
  <c r="A16990" i="28"/>
  <c r="A16991" i="28"/>
  <c r="A16992" i="28"/>
  <c r="A16993" i="28"/>
  <c r="A16994" i="28"/>
  <c r="A16995" i="28"/>
  <c r="A16996" i="28"/>
  <c r="A16997" i="28"/>
  <c r="A16998" i="28"/>
  <c r="A16999" i="28"/>
  <c r="A17000" i="28"/>
  <c r="A17001" i="28"/>
  <c r="A17002" i="28"/>
  <c r="A17003" i="28"/>
  <c r="A17004" i="28"/>
  <c r="A17005" i="28"/>
  <c r="A17006" i="28"/>
  <c r="A17007" i="28"/>
  <c r="A17008" i="28"/>
  <c r="A17009" i="28"/>
  <c r="A17010" i="28"/>
  <c r="A17011" i="28"/>
  <c r="A17012" i="28"/>
  <c r="A17013" i="28"/>
  <c r="A17014" i="28"/>
  <c r="A17015" i="28"/>
  <c r="A17016" i="28"/>
  <c r="A17017" i="28"/>
  <c r="A17018" i="28"/>
  <c r="A17019" i="28"/>
  <c r="A17020" i="28"/>
  <c r="A17021" i="28"/>
  <c r="A17022" i="28"/>
  <c r="A17023" i="28"/>
  <c r="A17024" i="28"/>
  <c r="A17025" i="28"/>
  <c r="A17026" i="28"/>
  <c r="A17027" i="28"/>
  <c r="A17028" i="28"/>
  <c r="A17029" i="28"/>
  <c r="A17030" i="28"/>
  <c r="A17031" i="28"/>
  <c r="A17032" i="28"/>
  <c r="A17033" i="28"/>
  <c r="A17034" i="28"/>
  <c r="A17035" i="28"/>
  <c r="A17036" i="28"/>
  <c r="A17037" i="28"/>
  <c r="A17038" i="28"/>
  <c r="A17039" i="28"/>
  <c r="A17040" i="28"/>
  <c r="A17041" i="28"/>
  <c r="A17042" i="28"/>
  <c r="A17043" i="28"/>
  <c r="A17044" i="28"/>
  <c r="A17045" i="28"/>
  <c r="A17046" i="28"/>
  <c r="A17047" i="28"/>
  <c r="A17048" i="28"/>
  <c r="A17049" i="28"/>
  <c r="A17050" i="28"/>
  <c r="A17051" i="28"/>
  <c r="A17052" i="28"/>
  <c r="A17053" i="28"/>
  <c r="A17054" i="28"/>
  <c r="A17055" i="28"/>
  <c r="A17056" i="28"/>
  <c r="A17057" i="28"/>
  <c r="A17058" i="28"/>
  <c r="A17059" i="28"/>
  <c r="A17060" i="28"/>
  <c r="A17061" i="28"/>
  <c r="A17062" i="28"/>
  <c r="A17063" i="28"/>
  <c r="A17064" i="28"/>
  <c r="A17065" i="28"/>
  <c r="A17066" i="28"/>
  <c r="A17067" i="28"/>
  <c r="A17068" i="28"/>
  <c r="A17069" i="28"/>
  <c r="A17070" i="28"/>
  <c r="A17071" i="28"/>
  <c r="A17072" i="28"/>
  <c r="A17073" i="28"/>
  <c r="A17074" i="28"/>
  <c r="A17075" i="28"/>
  <c r="A17076" i="28"/>
  <c r="A17077" i="28"/>
  <c r="A17078" i="28"/>
  <c r="A17079" i="28"/>
  <c r="A17080" i="28"/>
  <c r="A17081" i="28"/>
  <c r="A17082" i="28"/>
  <c r="A17083" i="28"/>
  <c r="A17084" i="28"/>
  <c r="A17085" i="28"/>
  <c r="A17086" i="28"/>
  <c r="A17087" i="28"/>
  <c r="A17088" i="28"/>
  <c r="A17089" i="28"/>
  <c r="A17090" i="28"/>
  <c r="A17091" i="28"/>
  <c r="A17092" i="28"/>
  <c r="A17093" i="28"/>
  <c r="A17094" i="28"/>
  <c r="A17095" i="28"/>
  <c r="A17096" i="28"/>
  <c r="A17097" i="28"/>
  <c r="A17098" i="28"/>
  <c r="A17099" i="28"/>
  <c r="A17100" i="28"/>
  <c r="A17101" i="28"/>
  <c r="A17102" i="28"/>
  <c r="A17103" i="28"/>
  <c r="A17104" i="28"/>
  <c r="A17105" i="28"/>
  <c r="A17106" i="28"/>
  <c r="A17107" i="28"/>
  <c r="A17108" i="28"/>
  <c r="A17109" i="28"/>
  <c r="A17110" i="28"/>
  <c r="A17111" i="28"/>
  <c r="A17112" i="28"/>
  <c r="A17113" i="28"/>
  <c r="A17114" i="28"/>
  <c r="A17115" i="28"/>
  <c r="A17116" i="28"/>
  <c r="A17117" i="28"/>
  <c r="A17118" i="28"/>
  <c r="A17119" i="28"/>
  <c r="A17120" i="28"/>
  <c r="A17121" i="28"/>
  <c r="A17122" i="28"/>
  <c r="A17123" i="28"/>
  <c r="A17124" i="28"/>
  <c r="A17125" i="28"/>
  <c r="A17126" i="28"/>
  <c r="A17127" i="28"/>
  <c r="A17128" i="28"/>
  <c r="A17129" i="28"/>
  <c r="A17130" i="28"/>
  <c r="A17131" i="28"/>
  <c r="A17132" i="28"/>
  <c r="A17133" i="28"/>
  <c r="A17134" i="28"/>
  <c r="A17135" i="28"/>
  <c r="A17136" i="28"/>
  <c r="A17137" i="28"/>
  <c r="A17138" i="28"/>
  <c r="A17139" i="28"/>
  <c r="A17140" i="28"/>
  <c r="A17141" i="28"/>
  <c r="A17142" i="28"/>
  <c r="A17143" i="28"/>
  <c r="A17144" i="28"/>
  <c r="A17145" i="28"/>
  <c r="A17146" i="28"/>
  <c r="A17147" i="28"/>
  <c r="A17148" i="28"/>
  <c r="A17149" i="28"/>
  <c r="A17150" i="28"/>
  <c r="A17151" i="28"/>
  <c r="A17152" i="28"/>
  <c r="A17153" i="28"/>
  <c r="A17154" i="28"/>
  <c r="A17155" i="28"/>
  <c r="A17156" i="28"/>
  <c r="A17157" i="28"/>
  <c r="A17158" i="28"/>
  <c r="A17159" i="28"/>
  <c r="A17160" i="28"/>
  <c r="A17161" i="28"/>
  <c r="A17162" i="28"/>
  <c r="A17163" i="28"/>
  <c r="A17164" i="28"/>
  <c r="A17165" i="28"/>
  <c r="A17166" i="28"/>
  <c r="A17167" i="28"/>
  <c r="A17168" i="28"/>
  <c r="A17169" i="28"/>
  <c r="A17170" i="28"/>
  <c r="A17171" i="28"/>
  <c r="A17172" i="28"/>
  <c r="A17173" i="28"/>
  <c r="A17174" i="28"/>
  <c r="A17175" i="28"/>
  <c r="A17176" i="28"/>
  <c r="A17177" i="28"/>
  <c r="A17178" i="28"/>
  <c r="A17179" i="28"/>
  <c r="A17180" i="28"/>
  <c r="A17181" i="28"/>
  <c r="A17182" i="28"/>
  <c r="A17183" i="28"/>
  <c r="A17184" i="28"/>
  <c r="A17185" i="28"/>
  <c r="A17186" i="28"/>
  <c r="A17187" i="28"/>
  <c r="A17188" i="28"/>
  <c r="A17189" i="28"/>
  <c r="A17190" i="28"/>
  <c r="A17191" i="28"/>
  <c r="A17192" i="28"/>
  <c r="A17193" i="28"/>
  <c r="A17194" i="28"/>
  <c r="A17195" i="28"/>
  <c r="A17196" i="28"/>
  <c r="A17197" i="28"/>
  <c r="A17198" i="28"/>
  <c r="A17199" i="28"/>
  <c r="A17200" i="28"/>
  <c r="A17201" i="28"/>
  <c r="A17202" i="28"/>
  <c r="A17203" i="28"/>
  <c r="A17204" i="28"/>
  <c r="A17205" i="28"/>
  <c r="A17206" i="28"/>
  <c r="A17207" i="28"/>
  <c r="A17208" i="28"/>
  <c r="A17209" i="28"/>
  <c r="A17210" i="28"/>
  <c r="A17211" i="28"/>
  <c r="A17212" i="28"/>
  <c r="A17213" i="28"/>
  <c r="A17214" i="28"/>
  <c r="A17215" i="28"/>
  <c r="A17216" i="28"/>
  <c r="A17217" i="28"/>
  <c r="A17218" i="28"/>
  <c r="A17219" i="28"/>
  <c r="A17220" i="28"/>
  <c r="A17221" i="28"/>
  <c r="A17222" i="28"/>
  <c r="A17223" i="28"/>
  <c r="A17224" i="28"/>
  <c r="A17225" i="28"/>
  <c r="A17226" i="28"/>
  <c r="A17227" i="28"/>
  <c r="A17228" i="28"/>
  <c r="A17229" i="28"/>
  <c r="A17230" i="28"/>
  <c r="A17231" i="28"/>
  <c r="A17232" i="28"/>
  <c r="A17233" i="28"/>
  <c r="A17234" i="28"/>
  <c r="A17235" i="28"/>
  <c r="A17236" i="28"/>
  <c r="A17237" i="28"/>
  <c r="A17238" i="28"/>
  <c r="A17239" i="28"/>
  <c r="A17240" i="28"/>
  <c r="A17241" i="28"/>
  <c r="A17242" i="28"/>
  <c r="A17243" i="28"/>
  <c r="A17244" i="28"/>
  <c r="A17245" i="28"/>
  <c r="A17246" i="28"/>
  <c r="A17247" i="28"/>
  <c r="A17248" i="28"/>
  <c r="A17249" i="28"/>
  <c r="A17250" i="28"/>
  <c r="A17251" i="28"/>
  <c r="A17252" i="28"/>
  <c r="A17253" i="28"/>
  <c r="A17254" i="28"/>
  <c r="A17255" i="28"/>
  <c r="A17256" i="28"/>
  <c r="A17257" i="28"/>
  <c r="A17258" i="28"/>
  <c r="A17259" i="28"/>
  <c r="A17260" i="28"/>
  <c r="A17261" i="28"/>
  <c r="A17262" i="28"/>
  <c r="A17263" i="28"/>
  <c r="A17264" i="28"/>
  <c r="A17265" i="28"/>
  <c r="A17266" i="28"/>
  <c r="A17267" i="28"/>
  <c r="A17268" i="28"/>
  <c r="A17269" i="28"/>
  <c r="A17270" i="28"/>
  <c r="A17271" i="28"/>
  <c r="A17272" i="28"/>
  <c r="A17273" i="28"/>
  <c r="A17274" i="28"/>
  <c r="A17275" i="28"/>
  <c r="A17276" i="28"/>
  <c r="A17277" i="28"/>
  <c r="A17278" i="28"/>
  <c r="A17279" i="28"/>
  <c r="A17280" i="28"/>
  <c r="A17281" i="28"/>
  <c r="A17282" i="28"/>
  <c r="A17283" i="28"/>
  <c r="A17284" i="28"/>
  <c r="A17285" i="28"/>
  <c r="A17286" i="28"/>
  <c r="A17287" i="28"/>
  <c r="A17288" i="28"/>
  <c r="A17289" i="28"/>
  <c r="A17290" i="28"/>
  <c r="A17291" i="28"/>
  <c r="A17292" i="28"/>
  <c r="A17293" i="28"/>
  <c r="A17294" i="28"/>
  <c r="A17295" i="28"/>
  <c r="A17296" i="28"/>
  <c r="A17297" i="28"/>
  <c r="A17298" i="28"/>
  <c r="A17299" i="28"/>
  <c r="A17300" i="28"/>
  <c r="A17301" i="28"/>
  <c r="A17302" i="28"/>
  <c r="A17303" i="28"/>
  <c r="A17304" i="28"/>
  <c r="A17305" i="28"/>
  <c r="A17306" i="28"/>
  <c r="A17307" i="28"/>
  <c r="A17308" i="28"/>
  <c r="A17309" i="28"/>
  <c r="A17310" i="28"/>
  <c r="A17311" i="28"/>
  <c r="A17312" i="28"/>
  <c r="A17313" i="28"/>
  <c r="A17314" i="28"/>
  <c r="A17315" i="28"/>
  <c r="A17316" i="28"/>
  <c r="A17317" i="28"/>
  <c r="A17318" i="28"/>
  <c r="A17319" i="28"/>
  <c r="A17320" i="28"/>
  <c r="A17321" i="28"/>
  <c r="A17322" i="28"/>
  <c r="A17323" i="28"/>
  <c r="A17324" i="28"/>
  <c r="A17325" i="28"/>
  <c r="A17326" i="28"/>
  <c r="A17327" i="28"/>
  <c r="A17328" i="28"/>
  <c r="A17329" i="28"/>
  <c r="A17330" i="28"/>
  <c r="A17331" i="28"/>
  <c r="A17332" i="28"/>
  <c r="A17333" i="28"/>
  <c r="A17334" i="28"/>
  <c r="A17335" i="28"/>
  <c r="A17336" i="28"/>
  <c r="A17337" i="28"/>
  <c r="A17338" i="28"/>
  <c r="A17339" i="28"/>
  <c r="A17340" i="28"/>
  <c r="A17341" i="28"/>
  <c r="A17342" i="28"/>
  <c r="A17343" i="28"/>
  <c r="A17344" i="28"/>
  <c r="A17345" i="28"/>
  <c r="A17346" i="28"/>
  <c r="A17347" i="28"/>
  <c r="A17348" i="28"/>
  <c r="A17349" i="28"/>
  <c r="A17350" i="28"/>
  <c r="A17351" i="28"/>
  <c r="A17352" i="28"/>
  <c r="A17353" i="28"/>
  <c r="A17354" i="28"/>
  <c r="A17355" i="28"/>
  <c r="A17356" i="28"/>
  <c r="A17357" i="28"/>
  <c r="A17358" i="28"/>
  <c r="A17359" i="28"/>
  <c r="A17360" i="28"/>
  <c r="A17361" i="28"/>
  <c r="A17362" i="28"/>
  <c r="A17363" i="28"/>
  <c r="A17364" i="28"/>
  <c r="A17365" i="28"/>
  <c r="A17366" i="28"/>
  <c r="A17367" i="28"/>
  <c r="A17368" i="28"/>
  <c r="A17369" i="28"/>
  <c r="A17370" i="28"/>
  <c r="A17371" i="28"/>
  <c r="A17372" i="28"/>
  <c r="A17373" i="28"/>
  <c r="A17374" i="28"/>
  <c r="A17375" i="28"/>
  <c r="A17376" i="28"/>
  <c r="A17377" i="28"/>
  <c r="A17378" i="28"/>
  <c r="A17379" i="28"/>
  <c r="A17380" i="28"/>
  <c r="A17381" i="28"/>
  <c r="A17382" i="28"/>
  <c r="A17383" i="28"/>
  <c r="A17384" i="28"/>
  <c r="A17385" i="28"/>
  <c r="A17386" i="28"/>
  <c r="A17387" i="28"/>
  <c r="A17388" i="28"/>
  <c r="A17389" i="28"/>
  <c r="A17390" i="28"/>
  <c r="A17391" i="28"/>
  <c r="A17392" i="28"/>
  <c r="A17393" i="28"/>
  <c r="A17394" i="28"/>
  <c r="A17395" i="28"/>
  <c r="A17396" i="28"/>
  <c r="A17397" i="28"/>
  <c r="A17398" i="28"/>
  <c r="A17399" i="28"/>
  <c r="A17400" i="28"/>
  <c r="A17401" i="28"/>
  <c r="A17402" i="28"/>
  <c r="A17403" i="28"/>
  <c r="A17404" i="28"/>
  <c r="A17405" i="28"/>
  <c r="A17406" i="28"/>
  <c r="A17407" i="28"/>
  <c r="A17408" i="28"/>
  <c r="A17409" i="28"/>
  <c r="A17410" i="28"/>
  <c r="A17411" i="28"/>
  <c r="A17412" i="28"/>
  <c r="A17413" i="28"/>
  <c r="A17414" i="28"/>
  <c r="A17415" i="28"/>
  <c r="A17416" i="28"/>
  <c r="A17417" i="28"/>
  <c r="A17418" i="28"/>
  <c r="A17419" i="28"/>
  <c r="A17420" i="28"/>
  <c r="A17421" i="28"/>
  <c r="A17422" i="28"/>
  <c r="A17423" i="28"/>
  <c r="A17424" i="28"/>
  <c r="A17425" i="28"/>
  <c r="A17426" i="28"/>
  <c r="A17427" i="28"/>
  <c r="A17428" i="28"/>
  <c r="A17429" i="28"/>
  <c r="A17430" i="28"/>
  <c r="A17431" i="28"/>
  <c r="A17432" i="28"/>
  <c r="A17433" i="28"/>
  <c r="A17434" i="28"/>
  <c r="A17435" i="28"/>
  <c r="A17436" i="28"/>
  <c r="A17437" i="28"/>
  <c r="A17438" i="28"/>
  <c r="A17439" i="28"/>
  <c r="A17440" i="28"/>
  <c r="A17441" i="28"/>
  <c r="A17442" i="28"/>
  <c r="A17443" i="28"/>
  <c r="A17444" i="28"/>
  <c r="A17445" i="28"/>
  <c r="A17446" i="28"/>
  <c r="A17447" i="28"/>
  <c r="A17448" i="28"/>
  <c r="A17449" i="28"/>
  <c r="A17450" i="28"/>
  <c r="A17451" i="28"/>
  <c r="A17452" i="28"/>
  <c r="A17453" i="28"/>
  <c r="A17454" i="28"/>
  <c r="A17455" i="28"/>
  <c r="A17456" i="28"/>
  <c r="A17457" i="28"/>
  <c r="A17458" i="28"/>
  <c r="A17459" i="28"/>
  <c r="A17460" i="28"/>
  <c r="A17461" i="28"/>
  <c r="A17462" i="28"/>
  <c r="A17463" i="28"/>
  <c r="A17464" i="28"/>
  <c r="A17465" i="28"/>
  <c r="A17466" i="28"/>
  <c r="A17467" i="28"/>
  <c r="A17468" i="28"/>
  <c r="A17469" i="28"/>
  <c r="A17470" i="28"/>
  <c r="A17471" i="28"/>
  <c r="A17472" i="28"/>
  <c r="A17473" i="28"/>
  <c r="A17474" i="28"/>
  <c r="A17475" i="28"/>
  <c r="A17476" i="28"/>
  <c r="A17477" i="28"/>
  <c r="A17478" i="28"/>
  <c r="A17479" i="28"/>
  <c r="A17480" i="28"/>
  <c r="A17481" i="28"/>
  <c r="A17482" i="28"/>
  <c r="A17483" i="28"/>
  <c r="A17484" i="28"/>
  <c r="A17485" i="28"/>
  <c r="A17486" i="28"/>
  <c r="A17487" i="28"/>
  <c r="A17488" i="28"/>
  <c r="A17489" i="28"/>
  <c r="A17490" i="28"/>
  <c r="A17491" i="28"/>
  <c r="A17492" i="28"/>
  <c r="A17493" i="28"/>
  <c r="A17494" i="28"/>
  <c r="A17495" i="28"/>
  <c r="A17496" i="28"/>
  <c r="A17497" i="28"/>
  <c r="A17498" i="28"/>
  <c r="A17499" i="28"/>
  <c r="A17500" i="28"/>
  <c r="A17501" i="28"/>
  <c r="A17502" i="28"/>
  <c r="A17503" i="28"/>
  <c r="A17504" i="28"/>
  <c r="A17505" i="28"/>
  <c r="A17506" i="28"/>
  <c r="A17507" i="28"/>
  <c r="A17508" i="28"/>
  <c r="A17509" i="28"/>
  <c r="A17510" i="28"/>
  <c r="A17511" i="28"/>
  <c r="A17512" i="28"/>
  <c r="A17513" i="28"/>
  <c r="A17514" i="28"/>
  <c r="A17515" i="28"/>
  <c r="A17516" i="28"/>
  <c r="A17517" i="28"/>
  <c r="A17518" i="28"/>
  <c r="A17519" i="28"/>
  <c r="A17520" i="28"/>
  <c r="A17521" i="28"/>
  <c r="A17522" i="28"/>
  <c r="A17523" i="28"/>
  <c r="A17524" i="28"/>
  <c r="A17525" i="28"/>
  <c r="A17526" i="28"/>
  <c r="A17527" i="28"/>
  <c r="A17528" i="28"/>
  <c r="A17529" i="28"/>
  <c r="A17530" i="28"/>
  <c r="A17531" i="28"/>
  <c r="A17532" i="28"/>
  <c r="A17533" i="28"/>
  <c r="A17534" i="28"/>
  <c r="A17535" i="28"/>
  <c r="A17536" i="28"/>
  <c r="A17537" i="28"/>
  <c r="A17538" i="28"/>
  <c r="A17539" i="28"/>
  <c r="A17540" i="28"/>
  <c r="A17541" i="28"/>
  <c r="A17542" i="28"/>
  <c r="A17543" i="28"/>
  <c r="A17544" i="28"/>
  <c r="A17545" i="28"/>
  <c r="A17546" i="28"/>
  <c r="A17547" i="28"/>
  <c r="A17548" i="28"/>
  <c r="A17549" i="28"/>
  <c r="A17550" i="28"/>
  <c r="A17551" i="28"/>
  <c r="A17552" i="28"/>
  <c r="A17553" i="28"/>
  <c r="A17554" i="28"/>
  <c r="A17555" i="28"/>
  <c r="A17556" i="28"/>
  <c r="A17557" i="28"/>
  <c r="A17558" i="28"/>
  <c r="A17559" i="28"/>
  <c r="A17560" i="28"/>
  <c r="A17561" i="28"/>
  <c r="A17562" i="28"/>
  <c r="A17563" i="28"/>
  <c r="A17564" i="28"/>
  <c r="A17565" i="28"/>
  <c r="A17566" i="28"/>
  <c r="A17567" i="28"/>
  <c r="A17568" i="28"/>
  <c r="A17569" i="28"/>
  <c r="A17570" i="28"/>
  <c r="A17571" i="28"/>
  <c r="A17572" i="28"/>
  <c r="A17573" i="28"/>
  <c r="A17574" i="28"/>
  <c r="A17575" i="28"/>
  <c r="A17576" i="28"/>
  <c r="A17577" i="28"/>
  <c r="A17578" i="28"/>
  <c r="A17579" i="28"/>
  <c r="A17580" i="28"/>
  <c r="A17581" i="28"/>
  <c r="A17582" i="28"/>
  <c r="A17583" i="28"/>
  <c r="A17584" i="28"/>
  <c r="A17585" i="28"/>
  <c r="A17586" i="28"/>
  <c r="A17587" i="28"/>
  <c r="A17588" i="28"/>
  <c r="A17589" i="28"/>
  <c r="A17590" i="28"/>
  <c r="A17591" i="28"/>
  <c r="A17592" i="28"/>
  <c r="A17593" i="28"/>
  <c r="A17594" i="28"/>
  <c r="A17595" i="28"/>
  <c r="A17596" i="28"/>
  <c r="A17597" i="28"/>
  <c r="A17598" i="28"/>
  <c r="A17599" i="28"/>
  <c r="A17600" i="28"/>
  <c r="A17601" i="28"/>
  <c r="A17602" i="28"/>
  <c r="A17603" i="28"/>
  <c r="A17604" i="28"/>
  <c r="A17605" i="28"/>
  <c r="A17606" i="28"/>
  <c r="A17607" i="28"/>
  <c r="A17608" i="28"/>
  <c r="A17609" i="28"/>
  <c r="A17610" i="28"/>
  <c r="A17611" i="28"/>
  <c r="A17612" i="28"/>
  <c r="A17613" i="28"/>
  <c r="A17614" i="28"/>
  <c r="A17615" i="28"/>
  <c r="A17616" i="28"/>
  <c r="A17617" i="28"/>
  <c r="A17618" i="28"/>
  <c r="A17619" i="28"/>
  <c r="A17620" i="28"/>
  <c r="A17621" i="28"/>
  <c r="A17622" i="28"/>
  <c r="A17623" i="28"/>
  <c r="A17624" i="28"/>
  <c r="A17625" i="28"/>
  <c r="A17626" i="28"/>
  <c r="A17627" i="28"/>
  <c r="A17628" i="28"/>
  <c r="A17629" i="28"/>
  <c r="A17630" i="28"/>
  <c r="A17631" i="28"/>
  <c r="A17632" i="28"/>
  <c r="A17633" i="28"/>
  <c r="A17634" i="28"/>
  <c r="A17635" i="28"/>
  <c r="A17636" i="28"/>
  <c r="A17637" i="28"/>
  <c r="A17638" i="28"/>
  <c r="A17639" i="28"/>
  <c r="A17640" i="28"/>
  <c r="A17641" i="28"/>
  <c r="A17642" i="28"/>
  <c r="A17643" i="28"/>
  <c r="A17644" i="28"/>
  <c r="A17645" i="28"/>
  <c r="A17646" i="28"/>
  <c r="A17647" i="28"/>
  <c r="A17648" i="28"/>
  <c r="A17649" i="28"/>
  <c r="A17650" i="28"/>
  <c r="A17651" i="28"/>
  <c r="A17652" i="28"/>
  <c r="A17653" i="28"/>
  <c r="A17654" i="28"/>
  <c r="A17655" i="28"/>
  <c r="A17656" i="28"/>
  <c r="A17657" i="28"/>
  <c r="A17658" i="28"/>
  <c r="A17659" i="28"/>
  <c r="A17660" i="28"/>
  <c r="A17661" i="28"/>
  <c r="A17662" i="28"/>
  <c r="A17663" i="28"/>
  <c r="A17664" i="28"/>
  <c r="A17665" i="28"/>
  <c r="A17666" i="28"/>
  <c r="A17667" i="28"/>
  <c r="A17668" i="28"/>
  <c r="A17669" i="28"/>
  <c r="A17670" i="28"/>
  <c r="A17671" i="28"/>
  <c r="A17672" i="28"/>
  <c r="A17673" i="28"/>
  <c r="A17674" i="28"/>
  <c r="A17675" i="28"/>
  <c r="A17676" i="28"/>
  <c r="A17677" i="28"/>
  <c r="A17678" i="28"/>
  <c r="A17679" i="28"/>
  <c r="A17680" i="28"/>
  <c r="A17681" i="28"/>
  <c r="A17682" i="28"/>
  <c r="A17683" i="28"/>
  <c r="A17684" i="28"/>
  <c r="A17685" i="28"/>
  <c r="A17686" i="28"/>
  <c r="A17687" i="28"/>
  <c r="A17688" i="28"/>
  <c r="A17689" i="28"/>
  <c r="A17690" i="28"/>
  <c r="A17691" i="28"/>
  <c r="A17692" i="28"/>
  <c r="A17693" i="28"/>
  <c r="A17694" i="28"/>
  <c r="A17695" i="28"/>
  <c r="A17696" i="28"/>
  <c r="A17697" i="28"/>
  <c r="A17698" i="28"/>
  <c r="A17699" i="28"/>
  <c r="A17700" i="28"/>
  <c r="A17701" i="28"/>
  <c r="A17702" i="28"/>
  <c r="A17703" i="28"/>
  <c r="A17704" i="28"/>
  <c r="A17705" i="28"/>
  <c r="A17706" i="28"/>
  <c r="A17707" i="28"/>
  <c r="A17708" i="28"/>
  <c r="A17709" i="28"/>
  <c r="A17710" i="28"/>
  <c r="A17711" i="28"/>
  <c r="A17712" i="28"/>
  <c r="A17713" i="28"/>
  <c r="A17714" i="28"/>
  <c r="A17715" i="28"/>
  <c r="A17716" i="28"/>
  <c r="A17717" i="28"/>
  <c r="A17718" i="28"/>
  <c r="A17719" i="28"/>
  <c r="A17720" i="28"/>
  <c r="A17721" i="28"/>
  <c r="A17722" i="28"/>
  <c r="A17723" i="28"/>
  <c r="A17724" i="28"/>
  <c r="A17725" i="28"/>
  <c r="A17726" i="28"/>
  <c r="A17727" i="28"/>
  <c r="A17728" i="28"/>
  <c r="A17729" i="28"/>
  <c r="A17730" i="28"/>
  <c r="A17731" i="28"/>
  <c r="A17732" i="28"/>
  <c r="A17733" i="28"/>
  <c r="A17734" i="28"/>
  <c r="A17735" i="28"/>
  <c r="A17736" i="28"/>
  <c r="A17737" i="28"/>
  <c r="A17738" i="28"/>
  <c r="A17739" i="28"/>
  <c r="A17740" i="28"/>
  <c r="A17741" i="28"/>
  <c r="A17742" i="28"/>
  <c r="A17743" i="28"/>
  <c r="A17744" i="28"/>
  <c r="A17745" i="28"/>
  <c r="A17746" i="28"/>
  <c r="A17747" i="28"/>
  <c r="A17748" i="28"/>
  <c r="A17749" i="28"/>
  <c r="A17750" i="28"/>
  <c r="A17751" i="28"/>
  <c r="A17752" i="28"/>
  <c r="A17753" i="28"/>
  <c r="A17754" i="28"/>
  <c r="A17755" i="28"/>
  <c r="A17756" i="28"/>
  <c r="A17757" i="28"/>
  <c r="A17758" i="28"/>
  <c r="A17759" i="28"/>
  <c r="A17760" i="28"/>
  <c r="A17761" i="28"/>
  <c r="A17762" i="28"/>
  <c r="A17763" i="28"/>
  <c r="A17764" i="28"/>
  <c r="A17765" i="28"/>
  <c r="A17766" i="28"/>
  <c r="A17767" i="28"/>
  <c r="A17768" i="28"/>
  <c r="A17769" i="28"/>
  <c r="A17770" i="28"/>
  <c r="A17771" i="28"/>
  <c r="A17772" i="28"/>
  <c r="A17773" i="28"/>
  <c r="A17774" i="28"/>
  <c r="A17775" i="28"/>
  <c r="A17776" i="28"/>
  <c r="A17777" i="28"/>
  <c r="A17778" i="28"/>
  <c r="A17779" i="28"/>
  <c r="A17780" i="28"/>
  <c r="A17781" i="28"/>
  <c r="A17782" i="28"/>
  <c r="A17783" i="28"/>
  <c r="A17784" i="28"/>
  <c r="A17785" i="28"/>
  <c r="A17786" i="28"/>
  <c r="A17787" i="28"/>
  <c r="A17788" i="28"/>
  <c r="A17789" i="28"/>
  <c r="A17790" i="28"/>
  <c r="A17791" i="28"/>
  <c r="A17792" i="28"/>
  <c r="A17793" i="28"/>
  <c r="A17794" i="28"/>
  <c r="A17795" i="28"/>
  <c r="A17796" i="28"/>
  <c r="A17797" i="28"/>
  <c r="A17798" i="28"/>
  <c r="A17799" i="28"/>
  <c r="A17800" i="28"/>
  <c r="A17801" i="28"/>
  <c r="A17802" i="28"/>
  <c r="A17803" i="28"/>
  <c r="A17804" i="28"/>
  <c r="A17805" i="28"/>
  <c r="A17806" i="28"/>
  <c r="A17807" i="28"/>
  <c r="A17808" i="28"/>
  <c r="A17809" i="28"/>
  <c r="A17810" i="28"/>
  <c r="A17811" i="28"/>
  <c r="A17812" i="28"/>
  <c r="A17813" i="28"/>
  <c r="A17814" i="28"/>
  <c r="A17815" i="28"/>
  <c r="A17816" i="28"/>
  <c r="A17817" i="28"/>
  <c r="A17818" i="28"/>
  <c r="A17819" i="28"/>
  <c r="A17820" i="28"/>
  <c r="A17821" i="28"/>
  <c r="A17822" i="28"/>
  <c r="A17823" i="28"/>
  <c r="A17824" i="28"/>
  <c r="A17825" i="28"/>
  <c r="A17826" i="28"/>
  <c r="A17827" i="28"/>
  <c r="A17828" i="28"/>
  <c r="A17829" i="28"/>
  <c r="A17830" i="28"/>
  <c r="A17831" i="28"/>
  <c r="A17832" i="28"/>
  <c r="A17833" i="28"/>
  <c r="A17834" i="28"/>
  <c r="A17835" i="28"/>
  <c r="A17836" i="28"/>
  <c r="A17837" i="28"/>
  <c r="A17838" i="28"/>
  <c r="A17839" i="28"/>
  <c r="A17840" i="28"/>
  <c r="A17841" i="28"/>
  <c r="A17842" i="28"/>
  <c r="A17843" i="28"/>
  <c r="A17844" i="28"/>
  <c r="A17845" i="28"/>
  <c r="A17846" i="28"/>
  <c r="A17847" i="28"/>
  <c r="A17848" i="28"/>
  <c r="A17849" i="28"/>
  <c r="A17850" i="28"/>
  <c r="A17851" i="28"/>
  <c r="A17852" i="28"/>
  <c r="A17853" i="28"/>
  <c r="A17854" i="28"/>
  <c r="A17855" i="28"/>
  <c r="A17856" i="28"/>
  <c r="A17857" i="28"/>
  <c r="A17858" i="28"/>
  <c r="A17859" i="28"/>
  <c r="A17860" i="28"/>
  <c r="A17861" i="28"/>
  <c r="A17862" i="28"/>
  <c r="A17863" i="28"/>
  <c r="A17864" i="28"/>
  <c r="A17865" i="28"/>
  <c r="A17866" i="28"/>
  <c r="A17867" i="28"/>
  <c r="A17868" i="28"/>
  <c r="A17869" i="28"/>
  <c r="A17870" i="28"/>
  <c r="A17871" i="28"/>
  <c r="A17872" i="28"/>
  <c r="A17873" i="28"/>
  <c r="A17874" i="28"/>
  <c r="A17875" i="28"/>
  <c r="A17876" i="28"/>
  <c r="A17877" i="28"/>
  <c r="A17878" i="28"/>
  <c r="A17879" i="28"/>
  <c r="A17880" i="28"/>
  <c r="A17881" i="28"/>
  <c r="A17882" i="28"/>
  <c r="A17883" i="28"/>
  <c r="A17884" i="28"/>
  <c r="A17885" i="28"/>
  <c r="A17886" i="28"/>
  <c r="A17887" i="28"/>
  <c r="A17888" i="28"/>
  <c r="A17889" i="28"/>
  <c r="A17890" i="28"/>
  <c r="A17891" i="28"/>
  <c r="A17892" i="28"/>
  <c r="A17893" i="28"/>
  <c r="A17894" i="28"/>
  <c r="A17895" i="28"/>
  <c r="A17896" i="28"/>
  <c r="A17897" i="28"/>
  <c r="A17898" i="28"/>
  <c r="A17899" i="28"/>
  <c r="A17900" i="28"/>
  <c r="A17901" i="28"/>
  <c r="A17902" i="28"/>
  <c r="A17903" i="28"/>
  <c r="A17904" i="28"/>
  <c r="A17905" i="28"/>
  <c r="A17906" i="28"/>
  <c r="A17907" i="28"/>
  <c r="A17908" i="28"/>
  <c r="A17909" i="28"/>
  <c r="A17910" i="28"/>
  <c r="A17911" i="28"/>
  <c r="A17912" i="28"/>
  <c r="A17913" i="28"/>
  <c r="A17914" i="28"/>
  <c r="A17915" i="28"/>
  <c r="A17916" i="28"/>
  <c r="A17917" i="28"/>
  <c r="A17918" i="28"/>
  <c r="A17919" i="28"/>
  <c r="A17920" i="28"/>
  <c r="A17921" i="28"/>
  <c r="A17922" i="28"/>
  <c r="A17923" i="28"/>
  <c r="A17924" i="28"/>
  <c r="A17925" i="28"/>
  <c r="A17926" i="28"/>
  <c r="A17927" i="28"/>
  <c r="A17928" i="28"/>
  <c r="A17929" i="28"/>
  <c r="A17930" i="28"/>
  <c r="A17931" i="28"/>
  <c r="A17932" i="28"/>
  <c r="A17933" i="28"/>
  <c r="A17934" i="28"/>
  <c r="A17935" i="28"/>
  <c r="A17936" i="28"/>
  <c r="A17937" i="28"/>
  <c r="A17938" i="28"/>
  <c r="A17939" i="28"/>
  <c r="A17940" i="28"/>
  <c r="A17941" i="28"/>
  <c r="A17942" i="28"/>
  <c r="A17943" i="28"/>
  <c r="A17944" i="28"/>
  <c r="A17945" i="28"/>
  <c r="A17946" i="28"/>
  <c r="A17947" i="28"/>
  <c r="A17948" i="28"/>
  <c r="A17949" i="28"/>
  <c r="A17950" i="28"/>
  <c r="A17951" i="28"/>
  <c r="A17952" i="28"/>
  <c r="A17953" i="28"/>
  <c r="A17954" i="28"/>
  <c r="A17955" i="28"/>
  <c r="A17956" i="28"/>
  <c r="A17957" i="28"/>
  <c r="A17958" i="28"/>
  <c r="A17959" i="28"/>
  <c r="A17960" i="28"/>
  <c r="A17961" i="28"/>
  <c r="A17962" i="28"/>
  <c r="A17963" i="28"/>
  <c r="A17964" i="28"/>
  <c r="A17965" i="28"/>
  <c r="A17966" i="28"/>
  <c r="A17967" i="28"/>
  <c r="A17968" i="28"/>
  <c r="A17969" i="28"/>
  <c r="A17970" i="28"/>
  <c r="A17971" i="28"/>
  <c r="A17972" i="28"/>
  <c r="A17973" i="28"/>
  <c r="A17974" i="28"/>
  <c r="A17975" i="28"/>
  <c r="A17976" i="28"/>
  <c r="A17977" i="28"/>
  <c r="A17978" i="28"/>
  <c r="A17979" i="28"/>
  <c r="A17980" i="28"/>
  <c r="A17981" i="28"/>
  <c r="A17982" i="28"/>
  <c r="A17983" i="28"/>
  <c r="A17984" i="28"/>
  <c r="A17985" i="28"/>
  <c r="A17986" i="28"/>
  <c r="A17987" i="28"/>
  <c r="A17988" i="28"/>
  <c r="A17989" i="28"/>
  <c r="A17990" i="28"/>
  <c r="A17991" i="28"/>
  <c r="A17992" i="28"/>
  <c r="A17993" i="28"/>
  <c r="A17994" i="28"/>
  <c r="A17995" i="28"/>
  <c r="A17996" i="28"/>
  <c r="A17997" i="28"/>
  <c r="A17998" i="28"/>
  <c r="A17999" i="28"/>
  <c r="A18000" i="28"/>
  <c r="A18001" i="28"/>
  <c r="A18002" i="28"/>
  <c r="A18003" i="28"/>
  <c r="A18004" i="28"/>
  <c r="A18005" i="28"/>
  <c r="A18006" i="28"/>
  <c r="A18007" i="28"/>
  <c r="A18008" i="28"/>
  <c r="A18009" i="28"/>
  <c r="A18010" i="28"/>
  <c r="A18011" i="28"/>
  <c r="A18012" i="28"/>
  <c r="A18013" i="28"/>
  <c r="A18014" i="28"/>
  <c r="A18015" i="28"/>
  <c r="A18016" i="28"/>
  <c r="A18017" i="28"/>
  <c r="A18018" i="28"/>
  <c r="A18019" i="28"/>
  <c r="A18020" i="28"/>
  <c r="A18021" i="28"/>
  <c r="A18022" i="28"/>
  <c r="A18023" i="28"/>
  <c r="A18024" i="28"/>
  <c r="A18025" i="28"/>
  <c r="A18026" i="28"/>
  <c r="A18027" i="28"/>
  <c r="A18028" i="28"/>
  <c r="A18029" i="28"/>
  <c r="A18030" i="28"/>
  <c r="A18031" i="28"/>
  <c r="A18032" i="28"/>
  <c r="A18033" i="28"/>
  <c r="A18034" i="28"/>
  <c r="A18035" i="28"/>
  <c r="A18036" i="28"/>
  <c r="A18037" i="28"/>
  <c r="A18038" i="28"/>
  <c r="A18039" i="28"/>
  <c r="A18040" i="28"/>
  <c r="A18041" i="28"/>
  <c r="A18042" i="28"/>
  <c r="A18043" i="28"/>
  <c r="A18044" i="28"/>
  <c r="A18045" i="28"/>
  <c r="A18046" i="28"/>
  <c r="A18047" i="28"/>
  <c r="A18048" i="28"/>
  <c r="A18049" i="28"/>
  <c r="A18050" i="28"/>
  <c r="A18051" i="28"/>
  <c r="A18052" i="28"/>
  <c r="A18053" i="28"/>
  <c r="A18054" i="28"/>
  <c r="A18055" i="28"/>
  <c r="A18056" i="28"/>
  <c r="A18057" i="28"/>
  <c r="A18058" i="28"/>
  <c r="A18059" i="28"/>
  <c r="A18060" i="28"/>
  <c r="A18061" i="28"/>
  <c r="A18062" i="28"/>
  <c r="A18063" i="28"/>
  <c r="A18064" i="28"/>
  <c r="A18065" i="28"/>
  <c r="A18066" i="28"/>
  <c r="A18067" i="28"/>
  <c r="A18068" i="28"/>
  <c r="A18069" i="28"/>
  <c r="A18070" i="28"/>
  <c r="A18071" i="28"/>
  <c r="A18072" i="28"/>
  <c r="A18073" i="28"/>
  <c r="A18074" i="28"/>
  <c r="A18075" i="28"/>
  <c r="A18076" i="28"/>
  <c r="A18077" i="28"/>
  <c r="A18078" i="28"/>
  <c r="A18079" i="28"/>
  <c r="A18080" i="28"/>
  <c r="A18081" i="28"/>
  <c r="A18082" i="28"/>
  <c r="A18083" i="28"/>
  <c r="A18084" i="28"/>
  <c r="A18085" i="28"/>
  <c r="A18086" i="28"/>
  <c r="A18087" i="28"/>
  <c r="A18088" i="28"/>
  <c r="A18089" i="28"/>
  <c r="A18090" i="28"/>
  <c r="A18091" i="28"/>
  <c r="A18092" i="28"/>
  <c r="A18093" i="28"/>
  <c r="A18094" i="28"/>
  <c r="A18095" i="28"/>
  <c r="A18096" i="28"/>
  <c r="A18097" i="28"/>
  <c r="A18098" i="28"/>
  <c r="A18099" i="28"/>
  <c r="A18100" i="28"/>
  <c r="A18101" i="28"/>
  <c r="A18102" i="28"/>
  <c r="A18103" i="28"/>
  <c r="A18104" i="28"/>
  <c r="A18105" i="28"/>
  <c r="A18106" i="28"/>
  <c r="A18107" i="28"/>
  <c r="A18108" i="28"/>
  <c r="A18109" i="28"/>
  <c r="A18110" i="28"/>
  <c r="A18111" i="28"/>
  <c r="A18112" i="28"/>
  <c r="A18113" i="28"/>
  <c r="A18114" i="28"/>
  <c r="A18115" i="28"/>
  <c r="A18116" i="28"/>
  <c r="A18117" i="28"/>
  <c r="A18118" i="28"/>
  <c r="A18119" i="28"/>
  <c r="A18120" i="28"/>
  <c r="A18121" i="28"/>
  <c r="A18122" i="28"/>
  <c r="A18123" i="28"/>
  <c r="A18124" i="28"/>
  <c r="A18125" i="28"/>
  <c r="A18126" i="28"/>
  <c r="A18127" i="28"/>
  <c r="A18128" i="28"/>
  <c r="A18129" i="28"/>
  <c r="A18130" i="28"/>
  <c r="A18131" i="28"/>
  <c r="A18132" i="28"/>
  <c r="A18133" i="28"/>
  <c r="A18134" i="28"/>
  <c r="A18135" i="28"/>
  <c r="A18136" i="28"/>
  <c r="A18137" i="28"/>
  <c r="A18138" i="28"/>
  <c r="A18139" i="28"/>
  <c r="A18140" i="28"/>
  <c r="A18141" i="28"/>
  <c r="A18142" i="28"/>
  <c r="A18143" i="28"/>
  <c r="A18144" i="28"/>
  <c r="A18145" i="28"/>
  <c r="A18146" i="28"/>
  <c r="A18147" i="28"/>
  <c r="A18148" i="28"/>
  <c r="A18149" i="28"/>
  <c r="A18150" i="28"/>
  <c r="A18151" i="28"/>
  <c r="A18152" i="28"/>
  <c r="A18153" i="28"/>
  <c r="A18154" i="28"/>
  <c r="A18155" i="28"/>
  <c r="A18156" i="28"/>
  <c r="A18157" i="28"/>
  <c r="A18158" i="28"/>
  <c r="A18159" i="28"/>
  <c r="A18160" i="28"/>
  <c r="A18161" i="28"/>
  <c r="A18162" i="28"/>
  <c r="A18163" i="28"/>
  <c r="A18164" i="28"/>
  <c r="A18165" i="28"/>
  <c r="A18166" i="28"/>
  <c r="A18167" i="28"/>
  <c r="A18168" i="28"/>
  <c r="A18169" i="28"/>
  <c r="A18170" i="28"/>
  <c r="A18171" i="28"/>
  <c r="A18172" i="28"/>
  <c r="A18173" i="28"/>
  <c r="A18174" i="28"/>
  <c r="A18175" i="28"/>
  <c r="A18176" i="28"/>
  <c r="A18177" i="28"/>
  <c r="A18178" i="28"/>
  <c r="A18179" i="28"/>
  <c r="A18180" i="28"/>
  <c r="A18181" i="28"/>
  <c r="A18182" i="28"/>
  <c r="A18183" i="28"/>
  <c r="A18184" i="28"/>
  <c r="A18185" i="28"/>
  <c r="A18186" i="28"/>
  <c r="A18187" i="28"/>
  <c r="A18188" i="28"/>
  <c r="A18189" i="28"/>
  <c r="A18190" i="28"/>
  <c r="A18191" i="28"/>
  <c r="A18192" i="28"/>
  <c r="A18193" i="28"/>
  <c r="A18194" i="28"/>
  <c r="A18195" i="28"/>
  <c r="A18196" i="28"/>
  <c r="A18197" i="28"/>
  <c r="A18198" i="28"/>
  <c r="A18199" i="28"/>
  <c r="A18200" i="28"/>
  <c r="A18201" i="28"/>
  <c r="A18202" i="28"/>
  <c r="A18203" i="28"/>
  <c r="A18204" i="28"/>
  <c r="A18205" i="28"/>
  <c r="A18206" i="28"/>
  <c r="A18207" i="28"/>
  <c r="A18208" i="28"/>
  <c r="A18209" i="28"/>
  <c r="A18210" i="28"/>
  <c r="A18211" i="28"/>
  <c r="A18212" i="28"/>
  <c r="A18213" i="28"/>
  <c r="A18214" i="28"/>
  <c r="A18215" i="28"/>
  <c r="A18216" i="28"/>
  <c r="A18217" i="28"/>
  <c r="A18218" i="28"/>
  <c r="A18219" i="28"/>
  <c r="A18220" i="28"/>
  <c r="A18221" i="28"/>
  <c r="A18222" i="28"/>
  <c r="A18223" i="28"/>
  <c r="A18224" i="28"/>
  <c r="A18225" i="28"/>
  <c r="A18226" i="28"/>
  <c r="A18227" i="28"/>
  <c r="A18228" i="28"/>
  <c r="A18229" i="28"/>
  <c r="A18230" i="28"/>
  <c r="A18231" i="28"/>
  <c r="A18232" i="28"/>
  <c r="A18233" i="28"/>
  <c r="A18234" i="28"/>
  <c r="A18235" i="28"/>
  <c r="A18236" i="28"/>
  <c r="A18237" i="28"/>
  <c r="A18238" i="28"/>
  <c r="A18239" i="28"/>
  <c r="A18240" i="28"/>
  <c r="A18241" i="28"/>
  <c r="A18242" i="28"/>
  <c r="A18243" i="28"/>
  <c r="A18244" i="28"/>
  <c r="A18245" i="28"/>
  <c r="A18246" i="28"/>
  <c r="A18247" i="28"/>
  <c r="A18248" i="28"/>
  <c r="A18249" i="28"/>
  <c r="A18250" i="28"/>
  <c r="A18251" i="28"/>
  <c r="A18252" i="28"/>
  <c r="A18253" i="28"/>
  <c r="A18254" i="28"/>
  <c r="A18255" i="28"/>
  <c r="A18256" i="28"/>
  <c r="A18257" i="28"/>
  <c r="A18258" i="28"/>
  <c r="A18259" i="28"/>
  <c r="A18260" i="28"/>
  <c r="A18261" i="28"/>
  <c r="A18262" i="28"/>
  <c r="A18263" i="28"/>
  <c r="A18264" i="28"/>
  <c r="A18265" i="28"/>
  <c r="A18266" i="28"/>
  <c r="A18267" i="28"/>
  <c r="A18268" i="28"/>
  <c r="A18269" i="28"/>
  <c r="A18270" i="28"/>
  <c r="A18271" i="28"/>
  <c r="A18272" i="28"/>
  <c r="A18273" i="28"/>
  <c r="A18274" i="28"/>
  <c r="A18275" i="28"/>
  <c r="A18276" i="28"/>
  <c r="A18277" i="28"/>
  <c r="A18278" i="28"/>
  <c r="A18279" i="28"/>
  <c r="A18280" i="28"/>
  <c r="A18281" i="28"/>
  <c r="A18282" i="28"/>
  <c r="A18283" i="28"/>
  <c r="A18284" i="28"/>
  <c r="A18285" i="28"/>
  <c r="A18286" i="28"/>
  <c r="A18287" i="28"/>
  <c r="A18288" i="28"/>
  <c r="A18289" i="28"/>
  <c r="A18290" i="28"/>
  <c r="A18291" i="28"/>
  <c r="A18292" i="28"/>
  <c r="A18293" i="28"/>
  <c r="A18294" i="28"/>
  <c r="A18295" i="28"/>
  <c r="A18296" i="28"/>
  <c r="A18297" i="28"/>
  <c r="A18298" i="28"/>
  <c r="A18299" i="28"/>
  <c r="A18300" i="28"/>
  <c r="A18301" i="28"/>
  <c r="A18302" i="28"/>
  <c r="A18303" i="28"/>
  <c r="A18304" i="28"/>
  <c r="A18305" i="28"/>
  <c r="A18306" i="28"/>
  <c r="A18307" i="28"/>
  <c r="A18308" i="28"/>
  <c r="A18309" i="28"/>
  <c r="A18310" i="28"/>
  <c r="A18311" i="28"/>
  <c r="A18312" i="28"/>
  <c r="A18313" i="28"/>
  <c r="A18314" i="28"/>
  <c r="A18315" i="28"/>
  <c r="A18316" i="28"/>
  <c r="A18317" i="28"/>
  <c r="A18318" i="28"/>
  <c r="A18319" i="28"/>
  <c r="A18320" i="28"/>
  <c r="A18321" i="28"/>
  <c r="A18322" i="28"/>
  <c r="A18323" i="28"/>
  <c r="A18324" i="28"/>
  <c r="A18325" i="28"/>
  <c r="A18326" i="28"/>
  <c r="A18327" i="28"/>
  <c r="A18328" i="28"/>
  <c r="A18329" i="28"/>
  <c r="A18330" i="28"/>
  <c r="A18331" i="28"/>
  <c r="A18332" i="28"/>
  <c r="A18333" i="28"/>
  <c r="A18334" i="28"/>
  <c r="A18335" i="28"/>
  <c r="A18336" i="28"/>
  <c r="A18337" i="28"/>
  <c r="A18338" i="28"/>
  <c r="A18339" i="28"/>
  <c r="A18340" i="28"/>
  <c r="A18341" i="28"/>
  <c r="A18342" i="28"/>
  <c r="A18343" i="28"/>
  <c r="A18344" i="28"/>
  <c r="A18345" i="28"/>
  <c r="A18346" i="28"/>
  <c r="A18347" i="28"/>
  <c r="A18348" i="28"/>
  <c r="A18349" i="28"/>
  <c r="A18350" i="28"/>
  <c r="A18351" i="28"/>
  <c r="A18352" i="28"/>
  <c r="A18353" i="28"/>
  <c r="A18354" i="28"/>
  <c r="A18355" i="28"/>
  <c r="A18356" i="28"/>
  <c r="A18357" i="28"/>
  <c r="A18358" i="28"/>
  <c r="A18359" i="28"/>
  <c r="A18360" i="28"/>
  <c r="A18361" i="28"/>
  <c r="A18362" i="28"/>
  <c r="A18363" i="28"/>
  <c r="A18364" i="28"/>
  <c r="A18365" i="28"/>
  <c r="A18366" i="28"/>
  <c r="A18367" i="28"/>
  <c r="A18368" i="28"/>
  <c r="A18369" i="28"/>
  <c r="A18370" i="28"/>
  <c r="A18371" i="28"/>
  <c r="A18372" i="28"/>
  <c r="A18373" i="28"/>
  <c r="A18374" i="28"/>
  <c r="A18375" i="28"/>
  <c r="A18376" i="28"/>
  <c r="A18377" i="28"/>
  <c r="A18378" i="28"/>
  <c r="A18379" i="28"/>
  <c r="A18380" i="28"/>
  <c r="A18381" i="28"/>
  <c r="A18382" i="28"/>
  <c r="A18383" i="28"/>
  <c r="A18384" i="28"/>
  <c r="A18385" i="28"/>
  <c r="A18386" i="28"/>
  <c r="A18387" i="28"/>
  <c r="A18388" i="28"/>
  <c r="A18389" i="28"/>
  <c r="A18390" i="28"/>
  <c r="A18391" i="28"/>
  <c r="A18392" i="28"/>
  <c r="A18393" i="28"/>
  <c r="A18394" i="28"/>
  <c r="A18395" i="28"/>
  <c r="A18396" i="28"/>
  <c r="A18397" i="28"/>
  <c r="A18398" i="28"/>
  <c r="A18399" i="28"/>
  <c r="A18400" i="28"/>
  <c r="A18401" i="28"/>
  <c r="A18402" i="28"/>
  <c r="A18403" i="28"/>
  <c r="A18404" i="28"/>
  <c r="A18405" i="28"/>
  <c r="A18406" i="28"/>
  <c r="A18407" i="28"/>
  <c r="A18408" i="28"/>
  <c r="A18409" i="28"/>
  <c r="A18410" i="28"/>
  <c r="A18411" i="28"/>
  <c r="A18412" i="28"/>
  <c r="A18413" i="28"/>
  <c r="A18414" i="28"/>
  <c r="A18415" i="28"/>
  <c r="A18416" i="28"/>
  <c r="A18417" i="28"/>
  <c r="A18418" i="28"/>
  <c r="A18419" i="28"/>
  <c r="A18420" i="28"/>
  <c r="A18421" i="28"/>
  <c r="A18422" i="28"/>
  <c r="A18423" i="28"/>
  <c r="A18424" i="28"/>
  <c r="A18425" i="28"/>
  <c r="A18426" i="28"/>
  <c r="A18427" i="28"/>
  <c r="A18428" i="28"/>
  <c r="A18429" i="28"/>
  <c r="A18430" i="28"/>
  <c r="A18431" i="28"/>
  <c r="A18432" i="28"/>
  <c r="A18433" i="28"/>
  <c r="A18434" i="28"/>
  <c r="A18435" i="28"/>
  <c r="A18436" i="28"/>
  <c r="A18437" i="28"/>
  <c r="A18438" i="28"/>
  <c r="A18439" i="28"/>
  <c r="A18440" i="28"/>
  <c r="A18441" i="28"/>
  <c r="A18442" i="28"/>
  <c r="A18443" i="28"/>
  <c r="A18444" i="28"/>
  <c r="A18445" i="28"/>
  <c r="A18446" i="28"/>
  <c r="A18447" i="28"/>
  <c r="A18448" i="28"/>
  <c r="A18449" i="28"/>
  <c r="A18450" i="28"/>
  <c r="A18451" i="28"/>
  <c r="A18452" i="28"/>
  <c r="A18453" i="28"/>
  <c r="A18454" i="28"/>
  <c r="A18455" i="28"/>
  <c r="A18456" i="28"/>
  <c r="A18457" i="28"/>
  <c r="A18458" i="28"/>
  <c r="A18459" i="28"/>
  <c r="A18460" i="28"/>
  <c r="A18461" i="28"/>
  <c r="A18462" i="28"/>
  <c r="A18463" i="28"/>
  <c r="A18464" i="28"/>
  <c r="A18465" i="28"/>
  <c r="A18466" i="28"/>
  <c r="A18467" i="28"/>
  <c r="A18468" i="28"/>
  <c r="A18469" i="28"/>
  <c r="A18470" i="28"/>
  <c r="A18471" i="28"/>
  <c r="A18472" i="28"/>
  <c r="A18473" i="28"/>
  <c r="A18474" i="28"/>
  <c r="A18475" i="28"/>
  <c r="A18476" i="28"/>
  <c r="A18477" i="28"/>
  <c r="A18478" i="28"/>
  <c r="A18479" i="28"/>
  <c r="A18480" i="28"/>
  <c r="A18481" i="28"/>
  <c r="A18482" i="28"/>
  <c r="A18483" i="28"/>
  <c r="A18484" i="28"/>
  <c r="A18485" i="28"/>
  <c r="A18486" i="28"/>
  <c r="A18487" i="28"/>
  <c r="A18488" i="28"/>
  <c r="A18489" i="28"/>
  <c r="A18490" i="28"/>
  <c r="A18491" i="28"/>
  <c r="A18492" i="28"/>
  <c r="A18493" i="28"/>
  <c r="A18494" i="28"/>
  <c r="A18495" i="28"/>
  <c r="A18496" i="28"/>
  <c r="A18497" i="28"/>
  <c r="A18498" i="28"/>
  <c r="A18499" i="28"/>
  <c r="A18500" i="28"/>
  <c r="A18501" i="28"/>
  <c r="A18502" i="28"/>
  <c r="A18503" i="28"/>
  <c r="A18504" i="28"/>
  <c r="A18505" i="28"/>
  <c r="A18506" i="28"/>
  <c r="A18507" i="28"/>
  <c r="A18508" i="28"/>
  <c r="A18509" i="28"/>
  <c r="A18510" i="28"/>
  <c r="A18511" i="28"/>
  <c r="A18512" i="28"/>
  <c r="A18513" i="28"/>
  <c r="A18514" i="28"/>
  <c r="A18515" i="28"/>
  <c r="A18516" i="28"/>
  <c r="A18517" i="28"/>
  <c r="A18518" i="28"/>
  <c r="A18519" i="28"/>
  <c r="A18520" i="28"/>
  <c r="A18521" i="28"/>
  <c r="A18522" i="28"/>
  <c r="A18523" i="28"/>
  <c r="A18524" i="28"/>
  <c r="A18525" i="28"/>
  <c r="A18526" i="28"/>
  <c r="A18527" i="28"/>
  <c r="A18528" i="28"/>
  <c r="A18529" i="28"/>
  <c r="A18530" i="28"/>
  <c r="A18531" i="28"/>
  <c r="A18532" i="28"/>
  <c r="A18533" i="28"/>
  <c r="A18534" i="28"/>
  <c r="A18535" i="28"/>
  <c r="A18536" i="28"/>
  <c r="A18537" i="28"/>
  <c r="A18538" i="28"/>
  <c r="A18539" i="28"/>
  <c r="A18540" i="28"/>
  <c r="A18541" i="28"/>
  <c r="A18542" i="28"/>
  <c r="A18543" i="28"/>
  <c r="A18544" i="28"/>
  <c r="A18545" i="28"/>
  <c r="A18546" i="28"/>
  <c r="A18547" i="28"/>
  <c r="A18548" i="28"/>
  <c r="A18549" i="28"/>
  <c r="A18550" i="28"/>
  <c r="A18551" i="28"/>
  <c r="A18552" i="28"/>
  <c r="A18553" i="28"/>
  <c r="A18554" i="28"/>
  <c r="A18555" i="28"/>
  <c r="A18556" i="28"/>
  <c r="A18557" i="28"/>
  <c r="A18558" i="28"/>
  <c r="A18559" i="28"/>
  <c r="A18560" i="28"/>
  <c r="A18561" i="28"/>
  <c r="A18562" i="28"/>
  <c r="A18563" i="28"/>
  <c r="A18564" i="28"/>
  <c r="A18565" i="28"/>
  <c r="A18566" i="28"/>
  <c r="A18567" i="28"/>
  <c r="A18568" i="28"/>
  <c r="A18569" i="28"/>
  <c r="A18570" i="28"/>
  <c r="A18571" i="28"/>
  <c r="A18572" i="28"/>
  <c r="A18573" i="28"/>
  <c r="A18574" i="28"/>
  <c r="A18575" i="28"/>
  <c r="A18576" i="28"/>
  <c r="A18577" i="28"/>
  <c r="A18578" i="28"/>
  <c r="A18579" i="28"/>
  <c r="A18580" i="28"/>
  <c r="A18581" i="28"/>
  <c r="A18582" i="28"/>
  <c r="A18583" i="28"/>
  <c r="A18584" i="28"/>
  <c r="A18585" i="28"/>
  <c r="A18586" i="28"/>
  <c r="A18587" i="28"/>
  <c r="A18588" i="28"/>
  <c r="A18589" i="28"/>
  <c r="A18590" i="28"/>
  <c r="A18591" i="28"/>
  <c r="A18592" i="28"/>
  <c r="A18593" i="28"/>
  <c r="A18594" i="28"/>
  <c r="A18595" i="28"/>
  <c r="A18596" i="28"/>
  <c r="A18597" i="28"/>
  <c r="A18598" i="28"/>
  <c r="A18599" i="28"/>
  <c r="A18600" i="28"/>
  <c r="A18601" i="28"/>
  <c r="A18602" i="28"/>
  <c r="A18603" i="28"/>
  <c r="A18604" i="28"/>
  <c r="A18605" i="28"/>
  <c r="A18606" i="28"/>
  <c r="A18607" i="28"/>
  <c r="A18608" i="28"/>
  <c r="A18609" i="28"/>
  <c r="A18610" i="28"/>
  <c r="A18611" i="28"/>
  <c r="A18612" i="28"/>
  <c r="A18613" i="28"/>
  <c r="A18614" i="28"/>
  <c r="A18615" i="28"/>
  <c r="A18616" i="28"/>
  <c r="A18617" i="28"/>
  <c r="A18618" i="28"/>
  <c r="A18619" i="28"/>
  <c r="A18620" i="28"/>
  <c r="A18621" i="28"/>
  <c r="A18622" i="28"/>
  <c r="A18623" i="28"/>
  <c r="A18624" i="28"/>
  <c r="A18625" i="28"/>
  <c r="A18626" i="28"/>
  <c r="A18627" i="28"/>
  <c r="A18628" i="28"/>
  <c r="A18629" i="28"/>
  <c r="A18630" i="28"/>
  <c r="A18631" i="28"/>
  <c r="A18632" i="28"/>
  <c r="A18633" i="28"/>
  <c r="A18634" i="28"/>
  <c r="A18635" i="28"/>
  <c r="A18636" i="28"/>
  <c r="A18637" i="28"/>
  <c r="A18638" i="28"/>
  <c r="A18639" i="28"/>
  <c r="A18640" i="28"/>
  <c r="A18641" i="28"/>
  <c r="A18642" i="28"/>
  <c r="A18643" i="28"/>
  <c r="A18644" i="28"/>
  <c r="A18645" i="28"/>
  <c r="A18646" i="28"/>
  <c r="A18647" i="28"/>
  <c r="A18648" i="28"/>
  <c r="A18649" i="28"/>
  <c r="A18650" i="28"/>
  <c r="A18651" i="28"/>
  <c r="A18652" i="28"/>
  <c r="A18653" i="28"/>
  <c r="A18654" i="28"/>
  <c r="A18655" i="28"/>
  <c r="A18656" i="28"/>
  <c r="A18657" i="28"/>
  <c r="A18658" i="28"/>
  <c r="A18659" i="28"/>
  <c r="A18660" i="28"/>
  <c r="A18661" i="28"/>
  <c r="A18662" i="28"/>
  <c r="A18663" i="28"/>
  <c r="A18664" i="28"/>
  <c r="A18665" i="28"/>
  <c r="A18666" i="28"/>
  <c r="A18667" i="28"/>
  <c r="A18668" i="28"/>
  <c r="A18669" i="28"/>
  <c r="A18670" i="28"/>
  <c r="A18671" i="28"/>
  <c r="A18672" i="28"/>
  <c r="A18673" i="28"/>
  <c r="A18674" i="28"/>
  <c r="A18675" i="28"/>
  <c r="A18676" i="28"/>
  <c r="A18677" i="28"/>
  <c r="A18678" i="28"/>
  <c r="A18679" i="28"/>
  <c r="A18680" i="28"/>
  <c r="A18681" i="28"/>
  <c r="A18682" i="28"/>
  <c r="A18683" i="28"/>
  <c r="A18684" i="28"/>
  <c r="A18685" i="28"/>
  <c r="A18686" i="28"/>
  <c r="A18687" i="28"/>
  <c r="A18688" i="28"/>
  <c r="A18689" i="28"/>
  <c r="A18690" i="28"/>
  <c r="A18691" i="28"/>
  <c r="A18692" i="28"/>
  <c r="A18693" i="28"/>
  <c r="A18694" i="28"/>
  <c r="A18695" i="28"/>
  <c r="A18696" i="28"/>
  <c r="A18697" i="28"/>
  <c r="A18698" i="28"/>
  <c r="A18699" i="28"/>
  <c r="A18700" i="28"/>
  <c r="A18701" i="28"/>
  <c r="A18702" i="28"/>
  <c r="A18703" i="28"/>
  <c r="A18704" i="28"/>
  <c r="A18705" i="28"/>
  <c r="A18706" i="28"/>
  <c r="A18707" i="28"/>
  <c r="A18708" i="28"/>
  <c r="A18709" i="28"/>
  <c r="A18710" i="28"/>
  <c r="A18711" i="28"/>
  <c r="A18712" i="28"/>
  <c r="A18713" i="28"/>
  <c r="A18714" i="28"/>
  <c r="A18715" i="28"/>
  <c r="A18716" i="28"/>
  <c r="A18717" i="28"/>
  <c r="A18718" i="28"/>
  <c r="A18719" i="28"/>
  <c r="A18720" i="28"/>
  <c r="A18721" i="28"/>
  <c r="A18722" i="28"/>
  <c r="A18723" i="28"/>
  <c r="A18724" i="28"/>
  <c r="A18725" i="28"/>
  <c r="A18726" i="28"/>
  <c r="A18727" i="28"/>
  <c r="A18728" i="28"/>
  <c r="A18729" i="28"/>
  <c r="A18730" i="28"/>
  <c r="A18731" i="28"/>
  <c r="A18732" i="28"/>
  <c r="A18733" i="28"/>
  <c r="A18734" i="28"/>
  <c r="A18735" i="28"/>
  <c r="A18736" i="28"/>
  <c r="A18737" i="28"/>
  <c r="A18738" i="28"/>
  <c r="A18739" i="28"/>
  <c r="A18740" i="28"/>
  <c r="A18741" i="28"/>
  <c r="A18742" i="28"/>
  <c r="A18743" i="28"/>
  <c r="A18744" i="28"/>
  <c r="A18745" i="28"/>
  <c r="A18746" i="28"/>
  <c r="A18747" i="28"/>
  <c r="A18748" i="28"/>
  <c r="A18749" i="28"/>
  <c r="A18750" i="28"/>
  <c r="A18751" i="28"/>
  <c r="A18752" i="28"/>
  <c r="A18753" i="28"/>
  <c r="A18754" i="28"/>
  <c r="A18755" i="28"/>
  <c r="A18756" i="28"/>
  <c r="A18757" i="28"/>
  <c r="A18758" i="28"/>
  <c r="A18759" i="28"/>
  <c r="A18760" i="28"/>
  <c r="A18761" i="28"/>
  <c r="A18762" i="28"/>
  <c r="A18763" i="28"/>
  <c r="A18764" i="28"/>
  <c r="A18765" i="28"/>
  <c r="A18766" i="28"/>
  <c r="A18767" i="28"/>
  <c r="A18768" i="28"/>
  <c r="A18769" i="28"/>
  <c r="A18770" i="28"/>
  <c r="A18771" i="28"/>
  <c r="A18772" i="28"/>
  <c r="A18773" i="28"/>
  <c r="A18774" i="28"/>
  <c r="A18775" i="28"/>
  <c r="A18776" i="28"/>
  <c r="A18777" i="28"/>
  <c r="A18778" i="28"/>
  <c r="A18779" i="28"/>
  <c r="A18780" i="28"/>
  <c r="A18781" i="28"/>
  <c r="A18782" i="28"/>
  <c r="A18783" i="28"/>
  <c r="A18784" i="28"/>
  <c r="A18785" i="28"/>
  <c r="A18786" i="28"/>
  <c r="A18787" i="28"/>
  <c r="A18788" i="28"/>
  <c r="A18789" i="28"/>
  <c r="A18790" i="28"/>
  <c r="A18791" i="28"/>
  <c r="A18792" i="28"/>
  <c r="A18793" i="28"/>
  <c r="A18794" i="28"/>
  <c r="A18795" i="28"/>
  <c r="A18796" i="28"/>
  <c r="A18797" i="28"/>
  <c r="A18798" i="28"/>
  <c r="A18799" i="28"/>
  <c r="A18800" i="28"/>
  <c r="A18801" i="28"/>
  <c r="A18802" i="28"/>
  <c r="A18803" i="28"/>
  <c r="A18804" i="28"/>
  <c r="A18805" i="28"/>
  <c r="A18806" i="28"/>
  <c r="A18807" i="28"/>
  <c r="A18808" i="28"/>
  <c r="A18809" i="28"/>
  <c r="A18810" i="28"/>
  <c r="A18811" i="28"/>
  <c r="A18812" i="28"/>
  <c r="A18813" i="28"/>
  <c r="A18814" i="28"/>
  <c r="A18815" i="28"/>
  <c r="A18816" i="28"/>
  <c r="A18817" i="28"/>
  <c r="A18818" i="28"/>
  <c r="A18819" i="28"/>
  <c r="A18820" i="28"/>
  <c r="A18821" i="28"/>
  <c r="A18822" i="28"/>
  <c r="A18823" i="28"/>
  <c r="A18824" i="28"/>
  <c r="A18825" i="28"/>
  <c r="A18826" i="28"/>
  <c r="A18827" i="28"/>
  <c r="A18828" i="28"/>
  <c r="A18829" i="28"/>
  <c r="A18830" i="28"/>
  <c r="A18831" i="28"/>
  <c r="A18832" i="28"/>
  <c r="A18833" i="28"/>
  <c r="A18834" i="28"/>
  <c r="A18835" i="28"/>
  <c r="A18836" i="28"/>
  <c r="A18837" i="28"/>
  <c r="A18838" i="28"/>
  <c r="A18839" i="28"/>
  <c r="A18840" i="28"/>
  <c r="A18841" i="28"/>
  <c r="A18842" i="28"/>
  <c r="A18843" i="28"/>
  <c r="A18844" i="28"/>
  <c r="A18845" i="28"/>
  <c r="A18846" i="28"/>
  <c r="A18847" i="28"/>
  <c r="A18848" i="28"/>
  <c r="A18849" i="28"/>
  <c r="A18850" i="28"/>
  <c r="A18851" i="28"/>
  <c r="A18852" i="28"/>
  <c r="A18853" i="28"/>
  <c r="A18854" i="28"/>
  <c r="A18855" i="28"/>
  <c r="A18856" i="28"/>
  <c r="A18857" i="28"/>
  <c r="A18858" i="28"/>
  <c r="A18859" i="28"/>
  <c r="A18860" i="28"/>
  <c r="A18861" i="28"/>
  <c r="A18862" i="28"/>
  <c r="A18863" i="28"/>
  <c r="A18864" i="28"/>
  <c r="A18865" i="28"/>
  <c r="A18866" i="28"/>
  <c r="A18867" i="28"/>
  <c r="A18868" i="28"/>
  <c r="A18869" i="28"/>
  <c r="A18870" i="28"/>
  <c r="A18871" i="28"/>
  <c r="A18872" i="28"/>
  <c r="A18873" i="28"/>
  <c r="A18874" i="28"/>
  <c r="A18875" i="28"/>
  <c r="A18876" i="28"/>
  <c r="A18877" i="28"/>
  <c r="A18878" i="28"/>
  <c r="A18879" i="28"/>
  <c r="A18880" i="28"/>
  <c r="A18881" i="28"/>
  <c r="A18882" i="28"/>
  <c r="A18883" i="28"/>
  <c r="A18884" i="28"/>
  <c r="A18885" i="28"/>
  <c r="A18886" i="28"/>
  <c r="A18887" i="28"/>
  <c r="A18888" i="28"/>
  <c r="A18889" i="28"/>
  <c r="A18890" i="28"/>
  <c r="A18891" i="28"/>
  <c r="A18892" i="28"/>
  <c r="A18893" i="28"/>
  <c r="A18894" i="28"/>
  <c r="A18895" i="28"/>
  <c r="A18896" i="28"/>
  <c r="A18897" i="28"/>
  <c r="A18898" i="28"/>
  <c r="A18899" i="28"/>
  <c r="A18900" i="28"/>
  <c r="A18901" i="28"/>
  <c r="A18902" i="28"/>
  <c r="A18903" i="28"/>
  <c r="A18904" i="28"/>
  <c r="A18905" i="28"/>
  <c r="A18906" i="28"/>
  <c r="A18907" i="28"/>
  <c r="A18908" i="28"/>
  <c r="A18909" i="28"/>
  <c r="A18910" i="28"/>
  <c r="A18911" i="28"/>
  <c r="A18912" i="28"/>
  <c r="A18913" i="28"/>
  <c r="A18914" i="28"/>
  <c r="A18915" i="28"/>
  <c r="A18916" i="28"/>
  <c r="A18917" i="28"/>
  <c r="A18918" i="28"/>
  <c r="A18919" i="28"/>
  <c r="A18920" i="28"/>
  <c r="A18921" i="28"/>
  <c r="A18922" i="28"/>
  <c r="A18923" i="28"/>
  <c r="A18924" i="28"/>
  <c r="A18925" i="28"/>
  <c r="A18926" i="28"/>
  <c r="A18927" i="28"/>
  <c r="A18928" i="28"/>
  <c r="A18929" i="28"/>
  <c r="A18930" i="28"/>
  <c r="A18931" i="28"/>
  <c r="A18932" i="28"/>
  <c r="A18933" i="28"/>
  <c r="A18934" i="28"/>
  <c r="A18935" i="28"/>
  <c r="A18936" i="28"/>
  <c r="A18937" i="28"/>
  <c r="A18938" i="28"/>
  <c r="A18939" i="28"/>
  <c r="A18940" i="28"/>
  <c r="A18941" i="28"/>
  <c r="A18942" i="28"/>
  <c r="A18943" i="28"/>
  <c r="A18944" i="28"/>
  <c r="A18945" i="28"/>
  <c r="A18946" i="28"/>
  <c r="A18947" i="28"/>
  <c r="A18948" i="28"/>
  <c r="A18949" i="28"/>
  <c r="A18950" i="28"/>
  <c r="A18951" i="28"/>
  <c r="A18952" i="28"/>
  <c r="A18953" i="28"/>
  <c r="A18954" i="28"/>
  <c r="A18955" i="28"/>
  <c r="A18956" i="28"/>
  <c r="A18957" i="28"/>
  <c r="A18958" i="28"/>
  <c r="A18959" i="28"/>
  <c r="A18960" i="28"/>
  <c r="A18961" i="28"/>
  <c r="A18962" i="28"/>
  <c r="A18963" i="28"/>
  <c r="A18964" i="28"/>
  <c r="A18965" i="28"/>
  <c r="A18966" i="28"/>
  <c r="A18967" i="28"/>
  <c r="A18968" i="28"/>
  <c r="A18969" i="28"/>
  <c r="A18970" i="28"/>
  <c r="A18971" i="28"/>
  <c r="A18972" i="28"/>
  <c r="A18973" i="28"/>
  <c r="A18974" i="28"/>
  <c r="A18975" i="28"/>
  <c r="A18976" i="28"/>
  <c r="A18977" i="28"/>
  <c r="A18978" i="28"/>
  <c r="A18979" i="28"/>
  <c r="A18980" i="28"/>
  <c r="A18981" i="28"/>
  <c r="A18982" i="28"/>
  <c r="A18983" i="28"/>
  <c r="A18984" i="28"/>
  <c r="A18985" i="28"/>
  <c r="A18986" i="28"/>
  <c r="A18987" i="28"/>
  <c r="A18988" i="28"/>
  <c r="A18989" i="28"/>
  <c r="A18990" i="28"/>
  <c r="A18991" i="28"/>
  <c r="A18992" i="28"/>
  <c r="A18993" i="28"/>
  <c r="A18994" i="28"/>
  <c r="A18995" i="28"/>
  <c r="A18996" i="28"/>
  <c r="A18997" i="28"/>
  <c r="A18998" i="28"/>
  <c r="A18999" i="28"/>
  <c r="A19000" i="28"/>
  <c r="A19001" i="28"/>
  <c r="A19002" i="28"/>
  <c r="A19003" i="28"/>
  <c r="A19004" i="28"/>
  <c r="A19005" i="28"/>
  <c r="A19006" i="28"/>
  <c r="A19007" i="28"/>
  <c r="A19008" i="28"/>
  <c r="A19009" i="28"/>
  <c r="A19010" i="28"/>
  <c r="A19011" i="28"/>
  <c r="A19012" i="28"/>
  <c r="A19013" i="28"/>
  <c r="A19014" i="28"/>
  <c r="A19015" i="28"/>
  <c r="A19016" i="28"/>
  <c r="A19017" i="28"/>
  <c r="A19018" i="28"/>
  <c r="A19019" i="28"/>
  <c r="A19020" i="28"/>
  <c r="A19021" i="28"/>
  <c r="A19022" i="28"/>
  <c r="A19023" i="28"/>
  <c r="A19024" i="28"/>
  <c r="A19025" i="28"/>
  <c r="A19026" i="28"/>
  <c r="A19027" i="28"/>
  <c r="A19028" i="28"/>
  <c r="A19029" i="28"/>
  <c r="A19030" i="28"/>
  <c r="A19031" i="28"/>
  <c r="A19032" i="28"/>
  <c r="A19033" i="28"/>
  <c r="A19034" i="28"/>
  <c r="A19035" i="28"/>
  <c r="A19036" i="28"/>
  <c r="A19037" i="28"/>
  <c r="A19038" i="28"/>
  <c r="A19039" i="28"/>
  <c r="A19040" i="28"/>
  <c r="A19041" i="28"/>
  <c r="A19042" i="28"/>
  <c r="A19043" i="28"/>
  <c r="A19044" i="28"/>
  <c r="A19045" i="28"/>
  <c r="A19046" i="28"/>
  <c r="A19047" i="28"/>
  <c r="A19048" i="28"/>
  <c r="A19049" i="28"/>
  <c r="A19050" i="28"/>
  <c r="A19051" i="28"/>
  <c r="A19052" i="28"/>
  <c r="A19053" i="28"/>
  <c r="A19054" i="28"/>
  <c r="A19055" i="28"/>
  <c r="A19056" i="28"/>
  <c r="A19057" i="28"/>
  <c r="A19058" i="28"/>
  <c r="A19059" i="28"/>
  <c r="A19060" i="28"/>
  <c r="A19061" i="28"/>
  <c r="A19062" i="28"/>
  <c r="A19063" i="28"/>
  <c r="A19064" i="28"/>
  <c r="A19065" i="28"/>
  <c r="A19066" i="28"/>
  <c r="A19067" i="28"/>
  <c r="A19068" i="28"/>
  <c r="A19069" i="28"/>
  <c r="A19070" i="28"/>
  <c r="A19071" i="28"/>
  <c r="A19072" i="28"/>
  <c r="A19073" i="28"/>
  <c r="A19074" i="28"/>
  <c r="A19075" i="28"/>
  <c r="A19076" i="28"/>
  <c r="A19077" i="28"/>
  <c r="A19078" i="28"/>
  <c r="A19079" i="28"/>
  <c r="A19080" i="28"/>
  <c r="A19081" i="28"/>
  <c r="A19082" i="28"/>
  <c r="A19083" i="28"/>
  <c r="A19084" i="28"/>
  <c r="A19085" i="28"/>
  <c r="A19086" i="28"/>
  <c r="A19087" i="28"/>
  <c r="A19088" i="28"/>
  <c r="A19089" i="28"/>
  <c r="A19090" i="28"/>
  <c r="A19091" i="28"/>
  <c r="A19092" i="28"/>
  <c r="A19093" i="28"/>
  <c r="A19094" i="28"/>
  <c r="A19095" i="28"/>
  <c r="A19096" i="28"/>
  <c r="A19097" i="28"/>
  <c r="A19098" i="28"/>
  <c r="A19099" i="28"/>
  <c r="A19100" i="28"/>
  <c r="A19101" i="28"/>
  <c r="A19102" i="28"/>
  <c r="A19103" i="28"/>
  <c r="A19104" i="28"/>
  <c r="A19105" i="28"/>
  <c r="A19106" i="28"/>
  <c r="A19107" i="28"/>
  <c r="A19108" i="28"/>
  <c r="A19109" i="28"/>
  <c r="A19110" i="28"/>
  <c r="A19111" i="28"/>
  <c r="A19112" i="28"/>
  <c r="A19113" i="28"/>
  <c r="A19114" i="28"/>
  <c r="A19115" i="28"/>
  <c r="A19116" i="28"/>
  <c r="A19117" i="28"/>
  <c r="A19118" i="28"/>
  <c r="A19119" i="28"/>
  <c r="A19120" i="28"/>
  <c r="A19121" i="28"/>
  <c r="A19122" i="28"/>
  <c r="A19123" i="28"/>
  <c r="A19124" i="28"/>
  <c r="A19125" i="28"/>
  <c r="A19126" i="28"/>
  <c r="A19127" i="28"/>
  <c r="A19128" i="28"/>
  <c r="A19129" i="28"/>
  <c r="A19130" i="28"/>
  <c r="A19131" i="28"/>
  <c r="A19132" i="28"/>
  <c r="A19133" i="28"/>
  <c r="A19134" i="28"/>
  <c r="A19135" i="28"/>
  <c r="A19136" i="28"/>
  <c r="A19137" i="28"/>
  <c r="A19138" i="28"/>
  <c r="A19139" i="28"/>
  <c r="A19140" i="28"/>
  <c r="A19141" i="28"/>
  <c r="A19142" i="28"/>
  <c r="A19143" i="28"/>
  <c r="A19144" i="28"/>
  <c r="A19145" i="28"/>
  <c r="A19146" i="28"/>
  <c r="A19147" i="28"/>
  <c r="A19148" i="28"/>
  <c r="A19149" i="28"/>
  <c r="A19150" i="28"/>
  <c r="A19151" i="28"/>
  <c r="A19152" i="28"/>
  <c r="A19153" i="28"/>
  <c r="A19154" i="28"/>
  <c r="A19155" i="28"/>
  <c r="A19156" i="28"/>
  <c r="A19157" i="28"/>
  <c r="A19158" i="28"/>
  <c r="A19159" i="28"/>
  <c r="A19160" i="28"/>
  <c r="A19161" i="28"/>
  <c r="A19162" i="28"/>
  <c r="A19163" i="28"/>
  <c r="A19164" i="28"/>
  <c r="A19165" i="28"/>
  <c r="A19166" i="28"/>
  <c r="A19167" i="28"/>
  <c r="A19168" i="28"/>
  <c r="A19169" i="28"/>
  <c r="A19170" i="28"/>
  <c r="A19171" i="28"/>
  <c r="A19172" i="28"/>
  <c r="A19173" i="28"/>
  <c r="A19174" i="28"/>
  <c r="A19175" i="28"/>
  <c r="A19176" i="28"/>
  <c r="A19177" i="28"/>
  <c r="A19178" i="28"/>
  <c r="A19179" i="28"/>
  <c r="A19180" i="28"/>
  <c r="A19181" i="28"/>
  <c r="A19182" i="28"/>
  <c r="A19183" i="28"/>
  <c r="A19184" i="28"/>
  <c r="A19185" i="28"/>
  <c r="A19186" i="28"/>
  <c r="A19187" i="28"/>
  <c r="A19188" i="28"/>
  <c r="A19189" i="28"/>
  <c r="A19190" i="28"/>
  <c r="A19191" i="28"/>
  <c r="A19192" i="28"/>
  <c r="A19193" i="28"/>
  <c r="A19194" i="28"/>
  <c r="A19195" i="28"/>
  <c r="A19196" i="28"/>
  <c r="A19197" i="28"/>
  <c r="A19198" i="28"/>
  <c r="A19199" i="28"/>
  <c r="A19200" i="28"/>
  <c r="A19201" i="28"/>
  <c r="A19202" i="28"/>
  <c r="A19203" i="28"/>
  <c r="A19204" i="28"/>
  <c r="A19205" i="28"/>
  <c r="A19206" i="28"/>
  <c r="A19207" i="28"/>
  <c r="A19208" i="28"/>
  <c r="A19209" i="28"/>
  <c r="A19210" i="28"/>
  <c r="A19211" i="28"/>
  <c r="A19212" i="28"/>
  <c r="A19213" i="28"/>
  <c r="A19214" i="28"/>
  <c r="A19215" i="28"/>
  <c r="A19216" i="28"/>
  <c r="A19217" i="28"/>
  <c r="A19218" i="28"/>
  <c r="A19219" i="28"/>
  <c r="A19220" i="28"/>
  <c r="A19221" i="28"/>
  <c r="A19222" i="28"/>
  <c r="A19223" i="28"/>
  <c r="A19224" i="28"/>
  <c r="A19225" i="28"/>
  <c r="A19226" i="28"/>
  <c r="A19227" i="28"/>
  <c r="A19228" i="28"/>
  <c r="A19229" i="28"/>
  <c r="A19230" i="28"/>
  <c r="A19231" i="28"/>
  <c r="A19232" i="28"/>
  <c r="A19233" i="28"/>
  <c r="A19234" i="28"/>
  <c r="A19235" i="28"/>
  <c r="A19236" i="28"/>
  <c r="A19237" i="28"/>
  <c r="A19238" i="28"/>
  <c r="A19239" i="28"/>
  <c r="A19240" i="28"/>
  <c r="A19241" i="28"/>
  <c r="A19242" i="28"/>
  <c r="A19243" i="28"/>
  <c r="A19244" i="28"/>
  <c r="A19245" i="28"/>
  <c r="A19246" i="28"/>
  <c r="A19247" i="28"/>
  <c r="A19248" i="28"/>
  <c r="A19249" i="28"/>
  <c r="A19250" i="28"/>
  <c r="A19251" i="28"/>
  <c r="A19252" i="28"/>
  <c r="A19253" i="28"/>
  <c r="A19254" i="28"/>
  <c r="A19255" i="28"/>
  <c r="A19256" i="28"/>
  <c r="A19257" i="28"/>
  <c r="A19258" i="28"/>
  <c r="A19259" i="28"/>
  <c r="A19260" i="28"/>
  <c r="A19261" i="28"/>
  <c r="A19262" i="28"/>
  <c r="A19263" i="28"/>
  <c r="A19264" i="28"/>
  <c r="A19265" i="28"/>
  <c r="A19266" i="28"/>
  <c r="A19267" i="28"/>
  <c r="A19268" i="28"/>
  <c r="A19269" i="28"/>
  <c r="A19270" i="28"/>
  <c r="A19271" i="28"/>
  <c r="A19272" i="28"/>
  <c r="A19273" i="28"/>
  <c r="A19274" i="28"/>
  <c r="A19275" i="28"/>
  <c r="A19276" i="28"/>
  <c r="A19277" i="28"/>
  <c r="A19278" i="28"/>
  <c r="A19279" i="28"/>
  <c r="A19280" i="28"/>
  <c r="A19281" i="28"/>
  <c r="A19282" i="28"/>
  <c r="A19283" i="28"/>
  <c r="A19284" i="28"/>
  <c r="A19285" i="28"/>
  <c r="A19286" i="28"/>
  <c r="A19287" i="28"/>
  <c r="A19288" i="28"/>
  <c r="A19289" i="28"/>
  <c r="A19290" i="28"/>
  <c r="A19291" i="28"/>
  <c r="A19292" i="28"/>
  <c r="A19293" i="28"/>
  <c r="A19294" i="28"/>
  <c r="A19295" i="28"/>
  <c r="A19296" i="28"/>
  <c r="A19297" i="28"/>
  <c r="A19298" i="28"/>
  <c r="A19299" i="28"/>
  <c r="A19300" i="28"/>
  <c r="A19301" i="28"/>
  <c r="A19302" i="28"/>
  <c r="A19303" i="28"/>
  <c r="A19304" i="28"/>
  <c r="A19305" i="28"/>
  <c r="A19306" i="28"/>
  <c r="A19307" i="28"/>
  <c r="A19308" i="28"/>
  <c r="A19309" i="28"/>
  <c r="A19310" i="28"/>
  <c r="A19311" i="28"/>
  <c r="A19312" i="28"/>
  <c r="A19313" i="28"/>
  <c r="A19314" i="28"/>
  <c r="A19315" i="28"/>
  <c r="A19316" i="28"/>
  <c r="A19317" i="28"/>
  <c r="A19318" i="28"/>
  <c r="A19319" i="28"/>
  <c r="A19320" i="28"/>
  <c r="A19321" i="28"/>
  <c r="A19322" i="28"/>
  <c r="A19323" i="28"/>
  <c r="A19324" i="28"/>
  <c r="A19325" i="28"/>
  <c r="A19326" i="28"/>
  <c r="A19327" i="28"/>
  <c r="A19328" i="28"/>
  <c r="A19329" i="28"/>
  <c r="A19330" i="28"/>
  <c r="A19331" i="28"/>
  <c r="A19332" i="28"/>
  <c r="A19333" i="28"/>
  <c r="A19334" i="28"/>
  <c r="A19335" i="28"/>
  <c r="A19336" i="28"/>
  <c r="A19337" i="28"/>
  <c r="A19338" i="28"/>
  <c r="A19339" i="28"/>
  <c r="A19340" i="28"/>
  <c r="A19341" i="28"/>
  <c r="A19342" i="28"/>
  <c r="A19343" i="28"/>
  <c r="A19344" i="28"/>
  <c r="A19345" i="28"/>
  <c r="A19346" i="28"/>
  <c r="A19347" i="28"/>
  <c r="A19348" i="28"/>
  <c r="A19349" i="28"/>
  <c r="A19350" i="28"/>
  <c r="A19351" i="28"/>
  <c r="A19352" i="28"/>
  <c r="A19353" i="28"/>
  <c r="A19354" i="28"/>
  <c r="A19355" i="28"/>
  <c r="A19356" i="28"/>
  <c r="A19357" i="28"/>
  <c r="A19358" i="28"/>
  <c r="A19359" i="28"/>
  <c r="A19360" i="28"/>
  <c r="A19361" i="28"/>
  <c r="A19362" i="28"/>
  <c r="A19363" i="28"/>
  <c r="A19364" i="28"/>
  <c r="A19365" i="28"/>
  <c r="A19366" i="28"/>
  <c r="A19367" i="28"/>
  <c r="A19368" i="28"/>
  <c r="A19369" i="28"/>
  <c r="A19370" i="28"/>
  <c r="A19371" i="28"/>
  <c r="A19372" i="28"/>
  <c r="A19373" i="28"/>
  <c r="A19374" i="28"/>
  <c r="A19375" i="28"/>
  <c r="A19376" i="28"/>
  <c r="A19377" i="28"/>
  <c r="A19378" i="28"/>
  <c r="A19379" i="28"/>
  <c r="A19380" i="28"/>
  <c r="A19381" i="28"/>
  <c r="A19382" i="28"/>
  <c r="A19383" i="28"/>
  <c r="A19384" i="28"/>
  <c r="A19385" i="28"/>
  <c r="A19386" i="28"/>
  <c r="A19387" i="28"/>
  <c r="A19388" i="28"/>
  <c r="A19389" i="28"/>
  <c r="A19390" i="28"/>
  <c r="A19391" i="28"/>
  <c r="A19392" i="28"/>
  <c r="A19393" i="28"/>
  <c r="A19394" i="28"/>
  <c r="A19395" i="28"/>
  <c r="A19396" i="28"/>
  <c r="A19397" i="28"/>
  <c r="A19398" i="28"/>
  <c r="A19399" i="28"/>
  <c r="A19400" i="28"/>
  <c r="A19401" i="28"/>
  <c r="A19402" i="28"/>
  <c r="A19403" i="28"/>
  <c r="A19404" i="28"/>
  <c r="A19405" i="28"/>
  <c r="A19406" i="28"/>
  <c r="A19407" i="28"/>
  <c r="A19408" i="28"/>
  <c r="A19409" i="28"/>
  <c r="A19410" i="28"/>
  <c r="A19411" i="28"/>
  <c r="A19412" i="28"/>
  <c r="A19413" i="28"/>
  <c r="A19414" i="28"/>
  <c r="A19415" i="28"/>
  <c r="A19416" i="28"/>
  <c r="A19417" i="28"/>
  <c r="A19418" i="28"/>
  <c r="A19419" i="28"/>
  <c r="A19420" i="28"/>
  <c r="A19421" i="28"/>
  <c r="A19422" i="28"/>
  <c r="A19423" i="28"/>
  <c r="A19424" i="28"/>
  <c r="A19425" i="28"/>
  <c r="A19426" i="28"/>
  <c r="A19427" i="28"/>
  <c r="A19428" i="28"/>
  <c r="A19429" i="28"/>
  <c r="A19430" i="28"/>
  <c r="A19431" i="28"/>
  <c r="A19432" i="28"/>
  <c r="A19433" i="28"/>
  <c r="A19434" i="28"/>
  <c r="A19435" i="28"/>
  <c r="A19436" i="28"/>
  <c r="A19437" i="28"/>
  <c r="A19438" i="28"/>
  <c r="A19439" i="28"/>
  <c r="A19440" i="28"/>
  <c r="A19441" i="28"/>
  <c r="A19442" i="28"/>
  <c r="A19443" i="28"/>
  <c r="A19444" i="28"/>
  <c r="A19445" i="28"/>
  <c r="A19446" i="28"/>
  <c r="A19447" i="28"/>
  <c r="A19448" i="28"/>
  <c r="A19449" i="28"/>
  <c r="A19450" i="28"/>
  <c r="A19451" i="28"/>
  <c r="A19452" i="28"/>
  <c r="A19453" i="28"/>
  <c r="A19454" i="28"/>
  <c r="A19455" i="28"/>
  <c r="A19456" i="28"/>
  <c r="A19457" i="28"/>
  <c r="A19458" i="28"/>
  <c r="A19459" i="28"/>
  <c r="A19460" i="28"/>
  <c r="A19461" i="28"/>
  <c r="A19462" i="28"/>
  <c r="A19463" i="28"/>
  <c r="A19464" i="28"/>
  <c r="A19465" i="28"/>
  <c r="A19466" i="28"/>
  <c r="A19467" i="28"/>
  <c r="A19468" i="28"/>
  <c r="A19469" i="28"/>
  <c r="A19470" i="28"/>
  <c r="A19471" i="28"/>
  <c r="A19472" i="28"/>
  <c r="A19473" i="28"/>
  <c r="A19474" i="28"/>
  <c r="A19475" i="28"/>
  <c r="A19476" i="28"/>
  <c r="A19477" i="28"/>
  <c r="A19478" i="28"/>
  <c r="A19479" i="28"/>
  <c r="A19480" i="28"/>
  <c r="A19481" i="28"/>
  <c r="A19482" i="28"/>
  <c r="A19483" i="28"/>
  <c r="A19484" i="28"/>
  <c r="A19485" i="28"/>
  <c r="A19486" i="28"/>
  <c r="A19487" i="28"/>
  <c r="A19488" i="28"/>
  <c r="A19489" i="28"/>
  <c r="A19490" i="28"/>
  <c r="A19491" i="28"/>
  <c r="A19492" i="28"/>
  <c r="A19493" i="28"/>
  <c r="A19494" i="28"/>
  <c r="A19495" i="28"/>
  <c r="A19496" i="28"/>
  <c r="A19497" i="28"/>
  <c r="A19498" i="28"/>
  <c r="A19499" i="28"/>
  <c r="A19500" i="28"/>
  <c r="A19501" i="28"/>
  <c r="A19502" i="28"/>
  <c r="A19503" i="28"/>
  <c r="A19504" i="28"/>
  <c r="A19505" i="28"/>
  <c r="A19506" i="28"/>
  <c r="A19507" i="28"/>
  <c r="A19508" i="28"/>
  <c r="A19509" i="28"/>
  <c r="A19510" i="28"/>
  <c r="A19511" i="28"/>
  <c r="A19512" i="28"/>
  <c r="A19513" i="28"/>
  <c r="A19514" i="28"/>
  <c r="A19515" i="28"/>
  <c r="A19516" i="28"/>
  <c r="A19517" i="28"/>
  <c r="A19518" i="28"/>
  <c r="A19519" i="28"/>
  <c r="A19520" i="28"/>
  <c r="A19521" i="28"/>
  <c r="A19522" i="28"/>
  <c r="A19523" i="28"/>
  <c r="A19524" i="28"/>
  <c r="A19525" i="28"/>
  <c r="A19526" i="28"/>
  <c r="A19527" i="28"/>
  <c r="A19528" i="28"/>
  <c r="A19529" i="28"/>
  <c r="A19530" i="28"/>
  <c r="A19531" i="28"/>
  <c r="A19532" i="28"/>
  <c r="A19533" i="28"/>
  <c r="A19534" i="28"/>
  <c r="A19535" i="28"/>
  <c r="A19536" i="28"/>
  <c r="A19537" i="28"/>
  <c r="A19538" i="28"/>
  <c r="A19539" i="28"/>
  <c r="A19540" i="28"/>
  <c r="A19541" i="28"/>
  <c r="A19542" i="28"/>
  <c r="A19543" i="28"/>
  <c r="A19544" i="28"/>
  <c r="A19545" i="28"/>
  <c r="A19546" i="28"/>
  <c r="A19547" i="28"/>
  <c r="A19548" i="28"/>
  <c r="A19549" i="28"/>
  <c r="A19550" i="28"/>
  <c r="A19551" i="28"/>
  <c r="A19552" i="28"/>
  <c r="A19553" i="28"/>
  <c r="A19554" i="28"/>
  <c r="A19555" i="28"/>
  <c r="A19556" i="28"/>
  <c r="A19557" i="28"/>
  <c r="A19558" i="28"/>
  <c r="A19559" i="28"/>
  <c r="A19560" i="28"/>
  <c r="A19561" i="28"/>
  <c r="A19562" i="28"/>
  <c r="A19563" i="28"/>
  <c r="A19564" i="28"/>
  <c r="A19565" i="28"/>
  <c r="A19566" i="28"/>
  <c r="A19567" i="28"/>
  <c r="A19568" i="28"/>
  <c r="A19569" i="28"/>
  <c r="A19570" i="28"/>
  <c r="A19571" i="28"/>
  <c r="A19572" i="28"/>
  <c r="A19573" i="28"/>
  <c r="A19574" i="28"/>
  <c r="A19575" i="28"/>
  <c r="A19576" i="28"/>
  <c r="A19577" i="28"/>
  <c r="A19578" i="28"/>
  <c r="A19579" i="28"/>
  <c r="A19580" i="28"/>
  <c r="A19581" i="28"/>
  <c r="A19582" i="28"/>
  <c r="A19583" i="28"/>
  <c r="A19584" i="28"/>
  <c r="A19585" i="28"/>
  <c r="A19586" i="28"/>
  <c r="A19587" i="28"/>
  <c r="A19588" i="28"/>
  <c r="A19589" i="28"/>
  <c r="A19590" i="28"/>
  <c r="A19591" i="28"/>
  <c r="A19592" i="28"/>
  <c r="A19593" i="28"/>
  <c r="A19594" i="28"/>
  <c r="A19595" i="28"/>
  <c r="A19596" i="28"/>
  <c r="A19597" i="28"/>
  <c r="A19598" i="28"/>
  <c r="A19599" i="28"/>
  <c r="A19600" i="28"/>
  <c r="A19601" i="28"/>
  <c r="A19602" i="28"/>
  <c r="A19603" i="28"/>
  <c r="A19604" i="28"/>
  <c r="A19605" i="28"/>
  <c r="A19606" i="28"/>
  <c r="A19607" i="28"/>
  <c r="A19608" i="28"/>
  <c r="A19609" i="28"/>
  <c r="A19610" i="28"/>
  <c r="A19611" i="28"/>
  <c r="A19612" i="28"/>
  <c r="A19613" i="28"/>
  <c r="A19614" i="28"/>
  <c r="A19615" i="28"/>
  <c r="A19616" i="28"/>
  <c r="A19617" i="28"/>
  <c r="A19618" i="28"/>
  <c r="A19619" i="28"/>
  <c r="A19620" i="28"/>
  <c r="A19621" i="28"/>
  <c r="A19622" i="28"/>
  <c r="A19623" i="28"/>
  <c r="A19624" i="28"/>
  <c r="A19625" i="28"/>
  <c r="A19626" i="28"/>
  <c r="A19627" i="28"/>
  <c r="A19628" i="28"/>
  <c r="A19629" i="28"/>
  <c r="A19630" i="28"/>
  <c r="A19631" i="28"/>
  <c r="A19632" i="28"/>
  <c r="A19633" i="28"/>
  <c r="A19634" i="28"/>
  <c r="A19635" i="28"/>
  <c r="A19636" i="28"/>
  <c r="A19637" i="28"/>
  <c r="A19638" i="28"/>
  <c r="A19639" i="28"/>
  <c r="A19640" i="28"/>
  <c r="A19641" i="28"/>
  <c r="A19642" i="28"/>
  <c r="A19643" i="28"/>
  <c r="A19644" i="28"/>
  <c r="A19645" i="28"/>
  <c r="A19646" i="28"/>
  <c r="A19647" i="28"/>
  <c r="A19648" i="28"/>
  <c r="A19649" i="28"/>
  <c r="A19650" i="28"/>
  <c r="A19651" i="28"/>
  <c r="A19652" i="28"/>
  <c r="A19653" i="28"/>
  <c r="A19654" i="28"/>
  <c r="A19655" i="28"/>
  <c r="A19656" i="28"/>
  <c r="A19657" i="28"/>
  <c r="A19658" i="28"/>
  <c r="A19659" i="28"/>
  <c r="A19660" i="28"/>
  <c r="A19661" i="28"/>
  <c r="A19662" i="28"/>
  <c r="A19663" i="28"/>
  <c r="A19664" i="28"/>
  <c r="A19665" i="28"/>
  <c r="A19666" i="28"/>
  <c r="A19667" i="28"/>
  <c r="A19668" i="28"/>
  <c r="A19669" i="28"/>
  <c r="A19670" i="28"/>
  <c r="A19671" i="28"/>
  <c r="A19672" i="28"/>
  <c r="A19673" i="28"/>
  <c r="A19674" i="28"/>
  <c r="A19675" i="28"/>
  <c r="A19676" i="28"/>
  <c r="A19677" i="28"/>
  <c r="A19678" i="28"/>
  <c r="A19679" i="28"/>
  <c r="A19680" i="28"/>
  <c r="A19681" i="28"/>
  <c r="A19682" i="28"/>
  <c r="A19683" i="28"/>
  <c r="A19684" i="28"/>
  <c r="A19685" i="28"/>
  <c r="A19686" i="28"/>
  <c r="A19687" i="28"/>
  <c r="A19688" i="28"/>
  <c r="A19689" i="28"/>
  <c r="A19690" i="28"/>
  <c r="A19691" i="28"/>
  <c r="A19692" i="28"/>
  <c r="A19693" i="28"/>
  <c r="A19694" i="28"/>
  <c r="A19695" i="28"/>
  <c r="A19696" i="28"/>
  <c r="A19697" i="28"/>
  <c r="A19698" i="28"/>
  <c r="A19699" i="28"/>
  <c r="A19700" i="28"/>
  <c r="A19701" i="28"/>
  <c r="A19702" i="28"/>
  <c r="A19703" i="28"/>
  <c r="A19704" i="28"/>
  <c r="A19705" i="28"/>
  <c r="A19706" i="28"/>
  <c r="A19707" i="28"/>
  <c r="A19708" i="28"/>
  <c r="A19709" i="28"/>
  <c r="A19710" i="28"/>
  <c r="A19711" i="28"/>
  <c r="A19712" i="28"/>
  <c r="A19713" i="28"/>
  <c r="A19714" i="28"/>
  <c r="A19715" i="28"/>
  <c r="A19716" i="28"/>
  <c r="A19717" i="28"/>
  <c r="A19718" i="28"/>
  <c r="A19719" i="28"/>
  <c r="A19720" i="28"/>
  <c r="A19721" i="28"/>
  <c r="A19722" i="28"/>
  <c r="A19723" i="28"/>
  <c r="A19724" i="28"/>
  <c r="A19725" i="28"/>
  <c r="A19726" i="28"/>
  <c r="A19727" i="28"/>
  <c r="A19728" i="28"/>
  <c r="A19729" i="28"/>
  <c r="A19730" i="28"/>
  <c r="A19731" i="28"/>
  <c r="A19732" i="28"/>
  <c r="A19733" i="28"/>
  <c r="A19734" i="28"/>
  <c r="A19735" i="28"/>
  <c r="A19736" i="28"/>
  <c r="A19737" i="28"/>
  <c r="A19738" i="28"/>
  <c r="A19739" i="28"/>
  <c r="A19740" i="28"/>
  <c r="A19741" i="28"/>
  <c r="A19742" i="28"/>
  <c r="A19743" i="28"/>
  <c r="A19744" i="28"/>
  <c r="A19745" i="28"/>
  <c r="A19746" i="28"/>
  <c r="A19747" i="28"/>
  <c r="A19748" i="28"/>
  <c r="A19749" i="28"/>
  <c r="A19750" i="28"/>
  <c r="A19751" i="28"/>
  <c r="A19752" i="28"/>
  <c r="A19753" i="28"/>
  <c r="A19754" i="28"/>
  <c r="A19755" i="28"/>
  <c r="A19756" i="28"/>
  <c r="A19757" i="28"/>
  <c r="A19758" i="28"/>
  <c r="A19759" i="28"/>
  <c r="A19760" i="28"/>
  <c r="A19761" i="28"/>
  <c r="A19762" i="28"/>
  <c r="A19763" i="28"/>
  <c r="A19764" i="28"/>
  <c r="A19765" i="28"/>
  <c r="A19766" i="28"/>
  <c r="A19767" i="28"/>
  <c r="A19768" i="28"/>
  <c r="A19769" i="28"/>
  <c r="A19770" i="28"/>
  <c r="A19771" i="28"/>
  <c r="A19772" i="28"/>
  <c r="A19773" i="28"/>
  <c r="A19774" i="28"/>
  <c r="A19775" i="28"/>
  <c r="A19776" i="28"/>
  <c r="A19777" i="28"/>
  <c r="A19778" i="28"/>
  <c r="A19779" i="28"/>
  <c r="A19780" i="28"/>
  <c r="A19781" i="28"/>
  <c r="A19782" i="28"/>
  <c r="A19783" i="28"/>
  <c r="A19784" i="28"/>
  <c r="A19785" i="28"/>
  <c r="A19786" i="28"/>
  <c r="A19787" i="28"/>
  <c r="A19788" i="28"/>
  <c r="A19789" i="28"/>
  <c r="A19790" i="28"/>
  <c r="A19791" i="28"/>
  <c r="A19792" i="28"/>
  <c r="A19793" i="28"/>
  <c r="A19794" i="28"/>
  <c r="A19795" i="28"/>
  <c r="A19796" i="28"/>
  <c r="A19797" i="28"/>
  <c r="A19798" i="28"/>
  <c r="A19799" i="28"/>
  <c r="A19800" i="28"/>
  <c r="A19801" i="28"/>
  <c r="A19802" i="28"/>
  <c r="A19803" i="28"/>
  <c r="A19804" i="28"/>
  <c r="A19805" i="28"/>
  <c r="A19806" i="28"/>
  <c r="A19807" i="28"/>
  <c r="A19808" i="28"/>
  <c r="A19809" i="28"/>
  <c r="A19810" i="28"/>
  <c r="A19811" i="28"/>
  <c r="A19812" i="28"/>
  <c r="A19813" i="28"/>
  <c r="A19814" i="28"/>
  <c r="A19815" i="28"/>
  <c r="A19816" i="28"/>
  <c r="A19817" i="28"/>
  <c r="A19818" i="28"/>
  <c r="A19819" i="28"/>
  <c r="A19820" i="28"/>
  <c r="A19821" i="28"/>
  <c r="A19822" i="28"/>
  <c r="A19823" i="28"/>
  <c r="A19824" i="28"/>
  <c r="A19825" i="28"/>
  <c r="A19826" i="28"/>
  <c r="A19827" i="28"/>
  <c r="A19828" i="28"/>
  <c r="A19829" i="28"/>
  <c r="A19830" i="28"/>
  <c r="A19831" i="28"/>
  <c r="A19832" i="28"/>
  <c r="A19833" i="28"/>
  <c r="A19834" i="28"/>
  <c r="A19835" i="28"/>
  <c r="A19836" i="28"/>
  <c r="A19837" i="28"/>
  <c r="A19838" i="28"/>
  <c r="A19839" i="28"/>
  <c r="A19840" i="28"/>
  <c r="A19841" i="28"/>
  <c r="A19842" i="28"/>
  <c r="A19843" i="28"/>
  <c r="A19844" i="28"/>
  <c r="A19845" i="28"/>
  <c r="A19846" i="28"/>
  <c r="A19847" i="28"/>
  <c r="A19848" i="28"/>
  <c r="A19849" i="28"/>
  <c r="A19850" i="28"/>
  <c r="A19851" i="28"/>
  <c r="A19852" i="28"/>
  <c r="A19853" i="28"/>
  <c r="A19854" i="28"/>
  <c r="A19855" i="28"/>
  <c r="A19856" i="28"/>
  <c r="A19857" i="28"/>
  <c r="A19858" i="28"/>
  <c r="A19859" i="28"/>
  <c r="A19860" i="28"/>
  <c r="A19861" i="28"/>
  <c r="A19862" i="28"/>
  <c r="A19863" i="28"/>
  <c r="A19864" i="28"/>
  <c r="A19865" i="28"/>
  <c r="A19866" i="28"/>
  <c r="A19867" i="28"/>
  <c r="A19868" i="28"/>
  <c r="A19869" i="28"/>
  <c r="A19870" i="28"/>
  <c r="A19871" i="28"/>
  <c r="A19872" i="28"/>
  <c r="A19873" i="28"/>
  <c r="A19874" i="28"/>
  <c r="A19875" i="28"/>
  <c r="A19876" i="28"/>
  <c r="A19877" i="28"/>
  <c r="A19878" i="28"/>
  <c r="A19879" i="28"/>
  <c r="A19880" i="28"/>
  <c r="A19881" i="28"/>
  <c r="A19882" i="28"/>
  <c r="A19883" i="28"/>
  <c r="A19884" i="28"/>
  <c r="A19885" i="28"/>
  <c r="A19886" i="28"/>
  <c r="A19887" i="28"/>
  <c r="A19888" i="28"/>
  <c r="A19889" i="28"/>
  <c r="A19890" i="28"/>
  <c r="A19891" i="28"/>
  <c r="A19892" i="28"/>
  <c r="A19893" i="28"/>
  <c r="A19894" i="28"/>
  <c r="A19895" i="28"/>
  <c r="A19896" i="28"/>
  <c r="A19897" i="28"/>
  <c r="A19898" i="28"/>
  <c r="A19899" i="28"/>
  <c r="A19900" i="28"/>
  <c r="A19901" i="28"/>
  <c r="A19902" i="28"/>
  <c r="A19903" i="28"/>
  <c r="A19904" i="28"/>
  <c r="A19905" i="28"/>
  <c r="A19906" i="28"/>
  <c r="A19907" i="28"/>
  <c r="A19908" i="28"/>
  <c r="A19909" i="28"/>
  <c r="A19910" i="28"/>
  <c r="A19911" i="28"/>
  <c r="A19912" i="28"/>
  <c r="A19913" i="28"/>
  <c r="A19914" i="28"/>
  <c r="A19915" i="28"/>
  <c r="A19916" i="28"/>
  <c r="A19917" i="28"/>
  <c r="A19918" i="28"/>
  <c r="A19919" i="28"/>
  <c r="A19920" i="28"/>
  <c r="A19921" i="28"/>
  <c r="A19922" i="28"/>
  <c r="A19923" i="28"/>
  <c r="A19924" i="28"/>
  <c r="A19925" i="28"/>
  <c r="A19926" i="28"/>
  <c r="A19927" i="28"/>
  <c r="A19928" i="28"/>
  <c r="A19929" i="28"/>
  <c r="A19930" i="28"/>
  <c r="A19931" i="28"/>
  <c r="A19932" i="28"/>
  <c r="A19933" i="28"/>
  <c r="A19934" i="28"/>
  <c r="A19935" i="28"/>
  <c r="A19936" i="28"/>
  <c r="A19937" i="28"/>
  <c r="A19938" i="28"/>
  <c r="A19939" i="28"/>
  <c r="A19940" i="28"/>
  <c r="A19941" i="28"/>
  <c r="A19942" i="28"/>
  <c r="A19943" i="28"/>
  <c r="A19944" i="28"/>
  <c r="A19945" i="28"/>
  <c r="A19946" i="28"/>
  <c r="A19947" i="28"/>
  <c r="A19948" i="28"/>
  <c r="A19949" i="28"/>
  <c r="A19950" i="28"/>
  <c r="A19951" i="28"/>
  <c r="A19952" i="28"/>
  <c r="A19953" i="28"/>
  <c r="A19954" i="28"/>
  <c r="A19955" i="28"/>
  <c r="A19956" i="28"/>
  <c r="A19957" i="28"/>
  <c r="A19958" i="28"/>
  <c r="A19959" i="28"/>
  <c r="A19960" i="28"/>
  <c r="A19961" i="28"/>
  <c r="A19962" i="28"/>
  <c r="A19963" i="28"/>
  <c r="A19964" i="28"/>
  <c r="A19965" i="28"/>
  <c r="A19966" i="28"/>
  <c r="A19967" i="28"/>
  <c r="A19968" i="28"/>
  <c r="A19969" i="28"/>
  <c r="A19970" i="28"/>
  <c r="A19971" i="28"/>
  <c r="A19972" i="28"/>
  <c r="A19973" i="28"/>
  <c r="A19974" i="28"/>
  <c r="A19975" i="28"/>
  <c r="A19976" i="28"/>
  <c r="A19977" i="28"/>
  <c r="A19978" i="28"/>
  <c r="A19979" i="28"/>
  <c r="A19980" i="28"/>
  <c r="A19981" i="28"/>
  <c r="A19982" i="28"/>
  <c r="A19983" i="28"/>
  <c r="A19984" i="28"/>
  <c r="A19985" i="28"/>
  <c r="A19986" i="28"/>
  <c r="A19987" i="28"/>
  <c r="A19988" i="28"/>
  <c r="A19989" i="28"/>
  <c r="A19990" i="28"/>
  <c r="A19991" i="28"/>
  <c r="A19992" i="28"/>
  <c r="A19993" i="28"/>
  <c r="A19994" i="28"/>
  <c r="A19995" i="28"/>
  <c r="A19996" i="28"/>
  <c r="A19997" i="28"/>
  <c r="A19998" i="28"/>
  <c r="A19999" i="28"/>
  <c r="A20000" i="28"/>
  <c r="A20001" i="28"/>
  <c r="A20002" i="28"/>
  <c r="A20003" i="28"/>
  <c r="A20004" i="28"/>
  <c r="A20005" i="28"/>
  <c r="A20006" i="28"/>
  <c r="A20007" i="28"/>
  <c r="A20008" i="28"/>
  <c r="A20009" i="28"/>
  <c r="A20010" i="28"/>
  <c r="A20011" i="28"/>
  <c r="A20012" i="28"/>
  <c r="A20013" i="28"/>
  <c r="A20014" i="28"/>
  <c r="A20015" i="28"/>
  <c r="A20016" i="28"/>
  <c r="A20017" i="28"/>
  <c r="A20018" i="28"/>
  <c r="A20019" i="28"/>
  <c r="A20020" i="28"/>
  <c r="A20021" i="28"/>
  <c r="A20022" i="28"/>
  <c r="A20023" i="28"/>
  <c r="A20024" i="28"/>
  <c r="A20025" i="28"/>
  <c r="A20026" i="28"/>
  <c r="A20027" i="28"/>
  <c r="A20028" i="28"/>
  <c r="A20029" i="28"/>
  <c r="A20030" i="28"/>
  <c r="A20031" i="28"/>
  <c r="A20032" i="28"/>
  <c r="A20033" i="28"/>
  <c r="A20034" i="28"/>
  <c r="A20035" i="28"/>
  <c r="A20036" i="28"/>
  <c r="A20037" i="28"/>
  <c r="A20038" i="28"/>
  <c r="A20039" i="28"/>
  <c r="A20040" i="28"/>
  <c r="A20041" i="28"/>
  <c r="A20042" i="28"/>
  <c r="A20043" i="28"/>
  <c r="A20044" i="28"/>
  <c r="A20045" i="28"/>
  <c r="A20046" i="28"/>
  <c r="A20047" i="28"/>
  <c r="A20048" i="28"/>
  <c r="A20049" i="28"/>
  <c r="A20050" i="28"/>
  <c r="A20051" i="28"/>
  <c r="A20052" i="28"/>
  <c r="A20053" i="28"/>
  <c r="A20054" i="28"/>
  <c r="A20055" i="28"/>
  <c r="A20056" i="28"/>
  <c r="A20057" i="28"/>
  <c r="A20058" i="28"/>
  <c r="A20059" i="28"/>
  <c r="A20060" i="28"/>
  <c r="A20061" i="28"/>
  <c r="A20062" i="28"/>
  <c r="A20063" i="28"/>
  <c r="A20064" i="28"/>
  <c r="A20065" i="28"/>
  <c r="A20066" i="28"/>
  <c r="A20067" i="28"/>
  <c r="A20068" i="28"/>
  <c r="A20069" i="28"/>
  <c r="A20070" i="28"/>
  <c r="A20071" i="28"/>
  <c r="A20072" i="28"/>
  <c r="A20073" i="28"/>
  <c r="A20074" i="28"/>
  <c r="A20075" i="28"/>
  <c r="A20076" i="28"/>
  <c r="A20077" i="28"/>
  <c r="A20078" i="28"/>
  <c r="A20079" i="28"/>
  <c r="A20080" i="28"/>
  <c r="A20081" i="28"/>
  <c r="A20082" i="28"/>
  <c r="A20083" i="28"/>
  <c r="A20084" i="28"/>
  <c r="A20085" i="28"/>
  <c r="A20086" i="28"/>
  <c r="A20087" i="28"/>
  <c r="A20088" i="28"/>
  <c r="A20089" i="28"/>
  <c r="A20090" i="28"/>
  <c r="A20091" i="28"/>
  <c r="A20092" i="28"/>
  <c r="A20093" i="28"/>
  <c r="A20094" i="28"/>
  <c r="A20095" i="28"/>
  <c r="A20096" i="28"/>
  <c r="A20097" i="28"/>
  <c r="A20098" i="28"/>
  <c r="A20099" i="28"/>
  <c r="A20100" i="28"/>
  <c r="A20101" i="28"/>
  <c r="A20102" i="28"/>
  <c r="A20103" i="28"/>
  <c r="A20104" i="28"/>
  <c r="A20105" i="28"/>
  <c r="A20106" i="28"/>
  <c r="A20107" i="28"/>
  <c r="A20108" i="28"/>
  <c r="A20109" i="28"/>
  <c r="A20110" i="28"/>
  <c r="A20111" i="28"/>
  <c r="A20112" i="28"/>
  <c r="A20113" i="28"/>
  <c r="A20114" i="28"/>
  <c r="A20115" i="28"/>
  <c r="A20116" i="28"/>
  <c r="A20117" i="28"/>
  <c r="A20118" i="28"/>
  <c r="A20119" i="28"/>
  <c r="A20120" i="28"/>
  <c r="A20121" i="28"/>
  <c r="A20122" i="28"/>
  <c r="A20123" i="28"/>
  <c r="A20124" i="28"/>
  <c r="A20125" i="28"/>
  <c r="A20126" i="28"/>
  <c r="A20127" i="28"/>
  <c r="A20128" i="28"/>
  <c r="A20129" i="28"/>
  <c r="A20130" i="28"/>
  <c r="A20131" i="28"/>
  <c r="A20132" i="28"/>
  <c r="A20133" i="28"/>
  <c r="A20134" i="28"/>
  <c r="A20135" i="28"/>
  <c r="A20136" i="28"/>
  <c r="A20137" i="28"/>
  <c r="A20138" i="28"/>
  <c r="A20139" i="28"/>
  <c r="A20140" i="28"/>
  <c r="A20141" i="28"/>
  <c r="A20142" i="28"/>
  <c r="A20143" i="28"/>
  <c r="A20144" i="28"/>
  <c r="A20145" i="28"/>
  <c r="A20146" i="28"/>
  <c r="A20147" i="28"/>
  <c r="A20148" i="28"/>
  <c r="A20149" i="28"/>
  <c r="A20150" i="28"/>
  <c r="A20151" i="28"/>
  <c r="A20152" i="28"/>
  <c r="A20153" i="28"/>
  <c r="A20154" i="28"/>
  <c r="A20155" i="28"/>
  <c r="A20156" i="28"/>
  <c r="A20157" i="28"/>
  <c r="A20158" i="28"/>
  <c r="A20159" i="28"/>
  <c r="A20160" i="28"/>
  <c r="A20161" i="28"/>
  <c r="A20162" i="28"/>
  <c r="A20163" i="28"/>
  <c r="A20164" i="28"/>
  <c r="A20165" i="28"/>
  <c r="A20166" i="28"/>
  <c r="A20167" i="28"/>
  <c r="A20168" i="28"/>
  <c r="A20169" i="28"/>
  <c r="A20170" i="28"/>
  <c r="A20171" i="28"/>
  <c r="A20172" i="28"/>
  <c r="A20173" i="28"/>
  <c r="A20174" i="28"/>
  <c r="A20175" i="28"/>
  <c r="A20176" i="28"/>
  <c r="A20177" i="28"/>
  <c r="A20178" i="28"/>
  <c r="A20179" i="28"/>
  <c r="A20180" i="28"/>
  <c r="A20181" i="28"/>
  <c r="A20182" i="28"/>
  <c r="A20183" i="28"/>
  <c r="A20184" i="28"/>
  <c r="A20185" i="28"/>
  <c r="A20186" i="28"/>
  <c r="A20187" i="28"/>
  <c r="A20188" i="28"/>
  <c r="A20189" i="28"/>
  <c r="A20190" i="28"/>
  <c r="A20191" i="28"/>
  <c r="A20192" i="28"/>
  <c r="A20193" i="28"/>
  <c r="A20194" i="28"/>
  <c r="A20195" i="28"/>
  <c r="A20196" i="28"/>
  <c r="A20197" i="28"/>
  <c r="A20198" i="28"/>
  <c r="A20199" i="28"/>
  <c r="A20200" i="28"/>
  <c r="A20201" i="28"/>
  <c r="A20202" i="28"/>
  <c r="A20203" i="28"/>
  <c r="A20204" i="28"/>
  <c r="A20205" i="28"/>
  <c r="A20206" i="28"/>
  <c r="A20207" i="28"/>
  <c r="A20208" i="28"/>
  <c r="A20209" i="28"/>
  <c r="A20210" i="28"/>
  <c r="A20211" i="28"/>
  <c r="A20212" i="28"/>
  <c r="A20213" i="28"/>
  <c r="A20214" i="28"/>
  <c r="A20215" i="28"/>
  <c r="A20216" i="28"/>
  <c r="A20217" i="28"/>
  <c r="A20218" i="28"/>
  <c r="A20219" i="28"/>
  <c r="A20220" i="28"/>
  <c r="A20221" i="28"/>
  <c r="A20222" i="28"/>
  <c r="A20223" i="28"/>
  <c r="A20224" i="28"/>
  <c r="A20225" i="28"/>
  <c r="A20226" i="28"/>
  <c r="A20227" i="28"/>
  <c r="A20228" i="28"/>
  <c r="A20229" i="28"/>
  <c r="A20230" i="28"/>
  <c r="A20231" i="28"/>
  <c r="A20232" i="28"/>
  <c r="A20233" i="28"/>
  <c r="A20234" i="28"/>
  <c r="A20235" i="28"/>
  <c r="A20236" i="28"/>
  <c r="A20237" i="28"/>
  <c r="A20238" i="28"/>
  <c r="A20239" i="28"/>
  <c r="A20240" i="28"/>
  <c r="A20241" i="28"/>
  <c r="A20242" i="28"/>
  <c r="A20243" i="28"/>
  <c r="A20244" i="28"/>
  <c r="A20245" i="28"/>
  <c r="A20246" i="28"/>
  <c r="A20247" i="28"/>
  <c r="A20248" i="28"/>
  <c r="A20249" i="28"/>
  <c r="A20250" i="28"/>
  <c r="A20251" i="28"/>
  <c r="A20252" i="28"/>
  <c r="A20253" i="28"/>
  <c r="A20254" i="28"/>
  <c r="A20255" i="28"/>
  <c r="A20256" i="28"/>
  <c r="A20257" i="28"/>
  <c r="A20258" i="28"/>
  <c r="A20259" i="28"/>
  <c r="A20260" i="28"/>
  <c r="A20261" i="28"/>
  <c r="A20262" i="28"/>
  <c r="A20263" i="28"/>
  <c r="A20264" i="28"/>
  <c r="A20265" i="28"/>
  <c r="A20266" i="28"/>
  <c r="A20267" i="28"/>
  <c r="A20268" i="28"/>
  <c r="A20269" i="28"/>
  <c r="A20270" i="28"/>
  <c r="A20271" i="28"/>
  <c r="A20272" i="28"/>
  <c r="A20273" i="28"/>
  <c r="A20274" i="28"/>
  <c r="A20275" i="28"/>
  <c r="A20276" i="28"/>
  <c r="A20277" i="28"/>
  <c r="A20278" i="28"/>
  <c r="A20279" i="28"/>
  <c r="A20280" i="28"/>
  <c r="A20281" i="28"/>
  <c r="A20282" i="28"/>
  <c r="A20283" i="28"/>
  <c r="A20284" i="28"/>
  <c r="A20285" i="28"/>
  <c r="A20286" i="28"/>
  <c r="A20287" i="28"/>
  <c r="A20288" i="28"/>
  <c r="A20289" i="28"/>
  <c r="A20290" i="28"/>
  <c r="A20291" i="28"/>
  <c r="A20292" i="28"/>
  <c r="A20293" i="28"/>
  <c r="A20294" i="28"/>
  <c r="A20295" i="28"/>
  <c r="A20296" i="28"/>
  <c r="A20297" i="28"/>
  <c r="A20298" i="28"/>
  <c r="A20299" i="28"/>
  <c r="A20300" i="28"/>
  <c r="A20301" i="28"/>
  <c r="A20302" i="28"/>
  <c r="A20303" i="28"/>
  <c r="A20304" i="28"/>
  <c r="A20305" i="28"/>
  <c r="A20306" i="28"/>
  <c r="A20307" i="28"/>
  <c r="A20308" i="28"/>
  <c r="A20309" i="28"/>
  <c r="A20310" i="28"/>
  <c r="A20311" i="28"/>
  <c r="A20312" i="28"/>
  <c r="A20313" i="28"/>
  <c r="A20314" i="28"/>
  <c r="A20315" i="28"/>
  <c r="A20316" i="28"/>
  <c r="A20317" i="28"/>
  <c r="A20318" i="28"/>
  <c r="A20319" i="28"/>
  <c r="A20320" i="28"/>
  <c r="A20321" i="28"/>
  <c r="A20322" i="28"/>
  <c r="A20323" i="28"/>
  <c r="A20324" i="28"/>
  <c r="A20325" i="28"/>
  <c r="A20326" i="28"/>
  <c r="A20327" i="28"/>
  <c r="A20328" i="28"/>
  <c r="A20329" i="28"/>
  <c r="A20330" i="28"/>
  <c r="A20331" i="28"/>
  <c r="A20332" i="28"/>
  <c r="A20333" i="28"/>
  <c r="A20334" i="28"/>
  <c r="A20335" i="28"/>
  <c r="A20336" i="28"/>
  <c r="A20337" i="28"/>
  <c r="A20338" i="28"/>
  <c r="A20339" i="28"/>
  <c r="A20340" i="28"/>
  <c r="A20341" i="28"/>
  <c r="A20342" i="28"/>
  <c r="A20343" i="28"/>
  <c r="A20344" i="28"/>
  <c r="A20345" i="28"/>
  <c r="A20346" i="28"/>
  <c r="A20347" i="28"/>
  <c r="A20348" i="28"/>
  <c r="A20349" i="28"/>
  <c r="A20350" i="28"/>
  <c r="A20351" i="28"/>
  <c r="A20352" i="28"/>
  <c r="A20353" i="28"/>
  <c r="A20354" i="28"/>
  <c r="A20355" i="28"/>
  <c r="A20356" i="28"/>
  <c r="A20357" i="28"/>
  <c r="A20358" i="28"/>
  <c r="A20359" i="28"/>
  <c r="A20360" i="28"/>
  <c r="A20361" i="28"/>
  <c r="A20362" i="28"/>
  <c r="A20363" i="28"/>
  <c r="A20364" i="28"/>
  <c r="A20365" i="28"/>
  <c r="A20366" i="28"/>
  <c r="A20367" i="28"/>
  <c r="A20368" i="28"/>
  <c r="A20369" i="28"/>
  <c r="A20370" i="28"/>
  <c r="A20371" i="28"/>
  <c r="A20372" i="28"/>
  <c r="A20373" i="28"/>
  <c r="A20374" i="28"/>
  <c r="A20375" i="28"/>
  <c r="A20376" i="28"/>
  <c r="A20377" i="28"/>
  <c r="A20378" i="28"/>
  <c r="A20379" i="28"/>
  <c r="A20380" i="28"/>
  <c r="A20381" i="28"/>
  <c r="A20382" i="28"/>
  <c r="A20383" i="28"/>
  <c r="A20384" i="28"/>
  <c r="A20385" i="28"/>
  <c r="A20386" i="28"/>
  <c r="A20387" i="28"/>
  <c r="A20388" i="28"/>
  <c r="A20389" i="28"/>
  <c r="A20390" i="28"/>
  <c r="A20391" i="28"/>
  <c r="A20392" i="28"/>
  <c r="A20393" i="28"/>
  <c r="A20394" i="28"/>
  <c r="A20395" i="28"/>
  <c r="A20396" i="28"/>
  <c r="A20397" i="28"/>
  <c r="A20398" i="28"/>
  <c r="A20399" i="28"/>
  <c r="A20400" i="28"/>
  <c r="A20401" i="28"/>
  <c r="A20402" i="28"/>
  <c r="A20403" i="28"/>
  <c r="A20404" i="28"/>
  <c r="A20405" i="28"/>
  <c r="A20406" i="28"/>
  <c r="A20407" i="28"/>
  <c r="A20408" i="28"/>
  <c r="A20409" i="28"/>
  <c r="A20410" i="28"/>
  <c r="A20411" i="28"/>
  <c r="A20412" i="28"/>
  <c r="A20413" i="28"/>
  <c r="A20414" i="28"/>
  <c r="A20415" i="28"/>
  <c r="A20416" i="28"/>
  <c r="A20417" i="28"/>
  <c r="A20418" i="28"/>
  <c r="A20419" i="28"/>
  <c r="A20420" i="28"/>
  <c r="A20421" i="28"/>
  <c r="A20422" i="28"/>
  <c r="A20423" i="28"/>
  <c r="A20424" i="28"/>
  <c r="A20425" i="28"/>
  <c r="A20426" i="28"/>
  <c r="A20427" i="28"/>
  <c r="A20428" i="28"/>
  <c r="A20429" i="28"/>
  <c r="A20430" i="28"/>
  <c r="A20431" i="28"/>
  <c r="A20432" i="28"/>
  <c r="A20433" i="28"/>
  <c r="A20434" i="28"/>
  <c r="A20435" i="28"/>
  <c r="A20436" i="28"/>
  <c r="A20437" i="28"/>
  <c r="A20438" i="28"/>
  <c r="A20439" i="28"/>
  <c r="A20440" i="28"/>
  <c r="A20441" i="28"/>
  <c r="A20442" i="28"/>
  <c r="A20443" i="28"/>
  <c r="A20444" i="28"/>
  <c r="A20445" i="28"/>
  <c r="A20446" i="28"/>
  <c r="A20447" i="28"/>
  <c r="A20448" i="28"/>
  <c r="A20449" i="28"/>
  <c r="A20450" i="28"/>
  <c r="A20451" i="28"/>
  <c r="A20452" i="28"/>
  <c r="A20453" i="28"/>
  <c r="A20454" i="28"/>
  <c r="A20455" i="28"/>
  <c r="A20456" i="28"/>
  <c r="A20457" i="28"/>
  <c r="A20458" i="28"/>
  <c r="A20459" i="28"/>
  <c r="A20460" i="28"/>
  <c r="A20461" i="28"/>
  <c r="A20462" i="28"/>
  <c r="A20463" i="28"/>
  <c r="A20464" i="28"/>
  <c r="A20465" i="28"/>
  <c r="A20466" i="28"/>
  <c r="A20467" i="28"/>
  <c r="A20468" i="28"/>
  <c r="A20469" i="28"/>
  <c r="A20470" i="28"/>
  <c r="A20471" i="28"/>
  <c r="A20472" i="28"/>
  <c r="A20473" i="28"/>
  <c r="A20474" i="28"/>
  <c r="A20475" i="28"/>
  <c r="A20476" i="28"/>
  <c r="A20477" i="28"/>
  <c r="A20478" i="28"/>
  <c r="A20479" i="28"/>
  <c r="A20480" i="28"/>
  <c r="A20481" i="28"/>
  <c r="A20482" i="28"/>
  <c r="A20483" i="28"/>
  <c r="A20484" i="28"/>
  <c r="A20485" i="28"/>
  <c r="A20486" i="28"/>
  <c r="A20487" i="28"/>
  <c r="A20488" i="28"/>
  <c r="A20489" i="28"/>
  <c r="A20490" i="28"/>
  <c r="A20491" i="28"/>
  <c r="A20492" i="28"/>
  <c r="A20493" i="28"/>
  <c r="A20494" i="28"/>
  <c r="A20495" i="28"/>
  <c r="A20496" i="28"/>
  <c r="A20497" i="28"/>
  <c r="A20498" i="28"/>
  <c r="A20499" i="28"/>
  <c r="A20500" i="28"/>
  <c r="A20501" i="28"/>
  <c r="A20502" i="28"/>
  <c r="A20503" i="28"/>
  <c r="A20504" i="28"/>
  <c r="A20505" i="28"/>
  <c r="A20506" i="28"/>
  <c r="A20507" i="28"/>
  <c r="A20508" i="28"/>
  <c r="A20509" i="28"/>
  <c r="A20510" i="28"/>
  <c r="A20511" i="28"/>
  <c r="A20512" i="28"/>
  <c r="A20513" i="28"/>
  <c r="A20514" i="28"/>
  <c r="A20515" i="28"/>
  <c r="A20516" i="28"/>
  <c r="A20517" i="28"/>
  <c r="A20518" i="28"/>
  <c r="A20519" i="28"/>
  <c r="A20520" i="28"/>
  <c r="A20521" i="28"/>
  <c r="A20522" i="28"/>
  <c r="A20523" i="28"/>
  <c r="A20524" i="28"/>
  <c r="A20525" i="28"/>
  <c r="A20526" i="28"/>
  <c r="A20527" i="28"/>
  <c r="A20528" i="28"/>
  <c r="A20529" i="28"/>
  <c r="A20530" i="28"/>
  <c r="A20531" i="28"/>
  <c r="A20532" i="28"/>
  <c r="A20533" i="28"/>
  <c r="A20534" i="28"/>
  <c r="A20535" i="28"/>
  <c r="A20536" i="28"/>
  <c r="A20537" i="28"/>
  <c r="A20538" i="28"/>
  <c r="A20539" i="28"/>
  <c r="A20540" i="28"/>
  <c r="A20541" i="28"/>
  <c r="A20542" i="28"/>
  <c r="A20543" i="28"/>
  <c r="A20544" i="28"/>
  <c r="A20545" i="28"/>
  <c r="A20546" i="28"/>
  <c r="A20547" i="28"/>
  <c r="A20548" i="28"/>
  <c r="A20549" i="28"/>
  <c r="A20550" i="28"/>
  <c r="A20551" i="28"/>
  <c r="A20552" i="28"/>
  <c r="A20553" i="28"/>
  <c r="A20554" i="28"/>
  <c r="A20555" i="28"/>
  <c r="A20556" i="28"/>
  <c r="A20557" i="28"/>
  <c r="A20558" i="28"/>
  <c r="A20559" i="28"/>
  <c r="A20560" i="28"/>
  <c r="A20561" i="28"/>
  <c r="A20562" i="28"/>
  <c r="A20563" i="28"/>
  <c r="A20564" i="28"/>
  <c r="A20565" i="28"/>
  <c r="A20566" i="28"/>
  <c r="A20567" i="28"/>
  <c r="A20568" i="28"/>
  <c r="A20569" i="28"/>
  <c r="A20570" i="28"/>
  <c r="A20571" i="28"/>
  <c r="A20572" i="28"/>
  <c r="A20573" i="28"/>
  <c r="A20574" i="28"/>
  <c r="A20575" i="28"/>
  <c r="A20576" i="28"/>
  <c r="A20577" i="28"/>
  <c r="A20578" i="28"/>
  <c r="A20579" i="28"/>
  <c r="A20580" i="28"/>
  <c r="A20581" i="28"/>
  <c r="A20582" i="28"/>
  <c r="A20583" i="28"/>
  <c r="A20584" i="28"/>
  <c r="A20585" i="28"/>
  <c r="A20586" i="28"/>
  <c r="A20587" i="28"/>
  <c r="A20588" i="28"/>
  <c r="A20589" i="28"/>
  <c r="A20590" i="28"/>
  <c r="A20591" i="28"/>
  <c r="A20592" i="28"/>
  <c r="A20593" i="28"/>
  <c r="A20594" i="28"/>
  <c r="A20595" i="28"/>
  <c r="A20596" i="28"/>
  <c r="A20597" i="28"/>
  <c r="A20598" i="28"/>
  <c r="A20599" i="28"/>
  <c r="A20600" i="28"/>
  <c r="A20601" i="28"/>
  <c r="A20602" i="28"/>
  <c r="A20603" i="28"/>
  <c r="A20604" i="28"/>
  <c r="A20605" i="28"/>
  <c r="A20606" i="28"/>
  <c r="A20607" i="28"/>
  <c r="A20608" i="28"/>
  <c r="A20609" i="28"/>
  <c r="A20610" i="28"/>
  <c r="A20611" i="28"/>
  <c r="A20612" i="28"/>
  <c r="A20613" i="28"/>
  <c r="A20614" i="28"/>
  <c r="A20615" i="28"/>
  <c r="A20616" i="28"/>
  <c r="A20617" i="28"/>
  <c r="A20618" i="28"/>
  <c r="A20619" i="28"/>
  <c r="A20620" i="28"/>
  <c r="A20621" i="28"/>
  <c r="A20622" i="28"/>
  <c r="A20623" i="28"/>
  <c r="A20624" i="28"/>
  <c r="A20625" i="28"/>
  <c r="A20626" i="28"/>
  <c r="A20627" i="28"/>
  <c r="A20628" i="28"/>
  <c r="A20629" i="28"/>
  <c r="A20630" i="28"/>
  <c r="A20631" i="28"/>
  <c r="A20632" i="28"/>
  <c r="A20633" i="28"/>
  <c r="A20634" i="28"/>
  <c r="A20635" i="28"/>
  <c r="A20636" i="28"/>
  <c r="A20637" i="28"/>
  <c r="A20638" i="28"/>
  <c r="A20639" i="28"/>
  <c r="A20640" i="28"/>
  <c r="A20641" i="28"/>
  <c r="A20642" i="28"/>
  <c r="A20643" i="28"/>
  <c r="A20644" i="28"/>
  <c r="A20645" i="28"/>
  <c r="A20646" i="28"/>
  <c r="A20647" i="28"/>
  <c r="A20648" i="28"/>
  <c r="A20649" i="28"/>
  <c r="A20650" i="28"/>
  <c r="A20651" i="28"/>
  <c r="A20652" i="28"/>
  <c r="A20653" i="28"/>
  <c r="A20654" i="28"/>
  <c r="A20655" i="28"/>
  <c r="A20656" i="28"/>
  <c r="A20657" i="28"/>
  <c r="A20658" i="28"/>
  <c r="A20659" i="28"/>
  <c r="A20660" i="28"/>
  <c r="A20661" i="28"/>
  <c r="A20662" i="28"/>
  <c r="A20663" i="28"/>
  <c r="A20664" i="28"/>
  <c r="A20665" i="28"/>
  <c r="A20666" i="28"/>
  <c r="A20667" i="28"/>
  <c r="A20668" i="28"/>
  <c r="A20669" i="28"/>
  <c r="A20670" i="28"/>
  <c r="A20671" i="28"/>
  <c r="A20672" i="28"/>
  <c r="A20673" i="28"/>
  <c r="A20674" i="28"/>
  <c r="A20675" i="28"/>
  <c r="A20676" i="28"/>
  <c r="A20677" i="28"/>
  <c r="A20678" i="28"/>
  <c r="A20679" i="28"/>
  <c r="A20680" i="28"/>
  <c r="A20681" i="28"/>
  <c r="A20682" i="28"/>
  <c r="A20683" i="28"/>
  <c r="A20684" i="28"/>
  <c r="A20685" i="28"/>
  <c r="A20686" i="28"/>
  <c r="A20687" i="28"/>
  <c r="A20688" i="28"/>
  <c r="A20689" i="28"/>
  <c r="A20690" i="28"/>
  <c r="A20691" i="28"/>
  <c r="A20692" i="28"/>
  <c r="A20693" i="28"/>
  <c r="A20694" i="28"/>
  <c r="A20695" i="28"/>
  <c r="A20696" i="28"/>
  <c r="A20697" i="28"/>
  <c r="A20698" i="28"/>
  <c r="A20699" i="28"/>
  <c r="A20700" i="28"/>
  <c r="A20701" i="28"/>
  <c r="A20702" i="28"/>
  <c r="A20703" i="28"/>
  <c r="A20704" i="28"/>
  <c r="A20705" i="28"/>
  <c r="A20706" i="28"/>
  <c r="A20707" i="28"/>
  <c r="A20708" i="28"/>
  <c r="A20709" i="28"/>
  <c r="A20710" i="28"/>
  <c r="A20711" i="28"/>
  <c r="A20712" i="28"/>
  <c r="A20713" i="28"/>
  <c r="A20714" i="28"/>
  <c r="A20715" i="28"/>
  <c r="A20716" i="28"/>
  <c r="A20717" i="28"/>
  <c r="A20718" i="28"/>
  <c r="A20719" i="28"/>
  <c r="A20720" i="28"/>
  <c r="A20721" i="28"/>
  <c r="A20722" i="28"/>
  <c r="A20723" i="28"/>
  <c r="A20724" i="28"/>
  <c r="A20725" i="28"/>
  <c r="A20726" i="28"/>
  <c r="A20727" i="28"/>
  <c r="A20728" i="28"/>
  <c r="A20729" i="28"/>
  <c r="A20730" i="28"/>
  <c r="A20731" i="28"/>
  <c r="A20732" i="28"/>
  <c r="A20733" i="28"/>
  <c r="A20734" i="28"/>
  <c r="A20735" i="28"/>
  <c r="A20736" i="28"/>
  <c r="A20737" i="28"/>
  <c r="A20738" i="28"/>
  <c r="A20739" i="28"/>
  <c r="A20740" i="28"/>
  <c r="A20741" i="28"/>
  <c r="A20742" i="28"/>
  <c r="A20743" i="28"/>
  <c r="A20744" i="28"/>
  <c r="A20745" i="28"/>
  <c r="A20746" i="28"/>
  <c r="A20747" i="28"/>
  <c r="A20748" i="28"/>
  <c r="A20749" i="28"/>
  <c r="A20750" i="28"/>
  <c r="A20751" i="28"/>
  <c r="A20752" i="28"/>
  <c r="A20753" i="28"/>
  <c r="A20754" i="28"/>
  <c r="A20755" i="28"/>
  <c r="A20756" i="28"/>
  <c r="A20757" i="28"/>
  <c r="A20758" i="28"/>
  <c r="A20759" i="28"/>
  <c r="A20760" i="28"/>
  <c r="A20761" i="28"/>
  <c r="A20762" i="28"/>
  <c r="A20763" i="28"/>
  <c r="A20764" i="28"/>
  <c r="A20765" i="28"/>
  <c r="A20766" i="28"/>
  <c r="A20767" i="28"/>
  <c r="A20768" i="28"/>
  <c r="A20769" i="28"/>
  <c r="A20770" i="28"/>
  <c r="A20771" i="28"/>
  <c r="A20772" i="28"/>
  <c r="A20773" i="28"/>
  <c r="A20774" i="28"/>
  <c r="A20775" i="28"/>
  <c r="A20776" i="28"/>
  <c r="A20777" i="28"/>
  <c r="A20778" i="28"/>
  <c r="A20779" i="28"/>
  <c r="A20780" i="28"/>
  <c r="A20781" i="28"/>
  <c r="A20782" i="28"/>
  <c r="A20783" i="28"/>
  <c r="A20784" i="28"/>
  <c r="A20785" i="28"/>
  <c r="A20786" i="28"/>
  <c r="A20787" i="28"/>
  <c r="A20788" i="28"/>
  <c r="A20789" i="28"/>
  <c r="A20790" i="28"/>
  <c r="A20791" i="28"/>
  <c r="A20792" i="28"/>
  <c r="A20793" i="28"/>
  <c r="A20794" i="28"/>
  <c r="A20795" i="28"/>
  <c r="A20796" i="28"/>
  <c r="A20797" i="28"/>
  <c r="A20798" i="28"/>
  <c r="A20799" i="28"/>
  <c r="A20800" i="28"/>
  <c r="A20801" i="28"/>
  <c r="A20802" i="28"/>
  <c r="A20803" i="28"/>
  <c r="A20804" i="28"/>
  <c r="A20805" i="28"/>
  <c r="A20806" i="28"/>
  <c r="A20807" i="28"/>
  <c r="A20808" i="28"/>
  <c r="A20809" i="28"/>
  <c r="A20810" i="28"/>
  <c r="A20811" i="28"/>
  <c r="A20812" i="28"/>
  <c r="A20813" i="28"/>
  <c r="A20814" i="28"/>
  <c r="A20815" i="28"/>
  <c r="A20816" i="28"/>
  <c r="A20817" i="28"/>
  <c r="A20818" i="28"/>
  <c r="A20819" i="28"/>
  <c r="A20820" i="28"/>
  <c r="A20821" i="28"/>
  <c r="A20822" i="28"/>
  <c r="A20823" i="28"/>
  <c r="A20824" i="28"/>
  <c r="A20825" i="28"/>
  <c r="A20826" i="28"/>
  <c r="A20827" i="28"/>
  <c r="A20828" i="28"/>
  <c r="A20829" i="28"/>
  <c r="A20830" i="28"/>
  <c r="A20831" i="28"/>
  <c r="A20832" i="28"/>
  <c r="A20833" i="28"/>
  <c r="A20834" i="28"/>
  <c r="A20835" i="28"/>
  <c r="A20836" i="28"/>
  <c r="A20837" i="28"/>
  <c r="A20838" i="28"/>
  <c r="A20839" i="28"/>
  <c r="A20840" i="28"/>
  <c r="A20841" i="28"/>
  <c r="A20842" i="28"/>
  <c r="A20843" i="28"/>
  <c r="A20844" i="28"/>
  <c r="A20845" i="28"/>
  <c r="A20846" i="28"/>
  <c r="A20847" i="28"/>
  <c r="A20848" i="28"/>
  <c r="A20849" i="28"/>
  <c r="A20850" i="28"/>
  <c r="A20851" i="28"/>
  <c r="A20852" i="28"/>
  <c r="A20853" i="28"/>
  <c r="A20854" i="28"/>
  <c r="A20855" i="28"/>
  <c r="A20856" i="28"/>
  <c r="A20857" i="28"/>
  <c r="A20858" i="28"/>
  <c r="A20859" i="28"/>
  <c r="A20860" i="28"/>
  <c r="A20861" i="28"/>
  <c r="A20862" i="28"/>
  <c r="A20863" i="28"/>
  <c r="A20864" i="28"/>
  <c r="A20865" i="28"/>
  <c r="A20866" i="28"/>
  <c r="A20867" i="28"/>
  <c r="A20868" i="28"/>
  <c r="A20869" i="28"/>
  <c r="A20870" i="28"/>
  <c r="A20871" i="28"/>
  <c r="A20872" i="28"/>
  <c r="A20873" i="28"/>
  <c r="A20874" i="28"/>
  <c r="A20875" i="28"/>
  <c r="A20876" i="28"/>
  <c r="A20877" i="28"/>
  <c r="A20878" i="28"/>
  <c r="A20879" i="28"/>
  <c r="A20880" i="28"/>
  <c r="A20881" i="28"/>
  <c r="A20882" i="28"/>
  <c r="A20883" i="28"/>
  <c r="A20884" i="28"/>
  <c r="A20885" i="28"/>
  <c r="A20886" i="28"/>
  <c r="A20887" i="28"/>
  <c r="A20888" i="28"/>
  <c r="A20889" i="28"/>
  <c r="A20890" i="28"/>
  <c r="A20891" i="28"/>
  <c r="A20892" i="28"/>
  <c r="A20893" i="28"/>
  <c r="A20894" i="28"/>
  <c r="A20895" i="28"/>
  <c r="A20896" i="28"/>
  <c r="A20897" i="28"/>
  <c r="A20898" i="28"/>
  <c r="A20899" i="28"/>
  <c r="A20900" i="28"/>
  <c r="A20901" i="28"/>
  <c r="A20902" i="28"/>
  <c r="A20903" i="28"/>
  <c r="A20904" i="28"/>
  <c r="A20905" i="28"/>
  <c r="A20906" i="28"/>
  <c r="A20907" i="28"/>
  <c r="A20908" i="28"/>
  <c r="A20909" i="28"/>
  <c r="A20910" i="28"/>
  <c r="A20911" i="28"/>
  <c r="A20912" i="28"/>
  <c r="A20913" i="28"/>
  <c r="A20914" i="28"/>
  <c r="A20915" i="28"/>
  <c r="A20916" i="28"/>
  <c r="A20917" i="28"/>
  <c r="A20918" i="28"/>
  <c r="A20919" i="28"/>
  <c r="A20920" i="28"/>
  <c r="A20921" i="28"/>
  <c r="A20922" i="28"/>
  <c r="A20923" i="28"/>
  <c r="A20924" i="28"/>
  <c r="A20925" i="28"/>
  <c r="A20926" i="28"/>
  <c r="A20927" i="28"/>
  <c r="A20928" i="28"/>
  <c r="A20929" i="28"/>
  <c r="A20930" i="28"/>
  <c r="A20931" i="28"/>
  <c r="A20932" i="28"/>
  <c r="A20933" i="28"/>
  <c r="A20934" i="28"/>
  <c r="A20935" i="28"/>
  <c r="A20936" i="28"/>
  <c r="A20937" i="28"/>
  <c r="A20938" i="28"/>
  <c r="A20939" i="28"/>
  <c r="A20940" i="28"/>
  <c r="A20941" i="28"/>
  <c r="A20942" i="28"/>
  <c r="A20943" i="28"/>
  <c r="A20944" i="28"/>
  <c r="A20945" i="28"/>
  <c r="A20946" i="28"/>
  <c r="A20947" i="28"/>
  <c r="A20948" i="28"/>
  <c r="A20949" i="28"/>
  <c r="A20950" i="28"/>
  <c r="A20951" i="28"/>
  <c r="A20952" i="28"/>
  <c r="A20953" i="28"/>
  <c r="A20954" i="28"/>
  <c r="A20955" i="28"/>
  <c r="A20956" i="28"/>
  <c r="A20957" i="28"/>
  <c r="A20958" i="28"/>
  <c r="A20959" i="28"/>
  <c r="A20960" i="28"/>
  <c r="A20961" i="28"/>
  <c r="A20962" i="28"/>
  <c r="A20963" i="28"/>
  <c r="A20964" i="28"/>
  <c r="A20965" i="28"/>
  <c r="A20966" i="28"/>
  <c r="A20967" i="28"/>
  <c r="A20968" i="28"/>
  <c r="A20969" i="28"/>
  <c r="A20970" i="28"/>
  <c r="A20971" i="28"/>
  <c r="A20972" i="28"/>
  <c r="A20973" i="28"/>
  <c r="A20974" i="28"/>
  <c r="A20975" i="28"/>
  <c r="A20976" i="28"/>
  <c r="A20977" i="28"/>
  <c r="A20978" i="28"/>
  <c r="A20979" i="28"/>
  <c r="A20980" i="28"/>
  <c r="A20981" i="28"/>
  <c r="A20982" i="28"/>
  <c r="A20983" i="28"/>
  <c r="A20984" i="28"/>
  <c r="A20985" i="28"/>
  <c r="A20986" i="28"/>
  <c r="A20987" i="28"/>
  <c r="A20988" i="28"/>
  <c r="A20989" i="28"/>
  <c r="A20990" i="28"/>
  <c r="A20991" i="28"/>
  <c r="A20992" i="28"/>
  <c r="A20993" i="28"/>
  <c r="A20994" i="28"/>
  <c r="A20995" i="28"/>
  <c r="A20996" i="28"/>
  <c r="A20997" i="28"/>
  <c r="A20998" i="28"/>
  <c r="A20999" i="28"/>
  <c r="A21000" i="28"/>
  <c r="A21001" i="28"/>
  <c r="A21002" i="28"/>
  <c r="A21003" i="28"/>
  <c r="A21004" i="28"/>
  <c r="A21005" i="28"/>
  <c r="A21006" i="28"/>
  <c r="A21007" i="28"/>
  <c r="A21008" i="28"/>
  <c r="A21009" i="28"/>
  <c r="A21010" i="28"/>
  <c r="A21011" i="28"/>
  <c r="A21012" i="28"/>
  <c r="A21013" i="28"/>
  <c r="A21014" i="28"/>
  <c r="A21015" i="28"/>
  <c r="A21016" i="28"/>
  <c r="A21017" i="28"/>
  <c r="A21018" i="28"/>
  <c r="A21019" i="28"/>
  <c r="A21020" i="28"/>
  <c r="A21021" i="28"/>
  <c r="A21022" i="28"/>
  <c r="A21023" i="28"/>
  <c r="A21024" i="28"/>
  <c r="A21025" i="28"/>
  <c r="A21026" i="28"/>
  <c r="A21027" i="28"/>
  <c r="A21028" i="28"/>
  <c r="A21029" i="28"/>
  <c r="A21030" i="28"/>
  <c r="A21031" i="28"/>
  <c r="A21032" i="28"/>
  <c r="A21033" i="28"/>
  <c r="A21034" i="28"/>
  <c r="A21035" i="28"/>
  <c r="A21036" i="28"/>
  <c r="A21037" i="28"/>
  <c r="A21038" i="28"/>
  <c r="A21039" i="28"/>
  <c r="A21040" i="28"/>
  <c r="A21041" i="28"/>
  <c r="A21042" i="28"/>
  <c r="A21043" i="28"/>
  <c r="A21044" i="28"/>
  <c r="A21045" i="28"/>
  <c r="A21046" i="28"/>
  <c r="A21047" i="28"/>
  <c r="A21048" i="28"/>
  <c r="A21049" i="28"/>
  <c r="A21050" i="28"/>
  <c r="A21051" i="28"/>
  <c r="A21052" i="28"/>
  <c r="A21053" i="28"/>
  <c r="A21054" i="28"/>
  <c r="A21055" i="28"/>
  <c r="A21056" i="28"/>
  <c r="A21057" i="28"/>
  <c r="A21058" i="28"/>
  <c r="A21059" i="28"/>
  <c r="A21060" i="28"/>
  <c r="A21061" i="28"/>
  <c r="A21062" i="28"/>
  <c r="A21063" i="28"/>
  <c r="A21064" i="28"/>
  <c r="A21065" i="28"/>
  <c r="A21066" i="28"/>
  <c r="A21067" i="28"/>
  <c r="A21068" i="28"/>
  <c r="A21069" i="28"/>
  <c r="A21070" i="28"/>
  <c r="A21071" i="28"/>
  <c r="A21072" i="28"/>
  <c r="A21073" i="28"/>
  <c r="A21074" i="28"/>
  <c r="A21075" i="28"/>
  <c r="A21076" i="28"/>
  <c r="A21077" i="28"/>
  <c r="A21078" i="28"/>
  <c r="A21079" i="28"/>
  <c r="A21080" i="28"/>
  <c r="A21081" i="28"/>
  <c r="A21082" i="28"/>
  <c r="A21083" i="28"/>
  <c r="A21084" i="28"/>
  <c r="A21085" i="28"/>
  <c r="A21086" i="28"/>
  <c r="A21087" i="28"/>
  <c r="A21088" i="28"/>
  <c r="A21089" i="28"/>
  <c r="A21090" i="28"/>
  <c r="A21091" i="28"/>
  <c r="A21092" i="28"/>
  <c r="A21093" i="28"/>
  <c r="A21094" i="28"/>
  <c r="A21095" i="28"/>
  <c r="A21096" i="28"/>
  <c r="A21097" i="28"/>
  <c r="A21098" i="28"/>
  <c r="A21099" i="28"/>
  <c r="A21100" i="28"/>
  <c r="A21101" i="28"/>
  <c r="A21102" i="28"/>
  <c r="A21103" i="28"/>
  <c r="A21104" i="28"/>
  <c r="A21105" i="28"/>
  <c r="A21106" i="28"/>
  <c r="A21107" i="28"/>
  <c r="A21108" i="28"/>
  <c r="A21109" i="28"/>
  <c r="A21110" i="28"/>
  <c r="A21111" i="28"/>
  <c r="A21112" i="28"/>
  <c r="A21113" i="28"/>
  <c r="A21114" i="28"/>
  <c r="A21115" i="28"/>
  <c r="A21116" i="28"/>
  <c r="A21117" i="28"/>
  <c r="A21118" i="28"/>
  <c r="A21119" i="28"/>
  <c r="A21120" i="28"/>
  <c r="A21121" i="28"/>
  <c r="A21122" i="28"/>
  <c r="A21123" i="28"/>
  <c r="A21124" i="28"/>
  <c r="A21125" i="28"/>
  <c r="A21126" i="28"/>
  <c r="A21127" i="28"/>
  <c r="A21128" i="28"/>
  <c r="A21129" i="28"/>
  <c r="A21130" i="28"/>
  <c r="A21131" i="28"/>
  <c r="A21132" i="28"/>
  <c r="A21133" i="28"/>
  <c r="A21134" i="28"/>
  <c r="A21135" i="28"/>
  <c r="A21136" i="28"/>
  <c r="A21137" i="28"/>
  <c r="A21138" i="28"/>
  <c r="A21139" i="28"/>
  <c r="A21140" i="28"/>
  <c r="A21141" i="28"/>
  <c r="A21142" i="28"/>
  <c r="A21143" i="28"/>
  <c r="A21144" i="28"/>
  <c r="A21145" i="28"/>
  <c r="A21146" i="28"/>
  <c r="A21147" i="28"/>
  <c r="A21148" i="28"/>
  <c r="A21149" i="28"/>
  <c r="A21150" i="28"/>
  <c r="A21151" i="28"/>
  <c r="A21152" i="28"/>
  <c r="A21153" i="28"/>
  <c r="A21154" i="28"/>
  <c r="A21155" i="28"/>
  <c r="A21156" i="28"/>
  <c r="A21157" i="28"/>
  <c r="A21158" i="28"/>
  <c r="A21159" i="28"/>
  <c r="A21160" i="28"/>
  <c r="A21161" i="28"/>
  <c r="A21162" i="28"/>
  <c r="A21163" i="28"/>
  <c r="A21164" i="28"/>
  <c r="A21165" i="28"/>
  <c r="A21166" i="28"/>
  <c r="A21167" i="28"/>
  <c r="A21168" i="28"/>
  <c r="A21169" i="28"/>
  <c r="A21170" i="28"/>
  <c r="A21171" i="28"/>
  <c r="A21172" i="28"/>
  <c r="A21173" i="28"/>
  <c r="A21174" i="28"/>
  <c r="A21175" i="28"/>
  <c r="A21176" i="28"/>
  <c r="A21177" i="28"/>
  <c r="A21178" i="28"/>
  <c r="A21179" i="28"/>
  <c r="A21180" i="28"/>
  <c r="A21181" i="28"/>
  <c r="A21182" i="28"/>
  <c r="A21183" i="28"/>
  <c r="A21184" i="28"/>
  <c r="A21185" i="28"/>
  <c r="A21186" i="28"/>
  <c r="A21187" i="28"/>
  <c r="A21188" i="28"/>
  <c r="A21189" i="28"/>
  <c r="A21190" i="28"/>
  <c r="A21191" i="28"/>
  <c r="A21192" i="28"/>
  <c r="A21193" i="28"/>
  <c r="A21194" i="28"/>
  <c r="A21195" i="28"/>
  <c r="A21196" i="28"/>
  <c r="A21197" i="28"/>
  <c r="A21198" i="28"/>
  <c r="A21199" i="28"/>
  <c r="A21200" i="28"/>
  <c r="A21201" i="28"/>
  <c r="A21202" i="28"/>
  <c r="A21203" i="28"/>
  <c r="A21204" i="28"/>
  <c r="A21205" i="28"/>
  <c r="A21206" i="28"/>
  <c r="A21207" i="28"/>
  <c r="A21208" i="28"/>
  <c r="A21209" i="28"/>
  <c r="A21210" i="28"/>
  <c r="A21211" i="28"/>
  <c r="A21212" i="28"/>
  <c r="A21213" i="28"/>
  <c r="A21214" i="28"/>
  <c r="A21215" i="28"/>
  <c r="A21216" i="28"/>
  <c r="A21217" i="28"/>
  <c r="A21218" i="28"/>
  <c r="A21219" i="28"/>
  <c r="A21220" i="28"/>
  <c r="A21221" i="28"/>
  <c r="A21222" i="28"/>
  <c r="A21223" i="28"/>
  <c r="A21224" i="28"/>
  <c r="A21225" i="28"/>
  <c r="A21226" i="28"/>
  <c r="A21227" i="28"/>
  <c r="A21228" i="28"/>
  <c r="A21229" i="28"/>
  <c r="A21230" i="28"/>
  <c r="A21231" i="28"/>
  <c r="A21232" i="28"/>
  <c r="A21233" i="28"/>
  <c r="A21234" i="28"/>
  <c r="A21235" i="28"/>
  <c r="A21236" i="28"/>
  <c r="A21237" i="28"/>
  <c r="A21238" i="28"/>
  <c r="A21239" i="28"/>
  <c r="A21240" i="28"/>
  <c r="A21241" i="28"/>
  <c r="A21242" i="28"/>
  <c r="A21243" i="28"/>
  <c r="A21244" i="28"/>
  <c r="A21245" i="28"/>
  <c r="A21246" i="28"/>
  <c r="A21247" i="28"/>
  <c r="A21248" i="28"/>
  <c r="A21249" i="28"/>
  <c r="A21250" i="28"/>
  <c r="A21251" i="28"/>
  <c r="A21252" i="28"/>
  <c r="A21253" i="28"/>
  <c r="A21254" i="28"/>
  <c r="A21255" i="28"/>
  <c r="A21256" i="28"/>
  <c r="A21257" i="28"/>
  <c r="A21258" i="28"/>
  <c r="A21259" i="28"/>
  <c r="A21260" i="28"/>
  <c r="A21261" i="28"/>
  <c r="A21262" i="28"/>
  <c r="A21263" i="28"/>
  <c r="A21264" i="28"/>
  <c r="A21265" i="28"/>
  <c r="A21266" i="28"/>
  <c r="A21267" i="28"/>
  <c r="A21268" i="28"/>
  <c r="A21269" i="28"/>
  <c r="A21270" i="28"/>
  <c r="A21271" i="28"/>
  <c r="A21272" i="28"/>
  <c r="A21273" i="28"/>
  <c r="A21274" i="28"/>
  <c r="A21275" i="28"/>
  <c r="A21276" i="28"/>
  <c r="A21277" i="28"/>
  <c r="A21278" i="28"/>
  <c r="A21279" i="28"/>
  <c r="A21280" i="28"/>
  <c r="A21281" i="28"/>
  <c r="A21282" i="28"/>
  <c r="A21283" i="28"/>
  <c r="A21284" i="28"/>
  <c r="A21285" i="28"/>
  <c r="A21286" i="28"/>
  <c r="A21287" i="28"/>
  <c r="A21288" i="28"/>
  <c r="A21289" i="28"/>
  <c r="A21290" i="28"/>
  <c r="A21291" i="28"/>
  <c r="A21292" i="28"/>
  <c r="A21293" i="28"/>
  <c r="A21294" i="28"/>
  <c r="A21295" i="28"/>
  <c r="A21296" i="28"/>
  <c r="A21297" i="28"/>
  <c r="A21298" i="28"/>
  <c r="A21299" i="28"/>
  <c r="A21300" i="28"/>
  <c r="A21301" i="28"/>
  <c r="A21302" i="28"/>
  <c r="A21303" i="28"/>
  <c r="A21304" i="28"/>
  <c r="A21305" i="28"/>
  <c r="A21306" i="28"/>
  <c r="A21307" i="28"/>
  <c r="A21308" i="28"/>
  <c r="A21309" i="28"/>
  <c r="A21310" i="28"/>
  <c r="A21311" i="28"/>
  <c r="A21312" i="28"/>
  <c r="A21313" i="28"/>
  <c r="A21314" i="28"/>
  <c r="A21315" i="28"/>
  <c r="A21316" i="28"/>
  <c r="A21317" i="28"/>
  <c r="A21318" i="28"/>
  <c r="A21319" i="28"/>
  <c r="A21320" i="28"/>
  <c r="A21321" i="28"/>
  <c r="A21322" i="28"/>
  <c r="A21323" i="28"/>
  <c r="A21324" i="28"/>
  <c r="A21325" i="28"/>
  <c r="A21326" i="28"/>
  <c r="A21327" i="28"/>
  <c r="A21328" i="28"/>
  <c r="A21329" i="28"/>
  <c r="A21330" i="28"/>
  <c r="A21331" i="28"/>
  <c r="A21332" i="28"/>
  <c r="A21333" i="28"/>
  <c r="A21334" i="28"/>
  <c r="A21335" i="28"/>
  <c r="A21336" i="28"/>
  <c r="A21337" i="28"/>
  <c r="A21338" i="28"/>
  <c r="A21339" i="28"/>
  <c r="A21340" i="28"/>
  <c r="A21341" i="28"/>
  <c r="A21342" i="28"/>
  <c r="A21343" i="28"/>
  <c r="A21344" i="28"/>
  <c r="A21345" i="28"/>
  <c r="A21346" i="28"/>
  <c r="A21347" i="28"/>
  <c r="A21348" i="28"/>
  <c r="A21349" i="28"/>
  <c r="A21350" i="28"/>
  <c r="A21351" i="28"/>
  <c r="A21352" i="28"/>
  <c r="A21353" i="28"/>
  <c r="A21354" i="28"/>
  <c r="A21355" i="28"/>
  <c r="A21356" i="28"/>
  <c r="A21357" i="28"/>
  <c r="A21358" i="28"/>
  <c r="A21359" i="28"/>
  <c r="A21360" i="28"/>
  <c r="A21361" i="28"/>
  <c r="A21362" i="28"/>
  <c r="A21363" i="28"/>
  <c r="A21364" i="28"/>
  <c r="A21365" i="28"/>
  <c r="A21366" i="28"/>
  <c r="A21367" i="28"/>
  <c r="A21368" i="28"/>
  <c r="A21369" i="28"/>
  <c r="A21370" i="28"/>
  <c r="A21371" i="28"/>
  <c r="A21372" i="28"/>
  <c r="A21373" i="28"/>
  <c r="A21374" i="28"/>
  <c r="A21375" i="28"/>
  <c r="A21376" i="28"/>
  <c r="A21377" i="28"/>
  <c r="A21378" i="28"/>
  <c r="A21379" i="28"/>
  <c r="A21380" i="28"/>
  <c r="A21381" i="28"/>
  <c r="A21382" i="28"/>
  <c r="A21383" i="28"/>
  <c r="A21384" i="28"/>
  <c r="A21385" i="28"/>
  <c r="A21386" i="28"/>
  <c r="A21387" i="28"/>
  <c r="A21388" i="28"/>
  <c r="A21389" i="28"/>
  <c r="A21390" i="28"/>
  <c r="A21391" i="28"/>
  <c r="A21392" i="28"/>
  <c r="A21393" i="28"/>
  <c r="A21394" i="28"/>
  <c r="A21395" i="28"/>
  <c r="A21396" i="28"/>
  <c r="A21397" i="28"/>
  <c r="A21398" i="28"/>
  <c r="A21399" i="28"/>
  <c r="A21400" i="28"/>
  <c r="A21401" i="28"/>
  <c r="A21402" i="28"/>
  <c r="A21403" i="28"/>
  <c r="A21404" i="28"/>
  <c r="A21405" i="28"/>
  <c r="A21406" i="28"/>
  <c r="A21407" i="28"/>
  <c r="A21408" i="28"/>
  <c r="A21409" i="28"/>
  <c r="A21410" i="28"/>
  <c r="A21411" i="28"/>
  <c r="A21412" i="28"/>
  <c r="A21413" i="28"/>
  <c r="A21414" i="28"/>
  <c r="A21415" i="28"/>
  <c r="A21416" i="28"/>
  <c r="A21417" i="28"/>
  <c r="A21418" i="28"/>
  <c r="A21419" i="28"/>
  <c r="A21420" i="28"/>
  <c r="A21421" i="28"/>
  <c r="A21422" i="28"/>
  <c r="A21423" i="28"/>
  <c r="A21424" i="28"/>
  <c r="A21425" i="28"/>
  <c r="A21426" i="28"/>
  <c r="A21427" i="28"/>
  <c r="A21428" i="28"/>
  <c r="A21429" i="28"/>
  <c r="A21430" i="28"/>
  <c r="A21431" i="28"/>
  <c r="A21432" i="28"/>
  <c r="A21433" i="28"/>
  <c r="A21434" i="28"/>
  <c r="A21435" i="28"/>
  <c r="A21436" i="28"/>
  <c r="A21437" i="28"/>
  <c r="A21438" i="28"/>
  <c r="A21439" i="28"/>
  <c r="A21440" i="28"/>
  <c r="A21441" i="28"/>
  <c r="A21442" i="28"/>
  <c r="A21443" i="28"/>
  <c r="A21444" i="28"/>
  <c r="A21445" i="28"/>
  <c r="A21446" i="28"/>
  <c r="A21447" i="28"/>
  <c r="A21448" i="28"/>
  <c r="A21449" i="28"/>
  <c r="A21450" i="28"/>
  <c r="A21451" i="28"/>
  <c r="A21452" i="28"/>
  <c r="A21453" i="28"/>
  <c r="A21454" i="28"/>
  <c r="A21455" i="28"/>
  <c r="A21456" i="28"/>
  <c r="A21457" i="28"/>
  <c r="A21458" i="28"/>
  <c r="A21459" i="28"/>
  <c r="A21460" i="28"/>
  <c r="A21461" i="28"/>
  <c r="A21462" i="28"/>
  <c r="A21463" i="28"/>
  <c r="A21464" i="28"/>
  <c r="A21465" i="28"/>
  <c r="A21466" i="28"/>
  <c r="A21467" i="28"/>
  <c r="A21468" i="28"/>
  <c r="A21469" i="28"/>
  <c r="A21470" i="28"/>
  <c r="A21471" i="28"/>
  <c r="A21472" i="28"/>
  <c r="A21473" i="28"/>
  <c r="A21474" i="28"/>
  <c r="A21475" i="28"/>
  <c r="A21476" i="28"/>
  <c r="A21477" i="28"/>
  <c r="A21478" i="28"/>
  <c r="A21479" i="28"/>
  <c r="A21480" i="28"/>
  <c r="A21481" i="28"/>
  <c r="A21482" i="28"/>
  <c r="A21483" i="28"/>
  <c r="A21484" i="28"/>
  <c r="A21485" i="28"/>
  <c r="A21486" i="28"/>
  <c r="A21487" i="28"/>
  <c r="A21488" i="28"/>
  <c r="A21489" i="28"/>
  <c r="A21490" i="28"/>
  <c r="A21491" i="28"/>
  <c r="A21492" i="28"/>
  <c r="A21493" i="28"/>
  <c r="A21494" i="28"/>
  <c r="A21495" i="28"/>
  <c r="A21496" i="28"/>
  <c r="A21497" i="28"/>
  <c r="A21498" i="28"/>
  <c r="A21499" i="28"/>
  <c r="A21500" i="28"/>
  <c r="A21501" i="28"/>
  <c r="A21502" i="28"/>
  <c r="A21503" i="28"/>
  <c r="A21504" i="28"/>
  <c r="A21505" i="28"/>
  <c r="A21506" i="28"/>
  <c r="A21507" i="28"/>
  <c r="A21508" i="28"/>
  <c r="A21509" i="28"/>
  <c r="A21510" i="28"/>
  <c r="A21511" i="28"/>
  <c r="A21512" i="28"/>
  <c r="A21513" i="28"/>
  <c r="A21514" i="28"/>
  <c r="A21515" i="28"/>
  <c r="A21516" i="28"/>
  <c r="A21517" i="28"/>
  <c r="A21518" i="28"/>
  <c r="A21519" i="28"/>
  <c r="A21520" i="28"/>
  <c r="A21521" i="28"/>
  <c r="A21522" i="28"/>
  <c r="A21523" i="28"/>
  <c r="A21524" i="28"/>
  <c r="A21525" i="28"/>
  <c r="A21526" i="28"/>
  <c r="A21527" i="28"/>
  <c r="A21528" i="28"/>
  <c r="A21529" i="28"/>
  <c r="A21530" i="28"/>
  <c r="A21531" i="28"/>
  <c r="A21532" i="28"/>
  <c r="A21533" i="28"/>
  <c r="A21534" i="28"/>
  <c r="A21535" i="28"/>
  <c r="A21536" i="28"/>
  <c r="A21537" i="28"/>
  <c r="A21538" i="28"/>
  <c r="A21539" i="28"/>
  <c r="A21540" i="28"/>
  <c r="A21541" i="28"/>
  <c r="A21542" i="28"/>
  <c r="A21543" i="28"/>
  <c r="A21544" i="28"/>
  <c r="A21545" i="28"/>
  <c r="A21546" i="28"/>
  <c r="A21547" i="28"/>
  <c r="A21548" i="28"/>
  <c r="A21549" i="28"/>
  <c r="A21550" i="28"/>
  <c r="A21551" i="28"/>
  <c r="A21552" i="28"/>
  <c r="A21553" i="28"/>
  <c r="A21554" i="28"/>
  <c r="A21555" i="28"/>
  <c r="A21556" i="28"/>
  <c r="A21557" i="28"/>
  <c r="A21558" i="28"/>
  <c r="A21559" i="28"/>
  <c r="A21560" i="28"/>
  <c r="A21561" i="28"/>
  <c r="A21562" i="28"/>
  <c r="A21563" i="28"/>
  <c r="A21564" i="28"/>
  <c r="A21565" i="28"/>
  <c r="A21566" i="28"/>
  <c r="A21567" i="28"/>
  <c r="A21568" i="28"/>
  <c r="A21569" i="28"/>
  <c r="A21570" i="28"/>
  <c r="A21571" i="28"/>
  <c r="A21572" i="28"/>
  <c r="A21573" i="28"/>
  <c r="A21574" i="28"/>
  <c r="A21575" i="28"/>
  <c r="A21576" i="28"/>
  <c r="A21577" i="28"/>
  <c r="A21578" i="28"/>
  <c r="A21579" i="28"/>
  <c r="A21580" i="28"/>
  <c r="A21581" i="28"/>
  <c r="A21582" i="28"/>
  <c r="A21583" i="28"/>
  <c r="A21584" i="28"/>
  <c r="A21585" i="28"/>
  <c r="A21586" i="28"/>
  <c r="A21587" i="28"/>
  <c r="A21588" i="28"/>
  <c r="A21589" i="28"/>
  <c r="A21590" i="28"/>
  <c r="A21591" i="28"/>
  <c r="A21592" i="28"/>
  <c r="A21593" i="28"/>
  <c r="A21594" i="28"/>
  <c r="A21595" i="28"/>
  <c r="A21596" i="28"/>
  <c r="A21597" i="28"/>
  <c r="A21598" i="28"/>
  <c r="A21599" i="28"/>
  <c r="A21600" i="28"/>
  <c r="A21601" i="28"/>
  <c r="A21602" i="28"/>
  <c r="A21603" i="28"/>
  <c r="A21604" i="28"/>
  <c r="A21605" i="28"/>
  <c r="A21606" i="28"/>
  <c r="A21607" i="28"/>
  <c r="A21608" i="28"/>
  <c r="A21609" i="28"/>
  <c r="A21610" i="28"/>
  <c r="A21611" i="28"/>
  <c r="A21612" i="28"/>
  <c r="A21613" i="28"/>
  <c r="A21614" i="28"/>
  <c r="A21615" i="28"/>
  <c r="A21616" i="28"/>
  <c r="A21617" i="28"/>
  <c r="A21618" i="28"/>
  <c r="A21619" i="28"/>
  <c r="A21620" i="28"/>
  <c r="A21621" i="28"/>
  <c r="A21622" i="28"/>
  <c r="A21623" i="28"/>
  <c r="A21624" i="28"/>
  <c r="A21625" i="28"/>
  <c r="A21626" i="28"/>
  <c r="A21627" i="28"/>
  <c r="A21628" i="28"/>
  <c r="A21629" i="28"/>
  <c r="A21630" i="28"/>
  <c r="A21631" i="28"/>
  <c r="A21632" i="28"/>
  <c r="A21633" i="28"/>
  <c r="A21634" i="28"/>
  <c r="A21635" i="28"/>
  <c r="A21636" i="28"/>
  <c r="A21637" i="28"/>
  <c r="A21638" i="28"/>
  <c r="A21639" i="28"/>
  <c r="A21640" i="28"/>
  <c r="A21641" i="28"/>
  <c r="A21642" i="28"/>
  <c r="A21643" i="28"/>
  <c r="A21644" i="28"/>
  <c r="A21645" i="28"/>
  <c r="A21646" i="28"/>
  <c r="A21647" i="28"/>
  <c r="A21648" i="28"/>
  <c r="A21649" i="28"/>
  <c r="A21650" i="28"/>
  <c r="A21651" i="28"/>
  <c r="A21652" i="28"/>
  <c r="A21653" i="28"/>
  <c r="A21654" i="28"/>
  <c r="A21655" i="28"/>
  <c r="A21656" i="28"/>
  <c r="A21657" i="28"/>
  <c r="A21658" i="28"/>
  <c r="A21659" i="28"/>
  <c r="A21660" i="28"/>
  <c r="A21661" i="28"/>
  <c r="A21662" i="28"/>
  <c r="A21663" i="28"/>
  <c r="A21664" i="28"/>
  <c r="A21665" i="28"/>
  <c r="A21666" i="28"/>
  <c r="A21667" i="28"/>
  <c r="A21668" i="28"/>
  <c r="A21669" i="28"/>
  <c r="A21670" i="28"/>
  <c r="A21671" i="28"/>
  <c r="A21672" i="28"/>
  <c r="A21673" i="28"/>
  <c r="A21674" i="28"/>
  <c r="A21675" i="28"/>
  <c r="A21676" i="28"/>
  <c r="A21677" i="28"/>
  <c r="A21678" i="28"/>
  <c r="A21679" i="28"/>
  <c r="A21680" i="28"/>
  <c r="A21681" i="28"/>
  <c r="A21682" i="28"/>
  <c r="A21683" i="28"/>
  <c r="A21684" i="28"/>
  <c r="A21685" i="28"/>
  <c r="A21686" i="28"/>
  <c r="A21687" i="28"/>
  <c r="A21688" i="28"/>
  <c r="A21689" i="28"/>
  <c r="A21690" i="28"/>
  <c r="A21691" i="28"/>
  <c r="A21692" i="28"/>
  <c r="A21693" i="28"/>
  <c r="A21694" i="28"/>
  <c r="A21695" i="28"/>
  <c r="A21696" i="28"/>
  <c r="A21697" i="28"/>
  <c r="A21698" i="28"/>
  <c r="A21699" i="28"/>
  <c r="A21700" i="28"/>
  <c r="A21701" i="28"/>
  <c r="A21702" i="28"/>
  <c r="A21703" i="28"/>
  <c r="A21704" i="28"/>
  <c r="A21705" i="28"/>
  <c r="A21706" i="28"/>
  <c r="A21707" i="28"/>
  <c r="A21708" i="28"/>
  <c r="A21709" i="28"/>
  <c r="A21710" i="28"/>
  <c r="A21711" i="28"/>
  <c r="A21712" i="28"/>
  <c r="A21713" i="28"/>
  <c r="A21714" i="28"/>
  <c r="A21715" i="28"/>
  <c r="A21716" i="28"/>
  <c r="A21717" i="28"/>
  <c r="A21718" i="28"/>
  <c r="A21719" i="28"/>
  <c r="A21720" i="28"/>
  <c r="A21721" i="28"/>
  <c r="A21722" i="28"/>
  <c r="A21723" i="28"/>
  <c r="A21724" i="28"/>
  <c r="A21725" i="28"/>
  <c r="A21726" i="28"/>
  <c r="A21727" i="28"/>
  <c r="A21728" i="28"/>
  <c r="A21729" i="28"/>
  <c r="A21730" i="28"/>
  <c r="A21731" i="28"/>
  <c r="A21732" i="28"/>
  <c r="A21733" i="28"/>
  <c r="A21734" i="28"/>
  <c r="A21735" i="28"/>
  <c r="A21736" i="28"/>
  <c r="A21737" i="28"/>
  <c r="A21738" i="28"/>
  <c r="A21739" i="28"/>
  <c r="A21740" i="28"/>
  <c r="A21741" i="28"/>
  <c r="A21742" i="28"/>
  <c r="A21743" i="28"/>
  <c r="A21744" i="28"/>
  <c r="A21745" i="28"/>
  <c r="A21746" i="28"/>
  <c r="A21747" i="28"/>
  <c r="A21748" i="28"/>
  <c r="A21749" i="28"/>
  <c r="A21750" i="28"/>
  <c r="A21751" i="28"/>
  <c r="A21752" i="28"/>
  <c r="A21753" i="28"/>
  <c r="A21754" i="28"/>
  <c r="A21755" i="28"/>
  <c r="A21756" i="28"/>
  <c r="A21757" i="28"/>
  <c r="A21758" i="28"/>
  <c r="A21759" i="28"/>
  <c r="A21760" i="28"/>
  <c r="A21761" i="28"/>
  <c r="A21762" i="28"/>
  <c r="A21763" i="28"/>
  <c r="A21764" i="28"/>
  <c r="A21765" i="28"/>
  <c r="A21766" i="28"/>
  <c r="A21767" i="28"/>
  <c r="A21768" i="28"/>
  <c r="A21769" i="28"/>
  <c r="A21770" i="28"/>
  <c r="A21771" i="28"/>
  <c r="A21772" i="28"/>
  <c r="A21773" i="28"/>
  <c r="A21774" i="28"/>
  <c r="A21775" i="28"/>
  <c r="A21776" i="28"/>
  <c r="A21777" i="28"/>
  <c r="A21778" i="28"/>
  <c r="A21779" i="28"/>
  <c r="A21780" i="28"/>
  <c r="A21781" i="28"/>
  <c r="A21782" i="28"/>
  <c r="A21783" i="28"/>
  <c r="A21784" i="28"/>
  <c r="A21785" i="28"/>
  <c r="A21786" i="28"/>
  <c r="A21787" i="28"/>
  <c r="A21788" i="28"/>
  <c r="A21789" i="28"/>
  <c r="A21790" i="28"/>
  <c r="A21791" i="28"/>
  <c r="A21792" i="28"/>
  <c r="A21793" i="28"/>
  <c r="A21794" i="28"/>
  <c r="A21795" i="28"/>
  <c r="A21796" i="28"/>
  <c r="A21797" i="28"/>
  <c r="A21798" i="28"/>
  <c r="A21799" i="28"/>
  <c r="A21800" i="28"/>
  <c r="A21801" i="28"/>
  <c r="A21802" i="28"/>
  <c r="A21803" i="28"/>
  <c r="A21804" i="28"/>
  <c r="A21805" i="28"/>
  <c r="A21806" i="28"/>
  <c r="A21807" i="28"/>
  <c r="A21808" i="28"/>
  <c r="A21809" i="28"/>
  <c r="A21810" i="28"/>
  <c r="A21811" i="28"/>
  <c r="A21812" i="28"/>
  <c r="A21813" i="28"/>
  <c r="A21814" i="28"/>
  <c r="A21815" i="28"/>
  <c r="A21816" i="28"/>
  <c r="A21817" i="28"/>
  <c r="A21818" i="28"/>
  <c r="A21819" i="28"/>
  <c r="A21820" i="28"/>
  <c r="A21821" i="28"/>
  <c r="A21822" i="28"/>
  <c r="A21823" i="28"/>
  <c r="A21824" i="28"/>
  <c r="A21825" i="28"/>
  <c r="A21826" i="28"/>
  <c r="A21827" i="28"/>
  <c r="A21828" i="28"/>
  <c r="A21829" i="28"/>
  <c r="A21830" i="28"/>
  <c r="A21831" i="28"/>
  <c r="A21832" i="28"/>
  <c r="A21833" i="28"/>
  <c r="A21834" i="28"/>
  <c r="A21835" i="28"/>
  <c r="A21836" i="28"/>
  <c r="A21837" i="28"/>
  <c r="A21838" i="28"/>
  <c r="A21839" i="28"/>
  <c r="A21840" i="28"/>
  <c r="A21841" i="28"/>
  <c r="A21842" i="28"/>
  <c r="A21843" i="28"/>
  <c r="A21844" i="28"/>
  <c r="A21845" i="28"/>
  <c r="A21846" i="28"/>
  <c r="A21847" i="28"/>
  <c r="A21848" i="28"/>
  <c r="A21849" i="28"/>
  <c r="A21850" i="28"/>
  <c r="A21851" i="28"/>
  <c r="A21852" i="28"/>
  <c r="A21853" i="28"/>
  <c r="A21854" i="28"/>
  <c r="A21855" i="28"/>
  <c r="A21856" i="28"/>
  <c r="A21857" i="28"/>
  <c r="A21858" i="28"/>
  <c r="A21859" i="28"/>
  <c r="A21860" i="28"/>
  <c r="A21861" i="28"/>
  <c r="A21862" i="28"/>
  <c r="A21863" i="28"/>
  <c r="A21864" i="28"/>
  <c r="A21865" i="28"/>
  <c r="A21866" i="28"/>
  <c r="A21867" i="28"/>
  <c r="A21868" i="28"/>
  <c r="A21869" i="28"/>
  <c r="A21870" i="28"/>
  <c r="A21871" i="28"/>
  <c r="A21872" i="28"/>
  <c r="A21873" i="28"/>
  <c r="A21874" i="28"/>
  <c r="A21875" i="28"/>
  <c r="A21876" i="28"/>
  <c r="A21877" i="28"/>
  <c r="A21878" i="28"/>
  <c r="A21879" i="28"/>
  <c r="A21880" i="28"/>
  <c r="A21881" i="28"/>
  <c r="A21882" i="28"/>
  <c r="A21883" i="28"/>
  <c r="A21884" i="28"/>
  <c r="A21885" i="28"/>
  <c r="A21886" i="28"/>
  <c r="A21887" i="28"/>
  <c r="A21888" i="28"/>
  <c r="A21889" i="28"/>
  <c r="A21890" i="28"/>
  <c r="A21891" i="28"/>
  <c r="A21892" i="28"/>
  <c r="A21893" i="28"/>
  <c r="A21894" i="28"/>
  <c r="A21895" i="28"/>
  <c r="A21896" i="28"/>
  <c r="A21897" i="28"/>
  <c r="A21898" i="28"/>
  <c r="A21899" i="28"/>
  <c r="A21900" i="28"/>
  <c r="A21901" i="28"/>
  <c r="A21902" i="28"/>
  <c r="A21903" i="28"/>
  <c r="A21904" i="28"/>
  <c r="A21905" i="28"/>
  <c r="A21906" i="28"/>
  <c r="A21907" i="28"/>
  <c r="A21908" i="28"/>
  <c r="A21909" i="28"/>
  <c r="A21910" i="28"/>
  <c r="A21911" i="28"/>
  <c r="A21912" i="28"/>
  <c r="A21913" i="28"/>
  <c r="A21914" i="28"/>
  <c r="A21915" i="28"/>
  <c r="A21916" i="28"/>
  <c r="A21917" i="28"/>
  <c r="A21918" i="28"/>
  <c r="A21919" i="28"/>
  <c r="A21920" i="28"/>
  <c r="A21921" i="28"/>
  <c r="A21922" i="28"/>
  <c r="A21923" i="28"/>
  <c r="A21924" i="28"/>
  <c r="A21925" i="28"/>
  <c r="A21926" i="28"/>
  <c r="A21927" i="28"/>
  <c r="A21928" i="28"/>
  <c r="A21929" i="28"/>
  <c r="A21930" i="28"/>
  <c r="A21931" i="28"/>
  <c r="A21932" i="28"/>
  <c r="A21933" i="28"/>
  <c r="A21934" i="28"/>
  <c r="A21935" i="28"/>
  <c r="A21936" i="28"/>
  <c r="A21937" i="28"/>
  <c r="A21938" i="28"/>
  <c r="A21939" i="28"/>
  <c r="A21940" i="28"/>
  <c r="A21941" i="28"/>
  <c r="A21942" i="28"/>
  <c r="A21943" i="28"/>
  <c r="A21944" i="28"/>
  <c r="A21945" i="28"/>
  <c r="A21946" i="28"/>
  <c r="A21947" i="28"/>
  <c r="A21948" i="28"/>
  <c r="A21949" i="28"/>
  <c r="A21950" i="28"/>
  <c r="A21951" i="28"/>
  <c r="A21952" i="28"/>
  <c r="A21953" i="28"/>
  <c r="A21954" i="28"/>
  <c r="A21955" i="28"/>
  <c r="A21956" i="28"/>
  <c r="A21957" i="28"/>
  <c r="A21958" i="28"/>
  <c r="A21959" i="28"/>
  <c r="A21960" i="28"/>
  <c r="A21961" i="28"/>
  <c r="A21962" i="28"/>
  <c r="A21963" i="28"/>
  <c r="A21964" i="28"/>
  <c r="A21965" i="28"/>
  <c r="A21966" i="28"/>
  <c r="A21967" i="28"/>
  <c r="A21968" i="28"/>
  <c r="A21969" i="28"/>
  <c r="A21970" i="28"/>
  <c r="A21971" i="28"/>
  <c r="A21972" i="28"/>
  <c r="A21973" i="28"/>
  <c r="A21974" i="28"/>
  <c r="A21975" i="28"/>
  <c r="A21976" i="28"/>
  <c r="A21977" i="28"/>
  <c r="A21978" i="28"/>
  <c r="A21979" i="28"/>
  <c r="A21980" i="28"/>
  <c r="A21981" i="28"/>
  <c r="A21982" i="28"/>
  <c r="A21983" i="28"/>
  <c r="A21984" i="28"/>
  <c r="A21985" i="28"/>
  <c r="A21986" i="28"/>
  <c r="A21987" i="28"/>
  <c r="A21988" i="28"/>
  <c r="A21989" i="28"/>
  <c r="A21990" i="28"/>
  <c r="A21991" i="28"/>
  <c r="A21992" i="28"/>
  <c r="A21993" i="28"/>
  <c r="A21994" i="28"/>
  <c r="A21995" i="28"/>
  <c r="A21996" i="28"/>
  <c r="A21997" i="28"/>
  <c r="A21998" i="28"/>
  <c r="A21999" i="28"/>
  <c r="A22000" i="28"/>
  <c r="A22001" i="28"/>
  <c r="A22002" i="28"/>
  <c r="A22003" i="28"/>
  <c r="A22004" i="28"/>
  <c r="A22005" i="28"/>
  <c r="A22006" i="28"/>
  <c r="A22007" i="28"/>
  <c r="A22008" i="28"/>
  <c r="A22009" i="28"/>
  <c r="A22010" i="28"/>
  <c r="A22011" i="28"/>
  <c r="A22012" i="28"/>
  <c r="A22013" i="28"/>
  <c r="A22014" i="28"/>
  <c r="A22015" i="28"/>
  <c r="A22016" i="28"/>
  <c r="A22017" i="28"/>
  <c r="A22018" i="28"/>
  <c r="A22019" i="28"/>
  <c r="A22020" i="28"/>
  <c r="A22021" i="28"/>
  <c r="A22022" i="28"/>
  <c r="A22023" i="28"/>
  <c r="A22024" i="28"/>
  <c r="A22025" i="28"/>
  <c r="A22026" i="28"/>
  <c r="A22027" i="28"/>
  <c r="A22028" i="28"/>
  <c r="A22029" i="28"/>
  <c r="A22030" i="28"/>
  <c r="A22031" i="28"/>
  <c r="A22032" i="28"/>
  <c r="A22033" i="28"/>
  <c r="A22034" i="28"/>
  <c r="A22035" i="28"/>
  <c r="A22036" i="28"/>
  <c r="A22037" i="28"/>
  <c r="A22038" i="28"/>
  <c r="A22039" i="28"/>
  <c r="A22040" i="28"/>
  <c r="A22041" i="28"/>
  <c r="A22042" i="28"/>
  <c r="A22043" i="28"/>
  <c r="A22044" i="28"/>
  <c r="A22045" i="28"/>
  <c r="A22046" i="28"/>
  <c r="A22047" i="28"/>
  <c r="A22048" i="28"/>
  <c r="A22049" i="28"/>
  <c r="A22050" i="28"/>
  <c r="A22051" i="28"/>
  <c r="A22052" i="28"/>
  <c r="A22053" i="28"/>
  <c r="A22054" i="28"/>
  <c r="A22055" i="28"/>
  <c r="A22056" i="28"/>
  <c r="A22057" i="28"/>
  <c r="A22058" i="28"/>
  <c r="A22059" i="28"/>
  <c r="A22060" i="28"/>
  <c r="A22061" i="28"/>
  <c r="A22062" i="28"/>
  <c r="A22063" i="28"/>
  <c r="A22064" i="28"/>
  <c r="A22065" i="28"/>
  <c r="A22066" i="28"/>
  <c r="A22067" i="28"/>
  <c r="A22068" i="28"/>
  <c r="A22069" i="28"/>
  <c r="A22070" i="28"/>
  <c r="A22071" i="28"/>
  <c r="A22072" i="28"/>
  <c r="A22073" i="28"/>
  <c r="A22074" i="28"/>
  <c r="A22075" i="28"/>
  <c r="A22076" i="28"/>
  <c r="A22077" i="28"/>
  <c r="A22078" i="28"/>
  <c r="A22079" i="28"/>
  <c r="A22080" i="28"/>
  <c r="A22081" i="28"/>
  <c r="A22082" i="28"/>
  <c r="A22083" i="28"/>
  <c r="A22084" i="28"/>
  <c r="A22085" i="28"/>
  <c r="A22086" i="28"/>
  <c r="A22087" i="28"/>
  <c r="A22088" i="28"/>
  <c r="A22089" i="28"/>
  <c r="A22090" i="28"/>
  <c r="A22091" i="28"/>
  <c r="A22092" i="28"/>
  <c r="A22093" i="28"/>
  <c r="A22094" i="28"/>
  <c r="A22095" i="28"/>
  <c r="A22096" i="28"/>
  <c r="A22097" i="28"/>
  <c r="A22098" i="28"/>
  <c r="A22099" i="28"/>
  <c r="A22100" i="28"/>
  <c r="A22101" i="28"/>
  <c r="A22102" i="28"/>
  <c r="A22103" i="28"/>
  <c r="A22104" i="28"/>
  <c r="A22105" i="28"/>
  <c r="A22106" i="28"/>
  <c r="A22107" i="28"/>
  <c r="A22108" i="28"/>
  <c r="A22109" i="28"/>
  <c r="A22110" i="28"/>
  <c r="A22111" i="28"/>
  <c r="A22112" i="28"/>
  <c r="A22113" i="28"/>
  <c r="A22114" i="28"/>
  <c r="A22115" i="28"/>
  <c r="A22116" i="28"/>
  <c r="A22117" i="28"/>
  <c r="A22118" i="28"/>
  <c r="A22119" i="28"/>
  <c r="A22120" i="28"/>
  <c r="A22121" i="28"/>
  <c r="A22122" i="28"/>
  <c r="A22123" i="28"/>
  <c r="A22124" i="28"/>
  <c r="A22125" i="28"/>
  <c r="A22126" i="28"/>
  <c r="A22127" i="28"/>
  <c r="A22128" i="28"/>
  <c r="A22129" i="28"/>
  <c r="A22130" i="28"/>
  <c r="A22131" i="28"/>
  <c r="A22132" i="28"/>
  <c r="A22133" i="28"/>
  <c r="A22134" i="28"/>
  <c r="A22135" i="28"/>
  <c r="A22136" i="28"/>
  <c r="A22137" i="28"/>
  <c r="A22138" i="28"/>
  <c r="A22139" i="28"/>
  <c r="A22140" i="28"/>
  <c r="A22141" i="28"/>
  <c r="A22142" i="28"/>
  <c r="A22143" i="28"/>
  <c r="A22144" i="28"/>
  <c r="A22145" i="28"/>
  <c r="A22146" i="28"/>
  <c r="A22147" i="28"/>
  <c r="A22148" i="28"/>
  <c r="A22149" i="28"/>
  <c r="A22150" i="28"/>
  <c r="A22151" i="28"/>
  <c r="A22152" i="28"/>
  <c r="A22153" i="28"/>
  <c r="A22154" i="28"/>
  <c r="A22155" i="28"/>
  <c r="A22156" i="28"/>
  <c r="A22157" i="28"/>
  <c r="A22158" i="28"/>
  <c r="A22159" i="28"/>
  <c r="A22160" i="28"/>
  <c r="A22161" i="28"/>
  <c r="A22162" i="28"/>
  <c r="A22163" i="28"/>
  <c r="A22164" i="28"/>
  <c r="A22165" i="28"/>
  <c r="A22166" i="28"/>
  <c r="A22167" i="28"/>
  <c r="A22168" i="28"/>
  <c r="A22169" i="28"/>
  <c r="A22170" i="28"/>
  <c r="A22171" i="28"/>
  <c r="A22172" i="28"/>
  <c r="A22173" i="28"/>
  <c r="A22174" i="28"/>
  <c r="A22175" i="28"/>
  <c r="A22176" i="28"/>
  <c r="A22177" i="28"/>
  <c r="A22178" i="28"/>
  <c r="A22179" i="28"/>
  <c r="A22180" i="28"/>
  <c r="A22181" i="28"/>
  <c r="A22182" i="28"/>
  <c r="A22183" i="28"/>
  <c r="A22184" i="28"/>
  <c r="A22185" i="28"/>
  <c r="A22186" i="28"/>
  <c r="A22187" i="28"/>
  <c r="A22188" i="28"/>
  <c r="A22189" i="28"/>
  <c r="A22190" i="28"/>
  <c r="A22191" i="28"/>
  <c r="A22192" i="28"/>
  <c r="A22193" i="28"/>
  <c r="A22194" i="28"/>
  <c r="A22195" i="28"/>
  <c r="A22196" i="28"/>
  <c r="A22197" i="28"/>
  <c r="A22198" i="28"/>
  <c r="A22199" i="28"/>
  <c r="A22200" i="28"/>
  <c r="A22201" i="28"/>
  <c r="A22202" i="28"/>
  <c r="A22203" i="28"/>
  <c r="A22204" i="28"/>
  <c r="A22205" i="28"/>
  <c r="A22206" i="28"/>
  <c r="A22207" i="28"/>
  <c r="A22208" i="28"/>
  <c r="A22209" i="28"/>
  <c r="A22210" i="28"/>
  <c r="A22211" i="28"/>
  <c r="A22212" i="28"/>
  <c r="A22213" i="28"/>
  <c r="A22214" i="28"/>
  <c r="A22215" i="28"/>
  <c r="A22216" i="28"/>
  <c r="A22217" i="28"/>
  <c r="A22218" i="28"/>
  <c r="A22219" i="28"/>
  <c r="A22220" i="28"/>
  <c r="A22221" i="28"/>
  <c r="A22222" i="28"/>
  <c r="A22223" i="28"/>
  <c r="A22224" i="28"/>
  <c r="A22225" i="28"/>
  <c r="A22226" i="28"/>
  <c r="A22227" i="28"/>
  <c r="A22228" i="28"/>
  <c r="A22229" i="28"/>
  <c r="A22230" i="28"/>
  <c r="A22231" i="28"/>
  <c r="A22232" i="28"/>
  <c r="A22233" i="28"/>
  <c r="A22234" i="28"/>
  <c r="A22235" i="28"/>
  <c r="A22236" i="28"/>
  <c r="A22237" i="28"/>
  <c r="A22238" i="28"/>
  <c r="A22239" i="28"/>
  <c r="A22240" i="28"/>
  <c r="A22241" i="28"/>
  <c r="A22242" i="28"/>
  <c r="A22243" i="28"/>
  <c r="A22244" i="28"/>
  <c r="A22245" i="28"/>
  <c r="A22246" i="28"/>
  <c r="A22247" i="28"/>
  <c r="A22248" i="28"/>
  <c r="A22249" i="28"/>
  <c r="A22250" i="28"/>
  <c r="A22251" i="28"/>
  <c r="A22252" i="28"/>
  <c r="A22253" i="28"/>
  <c r="A22254" i="28"/>
  <c r="A22255" i="28"/>
  <c r="A22256" i="28"/>
  <c r="A22257" i="28"/>
  <c r="A22258" i="28"/>
  <c r="A22259" i="28"/>
  <c r="A22260" i="28"/>
  <c r="A22261" i="28"/>
  <c r="A22262" i="28"/>
  <c r="A22263" i="28"/>
  <c r="A22264" i="28"/>
  <c r="A22265" i="28"/>
  <c r="A22266" i="28"/>
  <c r="A22267" i="28"/>
  <c r="A22268" i="28"/>
  <c r="A22269" i="28"/>
  <c r="A22270" i="28"/>
  <c r="A22271" i="28"/>
  <c r="A22272" i="28"/>
  <c r="A22273" i="28"/>
  <c r="A22274" i="28"/>
  <c r="A22275" i="28"/>
  <c r="A22276" i="28"/>
  <c r="A22277" i="28"/>
  <c r="A22278" i="28"/>
  <c r="A22279" i="28"/>
  <c r="A22280" i="28"/>
  <c r="A22281" i="28"/>
  <c r="A22282" i="28"/>
  <c r="A22283" i="28"/>
  <c r="A22284" i="28"/>
  <c r="A22285" i="28"/>
  <c r="A22286" i="28"/>
  <c r="A22287" i="28"/>
  <c r="A22288" i="28"/>
  <c r="A22289" i="28"/>
  <c r="A22290" i="28"/>
  <c r="A22291" i="28"/>
  <c r="A22292" i="28"/>
  <c r="A22293" i="28"/>
  <c r="A22294" i="28"/>
  <c r="A22295" i="28"/>
  <c r="A22296" i="28"/>
  <c r="A22297" i="28"/>
  <c r="A22298" i="28"/>
  <c r="A22299" i="28"/>
  <c r="A22300" i="28"/>
  <c r="A22301" i="28"/>
  <c r="A22302" i="28"/>
  <c r="A22303" i="28"/>
  <c r="A22304" i="28"/>
  <c r="A22305" i="28"/>
  <c r="A22306" i="28"/>
  <c r="A22307" i="28"/>
  <c r="A22308" i="28"/>
  <c r="A22309" i="28"/>
  <c r="A22310" i="28"/>
  <c r="A22311" i="28"/>
  <c r="A22312" i="28"/>
  <c r="A22313" i="28"/>
  <c r="A22314" i="28"/>
  <c r="A22315" i="28"/>
  <c r="A22316" i="28"/>
  <c r="A22317" i="28"/>
  <c r="A22318" i="28"/>
  <c r="A22319" i="28"/>
  <c r="A22320" i="28"/>
  <c r="A22321" i="28"/>
  <c r="A22322" i="28"/>
  <c r="A22323" i="28"/>
  <c r="A22324" i="28"/>
  <c r="A22325" i="28"/>
  <c r="A22326" i="28"/>
  <c r="A22327" i="28"/>
  <c r="A22328" i="28"/>
  <c r="A22329" i="28"/>
  <c r="A22330" i="28"/>
  <c r="A22331" i="28"/>
  <c r="A22332" i="28"/>
  <c r="A22333" i="28"/>
  <c r="A22334" i="28"/>
  <c r="A22335" i="28"/>
  <c r="A22336" i="28"/>
  <c r="A22337" i="28"/>
  <c r="A22338" i="28"/>
  <c r="A22339" i="28"/>
  <c r="A22340" i="28"/>
  <c r="A22341" i="28"/>
  <c r="A22342" i="28"/>
  <c r="A22343" i="28"/>
  <c r="A22344" i="28"/>
  <c r="A22345" i="28"/>
  <c r="A22346" i="28"/>
  <c r="A22347" i="28"/>
  <c r="A22348" i="28"/>
  <c r="A22349" i="28"/>
  <c r="A22350" i="28"/>
  <c r="A22351" i="28"/>
  <c r="A22352" i="28"/>
  <c r="A22353" i="28"/>
  <c r="A22354" i="28"/>
  <c r="A22355" i="28"/>
  <c r="A22356" i="28"/>
  <c r="A22357" i="28"/>
  <c r="A22358" i="28"/>
  <c r="A22359" i="28"/>
  <c r="A22360" i="28"/>
  <c r="A22361" i="28"/>
  <c r="A22362" i="28"/>
  <c r="A22363" i="28"/>
  <c r="A22364" i="28"/>
  <c r="A22365" i="28"/>
  <c r="A22366" i="28"/>
  <c r="A22367" i="28"/>
  <c r="A22368" i="28"/>
  <c r="A22369" i="28"/>
  <c r="A22370" i="28"/>
  <c r="A22371" i="28"/>
  <c r="A22372" i="28"/>
  <c r="A22373" i="28"/>
  <c r="A22374" i="28"/>
  <c r="A22375" i="28"/>
  <c r="A22376" i="28"/>
  <c r="A22377" i="28"/>
  <c r="A22378" i="28"/>
  <c r="A22379" i="28"/>
  <c r="A22380" i="28"/>
  <c r="A22381" i="28"/>
  <c r="A22382" i="28"/>
  <c r="A22383" i="28"/>
  <c r="A22384" i="28"/>
  <c r="A22385" i="28"/>
  <c r="A22386" i="28"/>
  <c r="A22387" i="28"/>
  <c r="A22388" i="28"/>
  <c r="A22389" i="28"/>
  <c r="A22390" i="28"/>
  <c r="A22391" i="28"/>
  <c r="A22392" i="28"/>
  <c r="A22393" i="28"/>
  <c r="A22394" i="28"/>
  <c r="A22395" i="28"/>
  <c r="A22396" i="28"/>
  <c r="A22397" i="28"/>
  <c r="A22398" i="28"/>
  <c r="A22399" i="28"/>
  <c r="A22400" i="28"/>
  <c r="A22401" i="28"/>
  <c r="A22402" i="28"/>
  <c r="A22403" i="28"/>
  <c r="A22404" i="28"/>
  <c r="A22405" i="28"/>
  <c r="A22406" i="28"/>
  <c r="A22407" i="28"/>
  <c r="A22408" i="28"/>
  <c r="A22409" i="28"/>
  <c r="A22410" i="28"/>
  <c r="A22411" i="28"/>
  <c r="A22412" i="28"/>
  <c r="A22413" i="28"/>
  <c r="A22414" i="28"/>
  <c r="A22415" i="28"/>
  <c r="A22416" i="28"/>
  <c r="A22417" i="28"/>
  <c r="A22418" i="28"/>
  <c r="A22419" i="28"/>
  <c r="A22420" i="28"/>
  <c r="A22421" i="28"/>
  <c r="A22422" i="28"/>
  <c r="A22423" i="28"/>
  <c r="A22424" i="28"/>
  <c r="A22425" i="28"/>
  <c r="A22426" i="28"/>
  <c r="A22427" i="28"/>
  <c r="A22428" i="28"/>
  <c r="A22429" i="28"/>
  <c r="A22430" i="28"/>
  <c r="A22431" i="28"/>
  <c r="A22432" i="28"/>
  <c r="A22433" i="28"/>
  <c r="A22434" i="28"/>
  <c r="A22435" i="28"/>
  <c r="A22436" i="28"/>
  <c r="A22437" i="28"/>
  <c r="A22438" i="28"/>
  <c r="A22439" i="28"/>
  <c r="A22440" i="28"/>
  <c r="A22441" i="28"/>
  <c r="A22442" i="28"/>
  <c r="A22443" i="28"/>
  <c r="A22444" i="28"/>
  <c r="A22445" i="28"/>
  <c r="A22446" i="28"/>
  <c r="A22447" i="28"/>
  <c r="A22448" i="28"/>
  <c r="A22449" i="28"/>
  <c r="A22450" i="28"/>
  <c r="A22451" i="28"/>
  <c r="A22452" i="28"/>
  <c r="A22453" i="28"/>
  <c r="A22454" i="28"/>
  <c r="A22455" i="28"/>
  <c r="A22456" i="28"/>
  <c r="A22457" i="28"/>
  <c r="A22458" i="28"/>
  <c r="A22459" i="28"/>
  <c r="A22460" i="28"/>
  <c r="A22461" i="28"/>
  <c r="A22462" i="28"/>
  <c r="A22463" i="28"/>
  <c r="A22464" i="28"/>
  <c r="A22465" i="28"/>
  <c r="A22466" i="28"/>
  <c r="A22467" i="28"/>
  <c r="A22468" i="28"/>
  <c r="A22469" i="28"/>
  <c r="A22470" i="28"/>
  <c r="A22471" i="28"/>
  <c r="A22472" i="28"/>
  <c r="A22473" i="28"/>
  <c r="A22474" i="28"/>
  <c r="A22475" i="28"/>
  <c r="A22476" i="28"/>
  <c r="A22477" i="28"/>
  <c r="A22478" i="28"/>
  <c r="A22479" i="28"/>
  <c r="A22480" i="28"/>
  <c r="A22481" i="28"/>
  <c r="A22482" i="28"/>
  <c r="A22483" i="28"/>
  <c r="A22484" i="28"/>
  <c r="A22485" i="28"/>
  <c r="A22486" i="28"/>
  <c r="A22487" i="28"/>
  <c r="A22488" i="28"/>
  <c r="A22489" i="28"/>
  <c r="A22490" i="28"/>
  <c r="A22491" i="28"/>
  <c r="A22492" i="28"/>
  <c r="A22493" i="28"/>
  <c r="A22494" i="28"/>
  <c r="A22495" i="28"/>
  <c r="A22496" i="28"/>
  <c r="A22497" i="28"/>
  <c r="A22498" i="28"/>
  <c r="A22499" i="28"/>
  <c r="A22500" i="28"/>
  <c r="A22501" i="28"/>
  <c r="A22502" i="28"/>
  <c r="A22503" i="28"/>
  <c r="A22504" i="28"/>
  <c r="A22505" i="28"/>
  <c r="A22506" i="28"/>
  <c r="A22507" i="28"/>
  <c r="A22508" i="28"/>
  <c r="A22509" i="28"/>
  <c r="A22510" i="28"/>
  <c r="A22511" i="28"/>
  <c r="A22512" i="28"/>
  <c r="A22513" i="28"/>
  <c r="A22514" i="28"/>
  <c r="A22515" i="28"/>
  <c r="A22516" i="28"/>
  <c r="A22517" i="28"/>
  <c r="A22518" i="28"/>
  <c r="A22519" i="28"/>
  <c r="A22520" i="28"/>
  <c r="A22521" i="28"/>
  <c r="A22522" i="28"/>
  <c r="A22523" i="28"/>
  <c r="A22524" i="28"/>
  <c r="A22525" i="28"/>
  <c r="A22526" i="28"/>
  <c r="A22527" i="28"/>
  <c r="A22528" i="28"/>
  <c r="A22529" i="28"/>
  <c r="A22530" i="28"/>
  <c r="A22531" i="28"/>
  <c r="A22532" i="28"/>
  <c r="A22533" i="28"/>
  <c r="A22534" i="28"/>
  <c r="A22535" i="28"/>
  <c r="A22536" i="28"/>
  <c r="A22537" i="28"/>
  <c r="A22538" i="28"/>
  <c r="A22539" i="28"/>
  <c r="A22540" i="28"/>
  <c r="A22541" i="28"/>
  <c r="A22542" i="28"/>
  <c r="A22543" i="28"/>
  <c r="A22544" i="28"/>
  <c r="A22545" i="28"/>
  <c r="A22546" i="28"/>
  <c r="A22547" i="28"/>
  <c r="A22548" i="28"/>
  <c r="A22549" i="28"/>
  <c r="A22550" i="28"/>
  <c r="A22551" i="28"/>
  <c r="A22552" i="28"/>
  <c r="A22553" i="28"/>
  <c r="A22554" i="28"/>
  <c r="A22555" i="28"/>
  <c r="A22556" i="28"/>
  <c r="A22557" i="28"/>
  <c r="A22558" i="28"/>
  <c r="A22559" i="28"/>
  <c r="A22560" i="28"/>
  <c r="A22561" i="28"/>
  <c r="A22562" i="28"/>
  <c r="A22563" i="28"/>
  <c r="A22564" i="28"/>
  <c r="A22565" i="28"/>
  <c r="A22566" i="28"/>
  <c r="A22567" i="28"/>
  <c r="A22568" i="28"/>
  <c r="A22569" i="28"/>
  <c r="A22570" i="28"/>
  <c r="A22571" i="28"/>
  <c r="A22572" i="28"/>
  <c r="A22573" i="28"/>
  <c r="A22574" i="28"/>
  <c r="A22575" i="28"/>
  <c r="A22576" i="28"/>
  <c r="A22577" i="28"/>
  <c r="A22578" i="28"/>
  <c r="A22579" i="28"/>
  <c r="A22580" i="28"/>
  <c r="A22581" i="28"/>
  <c r="A22582" i="28"/>
  <c r="A22583" i="28"/>
  <c r="A22584" i="28"/>
  <c r="A22585" i="28"/>
  <c r="A22586" i="28"/>
  <c r="A22587" i="28"/>
  <c r="A22588" i="28"/>
  <c r="A22589" i="28"/>
  <c r="A22590" i="28"/>
  <c r="A22591" i="28"/>
  <c r="A22592" i="28"/>
  <c r="A22593" i="28"/>
  <c r="A22594" i="28"/>
  <c r="A22595" i="28"/>
  <c r="A22596" i="28"/>
  <c r="A22597" i="28"/>
  <c r="A22598" i="28"/>
  <c r="A22599" i="28"/>
  <c r="A22600" i="28"/>
  <c r="A22601" i="28"/>
  <c r="A22602" i="28"/>
  <c r="A22603" i="28"/>
  <c r="A22604" i="28"/>
  <c r="A22605" i="28"/>
  <c r="A22606" i="28"/>
  <c r="A22607" i="28"/>
  <c r="A22608" i="28"/>
  <c r="A22609" i="28"/>
  <c r="A22610" i="28"/>
  <c r="A22611" i="28"/>
  <c r="A22612" i="28"/>
  <c r="A22613" i="28"/>
  <c r="A22614" i="28"/>
  <c r="A22615" i="28"/>
  <c r="A22616" i="28"/>
  <c r="A22617" i="28"/>
  <c r="A22618" i="28"/>
  <c r="A22619" i="28"/>
  <c r="A22620" i="28"/>
  <c r="A22621" i="28"/>
  <c r="A22622" i="28"/>
  <c r="A22623" i="28"/>
  <c r="A22624" i="28"/>
  <c r="A22625" i="28"/>
  <c r="A22626" i="28"/>
  <c r="A22627" i="28"/>
  <c r="A22628" i="28"/>
  <c r="A22629" i="28"/>
  <c r="A22630" i="28"/>
  <c r="A22631" i="28"/>
  <c r="A22632" i="28"/>
  <c r="A22633" i="28"/>
  <c r="A22634" i="28"/>
  <c r="A22635" i="28"/>
  <c r="A22636" i="28"/>
  <c r="A22637" i="28"/>
  <c r="A22638" i="28"/>
  <c r="A22639" i="28"/>
  <c r="A22640" i="28"/>
  <c r="A22641" i="28"/>
  <c r="A22642" i="28"/>
  <c r="A22643" i="28"/>
  <c r="A22644" i="28"/>
  <c r="A22645" i="28"/>
  <c r="A22646" i="28"/>
  <c r="A22647" i="28"/>
  <c r="A22648" i="28"/>
  <c r="A22649" i="28"/>
  <c r="A22650" i="28"/>
  <c r="A22651" i="28"/>
  <c r="A22652" i="28"/>
  <c r="A22653" i="28"/>
  <c r="A22654" i="28"/>
  <c r="A22655" i="28"/>
  <c r="A22656" i="28"/>
  <c r="A22657" i="28"/>
  <c r="A22658" i="28"/>
  <c r="A22659" i="28"/>
  <c r="A22660" i="28"/>
  <c r="A22661" i="28"/>
  <c r="A22662" i="28"/>
  <c r="A22663" i="28"/>
  <c r="A22664" i="28"/>
  <c r="A22665" i="28"/>
  <c r="A22666" i="28"/>
  <c r="A22667" i="28"/>
  <c r="A22668" i="28"/>
  <c r="A22669" i="28"/>
  <c r="A22670" i="28"/>
  <c r="A22671" i="28"/>
  <c r="A22672" i="28"/>
  <c r="A22673" i="28"/>
  <c r="A22674" i="28"/>
  <c r="A22675" i="28"/>
  <c r="A22676" i="28"/>
  <c r="A22677" i="28"/>
  <c r="A22678" i="28"/>
  <c r="A22679" i="28"/>
  <c r="A22680" i="28"/>
  <c r="A22681" i="28"/>
  <c r="A22682" i="28"/>
  <c r="A22683" i="28"/>
  <c r="A22684" i="28"/>
  <c r="A22685" i="28"/>
  <c r="A22686" i="28"/>
  <c r="A22687" i="28"/>
  <c r="A22688" i="28"/>
  <c r="A22689" i="28"/>
  <c r="A22690" i="28"/>
  <c r="A22691" i="28"/>
  <c r="A22692" i="28"/>
  <c r="A22693" i="28"/>
  <c r="A22694" i="28"/>
  <c r="A22695" i="28"/>
  <c r="A22696" i="28"/>
  <c r="A22697" i="28"/>
  <c r="A22698" i="28"/>
  <c r="A22699" i="28"/>
  <c r="A22700" i="28"/>
  <c r="A22701" i="28"/>
  <c r="A22702" i="28"/>
  <c r="A22703" i="28"/>
  <c r="A22704" i="28"/>
  <c r="A22705" i="28"/>
  <c r="A22706" i="28"/>
  <c r="A22707" i="28"/>
  <c r="A22708" i="28"/>
  <c r="A22709" i="28"/>
  <c r="A22710" i="28"/>
  <c r="A22711" i="28"/>
  <c r="A22712" i="28"/>
  <c r="A22713" i="28"/>
  <c r="A22714" i="28"/>
  <c r="A22715" i="28"/>
  <c r="A22716" i="28"/>
  <c r="A22717" i="28"/>
  <c r="A22718" i="28"/>
  <c r="A22719" i="28"/>
  <c r="A22720" i="28"/>
  <c r="A22721" i="28"/>
  <c r="A22722" i="28"/>
  <c r="A22723" i="28"/>
  <c r="A22724" i="28"/>
  <c r="A22725" i="28"/>
  <c r="A22726" i="28"/>
  <c r="A22727" i="28"/>
  <c r="A22728" i="28"/>
  <c r="A22729" i="28"/>
  <c r="A22730" i="28"/>
  <c r="A22731" i="28"/>
  <c r="A22732" i="28"/>
  <c r="A22733" i="28"/>
  <c r="A22734" i="28"/>
  <c r="A22735" i="28"/>
  <c r="A22736" i="28"/>
  <c r="A22737" i="28"/>
  <c r="A22738" i="28"/>
  <c r="A22739" i="28"/>
  <c r="A22740" i="28"/>
  <c r="A22741" i="28"/>
  <c r="A22742" i="28"/>
  <c r="A22743" i="28"/>
  <c r="A22744" i="28"/>
  <c r="A22745" i="28"/>
  <c r="A22746" i="28"/>
  <c r="A22747" i="28"/>
  <c r="A22748" i="28"/>
  <c r="A22749" i="28"/>
  <c r="A22750" i="28"/>
  <c r="A22751" i="28"/>
  <c r="A22752" i="28"/>
  <c r="A22753" i="28"/>
  <c r="A22754" i="28"/>
  <c r="A22755" i="28"/>
  <c r="A22756" i="28"/>
  <c r="A22757" i="28"/>
  <c r="A22758" i="28"/>
  <c r="A22759" i="28"/>
  <c r="A22760" i="28"/>
  <c r="A22761" i="28"/>
  <c r="A22762" i="28"/>
  <c r="A22763" i="28"/>
  <c r="A22764" i="28"/>
  <c r="A22765" i="28"/>
  <c r="A22766" i="28"/>
  <c r="A22767" i="28"/>
  <c r="A22768" i="28"/>
  <c r="A22769" i="28"/>
  <c r="A22770" i="28"/>
  <c r="A22771" i="28"/>
  <c r="A22772" i="28"/>
  <c r="A22773" i="28"/>
  <c r="A22774" i="28"/>
  <c r="A22775" i="28"/>
  <c r="A22776" i="28"/>
  <c r="A22777" i="28"/>
  <c r="A22778" i="28"/>
  <c r="A22779" i="28"/>
  <c r="A22780" i="28"/>
  <c r="A22781" i="28"/>
  <c r="A22782" i="28"/>
  <c r="A22783" i="28"/>
  <c r="A22784" i="28"/>
  <c r="A22785" i="28"/>
  <c r="A22786" i="28"/>
  <c r="A22787" i="28"/>
  <c r="A22788" i="28"/>
  <c r="A22789" i="28"/>
  <c r="A22790" i="28"/>
  <c r="A22791" i="28"/>
  <c r="A22792" i="28"/>
  <c r="A22793" i="28"/>
  <c r="A22794" i="28"/>
  <c r="A22795" i="28"/>
  <c r="A22796" i="28"/>
  <c r="A22797" i="28"/>
  <c r="A22798" i="28"/>
  <c r="A22799" i="28"/>
  <c r="A22800" i="28"/>
  <c r="A22801" i="28"/>
  <c r="A22802" i="28"/>
  <c r="A22803" i="28"/>
  <c r="A22804" i="28"/>
  <c r="A22805" i="28"/>
  <c r="A22806" i="28"/>
  <c r="A22807" i="28"/>
  <c r="A22808" i="28"/>
  <c r="A22809" i="28"/>
  <c r="A22810" i="28"/>
  <c r="A22811" i="28"/>
  <c r="A22812" i="28"/>
  <c r="A22813" i="28"/>
  <c r="A22814" i="28"/>
  <c r="A22815" i="28"/>
  <c r="A22816" i="28"/>
  <c r="A22817" i="28"/>
  <c r="A22818" i="28"/>
  <c r="A22819" i="28"/>
  <c r="A22820" i="28"/>
  <c r="A22821" i="28"/>
  <c r="A22822" i="28"/>
  <c r="A22823" i="28"/>
  <c r="A22824" i="28"/>
  <c r="A22825" i="28"/>
  <c r="A22826" i="28"/>
  <c r="A22827" i="28"/>
  <c r="A22828" i="28"/>
  <c r="A22829" i="28"/>
  <c r="A22830" i="28"/>
  <c r="A22831" i="28"/>
  <c r="A22832" i="28"/>
  <c r="A22833" i="28"/>
  <c r="A22834" i="28"/>
  <c r="A22835" i="28"/>
  <c r="A22836" i="28"/>
  <c r="A22837" i="28"/>
  <c r="A22838" i="28"/>
  <c r="A22839" i="28"/>
  <c r="A22840" i="28"/>
  <c r="A22841" i="28"/>
  <c r="A22842" i="28"/>
  <c r="A22843" i="28"/>
  <c r="A22844" i="28"/>
  <c r="A22845" i="28"/>
  <c r="A22846" i="28"/>
  <c r="A22847" i="28"/>
  <c r="A22848" i="28"/>
  <c r="A22849" i="28"/>
  <c r="A22850" i="28"/>
  <c r="A22851" i="28"/>
  <c r="A22852" i="28"/>
  <c r="A22853" i="28"/>
  <c r="A22854" i="28"/>
  <c r="A22855" i="28"/>
  <c r="A22856" i="28"/>
  <c r="A22857" i="28"/>
  <c r="A22858" i="28"/>
  <c r="A22859" i="28"/>
  <c r="A22860" i="28"/>
  <c r="A22861" i="28"/>
  <c r="A22862" i="28"/>
  <c r="A22863" i="28"/>
  <c r="A22864" i="28"/>
  <c r="A22865" i="28"/>
  <c r="A22866" i="28"/>
  <c r="A22867" i="28"/>
  <c r="A22868" i="28"/>
  <c r="A22869" i="28"/>
  <c r="A22870" i="28"/>
  <c r="A22871" i="28"/>
  <c r="A22872" i="28"/>
  <c r="A22873" i="28"/>
  <c r="A22874" i="28"/>
  <c r="A22875" i="28"/>
  <c r="A22876" i="28"/>
  <c r="A22877" i="28"/>
  <c r="A22878" i="28"/>
  <c r="A22879" i="28"/>
  <c r="A22880" i="28"/>
  <c r="A22881" i="28"/>
  <c r="A22882" i="28"/>
  <c r="A22883" i="28"/>
  <c r="A22884" i="28"/>
  <c r="A22885" i="28"/>
  <c r="A22886" i="28"/>
  <c r="A22887" i="28"/>
  <c r="A22888" i="28"/>
  <c r="A22889" i="28"/>
  <c r="A22890" i="28"/>
  <c r="A22891" i="28"/>
  <c r="A22892" i="28"/>
  <c r="A22893" i="28"/>
  <c r="A22894" i="28"/>
  <c r="A22895" i="28"/>
  <c r="A22896" i="28"/>
  <c r="A22897" i="28"/>
  <c r="A22898" i="28"/>
  <c r="A22899" i="28"/>
  <c r="A22900" i="28"/>
  <c r="A22901" i="28"/>
  <c r="A22902" i="28"/>
  <c r="A22903" i="28"/>
  <c r="A22904" i="28"/>
  <c r="A22905" i="28"/>
  <c r="A22906" i="28"/>
  <c r="A22907" i="28"/>
  <c r="A22908" i="28"/>
  <c r="A22909" i="28"/>
  <c r="A22910" i="28"/>
  <c r="A22911" i="28"/>
  <c r="A22912" i="28"/>
  <c r="A22913" i="28"/>
  <c r="A22914" i="28"/>
  <c r="A22915" i="28"/>
  <c r="A22916" i="28"/>
  <c r="A22917" i="28"/>
  <c r="A22918" i="28"/>
  <c r="A22919" i="28"/>
  <c r="A22920" i="28"/>
  <c r="A22921" i="28"/>
  <c r="A22922" i="28"/>
  <c r="A22923" i="28"/>
  <c r="A22924" i="28"/>
  <c r="A22925" i="28"/>
  <c r="A22926" i="28"/>
  <c r="A22927" i="28"/>
  <c r="A22928" i="28"/>
  <c r="A22929" i="28"/>
  <c r="A22930" i="28"/>
  <c r="A22931" i="28"/>
  <c r="A22932" i="28"/>
  <c r="A22933" i="28"/>
  <c r="A22934" i="28"/>
  <c r="A22935" i="28"/>
  <c r="A22936" i="28"/>
  <c r="A22937" i="28"/>
  <c r="A22938" i="28"/>
  <c r="A22939" i="28"/>
  <c r="A22940" i="28"/>
  <c r="A22941" i="28"/>
  <c r="A22942" i="28"/>
  <c r="A22943" i="28"/>
  <c r="A22944" i="28"/>
  <c r="A22945" i="28"/>
  <c r="A22946" i="28"/>
  <c r="A22947" i="28"/>
  <c r="A22948" i="28"/>
  <c r="A22949" i="28"/>
  <c r="A22950" i="28"/>
  <c r="A22951" i="28"/>
  <c r="A22952" i="28"/>
  <c r="A22953" i="28"/>
  <c r="A22954" i="28"/>
  <c r="A22955" i="28"/>
  <c r="A22956" i="28"/>
  <c r="A22957" i="28"/>
  <c r="A22958" i="28"/>
  <c r="A22959" i="28"/>
  <c r="A22960" i="28"/>
  <c r="A22961" i="28"/>
  <c r="A22962" i="28"/>
  <c r="A22963" i="28"/>
  <c r="A22964" i="28"/>
  <c r="A22965" i="28"/>
  <c r="A22966" i="28"/>
  <c r="A22967" i="28"/>
  <c r="A22968" i="28"/>
  <c r="A22969" i="28"/>
  <c r="A22970" i="28"/>
  <c r="A22971" i="28"/>
  <c r="A22972" i="28"/>
  <c r="A22973" i="28"/>
  <c r="A22974" i="28"/>
  <c r="A22975" i="28"/>
  <c r="A22976" i="28"/>
  <c r="A22977" i="28"/>
  <c r="A22978" i="28"/>
  <c r="A22979" i="28"/>
  <c r="A22980" i="28"/>
  <c r="A22981" i="28"/>
  <c r="A22982" i="28"/>
  <c r="A22983" i="28"/>
  <c r="A22984" i="28"/>
  <c r="A22985" i="28"/>
  <c r="A22986" i="28"/>
  <c r="A22987" i="28"/>
  <c r="A22988" i="28"/>
  <c r="A22989" i="28"/>
  <c r="A22990" i="28"/>
  <c r="A22991" i="28"/>
  <c r="A22992" i="28"/>
  <c r="A22993" i="28"/>
  <c r="A22994" i="28"/>
  <c r="A22995" i="28"/>
  <c r="A22996" i="28"/>
  <c r="A22997" i="28"/>
  <c r="A22998" i="28"/>
  <c r="A22999" i="28"/>
  <c r="A23000" i="28"/>
  <c r="A23001" i="28"/>
  <c r="A23002" i="28"/>
  <c r="A23003" i="28"/>
  <c r="A23004" i="28"/>
  <c r="A23005" i="28"/>
  <c r="A23006" i="28"/>
  <c r="A23007" i="28"/>
  <c r="A23008" i="28"/>
  <c r="A23009" i="28"/>
  <c r="A23010" i="28"/>
  <c r="A23011" i="28"/>
  <c r="A23012" i="28"/>
  <c r="A23013" i="28"/>
  <c r="A23014" i="28"/>
  <c r="A23015" i="28"/>
  <c r="A23016" i="28"/>
  <c r="A23017" i="28"/>
  <c r="A23018" i="28"/>
  <c r="A23019" i="28"/>
  <c r="A23020" i="28"/>
  <c r="A23021" i="28"/>
  <c r="A23022" i="28"/>
  <c r="A23023" i="28"/>
  <c r="A23024" i="28"/>
  <c r="A23025" i="28"/>
  <c r="A23026" i="28"/>
  <c r="A23027" i="28"/>
  <c r="A23028" i="28"/>
  <c r="A23029" i="28"/>
  <c r="A23030" i="28"/>
  <c r="A23031" i="28"/>
  <c r="A23032" i="28"/>
  <c r="A23033" i="28"/>
  <c r="A23034" i="28"/>
  <c r="A23035" i="28"/>
  <c r="A23036" i="28"/>
  <c r="A23037" i="28"/>
  <c r="A23038" i="28"/>
  <c r="A23039" i="28"/>
  <c r="A23040" i="28"/>
  <c r="A23041" i="28"/>
  <c r="A23042" i="28"/>
  <c r="A23043" i="28"/>
  <c r="A23044" i="28"/>
  <c r="A23045" i="28"/>
  <c r="A23046" i="28"/>
  <c r="A23047" i="28"/>
  <c r="A23048" i="28"/>
  <c r="A23049" i="28"/>
  <c r="A23050" i="28"/>
  <c r="A23051" i="28"/>
  <c r="A23052" i="28"/>
  <c r="A23053" i="28"/>
  <c r="A23054" i="28"/>
  <c r="A23055" i="28"/>
  <c r="A23056" i="28"/>
  <c r="A23057" i="28"/>
  <c r="A23058" i="28"/>
  <c r="A23059" i="28"/>
  <c r="A23060" i="28"/>
  <c r="A23061" i="28"/>
  <c r="A23062" i="28"/>
  <c r="A23063" i="28"/>
  <c r="A23064" i="28"/>
  <c r="A23065" i="28"/>
  <c r="A23066" i="28"/>
  <c r="A23067" i="28"/>
  <c r="A23068" i="28"/>
  <c r="A23069" i="28"/>
  <c r="A23070" i="28"/>
  <c r="A23071" i="28"/>
  <c r="A23072" i="28"/>
  <c r="A23073" i="28"/>
  <c r="A23074" i="28"/>
  <c r="A23075" i="28"/>
  <c r="A23076" i="28"/>
  <c r="A23077" i="28"/>
  <c r="A23078" i="28"/>
  <c r="A23079" i="28"/>
  <c r="A23080" i="28"/>
  <c r="A23081" i="28"/>
  <c r="A23082" i="28"/>
  <c r="A23083" i="28"/>
  <c r="A23084" i="28"/>
  <c r="A23085" i="28"/>
  <c r="A23086" i="28"/>
  <c r="A23087" i="28"/>
  <c r="A23088" i="28"/>
  <c r="A23089" i="28"/>
  <c r="A23090" i="28"/>
  <c r="A23091" i="28"/>
  <c r="A23092" i="28"/>
  <c r="A23093" i="28"/>
  <c r="A23094" i="28"/>
  <c r="A23095" i="28"/>
  <c r="A23096" i="28"/>
  <c r="A23097" i="28"/>
  <c r="A23098" i="28"/>
  <c r="A23099" i="28"/>
  <c r="A23100" i="28"/>
  <c r="A23101" i="28"/>
  <c r="A23102" i="28"/>
  <c r="A23103" i="28"/>
  <c r="A23104" i="28"/>
  <c r="A23105" i="28"/>
  <c r="A23106" i="28"/>
  <c r="A23107" i="28"/>
  <c r="A23108" i="28"/>
  <c r="A23109" i="28"/>
  <c r="A23110" i="28"/>
  <c r="A23111" i="28"/>
  <c r="A23112" i="28"/>
  <c r="A23113" i="28"/>
  <c r="A23114" i="28"/>
  <c r="A23115" i="28"/>
  <c r="A23116" i="28"/>
  <c r="A23117" i="28"/>
  <c r="A23118" i="28"/>
  <c r="A23119" i="28"/>
  <c r="A23120" i="28"/>
  <c r="A23121" i="28"/>
  <c r="A23122" i="28"/>
  <c r="A23123" i="28"/>
  <c r="A23124" i="28"/>
  <c r="A23125" i="28"/>
  <c r="A23126" i="28"/>
  <c r="A23127" i="28"/>
  <c r="A23128" i="28"/>
  <c r="A23129" i="28"/>
  <c r="A23130" i="28"/>
  <c r="A23131" i="28"/>
  <c r="A23132" i="28"/>
  <c r="A23133" i="28"/>
  <c r="A23134" i="28"/>
  <c r="A23135" i="28"/>
  <c r="A23136" i="28"/>
  <c r="A23137" i="28"/>
  <c r="A23138" i="28"/>
  <c r="A23139" i="28"/>
  <c r="A23140" i="28"/>
  <c r="A23141" i="28"/>
  <c r="A23142" i="28"/>
  <c r="A23143" i="28"/>
  <c r="A23144" i="28"/>
  <c r="A23145" i="28"/>
  <c r="A23146" i="28"/>
  <c r="A23147" i="28"/>
  <c r="A23148" i="28"/>
  <c r="A23149" i="28"/>
  <c r="A23150" i="28"/>
  <c r="A23151" i="28"/>
  <c r="A23152" i="28"/>
  <c r="A23153" i="28"/>
  <c r="A23154" i="28"/>
  <c r="A23155" i="28"/>
  <c r="A23156" i="28"/>
  <c r="A23157" i="28"/>
  <c r="A23158" i="28"/>
  <c r="A23159" i="28"/>
  <c r="A23160" i="28"/>
  <c r="A23161" i="28"/>
  <c r="A23162" i="28"/>
  <c r="A23163" i="28"/>
  <c r="A23164" i="28"/>
  <c r="A23165" i="28"/>
  <c r="A23166" i="28"/>
  <c r="A23167" i="28"/>
  <c r="A23168" i="28"/>
  <c r="A23169" i="28"/>
  <c r="A23170" i="28"/>
  <c r="A23171" i="28"/>
  <c r="A23172" i="28"/>
  <c r="A23173" i="28"/>
  <c r="A23174" i="28"/>
  <c r="A23175" i="28"/>
  <c r="A23176" i="28"/>
  <c r="A23177" i="28"/>
  <c r="A23178" i="28"/>
  <c r="A23179" i="28"/>
  <c r="A23180" i="28"/>
  <c r="A23181" i="28"/>
  <c r="A23182" i="28"/>
  <c r="A23183" i="28"/>
  <c r="A23184" i="28"/>
  <c r="A23185" i="28"/>
  <c r="A23186" i="28"/>
  <c r="A23187" i="28"/>
  <c r="A23188" i="28"/>
  <c r="A23189" i="28"/>
  <c r="A23190" i="28"/>
  <c r="A23191" i="28"/>
  <c r="A23192" i="28"/>
  <c r="A23193" i="28"/>
  <c r="A23194" i="28"/>
  <c r="A23195" i="28"/>
  <c r="A23196" i="28"/>
  <c r="A23197" i="28"/>
  <c r="A23198" i="28"/>
  <c r="A23199" i="28"/>
  <c r="A23200" i="28"/>
  <c r="A23201" i="28"/>
  <c r="A23202" i="28"/>
  <c r="A23203" i="28"/>
  <c r="A23204" i="28"/>
  <c r="A23205" i="28"/>
  <c r="A23206" i="28"/>
  <c r="A23207" i="28"/>
  <c r="A23208" i="28"/>
  <c r="A23209" i="28"/>
  <c r="A23210" i="28"/>
  <c r="A23211" i="28"/>
  <c r="A23212" i="28"/>
  <c r="A23213" i="28"/>
  <c r="A23214" i="28"/>
  <c r="A23215" i="28"/>
  <c r="A23216" i="28"/>
  <c r="A23217" i="28"/>
  <c r="A23218" i="28"/>
  <c r="A23219" i="28"/>
  <c r="A23220" i="28"/>
  <c r="A23221" i="28"/>
  <c r="A23222" i="28"/>
  <c r="A23223" i="28"/>
  <c r="A23224" i="28"/>
  <c r="A23225" i="28"/>
  <c r="A23226" i="28"/>
  <c r="A23227" i="28"/>
  <c r="A23228" i="28"/>
  <c r="A23229" i="28"/>
  <c r="A23230" i="28"/>
  <c r="A23231" i="28"/>
  <c r="A23232" i="28"/>
  <c r="A23233" i="28"/>
  <c r="A23234" i="28"/>
  <c r="A23235" i="28"/>
  <c r="A23236" i="28"/>
  <c r="A23237" i="28"/>
  <c r="A23238" i="28"/>
  <c r="A23239" i="28"/>
  <c r="A23240" i="28"/>
  <c r="A23241" i="28"/>
  <c r="A23242" i="28"/>
  <c r="A23243" i="28"/>
  <c r="A23244" i="28"/>
  <c r="A23245" i="28"/>
  <c r="A23246" i="28"/>
  <c r="A23247" i="28"/>
  <c r="A23248" i="28"/>
  <c r="A23249" i="28"/>
  <c r="A23250" i="28"/>
  <c r="A23251" i="28"/>
  <c r="A23252" i="28"/>
  <c r="A23253" i="28"/>
  <c r="A23254" i="28"/>
  <c r="A23255" i="28"/>
  <c r="A23256" i="28"/>
  <c r="A23257" i="28"/>
  <c r="A23258" i="28"/>
  <c r="A23259" i="28"/>
  <c r="A23260" i="28"/>
  <c r="A23261" i="28"/>
  <c r="A23262" i="28"/>
  <c r="A23263" i="28"/>
  <c r="A23264" i="28"/>
  <c r="A23265" i="28"/>
  <c r="A23266" i="28"/>
  <c r="A23267" i="28"/>
  <c r="A23268" i="28"/>
  <c r="A23269" i="28"/>
  <c r="A23270" i="28"/>
  <c r="A23271" i="28"/>
  <c r="A23272" i="28"/>
  <c r="A23273" i="28"/>
  <c r="A23274" i="28"/>
  <c r="A23275" i="28"/>
  <c r="A23276" i="28"/>
  <c r="A23277" i="28"/>
  <c r="A23278" i="28"/>
  <c r="A23279" i="28"/>
  <c r="A23280" i="28"/>
  <c r="A23281" i="28"/>
  <c r="A23282" i="28"/>
  <c r="A23283" i="28"/>
  <c r="A23284" i="28"/>
  <c r="A23285" i="28"/>
  <c r="A23286" i="28"/>
  <c r="A23287" i="28"/>
  <c r="A23288" i="28"/>
  <c r="A23289" i="28"/>
  <c r="A23290" i="28"/>
  <c r="A23291" i="28"/>
  <c r="A23292" i="28"/>
  <c r="A23293" i="28"/>
  <c r="A23294" i="28"/>
  <c r="A23295" i="28"/>
  <c r="A23296" i="28"/>
  <c r="A23297" i="28"/>
  <c r="A23298" i="28"/>
  <c r="A23299" i="28"/>
  <c r="A23300" i="28"/>
  <c r="A23301" i="28"/>
  <c r="A23302" i="28"/>
  <c r="A23303" i="28"/>
  <c r="A23304" i="28"/>
  <c r="A23305" i="28"/>
  <c r="A23306" i="28"/>
  <c r="A23307" i="28"/>
  <c r="A23308" i="28"/>
  <c r="A23309" i="28"/>
  <c r="A23310" i="28"/>
  <c r="A23311" i="28"/>
  <c r="A23312" i="28"/>
  <c r="A23313" i="28"/>
  <c r="A23314" i="28"/>
  <c r="A23315" i="28"/>
  <c r="A23316" i="28"/>
  <c r="A23317" i="28"/>
  <c r="A23318" i="28"/>
  <c r="A23319" i="28"/>
  <c r="A23320" i="28"/>
  <c r="A23321" i="28"/>
  <c r="A23322" i="28"/>
  <c r="A23323" i="28"/>
  <c r="A23324" i="28"/>
  <c r="A23325" i="28"/>
  <c r="A23326" i="28"/>
  <c r="A23327" i="28"/>
  <c r="A23328" i="28"/>
  <c r="A23329" i="28"/>
  <c r="A23330" i="28"/>
  <c r="A23331" i="28"/>
  <c r="A23332" i="28"/>
  <c r="A23333" i="28"/>
  <c r="A23334" i="28"/>
  <c r="A23335" i="28"/>
  <c r="A23336" i="28"/>
  <c r="A23337" i="28"/>
  <c r="A23338" i="28"/>
  <c r="A23339" i="28"/>
  <c r="A23340" i="28"/>
  <c r="A23341" i="28"/>
  <c r="A23342" i="28"/>
  <c r="A23343" i="28"/>
  <c r="A23344" i="28"/>
  <c r="A23345" i="28"/>
  <c r="A23346" i="28"/>
  <c r="A23347" i="28"/>
  <c r="A23348" i="28"/>
  <c r="A23349" i="28"/>
  <c r="A23350" i="28"/>
  <c r="A23351" i="28"/>
  <c r="A23352" i="28"/>
  <c r="A23353" i="28"/>
  <c r="A23354" i="28"/>
  <c r="A23355" i="28"/>
  <c r="A23356" i="28"/>
  <c r="A23357" i="28"/>
  <c r="A23358" i="28"/>
  <c r="A23359" i="28"/>
  <c r="A23360" i="28"/>
  <c r="A23361" i="28"/>
  <c r="A23362" i="28"/>
  <c r="A23363" i="28"/>
  <c r="A23364" i="28"/>
  <c r="A23365" i="28"/>
  <c r="A23366" i="28"/>
  <c r="A23367" i="28"/>
  <c r="A23368" i="28"/>
  <c r="A23369" i="28"/>
  <c r="A23370" i="28"/>
  <c r="A23371" i="28"/>
  <c r="A23372" i="28"/>
  <c r="A23373" i="28"/>
  <c r="A23374" i="28"/>
  <c r="A23375" i="28"/>
  <c r="A23376" i="28"/>
  <c r="A23377" i="28"/>
  <c r="A23378" i="28"/>
  <c r="A23379" i="28"/>
  <c r="A23380" i="28"/>
  <c r="A23381" i="28"/>
  <c r="A23382" i="28"/>
  <c r="A23383" i="28"/>
  <c r="A23384" i="28"/>
  <c r="A23385" i="28"/>
  <c r="A23386" i="28"/>
  <c r="A23387" i="28"/>
  <c r="A23388" i="28"/>
  <c r="A23389" i="28"/>
  <c r="A23390" i="28"/>
  <c r="A23391" i="28"/>
  <c r="A23392" i="28"/>
  <c r="A23393" i="28"/>
  <c r="A23394" i="28"/>
  <c r="A23395" i="28"/>
  <c r="A23396" i="28"/>
  <c r="A23397" i="28"/>
  <c r="A23398" i="28"/>
  <c r="A23399" i="28"/>
  <c r="A23400" i="28"/>
  <c r="A23401" i="28"/>
  <c r="A23402" i="28"/>
  <c r="A23403" i="28"/>
  <c r="A23404" i="28"/>
  <c r="A23405" i="28"/>
  <c r="A23406" i="28"/>
  <c r="A23407" i="28"/>
  <c r="A23408" i="28"/>
  <c r="A23409" i="28"/>
  <c r="A23410" i="28"/>
  <c r="A23411" i="28"/>
  <c r="A23412" i="28"/>
  <c r="A23413" i="28"/>
  <c r="A23414" i="28"/>
  <c r="A23415" i="28"/>
  <c r="A23416" i="28"/>
  <c r="A23417" i="28"/>
  <c r="A23418" i="28"/>
  <c r="A23419" i="28"/>
  <c r="A23420" i="28"/>
  <c r="A23421" i="28"/>
  <c r="A23422" i="28"/>
  <c r="A23423" i="28"/>
  <c r="A23424" i="28"/>
  <c r="A23425" i="28"/>
  <c r="A23426" i="28"/>
  <c r="A23427" i="28"/>
  <c r="A23428" i="28"/>
  <c r="A23429" i="28"/>
  <c r="A23430" i="28"/>
  <c r="A23431" i="28"/>
  <c r="A23432" i="28"/>
  <c r="A23433" i="28"/>
  <c r="A23434" i="28"/>
  <c r="A23435" i="28"/>
  <c r="A23436" i="28"/>
  <c r="A23437" i="28"/>
  <c r="A23438" i="28"/>
  <c r="A23439" i="28"/>
  <c r="A23440" i="28"/>
  <c r="A23441" i="28"/>
  <c r="A23442" i="28"/>
  <c r="A23443" i="28"/>
  <c r="A23444" i="28"/>
  <c r="A23445" i="28"/>
  <c r="A23446" i="28"/>
  <c r="A23447" i="28"/>
  <c r="A23448" i="28"/>
  <c r="A23449" i="28"/>
  <c r="A23450" i="28"/>
  <c r="A23451" i="28"/>
  <c r="A23452" i="28"/>
  <c r="A23453" i="28"/>
  <c r="A23454" i="28"/>
  <c r="A23455" i="28"/>
  <c r="A23456" i="28"/>
  <c r="A23457" i="28"/>
  <c r="A23458" i="28"/>
  <c r="A23459" i="28"/>
  <c r="A23460" i="28"/>
  <c r="A23461" i="28"/>
  <c r="A23462" i="28"/>
  <c r="A23463" i="28"/>
  <c r="A23464" i="28"/>
  <c r="A23465" i="28"/>
  <c r="A23466" i="28"/>
  <c r="A23467" i="28"/>
  <c r="A23468" i="28"/>
  <c r="A23469" i="28"/>
  <c r="A23470" i="28"/>
  <c r="A23471" i="28"/>
  <c r="A23472" i="28"/>
  <c r="A23473" i="28"/>
  <c r="A23474" i="28"/>
  <c r="A23475" i="28"/>
  <c r="A23476" i="28"/>
  <c r="A23477" i="28"/>
  <c r="A23478" i="28"/>
  <c r="A23479" i="28"/>
  <c r="A23480" i="28"/>
  <c r="A23481" i="28"/>
  <c r="A23482" i="28"/>
  <c r="A23483" i="28"/>
  <c r="A23484" i="28"/>
  <c r="A23485" i="28"/>
  <c r="A23486" i="28"/>
  <c r="A23487" i="28"/>
  <c r="A23488" i="28"/>
  <c r="A23489" i="28"/>
  <c r="A23490" i="28"/>
  <c r="A23491" i="28"/>
  <c r="A23492" i="28"/>
  <c r="A23493" i="28"/>
  <c r="A23494" i="28"/>
  <c r="A23495" i="28"/>
  <c r="A23496" i="28"/>
  <c r="A23497" i="28"/>
  <c r="A23498" i="28"/>
  <c r="A23499" i="28"/>
  <c r="A23500" i="28"/>
  <c r="A23501" i="28"/>
  <c r="A23502" i="28"/>
  <c r="A23503" i="28"/>
  <c r="A23504" i="28"/>
  <c r="A23505" i="28"/>
  <c r="A23506" i="28"/>
  <c r="A23507" i="28"/>
  <c r="A23508" i="28"/>
  <c r="A23509" i="28"/>
  <c r="A23510" i="28"/>
  <c r="A23511" i="28"/>
  <c r="A23512" i="28"/>
  <c r="A23513" i="28"/>
  <c r="A23514" i="28"/>
  <c r="A23515" i="28"/>
  <c r="A23516" i="28"/>
  <c r="A23517" i="28"/>
  <c r="A23518" i="28"/>
  <c r="A23519" i="28"/>
  <c r="A23520" i="28"/>
  <c r="A23521" i="28"/>
  <c r="A23522" i="28"/>
  <c r="A23523" i="28"/>
  <c r="A23524" i="28"/>
  <c r="A23525" i="28"/>
  <c r="A23526" i="28"/>
  <c r="A23527" i="28"/>
  <c r="A23528" i="28"/>
  <c r="A23529" i="28"/>
  <c r="A23530" i="28"/>
  <c r="A23531" i="28"/>
  <c r="A23532" i="28"/>
  <c r="A23533" i="28"/>
  <c r="A23534" i="28"/>
  <c r="A23535" i="28"/>
  <c r="A23536" i="28"/>
  <c r="A23537" i="28"/>
  <c r="A23538" i="28"/>
  <c r="A23539" i="28"/>
  <c r="A23540" i="28"/>
  <c r="A23541" i="28"/>
  <c r="A23542" i="28"/>
  <c r="A23543" i="28"/>
  <c r="A23544" i="28"/>
  <c r="A23545" i="28"/>
  <c r="A23546" i="28"/>
  <c r="A23547" i="28"/>
  <c r="A23548" i="28"/>
  <c r="A23549" i="28"/>
  <c r="A23550" i="28"/>
  <c r="A23551" i="28"/>
  <c r="A23552" i="28"/>
  <c r="A23553" i="28"/>
  <c r="A23554" i="28"/>
  <c r="A23555" i="28"/>
  <c r="A23556" i="28"/>
  <c r="A23557" i="28"/>
  <c r="A23558" i="28"/>
  <c r="A23559" i="28"/>
  <c r="A23560" i="28"/>
  <c r="A23561" i="28"/>
  <c r="A23562" i="28"/>
  <c r="A23563" i="28"/>
  <c r="A23564" i="28"/>
  <c r="A23565" i="28"/>
  <c r="A23566" i="28"/>
  <c r="A23567" i="28"/>
  <c r="A23568" i="28"/>
  <c r="A23569" i="28"/>
  <c r="A23570" i="28"/>
  <c r="A23571" i="28"/>
  <c r="Y8" i="19"/>
  <c r="Z8" i="19"/>
  <c r="AA8" i="19"/>
  <c r="AB8" i="19"/>
  <c r="AC8" i="19"/>
  <c r="W8" i="19"/>
  <c r="AD8" i="19"/>
  <c r="AE8" i="19"/>
  <c r="X9" i="19"/>
  <c r="Y9" i="19"/>
  <c r="Z9" i="19"/>
  <c r="AA9" i="19"/>
  <c r="AB9" i="19"/>
  <c r="AC9" i="19"/>
  <c r="W9" i="19"/>
  <c r="AD9" i="19"/>
  <c r="AE9" i="19"/>
  <c r="X10" i="19"/>
  <c r="Y10" i="19"/>
  <c r="Z10" i="19"/>
  <c r="AA10" i="19"/>
  <c r="AB10" i="19"/>
  <c r="AC10" i="19"/>
  <c r="W10" i="19"/>
  <c r="AD10" i="19"/>
  <c r="AE10" i="19"/>
  <c r="X11" i="19"/>
  <c r="Y11" i="19"/>
  <c r="Z11" i="19"/>
  <c r="AA11" i="19"/>
  <c r="AB11" i="19"/>
  <c r="AC11" i="19"/>
  <c r="W11" i="19"/>
  <c r="AD11" i="19"/>
  <c r="AE11" i="19"/>
  <c r="X12" i="19"/>
  <c r="Y12" i="19"/>
  <c r="Z12" i="19"/>
  <c r="AA12" i="19"/>
  <c r="AB12" i="19"/>
  <c r="AC12" i="19"/>
  <c r="W12" i="19"/>
  <c r="AD12" i="19"/>
  <c r="AE12" i="19"/>
  <c r="X13" i="19"/>
  <c r="Y13" i="19"/>
  <c r="Z13" i="19"/>
  <c r="AA13" i="19"/>
  <c r="AB13" i="19"/>
  <c r="AC13" i="19"/>
  <c r="W13" i="19"/>
  <c r="AD13" i="19"/>
  <c r="AE13" i="19"/>
  <c r="X14" i="19"/>
  <c r="Y14" i="19"/>
  <c r="Z14" i="19"/>
  <c r="AA14" i="19"/>
  <c r="AB14" i="19"/>
  <c r="AC14" i="19"/>
  <c r="W14" i="19"/>
  <c r="AD14" i="19"/>
  <c r="AE14" i="19"/>
  <c r="X15" i="19"/>
  <c r="Y15" i="19"/>
  <c r="Z15" i="19"/>
  <c r="AA15" i="19"/>
  <c r="AB15" i="19"/>
  <c r="AC15" i="19"/>
  <c r="W15" i="19"/>
  <c r="AD15" i="19"/>
  <c r="AE15" i="19"/>
  <c r="X16" i="19"/>
  <c r="Y16" i="19"/>
  <c r="Z16" i="19"/>
  <c r="AA16" i="19"/>
  <c r="AB16" i="19"/>
  <c r="AC16" i="19"/>
  <c r="W16" i="19"/>
  <c r="AD16" i="19"/>
  <c r="AE16" i="19"/>
  <c r="X17" i="19"/>
  <c r="Y17" i="19"/>
  <c r="Z17" i="19"/>
  <c r="AA17" i="19"/>
  <c r="AB17" i="19"/>
  <c r="AC17" i="19"/>
  <c r="W17" i="19"/>
  <c r="AD17" i="19"/>
  <c r="AE17" i="19"/>
  <c r="X22" i="19"/>
  <c r="Y22" i="19"/>
  <c r="Z22" i="19"/>
  <c r="AA22" i="19"/>
  <c r="AB22" i="19"/>
  <c r="AC22" i="19"/>
  <c r="W22" i="19"/>
  <c r="AD22" i="19"/>
  <c r="AE22" i="19"/>
  <c r="X23" i="19"/>
  <c r="Y23" i="19"/>
  <c r="Z23" i="19"/>
  <c r="AA23" i="19"/>
  <c r="AB23" i="19"/>
  <c r="AC23" i="19"/>
  <c r="W23" i="19"/>
  <c r="AD23" i="19"/>
  <c r="AE23" i="19"/>
  <c r="X24" i="19"/>
  <c r="Y24" i="19"/>
  <c r="Z24" i="19"/>
  <c r="AA24" i="19"/>
  <c r="AB24" i="19"/>
  <c r="AC24" i="19"/>
  <c r="W24" i="19"/>
  <c r="AD24" i="19"/>
  <c r="AE24" i="19"/>
  <c r="X25" i="19"/>
  <c r="Y25" i="19"/>
  <c r="Z25" i="19"/>
  <c r="AA25" i="19"/>
  <c r="AB25" i="19"/>
  <c r="AC25" i="19"/>
  <c r="W25" i="19"/>
  <c r="AD25" i="19"/>
  <c r="AE25" i="19"/>
  <c r="X26" i="19"/>
  <c r="Y26" i="19"/>
  <c r="Z26" i="19"/>
  <c r="AA26" i="19"/>
  <c r="AB26" i="19"/>
  <c r="AC26" i="19"/>
  <c r="W26" i="19"/>
  <c r="AD26" i="19"/>
  <c r="AE26" i="19"/>
  <c r="X27" i="19"/>
  <c r="Y27" i="19"/>
  <c r="Z27" i="19"/>
  <c r="AA27" i="19"/>
  <c r="AB27" i="19"/>
  <c r="AC27" i="19"/>
  <c r="W27" i="19"/>
  <c r="AD27" i="19"/>
  <c r="AE27" i="19"/>
  <c r="X28" i="19"/>
  <c r="Y28" i="19"/>
  <c r="Z28" i="19"/>
  <c r="AA28" i="19"/>
  <c r="AB28" i="19"/>
  <c r="AC28" i="19"/>
  <c r="W28" i="19"/>
  <c r="AD28" i="19"/>
  <c r="AE28" i="19"/>
  <c r="X29" i="19"/>
  <c r="Y29" i="19"/>
  <c r="Z29" i="19"/>
  <c r="AA29" i="19"/>
  <c r="AB29" i="19"/>
  <c r="AC29" i="19"/>
  <c r="W29" i="19"/>
  <c r="AD29" i="19"/>
  <c r="AE29" i="19"/>
  <c r="X30" i="19"/>
  <c r="Y30" i="19"/>
  <c r="Z30" i="19"/>
  <c r="AA30" i="19"/>
  <c r="AB30" i="19"/>
  <c r="AC30" i="19"/>
  <c r="W30" i="19"/>
  <c r="AD30" i="19"/>
  <c r="AE30" i="19"/>
  <c r="X31" i="19"/>
  <c r="Y31" i="19"/>
  <c r="Z31" i="19"/>
  <c r="AA31" i="19"/>
  <c r="AB31" i="19"/>
  <c r="AC31" i="19"/>
  <c r="W31" i="19"/>
  <c r="AD31" i="19"/>
  <c r="AE31" i="19"/>
  <c r="X32" i="19"/>
  <c r="Y32" i="19"/>
  <c r="Z32" i="19"/>
  <c r="AA32" i="19"/>
  <c r="AB32" i="19"/>
  <c r="AC32" i="19"/>
  <c r="W32" i="19"/>
  <c r="AD32" i="19"/>
  <c r="AE32" i="19"/>
  <c r="X33" i="19"/>
  <c r="Y33" i="19"/>
  <c r="Z33" i="19"/>
  <c r="AA33" i="19"/>
  <c r="AB33" i="19"/>
  <c r="AC33" i="19"/>
  <c r="W33" i="19"/>
  <c r="AD33" i="19"/>
  <c r="AE33" i="19"/>
  <c r="X34" i="19"/>
  <c r="Y34" i="19"/>
  <c r="Z34" i="19"/>
  <c r="AA34" i="19"/>
  <c r="AB34" i="19"/>
  <c r="AC34" i="19"/>
  <c r="W34" i="19"/>
  <c r="AD34" i="19"/>
  <c r="AE34" i="19"/>
  <c r="X35" i="19"/>
  <c r="Y35" i="19"/>
  <c r="Z35" i="19"/>
  <c r="AA35" i="19"/>
  <c r="AB35" i="19"/>
  <c r="AC35" i="19"/>
  <c r="W35" i="19"/>
  <c r="AD35" i="19"/>
  <c r="AE35" i="19"/>
  <c r="X36" i="19"/>
  <c r="Y36" i="19"/>
  <c r="Z36" i="19"/>
  <c r="AA36" i="19"/>
  <c r="AB36" i="19"/>
  <c r="AC36" i="19"/>
  <c r="W36" i="19"/>
  <c r="AD36" i="19"/>
  <c r="AE36" i="19"/>
  <c r="X37" i="19"/>
  <c r="Y37" i="19"/>
  <c r="Z37" i="19"/>
  <c r="AA37" i="19"/>
  <c r="AB37" i="19"/>
  <c r="AC37" i="19"/>
  <c r="W37" i="19"/>
  <c r="AD37" i="19"/>
  <c r="AE37" i="19"/>
  <c r="X38" i="19"/>
  <c r="Y38" i="19"/>
  <c r="Z38" i="19"/>
  <c r="AA38" i="19"/>
  <c r="AB38" i="19"/>
  <c r="AC38" i="19"/>
  <c r="W38" i="19"/>
  <c r="AD38" i="19"/>
  <c r="AE38" i="19"/>
  <c r="X39" i="19"/>
  <c r="Y39" i="19"/>
  <c r="Z39" i="19"/>
  <c r="AA39" i="19"/>
  <c r="AB39" i="19"/>
  <c r="AC39" i="19"/>
  <c r="W39" i="19"/>
  <c r="AD39" i="19"/>
  <c r="AE39" i="19"/>
  <c r="X40" i="19"/>
  <c r="Y40" i="19"/>
  <c r="Z40" i="19"/>
  <c r="AA40" i="19"/>
  <c r="AB40" i="19"/>
  <c r="AC40" i="19"/>
  <c r="W40" i="19"/>
  <c r="AD40" i="19"/>
  <c r="AE40" i="19"/>
  <c r="X41" i="19"/>
  <c r="Y41" i="19"/>
  <c r="Z41" i="19"/>
  <c r="AA41" i="19"/>
  <c r="AB41" i="19"/>
  <c r="AC41" i="19"/>
  <c r="W41" i="19"/>
  <c r="AD41" i="19"/>
  <c r="AE41" i="19"/>
  <c r="X42" i="19"/>
  <c r="Y42" i="19"/>
  <c r="Z42" i="19"/>
  <c r="AA42" i="19"/>
  <c r="AB42" i="19"/>
  <c r="AC42" i="19"/>
  <c r="W42" i="19"/>
  <c r="AD42" i="19"/>
  <c r="AE42" i="19"/>
  <c r="X43" i="19"/>
  <c r="Y43" i="19"/>
  <c r="Z43" i="19"/>
  <c r="AA43" i="19"/>
  <c r="AB43" i="19"/>
  <c r="AC43" i="19"/>
  <c r="W43" i="19"/>
  <c r="AD43" i="19"/>
  <c r="AE43" i="19"/>
  <c r="X44" i="19"/>
  <c r="Y44" i="19"/>
  <c r="Z44" i="19"/>
  <c r="AA44" i="19"/>
  <c r="AB44" i="19"/>
  <c r="AC44" i="19"/>
  <c r="W44" i="19"/>
  <c r="AD44" i="19"/>
  <c r="AE44" i="19"/>
  <c r="X46" i="19"/>
  <c r="Y46" i="19"/>
  <c r="Z46" i="19"/>
  <c r="AA46" i="19"/>
  <c r="AB46" i="19"/>
  <c r="AC46" i="19"/>
  <c r="W46" i="19"/>
  <c r="AD46" i="19"/>
  <c r="AE46" i="19"/>
  <c r="X47" i="19"/>
  <c r="Y47" i="19"/>
  <c r="Z47" i="19"/>
  <c r="AA47" i="19"/>
  <c r="AB47" i="19"/>
  <c r="AC47" i="19"/>
  <c r="W47" i="19"/>
  <c r="AD47" i="19"/>
  <c r="AE47" i="19"/>
  <c r="X48" i="19"/>
  <c r="Y48" i="19"/>
  <c r="Z48" i="19"/>
  <c r="AA48" i="19"/>
  <c r="AB48" i="19"/>
  <c r="AC48" i="19"/>
  <c r="W48" i="19"/>
  <c r="AD48" i="19"/>
  <c r="AE48" i="19"/>
  <c r="X49" i="19"/>
  <c r="Y49" i="19"/>
  <c r="Z49" i="19"/>
  <c r="AA49" i="19"/>
  <c r="AB49" i="19"/>
  <c r="AC49" i="19"/>
  <c r="W49" i="19"/>
  <c r="AD49" i="19"/>
  <c r="AE49" i="19"/>
  <c r="X50" i="19"/>
  <c r="Y50" i="19"/>
  <c r="Z50" i="19"/>
  <c r="AA50" i="19"/>
  <c r="AB50" i="19"/>
  <c r="AC50" i="19"/>
  <c r="W50" i="19"/>
  <c r="AD50" i="19"/>
  <c r="AE50" i="19"/>
  <c r="X51" i="19"/>
  <c r="Y51" i="19"/>
  <c r="Z51" i="19"/>
  <c r="AA51" i="19"/>
  <c r="AB51" i="19"/>
  <c r="AC51" i="19"/>
  <c r="W51" i="19"/>
  <c r="AD51" i="19"/>
  <c r="AE51" i="19"/>
  <c r="X52" i="19"/>
  <c r="Y52" i="19"/>
  <c r="Z52" i="19"/>
  <c r="AA52" i="19"/>
  <c r="AB52" i="19"/>
  <c r="AC52" i="19"/>
  <c r="W52" i="19"/>
  <c r="AD52" i="19"/>
  <c r="AE52" i="19"/>
  <c r="X53" i="19"/>
  <c r="Y53" i="19"/>
  <c r="Z53" i="19"/>
  <c r="AA53" i="19"/>
  <c r="AB53" i="19"/>
  <c r="AC53" i="19"/>
  <c r="W53" i="19"/>
  <c r="AD53" i="19"/>
  <c r="AE53" i="19"/>
  <c r="X54" i="19"/>
  <c r="Y54" i="19"/>
  <c r="Z54" i="19"/>
  <c r="AA54" i="19"/>
  <c r="AB54" i="19"/>
  <c r="AC54" i="19"/>
  <c r="W54" i="19"/>
  <c r="AD54" i="19"/>
  <c r="AE54" i="19"/>
  <c r="X55" i="19"/>
  <c r="Y55" i="19"/>
  <c r="Z55" i="19"/>
  <c r="AA55" i="19"/>
  <c r="AB55" i="19"/>
  <c r="AC55" i="19"/>
  <c r="W55" i="19"/>
  <c r="AD55" i="19"/>
  <c r="AE55" i="19"/>
  <c r="X56" i="19"/>
  <c r="Y56" i="19"/>
  <c r="Z56" i="19"/>
  <c r="AA56" i="19"/>
  <c r="AB56" i="19"/>
  <c r="AC56" i="19"/>
  <c r="W56" i="19"/>
  <c r="AD56" i="19"/>
  <c r="AE56" i="19"/>
  <c r="X57" i="19"/>
  <c r="Y57" i="19"/>
  <c r="Z57" i="19"/>
  <c r="AA57" i="19"/>
  <c r="AB57" i="19"/>
  <c r="AC57" i="19"/>
  <c r="W57" i="19"/>
  <c r="AD57" i="19"/>
  <c r="AE57" i="19"/>
  <c r="X58" i="19"/>
  <c r="Y58" i="19"/>
  <c r="Z58" i="19"/>
  <c r="AA58" i="19"/>
  <c r="AB58" i="19"/>
  <c r="AC58" i="19"/>
  <c r="W58" i="19"/>
  <c r="AD58" i="19"/>
  <c r="AE58" i="19"/>
  <c r="X59" i="19"/>
  <c r="Y59" i="19"/>
  <c r="Z59" i="19"/>
  <c r="AA59" i="19"/>
  <c r="AB59" i="19"/>
  <c r="AC59" i="19"/>
  <c r="W59" i="19"/>
  <c r="AD59" i="19"/>
  <c r="AE59" i="19"/>
  <c r="X60" i="19"/>
  <c r="Y60" i="19"/>
  <c r="Z60" i="19"/>
  <c r="AA60" i="19"/>
  <c r="AB60" i="19"/>
  <c r="AC60" i="19"/>
  <c r="W60" i="19"/>
  <c r="AD60" i="19"/>
  <c r="AE60" i="19"/>
  <c r="X61" i="19"/>
  <c r="Y61" i="19"/>
  <c r="Z61" i="19"/>
  <c r="AA61" i="19"/>
  <c r="AB61" i="19"/>
  <c r="AC61" i="19"/>
  <c r="W61" i="19"/>
  <c r="AD61" i="19"/>
  <c r="AE61" i="19"/>
  <c r="X62" i="19"/>
  <c r="Y62" i="19"/>
  <c r="Z62" i="19"/>
  <c r="AA62" i="19"/>
  <c r="AB62" i="19"/>
  <c r="AC62" i="19"/>
  <c r="W62" i="19"/>
  <c r="AD62" i="19"/>
  <c r="AE62" i="19"/>
  <c r="X63" i="19"/>
  <c r="Y63" i="19"/>
  <c r="Z63" i="19"/>
  <c r="AA63" i="19"/>
  <c r="AB63" i="19"/>
  <c r="AC63" i="19"/>
  <c r="W63" i="19"/>
  <c r="AD63" i="19"/>
  <c r="AE63" i="19"/>
  <c r="X66" i="19"/>
  <c r="Y66" i="19"/>
  <c r="Z66" i="19"/>
  <c r="AA66" i="19"/>
  <c r="AB66" i="19"/>
  <c r="AC66" i="19"/>
  <c r="W66" i="19"/>
  <c r="AD66" i="19"/>
  <c r="AE66" i="19"/>
  <c r="X67" i="19"/>
  <c r="Y67" i="19"/>
  <c r="Z67" i="19"/>
  <c r="AA67" i="19"/>
  <c r="AB67" i="19"/>
  <c r="AC67" i="19"/>
  <c r="W67" i="19"/>
  <c r="AD67" i="19"/>
  <c r="AE67" i="19"/>
  <c r="X68" i="19"/>
  <c r="Y68" i="19"/>
  <c r="Z68" i="19"/>
  <c r="AA68" i="19"/>
  <c r="AB68" i="19"/>
  <c r="AC68" i="19"/>
  <c r="W68" i="19"/>
  <c r="AD68" i="19"/>
  <c r="AE68" i="19"/>
  <c r="X69" i="19"/>
  <c r="Y69" i="19"/>
  <c r="Z69" i="19"/>
  <c r="AA69" i="19"/>
  <c r="AB69" i="19"/>
  <c r="AC69" i="19"/>
  <c r="W69" i="19"/>
  <c r="AD69" i="19"/>
  <c r="AE69" i="19"/>
  <c r="X70" i="19"/>
  <c r="Y70" i="19"/>
  <c r="Z70" i="19"/>
  <c r="AA70" i="19"/>
  <c r="AB70" i="19"/>
  <c r="AC70" i="19"/>
  <c r="W70" i="19"/>
  <c r="AD70" i="19"/>
  <c r="AE70" i="19"/>
  <c r="X71" i="19"/>
  <c r="Y71" i="19"/>
  <c r="Z71" i="19"/>
  <c r="AA71" i="19"/>
  <c r="AB71" i="19"/>
  <c r="AC71" i="19"/>
  <c r="W71" i="19"/>
  <c r="AD71" i="19"/>
  <c r="AE71" i="19"/>
  <c r="X72" i="19"/>
  <c r="Y72" i="19"/>
  <c r="Z72" i="19"/>
  <c r="AA72" i="19"/>
  <c r="AB72" i="19"/>
  <c r="AC72" i="19"/>
  <c r="W72" i="19"/>
  <c r="AD72" i="19"/>
  <c r="AE72" i="19"/>
  <c r="X73" i="19"/>
  <c r="Y73" i="19"/>
  <c r="Z73" i="19"/>
  <c r="AA73" i="19"/>
  <c r="AB73" i="19"/>
  <c r="AC73" i="19"/>
  <c r="W73" i="19"/>
  <c r="AD73" i="19"/>
  <c r="AE73" i="19"/>
  <c r="X74" i="19"/>
  <c r="Y74" i="19"/>
  <c r="Z74" i="19"/>
  <c r="AA74" i="19"/>
  <c r="AB74" i="19"/>
  <c r="AC74" i="19"/>
  <c r="W74" i="19"/>
  <c r="AD74" i="19"/>
  <c r="AE74" i="19"/>
  <c r="X75" i="19"/>
  <c r="Y75" i="19"/>
  <c r="Z75" i="19"/>
  <c r="AA75" i="19"/>
  <c r="AB75" i="19"/>
  <c r="AC75" i="19"/>
  <c r="W75" i="19"/>
  <c r="AD75" i="19"/>
  <c r="AE75" i="19"/>
  <c r="X76" i="19"/>
  <c r="Y76" i="19"/>
  <c r="Z76" i="19"/>
  <c r="AA76" i="19"/>
  <c r="AB76" i="19"/>
  <c r="AC76" i="19"/>
  <c r="W76" i="19"/>
  <c r="AD76" i="19"/>
  <c r="AE76" i="19"/>
  <c r="X77" i="19"/>
  <c r="Y77" i="19"/>
  <c r="Z77" i="19"/>
  <c r="AA77" i="19"/>
  <c r="AB77" i="19"/>
  <c r="AC77" i="19"/>
  <c r="W77" i="19"/>
  <c r="AD77" i="19"/>
  <c r="AE77" i="19"/>
  <c r="X78" i="19"/>
  <c r="Y78" i="19"/>
  <c r="Z78" i="19"/>
  <c r="AA78" i="19"/>
  <c r="AB78" i="19"/>
  <c r="AC78" i="19"/>
  <c r="W78" i="19"/>
  <c r="AD78" i="19"/>
  <c r="AE78" i="19"/>
  <c r="X79" i="19"/>
  <c r="Y79" i="19"/>
  <c r="Z79" i="19"/>
  <c r="AA79" i="19"/>
  <c r="AB79" i="19"/>
  <c r="AC79" i="19"/>
  <c r="W79" i="19"/>
  <c r="AD79" i="19"/>
  <c r="AE79" i="19"/>
  <c r="X80" i="19"/>
  <c r="Y80" i="19"/>
  <c r="Z80" i="19"/>
  <c r="AA80" i="19"/>
  <c r="AB80" i="19"/>
  <c r="AC80" i="19"/>
  <c r="W80" i="19"/>
  <c r="AD80" i="19"/>
  <c r="AE80" i="19"/>
  <c r="X81" i="19"/>
  <c r="Y81" i="19"/>
  <c r="Z81" i="19"/>
  <c r="AA81" i="19"/>
  <c r="AB81" i="19"/>
  <c r="AC81" i="19"/>
  <c r="W81" i="19"/>
  <c r="AD81" i="19"/>
  <c r="AE81" i="19"/>
  <c r="X82" i="19"/>
  <c r="Y82" i="19"/>
  <c r="Z82" i="19"/>
  <c r="AA82" i="19"/>
  <c r="AB82" i="19"/>
  <c r="AC82" i="19"/>
  <c r="W82" i="19"/>
  <c r="AD82" i="19"/>
  <c r="AE82" i="19"/>
  <c r="X83" i="19"/>
  <c r="Y83" i="19"/>
  <c r="Z83" i="19"/>
  <c r="AA83" i="19"/>
  <c r="AB83" i="19"/>
  <c r="AC83" i="19"/>
  <c r="W83" i="19"/>
  <c r="AD83" i="19"/>
  <c r="AE83" i="19"/>
  <c r="X84" i="19"/>
  <c r="Y84" i="19"/>
  <c r="Z84" i="19"/>
  <c r="AA84" i="19"/>
  <c r="AB84" i="19"/>
  <c r="AC84" i="19"/>
  <c r="W84" i="19"/>
  <c r="AD84" i="19"/>
  <c r="AE84" i="19"/>
  <c r="X85" i="19"/>
  <c r="Y85" i="19"/>
  <c r="Z85" i="19"/>
  <c r="AA85" i="19"/>
  <c r="AB85" i="19"/>
  <c r="AC85" i="19"/>
  <c r="W85" i="19"/>
  <c r="AD85" i="19"/>
  <c r="AE85" i="19"/>
  <c r="X86" i="19"/>
  <c r="Y86" i="19"/>
  <c r="Z86" i="19"/>
  <c r="AA86" i="19"/>
  <c r="AB86" i="19"/>
  <c r="AC86" i="19"/>
  <c r="W86" i="19"/>
  <c r="AD86" i="19"/>
  <c r="AE86" i="19"/>
  <c r="X87" i="19"/>
  <c r="Y87" i="19"/>
  <c r="Z87" i="19"/>
  <c r="AA87" i="19"/>
  <c r="AB87" i="19"/>
  <c r="AC87" i="19"/>
  <c r="W87" i="19"/>
  <c r="AD87" i="19"/>
  <c r="AE87" i="19"/>
  <c r="X88" i="19"/>
  <c r="Y88" i="19"/>
  <c r="Z88" i="19"/>
  <c r="AA88" i="19"/>
  <c r="AB88" i="19"/>
  <c r="AC88" i="19"/>
  <c r="W88" i="19"/>
  <c r="AD88" i="19"/>
  <c r="AE88" i="19"/>
  <c r="X89" i="19"/>
  <c r="Y89" i="19"/>
  <c r="Z89" i="19"/>
  <c r="AA89" i="19"/>
  <c r="AB89" i="19"/>
  <c r="AC89" i="19"/>
  <c r="W89" i="19"/>
  <c r="AD89" i="19"/>
  <c r="AE89" i="19"/>
  <c r="X90" i="19"/>
  <c r="Y90" i="19"/>
  <c r="Z90" i="19"/>
  <c r="AA90" i="19"/>
  <c r="AB90" i="19"/>
  <c r="AC90" i="19"/>
  <c r="W90" i="19"/>
  <c r="AD90" i="19"/>
  <c r="AE90" i="19"/>
  <c r="X91" i="19"/>
  <c r="Y91" i="19"/>
  <c r="Z91" i="19"/>
  <c r="AA91" i="19"/>
  <c r="AB91" i="19"/>
  <c r="AC91" i="19"/>
  <c r="W91" i="19"/>
  <c r="AD91" i="19"/>
  <c r="AE91" i="19"/>
  <c r="X92" i="19"/>
  <c r="Y92" i="19"/>
  <c r="Z92" i="19"/>
  <c r="AA92" i="19"/>
  <c r="AB92" i="19"/>
  <c r="AC92" i="19"/>
  <c r="W92" i="19"/>
  <c r="AD92" i="19"/>
  <c r="AE92" i="19"/>
  <c r="X93" i="19"/>
  <c r="Y93" i="19"/>
  <c r="Z93" i="19"/>
  <c r="AA93" i="19"/>
  <c r="AB93" i="19"/>
  <c r="AC93" i="19"/>
  <c r="W93" i="19"/>
  <c r="AD93" i="19"/>
  <c r="AE93" i="19"/>
  <c r="X94" i="19"/>
  <c r="Y94" i="19"/>
  <c r="Z94" i="19"/>
  <c r="AA94" i="19"/>
  <c r="AB94" i="19"/>
  <c r="AC94" i="19"/>
  <c r="W94" i="19"/>
  <c r="AD94" i="19"/>
  <c r="AE94" i="19"/>
  <c r="X95" i="19"/>
  <c r="Y95" i="19"/>
  <c r="Z95" i="19"/>
  <c r="AA95" i="19"/>
  <c r="AB95" i="19"/>
  <c r="AC95" i="19"/>
  <c r="W95" i="19"/>
  <c r="AD95" i="19"/>
  <c r="AE95" i="19"/>
  <c r="X96" i="19"/>
  <c r="Y96" i="19"/>
  <c r="Z96" i="19"/>
  <c r="AA96" i="19"/>
  <c r="AB96" i="19"/>
  <c r="AC96" i="19"/>
  <c r="W96" i="19"/>
  <c r="AD96" i="19"/>
  <c r="AE96" i="19"/>
  <c r="X97" i="19"/>
  <c r="Y97" i="19"/>
  <c r="Z97" i="19"/>
  <c r="AA97" i="19"/>
  <c r="AB97" i="19"/>
  <c r="AC97" i="19"/>
  <c r="W97" i="19"/>
  <c r="AD97" i="19"/>
  <c r="AE97" i="19"/>
  <c r="X98" i="19"/>
  <c r="Y98" i="19"/>
  <c r="Z98" i="19"/>
  <c r="AA98" i="19"/>
  <c r="AB98" i="19"/>
  <c r="AC98" i="19"/>
  <c r="W98" i="19"/>
  <c r="AD98" i="19"/>
  <c r="AE98" i="19"/>
  <c r="X99" i="19"/>
  <c r="Y99" i="19"/>
  <c r="Z99" i="19"/>
  <c r="AA99" i="19"/>
  <c r="AB99" i="19"/>
  <c r="AC99" i="19"/>
  <c r="W99" i="19"/>
  <c r="AD99" i="19"/>
  <c r="AE99" i="19"/>
  <c r="X100" i="19"/>
  <c r="Y100" i="19"/>
  <c r="Z100" i="19"/>
  <c r="AA100" i="19"/>
  <c r="AB100" i="19"/>
  <c r="AC100" i="19"/>
  <c r="W100" i="19"/>
  <c r="AD100" i="19"/>
  <c r="AE100" i="19"/>
  <c r="X101" i="19"/>
  <c r="Y101" i="19"/>
  <c r="Z101" i="19"/>
  <c r="AA101" i="19"/>
  <c r="AB101" i="19"/>
  <c r="AC101" i="19"/>
  <c r="W101" i="19"/>
  <c r="AD101" i="19"/>
  <c r="AE101" i="19"/>
  <c r="X102" i="19"/>
  <c r="Y102" i="19"/>
  <c r="Z102" i="19"/>
  <c r="AA102" i="19"/>
  <c r="AB102" i="19"/>
  <c r="AC102" i="19"/>
  <c r="W102" i="19"/>
  <c r="AD102" i="19"/>
  <c r="AE102" i="19"/>
  <c r="X103" i="19"/>
  <c r="Y103" i="19"/>
  <c r="Z103" i="19"/>
  <c r="AA103" i="19"/>
  <c r="AB103" i="19"/>
  <c r="AC103" i="19"/>
  <c r="W103" i="19"/>
  <c r="AD103" i="19"/>
  <c r="AE103" i="19"/>
  <c r="X104" i="19"/>
  <c r="Y104" i="19"/>
  <c r="Z104" i="19"/>
  <c r="AA104" i="19"/>
  <c r="AB104" i="19"/>
  <c r="AC104" i="19"/>
  <c r="W104" i="19"/>
  <c r="AD104" i="19"/>
  <c r="AE104" i="19"/>
  <c r="X105" i="19"/>
  <c r="Y105" i="19"/>
  <c r="Z105" i="19"/>
  <c r="AA105" i="19"/>
  <c r="AB105" i="19"/>
  <c r="AC105" i="19"/>
  <c r="W105" i="19"/>
  <c r="AD105" i="19"/>
  <c r="AE105" i="19"/>
  <c r="X106" i="19"/>
  <c r="Y106" i="19"/>
  <c r="Z106" i="19"/>
  <c r="AA106" i="19"/>
  <c r="AB106" i="19"/>
  <c r="AC106" i="19"/>
  <c r="W106" i="19"/>
  <c r="AD106" i="19"/>
  <c r="AE106" i="19"/>
  <c r="X107" i="19"/>
  <c r="Y107" i="19"/>
  <c r="Z107" i="19"/>
  <c r="AA107" i="19"/>
  <c r="AB107" i="19"/>
  <c r="AC107" i="19"/>
  <c r="W107" i="19"/>
  <c r="AD107" i="19"/>
  <c r="AE107" i="19"/>
  <c r="X108" i="19"/>
  <c r="Y108" i="19"/>
  <c r="Z108" i="19"/>
  <c r="AA108" i="19"/>
  <c r="AB108" i="19"/>
  <c r="AC108" i="19"/>
  <c r="W108" i="19"/>
  <c r="AD108" i="19"/>
  <c r="AE108" i="19"/>
  <c r="X109" i="19"/>
  <c r="Y109" i="19"/>
  <c r="Z109" i="19"/>
  <c r="AA109" i="19"/>
  <c r="AB109" i="19"/>
  <c r="AC109" i="19"/>
  <c r="W109" i="19"/>
  <c r="AD109" i="19"/>
  <c r="AE109" i="19"/>
  <c r="X110" i="19"/>
  <c r="Y110" i="19"/>
  <c r="Z110" i="19"/>
  <c r="AA110" i="19"/>
  <c r="AB110" i="19"/>
  <c r="AC110" i="19"/>
  <c r="W110" i="19"/>
  <c r="AD110" i="19"/>
  <c r="AE110" i="19"/>
  <c r="X111" i="19"/>
  <c r="Y111" i="19"/>
  <c r="Z111" i="19"/>
  <c r="AA111" i="19"/>
  <c r="AB111" i="19"/>
  <c r="AC111" i="19"/>
  <c r="W111" i="19"/>
  <c r="AD111" i="19"/>
  <c r="AE111" i="19"/>
  <c r="X112" i="19"/>
  <c r="Y112" i="19"/>
  <c r="Z112" i="19"/>
  <c r="AA112" i="19"/>
  <c r="AB112" i="19"/>
  <c r="AC112" i="19"/>
  <c r="W112" i="19"/>
  <c r="AD112" i="19"/>
  <c r="AE112" i="19"/>
  <c r="X113" i="19"/>
  <c r="Y113" i="19"/>
  <c r="Z113" i="19"/>
  <c r="AA113" i="19"/>
  <c r="AB113" i="19"/>
  <c r="AC113" i="19"/>
  <c r="W113" i="19"/>
  <c r="AD113" i="19"/>
  <c r="AE113" i="19"/>
  <c r="X114" i="19"/>
  <c r="Y114" i="19"/>
  <c r="Z114" i="19"/>
  <c r="AA114" i="19"/>
  <c r="AB114" i="19"/>
  <c r="AC114" i="19"/>
  <c r="W114" i="19"/>
  <c r="AD114" i="19"/>
  <c r="AE114" i="19"/>
  <c r="X115" i="19"/>
  <c r="Y115" i="19"/>
  <c r="Z115" i="19"/>
  <c r="AA115" i="19"/>
  <c r="AB115" i="19"/>
  <c r="AC115" i="19"/>
  <c r="W115" i="19"/>
  <c r="AD115" i="19"/>
  <c r="AE115" i="19"/>
  <c r="X116" i="19"/>
  <c r="Y116" i="19"/>
  <c r="Z116" i="19"/>
  <c r="AA116" i="19"/>
  <c r="AB116" i="19"/>
  <c r="AC116" i="19"/>
  <c r="W116" i="19"/>
  <c r="AD116" i="19"/>
  <c r="AE116" i="19"/>
  <c r="X117" i="19"/>
  <c r="Y117" i="19"/>
  <c r="Z117" i="19"/>
  <c r="AA117" i="19"/>
  <c r="AB117" i="19"/>
  <c r="AC117" i="19"/>
  <c r="W117" i="19"/>
  <c r="AD117" i="19"/>
  <c r="AE117" i="19"/>
  <c r="X118" i="19"/>
  <c r="Y118" i="19"/>
  <c r="Z118" i="19"/>
  <c r="AA118" i="19"/>
  <c r="AB118" i="19"/>
  <c r="AC118" i="19"/>
  <c r="W118" i="19"/>
  <c r="AD118" i="19"/>
  <c r="AE118" i="19"/>
  <c r="X119" i="19"/>
  <c r="Y119" i="19"/>
  <c r="Z119" i="19"/>
  <c r="AA119" i="19"/>
  <c r="AB119" i="19"/>
  <c r="AC119" i="19"/>
  <c r="W119" i="19"/>
  <c r="AD119" i="19"/>
  <c r="AE119" i="19"/>
  <c r="X120" i="19"/>
  <c r="Y120" i="19"/>
  <c r="Z120" i="19"/>
  <c r="AA120" i="19"/>
  <c r="AB120" i="19"/>
  <c r="AC120" i="19"/>
  <c r="W120" i="19"/>
  <c r="AD120" i="19"/>
  <c r="AE120" i="19"/>
  <c r="X121" i="19"/>
  <c r="Y121" i="19"/>
  <c r="Z121" i="19"/>
  <c r="AA121" i="19"/>
  <c r="AB121" i="19"/>
  <c r="AC121" i="19"/>
  <c r="W121" i="19"/>
  <c r="AD121" i="19"/>
  <c r="AE121" i="19"/>
  <c r="X122" i="19"/>
  <c r="Y122" i="19"/>
  <c r="Z122" i="19"/>
  <c r="AA122" i="19"/>
  <c r="AB122" i="19"/>
  <c r="AC122" i="19"/>
  <c r="W122" i="19"/>
  <c r="AD122" i="19"/>
  <c r="AE122" i="19"/>
  <c r="X123" i="19"/>
  <c r="Y123" i="19"/>
  <c r="Z123" i="19"/>
  <c r="AA123" i="19"/>
  <c r="AB123" i="19"/>
  <c r="AC123" i="19"/>
  <c r="W123" i="19"/>
  <c r="AD123" i="19"/>
  <c r="AE123" i="19"/>
  <c r="X124" i="19"/>
  <c r="Y124" i="19"/>
  <c r="Z124" i="19"/>
  <c r="AA124" i="19"/>
  <c r="AB124" i="19"/>
  <c r="AC124" i="19"/>
  <c r="W124" i="19"/>
  <c r="AD124" i="19"/>
  <c r="AE124" i="19"/>
  <c r="X125" i="19"/>
  <c r="Y125" i="19"/>
  <c r="Z125" i="19"/>
  <c r="AA125" i="19"/>
  <c r="AB125" i="19"/>
  <c r="AC125" i="19"/>
  <c r="W125" i="19"/>
  <c r="AD125" i="19"/>
  <c r="AE125" i="19"/>
  <c r="X126" i="19"/>
  <c r="Y126" i="19"/>
  <c r="Z126" i="19"/>
  <c r="AA126" i="19"/>
  <c r="AB126" i="19"/>
  <c r="AC126" i="19"/>
  <c r="W126" i="19"/>
  <c r="AD126" i="19"/>
  <c r="AE126" i="19"/>
  <c r="X127" i="19"/>
  <c r="Y127" i="19"/>
  <c r="Z127" i="19"/>
  <c r="AA127" i="19"/>
  <c r="AB127" i="19"/>
  <c r="AC127" i="19"/>
  <c r="W127" i="19"/>
  <c r="AD127" i="19"/>
  <c r="AE127" i="19"/>
  <c r="X128" i="19"/>
  <c r="Y128" i="19"/>
  <c r="Z128" i="19"/>
  <c r="AA128" i="19"/>
  <c r="AB128" i="19"/>
  <c r="AC128" i="19"/>
  <c r="W128" i="19"/>
  <c r="AD128" i="19"/>
  <c r="AE128" i="19"/>
  <c r="X129" i="19"/>
  <c r="Y129" i="19"/>
  <c r="Z129" i="19"/>
  <c r="AA129" i="19"/>
  <c r="AB129" i="19"/>
  <c r="AC129" i="19"/>
  <c r="W129" i="19"/>
  <c r="AD129" i="19"/>
  <c r="AE129" i="19"/>
  <c r="X130" i="19"/>
  <c r="Y130" i="19"/>
  <c r="Z130" i="19"/>
  <c r="AA130" i="19"/>
  <c r="AB130" i="19"/>
  <c r="AC130" i="19"/>
  <c r="W130" i="19"/>
  <c r="AD130" i="19"/>
  <c r="AE130" i="19"/>
  <c r="X131" i="19"/>
  <c r="Y131" i="19"/>
  <c r="Z131" i="19"/>
  <c r="AA131" i="19"/>
  <c r="AB131" i="19"/>
  <c r="AC131" i="19"/>
  <c r="W131" i="19"/>
  <c r="AD131" i="19"/>
  <c r="AE131" i="19"/>
  <c r="X132" i="19"/>
  <c r="Y132" i="19"/>
  <c r="Z132" i="19"/>
  <c r="AA132" i="19"/>
  <c r="AB132" i="19"/>
  <c r="AC132" i="19"/>
  <c r="W132" i="19"/>
  <c r="AD132" i="19"/>
  <c r="AE132" i="19"/>
  <c r="X133" i="19"/>
  <c r="Y133" i="19"/>
  <c r="Z133" i="19"/>
  <c r="AA133" i="19"/>
  <c r="AB133" i="19"/>
  <c r="AC133" i="19"/>
  <c r="W133" i="19"/>
  <c r="AD133" i="19"/>
  <c r="AE133" i="19"/>
  <c r="X134" i="19"/>
  <c r="Y134" i="19"/>
  <c r="Z134" i="19"/>
  <c r="AA134" i="19"/>
  <c r="AB134" i="19"/>
  <c r="AC134" i="19"/>
  <c r="W134" i="19"/>
  <c r="AD134" i="19"/>
  <c r="AE134" i="19"/>
  <c r="X135" i="19"/>
  <c r="Y135" i="19"/>
  <c r="Z135" i="19"/>
  <c r="AA135" i="19"/>
  <c r="AB135" i="19"/>
  <c r="AC135" i="19"/>
  <c r="W135" i="19"/>
  <c r="AD135" i="19"/>
  <c r="AE135" i="19"/>
  <c r="X136" i="19"/>
  <c r="Y136" i="19"/>
  <c r="Z136" i="19"/>
  <c r="AA136" i="19"/>
  <c r="AB136" i="19"/>
  <c r="AC136" i="19"/>
  <c r="W136" i="19"/>
  <c r="AD136" i="19"/>
  <c r="AE136" i="19"/>
  <c r="X137" i="19"/>
  <c r="Y137" i="19"/>
  <c r="Z137" i="19"/>
  <c r="AA137" i="19"/>
  <c r="AB137" i="19"/>
  <c r="AC137" i="19"/>
  <c r="W137" i="19"/>
  <c r="AD137" i="19"/>
  <c r="AE137" i="19"/>
  <c r="X138" i="19"/>
  <c r="Y138" i="19"/>
  <c r="Z138" i="19"/>
  <c r="AA138" i="19"/>
  <c r="AB138" i="19"/>
  <c r="AC138" i="19"/>
  <c r="W138" i="19"/>
  <c r="AD138" i="19"/>
  <c r="AE138" i="19"/>
  <c r="X139" i="19"/>
  <c r="Y139" i="19"/>
  <c r="Z139" i="19"/>
  <c r="AA139" i="19"/>
  <c r="AB139" i="19"/>
  <c r="AC139" i="19"/>
  <c r="W139" i="19"/>
  <c r="AD139" i="19"/>
  <c r="AE139" i="19"/>
  <c r="X140" i="19"/>
  <c r="Y140" i="19"/>
  <c r="Z140" i="19"/>
  <c r="AA140" i="19"/>
  <c r="AB140" i="19"/>
  <c r="AC140" i="19"/>
  <c r="W140" i="19"/>
  <c r="AD140" i="19"/>
  <c r="AE140" i="19"/>
  <c r="X141" i="19"/>
  <c r="Y141" i="19"/>
  <c r="Z141" i="19"/>
  <c r="AA141" i="19"/>
  <c r="AB141" i="19"/>
  <c r="AC141" i="19"/>
  <c r="W141" i="19"/>
  <c r="AD141" i="19"/>
  <c r="AE141" i="19"/>
  <c r="X142" i="19"/>
  <c r="Y142" i="19"/>
  <c r="Z142" i="19"/>
  <c r="AA142" i="19"/>
  <c r="AB142" i="19"/>
  <c r="AC142" i="19"/>
  <c r="W142" i="19"/>
  <c r="AD142" i="19"/>
  <c r="AE142" i="19"/>
  <c r="X143" i="19"/>
  <c r="Y143" i="19"/>
  <c r="Z143" i="19"/>
  <c r="AA143" i="19"/>
  <c r="AB143" i="19"/>
  <c r="AC143" i="19"/>
  <c r="W143" i="19"/>
  <c r="AD143" i="19"/>
  <c r="AE143" i="19"/>
  <c r="X146" i="19"/>
  <c r="Y146" i="19"/>
  <c r="Z146" i="19"/>
  <c r="AA146" i="19"/>
  <c r="AB146" i="19"/>
  <c r="AC146" i="19"/>
  <c r="W146" i="19"/>
  <c r="AD146" i="19"/>
  <c r="AE146" i="19"/>
  <c r="X147" i="19"/>
  <c r="Y147" i="19"/>
  <c r="Z147" i="19"/>
  <c r="AA147" i="19"/>
  <c r="AB147" i="19"/>
  <c r="AC147" i="19"/>
  <c r="W147" i="19"/>
  <c r="AD147" i="19"/>
  <c r="AE147" i="19"/>
  <c r="X148" i="19"/>
  <c r="Y148" i="19"/>
  <c r="Z148" i="19"/>
  <c r="AA148" i="19"/>
  <c r="AB148" i="19"/>
  <c r="AC148" i="19"/>
  <c r="W148" i="19"/>
  <c r="AD148" i="19"/>
  <c r="AE148" i="19"/>
  <c r="X149" i="19"/>
  <c r="Y149" i="19"/>
  <c r="Z149" i="19"/>
  <c r="AA149" i="19"/>
  <c r="AB149" i="19"/>
  <c r="AC149" i="19"/>
  <c r="W149" i="19"/>
  <c r="AD149" i="19"/>
  <c r="AE149" i="19"/>
  <c r="X150" i="19"/>
  <c r="Y150" i="19"/>
  <c r="Z150" i="19"/>
  <c r="AA150" i="19"/>
  <c r="AB150" i="19"/>
  <c r="AC150" i="19"/>
  <c r="W150" i="19"/>
  <c r="AD150" i="19"/>
  <c r="AE150" i="19"/>
  <c r="X151" i="19"/>
  <c r="Y151" i="19"/>
  <c r="Z151" i="19"/>
  <c r="AA151" i="19"/>
  <c r="AB151" i="19"/>
  <c r="AC151" i="19"/>
  <c r="W151" i="19"/>
  <c r="AD151" i="19"/>
  <c r="AE151" i="19"/>
  <c r="X152" i="19"/>
  <c r="Y152" i="19"/>
  <c r="Z152" i="19"/>
  <c r="AA152" i="19"/>
  <c r="AB152" i="19"/>
  <c r="AC152" i="19"/>
  <c r="W152" i="19"/>
  <c r="AD152" i="19"/>
  <c r="AE152" i="19"/>
  <c r="X153" i="19"/>
  <c r="Y153" i="19"/>
  <c r="Z153" i="19"/>
  <c r="AA153" i="19"/>
  <c r="AB153" i="19"/>
  <c r="AC153" i="19"/>
  <c r="W153" i="19"/>
  <c r="AD153" i="19"/>
  <c r="AE153" i="19"/>
  <c r="X154" i="19"/>
  <c r="Y154" i="19"/>
  <c r="Z154" i="19"/>
  <c r="AA154" i="19"/>
  <c r="AB154" i="19"/>
  <c r="AC154" i="19"/>
  <c r="W154" i="19"/>
  <c r="AD154" i="19"/>
  <c r="AE154" i="19"/>
  <c r="X155" i="19"/>
  <c r="Y155" i="19"/>
  <c r="Z155" i="19"/>
  <c r="AA155" i="19"/>
  <c r="AB155" i="19"/>
  <c r="AC155" i="19"/>
  <c r="W155" i="19"/>
  <c r="AD155" i="19"/>
  <c r="AE155" i="19"/>
  <c r="X156" i="19"/>
  <c r="Y156" i="19"/>
  <c r="Z156" i="19"/>
  <c r="AA156" i="19"/>
  <c r="AB156" i="19"/>
  <c r="AC156" i="19"/>
  <c r="W156" i="19"/>
  <c r="AD156" i="19"/>
  <c r="AE156" i="19"/>
  <c r="X157" i="19"/>
  <c r="Y157" i="19"/>
  <c r="Z157" i="19"/>
  <c r="AA157" i="19"/>
  <c r="AB157" i="19"/>
  <c r="AC157" i="19"/>
  <c r="W157" i="19"/>
  <c r="AD157" i="19"/>
  <c r="AE157" i="19"/>
  <c r="X158" i="19"/>
  <c r="Y158" i="19"/>
  <c r="Z158" i="19"/>
  <c r="AA158" i="19"/>
  <c r="AB158" i="19"/>
  <c r="AC158" i="19"/>
  <c r="W158" i="19"/>
  <c r="AD158" i="19"/>
  <c r="AE158" i="19"/>
  <c r="X159" i="19"/>
  <c r="Y159" i="19"/>
  <c r="Z159" i="19"/>
  <c r="AA159" i="19"/>
  <c r="AB159" i="19"/>
  <c r="AC159" i="19"/>
  <c r="W159" i="19"/>
  <c r="AD159" i="19"/>
  <c r="AE159" i="19"/>
  <c r="X160" i="19"/>
  <c r="Y160" i="19"/>
  <c r="Z160" i="19"/>
  <c r="AA160" i="19"/>
  <c r="AB160" i="19"/>
  <c r="AC160" i="19"/>
  <c r="W160" i="19"/>
  <c r="AD160" i="19"/>
  <c r="AE160" i="19"/>
  <c r="X161" i="19"/>
  <c r="Y161" i="19"/>
  <c r="Z161" i="19"/>
  <c r="AA161" i="19"/>
  <c r="AB161" i="19"/>
  <c r="AC161" i="19"/>
  <c r="W161" i="19"/>
  <c r="AD161" i="19"/>
  <c r="AE161" i="19"/>
  <c r="X162" i="19"/>
  <c r="Y162" i="19"/>
  <c r="Z162" i="19"/>
  <c r="AA162" i="19"/>
  <c r="AB162" i="19"/>
  <c r="AC162" i="19"/>
  <c r="W162" i="19"/>
  <c r="AD162" i="19"/>
  <c r="AE162" i="19"/>
  <c r="X163" i="19"/>
  <c r="Y163" i="19"/>
  <c r="Z163" i="19"/>
  <c r="AA163" i="19"/>
  <c r="AB163" i="19"/>
  <c r="AC163" i="19"/>
  <c r="W163" i="19"/>
  <c r="AD163" i="19"/>
  <c r="AE163" i="19"/>
  <c r="X164" i="19"/>
  <c r="Y164" i="19"/>
  <c r="Z164" i="19"/>
  <c r="AA164" i="19"/>
  <c r="AB164" i="19"/>
  <c r="AC164" i="19"/>
  <c r="W164" i="19"/>
  <c r="AD164" i="19"/>
  <c r="AE164" i="19"/>
  <c r="X165" i="19"/>
  <c r="Y165" i="19"/>
  <c r="Z165" i="19"/>
  <c r="AA165" i="19"/>
  <c r="AB165" i="19"/>
  <c r="AC165" i="19"/>
  <c r="W165" i="19"/>
  <c r="AD165" i="19"/>
  <c r="AE165" i="19"/>
  <c r="X166" i="19"/>
  <c r="Y166" i="19"/>
  <c r="Z166" i="19"/>
  <c r="AA166" i="19"/>
  <c r="AB166" i="19"/>
  <c r="AC166" i="19"/>
  <c r="W166" i="19"/>
  <c r="AD166" i="19"/>
  <c r="AE166" i="19"/>
  <c r="X167" i="19"/>
  <c r="Y167" i="19"/>
  <c r="Z167" i="19"/>
  <c r="AA167" i="19"/>
  <c r="AB167" i="19"/>
  <c r="AC167" i="19"/>
  <c r="W167" i="19"/>
  <c r="AD167" i="19"/>
  <c r="AE167" i="19"/>
  <c r="X168" i="19"/>
  <c r="Y168" i="19"/>
  <c r="Z168" i="19"/>
  <c r="AA168" i="19"/>
  <c r="AB168" i="19"/>
  <c r="AC168" i="19"/>
  <c r="W168" i="19"/>
  <c r="AD168" i="19"/>
  <c r="AE168" i="19"/>
  <c r="X169" i="19"/>
  <c r="Y169" i="19"/>
  <c r="Z169" i="19"/>
  <c r="AA169" i="19"/>
  <c r="AB169" i="19"/>
  <c r="AC169" i="19"/>
  <c r="W169" i="19"/>
  <c r="AD169" i="19"/>
  <c r="AE169" i="19"/>
  <c r="X170" i="19"/>
  <c r="Y170" i="19"/>
  <c r="Z170" i="19"/>
  <c r="AA170" i="19"/>
  <c r="AB170" i="19"/>
  <c r="AC170" i="19"/>
  <c r="W170" i="19"/>
  <c r="AD170" i="19"/>
  <c r="AE170" i="19"/>
  <c r="X171" i="19"/>
  <c r="Y171" i="19"/>
  <c r="Z171" i="19"/>
  <c r="AA171" i="19"/>
  <c r="AB171" i="19"/>
  <c r="AC171" i="19"/>
  <c r="W171" i="19"/>
  <c r="AD171" i="19"/>
  <c r="AE171" i="19"/>
  <c r="X172" i="19"/>
  <c r="Y172" i="19"/>
  <c r="Z172" i="19"/>
  <c r="AA172" i="19"/>
  <c r="AB172" i="19"/>
  <c r="AC172" i="19"/>
  <c r="W172" i="19"/>
  <c r="AD172" i="19"/>
  <c r="AE172" i="19"/>
  <c r="X173" i="19"/>
  <c r="Y173" i="19"/>
  <c r="Z173" i="19"/>
  <c r="AA173" i="19"/>
  <c r="AB173" i="19"/>
  <c r="AC173" i="19"/>
  <c r="W173" i="19"/>
  <c r="AD173" i="19"/>
  <c r="AE173" i="19"/>
  <c r="X174" i="19"/>
  <c r="Y174" i="19"/>
  <c r="Z174" i="19"/>
  <c r="AA174" i="19"/>
  <c r="AB174" i="19"/>
  <c r="AC174" i="19"/>
  <c r="W174" i="19"/>
  <c r="AD174" i="19"/>
  <c r="AE174" i="19"/>
  <c r="X175" i="19"/>
  <c r="Y175" i="19"/>
  <c r="Z175" i="19"/>
  <c r="AA175" i="19"/>
  <c r="AB175" i="19"/>
  <c r="AC175" i="19"/>
  <c r="W175" i="19"/>
  <c r="AD175" i="19"/>
  <c r="AE175" i="19"/>
  <c r="X176" i="19"/>
  <c r="Y176" i="19"/>
  <c r="Z176" i="19"/>
  <c r="AA176" i="19"/>
  <c r="AB176" i="19"/>
  <c r="AC176" i="19"/>
  <c r="W176" i="19"/>
  <c r="AD176" i="19"/>
  <c r="AE176" i="19"/>
  <c r="X177" i="19"/>
  <c r="Y177" i="19"/>
  <c r="Z177" i="19"/>
  <c r="AA177" i="19"/>
  <c r="AB177" i="19"/>
  <c r="AC177" i="19"/>
  <c r="W177" i="19"/>
  <c r="AD177" i="19"/>
  <c r="AE177" i="19"/>
  <c r="X178" i="19"/>
  <c r="Y178" i="19"/>
  <c r="Z178" i="19"/>
  <c r="AA178" i="19"/>
  <c r="AB178" i="19"/>
  <c r="AC178" i="19"/>
  <c r="W178" i="19"/>
  <c r="AD178" i="19"/>
  <c r="AE178" i="19"/>
  <c r="X179" i="19"/>
  <c r="Y179" i="19"/>
  <c r="Z179" i="19"/>
  <c r="AA179" i="19"/>
  <c r="AB179" i="19"/>
  <c r="AC179" i="19"/>
  <c r="W179" i="19"/>
  <c r="AD179" i="19"/>
  <c r="AE179" i="19"/>
  <c r="X180" i="19"/>
  <c r="Y180" i="19"/>
  <c r="Z180" i="19"/>
  <c r="AA180" i="19"/>
  <c r="AB180" i="19"/>
  <c r="AC180" i="19"/>
  <c r="W180" i="19"/>
  <c r="AD180" i="19"/>
  <c r="AE180" i="19"/>
  <c r="X181" i="19"/>
  <c r="Y181" i="19"/>
  <c r="Z181" i="19"/>
  <c r="AA181" i="19"/>
  <c r="AB181" i="19"/>
  <c r="AC181" i="19"/>
  <c r="W181" i="19"/>
  <c r="AD181" i="19"/>
  <c r="AE181" i="19"/>
  <c r="X182" i="19"/>
  <c r="Y182" i="19"/>
  <c r="Z182" i="19"/>
  <c r="AA182" i="19"/>
  <c r="AB182" i="19"/>
  <c r="AC182" i="19"/>
  <c r="W182" i="19"/>
  <c r="AD182" i="19"/>
  <c r="AE182" i="19"/>
  <c r="X183" i="19"/>
  <c r="Y183" i="19"/>
  <c r="Z183" i="19"/>
  <c r="AA183" i="19"/>
  <c r="AB183" i="19"/>
  <c r="AC183" i="19"/>
  <c r="W183" i="19"/>
  <c r="AD183" i="19"/>
  <c r="AE183" i="19"/>
  <c r="X184" i="19"/>
  <c r="Y184" i="19"/>
  <c r="Z184" i="19"/>
  <c r="AA184" i="19"/>
  <c r="AB184" i="19"/>
  <c r="AC184" i="19"/>
  <c r="W184" i="19"/>
  <c r="AD184" i="19"/>
  <c r="AE184" i="19"/>
  <c r="X185" i="19"/>
  <c r="Y185" i="19"/>
  <c r="Z185" i="19"/>
  <c r="AA185" i="19"/>
  <c r="AB185" i="19"/>
  <c r="AC185" i="19"/>
  <c r="W185" i="19"/>
  <c r="AD185" i="19"/>
  <c r="AE185" i="19"/>
  <c r="X186" i="19"/>
  <c r="Y186" i="19"/>
  <c r="Z186" i="19"/>
  <c r="AA186" i="19"/>
  <c r="AB186" i="19"/>
  <c r="AC186" i="19"/>
  <c r="W186" i="19"/>
  <c r="AD186" i="19"/>
  <c r="AE186" i="19"/>
  <c r="X187" i="19"/>
  <c r="Y187" i="19"/>
  <c r="Z187" i="19"/>
  <c r="AA187" i="19"/>
  <c r="AB187" i="19"/>
  <c r="AC187" i="19"/>
  <c r="W187" i="19"/>
  <c r="AD187" i="19"/>
  <c r="AE187" i="19"/>
  <c r="X188" i="19"/>
  <c r="Y188" i="19"/>
  <c r="Z188" i="19"/>
  <c r="AA188" i="19"/>
  <c r="AB188" i="19"/>
  <c r="AC188" i="19"/>
  <c r="W188" i="19"/>
  <c r="AD188" i="19"/>
  <c r="AE188" i="19"/>
  <c r="X189" i="19"/>
  <c r="Y189" i="19"/>
  <c r="Z189" i="19"/>
  <c r="AA189" i="19"/>
  <c r="AB189" i="19"/>
  <c r="AC189" i="19"/>
  <c r="W189" i="19"/>
  <c r="AD189" i="19"/>
  <c r="AE189" i="19"/>
  <c r="X190" i="19"/>
  <c r="Y190" i="19"/>
  <c r="Z190" i="19"/>
  <c r="AA190" i="19"/>
  <c r="AB190" i="19"/>
  <c r="AC190" i="19"/>
  <c r="W190" i="19"/>
  <c r="AD190" i="19"/>
  <c r="AE190" i="19"/>
  <c r="X191" i="19"/>
  <c r="Y191" i="19"/>
  <c r="Z191" i="19"/>
  <c r="AA191" i="19"/>
  <c r="AB191" i="19"/>
  <c r="AC191" i="19"/>
  <c r="W191" i="19"/>
  <c r="AD191" i="19"/>
  <c r="AE191" i="19"/>
  <c r="X192" i="19"/>
  <c r="Y192" i="19"/>
  <c r="Z192" i="19"/>
  <c r="AA192" i="19"/>
  <c r="AB192" i="19"/>
  <c r="AC192" i="19"/>
  <c r="W192" i="19"/>
  <c r="AD192" i="19"/>
  <c r="AE192" i="19"/>
  <c r="X193" i="19"/>
  <c r="Y193" i="19"/>
  <c r="Z193" i="19"/>
  <c r="AA193" i="19"/>
  <c r="AB193" i="19"/>
  <c r="AC193" i="19"/>
  <c r="W193" i="19"/>
  <c r="AD193" i="19"/>
  <c r="AE193" i="19"/>
  <c r="X194" i="19"/>
  <c r="Y194" i="19"/>
  <c r="Z194" i="19"/>
  <c r="AA194" i="19"/>
  <c r="AB194" i="19"/>
  <c r="AC194" i="19"/>
  <c r="W194" i="19"/>
  <c r="AD194" i="19"/>
  <c r="AE194" i="19"/>
  <c r="X195" i="19"/>
  <c r="Y195" i="19"/>
  <c r="Z195" i="19"/>
  <c r="AA195" i="19"/>
  <c r="AB195" i="19"/>
  <c r="AC195" i="19"/>
  <c r="W195" i="19"/>
  <c r="AD195" i="19"/>
  <c r="AE195" i="19"/>
  <c r="X196" i="19"/>
  <c r="Y196" i="19"/>
  <c r="Z196" i="19"/>
  <c r="AA196" i="19"/>
  <c r="AB196" i="19"/>
  <c r="AC196" i="19"/>
  <c r="W196" i="19"/>
  <c r="AD196" i="19"/>
  <c r="AE196" i="19"/>
  <c r="X197" i="19"/>
  <c r="Y197" i="19"/>
  <c r="Z197" i="19"/>
  <c r="AA197" i="19"/>
  <c r="AB197" i="19"/>
  <c r="AC197" i="19"/>
  <c r="W197" i="19"/>
  <c r="AD197" i="19"/>
  <c r="AE197" i="19"/>
  <c r="X198" i="19"/>
  <c r="Y198" i="19"/>
  <c r="Z198" i="19"/>
  <c r="AA198" i="19"/>
  <c r="AB198" i="19"/>
  <c r="AC198" i="19"/>
  <c r="W198" i="19"/>
  <c r="AD198" i="19"/>
  <c r="AE198" i="19"/>
  <c r="X199" i="19"/>
  <c r="Y199" i="19"/>
  <c r="Z199" i="19"/>
  <c r="AA199" i="19"/>
  <c r="AB199" i="19"/>
  <c r="AC199" i="19"/>
  <c r="W199" i="19"/>
  <c r="AD199" i="19"/>
  <c r="AE199" i="19"/>
  <c r="X200" i="19"/>
  <c r="Y200" i="19"/>
  <c r="Z200" i="19"/>
  <c r="AA200" i="19"/>
  <c r="AB200" i="19"/>
  <c r="AC200" i="19"/>
  <c r="W200" i="19"/>
  <c r="AD200" i="19"/>
  <c r="AE200" i="19"/>
  <c r="X201" i="19"/>
  <c r="Y201" i="19"/>
  <c r="Z201" i="19"/>
  <c r="AA201" i="19"/>
  <c r="AB201" i="19"/>
  <c r="AC201" i="19"/>
  <c r="W201" i="19"/>
  <c r="AD201" i="19"/>
  <c r="AE201" i="19"/>
  <c r="X202" i="19"/>
  <c r="Y202" i="19"/>
  <c r="Z202" i="19"/>
  <c r="AA202" i="19"/>
  <c r="AB202" i="19"/>
  <c r="AC202" i="19"/>
  <c r="W202" i="19"/>
  <c r="AD202" i="19"/>
  <c r="AE202" i="19"/>
  <c r="X203" i="19"/>
  <c r="Y203" i="19"/>
  <c r="Z203" i="19"/>
  <c r="AA203" i="19"/>
  <c r="AB203" i="19"/>
  <c r="AC203" i="19"/>
  <c r="W203" i="19"/>
  <c r="AD203" i="19"/>
  <c r="AE203" i="19"/>
  <c r="X204" i="19"/>
  <c r="Y204" i="19"/>
  <c r="Z204" i="19"/>
  <c r="AA204" i="19"/>
  <c r="AB204" i="19"/>
  <c r="AC204" i="19"/>
  <c r="W204" i="19"/>
  <c r="AD204" i="19"/>
  <c r="AE204" i="19"/>
  <c r="X205" i="19"/>
  <c r="Y205" i="19"/>
  <c r="Z205" i="19"/>
  <c r="AA205" i="19"/>
  <c r="AB205" i="19"/>
  <c r="AC205" i="19"/>
  <c r="W205" i="19"/>
  <c r="AD205" i="19"/>
  <c r="AE205" i="19"/>
  <c r="X206" i="19"/>
  <c r="Y206" i="19"/>
  <c r="Z206" i="19"/>
  <c r="AA206" i="19"/>
  <c r="AB206" i="19"/>
  <c r="AC206" i="19"/>
  <c r="W206" i="19"/>
  <c r="AD206" i="19"/>
  <c r="AE206" i="19"/>
  <c r="X207" i="19"/>
  <c r="Y207" i="19"/>
  <c r="Z207" i="19"/>
  <c r="AA207" i="19"/>
  <c r="AB207" i="19"/>
  <c r="AC207" i="19"/>
  <c r="W207" i="19"/>
  <c r="AD207" i="19"/>
  <c r="AE207" i="19"/>
  <c r="X208" i="19"/>
  <c r="Y208" i="19"/>
  <c r="Z208" i="19"/>
  <c r="AA208" i="19"/>
  <c r="AB208" i="19"/>
  <c r="AC208" i="19"/>
  <c r="W208" i="19"/>
  <c r="AD208" i="19"/>
  <c r="AE208" i="19"/>
  <c r="X209" i="19"/>
  <c r="Y209" i="19"/>
  <c r="Z209" i="19"/>
  <c r="AA209" i="19"/>
  <c r="AB209" i="19"/>
  <c r="AC209" i="19"/>
  <c r="W209" i="19"/>
  <c r="AD209" i="19"/>
  <c r="AE209" i="19"/>
  <c r="X210" i="19"/>
  <c r="Y210" i="19"/>
  <c r="Z210" i="19"/>
  <c r="AA210" i="19"/>
  <c r="AB210" i="19"/>
  <c r="AC210" i="19"/>
  <c r="W210" i="19"/>
  <c r="AD210" i="19"/>
  <c r="AE210" i="19"/>
  <c r="X211" i="19"/>
  <c r="Y211" i="19"/>
  <c r="Z211" i="19"/>
  <c r="AA211" i="19"/>
  <c r="AB211" i="19"/>
  <c r="AC211" i="19"/>
  <c r="W211" i="19"/>
  <c r="AD211" i="19"/>
  <c r="AE211" i="19"/>
  <c r="X212" i="19"/>
  <c r="Y212" i="19"/>
  <c r="Z212" i="19"/>
  <c r="AA212" i="19"/>
  <c r="AB212" i="19"/>
  <c r="AC212" i="19"/>
  <c r="W212" i="19"/>
  <c r="AD212" i="19"/>
  <c r="AE212" i="19"/>
  <c r="X213" i="19"/>
  <c r="Y213" i="19"/>
  <c r="Z213" i="19"/>
  <c r="AA213" i="19"/>
  <c r="AB213" i="19"/>
  <c r="AC213" i="19"/>
  <c r="W213" i="19"/>
  <c r="AD213" i="19"/>
  <c r="AE213" i="19"/>
  <c r="X214" i="19"/>
  <c r="Y214" i="19"/>
  <c r="Z214" i="19"/>
  <c r="AA214" i="19"/>
  <c r="AB214" i="19"/>
  <c r="AC214" i="19"/>
  <c r="W214" i="19"/>
  <c r="AD214" i="19"/>
  <c r="AE214" i="19"/>
  <c r="X215" i="19"/>
  <c r="Y215" i="19"/>
  <c r="Z215" i="19"/>
  <c r="AA215" i="19"/>
  <c r="AB215" i="19"/>
  <c r="AC215" i="19"/>
  <c r="W215" i="19"/>
  <c r="AD215" i="19"/>
  <c r="AE215" i="19"/>
  <c r="X216" i="19"/>
  <c r="Y216" i="19"/>
  <c r="Z216" i="19"/>
  <c r="AA216" i="19"/>
  <c r="AB216" i="19"/>
  <c r="AC216" i="19"/>
  <c r="W216" i="19"/>
  <c r="AD216" i="19"/>
  <c r="AE216" i="19"/>
  <c r="X217" i="19"/>
  <c r="Y217" i="19"/>
  <c r="Z217" i="19"/>
  <c r="AA217" i="19"/>
  <c r="AB217" i="19"/>
  <c r="AC217" i="19"/>
  <c r="W217" i="19"/>
  <c r="AD217" i="19"/>
  <c r="AE217" i="19"/>
  <c r="X218" i="19"/>
  <c r="Y218" i="19"/>
  <c r="Z218" i="19"/>
  <c r="AA218" i="19"/>
  <c r="AB218" i="19"/>
  <c r="AC218" i="19"/>
  <c r="W218" i="19"/>
  <c r="AD218" i="19"/>
  <c r="AE218" i="19"/>
  <c r="X219" i="19"/>
  <c r="Y219" i="19"/>
  <c r="Z219" i="19"/>
  <c r="AA219" i="19"/>
  <c r="AB219" i="19"/>
  <c r="AC219" i="19"/>
  <c r="W219" i="19"/>
  <c r="AD219" i="19"/>
  <c r="AE219" i="19"/>
  <c r="X220" i="19"/>
  <c r="Y220" i="19"/>
  <c r="Z220" i="19"/>
  <c r="AA220" i="19"/>
  <c r="AB220" i="19"/>
  <c r="AC220" i="19"/>
  <c r="W220" i="19"/>
  <c r="AD220" i="19"/>
  <c r="AE220" i="19"/>
  <c r="X221" i="19"/>
  <c r="Y221" i="19"/>
  <c r="Z221" i="19"/>
  <c r="AA221" i="19"/>
  <c r="AB221" i="19"/>
  <c r="AC221" i="19"/>
  <c r="W221" i="19"/>
  <c r="AD221" i="19"/>
  <c r="AE221" i="19"/>
  <c r="X222" i="19"/>
  <c r="Y222" i="19"/>
  <c r="Z222" i="19"/>
  <c r="AA222" i="19"/>
  <c r="AB222" i="19"/>
  <c r="AC222" i="19"/>
  <c r="W222" i="19"/>
  <c r="AD222" i="19"/>
  <c r="AE222" i="19"/>
  <c r="X223" i="19"/>
  <c r="Y223" i="19"/>
  <c r="Z223" i="19"/>
  <c r="AA223" i="19"/>
  <c r="AB223" i="19"/>
  <c r="AC223" i="19"/>
  <c r="W223" i="19"/>
  <c r="AD223" i="19"/>
  <c r="AE223" i="19"/>
  <c r="X224" i="19"/>
  <c r="Y224" i="19"/>
  <c r="Z224" i="19"/>
  <c r="AA224" i="19"/>
  <c r="AB224" i="19"/>
  <c r="AC224" i="19"/>
  <c r="W224" i="19"/>
  <c r="AD224" i="19"/>
  <c r="AE224" i="19"/>
  <c r="X225" i="19"/>
  <c r="Y225" i="19"/>
  <c r="Z225" i="19"/>
  <c r="AA225" i="19"/>
  <c r="AB225" i="19"/>
  <c r="AC225" i="19"/>
  <c r="W225" i="19"/>
  <c r="AD225" i="19"/>
  <c r="AE225" i="19"/>
  <c r="X226" i="19"/>
  <c r="Y226" i="19"/>
  <c r="Z226" i="19"/>
  <c r="AA226" i="19"/>
  <c r="AB226" i="19"/>
  <c r="AC226" i="19"/>
  <c r="W226" i="19"/>
  <c r="AD226" i="19"/>
  <c r="AE226" i="19"/>
  <c r="X227" i="19"/>
  <c r="Y227" i="19"/>
  <c r="Z227" i="19"/>
  <c r="AA227" i="19"/>
  <c r="AB227" i="19"/>
  <c r="AC227" i="19"/>
  <c r="W227" i="19"/>
  <c r="AD227" i="19"/>
  <c r="AE227" i="19"/>
  <c r="X228" i="19"/>
  <c r="Y228" i="19"/>
  <c r="Z228" i="19"/>
  <c r="AA228" i="19"/>
  <c r="AB228" i="19"/>
  <c r="AC228" i="19"/>
  <c r="W228" i="19"/>
  <c r="AD228" i="19"/>
  <c r="AE228" i="19"/>
  <c r="X229" i="19"/>
  <c r="Y229" i="19"/>
  <c r="Z229" i="19"/>
  <c r="AA229" i="19"/>
  <c r="AB229" i="19"/>
  <c r="AC229" i="19"/>
  <c r="W229" i="19"/>
  <c r="AD229" i="19"/>
  <c r="AE229" i="19"/>
  <c r="X230" i="19"/>
  <c r="Y230" i="19"/>
  <c r="Z230" i="19"/>
  <c r="AA230" i="19"/>
  <c r="AB230" i="19"/>
  <c r="AC230" i="19"/>
  <c r="W230" i="19"/>
  <c r="AD230" i="19"/>
  <c r="AE230" i="19"/>
  <c r="X231" i="19"/>
  <c r="Y231" i="19"/>
  <c r="Z231" i="19"/>
  <c r="AA231" i="19"/>
  <c r="AB231" i="19"/>
  <c r="AC231" i="19"/>
  <c r="W231" i="19"/>
  <c r="AD231" i="19"/>
  <c r="AE231" i="19"/>
  <c r="X232" i="19"/>
  <c r="Y232" i="19"/>
  <c r="Z232" i="19"/>
  <c r="AA232" i="19"/>
  <c r="AB232" i="19"/>
  <c r="AC232" i="19"/>
  <c r="W232" i="19"/>
  <c r="AD232" i="19"/>
  <c r="AE232" i="19"/>
  <c r="X233" i="19"/>
  <c r="Y233" i="19"/>
  <c r="Z233" i="19"/>
  <c r="AA233" i="19"/>
  <c r="AB233" i="19"/>
  <c r="AC233" i="19"/>
  <c r="W233" i="19"/>
  <c r="AD233" i="19"/>
  <c r="AE233" i="19"/>
  <c r="X234" i="19"/>
  <c r="Y234" i="19"/>
  <c r="Z234" i="19"/>
  <c r="AA234" i="19"/>
  <c r="AB234" i="19"/>
  <c r="AC234" i="19"/>
  <c r="W234" i="19"/>
  <c r="AD234" i="19"/>
  <c r="AE234" i="19"/>
  <c r="X235" i="19"/>
  <c r="Y235" i="19"/>
  <c r="Z235" i="19"/>
  <c r="AA235" i="19"/>
  <c r="AB235" i="19"/>
  <c r="AC235" i="19"/>
  <c r="W235" i="19"/>
  <c r="AD235" i="19"/>
  <c r="AE235" i="19"/>
  <c r="X236" i="19"/>
  <c r="Y236" i="19"/>
  <c r="Z236" i="19"/>
  <c r="AA236" i="19"/>
  <c r="AB236" i="19"/>
  <c r="AC236" i="19"/>
  <c r="W236" i="19"/>
  <c r="AD236" i="19"/>
  <c r="AE236" i="19"/>
  <c r="X237" i="19"/>
  <c r="Y237" i="19"/>
  <c r="Z237" i="19"/>
  <c r="AA237" i="19"/>
  <c r="AB237" i="19"/>
  <c r="AC237" i="19"/>
  <c r="W237" i="19"/>
  <c r="AD237" i="19"/>
  <c r="AE237" i="19"/>
  <c r="X238" i="19"/>
  <c r="Y238" i="19"/>
  <c r="Z238" i="19"/>
  <c r="AA238" i="19"/>
  <c r="AB238" i="19"/>
  <c r="AC238" i="19"/>
  <c r="W238" i="19"/>
  <c r="AD238" i="19"/>
  <c r="AE238" i="19"/>
  <c r="X239" i="19"/>
  <c r="Y239" i="19"/>
  <c r="Z239" i="19"/>
  <c r="AA239" i="19"/>
  <c r="AB239" i="19"/>
  <c r="AC239" i="19"/>
  <c r="W239" i="19"/>
  <c r="AD239" i="19"/>
  <c r="AE239" i="19"/>
  <c r="X240" i="19"/>
  <c r="Y240" i="19"/>
  <c r="Z240" i="19"/>
  <c r="AA240" i="19"/>
  <c r="AB240" i="19"/>
  <c r="AC240" i="19"/>
  <c r="W240" i="19"/>
  <c r="AD240" i="19"/>
  <c r="AE240" i="19"/>
  <c r="X241" i="19"/>
  <c r="Y241" i="19"/>
  <c r="Z241" i="19"/>
  <c r="AA241" i="19"/>
  <c r="AB241" i="19"/>
  <c r="AC241" i="19"/>
  <c r="W241" i="19"/>
  <c r="AD241" i="19"/>
  <c r="AE241" i="19"/>
  <c r="X242" i="19"/>
  <c r="Y242" i="19"/>
  <c r="Z242" i="19"/>
  <c r="AA242" i="19"/>
  <c r="AB242" i="19"/>
  <c r="AC242" i="19"/>
  <c r="W242" i="19"/>
  <c r="AD242" i="19"/>
  <c r="AE242" i="19"/>
  <c r="X243" i="19"/>
  <c r="Y243" i="19"/>
  <c r="Z243" i="19"/>
  <c r="AA243" i="19"/>
  <c r="AB243" i="19"/>
  <c r="AC243" i="19"/>
  <c r="W243" i="19"/>
  <c r="AD243" i="19"/>
  <c r="AE243" i="19"/>
  <c r="X244" i="19"/>
  <c r="Y244" i="19"/>
  <c r="Z244" i="19"/>
  <c r="AA244" i="19"/>
  <c r="AB244" i="19"/>
  <c r="AC244" i="19"/>
  <c r="W244" i="19"/>
  <c r="AD244" i="19"/>
  <c r="AE244" i="19"/>
  <c r="X245" i="19"/>
  <c r="Y245" i="19"/>
  <c r="Z245" i="19"/>
  <c r="AA245" i="19"/>
  <c r="AB245" i="19"/>
  <c r="AC245" i="19"/>
  <c r="W245" i="19"/>
  <c r="AD245" i="19"/>
  <c r="AE245" i="19"/>
  <c r="X246" i="19"/>
  <c r="Y246" i="19"/>
  <c r="Z246" i="19"/>
  <c r="AA246" i="19"/>
  <c r="AB246" i="19"/>
  <c r="AC246" i="19"/>
  <c r="W246" i="19"/>
  <c r="AD246" i="19"/>
  <c r="AE246" i="19"/>
  <c r="X247" i="19"/>
  <c r="Y247" i="19"/>
  <c r="Z247" i="19"/>
  <c r="AA247" i="19"/>
  <c r="AB247" i="19"/>
  <c r="AC247" i="19"/>
  <c r="W247" i="19"/>
  <c r="AD247" i="19"/>
  <c r="AE247" i="19"/>
  <c r="X248" i="19"/>
  <c r="Y248" i="19"/>
  <c r="Z248" i="19"/>
  <c r="AA248" i="19"/>
  <c r="AB248" i="19"/>
  <c r="AC248" i="19"/>
  <c r="W248" i="19"/>
  <c r="AD248" i="19"/>
  <c r="AE248" i="19"/>
  <c r="X249" i="19"/>
  <c r="Y249" i="19"/>
  <c r="Z249" i="19"/>
  <c r="AA249" i="19"/>
  <c r="AB249" i="19"/>
  <c r="AC249" i="19"/>
  <c r="W249" i="19"/>
  <c r="AD249" i="19"/>
  <c r="AE249" i="19"/>
  <c r="X250" i="19"/>
  <c r="Y250" i="19"/>
  <c r="Z250" i="19"/>
  <c r="AA250" i="19"/>
  <c r="AB250" i="19"/>
  <c r="AC250" i="19"/>
  <c r="W250" i="19"/>
  <c r="AD250" i="19"/>
  <c r="AE250" i="19"/>
  <c r="X251" i="19"/>
  <c r="Y251" i="19"/>
  <c r="Z251" i="19"/>
  <c r="AA251" i="19"/>
  <c r="AB251" i="19"/>
  <c r="AC251" i="19"/>
  <c r="W251" i="19"/>
  <c r="AD251" i="19"/>
  <c r="AE251" i="19"/>
  <c r="X252" i="19"/>
  <c r="Y252" i="19"/>
  <c r="Z252" i="19"/>
  <c r="AA252" i="19"/>
  <c r="AB252" i="19"/>
  <c r="AC252" i="19"/>
  <c r="W252" i="19"/>
  <c r="AD252" i="19"/>
  <c r="AE252" i="19"/>
  <c r="X253" i="19"/>
  <c r="Y253" i="19"/>
  <c r="Z253" i="19"/>
  <c r="AA253" i="19"/>
  <c r="AB253" i="19"/>
  <c r="AC253" i="19"/>
  <c r="W253" i="19"/>
  <c r="AD253" i="19"/>
  <c r="AE253" i="19"/>
  <c r="X254" i="19"/>
  <c r="Y254" i="19"/>
  <c r="Z254" i="19"/>
  <c r="AA254" i="19"/>
  <c r="AB254" i="19"/>
  <c r="AC254" i="19"/>
  <c r="W254" i="19"/>
  <c r="AD254" i="19"/>
  <c r="AE254" i="19"/>
  <c r="X255" i="19"/>
  <c r="Y255" i="19"/>
  <c r="Z255" i="19"/>
  <c r="AA255" i="19"/>
  <c r="AB255" i="19"/>
  <c r="AC255" i="19"/>
  <c r="W255" i="19"/>
  <c r="AD255" i="19"/>
  <c r="AE255" i="19"/>
  <c r="X256" i="19"/>
  <c r="Y256" i="19"/>
  <c r="Z256" i="19"/>
  <c r="AA256" i="19"/>
  <c r="AB256" i="19"/>
  <c r="AC256" i="19"/>
  <c r="W256" i="19"/>
  <c r="AD256" i="19"/>
  <c r="AE256" i="19"/>
  <c r="X257" i="19"/>
  <c r="Y257" i="19"/>
  <c r="Z257" i="19"/>
  <c r="AA257" i="19"/>
  <c r="AB257" i="19"/>
  <c r="AC257" i="19"/>
  <c r="W257" i="19"/>
  <c r="AD257" i="19"/>
  <c r="AE257" i="19"/>
  <c r="X258" i="19"/>
  <c r="Y258" i="19"/>
  <c r="Z258" i="19"/>
  <c r="AA258" i="19"/>
  <c r="AB258" i="19"/>
  <c r="AC258" i="19"/>
  <c r="W258" i="19"/>
  <c r="AD258" i="19"/>
  <c r="AE258" i="19"/>
  <c r="X259" i="19"/>
  <c r="Y259" i="19"/>
  <c r="Z259" i="19"/>
  <c r="AA259" i="19"/>
  <c r="AB259" i="19"/>
  <c r="AC259" i="19"/>
  <c r="W259" i="19"/>
  <c r="AD259" i="19"/>
  <c r="AE259" i="19"/>
  <c r="X260" i="19"/>
  <c r="Y260" i="19"/>
  <c r="Z260" i="19"/>
  <c r="AA260" i="19"/>
  <c r="AB260" i="19"/>
  <c r="AC260" i="19"/>
  <c r="W260" i="19"/>
  <c r="AD260" i="19"/>
  <c r="AE260" i="19"/>
  <c r="X261" i="19"/>
  <c r="Y261" i="19"/>
  <c r="Z261" i="19"/>
  <c r="AA261" i="19"/>
  <c r="AB261" i="19"/>
  <c r="AC261" i="19"/>
  <c r="W261" i="19"/>
  <c r="AD261" i="19"/>
  <c r="AE261" i="19"/>
  <c r="X262" i="19"/>
  <c r="Y262" i="19"/>
  <c r="Z262" i="19"/>
  <c r="AA262" i="19"/>
  <c r="AB262" i="19"/>
  <c r="AC262" i="19"/>
  <c r="W262" i="19"/>
  <c r="AD262" i="19"/>
  <c r="AE262" i="19"/>
  <c r="X263" i="19"/>
  <c r="Y263" i="19"/>
  <c r="Z263" i="19"/>
  <c r="AA263" i="19"/>
  <c r="AB263" i="19"/>
  <c r="AC263" i="19"/>
  <c r="W263" i="19"/>
  <c r="AD263" i="19"/>
  <c r="AE263" i="19"/>
  <c r="X264" i="19"/>
  <c r="Y264" i="19"/>
  <c r="Z264" i="19"/>
  <c r="AA264" i="19"/>
  <c r="AB264" i="19"/>
  <c r="AC264" i="19"/>
  <c r="W264" i="19"/>
  <c r="AD264" i="19"/>
  <c r="AE264" i="19"/>
  <c r="X265" i="19"/>
  <c r="Y265" i="19"/>
  <c r="Z265" i="19"/>
  <c r="AA265" i="19"/>
  <c r="AB265" i="19"/>
  <c r="AC265" i="19"/>
  <c r="W265" i="19"/>
  <c r="AD265" i="19"/>
  <c r="AE265" i="19"/>
  <c r="X266" i="19"/>
  <c r="Y266" i="19"/>
  <c r="Z266" i="19"/>
  <c r="AA266" i="19"/>
  <c r="AB266" i="19"/>
  <c r="AC266" i="19"/>
  <c r="W266" i="19"/>
  <c r="AD266" i="19"/>
  <c r="AE266" i="19"/>
  <c r="X267" i="19"/>
  <c r="Y267" i="19"/>
  <c r="Z267" i="19"/>
  <c r="AA267" i="19"/>
  <c r="AB267" i="19"/>
  <c r="AC267" i="19"/>
  <c r="W267" i="19"/>
  <c r="AD267" i="19"/>
  <c r="AE267" i="19"/>
  <c r="X268" i="19"/>
  <c r="Y268" i="19"/>
  <c r="Z268" i="19"/>
  <c r="AA268" i="19"/>
  <c r="AB268" i="19"/>
  <c r="AC268" i="19"/>
  <c r="W268" i="19"/>
  <c r="AD268" i="19"/>
  <c r="AE268" i="19"/>
  <c r="X269" i="19"/>
  <c r="Y269" i="19"/>
  <c r="Z269" i="19"/>
  <c r="AA269" i="19"/>
  <c r="AB269" i="19"/>
  <c r="AC269" i="19"/>
  <c r="W269" i="19"/>
  <c r="AD269" i="19"/>
  <c r="AE269" i="19"/>
  <c r="X270" i="19"/>
  <c r="Y270" i="19"/>
  <c r="Z270" i="19"/>
  <c r="AA270" i="19"/>
  <c r="AB270" i="19"/>
  <c r="AC270" i="19"/>
  <c r="W270" i="19"/>
  <c r="AD270" i="19"/>
  <c r="AE270" i="19"/>
  <c r="X271" i="19"/>
  <c r="Y271" i="19"/>
  <c r="Z271" i="19"/>
  <c r="AA271" i="19"/>
  <c r="AB271" i="19"/>
  <c r="AC271" i="19"/>
  <c r="W271" i="19"/>
  <c r="AD271" i="19"/>
  <c r="AE271" i="19"/>
  <c r="X272" i="19"/>
  <c r="Y272" i="19"/>
  <c r="Z272" i="19"/>
  <c r="AA272" i="19"/>
  <c r="AB272" i="19"/>
  <c r="AC272" i="19"/>
  <c r="W272" i="19"/>
  <c r="AD272" i="19"/>
  <c r="AE272" i="19"/>
  <c r="X273" i="19"/>
  <c r="Y273" i="19"/>
  <c r="Z273" i="19"/>
  <c r="AA273" i="19"/>
  <c r="AB273" i="19"/>
  <c r="AC273" i="19"/>
  <c r="W273" i="19"/>
  <c r="AD273" i="19"/>
  <c r="AE273" i="19"/>
  <c r="X274" i="19"/>
  <c r="Y274" i="19"/>
  <c r="Z274" i="19"/>
  <c r="AA274" i="19"/>
  <c r="AB274" i="19"/>
  <c r="AC274" i="19"/>
  <c r="W274" i="19"/>
  <c r="AD274" i="19"/>
  <c r="AE274" i="19"/>
  <c r="X275" i="19"/>
  <c r="Y275" i="19"/>
  <c r="Z275" i="19"/>
  <c r="AA275" i="19"/>
  <c r="AB275" i="19"/>
  <c r="AC275" i="19"/>
  <c r="W275" i="19"/>
  <c r="AD275" i="19"/>
  <c r="AE275" i="19"/>
  <c r="X276" i="19"/>
  <c r="Y276" i="19"/>
  <c r="Z276" i="19"/>
  <c r="AA276" i="19"/>
  <c r="AB276" i="19"/>
  <c r="AC276" i="19"/>
  <c r="W276" i="19"/>
  <c r="AD276" i="19"/>
  <c r="AE276" i="19"/>
  <c r="X277" i="19"/>
  <c r="Y277" i="19"/>
  <c r="Z277" i="19"/>
  <c r="AA277" i="19"/>
  <c r="AB277" i="19"/>
  <c r="AC277" i="19"/>
  <c r="W277" i="19"/>
  <c r="AD277" i="19"/>
  <c r="AE277" i="19"/>
  <c r="X278" i="19"/>
  <c r="Y278" i="19"/>
  <c r="Z278" i="19"/>
  <c r="AA278" i="19"/>
  <c r="AB278" i="19"/>
  <c r="AC278" i="19"/>
  <c r="W278" i="19"/>
  <c r="AD278" i="19"/>
  <c r="AE278" i="19"/>
  <c r="X279" i="19"/>
  <c r="Y279" i="19"/>
  <c r="Z279" i="19"/>
  <c r="AA279" i="19"/>
  <c r="AB279" i="19"/>
  <c r="AC279" i="19"/>
  <c r="W279" i="19"/>
  <c r="AD279" i="19"/>
  <c r="AE279" i="19"/>
  <c r="X280" i="19"/>
  <c r="Y280" i="19"/>
  <c r="Z280" i="19"/>
  <c r="AA280" i="19"/>
  <c r="AB280" i="19"/>
  <c r="AC280" i="19"/>
  <c r="W280" i="19"/>
  <c r="AD280" i="19"/>
  <c r="AE280" i="19"/>
  <c r="X281" i="19"/>
  <c r="Y281" i="19"/>
  <c r="Z281" i="19"/>
  <c r="AA281" i="19"/>
  <c r="AB281" i="19"/>
  <c r="AC281" i="19"/>
  <c r="W281" i="19"/>
  <c r="AD281" i="19"/>
  <c r="AE281" i="19"/>
  <c r="X282" i="19"/>
  <c r="Y282" i="19"/>
  <c r="Z282" i="19"/>
  <c r="AA282" i="19"/>
  <c r="AB282" i="19"/>
  <c r="AC282" i="19"/>
  <c r="W282" i="19"/>
  <c r="AD282" i="19"/>
  <c r="AE282" i="19"/>
  <c r="X283" i="19"/>
  <c r="Y283" i="19"/>
  <c r="Z283" i="19"/>
  <c r="AA283" i="19"/>
  <c r="AB283" i="19"/>
  <c r="AC283" i="19"/>
  <c r="W283" i="19"/>
  <c r="AD283" i="19"/>
  <c r="AE283" i="19"/>
  <c r="X284" i="19"/>
  <c r="Y284" i="19"/>
  <c r="Z284" i="19"/>
  <c r="AA284" i="19"/>
  <c r="AB284" i="19"/>
  <c r="AC284" i="19"/>
  <c r="W284" i="19"/>
  <c r="AD284" i="19"/>
  <c r="AE284" i="19"/>
  <c r="X285" i="19"/>
  <c r="Y285" i="19"/>
  <c r="Z285" i="19"/>
  <c r="AA285" i="19"/>
  <c r="AB285" i="19"/>
  <c r="AC285" i="19"/>
  <c r="W285" i="19"/>
  <c r="AD285" i="19"/>
  <c r="AE285" i="19"/>
  <c r="X286" i="19"/>
  <c r="Y286" i="19"/>
  <c r="Z286" i="19"/>
  <c r="AA286" i="19"/>
  <c r="AB286" i="19"/>
  <c r="AC286" i="19"/>
  <c r="W286" i="19"/>
  <c r="AD286" i="19"/>
  <c r="AE286" i="19"/>
  <c r="X287" i="19"/>
  <c r="Y287" i="19"/>
  <c r="Z287" i="19"/>
  <c r="AA287" i="19"/>
  <c r="AB287" i="19"/>
  <c r="AC287" i="19"/>
  <c r="W287" i="19"/>
  <c r="AD287" i="19"/>
  <c r="AE287" i="19"/>
  <c r="X288" i="19"/>
  <c r="Y288" i="19"/>
  <c r="Z288" i="19"/>
  <c r="AA288" i="19"/>
  <c r="AB288" i="19"/>
  <c r="AC288" i="19"/>
  <c r="W288" i="19"/>
  <c r="AD288" i="19"/>
  <c r="AE288" i="19"/>
  <c r="X289" i="19"/>
  <c r="Y289" i="19"/>
  <c r="Z289" i="19"/>
  <c r="AA289" i="19"/>
  <c r="AB289" i="19"/>
  <c r="AC289" i="19"/>
  <c r="W289" i="19"/>
  <c r="AD289" i="19"/>
  <c r="AE289" i="19"/>
  <c r="X290" i="19"/>
  <c r="Y290" i="19"/>
  <c r="Z290" i="19"/>
  <c r="AA290" i="19"/>
  <c r="AB290" i="19"/>
  <c r="AC290" i="19"/>
  <c r="W290" i="19"/>
  <c r="AD290" i="19"/>
  <c r="AE290" i="19"/>
  <c r="X291" i="19"/>
  <c r="Y291" i="19"/>
  <c r="Z291" i="19"/>
  <c r="AA291" i="19"/>
  <c r="AB291" i="19"/>
  <c r="AC291" i="19"/>
  <c r="W291" i="19"/>
  <c r="AD291" i="19"/>
  <c r="AE291" i="19"/>
  <c r="X292" i="19"/>
  <c r="Y292" i="19"/>
  <c r="Z292" i="19"/>
  <c r="AA292" i="19"/>
  <c r="AB292" i="19"/>
  <c r="AC292" i="19"/>
  <c r="W292" i="19"/>
  <c r="AD292" i="19"/>
  <c r="AE292" i="19"/>
  <c r="X293" i="19"/>
  <c r="Y293" i="19"/>
  <c r="Z293" i="19"/>
  <c r="AA293" i="19"/>
  <c r="AB293" i="19"/>
  <c r="AC293" i="19"/>
  <c r="W293" i="19"/>
  <c r="AD293" i="19"/>
  <c r="AE293" i="19"/>
  <c r="X294" i="19"/>
  <c r="Y294" i="19"/>
  <c r="Z294" i="19"/>
  <c r="AA294" i="19"/>
  <c r="AB294" i="19"/>
  <c r="AC294" i="19"/>
  <c r="W294" i="19"/>
  <c r="AD294" i="19"/>
  <c r="AE294" i="19"/>
  <c r="X295" i="19"/>
  <c r="Y295" i="19"/>
  <c r="Z295" i="19"/>
  <c r="AA295" i="19"/>
  <c r="AB295" i="19"/>
  <c r="AC295" i="19"/>
  <c r="W295" i="19"/>
  <c r="AD295" i="19"/>
  <c r="AE295" i="19"/>
  <c r="X296" i="19"/>
  <c r="Y296" i="19"/>
  <c r="Z296" i="19"/>
  <c r="AA296" i="19"/>
  <c r="AB296" i="19"/>
  <c r="AC296" i="19"/>
  <c r="W296" i="19"/>
  <c r="AD296" i="19"/>
  <c r="AE296" i="19"/>
  <c r="X297" i="19"/>
  <c r="Y297" i="19"/>
  <c r="Z297" i="19"/>
  <c r="AA297" i="19"/>
  <c r="AB297" i="19"/>
  <c r="AC297" i="19"/>
  <c r="W297" i="19"/>
  <c r="AD297" i="19"/>
  <c r="AE297" i="19"/>
  <c r="X298" i="19"/>
  <c r="Y298" i="19"/>
  <c r="Z298" i="19"/>
  <c r="AA298" i="19"/>
  <c r="AB298" i="19"/>
  <c r="AC298" i="19"/>
  <c r="W298" i="19"/>
  <c r="AD298" i="19"/>
  <c r="AE298" i="19"/>
  <c r="X299" i="19"/>
  <c r="Y299" i="19"/>
  <c r="Z299" i="19"/>
  <c r="AA299" i="19"/>
  <c r="AB299" i="19"/>
  <c r="AC299" i="19"/>
  <c r="W299" i="19"/>
  <c r="AD299" i="19"/>
  <c r="AE299" i="19"/>
  <c r="X300" i="19"/>
  <c r="Y300" i="19"/>
  <c r="Z300" i="19"/>
  <c r="AA300" i="19"/>
  <c r="AB300" i="19"/>
  <c r="AC300" i="19"/>
  <c r="W300" i="19"/>
  <c r="AD300" i="19"/>
  <c r="AE300" i="19"/>
  <c r="X301" i="19"/>
  <c r="Y301" i="19"/>
  <c r="Z301" i="19"/>
  <c r="AA301" i="19"/>
  <c r="AB301" i="19"/>
  <c r="AC301" i="19"/>
  <c r="W301" i="19"/>
  <c r="AD301" i="19"/>
  <c r="AE301" i="19"/>
  <c r="X302" i="19"/>
  <c r="Y302" i="19"/>
  <c r="Z302" i="19"/>
  <c r="AA302" i="19"/>
  <c r="AB302" i="19"/>
  <c r="AC302" i="19"/>
  <c r="W302" i="19"/>
  <c r="AD302" i="19"/>
  <c r="AE302" i="19"/>
  <c r="X303" i="19"/>
  <c r="Y303" i="19"/>
  <c r="Z303" i="19"/>
  <c r="AA303" i="19"/>
  <c r="AB303" i="19"/>
  <c r="AC303" i="19"/>
  <c r="W303" i="19"/>
  <c r="AD303" i="19"/>
  <c r="AE303" i="19"/>
  <c r="X307" i="19"/>
  <c r="Y307" i="19"/>
  <c r="Z307" i="19"/>
  <c r="AA307" i="19"/>
  <c r="AB307" i="19"/>
  <c r="AC307" i="19"/>
  <c r="W307" i="19"/>
  <c r="AD307" i="19"/>
  <c r="AE307" i="19"/>
  <c r="X308" i="19"/>
  <c r="Y308" i="19"/>
  <c r="Z308" i="19"/>
  <c r="AA308" i="19"/>
  <c r="AB308" i="19"/>
  <c r="AC308" i="19"/>
  <c r="W308" i="19"/>
  <c r="AD308" i="19"/>
  <c r="AE308" i="19"/>
  <c r="X309" i="19"/>
  <c r="Y309" i="19"/>
  <c r="Z309" i="19"/>
  <c r="AA309" i="19"/>
  <c r="AB309" i="19"/>
  <c r="AC309" i="19"/>
  <c r="W309" i="19"/>
  <c r="AD309" i="19"/>
  <c r="AE309" i="19"/>
  <c r="X310" i="19"/>
  <c r="Y310" i="19"/>
  <c r="Z310" i="19"/>
  <c r="AA310" i="19"/>
  <c r="AB310" i="19"/>
  <c r="AC310" i="19"/>
  <c r="W310" i="19"/>
  <c r="AD310" i="19"/>
  <c r="AE310" i="19"/>
  <c r="X311" i="19"/>
  <c r="Y311" i="19"/>
  <c r="Z311" i="19"/>
  <c r="AA311" i="19"/>
  <c r="AB311" i="19"/>
  <c r="AC311" i="19"/>
  <c r="W311" i="19"/>
  <c r="AD311" i="19"/>
  <c r="AE311" i="19"/>
  <c r="X312" i="19"/>
  <c r="Y312" i="19"/>
  <c r="Z312" i="19"/>
  <c r="AA312" i="19"/>
  <c r="AB312" i="19"/>
  <c r="AC312" i="19"/>
  <c r="W312" i="19"/>
  <c r="AD312" i="19"/>
  <c r="AE312" i="19"/>
  <c r="X313" i="19"/>
  <c r="Y313" i="19"/>
  <c r="Z313" i="19"/>
  <c r="AA313" i="19"/>
  <c r="AB313" i="19"/>
  <c r="AC313" i="19"/>
  <c r="W313" i="19"/>
  <c r="AD313" i="19"/>
  <c r="AE313" i="19"/>
  <c r="X314" i="19"/>
  <c r="Y314" i="19"/>
  <c r="Z314" i="19"/>
  <c r="AA314" i="19"/>
  <c r="AB314" i="19"/>
  <c r="AC314" i="19"/>
  <c r="W314" i="19"/>
  <c r="AD314" i="19"/>
  <c r="AE314" i="19"/>
  <c r="X315" i="19"/>
  <c r="Y315" i="19"/>
  <c r="Z315" i="19"/>
  <c r="AA315" i="19"/>
  <c r="AB315" i="19"/>
  <c r="AC315" i="19"/>
  <c r="W315" i="19"/>
  <c r="AD315" i="19"/>
  <c r="AE315" i="19"/>
  <c r="X316" i="19"/>
  <c r="Y316" i="19"/>
  <c r="Z316" i="19"/>
  <c r="AA316" i="19"/>
  <c r="AB316" i="19"/>
  <c r="AC316" i="19"/>
  <c r="W316" i="19"/>
  <c r="AD316" i="19"/>
  <c r="AE316" i="19"/>
  <c r="X317" i="19"/>
  <c r="Y317" i="19"/>
  <c r="Z317" i="19"/>
  <c r="AA317" i="19"/>
  <c r="AB317" i="19"/>
  <c r="AC317" i="19"/>
  <c r="W317" i="19"/>
  <c r="AD317" i="19"/>
  <c r="AE317" i="19"/>
  <c r="X318" i="19"/>
  <c r="Y318" i="19"/>
  <c r="Z318" i="19"/>
  <c r="AA318" i="19"/>
  <c r="AB318" i="19"/>
  <c r="AC318" i="19"/>
  <c r="W318" i="19"/>
  <c r="AD318" i="19"/>
  <c r="AE318" i="19"/>
  <c r="X319" i="19"/>
  <c r="Y319" i="19"/>
  <c r="Z319" i="19"/>
  <c r="AA319" i="19"/>
  <c r="AB319" i="19"/>
  <c r="AC319" i="19"/>
  <c r="W319" i="19"/>
  <c r="AD319" i="19"/>
  <c r="AE319" i="19"/>
  <c r="X320" i="19"/>
  <c r="Y320" i="19"/>
  <c r="Z320" i="19"/>
  <c r="AA320" i="19"/>
  <c r="AB320" i="19"/>
  <c r="AC320" i="19"/>
  <c r="W320" i="19"/>
  <c r="AD320" i="19"/>
  <c r="AE320" i="19"/>
  <c r="X321" i="19"/>
  <c r="Y321" i="19"/>
  <c r="Z321" i="19"/>
  <c r="AA321" i="19"/>
  <c r="AB321" i="19"/>
  <c r="AC321" i="19"/>
  <c r="W321" i="19"/>
  <c r="AD321" i="19"/>
  <c r="AE321" i="19"/>
  <c r="X322" i="19"/>
  <c r="Y322" i="19"/>
  <c r="Z322" i="19"/>
  <c r="AA322" i="19"/>
  <c r="AB322" i="19"/>
  <c r="AC322" i="19"/>
  <c r="W322" i="19"/>
  <c r="AD322" i="19"/>
  <c r="AE322" i="19"/>
  <c r="X323" i="19"/>
  <c r="Y323" i="19"/>
  <c r="Z323" i="19"/>
  <c r="AA323" i="19"/>
  <c r="AB323" i="19"/>
  <c r="AC323" i="19"/>
  <c r="W323" i="19"/>
  <c r="AD323" i="19"/>
  <c r="AE323" i="19"/>
  <c r="X324" i="19"/>
  <c r="Y324" i="19"/>
  <c r="Z324" i="19"/>
  <c r="AA324" i="19"/>
  <c r="AB324" i="19"/>
  <c r="AC324" i="19"/>
  <c r="W324" i="19"/>
  <c r="AD324" i="19"/>
  <c r="AE324" i="19"/>
  <c r="X325" i="19"/>
  <c r="Y325" i="19"/>
  <c r="Z325" i="19"/>
  <c r="AA325" i="19"/>
  <c r="AB325" i="19"/>
  <c r="AC325" i="19"/>
  <c r="W325" i="19"/>
  <c r="AD325" i="19"/>
  <c r="AE325" i="19"/>
  <c r="X326" i="19"/>
  <c r="Y326" i="19"/>
  <c r="Z326" i="19"/>
  <c r="AA326" i="19"/>
  <c r="AB326" i="19"/>
  <c r="AC326" i="19"/>
  <c r="W326" i="19"/>
  <c r="AD326" i="19"/>
  <c r="AE326" i="19"/>
  <c r="X327" i="19"/>
  <c r="Y327" i="19"/>
  <c r="Z327" i="19"/>
  <c r="AA327" i="19"/>
  <c r="AB327" i="19"/>
  <c r="AC327" i="19"/>
  <c r="W327" i="19"/>
  <c r="AD327" i="19"/>
  <c r="AE327" i="19"/>
  <c r="X328" i="19"/>
  <c r="Y328" i="19"/>
  <c r="Z328" i="19"/>
  <c r="AA328" i="19"/>
  <c r="AB328" i="19"/>
  <c r="AC328" i="19"/>
  <c r="W328" i="19"/>
  <c r="AD328" i="19"/>
  <c r="AE328" i="19"/>
  <c r="X329" i="19"/>
  <c r="Y329" i="19"/>
  <c r="Z329" i="19"/>
  <c r="AA329" i="19"/>
  <c r="AB329" i="19"/>
  <c r="AC329" i="19"/>
  <c r="W329" i="19"/>
  <c r="AD329" i="19"/>
  <c r="AE329" i="19"/>
  <c r="X330" i="19"/>
  <c r="Y330" i="19"/>
  <c r="Z330" i="19"/>
  <c r="AA330" i="19"/>
  <c r="AB330" i="19"/>
  <c r="AC330" i="19"/>
  <c r="W330" i="19"/>
  <c r="AD330" i="19"/>
  <c r="AE330" i="19"/>
  <c r="X331" i="19"/>
  <c r="Y331" i="19"/>
  <c r="Z331" i="19"/>
  <c r="AA331" i="19"/>
  <c r="AB331" i="19"/>
  <c r="AC331" i="19"/>
  <c r="W331" i="19"/>
  <c r="AD331" i="19"/>
  <c r="AE331" i="19"/>
  <c r="X332" i="19"/>
  <c r="Y332" i="19"/>
  <c r="Z332" i="19"/>
  <c r="AA332" i="19"/>
  <c r="AB332" i="19"/>
  <c r="AC332" i="19"/>
  <c r="W332" i="19"/>
  <c r="AD332" i="19"/>
  <c r="AE332" i="19"/>
  <c r="X333" i="19"/>
  <c r="Y333" i="19"/>
  <c r="Z333" i="19"/>
  <c r="AA333" i="19"/>
  <c r="AB333" i="19"/>
  <c r="AC333" i="19"/>
  <c r="W333" i="19"/>
  <c r="AD333" i="19"/>
  <c r="AE333" i="19"/>
  <c r="X334" i="19"/>
  <c r="Y334" i="19"/>
  <c r="Z334" i="19"/>
  <c r="AA334" i="19"/>
  <c r="AB334" i="19"/>
  <c r="AC334" i="19"/>
  <c r="W334" i="19"/>
  <c r="AD334" i="19"/>
  <c r="AE334" i="19"/>
  <c r="X335" i="19"/>
  <c r="Y335" i="19"/>
  <c r="Z335" i="19"/>
  <c r="AA335" i="19"/>
  <c r="AB335" i="19"/>
  <c r="AC335" i="19"/>
  <c r="W335" i="19"/>
  <c r="AD335" i="19"/>
  <c r="AE335" i="19"/>
  <c r="X336" i="19"/>
  <c r="Y336" i="19"/>
  <c r="Z336" i="19"/>
  <c r="AA336" i="19"/>
  <c r="AB336" i="19"/>
  <c r="AC336" i="19"/>
  <c r="W336" i="19"/>
  <c r="AD336" i="19"/>
  <c r="AE336" i="19"/>
  <c r="X337" i="19"/>
  <c r="Y337" i="19"/>
  <c r="Z337" i="19"/>
  <c r="AA337" i="19"/>
  <c r="AB337" i="19"/>
  <c r="AC337" i="19"/>
  <c r="W337" i="19"/>
  <c r="AD337" i="19"/>
  <c r="AE337" i="19"/>
  <c r="X338" i="19"/>
  <c r="Y338" i="19"/>
  <c r="Z338" i="19"/>
  <c r="AA338" i="19"/>
  <c r="AB338" i="19"/>
  <c r="AC338" i="19"/>
  <c r="W338" i="19"/>
  <c r="AD338" i="19"/>
  <c r="AE338" i="19"/>
  <c r="X339" i="19"/>
  <c r="Y339" i="19"/>
  <c r="Z339" i="19"/>
  <c r="AA339" i="19"/>
  <c r="AB339" i="19"/>
  <c r="AC339" i="19"/>
  <c r="W339" i="19"/>
  <c r="AD339" i="19"/>
  <c r="AE339" i="19"/>
  <c r="X340" i="19"/>
  <c r="Y340" i="19"/>
  <c r="Z340" i="19"/>
  <c r="AA340" i="19"/>
  <c r="AB340" i="19"/>
  <c r="AC340" i="19"/>
  <c r="W340" i="19"/>
  <c r="AD340" i="19"/>
  <c r="AE340" i="19"/>
  <c r="X341" i="19"/>
  <c r="Y341" i="19"/>
  <c r="Z341" i="19"/>
  <c r="AA341" i="19"/>
  <c r="AB341" i="19"/>
  <c r="AC341" i="19"/>
  <c r="W341" i="19"/>
  <c r="AD341" i="19"/>
  <c r="AE341" i="19"/>
  <c r="X342" i="19"/>
  <c r="Y342" i="19"/>
  <c r="Z342" i="19"/>
  <c r="AA342" i="19"/>
  <c r="AB342" i="19"/>
  <c r="AC342" i="19"/>
  <c r="W342" i="19"/>
  <c r="AD342" i="19"/>
  <c r="AE342" i="19"/>
  <c r="X344" i="19"/>
  <c r="Y344" i="19"/>
  <c r="Z344" i="19"/>
  <c r="AA344" i="19"/>
  <c r="AB344" i="19"/>
  <c r="AC344" i="19"/>
  <c r="W344" i="19"/>
  <c r="AD344" i="19"/>
  <c r="AE344" i="19"/>
  <c r="X345" i="19"/>
  <c r="Y345" i="19"/>
  <c r="Z345" i="19"/>
  <c r="AA345" i="19"/>
  <c r="AB345" i="19"/>
  <c r="AC345" i="19"/>
  <c r="W345" i="19"/>
  <c r="AD345" i="19"/>
  <c r="AE345" i="19"/>
  <c r="X346" i="19"/>
  <c r="Y346" i="19"/>
  <c r="Z346" i="19"/>
  <c r="AA346" i="19"/>
  <c r="AB346" i="19"/>
  <c r="AC346" i="19"/>
  <c r="W346" i="19"/>
  <c r="AD346" i="19"/>
  <c r="AE346" i="19"/>
  <c r="X347" i="19"/>
  <c r="Y347" i="19"/>
  <c r="Z347" i="19"/>
  <c r="AA347" i="19"/>
  <c r="AB347" i="19"/>
  <c r="AC347" i="19"/>
  <c r="W347" i="19"/>
  <c r="AD347" i="19"/>
  <c r="AE347" i="19"/>
  <c r="X348" i="19"/>
  <c r="Y348" i="19"/>
  <c r="Z348" i="19"/>
  <c r="AA348" i="19"/>
  <c r="AB348" i="19"/>
  <c r="AC348" i="19"/>
  <c r="W348" i="19"/>
  <c r="AD348" i="19"/>
  <c r="AE348" i="19"/>
  <c r="X349" i="19"/>
  <c r="Y349" i="19"/>
  <c r="Z349" i="19"/>
  <c r="AA349" i="19"/>
  <c r="AB349" i="19"/>
  <c r="AC349" i="19"/>
  <c r="W349" i="19"/>
  <c r="AD349" i="19"/>
  <c r="AE349" i="19"/>
  <c r="X350" i="19"/>
  <c r="Y350" i="19"/>
  <c r="Z350" i="19"/>
  <c r="AA350" i="19"/>
  <c r="AB350" i="19"/>
  <c r="AC350" i="19"/>
  <c r="W350" i="19"/>
  <c r="AD350" i="19"/>
  <c r="AE350" i="19"/>
  <c r="X351" i="19"/>
  <c r="Y351" i="19"/>
  <c r="Z351" i="19"/>
  <c r="AA351" i="19"/>
  <c r="AB351" i="19"/>
  <c r="AC351" i="19"/>
  <c r="W351" i="19"/>
  <c r="AD351" i="19"/>
  <c r="AE351" i="19"/>
  <c r="X352" i="19"/>
  <c r="Y352" i="19"/>
  <c r="Z352" i="19"/>
  <c r="AA352" i="19"/>
  <c r="AB352" i="19"/>
  <c r="AC352" i="19"/>
  <c r="W352" i="19"/>
  <c r="AD352" i="19"/>
  <c r="AE352" i="19"/>
  <c r="X353" i="19"/>
  <c r="Y353" i="19"/>
  <c r="Z353" i="19"/>
  <c r="AA353" i="19"/>
  <c r="AB353" i="19"/>
  <c r="AC353" i="19"/>
  <c r="W353" i="19"/>
  <c r="AD353" i="19"/>
  <c r="AE353" i="19"/>
  <c r="X354" i="19"/>
  <c r="Y354" i="19"/>
  <c r="Z354" i="19"/>
  <c r="AA354" i="19"/>
  <c r="AB354" i="19"/>
  <c r="AC354" i="19"/>
  <c r="W354" i="19"/>
  <c r="AD354" i="19"/>
  <c r="AE354" i="19"/>
  <c r="X355" i="19"/>
  <c r="Y355" i="19"/>
  <c r="Z355" i="19"/>
  <c r="AA355" i="19"/>
  <c r="AB355" i="19"/>
  <c r="AC355" i="19"/>
  <c r="W355" i="19"/>
  <c r="AD355" i="19"/>
  <c r="AE355" i="19"/>
  <c r="X356" i="19"/>
  <c r="Y356" i="19"/>
  <c r="Z356" i="19"/>
  <c r="AA356" i="19"/>
  <c r="AB356" i="19"/>
  <c r="AC356" i="19"/>
  <c r="W356" i="19"/>
  <c r="AD356" i="19"/>
  <c r="AE356" i="19"/>
  <c r="X357" i="19"/>
  <c r="Y357" i="19"/>
  <c r="Z357" i="19"/>
  <c r="AA357" i="19"/>
  <c r="AB357" i="19"/>
  <c r="AC357" i="19"/>
  <c r="W357" i="19"/>
  <c r="AD357" i="19"/>
  <c r="AE357" i="19"/>
  <c r="X358" i="19"/>
  <c r="Y358" i="19"/>
  <c r="Z358" i="19"/>
  <c r="AA358" i="19"/>
  <c r="AB358" i="19"/>
  <c r="AC358" i="19"/>
  <c r="W358" i="19"/>
  <c r="AD358" i="19"/>
  <c r="AE358" i="19"/>
  <c r="X359" i="19"/>
  <c r="Y359" i="19"/>
  <c r="Z359" i="19"/>
  <c r="AA359" i="19"/>
  <c r="AB359" i="19"/>
  <c r="AC359" i="19"/>
  <c r="W359" i="19"/>
  <c r="AD359" i="19"/>
  <c r="AE359" i="19"/>
  <c r="X360" i="19"/>
  <c r="Y360" i="19"/>
  <c r="Z360" i="19"/>
  <c r="AA360" i="19"/>
  <c r="AB360" i="19"/>
  <c r="AC360" i="19"/>
  <c r="W360" i="19"/>
  <c r="AD360" i="19"/>
  <c r="AE360" i="19"/>
  <c r="X361" i="19"/>
  <c r="Y361" i="19"/>
  <c r="Z361" i="19"/>
  <c r="AA361" i="19"/>
  <c r="AB361" i="19"/>
  <c r="AC361" i="19"/>
  <c r="W361" i="19"/>
  <c r="AD361" i="19"/>
  <c r="AE361" i="19"/>
  <c r="X362" i="19"/>
  <c r="Y362" i="19"/>
  <c r="Z362" i="19"/>
  <c r="AA362" i="19"/>
  <c r="AB362" i="19"/>
  <c r="AC362" i="19"/>
  <c r="W362" i="19"/>
  <c r="AD362" i="19"/>
  <c r="AE362" i="19"/>
  <c r="X363" i="19"/>
  <c r="Y363" i="19"/>
  <c r="Z363" i="19"/>
  <c r="AA363" i="19"/>
  <c r="AB363" i="19"/>
  <c r="AC363" i="19"/>
  <c r="W363" i="19"/>
  <c r="AD363" i="19"/>
  <c r="AE363" i="19"/>
  <c r="X364" i="19"/>
  <c r="Y364" i="19"/>
  <c r="Z364" i="19"/>
  <c r="AA364" i="19"/>
  <c r="AB364" i="19"/>
  <c r="AC364" i="19"/>
  <c r="W364" i="19"/>
  <c r="AD364" i="19"/>
  <c r="AE364" i="19"/>
  <c r="X365" i="19"/>
  <c r="Y365" i="19"/>
  <c r="Z365" i="19"/>
  <c r="AA365" i="19"/>
  <c r="AB365" i="19"/>
  <c r="AC365" i="19"/>
  <c r="W365" i="19"/>
  <c r="AD365" i="19"/>
  <c r="AE365" i="19"/>
  <c r="X366" i="19"/>
  <c r="Y366" i="19"/>
  <c r="Z366" i="19"/>
  <c r="AA366" i="19"/>
  <c r="AB366" i="19"/>
  <c r="AC366" i="19"/>
  <c r="W366" i="19"/>
  <c r="AD366" i="19"/>
  <c r="AE366" i="19"/>
  <c r="X367" i="19"/>
  <c r="Y367" i="19"/>
  <c r="Z367" i="19"/>
  <c r="AA367" i="19"/>
  <c r="AB367" i="19"/>
  <c r="AC367" i="19"/>
  <c r="W367" i="19"/>
  <c r="AD367" i="19"/>
  <c r="AE367" i="19"/>
  <c r="X368" i="19"/>
  <c r="Y368" i="19"/>
  <c r="Z368" i="19"/>
  <c r="AA368" i="19"/>
  <c r="AB368" i="19"/>
  <c r="AC368" i="19"/>
  <c r="W368" i="19"/>
  <c r="AD368" i="19"/>
  <c r="AE368" i="19"/>
  <c r="X369" i="19"/>
  <c r="Y369" i="19"/>
  <c r="Z369" i="19"/>
  <c r="AA369" i="19"/>
  <c r="AB369" i="19"/>
  <c r="AC369" i="19"/>
  <c r="W369" i="19"/>
  <c r="AD369" i="19"/>
  <c r="AE369" i="19"/>
  <c r="X370" i="19"/>
  <c r="Y370" i="19"/>
  <c r="Z370" i="19"/>
  <c r="AA370" i="19"/>
  <c r="AB370" i="19"/>
  <c r="AC370" i="19"/>
  <c r="W370" i="19"/>
  <c r="AD370" i="19"/>
  <c r="AE370" i="19"/>
  <c r="X371" i="19"/>
  <c r="Y371" i="19"/>
  <c r="Z371" i="19"/>
  <c r="AA371" i="19"/>
  <c r="AB371" i="19"/>
  <c r="AC371" i="19"/>
  <c r="W371" i="19"/>
  <c r="AD371" i="19"/>
  <c r="AE371" i="19"/>
  <c r="X372" i="19"/>
  <c r="Y372" i="19"/>
  <c r="Z372" i="19"/>
  <c r="AA372" i="19"/>
  <c r="AB372" i="19"/>
  <c r="AC372" i="19"/>
  <c r="W372" i="19"/>
  <c r="AD372" i="19"/>
  <c r="AE372" i="19"/>
  <c r="X373" i="19"/>
  <c r="Y373" i="19"/>
  <c r="Z373" i="19"/>
  <c r="AA373" i="19"/>
  <c r="AB373" i="19"/>
  <c r="AC373" i="19"/>
  <c r="W373" i="19"/>
  <c r="AD373" i="19"/>
  <c r="AE373" i="19"/>
  <c r="X374" i="19"/>
  <c r="Y374" i="19"/>
  <c r="Z374" i="19"/>
  <c r="AA374" i="19"/>
  <c r="AB374" i="19"/>
  <c r="AC374" i="19"/>
  <c r="W374" i="19"/>
  <c r="AD374" i="19"/>
  <c r="AE374" i="19"/>
  <c r="X375" i="19"/>
  <c r="Y375" i="19"/>
  <c r="Z375" i="19"/>
  <c r="AA375" i="19"/>
  <c r="AB375" i="19"/>
  <c r="AC375" i="19"/>
  <c r="W375" i="19"/>
  <c r="AD375" i="19"/>
  <c r="AE375" i="19"/>
  <c r="X376" i="19"/>
  <c r="Y376" i="19"/>
  <c r="Z376" i="19"/>
  <c r="AA376" i="19"/>
  <c r="AB376" i="19"/>
  <c r="AC376" i="19"/>
  <c r="W376" i="19"/>
  <c r="AD376" i="19"/>
  <c r="AE376" i="19"/>
  <c r="X377" i="19"/>
  <c r="Y377" i="19"/>
  <c r="Z377" i="19"/>
  <c r="AA377" i="19"/>
  <c r="AB377" i="19"/>
  <c r="AC377" i="19"/>
  <c r="W377" i="19"/>
  <c r="AD377" i="19"/>
  <c r="AE377" i="19"/>
  <c r="X378" i="19"/>
  <c r="Y378" i="19"/>
  <c r="Z378" i="19"/>
  <c r="AA378" i="19"/>
  <c r="AB378" i="19"/>
  <c r="AC378" i="19"/>
  <c r="W378" i="19"/>
  <c r="AD378" i="19"/>
  <c r="AE378" i="19"/>
  <c r="X379" i="19"/>
  <c r="Y379" i="19"/>
  <c r="Z379" i="19"/>
  <c r="AA379" i="19"/>
  <c r="AB379" i="19"/>
  <c r="AC379" i="19"/>
  <c r="W379" i="19"/>
  <c r="AD379" i="19"/>
  <c r="AE379" i="19"/>
  <c r="X380" i="19"/>
  <c r="Y380" i="19"/>
  <c r="Z380" i="19"/>
  <c r="AA380" i="19"/>
  <c r="AB380" i="19"/>
  <c r="AC380" i="19"/>
  <c r="W380" i="19"/>
  <c r="AD380" i="19"/>
  <c r="AE380" i="19"/>
  <c r="X381" i="19"/>
  <c r="Y381" i="19"/>
  <c r="Z381" i="19"/>
  <c r="AA381" i="19"/>
  <c r="AB381" i="19"/>
  <c r="AC381" i="19"/>
  <c r="W381" i="19"/>
  <c r="AD381" i="19"/>
  <c r="AE381" i="19"/>
  <c r="X382" i="19"/>
  <c r="Y382" i="19"/>
  <c r="Z382" i="19"/>
  <c r="AA382" i="19"/>
  <c r="AB382" i="19"/>
  <c r="AC382" i="19"/>
  <c r="W382" i="19"/>
  <c r="AD382" i="19"/>
  <c r="AE382" i="19"/>
  <c r="X383" i="19"/>
  <c r="Y383" i="19"/>
  <c r="Z383" i="19"/>
  <c r="AA383" i="19"/>
  <c r="AB383" i="19"/>
  <c r="AC383" i="19"/>
  <c r="W383" i="19"/>
  <c r="AD383" i="19"/>
  <c r="AE383" i="19"/>
  <c r="X384" i="19"/>
  <c r="Y384" i="19"/>
  <c r="Z384" i="19"/>
  <c r="AA384" i="19"/>
  <c r="AB384" i="19"/>
  <c r="AC384" i="19"/>
  <c r="W384" i="19"/>
  <c r="AD384" i="19"/>
  <c r="AE384" i="19"/>
  <c r="X385" i="19"/>
  <c r="Y385" i="19"/>
  <c r="Z385" i="19"/>
  <c r="AA385" i="19"/>
  <c r="AB385" i="19"/>
  <c r="AC385" i="19"/>
  <c r="W385" i="19"/>
  <c r="AD385" i="19"/>
  <c r="AE385" i="19"/>
  <c r="X386" i="19"/>
  <c r="Y386" i="19"/>
  <c r="Z386" i="19"/>
  <c r="AA386" i="19"/>
  <c r="AB386" i="19"/>
  <c r="AC386" i="19"/>
  <c r="W386" i="19"/>
  <c r="AD386" i="19"/>
  <c r="AE386" i="19"/>
  <c r="X387" i="19"/>
  <c r="Y387" i="19"/>
  <c r="Z387" i="19"/>
  <c r="AA387" i="19"/>
  <c r="AB387" i="19"/>
  <c r="AC387" i="19"/>
  <c r="W387" i="19"/>
  <c r="AD387" i="19"/>
  <c r="AE387" i="19"/>
  <c r="X388" i="19"/>
  <c r="Y388" i="19"/>
  <c r="Z388" i="19"/>
  <c r="AA388" i="19"/>
  <c r="AB388" i="19"/>
  <c r="AC388" i="19"/>
  <c r="W388" i="19"/>
  <c r="AD388" i="19"/>
  <c r="AE388" i="19"/>
  <c r="X389" i="19"/>
  <c r="Y389" i="19"/>
  <c r="Z389" i="19"/>
  <c r="AA389" i="19"/>
  <c r="AB389" i="19"/>
  <c r="AC389" i="19"/>
  <c r="W389" i="19"/>
  <c r="AD389" i="19"/>
  <c r="AE389" i="19"/>
  <c r="X390" i="19"/>
  <c r="Y390" i="19"/>
  <c r="Z390" i="19"/>
  <c r="AA390" i="19"/>
  <c r="AB390" i="19"/>
  <c r="AC390" i="19"/>
  <c r="W390" i="19"/>
  <c r="AD390" i="19"/>
  <c r="AE390" i="19"/>
  <c r="X391" i="19"/>
  <c r="Y391" i="19"/>
  <c r="Z391" i="19"/>
  <c r="AA391" i="19"/>
  <c r="AB391" i="19"/>
  <c r="AC391" i="19"/>
  <c r="W391" i="19"/>
  <c r="AD391" i="19"/>
  <c r="AE391" i="19"/>
  <c r="X392" i="19"/>
  <c r="Y392" i="19"/>
  <c r="Z392" i="19"/>
  <c r="AA392" i="19"/>
  <c r="AB392" i="19"/>
  <c r="AC392" i="19"/>
  <c r="W392" i="19"/>
  <c r="AD392" i="19"/>
  <c r="AE392" i="19"/>
  <c r="X393" i="19"/>
  <c r="Y393" i="19"/>
  <c r="Z393" i="19"/>
  <c r="AA393" i="19"/>
  <c r="AB393" i="19"/>
  <c r="AC393" i="19"/>
  <c r="W393" i="19"/>
  <c r="AD393" i="19"/>
  <c r="AE393" i="19"/>
  <c r="X394" i="19"/>
  <c r="Y394" i="19"/>
  <c r="Z394" i="19"/>
  <c r="AA394" i="19"/>
  <c r="AB394" i="19"/>
  <c r="AC394" i="19"/>
  <c r="W394" i="19"/>
  <c r="AD394" i="19"/>
  <c r="AE394" i="19"/>
  <c r="X395" i="19"/>
  <c r="Y395" i="19"/>
  <c r="Z395" i="19"/>
  <c r="AA395" i="19"/>
  <c r="AB395" i="19"/>
  <c r="AC395" i="19"/>
  <c r="W395" i="19"/>
  <c r="AD395" i="19"/>
  <c r="AE395" i="19"/>
  <c r="X396" i="19"/>
  <c r="Y396" i="19"/>
  <c r="Z396" i="19"/>
  <c r="AA396" i="19"/>
  <c r="AB396" i="19"/>
  <c r="AC396" i="19"/>
  <c r="W396" i="19"/>
  <c r="AD396" i="19"/>
  <c r="AE396" i="19"/>
  <c r="X397" i="19"/>
  <c r="Y397" i="19"/>
  <c r="Z397" i="19"/>
  <c r="AA397" i="19"/>
  <c r="AB397" i="19"/>
  <c r="AC397" i="19"/>
  <c r="W397" i="19"/>
  <c r="AD397" i="19"/>
  <c r="AE397" i="19"/>
  <c r="X398" i="19"/>
  <c r="Y398" i="19"/>
  <c r="Z398" i="19"/>
  <c r="AA398" i="19"/>
  <c r="AB398" i="19"/>
  <c r="AC398" i="19"/>
  <c r="W398" i="19"/>
  <c r="AD398" i="19"/>
  <c r="AE398" i="19"/>
  <c r="X399" i="19"/>
  <c r="Y399" i="19"/>
  <c r="Z399" i="19"/>
  <c r="AA399" i="19"/>
  <c r="AB399" i="19"/>
  <c r="AC399" i="19"/>
  <c r="W399" i="19"/>
  <c r="AD399" i="19"/>
  <c r="AE399" i="19"/>
  <c r="X400" i="19"/>
  <c r="Y400" i="19"/>
  <c r="Z400" i="19"/>
  <c r="AA400" i="19"/>
  <c r="AB400" i="19"/>
  <c r="AC400" i="19"/>
  <c r="W400" i="19"/>
  <c r="AD400" i="19"/>
  <c r="AE400" i="19"/>
  <c r="X401" i="19"/>
  <c r="Y401" i="19"/>
  <c r="Z401" i="19"/>
  <c r="AA401" i="19"/>
  <c r="AB401" i="19"/>
  <c r="AC401" i="19"/>
  <c r="W401" i="19"/>
  <c r="AD401" i="19"/>
  <c r="AE401" i="19"/>
  <c r="X402" i="19"/>
  <c r="Y402" i="19"/>
  <c r="Z402" i="19"/>
  <c r="AA402" i="19"/>
  <c r="AB402" i="19"/>
  <c r="AC402" i="19"/>
  <c r="W402" i="19"/>
  <c r="AD402" i="19"/>
  <c r="AE402" i="19"/>
  <c r="X403" i="19"/>
  <c r="Y403" i="19"/>
  <c r="Z403" i="19"/>
  <c r="AA403" i="19"/>
  <c r="AB403" i="19"/>
  <c r="AC403" i="19"/>
  <c r="W403" i="19"/>
  <c r="AD403" i="19"/>
  <c r="AE403" i="19"/>
  <c r="X404" i="19"/>
  <c r="Y404" i="19"/>
  <c r="Z404" i="19"/>
  <c r="AA404" i="19"/>
  <c r="AB404" i="19"/>
  <c r="AC404" i="19"/>
  <c r="W404" i="19"/>
  <c r="AD404" i="19"/>
  <c r="AE404" i="19"/>
  <c r="X405" i="19"/>
  <c r="Y405" i="19"/>
  <c r="Z405" i="19"/>
  <c r="AA405" i="19"/>
  <c r="AB405" i="19"/>
  <c r="AC405" i="19"/>
  <c r="W405" i="19"/>
  <c r="AD405" i="19"/>
  <c r="AE405" i="19"/>
  <c r="X406" i="19"/>
  <c r="Y406" i="19"/>
  <c r="Z406" i="19"/>
  <c r="AA406" i="19"/>
  <c r="AB406" i="19"/>
  <c r="AC406" i="19"/>
  <c r="W406" i="19"/>
  <c r="AD406" i="19"/>
  <c r="AE406" i="19"/>
  <c r="X407" i="19"/>
  <c r="Y407" i="19"/>
  <c r="Z407" i="19"/>
  <c r="AA407" i="19"/>
  <c r="AB407" i="19"/>
  <c r="AC407" i="19"/>
  <c r="W407" i="19"/>
  <c r="AD407" i="19"/>
  <c r="AE407" i="19"/>
  <c r="X408" i="19"/>
  <c r="Y408" i="19"/>
  <c r="Z408" i="19"/>
  <c r="AA408" i="19"/>
  <c r="AB408" i="19"/>
  <c r="AC408" i="19"/>
  <c r="W408" i="19"/>
  <c r="AD408" i="19"/>
  <c r="AE408" i="19"/>
  <c r="X409" i="19"/>
  <c r="Y409" i="19"/>
  <c r="Z409" i="19"/>
  <c r="AA409" i="19"/>
  <c r="AB409" i="19"/>
  <c r="AC409" i="19"/>
  <c r="W409" i="19"/>
  <c r="AD409" i="19"/>
  <c r="AE409" i="19"/>
  <c r="X410" i="19"/>
  <c r="Y410" i="19"/>
  <c r="Z410" i="19"/>
  <c r="AA410" i="19"/>
  <c r="AB410" i="19"/>
  <c r="AC410" i="19"/>
  <c r="W410" i="19"/>
  <c r="AD410" i="19"/>
  <c r="AE410" i="19"/>
  <c r="X411" i="19"/>
  <c r="Y411" i="19"/>
  <c r="Z411" i="19"/>
  <c r="AA411" i="19"/>
  <c r="AB411" i="19"/>
  <c r="AC411" i="19"/>
  <c r="W411" i="19"/>
  <c r="AD411" i="19"/>
  <c r="AE411" i="19"/>
  <c r="X412" i="19"/>
  <c r="Y412" i="19"/>
  <c r="Z412" i="19"/>
  <c r="AA412" i="19"/>
  <c r="AB412" i="19"/>
  <c r="AC412" i="19"/>
  <c r="W412" i="19"/>
  <c r="AD412" i="19"/>
  <c r="AE412" i="19"/>
  <c r="X413" i="19"/>
  <c r="Y413" i="19"/>
  <c r="Z413" i="19"/>
  <c r="AA413" i="19"/>
  <c r="AB413" i="19"/>
  <c r="AC413" i="19"/>
  <c r="W413" i="19"/>
  <c r="AD413" i="19"/>
  <c r="AE413" i="19"/>
  <c r="X414" i="19"/>
  <c r="Y414" i="19"/>
  <c r="Z414" i="19"/>
  <c r="AA414" i="19"/>
  <c r="AB414" i="19"/>
  <c r="AC414" i="19"/>
  <c r="W414" i="19"/>
  <c r="AD414" i="19"/>
  <c r="AE414" i="19"/>
  <c r="X415" i="19"/>
  <c r="Y415" i="19"/>
  <c r="Z415" i="19"/>
  <c r="AA415" i="19"/>
  <c r="AB415" i="19"/>
  <c r="AC415" i="19"/>
  <c r="W415" i="19"/>
  <c r="AD415" i="19"/>
  <c r="AE415" i="19"/>
  <c r="X416" i="19"/>
  <c r="Y416" i="19"/>
  <c r="Z416" i="19"/>
  <c r="AA416" i="19"/>
  <c r="AB416" i="19"/>
  <c r="AC416" i="19"/>
  <c r="W416" i="19"/>
  <c r="AD416" i="19"/>
  <c r="AE416" i="19"/>
  <c r="X417" i="19"/>
  <c r="Y417" i="19"/>
  <c r="Z417" i="19"/>
  <c r="AA417" i="19"/>
  <c r="AB417" i="19"/>
  <c r="AC417" i="19"/>
  <c r="W417" i="19"/>
  <c r="AD417" i="19"/>
  <c r="AE417" i="19"/>
  <c r="X418" i="19"/>
  <c r="Y418" i="19"/>
  <c r="Z418" i="19"/>
  <c r="AA418" i="19"/>
  <c r="AB418" i="19"/>
  <c r="AC418" i="19"/>
  <c r="W418" i="19"/>
  <c r="AD418" i="19"/>
  <c r="AE418" i="19"/>
  <c r="X419" i="19"/>
  <c r="Y419" i="19"/>
  <c r="Z419" i="19"/>
  <c r="AA419" i="19"/>
  <c r="AB419" i="19"/>
  <c r="AC419" i="19"/>
  <c r="W419" i="19"/>
  <c r="AD419" i="19"/>
  <c r="AE419" i="19"/>
  <c r="X420" i="19"/>
  <c r="Y420" i="19"/>
  <c r="Z420" i="19"/>
  <c r="AA420" i="19"/>
  <c r="AB420" i="19"/>
  <c r="AC420" i="19"/>
  <c r="W420" i="19"/>
  <c r="AD420" i="19"/>
  <c r="AE420" i="19"/>
  <c r="X421" i="19"/>
  <c r="Y421" i="19"/>
  <c r="Z421" i="19"/>
  <c r="AA421" i="19"/>
  <c r="AB421" i="19"/>
  <c r="AC421" i="19"/>
  <c r="W421" i="19"/>
  <c r="AD421" i="19"/>
  <c r="AE421" i="19"/>
  <c r="X422" i="19"/>
  <c r="Y422" i="19"/>
  <c r="Z422" i="19"/>
  <c r="AA422" i="19"/>
  <c r="AB422" i="19"/>
  <c r="AC422" i="19"/>
  <c r="W422" i="19"/>
  <c r="AD422" i="19"/>
  <c r="AE422" i="19"/>
  <c r="X423" i="19"/>
  <c r="Y423" i="19"/>
  <c r="Z423" i="19"/>
  <c r="AA423" i="19"/>
  <c r="AB423" i="19"/>
  <c r="AC423" i="19"/>
  <c r="W423" i="19"/>
  <c r="AD423" i="19"/>
  <c r="AE423" i="19"/>
  <c r="X424" i="19"/>
  <c r="Y424" i="19"/>
  <c r="Z424" i="19"/>
  <c r="AA424" i="19"/>
  <c r="AB424" i="19"/>
  <c r="AC424" i="19"/>
  <c r="W424" i="19"/>
  <c r="AD424" i="19"/>
  <c r="AE424" i="19"/>
  <c r="X425" i="19"/>
  <c r="Y425" i="19"/>
  <c r="Z425" i="19"/>
  <c r="AA425" i="19"/>
  <c r="AB425" i="19"/>
  <c r="AC425" i="19"/>
  <c r="W425" i="19"/>
  <c r="AD425" i="19"/>
  <c r="AE425" i="19"/>
  <c r="X426" i="19"/>
  <c r="Y426" i="19"/>
  <c r="Z426" i="19"/>
  <c r="AA426" i="19"/>
  <c r="AB426" i="19"/>
  <c r="AC426" i="19"/>
  <c r="W426" i="19"/>
  <c r="AD426" i="19"/>
  <c r="AE426" i="19"/>
  <c r="X427" i="19"/>
  <c r="Y427" i="19"/>
  <c r="Z427" i="19"/>
  <c r="AA427" i="19"/>
  <c r="AB427" i="19"/>
  <c r="AC427" i="19"/>
  <c r="W427" i="19"/>
  <c r="AD427" i="19"/>
  <c r="AE427" i="19"/>
  <c r="X429" i="19"/>
  <c r="Y429" i="19"/>
  <c r="Z429" i="19"/>
  <c r="AA429" i="19"/>
  <c r="AB429" i="19"/>
  <c r="AC429" i="19"/>
  <c r="W429" i="19"/>
  <c r="AD429" i="19"/>
  <c r="AE429" i="19"/>
  <c r="X430" i="19"/>
  <c r="Y430" i="19"/>
  <c r="Z430" i="19"/>
  <c r="AA430" i="19"/>
  <c r="AB430" i="19"/>
  <c r="AC430" i="19"/>
  <c r="W430" i="19"/>
  <c r="AD430" i="19"/>
  <c r="AE430" i="19"/>
  <c r="X431" i="19"/>
  <c r="Y431" i="19"/>
  <c r="Z431" i="19"/>
  <c r="AA431" i="19"/>
  <c r="AB431" i="19"/>
  <c r="AC431" i="19"/>
  <c r="W431" i="19"/>
  <c r="AD431" i="19"/>
  <c r="AE431" i="19"/>
  <c r="X432" i="19"/>
  <c r="Y432" i="19"/>
  <c r="Z432" i="19"/>
  <c r="AA432" i="19"/>
  <c r="AB432" i="19"/>
  <c r="AC432" i="19"/>
  <c r="W432" i="19"/>
  <c r="AD432" i="19"/>
  <c r="AE432" i="19"/>
  <c r="X433" i="19"/>
  <c r="Y433" i="19"/>
  <c r="Z433" i="19"/>
  <c r="AA433" i="19"/>
  <c r="AB433" i="19"/>
  <c r="AC433" i="19"/>
  <c r="W433" i="19"/>
  <c r="AD433" i="19"/>
  <c r="AE433" i="19"/>
  <c r="X434" i="19"/>
  <c r="Y434" i="19"/>
  <c r="Z434" i="19"/>
  <c r="AA434" i="19"/>
  <c r="AB434" i="19"/>
  <c r="AC434" i="19"/>
  <c r="W434" i="19"/>
  <c r="AD434" i="19"/>
  <c r="AE434" i="19"/>
  <c r="X435" i="19"/>
  <c r="Y435" i="19"/>
  <c r="Z435" i="19"/>
  <c r="AA435" i="19"/>
  <c r="AB435" i="19"/>
  <c r="AC435" i="19"/>
  <c r="W435" i="19"/>
  <c r="AD435" i="19"/>
  <c r="AE435" i="19"/>
  <c r="X436" i="19"/>
  <c r="Y436" i="19"/>
  <c r="Z436" i="19"/>
  <c r="AA436" i="19"/>
  <c r="AB436" i="19"/>
  <c r="AC436" i="19"/>
  <c r="W436" i="19"/>
  <c r="AD436" i="19"/>
  <c r="AE436" i="19"/>
  <c r="X439" i="19"/>
  <c r="Y439" i="19"/>
  <c r="Z439" i="19"/>
  <c r="AA439" i="19"/>
  <c r="AB439" i="19"/>
  <c r="AC439" i="19"/>
  <c r="W439" i="19"/>
  <c r="AD439" i="19"/>
  <c r="AE439" i="19"/>
  <c r="X440" i="19"/>
  <c r="Y440" i="19"/>
  <c r="Z440" i="19"/>
  <c r="AA440" i="19"/>
  <c r="AB440" i="19"/>
  <c r="AC440" i="19"/>
  <c r="W440" i="19"/>
  <c r="AD440" i="19"/>
  <c r="AE440" i="19"/>
  <c r="X441" i="19"/>
  <c r="Y441" i="19"/>
  <c r="Z441" i="19"/>
  <c r="AA441" i="19"/>
  <c r="AB441" i="19"/>
  <c r="AC441" i="19"/>
  <c r="W441" i="19"/>
  <c r="AD441" i="19"/>
  <c r="AE441" i="19"/>
  <c r="X442" i="19"/>
  <c r="Y442" i="19"/>
  <c r="Z442" i="19"/>
  <c r="AA442" i="19"/>
  <c r="AB442" i="19"/>
  <c r="AC442" i="19"/>
  <c r="W442" i="19"/>
  <c r="AD442" i="19"/>
  <c r="AE442" i="19"/>
  <c r="X443" i="19"/>
  <c r="Y443" i="19"/>
  <c r="Z443" i="19"/>
  <c r="AA443" i="19"/>
  <c r="AB443" i="19"/>
  <c r="AC443" i="19"/>
  <c r="W443" i="19"/>
  <c r="AD443" i="19"/>
  <c r="AE443" i="19"/>
  <c r="X444" i="19"/>
  <c r="Y444" i="19"/>
  <c r="Z444" i="19"/>
  <c r="AA444" i="19"/>
  <c r="AB444" i="19"/>
  <c r="AC444" i="19"/>
  <c r="W444" i="19"/>
  <c r="AD444" i="19"/>
  <c r="AE444" i="19"/>
  <c r="X445" i="19"/>
  <c r="Y445" i="19"/>
  <c r="Z445" i="19"/>
  <c r="AA445" i="19"/>
  <c r="AB445" i="19"/>
  <c r="AC445" i="19"/>
  <c r="W445" i="19"/>
  <c r="AD445" i="19"/>
  <c r="AE445" i="19"/>
  <c r="X446" i="19"/>
  <c r="Y446" i="19"/>
  <c r="Z446" i="19"/>
  <c r="AA446" i="19"/>
  <c r="AB446" i="19"/>
  <c r="AC446" i="19"/>
  <c r="W446" i="19"/>
  <c r="AD446" i="19"/>
  <c r="AE446" i="19"/>
  <c r="X447" i="19"/>
  <c r="Y447" i="19"/>
  <c r="Z447" i="19"/>
  <c r="AA447" i="19"/>
  <c r="AB447" i="19"/>
  <c r="AC447" i="19"/>
  <c r="W447" i="19"/>
  <c r="AD447" i="19"/>
  <c r="AE447" i="19"/>
  <c r="X448" i="19"/>
  <c r="Y448" i="19"/>
  <c r="Z448" i="19"/>
  <c r="AA448" i="19"/>
  <c r="AB448" i="19"/>
  <c r="AC448" i="19"/>
  <c r="W448" i="19"/>
  <c r="AD448" i="19"/>
  <c r="AE448" i="19"/>
  <c r="X449" i="19"/>
  <c r="Y449" i="19"/>
  <c r="Z449" i="19"/>
  <c r="AA449" i="19"/>
  <c r="AB449" i="19"/>
  <c r="AC449" i="19"/>
  <c r="W449" i="19"/>
  <c r="AD449" i="19"/>
  <c r="AE449" i="19"/>
  <c r="X450" i="19"/>
  <c r="Y450" i="19"/>
  <c r="Z450" i="19"/>
  <c r="AA450" i="19"/>
  <c r="AB450" i="19"/>
  <c r="AC450" i="19"/>
  <c r="W450" i="19"/>
  <c r="AD450" i="19"/>
  <c r="AE450" i="19"/>
  <c r="X451" i="19"/>
  <c r="Y451" i="19"/>
  <c r="Z451" i="19"/>
  <c r="AA451" i="19"/>
  <c r="AB451" i="19"/>
  <c r="AC451" i="19"/>
  <c r="W451" i="19"/>
  <c r="AD451" i="19"/>
  <c r="AE451" i="19"/>
  <c r="X452" i="19"/>
  <c r="Y452" i="19"/>
  <c r="Z452" i="19"/>
  <c r="AA452" i="19"/>
  <c r="AB452" i="19"/>
  <c r="AC452" i="19"/>
  <c r="W452" i="19"/>
  <c r="AD452" i="19"/>
  <c r="AE452" i="19"/>
  <c r="X453" i="19"/>
  <c r="Y453" i="19"/>
  <c r="Z453" i="19"/>
  <c r="AA453" i="19"/>
  <c r="AB453" i="19"/>
  <c r="AC453" i="19"/>
  <c r="W453" i="19"/>
  <c r="AD453" i="19"/>
  <c r="AE453" i="19"/>
  <c r="X454" i="19"/>
  <c r="Y454" i="19"/>
  <c r="Z454" i="19"/>
  <c r="AA454" i="19"/>
  <c r="AB454" i="19"/>
  <c r="AC454" i="19"/>
  <c r="W454" i="19"/>
  <c r="AD454" i="19"/>
  <c r="AE454" i="19"/>
  <c r="X455" i="19"/>
  <c r="Y455" i="19"/>
  <c r="Z455" i="19"/>
  <c r="AA455" i="19"/>
  <c r="AB455" i="19"/>
  <c r="AC455" i="19"/>
  <c r="W455" i="19"/>
  <c r="AD455" i="19"/>
  <c r="AE455" i="19"/>
  <c r="X456" i="19"/>
  <c r="Y456" i="19"/>
  <c r="Z456" i="19"/>
  <c r="AA456" i="19"/>
  <c r="AB456" i="19"/>
  <c r="AC456" i="19"/>
  <c r="W456" i="19"/>
  <c r="AD456" i="19"/>
  <c r="AE456" i="19"/>
  <c r="X457" i="19"/>
  <c r="Y457" i="19"/>
  <c r="Z457" i="19"/>
  <c r="AA457" i="19"/>
  <c r="AB457" i="19"/>
  <c r="AC457" i="19"/>
  <c r="W457" i="19"/>
  <c r="AD457" i="19"/>
  <c r="AE457" i="19"/>
  <c r="X458" i="19"/>
  <c r="Y458" i="19"/>
  <c r="Z458" i="19"/>
  <c r="AA458" i="19"/>
  <c r="AB458" i="19"/>
  <c r="AC458" i="19"/>
  <c r="W458" i="19"/>
  <c r="AD458" i="19"/>
  <c r="AE458" i="19"/>
  <c r="X459" i="19"/>
  <c r="Y459" i="19"/>
  <c r="Z459" i="19"/>
  <c r="AA459" i="19"/>
  <c r="AB459" i="19"/>
  <c r="AC459" i="19"/>
  <c r="W459" i="19"/>
  <c r="AD459" i="19"/>
  <c r="AE459" i="19"/>
  <c r="X460" i="19"/>
  <c r="Y460" i="19"/>
  <c r="Z460" i="19"/>
  <c r="AA460" i="19"/>
  <c r="AB460" i="19"/>
  <c r="AC460" i="19"/>
  <c r="W460" i="19"/>
  <c r="AD460" i="19"/>
  <c r="AE460" i="19"/>
  <c r="X461" i="19"/>
  <c r="Y461" i="19"/>
  <c r="Z461" i="19"/>
  <c r="AA461" i="19"/>
  <c r="AB461" i="19"/>
  <c r="AC461" i="19"/>
  <c r="W461" i="19"/>
  <c r="AD461" i="19"/>
  <c r="AE461" i="19"/>
  <c r="X462" i="19"/>
  <c r="Y462" i="19"/>
  <c r="Z462" i="19"/>
  <c r="AA462" i="19"/>
  <c r="AB462" i="19"/>
  <c r="AC462" i="19"/>
  <c r="W462" i="19"/>
  <c r="AD462" i="19"/>
  <c r="AE462" i="19"/>
  <c r="X463" i="19"/>
  <c r="Y463" i="19"/>
  <c r="Z463" i="19"/>
  <c r="AA463" i="19"/>
  <c r="AB463" i="19"/>
  <c r="AC463" i="19"/>
  <c r="W463" i="19"/>
  <c r="AD463" i="19"/>
  <c r="AE463" i="19"/>
  <c r="X464" i="19"/>
  <c r="Y464" i="19"/>
  <c r="Z464" i="19"/>
  <c r="AA464" i="19"/>
  <c r="AB464" i="19"/>
  <c r="AC464" i="19"/>
  <c r="W464" i="19"/>
  <c r="AD464" i="19"/>
  <c r="AE464" i="19"/>
  <c r="X465" i="19"/>
  <c r="Y465" i="19"/>
  <c r="Z465" i="19"/>
  <c r="AA465" i="19"/>
  <c r="AB465" i="19"/>
  <c r="AC465" i="19"/>
  <c r="W465" i="19"/>
  <c r="AD465" i="19"/>
  <c r="AE465" i="19"/>
  <c r="X466" i="19"/>
  <c r="Y466" i="19"/>
  <c r="Z466" i="19"/>
  <c r="AA466" i="19"/>
  <c r="AB466" i="19"/>
  <c r="AC466" i="19"/>
  <c r="W466" i="19"/>
  <c r="AD466" i="19"/>
  <c r="AE466" i="19"/>
  <c r="X467" i="19"/>
  <c r="Y467" i="19"/>
  <c r="Z467" i="19"/>
  <c r="AA467" i="19"/>
  <c r="AB467" i="19"/>
  <c r="AC467" i="19"/>
  <c r="W467" i="19"/>
  <c r="AD467" i="19"/>
  <c r="AE467" i="19"/>
  <c r="X468" i="19"/>
  <c r="Y468" i="19"/>
  <c r="Z468" i="19"/>
  <c r="AA468" i="19"/>
  <c r="AB468" i="19"/>
  <c r="AC468" i="19"/>
  <c r="W468" i="19"/>
  <c r="AD468" i="19"/>
  <c r="AE468" i="19"/>
  <c r="X469" i="19"/>
  <c r="Y469" i="19"/>
  <c r="Z469" i="19"/>
  <c r="AA469" i="19"/>
  <c r="AB469" i="19"/>
  <c r="AC469" i="19"/>
  <c r="W469" i="19"/>
  <c r="AD469" i="19"/>
  <c r="AE469" i="19"/>
  <c r="X470" i="19"/>
  <c r="Y470" i="19"/>
  <c r="Z470" i="19"/>
  <c r="AA470" i="19"/>
  <c r="AB470" i="19"/>
  <c r="AC470" i="19"/>
  <c r="W470" i="19"/>
  <c r="AD470" i="19"/>
  <c r="AE470" i="19"/>
  <c r="X473" i="19"/>
  <c r="Y473" i="19"/>
  <c r="Z473" i="19"/>
  <c r="AA473" i="19"/>
  <c r="AB473" i="19"/>
  <c r="AC473" i="19"/>
  <c r="W473" i="19"/>
  <c r="AD473" i="19"/>
  <c r="AE473" i="19"/>
  <c r="X474" i="19"/>
  <c r="Y474" i="19"/>
  <c r="Z474" i="19"/>
  <c r="AA474" i="19"/>
  <c r="AB474" i="19"/>
  <c r="AC474" i="19"/>
  <c r="W474" i="19"/>
  <c r="AD474" i="19"/>
  <c r="AE474" i="19"/>
  <c r="X475" i="19"/>
  <c r="Y475" i="19"/>
  <c r="Z475" i="19"/>
  <c r="AA475" i="19"/>
  <c r="AB475" i="19"/>
  <c r="AC475" i="19"/>
  <c r="W475" i="19"/>
  <c r="AD475" i="19"/>
  <c r="AE475" i="19"/>
  <c r="X476" i="19"/>
  <c r="Y476" i="19"/>
  <c r="Z476" i="19"/>
  <c r="AA476" i="19"/>
  <c r="AB476" i="19"/>
  <c r="AC476" i="19"/>
  <c r="W476" i="19"/>
  <c r="AD476" i="19"/>
  <c r="AE476" i="19"/>
  <c r="X477" i="19"/>
  <c r="Y477" i="19"/>
  <c r="Z477" i="19"/>
  <c r="AA477" i="19"/>
  <c r="AB477" i="19"/>
  <c r="AC477" i="19"/>
  <c r="W477" i="19"/>
  <c r="AD477" i="19"/>
  <c r="AE477" i="19"/>
  <c r="X478" i="19"/>
  <c r="Y478" i="19"/>
  <c r="Z478" i="19"/>
  <c r="AA478" i="19"/>
  <c r="AB478" i="19"/>
  <c r="AC478" i="19"/>
  <c r="W478" i="19"/>
  <c r="AD478" i="19"/>
  <c r="AE478" i="19"/>
  <c r="X479" i="19"/>
  <c r="Y479" i="19"/>
  <c r="Z479" i="19"/>
  <c r="AA479" i="19"/>
  <c r="AB479" i="19"/>
  <c r="AC479" i="19"/>
  <c r="W479" i="19"/>
  <c r="AD479" i="19"/>
  <c r="AE479" i="19"/>
  <c r="X480" i="19"/>
  <c r="Y480" i="19"/>
  <c r="Z480" i="19"/>
  <c r="AA480" i="19"/>
  <c r="AB480" i="19"/>
  <c r="AC480" i="19"/>
  <c r="W480" i="19"/>
  <c r="AD480" i="19"/>
  <c r="AE480" i="19"/>
  <c r="X481" i="19"/>
  <c r="Y481" i="19"/>
  <c r="Z481" i="19"/>
  <c r="AA481" i="19"/>
  <c r="AB481" i="19"/>
  <c r="AC481" i="19"/>
  <c r="W481" i="19"/>
  <c r="AD481" i="19"/>
  <c r="AE481" i="19"/>
  <c r="X482" i="19"/>
  <c r="Y482" i="19"/>
  <c r="Z482" i="19"/>
  <c r="AA482" i="19"/>
  <c r="AB482" i="19"/>
  <c r="AC482" i="19"/>
  <c r="W482" i="19"/>
  <c r="AD482" i="19"/>
  <c r="AE482" i="19"/>
  <c r="X483" i="19"/>
  <c r="Y483" i="19"/>
  <c r="Z483" i="19"/>
  <c r="AA483" i="19"/>
  <c r="AB483" i="19"/>
  <c r="AC483" i="19"/>
  <c r="W483" i="19"/>
  <c r="AD483" i="19"/>
  <c r="AE483" i="19"/>
  <c r="X484" i="19"/>
  <c r="Y484" i="19"/>
  <c r="Z484" i="19"/>
  <c r="AA484" i="19"/>
  <c r="AB484" i="19"/>
  <c r="AC484" i="19"/>
  <c r="W484" i="19"/>
  <c r="AD484" i="19"/>
  <c r="AE484" i="19"/>
  <c r="X485" i="19"/>
  <c r="Y485" i="19"/>
  <c r="Z485" i="19"/>
  <c r="AA485" i="19"/>
  <c r="AB485" i="19"/>
  <c r="AC485" i="19"/>
  <c r="W485" i="19"/>
  <c r="AD485" i="19"/>
  <c r="AE485" i="19"/>
  <c r="X486" i="19"/>
  <c r="Y486" i="19"/>
  <c r="Z486" i="19"/>
  <c r="AA486" i="19"/>
  <c r="AB486" i="19"/>
  <c r="AC486" i="19"/>
  <c r="W486" i="19"/>
  <c r="AD486" i="19"/>
  <c r="AE486" i="19"/>
  <c r="X487" i="19"/>
  <c r="Y487" i="19"/>
  <c r="Z487" i="19"/>
  <c r="AA487" i="19"/>
  <c r="AB487" i="19"/>
  <c r="AC487" i="19"/>
  <c r="W487" i="19"/>
  <c r="AD487" i="19"/>
  <c r="AE487" i="19"/>
  <c r="X488" i="19"/>
  <c r="Y488" i="19"/>
  <c r="Z488" i="19"/>
  <c r="AA488" i="19"/>
  <c r="AB488" i="19"/>
  <c r="AC488" i="19"/>
  <c r="W488" i="19"/>
  <c r="AD488" i="19"/>
  <c r="AE488" i="19"/>
  <c r="X489" i="19"/>
  <c r="Y489" i="19"/>
  <c r="Z489" i="19"/>
  <c r="AA489" i="19"/>
  <c r="AB489" i="19"/>
  <c r="AC489" i="19"/>
  <c r="W489" i="19"/>
  <c r="AD489" i="19"/>
  <c r="AE489" i="19"/>
  <c r="X490" i="19"/>
  <c r="Y490" i="19"/>
  <c r="Z490" i="19"/>
  <c r="AA490" i="19"/>
  <c r="AB490" i="19"/>
  <c r="AC490" i="19"/>
  <c r="W490" i="19"/>
  <c r="AD490" i="19"/>
  <c r="AE490" i="19"/>
  <c r="X491" i="19"/>
  <c r="Y491" i="19"/>
  <c r="Z491" i="19"/>
  <c r="AA491" i="19"/>
  <c r="AB491" i="19"/>
  <c r="AC491" i="19"/>
  <c r="W491" i="19"/>
  <c r="AD491" i="19"/>
  <c r="AE491" i="19"/>
  <c r="X492" i="19"/>
  <c r="Y492" i="19"/>
  <c r="Z492" i="19"/>
  <c r="AA492" i="19"/>
  <c r="AB492" i="19"/>
  <c r="AC492" i="19"/>
  <c r="W492" i="19"/>
  <c r="AD492" i="19"/>
  <c r="AE492" i="19"/>
  <c r="X493" i="19"/>
  <c r="Y493" i="19"/>
  <c r="Z493" i="19"/>
  <c r="AA493" i="19"/>
  <c r="AB493" i="19"/>
  <c r="AC493" i="19"/>
  <c r="W493" i="19"/>
  <c r="AD493" i="19"/>
  <c r="AE493" i="19"/>
  <c r="X494" i="19"/>
  <c r="Y494" i="19"/>
  <c r="Z494" i="19"/>
  <c r="AA494" i="19"/>
  <c r="AB494" i="19"/>
  <c r="AC494" i="19"/>
  <c r="W494" i="19"/>
  <c r="AD494" i="19"/>
  <c r="AE494" i="19"/>
  <c r="X495" i="19"/>
  <c r="Y495" i="19"/>
  <c r="Z495" i="19"/>
  <c r="AA495" i="19"/>
  <c r="AB495" i="19"/>
  <c r="AC495" i="19"/>
  <c r="W495" i="19"/>
  <c r="AD495" i="19"/>
  <c r="AE495" i="19"/>
  <c r="X496" i="19"/>
  <c r="Y496" i="19"/>
  <c r="Z496" i="19"/>
  <c r="AA496" i="19"/>
  <c r="AB496" i="19"/>
  <c r="AC496" i="19"/>
  <c r="W496" i="19"/>
  <c r="AD496" i="19"/>
  <c r="AE496" i="19"/>
  <c r="X497" i="19"/>
  <c r="Y497" i="19"/>
  <c r="Z497" i="19"/>
  <c r="AA497" i="19"/>
  <c r="AB497" i="19"/>
  <c r="AC497" i="19"/>
  <c r="W497" i="19"/>
  <c r="AD497" i="19"/>
  <c r="AE497" i="19"/>
  <c r="X498" i="19"/>
  <c r="Y498" i="19"/>
  <c r="Z498" i="19"/>
  <c r="AA498" i="19"/>
  <c r="AB498" i="19"/>
  <c r="AC498" i="19"/>
  <c r="W498" i="19"/>
  <c r="AD498" i="19"/>
  <c r="AE498" i="19"/>
  <c r="X499" i="19"/>
  <c r="Y499" i="19"/>
  <c r="Z499" i="19"/>
  <c r="AA499" i="19"/>
  <c r="AB499" i="19"/>
  <c r="AC499" i="19"/>
  <c r="W499" i="19"/>
  <c r="AD499" i="19"/>
  <c r="AE499" i="19"/>
  <c r="X500" i="19"/>
  <c r="Y500" i="19"/>
  <c r="Z500" i="19"/>
  <c r="AA500" i="19"/>
  <c r="AB500" i="19"/>
  <c r="AC500" i="19"/>
  <c r="W500" i="19"/>
  <c r="AD500" i="19"/>
  <c r="AE500" i="19"/>
  <c r="X501" i="19"/>
  <c r="Y501" i="19"/>
  <c r="Z501" i="19"/>
  <c r="AA501" i="19"/>
  <c r="AB501" i="19"/>
  <c r="AC501" i="19"/>
  <c r="W501" i="19"/>
  <c r="AD501" i="19"/>
  <c r="AE501" i="19"/>
  <c r="X502" i="19"/>
  <c r="Y502" i="19"/>
  <c r="Z502" i="19"/>
  <c r="AA502" i="19"/>
  <c r="AB502" i="19"/>
  <c r="AC502" i="19"/>
  <c r="W502" i="19"/>
  <c r="AD502" i="19"/>
  <c r="AE502" i="19"/>
  <c r="X503" i="19"/>
  <c r="Y503" i="19"/>
  <c r="Z503" i="19"/>
  <c r="AA503" i="19"/>
  <c r="AB503" i="19"/>
  <c r="AC503" i="19"/>
  <c r="W503" i="19"/>
  <c r="AD503" i="19"/>
  <c r="AE503" i="19"/>
  <c r="X504" i="19"/>
  <c r="Y504" i="19"/>
  <c r="Z504" i="19"/>
  <c r="AA504" i="19"/>
  <c r="AB504" i="19"/>
  <c r="AC504" i="19"/>
  <c r="W504" i="19"/>
  <c r="AD504" i="19"/>
  <c r="AE504" i="19"/>
  <c r="X505" i="19"/>
  <c r="Y505" i="19"/>
  <c r="Z505" i="19"/>
  <c r="AA505" i="19"/>
  <c r="AB505" i="19"/>
  <c r="AC505" i="19"/>
  <c r="W505" i="19"/>
  <c r="AD505" i="19"/>
  <c r="AE505" i="19"/>
  <c r="X506" i="19"/>
  <c r="Y506" i="19"/>
  <c r="Z506" i="19"/>
  <c r="AA506" i="19"/>
  <c r="AB506" i="19"/>
  <c r="AC506" i="19"/>
  <c r="W506" i="19"/>
  <c r="AD506" i="19"/>
  <c r="AE506" i="19"/>
  <c r="X507" i="19"/>
  <c r="Y507" i="19"/>
  <c r="Z507" i="19"/>
  <c r="AA507" i="19"/>
  <c r="AB507" i="19"/>
  <c r="AC507" i="19"/>
  <c r="W507" i="19"/>
  <c r="AD507" i="19"/>
  <c r="AE507" i="19"/>
  <c r="X508" i="19"/>
  <c r="Y508" i="19"/>
  <c r="Z508" i="19"/>
  <c r="AA508" i="19"/>
  <c r="AB508" i="19"/>
  <c r="AC508" i="19"/>
  <c r="W508" i="19"/>
  <c r="AD508" i="19"/>
  <c r="AE508" i="19"/>
  <c r="X509" i="19"/>
  <c r="Y509" i="19"/>
  <c r="Z509" i="19"/>
  <c r="AA509" i="19"/>
  <c r="AB509" i="19"/>
  <c r="AC509" i="19"/>
  <c r="W509" i="19"/>
  <c r="AD509" i="19"/>
  <c r="AE509" i="19"/>
  <c r="X510" i="19"/>
  <c r="Y510" i="19"/>
  <c r="Z510" i="19"/>
  <c r="AA510" i="19"/>
  <c r="AB510" i="19"/>
  <c r="AC510" i="19"/>
  <c r="W510" i="19"/>
  <c r="AD510" i="19"/>
  <c r="AE510" i="19"/>
  <c r="X511" i="19"/>
  <c r="Y511" i="19"/>
  <c r="Z511" i="19"/>
  <c r="AA511" i="19"/>
  <c r="AB511" i="19"/>
  <c r="AC511" i="19"/>
  <c r="W511" i="19"/>
  <c r="AD511" i="19"/>
  <c r="AE511" i="19"/>
  <c r="X512" i="19"/>
  <c r="Y512" i="19"/>
  <c r="Z512" i="19"/>
  <c r="AA512" i="19"/>
  <c r="AB512" i="19"/>
  <c r="AC512" i="19"/>
  <c r="W512" i="19"/>
  <c r="AD512" i="19"/>
  <c r="AE512" i="19"/>
  <c r="X513" i="19"/>
  <c r="Y513" i="19"/>
  <c r="Z513" i="19"/>
  <c r="AA513" i="19"/>
  <c r="AB513" i="19"/>
  <c r="AC513" i="19"/>
  <c r="W513" i="19"/>
  <c r="AD513" i="19"/>
  <c r="AE513" i="19"/>
  <c r="X514" i="19"/>
  <c r="Y514" i="19"/>
  <c r="Z514" i="19"/>
  <c r="AA514" i="19"/>
  <c r="AB514" i="19"/>
  <c r="AC514" i="19"/>
  <c r="W514" i="19"/>
  <c r="AD514" i="19"/>
  <c r="AE514" i="19"/>
  <c r="X515" i="19"/>
  <c r="Y515" i="19"/>
  <c r="Z515" i="19"/>
  <c r="AA515" i="19"/>
  <c r="AB515" i="19"/>
  <c r="AC515" i="19"/>
  <c r="W515" i="19"/>
  <c r="AD515" i="19"/>
  <c r="AE515" i="19"/>
  <c r="X516" i="19"/>
  <c r="Y516" i="19"/>
  <c r="Z516" i="19"/>
  <c r="AA516" i="19"/>
  <c r="AB516" i="19"/>
  <c r="AC516" i="19"/>
  <c r="W516" i="19"/>
  <c r="AD516" i="19"/>
  <c r="AE516" i="19"/>
  <c r="X517" i="19"/>
  <c r="Y517" i="19"/>
  <c r="Z517" i="19"/>
  <c r="AA517" i="19"/>
  <c r="AB517" i="19"/>
  <c r="AC517" i="19"/>
  <c r="W517" i="19"/>
  <c r="AD517" i="19"/>
  <c r="AE517" i="19"/>
  <c r="X518" i="19"/>
  <c r="Y518" i="19"/>
  <c r="Z518" i="19"/>
  <c r="AA518" i="19"/>
  <c r="AB518" i="19"/>
  <c r="AC518" i="19"/>
  <c r="W518" i="19"/>
  <c r="AD518" i="19"/>
  <c r="AE518" i="19"/>
  <c r="X519" i="19"/>
  <c r="Y519" i="19"/>
  <c r="Z519" i="19"/>
  <c r="AA519" i="19"/>
  <c r="AB519" i="19"/>
  <c r="AC519" i="19"/>
  <c r="W519" i="19"/>
  <c r="AD519" i="19"/>
  <c r="AE519" i="19"/>
  <c r="X520" i="19"/>
  <c r="Y520" i="19"/>
  <c r="Z520" i="19"/>
  <c r="AA520" i="19"/>
  <c r="AB520" i="19"/>
  <c r="AC520" i="19"/>
  <c r="W520" i="19"/>
  <c r="AD520" i="19"/>
  <c r="AE520" i="19"/>
  <c r="X521" i="19"/>
  <c r="Y521" i="19"/>
  <c r="Z521" i="19"/>
  <c r="AA521" i="19"/>
  <c r="AB521" i="19"/>
  <c r="AC521" i="19"/>
  <c r="W521" i="19"/>
  <c r="AD521" i="19"/>
  <c r="AE521" i="19"/>
  <c r="X522" i="19"/>
  <c r="Y522" i="19"/>
  <c r="Z522" i="19"/>
  <c r="AA522" i="19"/>
  <c r="AB522" i="19"/>
  <c r="AC522" i="19"/>
  <c r="W522" i="19"/>
  <c r="AD522" i="19"/>
  <c r="AE522" i="19"/>
  <c r="X523" i="19"/>
  <c r="Y523" i="19"/>
  <c r="Z523" i="19"/>
  <c r="AA523" i="19"/>
  <c r="AB523" i="19"/>
  <c r="AC523" i="19"/>
  <c r="W523" i="19"/>
  <c r="AD523" i="19"/>
  <c r="AE523" i="19"/>
  <c r="X524" i="19"/>
  <c r="Y524" i="19"/>
  <c r="Z524" i="19"/>
  <c r="AA524" i="19"/>
  <c r="AB524" i="19"/>
  <c r="AC524" i="19"/>
  <c r="W524" i="19"/>
  <c r="AD524" i="19"/>
  <c r="AE524" i="19"/>
  <c r="X525" i="19"/>
  <c r="Y525" i="19"/>
  <c r="Z525" i="19"/>
  <c r="AA525" i="19"/>
  <c r="AB525" i="19"/>
  <c r="AC525" i="19"/>
  <c r="W525" i="19"/>
  <c r="AD525" i="19"/>
  <c r="AE525" i="19"/>
  <c r="X526" i="19"/>
  <c r="Y526" i="19"/>
  <c r="Z526" i="19"/>
  <c r="AA526" i="19"/>
  <c r="AB526" i="19"/>
  <c r="AC526" i="19"/>
  <c r="W526" i="19"/>
  <c r="AD526" i="19"/>
  <c r="AE526" i="19"/>
  <c r="X527" i="19"/>
  <c r="Y527" i="19"/>
  <c r="Z527" i="19"/>
  <c r="AA527" i="19"/>
  <c r="AB527" i="19"/>
  <c r="AC527" i="19"/>
  <c r="W527" i="19"/>
  <c r="AD527" i="19"/>
  <c r="AE527" i="19"/>
  <c r="X528" i="19"/>
  <c r="Y528" i="19"/>
  <c r="Z528" i="19"/>
  <c r="AA528" i="19"/>
  <c r="AB528" i="19"/>
  <c r="AC528" i="19"/>
  <c r="W528" i="19"/>
  <c r="AD528" i="19"/>
  <c r="AE528" i="19"/>
  <c r="X529" i="19"/>
  <c r="Y529" i="19"/>
  <c r="Z529" i="19"/>
  <c r="AA529" i="19"/>
  <c r="AB529" i="19"/>
  <c r="AC529" i="19"/>
  <c r="W529" i="19"/>
  <c r="AD529" i="19"/>
  <c r="AE529" i="19"/>
  <c r="X530" i="19"/>
  <c r="Y530" i="19"/>
  <c r="Z530" i="19"/>
  <c r="AA530" i="19"/>
  <c r="AB530" i="19"/>
  <c r="AC530" i="19"/>
  <c r="W530" i="19"/>
  <c r="AD530" i="19"/>
  <c r="AE530" i="19"/>
  <c r="X531" i="19"/>
  <c r="Y531" i="19"/>
  <c r="Z531" i="19"/>
  <c r="AA531" i="19"/>
  <c r="AB531" i="19"/>
  <c r="AC531" i="19"/>
  <c r="W531" i="19"/>
  <c r="AD531" i="19"/>
  <c r="AE531" i="19"/>
  <c r="X532" i="19"/>
  <c r="Y532" i="19"/>
  <c r="Z532" i="19"/>
  <c r="AA532" i="19"/>
  <c r="AB532" i="19"/>
  <c r="AC532" i="19"/>
  <c r="W532" i="19"/>
  <c r="AD532" i="19"/>
  <c r="AE532" i="19"/>
  <c r="X533" i="19"/>
  <c r="Y533" i="19"/>
  <c r="Z533" i="19"/>
  <c r="AA533" i="19"/>
  <c r="AB533" i="19"/>
  <c r="AC533" i="19"/>
  <c r="W533" i="19"/>
  <c r="AD533" i="19"/>
  <c r="AE533" i="19"/>
  <c r="X534" i="19"/>
  <c r="Y534" i="19"/>
  <c r="Z534" i="19"/>
  <c r="AA534" i="19"/>
  <c r="AB534" i="19"/>
  <c r="AC534" i="19"/>
  <c r="W534" i="19"/>
  <c r="AD534" i="19"/>
  <c r="AE534" i="19"/>
  <c r="X535" i="19"/>
  <c r="Y535" i="19"/>
  <c r="Z535" i="19"/>
  <c r="AA535" i="19"/>
  <c r="AB535" i="19"/>
  <c r="AC535" i="19"/>
  <c r="W535" i="19"/>
  <c r="AD535" i="19"/>
  <c r="AE535" i="19"/>
  <c r="X536" i="19"/>
  <c r="Y536" i="19"/>
  <c r="Z536" i="19"/>
  <c r="AA536" i="19"/>
  <c r="AB536" i="19"/>
  <c r="AC536" i="19"/>
  <c r="W536" i="19"/>
  <c r="AD536" i="19"/>
  <c r="AE536" i="19"/>
  <c r="X537" i="19"/>
  <c r="Y537" i="19"/>
  <c r="Z537" i="19"/>
  <c r="AA537" i="19"/>
  <c r="AB537" i="19"/>
  <c r="AC537" i="19"/>
  <c r="W537" i="19"/>
  <c r="AD537" i="19"/>
  <c r="AE537" i="19"/>
  <c r="X538" i="19"/>
  <c r="Y538" i="19"/>
  <c r="Z538" i="19"/>
  <c r="AA538" i="19"/>
  <c r="AB538" i="19"/>
  <c r="AC538" i="19"/>
  <c r="W538" i="19"/>
  <c r="AD538" i="19"/>
  <c r="AE538" i="19"/>
  <c r="X539" i="19"/>
  <c r="Y539" i="19"/>
  <c r="Z539" i="19"/>
  <c r="AA539" i="19"/>
  <c r="AB539" i="19"/>
  <c r="AC539" i="19"/>
  <c r="W539" i="19"/>
  <c r="AD539" i="19"/>
  <c r="AE539" i="19"/>
  <c r="X540" i="19"/>
  <c r="Y540" i="19"/>
  <c r="Z540" i="19"/>
  <c r="AA540" i="19"/>
  <c r="AB540" i="19"/>
  <c r="AC540" i="19"/>
  <c r="W540" i="19"/>
  <c r="AD540" i="19"/>
  <c r="AE540" i="19"/>
  <c r="X541" i="19"/>
  <c r="Y541" i="19"/>
  <c r="Z541" i="19"/>
  <c r="AA541" i="19"/>
  <c r="AB541" i="19"/>
  <c r="AC541" i="19"/>
  <c r="W541" i="19"/>
  <c r="AD541" i="19"/>
  <c r="AE541" i="19"/>
  <c r="X542" i="19"/>
  <c r="Y542" i="19"/>
  <c r="Z542" i="19"/>
  <c r="AA542" i="19"/>
  <c r="AB542" i="19"/>
  <c r="AC542" i="19"/>
  <c r="W542" i="19"/>
  <c r="AD542" i="19"/>
  <c r="AE542" i="19"/>
  <c r="X543" i="19"/>
  <c r="Y543" i="19"/>
  <c r="Z543" i="19"/>
  <c r="AA543" i="19"/>
  <c r="AB543" i="19"/>
  <c r="AC543" i="19"/>
  <c r="W543" i="19"/>
  <c r="AD543" i="19"/>
  <c r="AE543" i="19"/>
  <c r="X544" i="19"/>
  <c r="Y544" i="19"/>
  <c r="Z544" i="19"/>
  <c r="AA544" i="19"/>
  <c r="AB544" i="19"/>
  <c r="AC544" i="19"/>
  <c r="W544" i="19"/>
  <c r="AD544" i="19"/>
  <c r="AE544" i="19"/>
  <c r="X545" i="19"/>
  <c r="Y545" i="19"/>
  <c r="Z545" i="19"/>
  <c r="AA545" i="19"/>
  <c r="AB545" i="19"/>
  <c r="AC545" i="19"/>
  <c r="W545" i="19"/>
  <c r="AD545" i="19"/>
  <c r="AE545" i="19"/>
  <c r="X546" i="19"/>
  <c r="Y546" i="19"/>
  <c r="Z546" i="19"/>
  <c r="AA546" i="19"/>
  <c r="AB546" i="19"/>
  <c r="AC546" i="19"/>
  <c r="W546" i="19"/>
  <c r="AD546" i="19"/>
  <c r="AE546" i="19"/>
  <c r="X547" i="19"/>
  <c r="Y547" i="19"/>
  <c r="Z547" i="19"/>
  <c r="AA547" i="19"/>
  <c r="AB547" i="19"/>
  <c r="AC547" i="19"/>
  <c r="W547" i="19"/>
  <c r="AD547" i="19"/>
  <c r="AE547" i="19"/>
  <c r="X548" i="19"/>
  <c r="Y548" i="19"/>
  <c r="Z548" i="19"/>
  <c r="AA548" i="19"/>
  <c r="AB548" i="19"/>
  <c r="AC548" i="19"/>
  <c r="W548" i="19"/>
  <c r="AD548" i="19"/>
  <c r="AE548" i="19"/>
  <c r="X549" i="19"/>
  <c r="Y549" i="19"/>
  <c r="Z549" i="19"/>
  <c r="AA549" i="19"/>
  <c r="AB549" i="19"/>
  <c r="AC549" i="19"/>
  <c r="W549" i="19"/>
  <c r="AD549" i="19"/>
  <c r="AE549" i="19"/>
  <c r="X550" i="19"/>
  <c r="Y550" i="19"/>
  <c r="Z550" i="19"/>
  <c r="AA550" i="19"/>
  <c r="AB550" i="19"/>
  <c r="AC550" i="19"/>
  <c r="W550" i="19"/>
  <c r="AD550" i="19"/>
  <c r="AE550" i="19"/>
  <c r="X551" i="19"/>
  <c r="Y551" i="19"/>
  <c r="Z551" i="19"/>
  <c r="AA551" i="19"/>
  <c r="AB551" i="19"/>
  <c r="AC551" i="19"/>
  <c r="W551" i="19"/>
  <c r="AD551" i="19"/>
  <c r="AE551" i="19"/>
  <c r="X552" i="19"/>
  <c r="Y552" i="19"/>
  <c r="Z552" i="19"/>
  <c r="AA552" i="19"/>
  <c r="AB552" i="19"/>
  <c r="AC552" i="19"/>
  <c r="W552" i="19"/>
  <c r="AD552" i="19"/>
  <c r="AE552" i="19"/>
  <c r="X553" i="19"/>
  <c r="Y553" i="19"/>
  <c r="Z553" i="19"/>
  <c r="AA553" i="19"/>
  <c r="AB553" i="19"/>
  <c r="AC553" i="19"/>
  <c r="W553" i="19"/>
  <c r="AD553" i="19"/>
  <c r="AE553" i="19"/>
  <c r="X554" i="19"/>
  <c r="Y554" i="19"/>
  <c r="Z554" i="19"/>
  <c r="AA554" i="19"/>
  <c r="AB554" i="19"/>
  <c r="AC554" i="19"/>
  <c r="W554" i="19"/>
  <c r="AD554" i="19"/>
  <c r="AE554" i="19"/>
  <c r="X555" i="19"/>
  <c r="Y555" i="19"/>
  <c r="Z555" i="19"/>
  <c r="AA555" i="19"/>
  <c r="AB555" i="19"/>
  <c r="AC555" i="19"/>
  <c r="W555" i="19"/>
  <c r="AD555" i="19"/>
  <c r="AE555" i="19"/>
  <c r="X556" i="19"/>
  <c r="Y556" i="19"/>
  <c r="Z556" i="19"/>
  <c r="AA556" i="19"/>
  <c r="AB556" i="19"/>
  <c r="AC556" i="19"/>
  <c r="W556" i="19"/>
  <c r="AD556" i="19"/>
  <c r="AE556" i="19"/>
  <c r="X557" i="19"/>
  <c r="Y557" i="19"/>
  <c r="Z557" i="19"/>
  <c r="AA557" i="19"/>
  <c r="AB557" i="19"/>
  <c r="AC557" i="19"/>
  <c r="W557" i="19"/>
  <c r="AD557" i="19"/>
  <c r="AE557" i="19"/>
  <c r="X558" i="19"/>
  <c r="Y558" i="19"/>
  <c r="Z558" i="19"/>
  <c r="AA558" i="19"/>
  <c r="AB558" i="19"/>
  <c r="AC558" i="19"/>
  <c r="W558" i="19"/>
  <c r="AD558" i="19"/>
  <c r="AE558" i="19"/>
  <c r="X559" i="19"/>
  <c r="Y559" i="19"/>
  <c r="Z559" i="19"/>
  <c r="AA559" i="19"/>
  <c r="AB559" i="19"/>
  <c r="AC559" i="19"/>
  <c r="W559" i="19"/>
  <c r="AD559" i="19"/>
  <c r="AE559" i="19"/>
  <c r="X560" i="19"/>
  <c r="Y560" i="19"/>
  <c r="Z560" i="19"/>
  <c r="AA560" i="19"/>
  <c r="AB560" i="19"/>
  <c r="AC560" i="19"/>
  <c r="W560" i="19"/>
  <c r="AD560" i="19"/>
  <c r="AE560" i="19"/>
  <c r="X561" i="19"/>
  <c r="Y561" i="19"/>
  <c r="Z561" i="19"/>
  <c r="AA561" i="19"/>
  <c r="AB561" i="19"/>
  <c r="AC561" i="19"/>
  <c r="W561" i="19"/>
  <c r="AD561" i="19"/>
  <c r="AE561" i="19"/>
  <c r="X562" i="19"/>
  <c r="Y562" i="19"/>
  <c r="Z562" i="19"/>
  <c r="AA562" i="19"/>
  <c r="AB562" i="19"/>
  <c r="AC562" i="19"/>
  <c r="W562" i="19"/>
  <c r="AD562" i="19"/>
  <c r="AE562" i="19"/>
  <c r="X563" i="19"/>
  <c r="Y563" i="19"/>
  <c r="Z563" i="19"/>
  <c r="AA563" i="19"/>
  <c r="AB563" i="19"/>
  <c r="AC563" i="19"/>
  <c r="W563" i="19"/>
  <c r="AD563" i="19"/>
  <c r="AE563" i="19"/>
  <c r="X564" i="19"/>
  <c r="Y564" i="19"/>
  <c r="Z564" i="19"/>
  <c r="AA564" i="19"/>
  <c r="AB564" i="19"/>
  <c r="AC564" i="19"/>
  <c r="W564" i="19"/>
  <c r="AD564" i="19"/>
  <c r="AE564" i="19"/>
  <c r="X565" i="19"/>
  <c r="Y565" i="19"/>
  <c r="Z565" i="19"/>
  <c r="AA565" i="19"/>
  <c r="AB565" i="19"/>
  <c r="AC565" i="19"/>
  <c r="W565" i="19"/>
  <c r="AD565" i="19"/>
  <c r="AE565" i="19"/>
  <c r="X566" i="19"/>
  <c r="Y566" i="19"/>
  <c r="Z566" i="19"/>
  <c r="AA566" i="19"/>
  <c r="AB566" i="19"/>
  <c r="AC566" i="19"/>
  <c r="W566" i="19"/>
  <c r="AD566" i="19"/>
  <c r="AE566" i="19"/>
  <c r="X567" i="19"/>
  <c r="Y567" i="19"/>
  <c r="Z567" i="19"/>
  <c r="AA567" i="19"/>
  <c r="AB567" i="19"/>
  <c r="AC567" i="19"/>
  <c r="W567" i="19"/>
  <c r="AD567" i="19"/>
  <c r="AE567" i="19"/>
  <c r="X568" i="19"/>
  <c r="Y568" i="19"/>
  <c r="Z568" i="19"/>
  <c r="AA568" i="19"/>
  <c r="AB568" i="19"/>
  <c r="AC568" i="19"/>
  <c r="W568" i="19"/>
  <c r="AD568" i="19"/>
  <c r="AE568" i="19"/>
  <c r="X569" i="19"/>
  <c r="Y569" i="19"/>
  <c r="Z569" i="19"/>
  <c r="AA569" i="19"/>
  <c r="AB569" i="19"/>
  <c r="AC569" i="19"/>
  <c r="W569" i="19"/>
  <c r="AD569" i="19"/>
  <c r="AE569" i="19"/>
  <c r="X570" i="19"/>
  <c r="Y570" i="19"/>
  <c r="Z570" i="19"/>
  <c r="AA570" i="19"/>
  <c r="AB570" i="19"/>
  <c r="AC570" i="19"/>
  <c r="W570" i="19"/>
  <c r="AD570" i="19"/>
  <c r="AE570" i="19"/>
  <c r="X571" i="19"/>
  <c r="Y571" i="19"/>
  <c r="Z571" i="19"/>
  <c r="AA571" i="19"/>
  <c r="AB571" i="19"/>
  <c r="AC571" i="19"/>
  <c r="W571" i="19"/>
  <c r="AD571" i="19"/>
  <c r="AE571" i="19"/>
  <c r="X572" i="19"/>
  <c r="Y572" i="19"/>
  <c r="Z572" i="19"/>
  <c r="AA572" i="19"/>
  <c r="AB572" i="19"/>
  <c r="AC572" i="19"/>
  <c r="W572" i="19"/>
  <c r="AD572" i="19"/>
  <c r="AE572" i="19"/>
  <c r="X573" i="19"/>
  <c r="Y573" i="19"/>
  <c r="Z573" i="19"/>
  <c r="AA573" i="19"/>
  <c r="AB573" i="19"/>
  <c r="AC573" i="19"/>
  <c r="W573" i="19"/>
  <c r="AD573" i="19"/>
  <c r="AE573" i="19"/>
  <c r="X574" i="19"/>
  <c r="Y574" i="19"/>
  <c r="Z574" i="19"/>
  <c r="AA574" i="19"/>
  <c r="AB574" i="19"/>
  <c r="AC574" i="19"/>
  <c r="W574" i="19"/>
  <c r="AD574" i="19"/>
  <c r="AE574" i="19"/>
  <c r="X575" i="19"/>
  <c r="Y575" i="19"/>
  <c r="Z575" i="19"/>
  <c r="AA575" i="19"/>
  <c r="AB575" i="19"/>
  <c r="AC575" i="19"/>
  <c r="W575" i="19"/>
  <c r="AD575" i="19"/>
  <c r="AE575" i="19"/>
  <c r="X576" i="19"/>
  <c r="Y576" i="19"/>
  <c r="Z576" i="19"/>
  <c r="AA576" i="19"/>
  <c r="AB576" i="19"/>
  <c r="AC576" i="19"/>
  <c r="W576" i="19"/>
  <c r="AD576" i="19"/>
  <c r="AE576" i="19"/>
  <c r="X577" i="19"/>
  <c r="Y577" i="19"/>
  <c r="Z577" i="19"/>
  <c r="AA577" i="19"/>
  <c r="AB577" i="19"/>
  <c r="AC577" i="19"/>
  <c r="W577" i="19"/>
  <c r="AD577" i="19"/>
  <c r="AE577" i="19"/>
  <c r="X578" i="19"/>
  <c r="Y578" i="19"/>
  <c r="Z578" i="19"/>
  <c r="AA578" i="19"/>
  <c r="AB578" i="19"/>
  <c r="AC578" i="19"/>
  <c r="W578" i="19"/>
  <c r="AD578" i="19"/>
  <c r="AE578" i="19"/>
  <c r="X579" i="19"/>
  <c r="Y579" i="19"/>
  <c r="Z579" i="19"/>
  <c r="AA579" i="19"/>
  <c r="AB579" i="19"/>
  <c r="AC579" i="19"/>
  <c r="W579" i="19"/>
  <c r="AD579" i="19"/>
  <c r="AE579" i="19"/>
  <c r="X580" i="19"/>
  <c r="Y580" i="19"/>
  <c r="Z580" i="19"/>
  <c r="AA580" i="19"/>
  <c r="AB580" i="19"/>
  <c r="AC580" i="19"/>
  <c r="W580" i="19"/>
  <c r="AD580" i="19"/>
  <c r="AE580" i="19"/>
  <c r="X581" i="19"/>
  <c r="Y581" i="19"/>
  <c r="Z581" i="19"/>
  <c r="AA581" i="19"/>
  <c r="AB581" i="19"/>
  <c r="AC581" i="19"/>
  <c r="W581" i="19"/>
  <c r="AD581" i="19"/>
  <c r="AE581" i="19"/>
  <c r="X582" i="19"/>
  <c r="Y582" i="19"/>
  <c r="Z582" i="19"/>
  <c r="AA582" i="19"/>
  <c r="AB582" i="19"/>
  <c r="AC582" i="19"/>
  <c r="W582" i="19"/>
  <c r="AD582" i="19"/>
  <c r="AE582" i="19"/>
  <c r="X583" i="19"/>
  <c r="Y583" i="19"/>
  <c r="Z583" i="19"/>
  <c r="AA583" i="19"/>
  <c r="AB583" i="19"/>
  <c r="AC583" i="19"/>
  <c r="W583" i="19"/>
  <c r="AD583" i="19"/>
  <c r="AE583" i="19"/>
  <c r="X584" i="19"/>
  <c r="Y584" i="19"/>
  <c r="Z584" i="19"/>
  <c r="AA584" i="19"/>
  <c r="AB584" i="19"/>
  <c r="AC584" i="19"/>
  <c r="W584" i="19"/>
  <c r="AD584" i="19"/>
  <c r="AE584" i="19"/>
  <c r="X585" i="19"/>
  <c r="Y585" i="19"/>
  <c r="Z585" i="19"/>
  <c r="AA585" i="19"/>
  <c r="AB585" i="19"/>
  <c r="AC585" i="19"/>
  <c r="W585" i="19"/>
  <c r="AD585" i="19"/>
  <c r="AE585" i="19"/>
  <c r="X586" i="19"/>
  <c r="Y586" i="19"/>
  <c r="Z586" i="19"/>
  <c r="AA586" i="19"/>
  <c r="AB586" i="19"/>
  <c r="AC586" i="19"/>
  <c r="W586" i="19"/>
  <c r="AD586" i="19"/>
  <c r="AE586" i="19"/>
  <c r="X587" i="19"/>
  <c r="Y587" i="19"/>
  <c r="Z587" i="19"/>
  <c r="AA587" i="19"/>
  <c r="AB587" i="19"/>
  <c r="AC587" i="19"/>
  <c r="W587" i="19"/>
  <c r="AD587" i="19"/>
  <c r="AE587" i="19"/>
  <c r="X588" i="19"/>
  <c r="Y588" i="19"/>
  <c r="Z588" i="19"/>
  <c r="AA588" i="19"/>
  <c r="AB588" i="19"/>
  <c r="AC588" i="19"/>
  <c r="W588" i="19"/>
  <c r="AD588" i="19"/>
  <c r="AE588" i="19"/>
  <c r="X589" i="19"/>
  <c r="Y589" i="19"/>
  <c r="Z589" i="19"/>
  <c r="AA589" i="19"/>
  <c r="AB589" i="19"/>
  <c r="AC589" i="19"/>
  <c r="W589" i="19"/>
  <c r="AD589" i="19"/>
  <c r="AE589" i="19"/>
  <c r="X590" i="19"/>
  <c r="Y590" i="19"/>
  <c r="Z590" i="19"/>
  <c r="AA590" i="19"/>
  <c r="AB590" i="19"/>
  <c r="AC590" i="19"/>
  <c r="W590" i="19"/>
  <c r="AD590" i="19"/>
  <c r="AE590" i="19"/>
  <c r="X591" i="19"/>
  <c r="Y591" i="19"/>
  <c r="Z591" i="19"/>
  <c r="AA591" i="19"/>
  <c r="AB591" i="19"/>
  <c r="AC591" i="19"/>
  <c r="W591" i="19"/>
  <c r="AD591" i="19"/>
  <c r="AE591" i="19"/>
  <c r="X592" i="19"/>
  <c r="Y592" i="19"/>
  <c r="Z592" i="19"/>
  <c r="AA592" i="19"/>
  <c r="AB592" i="19"/>
  <c r="AC592" i="19"/>
  <c r="W592" i="19"/>
  <c r="AD592" i="19"/>
  <c r="AE592" i="19"/>
  <c r="X593" i="19"/>
  <c r="Y593" i="19"/>
  <c r="Z593" i="19"/>
  <c r="AA593" i="19"/>
  <c r="AB593" i="19"/>
  <c r="AC593" i="19"/>
  <c r="W593" i="19"/>
  <c r="AD593" i="19"/>
  <c r="AE593" i="19"/>
  <c r="X594" i="19"/>
  <c r="Y594" i="19"/>
  <c r="Z594" i="19"/>
  <c r="AA594" i="19"/>
  <c r="AB594" i="19"/>
  <c r="AC594" i="19"/>
  <c r="W594" i="19"/>
  <c r="AD594" i="19"/>
  <c r="AE594" i="19"/>
  <c r="X595" i="19"/>
  <c r="Y595" i="19"/>
  <c r="Z595" i="19"/>
  <c r="AA595" i="19"/>
  <c r="AB595" i="19"/>
  <c r="AC595" i="19"/>
  <c r="W595" i="19"/>
  <c r="AD595" i="19"/>
  <c r="AE595" i="19"/>
  <c r="X596" i="19"/>
  <c r="Y596" i="19"/>
  <c r="Z596" i="19"/>
  <c r="AA596" i="19"/>
  <c r="AB596" i="19"/>
  <c r="AC596" i="19"/>
  <c r="W596" i="19"/>
  <c r="AD596" i="19"/>
  <c r="AE596" i="19"/>
  <c r="X599" i="19"/>
  <c r="Y599" i="19"/>
  <c r="Z599" i="19"/>
  <c r="AA599" i="19"/>
  <c r="AB599" i="19"/>
  <c r="AC599" i="19"/>
  <c r="W599" i="19"/>
  <c r="AD599" i="19"/>
  <c r="AE599" i="19"/>
  <c r="X600" i="19"/>
  <c r="Y600" i="19"/>
  <c r="Z600" i="19"/>
  <c r="AA600" i="19"/>
  <c r="AB600" i="19"/>
  <c r="AC600" i="19"/>
  <c r="W600" i="19"/>
  <c r="AD600" i="19"/>
  <c r="AE600" i="19"/>
  <c r="X601" i="19"/>
  <c r="Y601" i="19"/>
  <c r="Z601" i="19"/>
  <c r="AA601" i="19"/>
  <c r="AB601" i="19"/>
  <c r="AC601" i="19"/>
  <c r="W601" i="19"/>
  <c r="AD601" i="19"/>
  <c r="AE601" i="19"/>
  <c r="X602" i="19"/>
  <c r="Y602" i="19"/>
  <c r="Z602" i="19"/>
  <c r="AA602" i="19"/>
  <c r="AB602" i="19"/>
  <c r="AC602" i="19"/>
  <c r="W602" i="19"/>
  <c r="AD602" i="19"/>
  <c r="AE602" i="19"/>
  <c r="X603" i="19"/>
  <c r="Y603" i="19"/>
  <c r="Z603" i="19"/>
  <c r="AA603" i="19"/>
  <c r="AB603" i="19"/>
  <c r="AC603" i="19"/>
  <c r="W603" i="19"/>
  <c r="AD603" i="19"/>
  <c r="AE603" i="19"/>
  <c r="X604" i="19"/>
  <c r="Y604" i="19"/>
  <c r="Z604" i="19"/>
  <c r="AA604" i="19"/>
  <c r="AB604" i="19"/>
  <c r="AC604" i="19"/>
  <c r="W604" i="19"/>
  <c r="AD604" i="19"/>
  <c r="AE604" i="19"/>
  <c r="X605" i="19"/>
  <c r="Y605" i="19"/>
  <c r="Z605" i="19"/>
  <c r="AA605" i="19"/>
  <c r="AB605" i="19"/>
  <c r="AC605" i="19"/>
  <c r="W605" i="19"/>
  <c r="AD605" i="19"/>
  <c r="AE605" i="19"/>
  <c r="X606" i="19"/>
  <c r="Y606" i="19"/>
  <c r="Z606" i="19"/>
  <c r="AA606" i="19"/>
  <c r="AB606" i="19"/>
  <c r="AC606" i="19"/>
  <c r="W606" i="19"/>
  <c r="AD606" i="19"/>
  <c r="AE606" i="19"/>
  <c r="X607" i="19"/>
  <c r="Y607" i="19"/>
  <c r="Z607" i="19"/>
  <c r="AA607" i="19"/>
  <c r="AB607" i="19"/>
  <c r="AC607" i="19"/>
  <c r="W607" i="19"/>
  <c r="AD607" i="19"/>
  <c r="AE607" i="19"/>
  <c r="X608" i="19"/>
  <c r="Y608" i="19"/>
  <c r="Z608" i="19"/>
  <c r="AA608" i="19"/>
  <c r="AB608" i="19"/>
  <c r="AC608" i="19"/>
  <c r="W608" i="19"/>
  <c r="AD608" i="19"/>
  <c r="AE608" i="19"/>
  <c r="X609" i="19"/>
  <c r="Y609" i="19"/>
  <c r="Z609" i="19"/>
  <c r="AA609" i="19"/>
  <c r="AB609" i="19"/>
  <c r="AC609" i="19"/>
  <c r="W609" i="19"/>
  <c r="AD609" i="19"/>
  <c r="AE609" i="19"/>
  <c r="X610" i="19"/>
  <c r="Y610" i="19"/>
  <c r="Z610" i="19"/>
  <c r="AA610" i="19"/>
  <c r="AB610" i="19"/>
  <c r="AC610" i="19"/>
  <c r="W610" i="19"/>
  <c r="AD610" i="19"/>
  <c r="AE610" i="19"/>
  <c r="X611" i="19"/>
  <c r="Y611" i="19"/>
  <c r="Z611" i="19"/>
  <c r="AA611" i="19"/>
  <c r="AB611" i="19"/>
  <c r="AC611" i="19"/>
  <c r="W611" i="19"/>
  <c r="AD611" i="19"/>
  <c r="AE611" i="19"/>
  <c r="X612" i="19"/>
  <c r="Y612" i="19"/>
  <c r="Z612" i="19"/>
  <c r="AA612" i="19"/>
  <c r="AB612" i="19"/>
  <c r="AC612" i="19"/>
  <c r="W612" i="19"/>
  <c r="AD612" i="19"/>
  <c r="AE612" i="19"/>
  <c r="X613" i="19"/>
  <c r="Y613" i="19"/>
  <c r="Z613" i="19"/>
  <c r="AA613" i="19"/>
  <c r="AB613" i="19"/>
  <c r="AC613" i="19"/>
  <c r="W613" i="19"/>
  <c r="AD613" i="19"/>
  <c r="AE613" i="19"/>
  <c r="X614" i="19"/>
  <c r="Y614" i="19"/>
  <c r="Z614" i="19"/>
  <c r="AA614" i="19"/>
  <c r="AB614" i="19"/>
  <c r="AC614" i="19"/>
  <c r="W614" i="19"/>
  <c r="AD614" i="19"/>
  <c r="AE614" i="19"/>
  <c r="X615" i="19"/>
  <c r="Y615" i="19"/>
  <c r="Z615" i="19"/>
  <c r="AA615" i="19"/>
  <c r="AB615" i="19"/>
  <c r="AC615" i="19"/>
  <c r="W615" i="19"/>
  <c r="AD615" i="19"/>
  <c r="AE615" i="19"/>
  <c r="X616" i="19"/>
  <c r="Y616" i="19"/>
  <c r="Z616" i="19"/>
  <c r="AA616" i="19"/>
  <c r="AB616" i="19"/>
  <c r="AC616" i="19"/>
  <c r="W616" i="19"/>
  <c r="AD616" i="19"/>
  <c r="AE616" i="19"/>
  <c r="X617" i="19"/>
  <c r="Y617" i="19"/>
  <c r="Z617" i="19"/>
  <c r="AA617" i="19"/>
  <c r="AB617" i="19"/>
  <c r="AC617" i="19"/>
  <c r="W617" i="19"/>
  <c r="AD617" i="19"/>
  <c r="AE617" i="19"/>
  <c r="X618" i="19"/>
  <c r="Y618" i="19"/>
  <c r="Z618" i="19"/>
  <c r="AA618" i="19"/>
  <c r="AB618" i="19"/>
  <c r="AC618" i="19"/>
  <c r="W618" i="19"/>
  <c r="AD618" i="19"/>
  <c r="AE618" i="19"/>
  <c r="X619" i="19"/>
  <c r="Y619" i="19"/>
  <c r="Z619" i="19"/>
  <c r="AA619" i="19"/>
  <c r="AB619" i="19"/>
  <c r="AC619" i="19"/>
  <c r="W619" i="19"/>
  <c r="AD619" i="19"/>
  <c r="AE619" i="19"/>
  <c r="X620" i="19"/>
  <c r="Y620" i="19"/>
  <c r="Z620" i="19"/>
  <c r="AA620" i="19"/>
  <c r="AB620" i="19"/>
  <c r="AC620" i="19"/>
  <c r="W620" i="19"/>
  <c r="AD620" i="19"/>
  <c r="AE620" i="19"/>
  <c r="X621" i="19"/>
  <c r="Y621" i="19"/>
  <c r="Z621" i="19"/>
  <c r="AA621" i="19"/>
  <c r="AB621" i="19"/>
  <c r="AC621" i="19"/>
  <c r="W621" i="19"/>
  <c r="AD621" i="19"/>
  <c r="AE621" i="19"/>
  <c r="X622" i="19"/>
  <c r="Y622" i="19"/>
  <c r="Z622" i="19"/>
  <c r="AA622" i="19"/>
  <c r="AB622" i="19"/>
  <c r="AC622" i="19"/>
  <c r="W622" i="19"/>
  <c r="AD622" i="19"/>
  <c r="AE622" i="19"/>
  <c r="X623" i="19"/>
  <c r="Y623" i="19"/>
  <c r="Z623" i="19"/>
  <c r="AA623" i="19"/>
  <c r="AB623" i="19"/>
  <c r="AC623" i="19"/>
  <c r="W623" i="19"/>
  <c r="AD623" i="19"/>
  <c r="AE623" i="19"/>
  <c r="X624" i="19"/>
  <c r="Y624" i="19"/>
  <c r="Z624" i="19"/>
  <c r="AA624" i="19"/>
  <c r="AB624" i="19"/>
  <c r="AC624" i="19"/>
  <c r="W624" i="19"/>
  <c r="AD624" i="19"/>
  <c r="AE624" i="19"/>
  <c r="X625" i="19"/>
  <c r="Y625" i="19"/>
  <c r="Z625" i="19"/>
  <c r="AA625" i="19"/>
  <c r="AB625" i="19"/>
  <c r="AC625" i="19"/>
  <c r="W625" i="19"/>
  <c r="AD625" i="19"/>
  <c r="AE625" i="19"/>
  <c r="X626" i="19"/>
  <c r="Y626" i="19"/>
  <c r="Z626" i="19"/>
  <c r="AA626" i="19"/>
  <c r="AB626" i="19"/>
  <c r="AC626" i="19"/>
  <c r="W626" i="19"/>
  <c r="AD626" i="19"/>
  <c r="AE626" i="19"/>
  <c r="X627" i="19"/>
  <c r="Y627" i="19"/>
  <c r="Z627" i="19"/>
  <c r="AA627" i="19"/>
  <c r="AB627" i="19"/>
  <c r="AC627" i="19"/>
  <c r="W627" i="19"/>
  <c r="AD627" i="19"/>
  <c r="AE627" i="19"/>
  <c r="X628" i="19"/>
  <c r="Y628" i="19"/>
  <c r="Z628" i="19"/>
  <c r="AA628" i="19"/>
  <c r="AB628" i="19"/>
  <c r="AC628" i="19"/>
  <c r="W628" i="19"/>
  <c r="AD628" i="19"/>
  <c r="AE628" i="19"/>
  <c r="X629" i="19"/>
  <c r="Y629" i="19"/>
  <c r="Z629" i="19"/>
  <c r="AA629" i="19"/>
  <c r="AB629" i="19"/>
  <c r="AC629" i="19"/>
  <c r="W629" i="19"/>
  <c r="AD629" i="19"/>
  <c r="AE629" i="19"/>
  <c r="X630" i="19"/>
  <c r="Y630" i="19"/>
  <c r="Z630" i="19"/>
  <c r="AA630" i="19"/>
  <c r="AB630" i="19"/>
  <c r="AC630" i="19"/>
  <c r="W630" i="19"/>
  <c r="AD630" i="19"/>
  <c r="AE630" i="19"/>
  <c r="X631" i="19"/>
  <c r="Y631" i="19"/>
  <c r="Z631" i="19"/>
  <c r="AA631" i="19"/>
  <c r="AB631" i="19"/>
  <c r="AC631" i="19"/>
  <c r="W631" i="19"/>
  <c r="AD631" i="19"/>
  <c r="AE631" i="19"/>
  <c r="X632" i="19"/>
  <c r="Y632" i="19"/>
  <c r="Z632" i="19"/>
  <c r="AA632" i="19"/>
  <c r="AB632" i="19"/>
  <c r="AC632" i="19"/>
  <c r="W632" i="19"/>
  <c r="AD632" i="19"/>
  <c r="AE632" i="19"/>
  <c r="X633" i="19"/>
  <c r="Y633" i="19"/>
  <c r="Z633" i="19"/>
  <c r="AA633" i="19"/>
  <c r="AB633" i="19"/>
  <c r="AC633" i="19"/>
  <c r="W633" i="19"/>
  <c r="AD633" i="19"/>
  <c r="AE633" i="19"/>
  <c r="X634" i="19"/>
  <c r="Y634" i="19"/>
  <c r="Z634" i="19"/>
  <c r="AA634" i="19"/>
  <c r="AB634" i="19"/>
  <c r="AC634" i="19"/>
  <c r="W634" i="19"/>
  <c r="AD634" i="19"/>
  <c r="AE634" i="19"/>
  <c r="X635" i="19"/>
  <c r="Y635" i="19"/>
  <c r="Z635" i="19"/>
  <c r="AA635" i="19"/>
  <c r="AB635" i="19"/>
  <c r="AC635" i="19"/>
  <c r="W635" i="19"/>
  <c r="AD635" i="19"/>
  <c r="AE635" i="19"/>
  <c r="X636" i="19"/>
  <c r="Y636" i="19"/>
  <c r="Z636" i="19"/>
  <c r="AA636" i="19"/>
  <c r="AB636" i="19"/>
  <c r="AC636" i="19"/>
  <c r="W636" i="19"/>
  <c r="AD636" i="19"/>
  <c r="AE636" i="19"/>
  <c r="X637" i="19"/>
  <c r="Y637" i="19"/>
  <c r="Z637" i="19"/>
  <c r="AA637" i="19"/>
  <c r="AB637" i="19"/>
  <c r="AC637" i="19"/>
  <c r="W637" i="19"/>
  <c r="AD637" i="19"/>
  <c r="AE637" i="19"/>
  <c r="X638" i="19"/>
  <c r="Y638" i="19"/>
  <c r="Z638" i="19"/>
  <c r="AA638" i="19"/>
  <c r="AB638" i="19"/>
  <c r="AC638" i="19"/>
  <c r="W638" i="19"/>
  <c r="AD638" i="19"/>
  <c r="AE638" i="19"/>
  <c r="X639" i="19"/>
  <c r="Y639" i="19"/>
  <c r="Z639" i="19"/>
  <c r="AA639" i="19"/>
  <c r="AB639" i="19"/>
  <c r="AC639" i="19"/>
  <c r="W639" i="19"/>
  <c r="AD639" i="19"/>
  <c r="AE639" i="19"/>
  <c r="X640" i="19"/>
  <c r="Y640" i="19"/>
  <c r="Z640" i="19"/>
  <c r="AA640" i="19"/>
  <c r="AB640" i="19"/>
  <c r="AC640" i="19"/>
  <c r="W640" i="19"/>
  <c r="AD640" i="19"/>
  <c r="AE640" i="19"/>
  <c r="X641" i="19"/>
  <c r="Y641" i="19"/>
  <c r="Z641" i="19"/>
  <c r="AA641" i="19"/>
  <c r="AB641" i="19"/>
  <c r="AC641" i="19"/>
  <c r="W641" i="19"/>
  <c r="AD641" i="19"/>
  <c r="AE641" i="19"/>
  <c r="X642" i="19"/>
  <c r="Y642" i="19"/>
  <c r="Z642" i="19"/>
  <c r="AA642" i="19"/>
  <c r="AB642" i="19"/>
  <c r="AC642" i="19"/>
  <c r="W642" i="19"/>
  <c r="AD642" i="19"/>
  <c r="AE642" i="19"/>
  <c r="X643" i="19"/>
  <c r="Y643" i="19"/>
  <c r="Z643" i="19"/>
  <c r="AA643" i="19"/>
  <c r="AB643" i="19"/>
  <c r="AC643" i="19"/>
  <c r="W643" i="19"/>
  <c r="AD643" i="19"/>
  <c r="AE643" i="19"/>
  <c r="X644" i="19"/>
  <c r="Y644" i="19"/>
  <c r="Z644" i="19"/>
  <c r="AA644" i="19"/>
  <c r="AB644" i="19"/>
  <c r="AC644" i="19"/>
  <c r="W644" i="19"/>
  <c r="AD644" i="19"/>
  <c r="AE644" i="19"/>
  <c r="X645" i="19"/>
  <c r="Y645" i="19"/>
  <c r="Z645" i="19"/>
  <c r="AA645" i="19"/>
  <c r="AB645" i="19"/>
  <c r="AC645" i="19"/>
  <c r="W645" i="19"/>
  <c r="AD645" i="19"/>
  <c r="AE645" i="19"/>
  <c r="X646" i="19"/>
  <c r="Y646" i="19"/>
  <c r="Z646" i="19"/>
  <c r="AA646" i="19"/>
  <c r="AB646" i="19"/>
  <c r="AC646" i="19"/>
  <c r="W646" i="19"/>
  <c r="AD646" i="19"/>
  <c r="AE646" i="19"/>
  <c r="X647" i="19"/>
  <c r="Y647" i="19"/>
  <c r="Z647" i="19"/>
  <c r="AA647" i="19"/>
  <c r="AB647" i="19"/>
  <c r="AC647" i="19"/>
  <c r="W647" i="19"/>
  <c r="AD647" i="19"/>
  <c r="AE647" i="19"/>
  <c r="X648" i="19"/>
  <c r="Y648" i="19"/>
  <c r="Z648" i="19"/>
  <c r="AA648" i="19"/>
  <c r="AB648" i="19"/>
  <c r="AC648" i="19"/>
  <c r="W648" i="19"/>
  <c r="AD648" i="19"/>
  <c r="AE648" i="19"/>
  <c r="X649" i="19"/>
  <c r="Y649" i="19"/>
  <c r="Z649" i="19"/>
  <c r="AA649" i="19"/>
  <c r="AB649" i="19"/>
  <c r="AC649" i="19"/>
  <c r="W649" i="19"/>
  <c r="AD649" i="19"/>
  <c r="AE649" i="19"/>
  <c r="X650" i="19"/>
  <c r="Y650" i="19"/>
  <c r="Z650" i="19"/>
  <c r="AA650" i="19"/>
  <c r="AB650" i="19"/>
  <c r="AC650" i="19"/>
  <c r="W650" i="19"/>
  <c r="AD650" i="19"/>
  <c r="AE650" i="19"/>
  <c r="X651" i="19"/>
  <c r="Y651" i="19"/>
  <c r="Z651" i="19"/>
  <c r="AA651" i="19"/>
  <c r="AB651" i="19"/>
  <c r="AC651" i="19"/>
  <c r="W651" i="19"/>
  <c r="AD651" i="19"/>
  <c r="AE651" i="19"/>
  <c r="X652" i="19"/>
  <c r="Y652" i="19"/>
  <c r="Z652" i="19"/>
  <c r="AA652" i="19"/>
  <c r="AB652" i="19"/>
  <c r="AC652" i="19"/>
  <c r="W652" i="19"/>
  <c r="AD652" i="19"/>
  <c r="AE652" i="19"/>
  <c r="X653" i="19"/>
  <c r="Y653" i="19"/>
  <c r="Z653" i="19"/>
  <c r="AA653" i="19"/>
  <c r="AB653" i="19"/>
  <c r="AC653" i="19"/>
  <c r="W653" i="19"/>
  <c r="AD653" i="19"/>
  <c r="AE653" i="19"/>
  <c r="X654" i="19"/>
  <c r="Y654" i="19"/>
  <c r="Z654" i="19"/>
  <c r="AA654" i="19"/>
  <c r="AB654" i="19"/>
  <c r="AC654" i="19"/>
  <c r="W654" i="19"/>
  <c r="AD654" i="19"/>
  <c r="AE654" i="19"/>
  <c r="X655" i="19"/>
  <c r="Y655" i="19"/>
  <c r="Z655" i="19"/>
  <c r="AA655" i="19"/>
  <c r="AB655" i="19"/>
  <c r="AC655" i="19"/>
  <c r="W655" i="19"/>
  <c r="AD655" i="19"/>
  <c r="AE655" i="19"/>
  <c r="X656" i="19"/>
  <c r="Y656" i="19"/>
  <c r="Z656" i="19"/>
  <c r="AA656" i="19"/>
  <c r="AB656" i="19"/>
  <c r="AC656" i="19"/>
  <c r="W656" i="19"/>
  <c r="AD656" i="19"/>
  <c r="AE656" i="19"/>
  <c r="X657" i="19"/>
  <c r="Y657" i="19"/>
  <c r="Z657" i="19"/>
  <c r="AA657" i="19"/>
  <c r="AB657" i="19"/>
  <c r="AC657" i="19"/>
  <c r="W657" i="19"/>
  <c r="AD657" i="19"/>
  <c r="AE657" i="19"/>
  <c r="X658" i="19"/>
  <c r="Y658" i="19"/>
  <c r="Z658" i="19"/>
  <c r="AA658" i="19"/>
  <c r="AB658" i="19"/>
  <c r="AC658" i="19"/>
  <c r="W658" i="19"/>
  <c r="AD658" i="19"/>
  <c r="AE658" i="19"/>
  <c r="X659" i="19"/>
  <c r="Y659" i="19"/>
  <c r="Z659" i="19"/>
  <c r="AA659" i="19"/>
  <c r="AB659" i="19"/>
  <c r="AC659" i="19"/>
  <c r="W659" i="19"/>
  <c r="AD659" i="19"/>
  <c r="AE659" i="19"/>
  <c r="X660" i="19"/>
  <c r="Y660" i="19"/>
  <c r="Z660" i="19"/>
  <c r="AA660" i="19"/>
  <c r="AB660" i="19"/>
  <c r="AC660" i="19"/>
  <c r="W660" i="19"/>
  <c r="AD660" i="19"/>
  <c r="AE660" i="19"/>
  <c r="X661" i="19"/>
  <c r="Y661" i="19"/>
  <c r="Z661" i="19"/>
  <c r="AA661" i="19"/>
  <c r="AB661" i="19"/>
  <c r="AC661" i="19"/>
  <c r="W661" i="19"/>
  <c r="AD661" i="19"/>
  <c r="AE661" i="19"/>
  <c r="X662" i="19"/>
  <c r="Y662" i="19"/>
  <c r="Z662" i="19"/>
  <c r="AA662" i="19"/>
  <c r="AB662" i="19"/>
  <c r="AC662" i="19"/>
  <c r="W662" i="19"/>
  <c r="AD662" i="19"/>
  <c r="AE662" i="19"/>
  <c r="X663" i="19"/>
  <c r="Y663" i="19"/>
  <c r="Z663" i="19"/>
  <c r="AA663" i="19"/>
  <c r="AB663" i="19"/>
  <c r="AC663" i="19"/>
  <c r="W663" i="19"/>
  <c r="AD663" i="19"/>
  <c r="AE663" i="19"/>
  <c r="X664" i="19"/>
  <c r="Y664" i="19"/>
  <c r="Z664" i="19"/>
  <c r="AA664" i="19"/>
  <c r="AB664" i="19"/>
  <c r="AC664" i="19"/>
  <c r="W664" i="19"/>
  <c r="AD664" i="19"/>
  <c r="AE664" i="19"/>
  <c r="X665" i="19"/>
  <c r="Y665" i="19"/>
  <c r="Z665" i="19"/>
  <c r="AA665" i="19"/>
  <c r="AB665" i="19"/>
  <c r="AC665" i="19"/>
  <c r="W665" i="19"/>
  <c r="AD665" i="19"/>
  <c r="AE665" i="19"/>
  <c r="X666" i="19"/>
  <c r="Y666" i="19"/>
  <c r="Z666" i="19"/>
  <c r="AA666" i="19"/>
  <c r="AB666" i="19"/>
  <c r="AC666" i="19"/>
  <c r="W666" i="19"/>
  <c r="AD666" i="19"/>
  <c r="AE666" i="19"/>
  <c r="X667" i="19"/>
  <c r="Y667" i="19"/>
  <c r="Z667" i="19"/>
  <c r="AA667" i="19"/>
  <c r="AB667" i="19"/>
  <c r="AC667" i="19"/>
  <c r="W667" i="19"/>
  <c r="AD667" i="19"/>
  <c r="AE667" i="19"/>
  <c r="X668" i="19"/>
  <c r="Y668" i="19"/>
  <c r="Z668" i="19"/>
  <c r="AA668" i="19"/>
  <c r="AB668" i="19"/>
  <c r="AC668" i="19"/>
  <c r="W668" i="19"/>
  <c r="AD668" i="19"/>
  <c r="AE668" i="19"/>
  <c r="X669" i="19"/>
  <c r="Y669" i="19"/>
  <c r="Z669" i="19"/>
  <c r="AA669" i="19"/>
  <c r="AB669" i="19"/>
  <c r="AC669" i="19"/>
  <c r="W669" i="19"/>
  <c r="AD669" i="19"/>
  <c r="AE669" i="19"/>
  <c r="X670" i="19"/>
  <c r="Y670" i="19"/>
  <c r="Z670" i="19"/>
  <c r="AA670" i="19"/>
  <c r="AB670" i="19"/>
  <c r="AC670" i="19"/>
  <c r="W670" i="19"/>
  <c r="AD670" i="19"/>
  <c r="AE670" i="19"/>
  <c r="X671" i="19"/>
  <c r="Y671" i="19"/>
  <c r="Z671" i="19"/>
  <c r="AA671" i="19"/>
  <c r="AB671" i="19"/>
  <c r="AC671" i="19"/>
  <c r="W671" i="19"/>
  <c r="AD671" i="19"/>
  <c r="AE671" i="19"/>
  <c r="X672" i="19"/>
  <c r="Y672" i="19"/>
  <c r="Z672" i="19"/>
  <c r="AA672" i="19"/>
  <c r="AB672" i="19"/>
  <c r="AC672" i="19"/>
  <c r="W672" i="19"/>
  <c r="AD672" i="19"/>
  <c r="AE672" i="19"/>
  <c r="X673" i="19"/>
  <c r="Y673" i="19"/>
  <c r="Z673" i="19"/>
  <c r="AA673" i="19"/>
  <c r="AB673" i="19"/>
  <c r="AC673" i="19"/>
  <c r="W673" i="19"/>
  <c r="AD673" i="19"/>
  <c r="AE673" i="19"/>
  <c r="X674" i="19"/>
  <c r="Y674" i="19"/>
  <c r="Z674" i="19"/>
  <c r="AA674" i="19"/>
  <c r="AB674" i="19"/>
  <c r="AC674" i="19"/>
  <c r="W674" i="19"/>
  <c r="AD674" i="19"/>
  <c r="AE674" i="19"/>
  <c r="X675" i="19"/>
  <c r="Y675" i="19"/>
  <c r="Z675" i="19"/>
  <c r="AA675" i="19"/>
  <c r="AB675" i="19"/>
  <c r="AC675" i="19"/>
  <c r="W675" i="19"/>
  <c r="AD675" i="19"/>
  <c r="AE675" i="19"/>
  <c r="X676" i="19"/>
  <c r="Y676" i="19"/>
  <c r="Z676" i="19"/>
  <c r="AA676" i="19"/>
  <c r="AB676" i="19"/>
  <c r="AC676" i="19"/>
  <c r="W676" i="19"/>
  <c r="AD676" i="19"/>
  <c r="AE676" i="19"/>
  <c r="X679" i="19"/>
  <c r="Y679" i="19"/>
  <c r="Z679" i="19"/>
  <c r="AA679" i="19"/>
  <c r="AB679" i="19"/>
  <c r="AC679" i="19"/>
  <c r="W679" i="19"/>
  <c r="AD679" i="19"/>
  <c r="AE679" i="19"/>
  <c r="X680" i="19"/>
  <c r="Y680" i="19"/>
  <c r="Z680" i="19"/>
  <c r="AA680" i="19"/>
  <c r="AB680" i="19"/>
  <c r="AC680" i="19"/>
  <c r="W680" i="19"/>
  <c r="AD680" i="19"/>
  <c r="AE680" i="19"/>
  <c r="X681" i="19"/>
  <c r="Y681" i="19"/>
  <c r="Z681" i="19"/>
  <c r="AA681" i="19"/>
  <c r="AB681" i="19"/>
  <c r="AC681" i="19"/>
  <c r="W681" i="19"/>
  <c r="AD681" i="19"/>
  <c r="AE681" i="19"/>
  <c r="X682" i="19"/>
  <c r="Y682" i="19"/>
  <c r="Z682" i="19"/>
  <c r="AA682" i="19"/>
  <c r="AB682" i="19"/>
  <c r="AC682" i="19"/>
  <c r="W682" i="19"/>
  <c r="AD682" i="19"/>
  <c r="AE682" i="19"/>
  <c r="X683" i="19"/>
  <c r="Y683" i="19"/>
  <c r="Z683" i="19"/>
  <c r="AA683" i="19"/>
  <c r="AB683" i="19"/>
  <c r="AC683" i="19"/>
  <c r="W683" i="19"/>
  <c r="AD683" i="19"/>
  <c r="AE683" i="19"/>
  <c r="X684" i="19"/>
  <c r="Y684" i="19"/>
  <c r="Z684" i="19"/>
  <c r="AA684" i="19"/>
  <c r="AB684" i="19"/>
  <c r="AC684" i="19"/>
  <c r="W684" i="19"/>
  <c r="AD684" i="19"/>
  <c r="AE684" i="19"/>
  <c r="X685" i="19"/>
  <c r="Y685" i="19"/>
  <c r="Z685" i="19"/>
  <c r="AA685" i="19"/>
  <c r="AB685" i="19"/>
  <c r="AC685" i="19"/>
  <c r="W685" i="19"/>
  <c r="AD685" i="19"/>
  <c r="AE685" i="19"/>
  <c r="X686" i="19"/>
  <c r="Y686" i="19"/>
  <c r="Z686" i="19"/>
  <c r="AA686" i="19"/>
  <c r="AB686" i="19"/>
  <c r="AC686" i="19"/>
  <c r="W686" i="19"/>
  <c r="AD686" i="19"/>
  <c r="AE686" i="19"/>
  <c r="X687" i="19"/>
  <c r="Y687" i="19"/>
  <c r="Z687" i="19"/>
  <c r="AA687" i="19"/>
  <c r="AB687" i="19"/>
  <c r="AC687" i="19"/>
  <c r="W687" i="19"/>
  <c r="AD687" i="19"/>
  <c r="AE687" i="19"/>
  <c r="X688" i="19"/>
  <c r="Y688" i="19"/>
  <c r="Z688" i="19"/>
  <c r="AA688" i="19"/>
  <c r="AB688" i="19"/>
  <c r="AC688" i="19"/>
  <c r="W688" i="19"/>
  <c r="AD688" i="19"/>
  <c r="AE688" i="19"/>
  <c r="X689" i="19"/>
  <c r="Y689" i="19"/>
  <c r="Z689" i="19"/>
  <c r="AA689" i="19"/>
  <c r="AB689" i="19"/>
  <c r="AC689" i="19"/>
  <c r="W689" i="19"/>
  <c r="AD689" i="19"/>
  <c r="AE689" i="19"/>
  <c r="X690" i="19"/>
  <c r="Y690" i="19"/>
  <c r="Z690" i="19"/>
  <c r="AA690" i="19"/>
  <c r="AB690" i="19"/>
  <c r="AC690" i="19"/>
  <c r="W690" i="19"/>
  <c r="AD690" i="19"/>
  <c r="AE690" i="19"/>
  <c r="X691" i="19"/>
  <c r="Y691" i="19"/>
  <c r="Z691" i="19"/>
  <c r="AA691" i="19"/>
  <c r="AB691" i="19"/>
  <c r="AC691" i="19"/>
  <c r="W691" i="19"/>
  <c r="AD691" i="19"/>
  <c r="AE691" i="19"/>
  <c r="X692" i="19"/>
  <c r="Y692" i="19"/>
  <c r="Z692" i="19"/>
  <c r="AA692" i="19"/>
  <c r="AB692" i="19"/>
  <c r="AC692" i="19"/>
  <c r="W692" i="19"/>
  <c r="AD692" i="19"/>
  <c r="AE692" i="19"/>
  <c r="X693" i="19"/>
  <c r="Y693" i="19"/>
  <c r="Z693" i="19"/>
  <c r="AA693" i="19"/>
  <c r="AB693" i="19"/>
  <c r="AC693" i="19"/>
  <c r="W693" i="19"/>
  <c r="AD693" i="19"/>
  <c r="AE693" i="19"/>
  <c r="X694" i="19"/>
  <c r="Y694" i="19"/>
  <c r="Z694" i="19"/>
  <c r="AA694" i="19"/>
  <c r="AB694" i="19"/>
  <c r="AC694" i="19"/>
  <c r="W694" i="19"/>
  <c r="AD694" i="19"/>
  <c r="AE694" i="19"/>
  <c r="X695" i="19"/>
  <c r="Y695" i="19"/>
  <c r="Z695" i="19"/>
  <c r="AA695" i="19"/>
  <c r="AB695" i="19"/>
  <c r="AC695" i="19"/>
  <c r="W695" i="19"/>
  <c r="AD695" i="19"/>
  <c r="AE695" i="19"/>
  <c r="X696" i="19"/>
  <c r="Y696" i="19"/>
  <c r="Z696" i="19"/>
  <c r="AA696" i="19"/>
  <c r="AB696" i="19"/>
  <c r="AC696" i="19"/>
  <c r="W696" i="19"/>
  <c r="AD696" i="19"/>
  <c r="AE696" i="19"/>
  <c r="X698" i="19"/>
  <c r="Y698" i="19"/>
  <c r="Z698" i="19"/>
  <c r="AA698" i="19"/>
  <c r="AB698" i="19"/>
  <c r="AC698" i="19"/>
  <c r="W698" i="19"/>
  <c r="AD698" i="19"/>
  <c r="AE698" i="19"/>
  <c r="X699" i="19"/>
  <c r="Y699" i="19"/>
  <c r="Z699" i="19"/>
  <c r="AA699" i="19"/>
  <c r="AB699" i="19"/>
  <c r="AC699" i="19"/>
  <c r="W699" i="19"/>
  <c r="AD699" i="19"/>
  <c r="AE699" i="19"/>
  <c r="X700" i="19"/>
  <c r="Y700" i="19"/>
  <c r="Z700" i="19"/>
  <c r="AA700" i="19"/>
  <c r="AB700" i="19"/>
  <c r="AC700" i="19"/>
  <c r="W700" i="19"/>
  <c r="AD700" i="19"/>
  <c r="AE700" i="19"/>
  <c r="X701" i="19"/>
  <c r="Y701" i="19"/>
  <c r="Z701" i="19"/>
  <c r="AA701" i="19"/>
  <c r="AB701" i="19"/>
  <c r="AC701" i="19"/>
  <c r="W701" i="19"/>
  <c r="AD701" i="19"/>
  <c r="AE701" i="19"/>
  <c r="X702" i="19"/>
  <c r="Y702" i="19"/>
  <c r="Z702" i="19"/>
  <c r="AA702" i="19"/>
  <c r="AB702" i="19"/>
  <c r="AC702" i="19"/>
  <c r="W702" i="19"/>
  <c r="AD702" i="19"/>
  <c r="AE702" i="19"/>
  <c r="X703" i="19"/>
  <c r="Y703" i="19"/>
  <c r="Z703" i="19"/>
  <c r="AA703" i="19"/>
  <c r="AB703" i="19"/>
  <c r="AC703" i="19"/>
  <c r="W703" i="19"/>
  <c r="AD703" i="19"/>
  <c r="AE703" i="19"/>
  <c r="X705" i="19"/>
  <c r="Y705" i="19"/>
  <c r="Z705" i="19"/>
  <c r="AA705" i="19"/>
  <c r="AB705" i="19"/>
  <c r="AC705" i="19"/>
  <c r="W705" i="19"/>
  <c r="AD705" i="19"/>
  <c r="AE705" i="19"/>
  <c r="X706" i="19"/>
  <c r="Y706" i="19"/>
  <c r="Z706" i="19"/>
  <c r="AA706" i="19"/>
  <c r="AB706" i="19"/>
  <c r="AC706" i="19"/>
  <c r="W706" i="19"/>
  <c r="AD706" i="19"/>
  <c r="AE706" i="19"/>
  <c r="X707" i="19"/>
  <c r="Y707" i="19"/>
  <c r="Z707" i="19"/>
  <c r="AA707" i="19"/>
  <c r="AB707" i="19"/>
  <c r="AC707" i="19"/>
  <c r="W707" i="19"/>
  <c r="AD707" i="19"/>
  <c r="AE707" i="19"/>
  <c r="X708" i="19"/>
  <c r="Y708" i="19"/>
  <c r="Z708" i="19"/>
  <c r="AA708" i="19"/>
  <c r="AB708" i="19"/>
  <c r="AC708" i="19"/>
  <c r="W708" i="19"/>
  <c r="AD708" i="19"/>
  <c r="AE708" i="19"/>
  <c r="X709" i="19"/>
  <c r="Y709" i="19"/>
  <c r="Z709" i="19"/>
  <c r="AA709" i="19"/>
  <c r="AB709" i="19"/>
  <c r="AC709" i="19"/>
  <c r="W709" i="19"/>
  <c r="AD709" i="19"/>
  <c r="AE709" i="19"/>
  <c r="X710" i="19"/>
  <c r="Y710" i="19"/>
  <c r="Z710" i="19"/>
  <c r="AA710" i="19"/>
  <c r="AB710" i="19"/>
  <c r="AC710" i="19"/>
  <c r="W710" i="19"/>
  <c r="AD710" i="19"/>
  <c r="AE710" i="19"/>
  <c r="X713" i="19"/>
  <c r="Y713" i="19"/>
  <c r="Z713" i="19"/>
  <c r="AA713" i="19"/>
  <c r="AB713" i="19"/>
  <c r="AC713" i="19"/>
  <c r="W713" i="19"/>
  <c r="AD713" i="19"/>
  <c r="AE713" i="19"/>
  <c r="X714" i="19"/>
  <c r="Y714" i="19"/>
  <c r="Z714" i="19"/>
  <c r="AA714" i="19"/>
  <c r="AB714" i="19"/>
  <c r="AC714" i="19"/>
  <c r="W714" i="19"/>
  <c r="AD714" i="19"/>
  <c r="AE714" i="19"/>
  <c r="X715" i="19"/>
  <c r="Y715" i="19"/>
  <c r="Z715" i="19"/>
  <c r="AA715" i="19"/>
  <c r="AB715" i="19"/>
  <c r="AC715" i="19"/>
  <c r="W715" i="19"/>
  <c r="AD715" i="19"/>
  <c r="AE715" i="19"/>
  <c r="X716" i="19"/>
  <c r="Y716" i="19"/>
  <c r="Z716" i="19"/>
  <c r="AA716" i="19"/>
  <c r="AB716" i="19"/>
  <c r="AC716" i="19"/>
  <c r="W716" i="19"/>
  <c r="AD716" i="19"/>
  <c r="AE716" i="19"/>
  <c r="X717" i="19"/>
  <c r="Y717" i="19"/>
  <c r="Z717" i="19"/>
  <c r="AA717" i="19"/>
  <c r="AB717" i="19"/>
  <c r="AC717" i="19"/>
  <c r="W717" i="19"/>
  <c r="AD717" i="19"/>
  <c r="AE717" i="19"/>
  <c r="X718" i="19"/>
  <c r="Y718" i="19"/>
  <c r="Z718" i="19"/>
  <c r="AA718" i="19"/>
  <c r="AB718" i="19"/>
  <c r="AC718" i="19"/>
  <c r="W718" i="19"/>
  <c r="AD718" i="19"/>
  <c r="AE718" i="19"/>
  <c r="X719" i="19"/>
  <c r="Y719" i="19"/>
  <c r="Z719" i="19"/>
  <c r="AA719" i="19"/>
  <c r="AB719" i="19"/>
  <c r="AC719" i="19"/>
  <c r="W719" i="19"/>
  <c r="AD719" i="19"/>
  <c r="AE719" i="19"/>
  <c r="X720" i="19"/>
  <c r="Y720" i="19"/>
  <c r="Z720" i="19"/>
  <c r="AA720" i="19"/>
  <c r="AB720" i="19"/>
  <c r="AC720" i="19"/>
  <c r="W720" i="19"/>
  <c r="AD720" i="19"/>
  <c r="AE720" i="19"/>
  <c r="X722" i="19"/>
  <c r="Y722" i="19"/>
  <c r="Z722" i="19"/>
  <c r="AA722" i="19"/>
  <c r="AB722" i="19"/>
  <c r="AC722" i="19"/>
  <c r="W722" i="19"/>
  <c r="AD722" i="19"/>
  <c r="AE722" i="19"/>
  <c r="X723" i="19"/>
  <c r="Y723" i="19"/>
  <c r="Z723" i="19"/>
  <c r="AA723" i="19"/>
  <c r="AB723" i="19"/>
  <c r="AC723" i="19"/>
  <c r="W723" i="19"/>
  <c r="AD723" i="19"/>
  <c r="AE723" i="19"/>
  <c r="X724" i="19"/>
  <c r="Y724" i="19"/>
  <c r="Z724" i="19"/>
  <c r="AA724" i="19"/>
  <c r="AB724" i="19"/>
  <c r="AC724" i="19"/>
  <c r="W724" i="19"/>
  <c r="AD724" i="19"/>
  <c r="AE724" i="19"/>
  <c r="X725" i="19"/>
  <c r="Y725" i="19"/>
  <c r="Z725" i="19"/>
  <c r="AA725" i="19"/>
  <c r="AB725" i="19"/>
  <c r="AC725" i="19"/>
  <c r="W725" i="19"/>
  <c r="AD725" i="19"/>
  <c r="AE725" i="19"/>
  <c r="X727" i="19"/>
  <c r="Y727" i="19"/>
  <c r="Z727" i="19"/>
  <c r="AA727" i="19"/>
  <c r="AB727" i="19"/>
  <c r="AC727" i="19"/>
  <c r="W727" i="19"/>
  <c r="AD727" i="19"/>
  <c r="AE727" i="19"/>
  <c r="X728" i="19"/>
  <c r="Y728" i="19"/>
  <c r="Z728" i="19"/>
  <c r="AA728" i="19"/>
  <c r="AB728" i="19"/>
  <c r="AC728" i="19"/>
  <c r="W728" i="19"/>
  <c r="AD728" i="19"/>
  <c r="AE728" i="19"/>
  <c r="X729" i="19"/>
  <c r="Y729" i="19"/>
  <c r="Z729" i="19"/>
  <c r="AA729" i="19"/>
  <c r="AB729" i="19"/>
  <c r="AC729" i="19"/>
  <c r="W729" i="19"/>
  <c r="AD729" i="19"/>
  <c r="AE729" i="19"/>
  <c r="X730" i="19"/>
  <c r="Y730" i="19"/>
  <c r="Z730" i="19"/>
  <c r="AA730" i="19"/>
  <c r="AB730" i="19"/>
  <c r="AC730" i="19"/>
  <c r="W730" i="19"/>
  <c r="AD730" i="19"/>
  <c r="AE730" i="19"/>
  <c r="X731" i="19"/>
  <c r="Y731" i="19"/>
  <c r="Z731" i="19"/>
  <c r="AA731" i="19"/>
  <c r="AB731" i="19"/>
  <c r="AC731" i="19"/>
  <c r="W731" i="19"/>
  <c r="AD731" i="19"/>
  <c r="AE731" i="19"/>
  <c r="X732" i="19"/>
  <c r="Y732" i="19"/>
  <c r="Z732" i="19"/>
  <c r="AA732" i="19"/>
  <c r="AB732" i="19"/>
  <c r="AC732" i="19"/>
  <c r="W732" i="19"/>
  <c r="AD732" i="19"/>
  <c r="AE732" i="19"/>
  <c r="X733" i="19"/>
  <c r="Y733" i="19"/>
  <c r="Z733" i="19"/>
  <c r="AA733" i="19"/>
  <c r="AB733" i="19"/>
  <c r="AC733" i="19"/>
  <c r="W733" i="19"/>
  <c r="AD733" i="19"/>
  <c r="AE733" i="19"/>
  <c r="X734" i="19"/>
  <c r="Y734" i="19"/>
  <c r="Z734" i="19"/>
  <c r="AA734" i="19"/>
  <c r="AB734" i="19"/>
  <c r="AC734" i="19"/>
  <c r="W734" i="19"/>
  <c r="AD734" i="19"/>
  <c r="AE734" i="19"/>
  <c r="X735" i="19"/>
  <c r="Y735" i="19"/>
  <c r="Z735" i="19"/>
  <c r="AA735" i="19"/>
  <c r="AB735" i="19"/>
  <c r="AC735" i="19"/>
  <c r="W735" i="19"/>
  <c r="AD735" i="19"/>
  <c r="AE735" i="19"/>
  <c r="X736" i="19"/>
  <c r="Y736" i="19"/>
  <c r="Z736" i="19"/>
  <c r="AA736" i="19"/>
  <c r="AB736" i="19"/>
  <c r="AC736" i="19"/>
  <c r="W736" i="19"/>
  <c r="AD736" i="19"/>
  <c r="AE736" i="19"/>
  <c r="X737" i="19"/>
  <c r="Y737" i="19"/>
  <c r="Z737" i="19"/>
  <c r="AA737" i="19"/>
  <c r="AB737" i="19"/>
  <c r="AC737" i="19"/>
  <c r="W737" i="19"/>
  <c r="AD737" i="19"/>
  <c r="AE737" i="19"/>
  <c r="X738" i="19"/>
  <c r="Y738" i="19"/>
  <c r="Z738" i="19"/>
  <c r="AA738" i="19"/>
  <c r="AB738" i="19"/>
  <c r="AC738" i="19"/>
  <c r="W738" i="19"/>
  <c r="AD738" i="19"/>
  <c r="AE738" i="19"/>
  <c r="X739" i="19"/>
  <c r="Y739" i="19"/>
  <c r="Z739" i="19"/>
  <c r="AA739" i="19"/>
  <c r="AB739" i="19"/>
  <c r="AC739" i="19"/>
  <c r="W739" i="19"/>
  <c r="AD739" i="19"/>
  <c r="AE739" i="19"/>
  <c r="X740" i="19"/>
  <c r="Y740" i="19"/>
  <c r="Z740" i="19"/>
  <c r="AA740" i="19"/>
  <c r="AB740" i="19"/>
  <c r="AC740" i="19"/>
  <c r="W740" i="19"/>
  <c r="AD740" i="19"/>
  <c r="AE740" i="19"/>
  <c r="X741" i="19"/>
  <c r="Y741" i="19"/>
  <c r="Z741" i="19"/>
  <c r="AA741" i="19"/>
  <c r="AB741" i="19"/>
  <c r="AC741" i="19"/>
  <c r="W741" i="19"/>
  <c r="AD741" i="19"/>
  <c r="AE741" i="19"/>
  <c r="X742" i="19"/>
  <c r="Y742" i="19"/>
  <c r="Z742" i="19"/>
  <c r="AA742" i="19"/>
  <c r="AB742" i="19"/>
  <c r="AC742" i="19"/>
  <c r="W742" i="19"/>
  <c r="AD742" i="19"/>
  <c r="AE742" i="19"/>
  <c r="X743" i="19"/>
  <c r="Y743" i="19"/>
  <c r="Z743" i="19"/>
  <c r="AA743" i="19"/>
  <c r="AB743" i="19"/>
  <c r="AC743" i="19"/>
  <c r="W743" i="19"/>
  <c r="AD743" i="19"/>
  <c r="AE743" i="19"/>
  <c r="X744" i="19"/>
  <c r="Y744" i="19"/>
  <c r="Z744" i="19"/>
  <c r="AA744" i="19"/>
  <c r="AB744" i="19"/>
  <c r="AC744" i="19"/>
  <c r="W744" i="19"/>
  <c r="AD744" i="19"/>
  <c r="AE744" i="19"/>
  <c r="X745" i="19"/>
  <c r="Y745" i="19"/>
  <c r="Z745" i="19"/>
  <c r="AA745" i="19"/>
  <c r="AB745" i="19"/>
  <c r="AC745" i="19"/>
  <c r="W745" i="19"/>
  <c r="AD745" i="19"/>
  <c r="AE745" i="19"/>
  <c r="X746" i="19"/>
  <c r="Y746" i="19"/>
  <c r="Z746" i="19"/>
  <c r="AA746" i="19"/>
  <c r="AB746" i="19"/>
  <c r="AC746" i="19"/>
  <c r="W746" i="19"/>
  <c r="AD746" i="19"/>
  <c r="AE746" i="19"/>
  <c r="X747" i="19"/>
  <c r="Y747" i="19"/>
  <c r="Z747" i="19"/>
  <c r="AA747" i="19"/>
  <c r="AB747" i="19"/>
  <c r="AC747" i="19"/>
  <c r="W747" i="19"/>
  <c r="AD747" i="19"/>
  <c r="AE747" i="19"/>
  <c r="X748" i="19"/>
  <c r="Y748" i="19"/>
  <c r="Z748" i="19"/>
  <c r="AA748" i="19"/>
  <c r="AB748" i="19"/>
  <c r="AC748" i="19"/>
  <c r="W748" i="19"/>
  <c r="AD748" i="19"/>
  <c r="AE748" i="19"/>
  <c r="X749" i="19"/>
  <c r="Y749" i="19"/>
  <c r="Z749" i="19"/>
  <c r="AA749" i="19"/>
  <c r="AB749" i="19"/>
  <c r="AC749" i="19"/>
  <c r="W749" i="19"/>
  <c r="AD749" i="19"/>
  <c r="AE749" i="19"/>
  <c r="X750" i="19"/>
  <c r="Y750" i="19"/>
  <c r="Z750" i="19"/>
  <c r="AA750" i="19"/>
  <c r="AB750" i="19"/>
  <c r="AC750" i="19"/>
  <c r="W750" i="19"/>
  <c r="AD750" i="19"/>
  <c r="AE750" i="19"/>
  <c r="X751" i="19"/>
  <c r="Y751" i="19"/>
  <c r="Z751" i="19"/>
  <c r="AA751" i="19"/>
  <c r="AB751" i="19"/>
  <c r="AC751" i="19"/>
  <c r="W751" i="19"/>
  <c r="AD751" i="19"/>
  <c r="AE751" i="19"/>
  <c r="X752" i="19"/>
  <c r="Y752" i="19"/>
  <c r="Z752" i="19"/>
  <c r="AA752" i="19"/>
  <c r="AB752" i="19"/>
  <c r="AC752" i="19"/>
  <c r="W752" i="19"/>
  <c r="AD752" i="19"/>
  <c r="AE752" i="19"/>
  <c r="X753" i="19"/>
  <c r="Y753" i="19"/>
  <c r="Z753" i="19"/>
  <c r="AA753" i="19"/>
  <c r="AB753" i="19"/>
  <c r="AC753" i="19"/>
  <c r="W753" i="19"/>
  <c r="AD753" i="19"/>
  <c r="AE753" i="19"/>
  <c r="X754" i="19"/>
  <c r="Y754" i="19"/>
  <c r="Z754" i="19"/>
  <c r="AA754" i="19"/>
  <c r="AB754" i="19"/>
  <c r="AC754" i="19"/>
  <c r="W754" i="19"/>
  <c r="AD754" i="19"/>
  <c r="AE754" i="19"/>
  <c r="X755" i="19"/>
  <c r="Y755" i="19"/>
  <c r="Z755" i="19"/>
  <c r="AA755" i="19"/>
  <c r="AB755" i="19"/>
  <c r="AC755" i="19"/>
  <c r="W755" i="19"/>
  <c r="AD755" i="19"/>
  <c r="AE755" i="19"/>
  <c r="X756" i="19"/>
  <c r="Y756" i="19"/>
  <c r="Z756" i="19"/>
  <c r="AA756" i="19"/>
  <c r="AB756" i="19"/>
  <c r="AC756" i="19"/>
  <c r="W756" i="19"/>
  <c r="AD756" i="19"/>
  <c r="AE756" i="19"/>
  <c r="X758" i="19"/>
  <c r="Y758" i="19"/>
  <c r="Z758" i="19"/>
  <c r="AA758" i="19"/>
  <c r="AB758" i="19"/>
  <c r="AC758" i="19"/>
  <c r="W758" i="19"/>
  <c r="AD758" i="19"/>
  <c r="AE758" i="19"/>
  <c r="X759" i="19"/>
  <c r="Y759" i="19"/>
  <c r="Z759" i="19"/>
  <c r="AA759" i="19"/>
  <c r="AB759" i="19"/>
  <c r="AC759" i="19"/>
  <c r="W759" i="19"/>
  <c r="AD759" i="19"/>
  <c r="AE759" i="19"/>
  <c r="X760" i="19"/>
  <c r="Y760" i="19"/>
  <c r="Z760" i="19"/>
  <c r="AA760" i="19"/>
  <c r="AB760" i="19"/>
  <c r="AC760" i="19"/>
  <c r="W760" i="19"/>
  <c r="AD760" i="19"/>
  <c r="AE760" i="19"/>
  <c r="X761" i="19"/>
  <c r="Y761" i="19"/>
  <c r="Z761" i="19"/>
  <c r="AA761" i="19"/>
  <c r="AB761" i="19"/>
  <c r="AC761" i="19"/>
  <c r="W761" i="19"/>
  <c r="AD761" i="19"/>
  <c r="AE761" i="19"/>
  <c r="X762" i="19"/>
  <c r="Y762" i="19"/>
  <c r="Z762" i="19"/>
  <c r="AA762" i="19"/>
  <c r="AB762" i="19"/>
  <c r="AC762" i="19"/>
  <c r="W762" i="19"/>
  <c r="AD762" i="19"/>
  <c r="AE762" i="19"/>
  <c r="X763" i="19"/>
  <c r="Y763" i="19"/>
  <c r="Z763" i="19"/>
  <c r="AA763" i="19"/>
  <c r="AB763" i="19"/>
  <c r="AC763" i="19"/>
  <c r="W763" i="19"/>
  <c r="AD763" i="19"/>
  <c r="AE763" i="19"/>
  <c r="X764" i="19"/>
  <c r="Y764" i="19"/>
  <c r="Z764" i="19"/>
  <c r="AA764" i="19"/>
  <c r="AB764" i="19"/>
  <c r="AC764" i="19"/>
  <c r="W764" i="19"/>
  <c r="AD764" i="19"/>
  <c r="AE764" i="19"/>
  <c r="X765" i="19"/>
  <c r="Y765" i="19"/>
  <c r="Z765" i="19"/>
  <c r="AA765" i="19"/>
  <c r="AB765" i="19"/>
  <c r="AC765" i="19"/>
  <c r="W765" i="19"/>
  <c r="AD765" i="19"/>
  <c r="AE765" i="19"/>
  <c r="X766" i="19"/>
  <c r="Y766" i="19"/>
  <c r="Z766" i="19"/>
  <c r="AA766" i="19"/>
  <c r="AB766" i="19"/>
  <c r="AC766" i="19"/>
  <c r="W766" i="19"/>
  <c r="AD766" i="19"/>
  <c r="AE766" i="19"/>
  <c r="AE7" i="19"/>
  <c r="P489" i="9"/>
  <c r="Q494" i="9"/>
  <c r="O494" i="9"/>
  <c r="Q495" i="9"/>
  <c r="O495" i="9"/>
  <c r="Q496" i="9"/>
  <c r="O496" i="9"/>
  <c r="A489" i="9"/>
  <c r="C489" i="9"/>
  <c r="D497" i="9"/>
  <c r="R1302" i="23"/>
  <c r="C1302" i="23"/>
  <c r="N1302" i="23"/>
  <c r="O1302" i="23"/>
  <c r="R781" i="12"/>
  <c r="C1303" i="23"/>
  <c r="N1303" i="23"/>
  <c r="O1303" i="23"/>
  <c r="R782" i="12"/>
  <c r="C1304" i="23"/>
  <c r="N1304" i="23"/>
  <c r="O1304" i="23"/>
  <c r="R783" i="12"/>
  <c r="C1305" i="23"/>
  <c r="N1305" i="23"/>
  <c r="O1305" i="23"/>
  <c r="R784" i="12"/>
  <c r="Q1310" i="23"/>
  <c r="C497" i="9"/>
  <c r="M1302" i="23"/>
  <c r="I1302" i="23"/>
  <c r="J1302" i="23"/>
  <c r="N781" i="12"/>
  <c r="I1303" i="23"/>
  <c r="J1303" i="23"/>
  <c r="N782" i="12"/>
  <c r="I1304" i="23"/>
  <c r="J1304" i="23"/>
  <c r="N783" i="12"/>
  <c r="I1305" i="23"/>
  <c r="J1305" i="23"/>
  <c r="N784" i="12"/>
  <c r="L1310" i="23"/>
  <c r="M1310" i="23"/>
  <c r="J1310" i="23"/>
  <c r="H1302" i="23"/>
  <c r="D1302" i="23"/>
  <c r="E1302" i="23"/>
  <c r="J781" i="12"/>
  <c r="D1303" i="23"/>
  <c r="E1303" i="23"/>
  <c r="J782" i="12"/>
  <c r="D1304" i="23"/>
  <c r="E1304" i="23"/>
  <c r="J783" i="12"/>
  <c r="D1305" i="23"/>
  <c r="E1305" i="23"/>
  <c r="J784" i="12"/>
  <c r="G1310" i="23"/>
  <c r="H1310" i="23"/>
  <c r="E1310" i="23"/>
  <c r="R1310" i="23"/>
  <c r="N1310" i="23"/>
  <c r="R1286" i="23"/>
  <c r="M1286" i="23"/>
  <c r="J9" i="21"/>
  <c r="J15" i="21"/>
  <c r="J21" i="21"/>
  <c r="J28" i="21"/>
  <c r="J36" i="21"/>
  <c r="J66" i="21"/>
  <c r="J49" i="21"/>
  <c r="J100" i="21"/>
  <c r="J122" i="21"/>
  <c r="J145" i="21"/>
  <c r="J164" i="21"/>
  <c r="J189" i="21"/>
  <c r="J200" i="21"/>
  <c r="J217" i="21"/>
  <c r="J245" i="21"/>
  <c r="J248" i="21"/>
  <c r="J251" i="21"/>
  <c r="J237" i="21"/>
  <c r="J6" i="21"/>
  <c r="H9" i="21"/>
  <c r="H15" i="21"/>
  <c r="H21" i="21"/>
  <c r="H28" i="21"/>
  <c r="H36" i="21"/>
  <c r="H66" i="21"/>
  <c r="H49" i="21"/>
  <c r="H100" i="21"/>
  <c r="H122" i="21"/>
  <c r="H145" i="21"/>
  <c r="H164" i="21"/>
  <c r="H189" i="21"/>
  <c r="H200" i="21"/>
  <c r="H217" i="21"/>
  <c r="H245" i="21"/>
  <c r="H248" i="21"/>
  <c r="H251" i="21"/>
  <c r="H237" i="21"/>
  <c r="H6" i="21"/>
  <c r="X494" i="9"/>
  <c r="D491" i="9"/>
  <c r="K9" i="21"/>
  <c r="K15" i="21"/>
  <c r="K21" i="21"/>
  <c r="K28" i="21"/>
  <c r="K36" i="21"/>
  <c r="K66" i="21"/>
  <c r="K49" i="21"/>
  <c r="K100" i="21"/>
  <c r="K122" i="21"/>
  <c r="K145" i="21"/>
  <c r="K164" i="21"/>
  <c r="K189" i="21"/>
  <c r="K200" i="21"/>
  <c r="K217" i="21"/>
  <c r="K245" i="21"/>
  <c r="K248" i="21"/>
  <c r="K251" i="21"/>
  <c r="K237" i="21"/>
  <c r="K6" i="21"/>
  <c r="L9" i="21"/>
  <c r="L15" i="21"/>
  <c r="L21" i="21"/>
  <c r="L28" i="21"/>
  <c r="L36" i="21"/>
  <c r="L66" i="21"/>
  <c r="L49" i="21"/>
  <c r="L100" i="21"/>
  <c r="L122" i="21"/>
  <c r="L145" i="21"/>
  <c r="L164" i="21"/>
  <c r="L189" i="21"/>
  <c r="L200" i="21"/>
  <c r="L217" i="21"/>
  <c r="L245" i="21"/>
  <c r="L248" i="21"/>
  <c r="L251" i="21"/>
  <c r="L237" i="21"/>
  <c r="L6" i="21"/>
  <c r="M9" i="21"/>
  <c r="M15" i="21"/>
  <c r="M21" i="21"/>
  <c r="M28" i="21"/>
  <c r="M36" i="21"/>
  <c r="M66" i="21"/>
  <c r="M49" i="21"/>
  <c r="M100" i="21"/>
  <c r="M122" i="21"/>
  <c r="M145" i="21"/>
  <c r="M164" i="21"/>
  <c r="M189" i="21"/>
  <c r="M200" i="21"/>
  <c r="M217" i="21"/>
  <c r="M245" i="21"/>
  <c r="M248" i="21"/>
  <c r="M251" i="21"/>
  <c r="M237" i="21"/>
  <c r="M6" i="21"/>
  <c r="D492" i="9"/>
  <c r="R1263" i="23"/>
  <c r="B1263" i="23"/>
  <c r="C1263" i="23"/>
  <c r="N1263" i="23"/>
  <c r="O1263" i="23"/>
  <c r="R744" i="12"/>
  <c r="R1264" i="23"/>
  <c r="B1264" i="23"/>
  <c r="C1264" i="23"/>
  <c r="N1264" i="23"/>
  <c r="O1264" i="23"/>
  <c r="R745" i="12"/>
  <c r="R1265" i="23"/>
  <c r="B1265" i="23"/>
  <c r="C1265" i="23"/>
  <c r="N1265" i="23"/>
  <c r="O1265" i="23"/>
  <c r="R746" i="12"/>
  <c r="R1266" i="23"/>
  <c r="B1266" i="23"/>
  <c r="C1266" i="23"/>
  <c r="N1266" i="23"/>
  <c r="O1266" i="23"/>
  <c r="R747" i="12"/>
  <c r="W494" i="9"/>
  <c r="C491" i="9"/>
  <c r="C492" i="9"/>
  <c r="D10" i="21"/>
  <c r="D11" i="21"/>
  <c r="D12" i="21"/>
  <c r="D13" i="21"/>
  <c r="D14" i="21"/>
  <c r="D9" i="21"/>
  <c r="D16" i="21"/>
  <c r="D17" i="21"/>
  <c r="D18" i="21"/>
  <c r="D19" i="21"/>
  <c r="D20" i="21"/>
  <c r="D15" i="21"/>
  <c r="D22" i="21"/>
  <c r="D23" i="21"/>
  <c r="D24" i="21"/>
  <c r="D25" i="21"/>
  <c r="D26" i="21"/>
  <c r="D21" i="21"/>
  <c r="D29" i="21"/>
  <c r="D30" i="21"/>
  <c r="D31" i="21"/>
  <c r="D32" i="21"/>
  <c r="D28" i="21"/>
  <c r="D37" i="21"/>
  <c r="D38" i="21"/>
  <c r="D39" i="21"/>
  <c r="D40" i="21"/>
  <c r="D41" i="21"/>
  <c r="D42" i="21"/>
  <c r="D43" i="21"/>
  <c r="D36" i="21"/>
  <c r="D44" i="21"/>
  <c r="D45" i="21"/>
  <c r="D46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7" i="21"/>
  <c r="D68" i="21"/>
  <c r="D69" i="21"/>
  <c r="D70" i="21"/>
  <c r="D71" i="21"/>
  <c r="D72" i="21"/>
  <c r="D73" i="21"/>
  <c r="D66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49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00" i="21"/>
  <c r="D130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22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45" i="21"/>
  <c r="D165" i="21"/>
  <c r="D166" i="21"/>
  <c r="D167" i="21"/>
  <c r="D168" i="21"/>
  <c r="D169" i="21"/>
  <c r="D170" i="21"/>
  <c r="D171" i="21"/>
  <c r="D172" i="21"/>
  <c r="D173" i="21"/>
  <c r="D175" i="21"/>
  <c r="D176" i="21"/>
  <c r="D177" i="21"/>
  <c r="D180" i="21"/>
  <c r="D181" i="21"/>
  <c r="D182" i="21"/>
  <c r="D183" i="21"/>
  <c r="D184" i="21"/>
  <c r="D164" i="21"/>
  <c r="D120" i="21"/>
  <c r="D190" i="21"/>
  <c r="D191" i="21"/>
  <c r="D192" i="21"/>
  <c r="D193" i="21"/>
  <c r="D194" i="21"/>
  <c r="D195" i="21"/>
  <c r="D196" i="21"/>
  <c r="D197" i="21"/>
  <c r="D198" i="21"/>
  <c r="D189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00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17" i="21"/>
  <c r="D187" i="21"/>
  <c r="D241" i="21"/>
  <c r="D242" i="21"/>
  <c r="D244" i="21"/>
  <c r="D246" i="21"/>
  <c r="D247" i="21"/>
  <c r="D245" i="21"/>
  <c r="D249" i="21"/>
  <c r="D250" i="21"/>
  <c r="D248" i="21"/>
  <c r="D259" i="21"/>
  <c r="D251" i="21"/>
  <c r="D237" i="21"/>
  <c r="D261" i="21"/>
  <c r="D262" i="21"/>
  <c r="D260" i="21"/>
  <c r="D6" i="21"/>
  <c r="B489" i="9"/>
  <c r="V494" i="9"/>
  <c r="B491" i="9"/>
  <c r="B492" i="9"/>
  <c r="N10" i="21"/>
  <c r="N11" i="21"/>
  <c r="N12" i="21"/>
  <c r="N13" i="21"/>
  <c r="N14" i="21"/>
  <c r="N9" i="21"/>
  <c r="N16" i="21"/>
  <c r="N17" i="21"/>
  <c r="N18" i="21"/>
  <c r="N19" i="21"/>
  <c r="N20" i="21"/>
  <c r="N15" i="21"/>
  <c r="N22" i="21"/>
  <c r="N23" i="21"/>
  <c r="N24" i="21"/>
  <c r="N25" i="21"/>
  <c r="N26" i="21"/>
  <c r="N21" i="21"/>
  <c r="N29" i="21"/>
  <c r="N30" i="21"/>
  <c r="N31" i="21"/>
  <c r="N32" i="21"/>
  <c r="N28" i="21"/>
  <c r="N37" i="21"/>
  <c r="N38" i="21"/>
  <c r="N39" i="21"/>
  <c r="N40" i="21"/>
  <c r="N41" i="21"/>
  <c r="N42" i="21"/>
  <c r="N43" i="21"/>
  <c r="N36" i="21"/>
  <c r="N44" i="21"/>
  <c r="N45" i="21"/>
  <c r="N46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7" i="21"/>
  <c r="N68" i="21"/>
  <c r="T378" i="19"/>
  <c r="N69" i="21"/>
  <c r="N70" i="21"/>
  <c r="N71" i="21"/>
  <c r="N72" i="21"/>
  <c r="N73" i="21"/>
  <c r="N66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49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00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9" i="21"/>
  <c r="N140" i="21"/>
  <c r="N141" i="21"/>
  <c r="N142" i="21"/>
  <c r="N143" i="21"/>
  <c r="N122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45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64" i="21"/>
  <c r="N190" i="21"/>
  <c r="N191" i="21"/>
  <c r="N192" i="21"/>
  <c r="N193" i="21"/>
  <c r="N194" i="21"/>
  <c r="N195" i="21"/>
  <c r="N196" i="21"/>
  <c r="N197" i="21"/>
  <c r="N198" i="21"/>
  <c r="N189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00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17" i="21"/>
  <c r="N238" i="21"/>
  <c r="N239" i="21"/>
  <c r="N240" i="21"/>
  <c r="N241" i="21"/>
  <c r="N242" i="21"/>
  <c r="N243" i="21"/>
  <c r="N244" i="21"/>
  <c r="N246" i="21"/>
  <c r="N247" i="21"/>
  <c r="N245" i="21"/>
  <c r="N249" i="21"/>
  <c r="N250" i="21"/>
  <c r="N248" i="21"/>
  <c r="N252" i="21"/>
  <c r="N253" i="21"/>
  <c r="N254" i="21"/>
  <c r="N255" i="21"/>
  <c r="N256" i="21"/>
  <c r="N257" i="21"/>
  <c r="N258" i="21"/>
  <c r="N259" i="21"/>
  <c r="N251" i="21"/>
  <c r="N237" i="21"/>
  <c r="N6" i="21"/>
  <c r="C493" i="9"/>
  <c r="R1267" i="23"/>
  <c r="C1267" i="23"/>
  <c r="N1267" i="23"/>
  <c r="O1267" i="23"/>
  <c r="R748" i="12"/>
  <c r="R1268" i="23"/>
  <c r="B1268" i="23"/>
  <c r="C1268" i="23"/>
  <c r="N1268" i="23"/>
  <c r="O1268" i="23"/>
  <c r="R749" i="12"/>
  <c r="B1269" i="23"/>
  <c r="C1269" i="23"/>
  <c r="N1269" i="23"/>
  <c r="O1269" i="23"/>
  <c r="R750" i="12"/>
  <c r="R1270" i="23"/>
  <c r="C1270" i="23"/>
  <c r="N1270" i="23"/>
  <c r="O1270" i="23"/>
  <c r="R751" i="12"/>
  <c r="R1271" i="23"/>
  <c r="B1271" i="23"/>
  <c r="C1271" i="23"/>
  <c r="N1271" i="23"/>
  <c r="O1271" i="23"/>
  <c r="R752" i="12"/>
  <c r="R1272" i="23"/>
  <c r="C1272" i="23"/>
  <c r="N1272" i="23"/>
  <c r="O1272" i="23"/>
  <c r="R753" i="12"/>
  <c r="D494" i="9"/>
  <c r="R1273" i="23"/>
  <c r="B1273" i="23"/>
  <c r="C1273" i="23"/>
  <c r="N1273" i="23"/>
  <c r="O1273" i="23"/>
  <c r="R754" i="12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5" i="21"/>
  <c r="V26" i="21"/>
  <c r="V27" i="21"/>
  <c r="V28" i="21"/>
  <c r="V29" i="21"/>
  <c r="V30" i="21"/>
  <c r="V31" i="21"/>
  <c r="V32" i="21"/>
  <c r="V24" i="21"/>
  <c r="V34" i="21"/>
  <c r="V35" i="21"/>
  <c r="V36" i="21"/>
  <c r="V33" i="21"/>
  <c r="V5" i="21"/>
  <c r="O433" i="9"/>
  <c r="P433" i="9"/>
  <c r="Q442" i="9"/>
  <c r="O442" i="9"/>
  <c r="A441" i="9"/>
  <c r="C441" i="9"/>
  <c r="R1096" i="23"/>
  <c r="R1275" i="23"/>
  <c r="B494" i="9"/>
  <c r="H1273" i="23"/>
  <c r="C494" i="9"/>
  <c r="M1273" i="23"/>
  <c r="B1275" i="23"/>
  <c r="C1275" i="23"/>
  <c r="N1275" i="23"/>
  <c r="R1276" i="23"/>
  <c r="B1276" i="23"/>
  <c r="C1276" i="23"/>
  <c r="N1276" i="23"/>
  <c r="O1274" i="23"/>
  <c r="R755" i="12"/>
  <c r="C1277" i="23"/>
  <c r="N1277" i="23"/>
  <c r="O1277" i="23"/>
  <c r="R756" i="12"/>
  <c r="R1278" i="23"/>
  <c r="B1278" i="23"/>
  <c r="C1278" i="23"/>
  <c r="N1278" i="23"/>
  <c r="O1278" i="23"/>
  <c r="R757" i="12"/>
  <c r="Q1286" i="23"/>
  <c r="M1264" i="23"/>
  <c r="I1264" i="23"/>
  <c r="J1264" i="23"/>
  <c r="N745" i="12"/>
  <c r="M1265" i="23"/>
  <c r="I1265" i="23"/>
  <c r="J1265" i="23"/>
  <c r="N746" i="12"/>
  <c r="M1266" i="23"/>
  <c r="I1266" i="23"/>
  <c r="J1266" i="23"/>
  <c r="N747" i="12"/>
  <c r="M1267" i="23"/>
  <c r="I1267" i="23"/>
  <c r="J1267" i="23"/>
  <c r="N748" i="12"/>
  <c r="M1268" i="23"/>
  <c r="I1268" i="23"/>
  <c r="J1268" i="23"/>
  <c r="N749" i="12"/>
  <c r="M1269" i="23"/>
  <c r="I1269" i="23"/>
  <c r="J1269" i="23"/>
  <c r="N750" i="12"/>
  <c r="M1270" i="23"/>
  <c r="I1270" i="23"/>
  <c r="J1270" i="23"/>
  <c r="N751" i="12"/>
  <c r="M1271" i="23"/>
  <c r="I1271" i="23"/>
  <c r="J1271" i="23"/>
  <c r="N752" i="12"/>
  <c r="I1273" i="23"/>
  <c r="J1273" i="23"/>
  <c r="N754" i="12"/>
  <c r="M1275" i="23"/>
  <c r="I1275" i="23"/>
  <c r="M1276" i="23"/>
  <c r="I1276" i="23"/>
  <c r="J1274" i="23"/>
  <c r="N755" i="12"/>
  <c r="I1277" i="23"/>
  <c r="J1277" i="23"/>
  <c r="N756" i="12"/>
  <c r="M1278" i="23"/>
  <c r="I1278" i="23"/>
  <c r="J1278" i="23"/>
  <c r="N757" i="12"/>
  <c r="L1286" i="23"/>
  <c r="H1286" i="23"/>
  <c r="H1264" i="23"/>
  <c r="D1264" i="23"/>
  <c r="E1264" i="23"/>
  <c r="J745" i="12"/>
  <c r="H1265" i="23"/>
  <c r="D1265" i="23"/>
  <c r="E1265" i="23"/>
  <c r="J746" i="12"/>
  <c r="H1266" i="23"/>
  <c r="D1266" i="23"/>
  <c r="E1266" i="23"/>
  <c r="J747" i="12"/>
  <c r="B493" i="9"/>
  <c r="H1267" i="23"/>
  <c r="D1267" i="23"/>
  <c r="E1267" i="23"/>
  <c r="J748" i="12"/>
  <c r="H1268" i="23"/>
  <c r="D1268" i="23"/>
  <c r="E1268" i="23"/>
  <c r="J749" i="12"/>
  <c r="H1269" i="23"/>
  <c r="D1269" i="23"/>
  <c r="E1269" i="23"/>
  <c r="J750" i="12"/>
  <c r="H1270" i="23"/>
  <c r="D1270" i="23"/>
  <c r="E1270" i="23"/>
  <c r="J751" i="12"/>
  <c r="H1271" i="23"/>
  <c r="D1271" i="23"/>
  <c r="E1271" i="23"/>
  <c r="J752" i="12"/>
  <c r="D1273" i="23"/>
  <c r="E1273" i="23"/>
  <c r="J754" i="12"/>
  <c r="H1275" i="23"/>
  <c r="D1275" i="23"/>
  <c r="H1276" i="23"/>
  <c r="D1276" i="23"/>
  <c r="E1274" i="23"/>
  <c r="J755" i="12"/>
  <c r="D1277" i="23"/>
  <c r="E1277" i="23"/>
  <c r="J756" i="12"/>
  <c r="H1278" i="23"/>
  <c r="D1278" i="23"/>
  <c r="E1278" i="23"/>
  <c r="J757" i="12"/>
  <c r="G1286" i="23"/>
  <c r="E1286" i="23"/>
  <c r="F1310" i="23"/>
  <c r="K1310" i="23"/>
  <c r="O1310" i="23"/>
  <c r="P1310" i="23"/>
  <c r="I1310" i="23"/>
  <c r="O1286" i="23"/>
  <c r="J1286" i="23"/>
  <c r="K765" i="12"/>
  <c r="N765" i="12"/>
  <c r="O765" i="12"/>
  <c r="R765" i="12"/>
  <c r="S765" i="12"/>
  <c r="AA765" i="12"/>
  <c r="AD765" i="12"/>
  <c r="AG765" i="12"/>
  <c r="R1252" i="23"/>
  <c r="M1252" i="23"/>
  <c r="H1252" i="23"/>
  <c r="N1286" i="23"/>
  <c r="K1286" i="23"/>
  <c r="Q765" i="12"/>
  <c r="I1286" i="23"/>
  <c r="AG690" i="12"/>
  <c r="AD690" i="12"/>
  <c r="AA690" i="12"/>
  <c r="S690" i="12"/>
  <c r="O690" i="12"/>
  <c r="K690" i="12"/>
  <c r="H690" i="12"/>
  <c r="T7" i="21"/>
  <c r="T8" i="21"/>
  <c r="T9" i="21"/>
  <c r="T10" i="21"/>
  <c r="T11" i="21"/>
  <c r="T12" i="21"/>
  <c r="T13" i="21"/>
  <c r="E171" i="21"/>
  <c r="T14" i="21"/>
  <c r="T15" i="21"/>
  <c r="T16" i="21"/>
  <c r="T17" i="21"/>
  <c r="T18" i="21"/>
  <c r="E262" i="21"/>
  <c r="T19" i="21"/>
  <c r="T20" i="21"/>
  <c r="T21" i="21"/>
  <c r="T22" i="21"/>
  <c r="E259" i="21"/>
  <c r="T23" i="21"/>
  <c r="T6" i="21"/>
  <c r="O359" i="9"/>
  <c r="E363" i="9"/>
  <c r="P359" i="9"/>
  <c r="S369" i="9"/>
  <c r="O369" i="9"/>
  <c r="A371" i="9"/>
  <c r="C371" i="9"/>
  <c r="X369" i="9"/>
  <c r="H996" i="23"/>
  <c r="H1014" i="23"/>
  <c r="H1016" i="23"/>
  <c r="H1020" i="23"/>
  <c r="H1025" i="23"/>
  <c r="B1025" i="23"/>
  <c r="C1025" i="23"/>
  <c r="D1025" i="23"/>
  <c r="E1025" i="23"/>
  <c r="T25" i="21"/>
  <c r="T26" i="21"/>
  <c r="T27" i="21"/>
  <c r="T28" i="21"/>
  <c r="T29" i="21"/>
  <c r="T30" i="21"/>
  <c r="E84" i="21"/>
  <c r="T31" i="21"/>
  <c r="E85" i="21"/>
  <c r="T32" i="21"/>
  <c r="T33" i="21"/>
  <c r="T34" i="21"/>
  <c r="T35" i="21"/>
  <c r="T36" i="21"/>
  <c r="T37" i="21"/>
  <c r="T38" i="21"/>
  <c r="E176" i="21"/>
  <c r="T39" i="21"/>
  <c r="T40" i="21"/>
  <c r="T41" i="21"/>
  <c r="T42" i="21"/>
  <c r="T47" i="21"/>
  <c r="T24" i="21"/>
  <c r="S359" i="9"/>
  <c r="T359" i="9"/>
  <c r="P369" i="9"/>
  <c r="A394" i="9"/>
  <c r="C394" i="9"/>
  <c r="AA369" i="9"/>
  <c r="H1026" i="23"/>
  <c r="B1026" i="23"/>
  <c r="C1026" i="23"/>
  <c r="D1026" i="23"/>
  <c r="E1026" i="23"/>
  <c r="C1027" i="23"/>
  <c r="D1027" i="23"/>
  <c r="E1027" i="23"/>
  <c r="E1024" i="23"/>
  <c r="E1023" i="23"/>
  <c r="Y369" i="9"/>
  <c r="C363" i="9"/>
  <c r="M996" i="23"/>
  <c r="M1014" i="23"/>
  <c r="M1016" i="23"/>
  <c r="M1020" i="23"/>
  <c r="M1025" i="23"/>
  <c r="I1025" i="23"/>
  <c r="J1025" i="23"/>
  <c r="AB369" i="9"/>
  <c r="M1026" i="23"/>
  <c r="I1026" i="23"/>
  <c r="J1026" i="23"/>
  <c r="I1027" i="23"/>
  <c r="J1027" i="23"/>
  <c r="J1024" i="23"/>
  <c r="K1025" i="23"/>
  <c r="K1026" i="23"/>
  <c r="K1027" i="23"/>
  <c r="K1024" i="23"/>
  <c r="Z369" i="9"/>
  <c r="D363" i="9"/>
  <c r="R996" i="23"/>
  <c r="R1014" i="23"/>
  <c r="R1016" i="23"/>
  <c r="R1020" i="23"/>
  <c r="R1025" i="23"/>
  <c r="N1025" i="23"/>
  <c r="O1025" i="23"/>
  <c r="AC369" i="9"/>
  <c r="R1026" i="23"/>
  <c r="N1026" i="23"/>
  <c r="O1026" i="23"/>
  <c r="N1027" i="23"/>
  <c r="O1027" i="23"/>
  <c r="O1024" i="23"/>
  <c r="P1025" i="23"/>
  <c r="P1026" i="23"/>
  <c r="P1027" i="23"/>
  <c r="P1024" i="23"/>
  <c r="R994" i="23"/>
  <c r="B994" i="23"/>
  <c r="C994" i="23"/>
  <c r="N994" i="23"/>
  <c r="O994" i="23"/>
  <c r="R678" i="12"/>
  <c r="AE171" i="9"/>
  <c r="D420" i="9"/>
  <c r="AA204" i="9"/>
  <c r="Y204" i="9"/>
  <c r="Z204" i="9"/>
  <c r="E115" i="21"/>
  <c r="AB204" i="9"/>
  <c r="AE204" i="9"/>
  <c r="D421" i="9"/>
  <c r="AA235" i="9"/>
  <c r="E141" i="21"/>
  <c r="AB235" i="9"/>
  <c r="AE235" i="9"/>
  <c r="D422" i="9"/>
  <c r="AA250" i="9"/>
  <c r="Y250" i="9"/>
  <c r="Z250" i="9"/>
  <c r="E156" i="21"/>
  <c r="AB250" i="9"/>
  <c r="AE250" i="9"/>
  <c r="D423" i="9"/>
  <c r="AA267" i="9"/>
  <c r="Y267" i="9"/>
  <c r="Z267" i="9"/>
  <c r="E177" i="21"/>
  <c r="AB267" i="9"/>
  <c r="AE267" i="9"/>
  <c r="D424" i="9"/>
  <c r="E197" i="21"/>
  <c r="AB301" i="9"/>
  <c r="AE293" i="9"/>
  <c r="AE301" i="9"/>
  <c r="D425" i="9"/>
  <c r="AA313" i="9"/>
  <c r="Y313" i="9"/>
  <c r="Z313" i="9"/>
  <c r="E209" i="21"/>
  <c r="AB313" i="9"/>
  <c r="AE313" i="9"/>
  <c r="D426" i="9"/>
  <c r="AA328" i="9"/>
  <c r="Y328" i="9"/>
  <c r="Z328" i="9"/>
  <c r="E225" i="21"/>
  <c r="AB328" i="9"/>
  <c r="AE328" i="9"/>
  <c r="D427" i="9"/>
  <c r="D428" i="9"/>
  <c r="R1013" i="23"/>
  <c r="B1013" i="23"/>
  <c r="C1013" i="23"/>
  <c r="N1013" i="23"/>
  <c r="AE104" i="9"/>
  <c r="AE105" i="9"/>
  <c r="D399" i="9"/>
  <c r="R997" i="23"/>
  <c r="B997" i="23"/>
  <c r="C997" i="23"/>
  <c r="N997" i="23"/>
  <c r="AE160" i="9"/>
  <c r="D400" i="9"/>
  <c r="R998" i="23"/>
  <c r="B998" i="23"/>
  <c r="C998" i="23"/>
  <c r="N998" i="23"/>
  <c r="AE169" i="9"/>
  <c r="D401" i="9"/>
  <c r="R999" i="23"/>
  <c r="B999" i="23"/>
  <c r="C999" i="23"/>
  <c r="N999" i="23"/>
  <c r="AE172" i="9"/>
  <c r="D402" i="9"/>
  <c r="R1000" i="23"/>
  <c r="B1000" i="23"/>
  <c r="C1000" i="23"/>
  <c r="N1000" i="23"/>
  <c r="AA173" i="9"/>
  <c r="AB173" i="9"/>
  <c r="AE173" i="9"/>
  <c r="D403" i="9"/>
  <c r="R1001" i="23"/>
  <c r="B1001" i="23"/>
  <c r="C1001" i="23"/>
  <c r="N1001" i="23"/>
  <c r="AA174" i="9"/>
  <c r="AB174" i="9"/>
  <c r="AE174" i="9"/>
  <c r="D404" i="9"/>
  <c r="R1002" i="23"/>
  <c r="B1002" i="23"/>
  <c r="C1002" i="23"/>
  <c r="N1002" i="23"/>
  <c r="AE203" i="9"/>
  <c r="D405" i="9"/>
  <c r="R1003" i="23"/>
  <c r="B1003" i="23"/>
  <c r="C1003" i="23"/>
  <c r="N1003" i="23"/>
  <c r="AE234" i="9"/>
  <c r="D406" i="9"/>
  <c r="R1004" i="23"/>
  <c r="B1004" i="23"/>
  <c r="C1004" i="23"/>
  <c r="N1004" i="23"/>
  <c r="AE248" i="9"/>
  <c r="D407" i="9"/>
  <c r="R1005" i="23"/>
  <c r="B1005" i="23"/>
  <c r="C1005" i="23"/>
  <c r="N1005" i="23"/>
  <c r="AE249" i="9"/>
  <c r="D408" i="9"/>
  <c r="R1006" i="23"/>
  <c r="B1006" i="23"/>
  <c r="C1006" i="23"/>
  <c r="N1006" i="23"/>
  <c r="AE265" i="9"/>
  <c r="D409" i="9"/>
  <c r="R1007" i="23"/>
  <c r="B1007" i="23"/>
  <c r="C1007" i="23"/>
  <c r="N1007" i="23"/>
  <c r="AE271" i="9"/>
  <c r="D410" i="9"/>
  <c r="R1008" i="23"/>
  <c r="B1008" i="23"/>
  <c r="C1008" i="23"/>
  <c r="N1008" i="23"/>
  <c r="AB268" i="9"/>
  <c r="AE268" i="9"/>
  <c r="D411" i="9"/>
  <c r="R1009" i="23"/>
  <c r="B1009" i="23"/>
  <c r="C1009" i="23"/>
  <c r="N1009" i="23"/>
  <c r="AE300" i="9"/>
  <c r="D412" i="9"/>
  <c r="R1010" i="23"/>
  <c r="B1010" i="23"/>
  <c r="C1010" i="23"/>
  <c r="N1010" i="23"/>
  <c r="AE312" i="9"/>
  <c r="D413" i="9"/>
  <c r="R1011" i="23"/>
  <c r="B1011" i="23"/>
  <c r="C1011" i="23"/>
  <c r="N1011" i="23"/>
  <c r="AE327" i="9"/>
  <c r="D414" i="9"/>
  <c r="R1012" i="23"/>
  <c r="B1012" i="23"/>
  <c r="C1012" i="23"/>
  <c r="N1012" i="23"/>
  <c r="B996" i="23"/>
  <c r="C996" i="23"/>
  <c r="N996" i="23"/>
  <c r="O995" i="23"/>
  <c r="R679" i="12"/>
  <c r="B1014" i="23"/>
  <c r="C1014" i="23"/>
  <c r="N1014" i="23"/>
  <c r="O1014" i="23"/>
  <c r="R680" i="12"/>
  <c r="B1016" i="23"/>
  <c r="C1016" i="23"/>
  <c r="N1016" i="23"/>
  <c r="Q1016" i="23"/>
  <c r="O1016" i="23"/>
  <c r="R1017" i="23"/>
  <c r="C1017" i="23"/>
  <c r="N1017" i="23"/>
  <c r="C364" i="9"/>
  <c r="Q1017" i="23"/>
  <c r="O1017" i="23"/>
  <c r="R1018" i="23"/>
  <c r="C1018" i="23"/>
  <c r="N1018" i="23"/>
  <c r="W359" i="9"/>
  <c r="X359" i="9"/>
  <c r="Q369" i="9"/>
  <c r="A418" i="9"/>
  <c r="C418" i="9"/>
  <c r="C365" i="9"/>
  <c r="Q1018" i="23"/>
  <c r="O1018" i="23"/>
  <c r="O1015" i="23"/>
  <c r="R681" i="12"/>
  <c r="B1020" i="23"/>
  <c r="C1020" i="23"/>
  <c r="N1020" i="23"/>
  <c r="O1020" i="23"/>
  <c r="R1021" i="23"/>
  <c r="B1021" i="23"/>
  <c r="C1021" i="23"/>
  <c r="N1021" i="23"/>
  <c r="O1021" i="23"/>
  <c r="R1022" i="23"/>
  <c r="C1022" i="23"/>
  <c r="N1022" i="23"/>
  <c r="O1022" i="23"/>
  <c r="O1019" i="23"/>
  <c r="R682" i="12"/>
  <c r="O1023" i="23"/>
  <c r="R683" i="12"/>
  <c r="R1028" i="23"/>
  <c r="C1028" i="23"/>
  <c r="N1028" i="23"/>
  <c r="O1028" i="23"/>
  <c r="R684" i="12"/>
  <c r="R1029" i="23"/>
  <c r="C1029" i="23"/>
  <c r="N1029" i="23"/>
  <c r="O1029" i="23"/>
  <c r="R685" i="12"/>
  <c r="R1031" i="23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B1031" i="23"/>
  <c r="C1031" i="23"/>
  <c r="N1031" i="23"/>
  <c r="O1031" i="23"/>
  <c r="D364" i="9"/>
  <c r="R1032" i="23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7" i="21"/>
  <c r="B1032" i="23"/>
  <c r="C1032" i="23"/>
  <c r="N1032" i="23"/>
  <c r="O1032" i="23"/>
  <c r="O1030" i="23"/>
  <c r="R686" i="12"/>
  <c r="R357" i="23"/>
  <c r="R1036" i="23"/>
  <c r="C1036" i="23"/>
  <c r="N1036" i="23"/>
  <c r="O1036" i="23"/>
  <c r="R687" i="12"/>
  <c r="R1039" i="23"/>
  <c r="O1039" i="23"/>
  <c r="R690" i="12"/>
  <c r="M994" i="23"/>
  <c r="I994" i="23"/>
  <c r="J994" i="23"/>
  <c r="N678" i="12"/>
  <c r="C420" i="9"/>
  <c r="AD204" i="9"/>
  <c r="C421" i="9"/>
  <c r="AD235" i="9"/>
  <c r="C422" i="9"/>
  <c r="AD250" i="9"/>
  <c r="C423" i="9"/>
  <c r="AD267" i="9"/>
  <c r="C424" i="9"/>
  <c r="AD301" i="9"/>
  <c r="C425" i="9"/>
  <c r="AD313" i="9"/>
  <c r="C426" i="9"/>
  <c r="AD328" i="9"/>
  <c r="C427" i="9"/>
  <c r="C428" i="9"/>
  <c r="M1013" i="23"/>
  <c r="I1013" i="23"/>
  <c r="C399" i="9"/>
  <c r="M997" i="23"/>
  <c r="I997" i="23"/>
  <c r="C400" i="9"/>
  <c r="M998" i="23"/>
  <c r="I998" i="23"/>
  <c r="M999" i="23"/>
  <c r="I999" i="23"/>
  <c r="M1000" i="23"/>
  <c r="I1000" i="23"/>
  <c r="AD173" i="9"/>
  <c r="C403" i="9"/>
  <c r="M1001" i="23"/>
  <c r="I1001" i="23"/>
  <c r="AD174" i="9"/>
  <c r="C404" i="9"/>
  <c r="M1002" i="23"/>
  <c r="I1002" i="23"/>
  <c r="C405" i="9"/>
  <c r="M1003" i="23"/>
  <c r="I1003" i="23"/>
  <c r="AD234" i="9"/>
  <c r="C406" i="9"/>
  <c r="M1004" i="23"/>
  <c r="I1004" i="23"/>
  <c r="AD248" i="9"/>
  <c r="C407" i="9"/>
  <c r="M1005" i="23"/>
  <c r="I1005" i="23"/>
  <c r="AD249" i="9"/>
  <c r="C408" i="9"/>
  <c r="M1006" i="23"/>
  <c r="I1006" i="23"/>
  <c r="AD265" i="9"/>
  <c r="C409" i="9"/>
  <c r="M1007" i="23"/>
  <c r="I1007" i="23"/>
  <c r="AD271" i="9"/>
  <c r="C410" i="9"/>
  <c r="M1008" i="23"/>
  <c r="I1008" i="23"/>
  <c r="AD268" i="9"/>
  <c r="C411" i="9"/>
  <c r="M1009" i="23"/>
  <c r="I1009" i="23"/>
  <c r="C412" i="9"/>
  <c r="M1010" i="23"/>
  <c r="I1010" i="23"/>
  <c r="C413" i="9"/>
  <c r="M1011" i="23"/>
  <c r="I1011" i="23"/>
  <c r="M1012" i="23"/>
  <c r="I1012" i="23"/>
  <c r="I996" i="23"/>
  <c r="J995" i="23"/>
  <c r="N679" i="12"/>
  <c r="I1014" i="23"/>
  <c r="J1014" i="23"/>
  <c r="N680" i="12"/>
  <c r="I1016" i="23"/>
  <c r="L1016" i="23"/>
  <c r="J1016" i="23"/>
  <c r="M1017" i="23"/>
  <c r="I1017" i="23"/>
  <c r="L1017" i="23"/>
  <c r="J1017" i="23"/>
  <c r="M1018" i="23"/>
  <c r="I1018" i="23"/>
  <c r="L1018" i="23"/>
  <c r="J1018" i="23"/>
  <c r="J1015" i="23"/>
  <c r="N681" i="12"/>
  <c r="I1020" i="23"/>
  <c r="L1020" i="23"/>
  <c r="J1020" i="23"/>
  <c r="M1021" i="23"/>
  <c r="I1021" i="23"/>
  <c r="L1021" i="23"/>
  <c r="J1021" i="23"/>
  <c r="M1022" i="23"/>
  <c r="I1022" i="23"/>
  <c r="L1022" i="23"/>
  <c r="J1022" i="23"/>
  <c r="J1019" i="23"/>
  <c r="N682" i="12"/>
  <c r="J1023" i="23"/>
  <c r="N683" i="12"/>
  <c r="M1028" i="23"/>
  <c r="I1028" i="23"/>
  <c r="J1028" i="23"/>
  <c r="N684" i="12"/>
  <c r="M1029" i="23"/>
  <c r="I1029" i="23"/>
  <c r="J1029" i="23"/>
  <c r="N685" i="12"/>
  <c r="M1031" i="23"/>
  <c r="I1031" i="23"/>
  <c r="J1031" i="23"/>
  <c r="M1032" i="23"/>
  <c r="I1032" i="23"/>
  <c r="J1032" i="23"/>
  <c r="M1033" i="23"/>
  <c r="S49" i="21"/>
  <c r="S50" i="21"/>
  <c r="S51" i="21"/>
  <c r="S52" i="21"/>
  <c r="S53" i="21"/>
  <c r="S54" i="21"/>
  <c r="S55" i="21"/>
  <c r="S56" i="21"/>
  <c r="S57" i="21"/>
  <c r="B1033" i="23"/>
  <c r="C1033" i="23"/>
  <c r="I1033" i="23"/>
  <c r="J1033" i="23"/>
  <c r="J1030" i="23"/>
  <c r="N686" i="12"/>
  <c r="M1036" i="23"/>
  <c r="I1036" i="23"/>
  <c r="J1036" i="23"/>
  <c r="N687" i="12"/>
  <c r="M1039" i="23"/>
  <c r="J1039" i="23"/>
  <c r="N690" i="12"/>
  <c r="N1039" i="23"/>
  <c r="H1039" i="23"/>
  <c r="D479" i="9"/>
  <c r="R965" i="23"/>
  <c r="N965" i="23"/>
  <c r="O965" i="23"/>
  <c r="R649" i="12"/>
  <c r="D476" i="9"/>
  <c r="D480" i="9"/>
  <c r="R966" i="23"/>
  <c r="N966" i="23"/>
  <c r="O966" i="23"/>
  <c r="R650" i="12"/>
  <c r="K20" i="9"/>
  <c r="K18" i="9"/>
  <c r="K19" i="9"/>
  <c r="R967" i="23"/>
  <c r="N967" i="23"/>
  <c r="O967" i="23"/>
  <c r="R651" i="12"/>
  <c r="D482" i="9"/>
  <c r="D478" i="9"/>
  <c r="R968" i="23"/>
  <c r="N968" i="23"/>
  <c r="O968" i="23"/>
  <c r="R652" i="12"/>
  <c r="R969" i="23"/>
  <c r="N969" i="23"/>
  <c r="O969" i="23"/>
  <c r="R653" i="12"/>
  <c r="R970" i="23"/>
  <c r="N970" i="23"/>
  <c r="O970" i="23"/>
  <c r="R654" i="12"/>
  <c r="R971" i="23"/>
  <c r="N971" i="23"/>
  <c r="O971" i="23"/>
  <c r="R655" i="12"/>
  <c r="N972" i="23"/>
  <c r="O972" i="23"/>
  <c r="R656" i="12"/>
  <c r="N973" i="23"/>
  <c r="O973" i="23"/>
  <c r="R657" i="12"/>
  <c r="N974" i="23"/>
  <c r="O974" i="23"/>
  <c r="R658" i="12"/>
  <c r="R976" i="23"/>
  <c r="O976" i="23"/>
  <c r="C479" i="9"/>
  <c r="M965" i="23"/>
  <c r="I965" i="23"/>
  <c r="J965" i="23"/>
  <c r="N649" i="12"/>
  <c r="C476" i="9"/>
  <c r="C480" i="9"/>
  <c r="M966" i="23"/>
  <c r="I966" i="23"/>
  <c r="J966" i="23"/>
  <c r="N650" i="12"/>
  <c r="M967" i="23"/>
  <c r="I967" i="23"/>
  <c r="J967" i="23"/>
  <c r="N651" i="12"/>
  <c r="C482" i="9"/>
  <c r="C478" i="9"/>
  <c r="M969" i="23"/>
  <c r="I969" i="23"/>
  <c r="J969" i="23"/>
  <c r="N653" i="12"/>
  <c r="M970" i="23"/>
  <c r="I970" i="23"/>
  <c r="J970" i="23"/>
  <c r="N654" i="12"/>
  <c r="M971" i="23"/>
  <c r="I971" i="23"/>
  <c r="J971" i="23"/>
  <c r="N655" i="12"/>
  <c r="I972" i="23"/>
  <c r="J972" i="23"/>
  <c r="N656" i="12"/>
  <c r="I973" i="23"/>
  <c r="J973" i="23"/>
  <c r="N657" i="12"/>
  <c r="I974" i="23"/>
  <c r="J974" i="23"/>
  <c r="N658" i="12"/>
  <c r="M976" i="23"/>
  <c r="J976" i="23"/>
  <c r="H976" i="23"/>
  <c r="E976" i="23"/>
  <c r="J660" i="12"/>
  <c r="J648" i="12"/>
  <c r="N976" i="23"/>
  <c r="I976" i="23"/>
  <c r="D118" i="9"/>
  <c r="D119" i="9"/>
  <c r="D120" i="9"/>
  <c r="R933" i="23"/>
  <c r="N933" i="23"/>
  <c r="O933" i="23"/>
  <c r="R617" i="12"/>
  <c r="R934" i="23"/>
  <c r="N934" i="23"/>
  <c r="O934" i="23"/>
  <c r="R618" i="12"/>
  <c r="R935" i="23"/>
  <c r="N935" i="23"/>
  <c r="O935" i="23"/>
  <c r="R619" i="12"/>
  <c r="R936" i="23"/>
  <c r="N936" i="23"/>
  <c r="O936" i="23"/>
  <c r="R620" i="12"/>
  <c r="N937" i="23"/>
  <c r="O937" i="23"/>
  <c r="R621" i="12"/>
  <c r="N938" i="23"/>
  <c r="O938" i="23"/>
  <c r="R622" i="12"/>
  <c r="R939" i="23"/>
  <c r="N939" i="23"/>
  <c r="O939" i="23"/>
  <c r="R623" i="12"/>
  <c r="R940" i="23"/>
  <c r="N940" i="23"/>
  <c r="O940" i="23"/>
  <c r="R624" i="12"/>
  <c r="N941" i="23"/>
  <c r="O941" i="23"/>
  <c r="R625" i="12"/>
  <c r="N942" i="23"/>
  <c r="O942" i="23"/>
  <c r="R626" i="12"/>
  <c r="N943" i="23"/>
  <c r="O943" i="23"/>
  <c r="R627" i="12"/>
  <c r="R944" i="23"/>
  <c r="N944" i="23"/>
  <c r="O944" i="23"/>
  <c r="R628" i="12"/>
  <c r="R945" i="23"/>
  <c r="N945" i="23"/>
  <c r="O945" i="23"/>
  <c r="R629" i="12"/>
  <c r="R947" i="23"/>
  <c r="O947" i="23"/>
  <c r="C118" i="9"/>
  <c r="C119" i="9"/>
  <c r="C120" i="9"/>
  <c r="M933" i="23"/>
  <c r="I933" i="23"/>
  <c r="J933" i="23"/>
  <c r="N617" i="12"/>
  <c r="M934" i="23"/>
  <c r="I934" i="23"/>
  <c r="J934" i="23"/>
  <c r="N618" i="12"/>
  <c r="M935" i="23"/>
  <c r="I935" i="23"/>
  <c r="J935" i="23"/>
  <c r="N619" i="12"/>
  <c r="M936" i="23"/>
  <c r="I936" i="23"/>
  <c r="J936" i="23"/>
  <c r="N620" i="12"/>
  <c r="I937" i="23"/>
  <c r="J937" i="23"/>
  <c r="N621" i="12"/>
  <c r="I938" i="23"/>
  <c r="J938" i="23"/>
  <c r="N622" i="12"/>
  <c r="M939" i="23"/>
  <c r="I939" i="23"/>
  <c r="J939" i="23"/>
  <c r="N623" i="12"/>
  <c r="M940" i="23"/>
  <c r="I940" i="23"/>
  <c r="J940" i="23"/>
  <c r="N624" i="12"/>
  <c r="I941" i="23"/>
  <c r="J941" i="23"/>
  <c r="N625" i="12"/>
  <c r="I942" i="23"/>
  <c r="J942" i="23"/>
  <c r="N626" i="12"/>
  <c r="I943" i="23"/>
  <c r="J943" i="23"/>
  <c r="N627" i="12"/>
  <c r="M944" i="23"/>
  <c r="I944" i="23"/>
  <c r="J944" i="23"/>
  <c r="N628" i="12"/>
  <c r="M945" i="23"/>
  <c r="I945" i="23"/>
  <c r="J945" i="23"/>
  <c r="N629" i="12"/>
  <c r="M947" i="23"/>
  <c r="J947" i="23"/>
  <c r="H947" i="23"/>
  <c r="E947" i="23"/>
  <c r="J631" i="12"/>
  <c r="J616" i="12"/>
  <c r="N947" i="23"/>
  <c r="C949" i="23"/>
  <c r="D949" i="23"/>
  <c r="F949" i="23"/>
  <c r="I949" i="23"/>
  <c r="J949" i="23"/>
  <c r="K949" i="23"/>
  <c r="N949" i="23"/>
  <c r="O949" i="23"/>
  <c r="P933" i="23"/>
  <c r="P934" i="23"/>
  <c r="P935" i="23"/>
  <c r="P936" i="23"/>
  <c r="P937" i="23"/>
  <c r="P938" i="23"/>
  <c r="P939" i="23"/>
  <c r="P940" i="23"/>
  <c r="P941" i="23"/>
  <c r="P942" i="23"/>
  <c r="P943" i="23"/>
  <c r="P949" i="23"/>
  <c r="R904" i="23"/>
  <c r="N904" i="23"/>
  <c r="M904" i="23"/>
  <c r="I904" i="23"/>
  <c r="H904" i="23"/>
  <c r="R742" i="23"/>
  <c r="N742" i="23"/>
  <c r="M742" i="23"/>
  <c r="H742" i="23"/>
  <c r="R514" i="23"/>
  <c r="N514" i="23"/>
  <c r="M514" i="23"/>
  <c r="H514" i="23"/>
  <c r="R388" i="23"/>
  <c r="N388" i="23"/>
  <c r="M388" i="23"/>
  <c r="I388" i="23"/>
  <c r="H388" i="23"/>
  <c r="R225" i="23"/>
  <c r="D68" i="9"/>
  <c r="N225" i="23"/>
  <c r="S65" i="9"/>
  <c r="R226" i="23"/>
  <c r="N226" i="23"/>
  <c r="R227" i="23"/>
  <c r="N227" i="23"/>
  <c r="R228" i="23"/>
  <c r="N228" i="23"/>
  <c r="R229" i="23"/>
  <c r="N229" i="23"/>
  <c r="R230" i="23"/>
  <c r="N230" i="23"/>
  <c r="R231" i="23"/>
  <c r="N231" i="23"/>
  <c r="R232" i="23"/>
  <c r="D61" i="9"/>
  <c r="N232" i="23"/>
  <c r="O224" i="23"/>
  <c r="R168" i="12"/>
  <c r="O233" i="23"/>
  <c r="R169" i="12"/>
  <c r="N234" i="23"/>
  <c r="O234" i="23"/>
  <c r="R170" i="12"/>
  <c r="R236" i="23"/>
  <c r="N236" i="23"/>
  <c r="R237" i="23"/>
  <c r="N237" i="23"/>
  <c r="R238" i="23"/>
  <c r="N238" i="23"/>
  <c r="R239" i="23"/>
  <c r="N239" i="23"/>
  <c r="R240" i="23"/>
  <c r="N240" i="23"/>
  <c r="R241" i="23"/>
  <c r="N241" i="23"/>
  <c r="R242" i="23"/>
  <c r="N242" i="23"/>
  <c r="R243" i="23"/>
  <c r="N243" i="23"/>
  <c r="O235" i="23"/>
  <c r="R171" i="12"/>
  <c r="R245" i="23"/>
  <c r="N245" i="23"/>
  <c r="R246" i="23"/>
  <c r="N246" i="23"/>
  <c r="R247" i="23"/>
  <c r="N247" i="23"/>
  <c r="R248" i="23"/>
  <c r="N248" i="23"/>
  <c r="R249" i="23"/>
  <c r="N249" i="23"/>
  <c r="R250" i="23"/>
  <c r="N250" i="23"/>
  <c r="R251" i="23"/>
  <c r="N251" i="23"/>
  <c r="R252" i="23"/>
  <c r="N252" i="23"/>
  <c r="O244" i="23"/>
  <c r="R172" i="12"/>
  <c r="R253" i="23"/>
  <c r="N253" i="23"/>
  <c r="O253" i="23"/>
  <c r="R173" i="12"/>
  <c r="R255" i="23"/>
  <c r="N255" i="23"/>
  <c r="R256" i="23"/>
  <c r="N256" i="23"/>
  <c r="R257" i="23"/>
  <c r="N257" i="23"/>
  <c r="R258" i="23"/>
  <c r="N258" i="23"/>
  <c r="R259" i="23"/>
  <c r="N259" i="23"/>
  <c r="R260" i="23"/>
  <c r="N260" i="23"/>
  <c r="R261" i="23"/>
  <c r="N261" i="23"/>
  <c r="R262" i="23"/>
  <c r="N262" i="23"/>
  <c r="R264" i="23"/>
  <c r="N264" i="23"/>
  <c r="R265" i="23"/>
  <c r="P78" i="9"/>
  <c r="O79" i="9"/>
  <c r="R78" i="9"/>
  <c r="O80" i="9"/>
  <c r="O78" i="9"/>
  <c r="Q78" i="9"/>
  <c r="D70" i="9"/>
  <c r="N265" i="23"/>
  <c r="R266" i="23"/>
  <c r="N266" i="23"/>
  <c r="R267" i="23"/>
  <c r="N267" i="23"/>
  <c r="O254" i="23"/>
  <c r="R174" i="12"/>
  <c r="O264" i="23"/>
  <c r="O265" i="23"/>
  <c r="O263" i="23"/>
  <c r="R175" i="12"/>
  <c r="O266" i="23"/>
  <c r="R176" i="12"/>
  <c r="O267" i="23"/>
  <c r="R177" i="12"/>
  <c r="N268" i="23"/>
  <c r="O268" i="23"/>
  <c r="R178" i="12"/>
  <c r="R269" i="23"/>
  <c r="N269" i="23"/>
  <c r="O269" i="23"/>
  <c r="R179" i="12"/>
  <c r="R270" i="23"/>
  <c r="N270" i="23"/>
  <c r="O270" i="23"/>
  <c r="R180" i="12"/>
  <c r="R282" i="23"/>
  <c r="N281" i="23"/>
  <c r="O281" i="23"/>
  <c r="R181" i="12"/>
  <c r="N282" i="23"/>
  <c r="O282" i="23"/>
  <c r="R182" i="12"/>
  <c r="R283" i="23"/>
  <c r="N283" i="23"/>
  <c r="O283" i="23"/>
  <c r="R183" i="12"/>
  <c r="N284" i="23"/>
  <c r="O284" i="23"/>
  <c r="R184" i="12"/>
  <c r="R285" i="23"/>
  <c r="O285" i="23"/>
  <c r="M285" i="23"/>
  <c r="J285" i="23"/>
  <c r="N185" i="12"/>
  <c r="N167" i="12"/>
  <c r="E285" i="23"/>
  <c r="J185" i="12"/>
  <c r="J167" i="12"/>
  <c r="N285" i="23"/>
  <c r="R157" i="23"/>
  <c r="N157" i="23"/>
  <c r="O157" i="23"/>
  <c r="K21" i="9"/>
  <c r="R158" i="23"/>
  <c r="N158" i="23"/>
  <c r="O158" i="23"/>
  <c r="O156" i="23"/>
  <c r="R127" i="12"/>
  <c r="R160" i="23"/>
  <c r="N160" i="23"/>
  <c r="R161" i="23"/>
  <c r="N161" i="23"/>
  <c r="R162" i="23"/>
  <c r="N162" i="23"/>
  <c r="R163" i="23"/>
  <c r="N163" i="23"/>
  <c r="N164" i="23"/>
  <c r="N159" i="23"/>
  <c r="O159" i="23"/>
  <c r="R128" i="12"/>
  <c r="O164" i="23"/>
  <c r="R129" i="12"/>
  <c r="R166" i="23"/>
  <c r="N166" i="23"/>
  <c r="O166" i="23"/>
  <c r="R167" i="23"/>
  <c r="N167" i="23"/>
  <c r="O167" i="23"/>
  <c r="O165" i="23"/>
  <c r="R130" i="12"/>
  <c r="R168" i="23"/>
  <c r="N168" i="23"/>
  <c r="O168" i="23"/>
  <c r="R131" i="12"/>
  <c r="R170" i="23"/>
  <c r="N170" i="23"/>
  <c r="O170" i="23"/>
  <c r="R171" i="23"/>
  <c r="N171" i="23"/>
  <c r="O171" i="23"/>
  <c r="O169" i="23"/>
  <c r="R132" i="12"/>
  <c r="R172" i="23"/>
  <c r="N172" i="23"/>
  <c r="O172" i="23"/>
  <c r="R133" i="12"/>
  <c r="AE42" i="9"/>
  <c r="AE43" i="9"/>
  <c r="R174" i="23"/>
  <c r="N174" i="23"/>
  <c r="AE44" i="9"/>
  <c r="R175" i="23"/>
  <c r="N175" i="23"/>
  <c r="AE45" i="9"/>
  <c r="R176" i="23"/>
  <c r="N176" i="23"/>
  <c r="AE46" i="9"/>
  <c r="R177" i="23"/>
  <c r="N177" i="23"/>
  <c r="AE47" i="9"/>
  <c r="R178" i="23"/>
  <c r="N178" i="23"/>
  <c r="N173" i="23"/>
  <c r="O173" i="23"/>
  <c r="R134" i="12"/>
  <c r="AE51" i="9"/>
  <c r="R180" i="23"/>
  <c r="N180" i="23"/>
  <c r="AE52" i="9"/>
  <c r="R181" i="23"/>
  <c r="N181" i="23"/>
  <c r="AE53" i="9"/>
  <c r="R182" i="23"/>
  <c r="N182" i="23"/>
  <c r="AE54" i="9"/>
  <c r="R183" i="23"/>
  <c r="N183" i="23"/>
  <c r="AE55" i="9"/>
  <c r="R184" i="23"/>
  <c r="N184" i="23"/>
  <c r="N179" i="23"/>
  <c r="O179" i="23"/>
  <c r="R135" i="12"/>
  <c r="AE59" i="9"/>
  <c r="R186" i="23"/>
  <c r="N186" i="23"/>
  <c r="AE60" i="9"/>
  <c r="R187" i="23"/>
  <c r="N187" i="23"/>
  <c r="AE61" i="9"/>
  <c r="R188" i="23"/>
  <c r="N188" i="23"/>
  <c r="AE62" i="9"/>
  <c r="R189" i="23"/>
  <c r="N189" i="23"/>
  <c r="AE63" i="9"/>
  <c r="R190" i="23"/>
  <c r="N190" i="23"/>
  <c r="N185" i="23"/>
  <c r="O185" i="23"/>
  <c r="R136" i="12"/>
  <c r="R179" i="23"/>
  <c r="R191" i="23"/>
  <c r="N191" i="23"/>
  <c r="O191" i="23"/>
  <c r="R137" i="12"/>
  <c r="R192" i="23"/>
  <c r="N192" i="23"/>
  <c r="O192" i="23"/>
  <c r="R138" i="12"/>
  <c r="R194" i="23"/>
  <c r="N194" i="23"/>
  <c r="R195" i="23"/>
  <c r="N195" i="23"/>
  <c r="O193" i="23"/>
  <c r="R139" i="12"/>
  <c r="N196" i="23"/>
  <c r="O196" i="23"/>
  <c r="R140" i="12"/>
  <c r="AE67" i="9"/>
  <c r="R197" i="23"/>
  <c r="N197" i="23"/>
  <c r="O197" i="23"/>
  <c r="R141" i="12"/>
  <c r="R198" i="23"/>
  <c r="N198" i="23"/>
  <c r="O198" i="23"/>
  <c r="R142" i="12"/>
  <c r="R199" i="23"/>
  <c r="N199" i="23"/>
  <c r="O199" i="23"/>
  <c r="R143" i="12"/>
  <c r="N200" i="23"/>
  <c r="O200" i="23"/>
  <c r="R144" i="12"/>
  <c r="N201" i="23"/>
  <c r="O201" i="23"/>
  <c r="R145" i="12"/>
  <c r="N202" i="23"/>
  <c r="O202" i="23"/>
  <c r="R146" i="12"/>
  <c r="N203" i="23"/>
  <c r="O203" i="23"/>
  <c r="R147" i="12"/>
  <c r="N204" i="23"/>
  <c r="O204" i="23"/>
  <c r="R148" i="12"/>
  <c r="R205" i="23"/>
  <c r="N205" i="23"/>
  <c r="O205" i="23"/>
  <c r="R149" i="12"/>
  <c r="R207" i="23"/>
  <c r="O207" i="23"/>
  <c r="M207" i="23"/>
  <c r="J207" i="23"/>
  <c r="N151" i="12"/>
  <c r="N126" i="12"/>
  <c r="H207" i="23"/>
  <c r="E207" i="23"/>
  <c r="N207" i="23"/>
  <c r="I207" i="23"/>
  <c r="R57" i="23"/>
  <c r="N57" i="23"/>
  <c r="O57" i="23"/>
  <c r="R58" i="23"/>
  <c r="N58" i="23"/>
  <c r="O58" i="23"/>
  <c r="O56" i="23"/>
  <c r="R46" i="12"/>
  <c r="R59" i="23"/>
  <c r="N59" i="23"/>
  <c r="O59" i="23"/>
  <c r="R47" i="12"/>
  <c r="R60" i="23"/>
  <c r="N60" i="23"/>
  <c r="O60" i="23"/>
  <c r="R48" i="12"/>
  <c r="R62" i="23"/>
  <c r="N62" i="23"/>
  <c r="O62" i="23"/>
  <c r="R63" i="23"/>
  <c r="N63" i="23"/>
  <c r="O63" i="23"/>
  <c r="O61" i="23"/>
  <c r="R49" i="12"/>
  <c r="N64" i="23"/>
  <c r="O64" i="23"/>
  <c r="R50" i="12"/>
  <c r="N65" i="23"/>
  <c r="O65" i="23"/>
  <c r="R51" i="12"/>
  <c r="N66" i="23"/>
  <c r="O66" i="23"/>
  <c r="R52" i="12"/>
  <c r="N67" i="23"/>
  <c r="O67" i="23"/>
  <c r="R53" i="12"/>
  <c r="N68" i="23"/>
  <c r="O68" i="23"/>
  <c r="R54" i="12"/>
  <c r="N69" i="23"/>
  <c r="O69" i="23"/>
  <c r="R55" i="12"/>
  <c r="N70" i="23"/>
  <c r="O70" i="23"/>
  <c r="R56" i="12"/>
  <c r="N71" i="23"/>
  <c r="O71" i="23"/>
  <c r="R57" i="12"/>
  <c r="N72" i="23"/>
  <c r="O72" i="23"/>
  <c r="R58" i="12"/>
  <c r="N73" i="23"/>
  <c r="O73" i="23"/>
  <c r="R59" i="12"/>
  <c r="N74" i="23"/>
  <c r="O74" i="23"/>
  <c r="R60" i="12"/>
  <c r="R76" i="23"/>
  <c r="N76" i="23"/>
  <c r="O76" i="23"/>
  <c r="R77" i="23"/>
  <c r="N77" i="23"/>
  <c r="O77" i="23"/>
  <c r="O75" i="23"/>
  <c r="R61" i="12"/>
  <c r="N78" i="23"/>
  <c r="O78" i="23"/>
  <c r="R62" i="12"/>
  <c r="R79" i="23"/>
  <c r="N79" i="23"/>
  <c r="O79" i="23"/>
  <c r="R63" i="12"/>
  <c r="R81" i="23"/>
  <c r="N81" i="23"/>
  <c r="O81" i="23"/>
  <c r="R82" i="23"/>
  <c r="N82" i="23"/>
  <c r="O82" i="23"/>
  <c r="O80" i="23"/>
  <c r="R64" i="12"/>
  <c r="R84" i="23"/>
  <c r="N84" i="23"/>
  <c r="O84" i="23"/>
  <c r="R85" i="23"/>
  <c r="N85" i="23"/>
  <c r="O85" i="23"/>
  <c r="O83" i="23"/>
  <c r="R65" i="12"/>
  <c r="N86" i="23"/>
  <c r="O86" i="23"/>
  <c r="R66" i="12"/>
  <c r="R87" i="23"/>
  <c r="N87" i="23"/>
  <c r="O87" i="23"/>
  <c r="R67" i="12"/>
  <c r="R88" i="23"/>
  <c r="N88" i="23"/>
  <c r="O88" i="23"/>
  <c r="R68" i="12"/>
  <c r="R89" i="23"/>
  <c r="N89" i="23"/>
  <c r="O89" i="23"/>
  <c r="R69" i="12"/>
  <c r="D31" i="9"/>
  <c r="O90" i="23"/>
  <c r="R70" i="12"/>
  <c r="R71" i="12"/>
  <c r="R93" i="23"/>
  <c r="N93" i="23"/>
  <c r="O93" i="23"/>
  <c r="R94" i="23"/>
  <c r="N94" i="23"/>
  <c r="O94" i="23"/>
  <c r="O92" i="23"/>
  <c r="R72" i="12"/>
  <c r="R96" i="23"/>
  <c r="N96" i="23"/>
  <c r="O96" i="23"/>
  <c r="R97" i="23"/>
  <c r="N97" i="23"/>
  <c r="O97" i="23"/>
  <c r="O95" i="23"/>
  <c r="R73" i="12"/>
  <c r="D32" i="9"/>
  <c r="O98" i="23"/>
  <c r="R74" i="12"/>
  <c r="N99" i="23"/>
  <c r="O99" i="23"/>
  <c r="R75" i="12"/>
  <c r="N100" i="23"/>
  <c r="O100" i="23"/>
  <c r="R76" i="12"/>
  <c r="N101" i="23"/>
  <c r="O101" i="23"/>
  <c r="R77" i="12"/>
  <c r="N102" i="23"/>
  <c r="O102" i="23"/>
  <c r="R78" i="12"/>
  <c r="R103" i="23"/>
  <c r="N103" i="23"/>
  <c r="O103" i="23"/>
  <c r="R79" i="12"/>
  <c r="R105" i="23"/>
  <c r="N105" i="23"/>
  <c r="O105" i="23"/>
  <c r="R106" i="23"/>
  <c r="N106" i="23"/>
  <c r="O106" i="23"/>
  <c r="O104" i="23"/>
  <c r="R80" i="12"/>
  <c r="R107" i="23"/>
  <c r="N107" i="23"/>
  <c r="O107" i="23"/>
  <c r="R81" i="12"/>
  <c r="N108" i="23"/>
  <c r="O108" i="23"/>
  <c r="R82" i="12"/>
  <c r="R109" i="23"/>
  <c r="N109" i="23"/>
  <c r="O109" i="23"/>
  <c r="R83" i="12"/>
  <c r="R110" i="23"/>
  <c r="O110" i="23"/>
  <c r="M110" i="23"/>
  <c r="J110" i="23"/>
  <c r="N84" i="12"/>
  <c r="N44" i="12"/>
  <c r="H110" i="23"/>
  <c r="E110" i="23"/>
  <c r="I110" i="23"/>
  <c r="R16" i="23"/>
  <c r="N16" i="23"/>
  <c r="O16" i="23"/>
  <c r="R17" i="23"/>
  <c r="N17" i="23"/>
  <c r="O17" i="23"/>
  <c r="O15" i="23"/>
  <c r="R15" i="12"/>
  <c r="R18" i="23"/>
  <c r="N18" i="23"/>
  <c r="O18" i="23"/>
  <c r="R16" i="12"/>
  <c r="R19" i="23"/>
  <c r="N19" i="23"/>
  <c r="O19" i="23"/>
  <c r="R17" i="12"/>
  <c r="R21" i="23"/>
  <c r="N21" i="23"/>
  <c r="O21" i="23"/>
  <c r="R22" i="23"/>
  <c r="N22" i="23"/>
  <c r="O22" i="23"/>
  <c r="O20" i="23"/>
  <c r="R18" i="12"/>
  <c r="R24" i="23"/>
  <c r="N24" i="23"/>
  <c r="O24" i="23"/>
  <c r="R25" i="23"/>
  <c r="N25" i="23"/>
  <c r="O25" i="23"/>
  <c r="O23" i="23"/>
  <c r="R19" i="12"/>
  <c r="R26" i="23"/>
  <c r="N26" i="23"/>
  <c r="O26" i="23"/>
  <c r="R20" i="12"/>
  <c r="R28" i="23"/>
  <c r="N28" i="23"/>
  <c r="O28" i="23"/>
  <c r="R29" i="23"/>
  <c r="N29" i="23"/>
  <c r="O29" i="23"/>
  <c r="O27" i="23"/>
  <c r="R21" i="12"/>
  <c r="R30" i="23"/>
  <c r="N30" i="23"/>
  <c r="O30" i="23"/>
  <c r="R22" i="12"/>
  <c r="N31" i="23"/>
  <c r="O31" i="23"/>
  <c r="R23" i="12"/>
  <c r="D14" i="9"/>
  <c r="R33" i="23"/>
  <c r="N33" i="23"/>
  <c r="O33" i="23"/>
  <c r="R34" i="23"/>
  <c r="N34" i="23"/>
  <c r="O34" i="23"/>
  <c r="O32" i="23"/>
  <c r="R24" i="12"/>
  <c r="N35" i="23"/>
  <c r="O35" i="23"/>
  <c r="R25" i="12"/>
  <c r="R36" i="23"/>
  <c r="N36" i="23"/>
  <c r="O36" i="23"/>
  <c r="R26" i="12"/>
  <c r="R40" i="23"/>
  <c r="O40" i="23"/>
  <c r="M40" i="23"/>
  <c r="J40" i="23"/>
  <c r="N30" i="12"/>
  <c r="N14" i="12"/>
  <c r="H40" i="23"/>
  <c r="E40" i="23"/>
  <c r="J643" i="12"/>
  <c r="J642" i="12"/>
  <c r="J615" i="12"/>
  <c r="J614" i="12"/>
  <c r="J671" i="12"/>
  <c r="J670" i="12"/>
  <c r="J647" i="12"/>
  <c r="J646" i="12"/>
  <c r="J210" i="12"/>
  <c r="J209" i="12"/>
  <c r="J166" i="12"/>
  <c r="N210" i="12"/>
  <c r="N209" i="12"/>
  <c r="N166" i="12"/>
  <c r="N40" i="12"/>
  <c r="N39" i="12"/>
  <c r="N13" i="12"/>
  <c r="N162" i="12"/>
  <c r="N161" i="12"/>
  <c r="N125" i="12"/>
  <c r="N124" i="12"/>
  <c r="N96" i="12"/>
  <c r="N95" i="12"/>
  <c r="N43" i="12"/>
  <c r="P1286" i="23"/>
  <c r="U765" i="12"/>
  <c r="F1286" i="23"/>
  <c r="M765" i="12"/>
  <c r="K1039" i="23"/>
  <c r="Q690" i="12"/>
  <c r="P1039" i="23"/>
  <c r="U690" i="12"/>
  <c r="I1039" i="23"/>
  <c r="I947" i="23"/>
  <c r="I742" i="23"/>
  <c r="I514" i="23"/>
  <c r="I285" i="23"/>
  <c r="N110" i="23"/>
  <c r="D16" i="20"/>
  <c r="D14" i="20"/>
  <c r="K833" i="12"/>
  <c r="K834" i="12"/>
  <c r="K835" i="12"/>
  <c r="K836" i="12"/>
  <c r="K837" i="12"/>
  <c r="K839" i="12"/>
  <c r="K840" i="12"/>
  <c r="J804" i="12"/>
  <c r="J826" i="12"/>
  <c r="K781" i="12"/>
  <c r="K782" i="12"/>
  <c r="F1303" i="23"/>
  <c r="M782" i="12"/>
  <c r="K783" i="12"/>
  <c r="F1304" i="23"/>
  <c r="M783" i="12"/>
  <c r="K784" i="12"/>
  <c r="F1305" i="23"/>
  <c r="M784" i="12"/>
  <c r="C1306" i="23"/>
  <c r="D1306" i="23"/>
  <c r="E1306" i="23"/>
  <c r="J785" i="12"/>
  <c r="K785" i="12"/>
  <c r="F1306" i="23"/>
  <c r="M785" i="12"/>
  <c r="I1306" i="23"/>
  <c r="J1306" i="23"/>
  <c r="N785" i="12"/>
  <c r="C1307" i="23"/>
  <c r="D1307" i="23"/>
  <c r="E1307" i="23"/>
  <c r="J786" i="12"/>
  <c r="K786" i="12"/>
  <c r="F1307" i="23"/>
  <c r="M786" i="12"/>
  <c r="I1307" i="23"/>
  <c r="J1307" i="23"/>
  <c r="N786" i="12"/>
  <c r="C1308" i="23"/>
  <c r="D1308" i="23"/>
  <c r="E1308" i="23"/>
  <c r="J787" i="12"/>
  <c r="K787" i="12"/>
  <c r="F1308" i="23"/>
  <c r="M787" i="12"/>
  <c r="I1308" i="23"/>
  <c r="J1308" i="23"/>
  <c r="N787" i="12"/>
  <c r="C1309" i="23"/>
  <c r="D1309" i="23"/>
  <c r="E1309" i="23"/>
  <c r="J788" i="12"/>
  <c r="K788" i="12"/>
  <c r="F1309" i="23"/>
  <c r="M788" i="12"/>
  <c r="I1309" i="23"/>
  <c r="J1309" i="23"/>
  <c r="N788" i="12"/>
  <c r="J789" i="12"/>
  <c r="J765" i="12"/>
  <c r="K789" i="12"/>
  <c r="M789" i="12"/>
  <c r="N789" i="12"/>
  <c r="K790" i="12"/>
  <c r="K791" i="12"/>
  <c r="K792" i="12"/>
  <c r="K793" i="12"/>
  <c r="K794" i="12"/>
  <c r="K795" i="12"/>
  <c r="K796" i="12"/>
  <c r="K797" i="12"/>
  <c r="K799" i="12"/>
  <c r="K800" i="12"/>
  <c r="O781" i="12"/>
  <c r="O782" i="12"/>
  <c r="K1303" i="23"/>
  <c r="Q782" i="12"/>
  <c r="O783" i="12"/>
  <c r="K1304" i="23"/>
  <c r="Q783" i="12"/>
  <c r="O784" i="12"/>
  <c r="K1305" i="23"/>
  <c r="Q784" i="12"/>
  <c r="O785" i="12"/>
  <c r="K1306" i="23"/>
  <c r="Q785" i="12"/>
  <c r="N1306" i="23"/>
  <c r="O1306" i="23"/>
  <c r="R785" i="12"/>
  <c r="O786" i="12"/>
  <c r="K1307" i="23"/>
  <c r="Q786" i="12"/>
  <c r="N1307" i="23"/>
  <c r="O1307" i="23"/>
  <c r="R786" i="12"/>
  <c r="O787" i="12"/>
  <c r="K1308" i="23"/>
  <c r="Q787" i="12"/>
  <c r="N1308" i="23"/>
  <c r="O1308" i="23"/>
  <c r="R787" i="12"/>
  <c r="O788" i="12"/>
  <c r="K1309" i="23"/>
  <c r="Q788" i="12"/>
  <c r="N1309" i="23"/>
  <c r="O1309" i="23"/>
  <c r="R788" i="12"/>
  <c r="O789" i="12"/>
  <c r="Q789" i="12"/>
  <c r="R789" i="12"/>
  <c r="O790" i="12"/>
  <c r="O791" i="12"/>
  <c r="O792" i="12"/>
  <c r="O793" i="12"/>
  <c r="O794" i="12"/>
  <c r="O795" i="12"/>
  <c r="O796" i="12"/>
  <c r="O797" i="12"/>
  <c r="O799" i="12"/>
  <c r="O800" i="12"/>
  <c r="N804" i="12"/>
  <c r="N827" i="12"/>
  <c r="N826" i="12"/>
  <c r="R804" i="12"/>
  <c r="R827" i="12"/>
  <c r="R826" i="12"/>
  <c r="K805" i="12"/>
  <c r="O805" i="12"/>
  <c r="K806" i="12"/>
  <c r="O806" i="12"/>
  <c r="K807" i="12"/>
  <c r="O807" i="12"/>
  <c r="K808" i="12"/>
  <c r="O808" i="12"/>
  <c r="K809" i="12"/>
  <c r="O809" i="12"/>
  <c r="K810" i="12"/>
  <c r="O810" i="12"/>
  <c r="K811" i="12"/>
  <c r="O811" i="12"/>
  <c r="K812" i="12"/>
  <c r="O812" i="12"/>
  <c r="K813" i="12"/>
  <c r="O813" i="12"/>
  <c r="K814" i="12"/>
  <c r="O814" i="12"/>
  <c r="K815" i="12"/>
  <c r="O815" i="12"/>
  <c r="K816" i="12"/>
  <c r="O816" i="12"/>
  <c r="K817" i="12"/>
  <c r="O817" i="12"/>
  <c r="K818" i="12"/>
  <c r="O818" i="12"/>
  <c r="K819" i="12"/>
  <c r="O819" i="12"/>
  <c r="K820" i="12"/>
  <c r="O820" i="12"/>
  <c r="K821" i="12"/>
  <c r="O821" i="12"/>
  <c r="K822" i="12"/>
  <c r="O822" i="12"/>
  <c r="K823" i="12"/>
  <c r="O823" i="12"/>
  <c r="K824" i="12"/>
  <c r="O824" i="12"/>
  <c r="K825" i="12"/>
  <c r="O825" i="12"/>
  <c r="K827" i="12"/>
  <c r="O827" i="12"/>
  <c r="K828" i="12"/>
  <c r="O828" i="12"/>
  <c r="O833" i="12"/>
  <c r="O834" i="12"/>
  <c r="O835" i="12"/>
  <c r="O836" i="12"/>
  <c r="O837" i="12"/>
  <c r="O839" i="12"/>
  <c r="O840" i="12"/>
  <c r="J846" i="12"/>
  <c r="J847" i="12"/>
  <c r="J848" i="12"/>
  <c r="J845" i="12"/>
  <c r="K846" i="12"/>
  <c r="M846" i="12"/>
  <c r="N846" i="12"/>
  <c r="O846" i="12"/>
  <c r="Q846" i="12"/>
  <c r="R846" i="12"/>
  <c r="R847" i="12"/>
  <c r="R848" i="12"/>
  <c r="R845" i="12"/>
  <c r="K847" i="12"/>
  <c r="M847" i="12"/>
  <c r="N847" i="12"/>
  <c r="N848" i="12"/>
  <c r="N845" i="12"/>
  <c r="O847" i="12"/>
  <c r="Q847" i="12"/>
  <c r="K848" i="12"/>
  <c r="M848" i="12"/>
  <c r="O848" i="12"/>
  <c r="Q848" i="12"/>
  <c r="K849" i="12"/>
  <c r="O849" i="12"/>
  <c r="J850" i="12"/>
  <c r="K851" i="12"/>
  <c r="M851" i="12"/>
  <c r="O851" i="12"/>
  <c r="Q851" i="12"/>
  <c r="K852" i="12"/>
  <c r="M852" i="12"/>
  <c r="O852" i="12"/>
  <c r="Q852" i="12"/>
  <c r="K853" i="12"/>
  <c r="M853" i="12"/>
  <c r="O853" i="12"/>
  <c r="Q853" i="12"/>
  <c r="K854" i="12"/>
  <c r="M854" i="12"/>
  <c r="O854" i="12"/>
  <c r="Q854" i="12"/>
  <c r="K857" i="12"/>
  <c r="M857" i="12"/>
  <c r="O857" i="12"/>
  <c r="Q857" i="12"/>
  <c r="K858" i="12"/>
  <c r="M858" i="12"/>
  <c r="O858" i="12"/>
  <c r="Q858" i="12"/>
  <c r="K859" i="12"/>
  <c r="M859" i="12"/>
  <c r="N859" i="12"/>
  <c r="N860" i="12"/>
  <c r="N850" i="12"/>
  <c r="O859" i="12"/>
  <c r="Q859" i="12"/>
  <c r="R859" i="12"/>
  <c r="R860" i="12"/>
  <c r="R850" i="12"/>
  <c r="K860" i="12"/>
  <c r="M860" i="12"/>
  <c r="O860" i="12"/>
  <c r="Q860" i="12"/>
  <c r="J861" i="12"/>
  <c r="N861" i="12"/>
  <c r="K862" i="12"/>
  <c r="O862" i="12"/>
  <c r="K863" i="12"/>
  <c r="O863" i="12"/>
  <c r="J803" i="12"/>
  <c r="J802" i="12"/>
  <c r="R803" i="12"/>
  <c r="R802" i="12"/>
  <c r="J844" i="12"/>
  <c r="J843" i="12"/>
  <c r="J842" i="12"/>
  <c r="N844" i="12"/>
  <c r="N843" i="12"/>
  <c r="N842" i="12"/>
  <c r="R844" i="12"/>
  <c r="N803" i="12"/>
  <c r="N802" i="12"/>
  <c r="R862" i="12"/>
  <c r="R861" i="12"/>
  <c r="R843" i="12"/>
  <c r="R842" i="12"/>
  <c r="K678" i="12"/>
  <c r="O678" i="12"/>
  <c r="K679" i="12"/>
  <c r="O679" i="12"/>
  <c r="K680" i="12"/>
  <c r="O680" i="12"/>
  <c r="K681" i="12"/>
  <c r="O681" i="12"/>
  <c r="K682" i="12"/>
  <c r="O682" i="12"/>
  <c r="K683" i="12"/>
  <c r="O683" i="12"/>
  <c r="K684" i="12"/>
  <c r="O684" i="12"/>
  <c r="K685" i="12"/>
  <c r="O685" i="12"/>
  <c r="K686" i="12"/>
  <c r="O686" i="12"/>
  <c r="K687" i="12"/>
  <c r="O687" i="12"/>
  <c r="K688" i="12"/>
  <c r="O688" i="12"/>
  <c r="K689" i="12"/>
  <c r="O689" i="12"/>
  <c r="K691" i="12"/>
  <c r="O691" i="12"/>
  <c r="K693" i="12"/>
  <c r="O693" i="12"/>
  <c r="K694" i="12"/>
  <c r="O694" i="12"/>
  <c r="C1046" i="23"/>
  <c r="D1046" i="23"/>
  <c r="E1046" i="23"/>
  <c r="J697" i="12"/>
  <c r="K697" i="12"/>
  <c r="F1046" i="23"/>
  <c r="M697" i="12"/>
  <c r="I1046" i="23"/>
  <c r="J1046" i="23"/>
  <c r="N697" i="12"/>
  <c r="C1047" i="23"/>
  <c r="I1047" i="23"/>
  <c r="J1047" i="23"/>
  <c r="N698" i="12"/>
  <c r="C1048" i="23"/>
  <c r="I1048" i="23"/>
  <c r="J1048" i="23"/>
  <c r="N699" i="12"/>
  <c r="N696" i="12"/>
  <c r="O697" i="12"/>
  <c r="K1046" i="23"/>
  <c r="Q697" i="12"/>
  <c r="D1047" i="23"/>
  <c r="E1047" i="23"/>
  <c r="J698" i="12"/>
  <c r="D1048" i="23"/>
  <c r="E1048" i="23"/>
  <c r="J699" i="12"/>
  <c r="J696" i="12"/>
  <c r="K698" i="12"/>
  <c r="F1047" i="23"/>
  <c r="M698" i="12"/>
  <c r="O698" i="12"/>
  <c r="K1047" i="23"/>
  <c r="Q698" i="12"/>
  <c r="K699" i="12"/>
  <c r="F1048" i="23"/>
  <c r="M699" i="12"/>
  <c r="O699" i="12"/>
  <c r="K1048" i="23"/>
  <c r="Q699" i="12"/>
  <c r="K700" i="12"/>
  <c r="O700" i="12"/>
  <c r="K701" i="12"/>
  <c r="O701" i="12"/>
  <c r="K702" i="12"/>
  <c r="O702" i="12"/>
  <c r="K703" i="12"/>
  <c r="O703" i="12"/>
  <c r="K705" i="12"/>
  <c r="O705" i="12"/>
  <c r="K706" i="12"/>
  <c r="O706" i="12"/>
  <c r="K709" i="12"/>
  <c r="O709" i="12"/>
  <c r="K710" i="12"/>
  <c r="O710" i="12"/>
  <c r="C1062" i="23"/>
  <c r="D1062" i="23"/>
  <c r="E1062" i="23"/>
  <c r="J711" i="12"/>
  <c r="K711" i="12"/>
  <c r="F1062" i="23"/>
  <c r="M711" i="12"/>
  <c r="I1062" i="23"/>
  <c r="J1062" i="23"/>
  <c r="N711" i="12"/>
  <c r="O711" i="12"/>
  <c r="K1062" i="23"/>
  <c r="Q711" i="12"/>
  <c r="K712" i="12"/>
  <c r="O712" i="12"/>
  <c r="K713" i="12"/>
  <c r="O713" i="12"/>
  <c r="K714" i="12"/>
  <c r="O714" i="12"/>
  <c r="K715" i="12"/>
  <c r="O715" i="12"/>
  <c r="K716" i="12"/>
  <c r="O716" i="12"/>
  <c r="K717" i="12"/>
  <c r="O717" i="12"/>
  <c r="K718" i="12"/>
  <c r="O718" i="12"/>
  <c r="K719" i="12"/>
  <c r="O719" i="12"/>
  <c r="K720" i="12"/>
  <c r="O720" i="12"/>
  <c r="K721" i="12"/>
  <c r="O721" i="12"/>
  <c r="K722" i="12"/>
  <c r="O722" i="12"/>
  <c r="K723" i="12"/>
  <c r="M723" i="12"/>
  <c r="O723" i="12"/>
  <c r="Q723" i="12"/>
  <c r="K725" i="12"/>
  <c r="O725" i="12"/>
  <c r="K726" i="12"/>
  <c r="O726" i="12"/>
  <c r="K729" i="12"/>
  <c r="O729" i="12"/>
  <c r="K730" i="12"/>
  <c r="O730" i="12"/>
  <c r="K731" i="12"/>
  <c r="O731" i="12"/>
  <c r="K732" i="12"/>
  <c r="O732" i="12"/>
  <c r="K733" i="12"/>
  <c r="O733" i="12"/>
  <c r="K734" i="12"/>
  <c r="O734" i="12"/>
  <c r="C1253" i="23"/>
  <c r="D1253" i="23"/>
  <c r="E1253" i="23"/>
  <c r="J735" i="12"/>
  <c r="K735" i="12"/>
  <c r="F1253" i="23"/>
  <c r="M735" i="12"/>
  <c r="I1253" i="23"/>
  <c r="J1253" i="23"/>
  <c r="N735" i="12"/>
  <c r="O735" i="12"/>
  <c r="K1253" i="23"/>
  <c r="Q735" i="12"/>
  <c r="K736" i="12"/>
  <c r="O736" i="12"/>
  <c r="K737" i="12"/>
  <c r="O737" i="12"/>
  <c r="K738" i="12"/>
  <c r="O738" i="12"/>
  <c r="K740" i="12"/>
  <c r="O740" i="12"/>
  <c r="K741" i="12"/>
  <c r="O741" i="12"/>
  <c r="K744" i="12"/>
  <c r="O744" i="12"/>
  <c r="K745" i="12"/>
  <c r="O745" i="12"/>
  <c r="K746" i="12"/>
  <c r="O746" i="12"/>
  <c r="K747" i="12"/>
  <c r="O747" i="12"/>
  <c r="K748" i="12"/>
  <c r="O748" i="12"/>
  <c r="K749" i="12"/>
  <c r="O749" i="12"/>
  <c r="K750" i="12"/>
  <c r="O750" i="12"/>
  <c r="K751" i="12"/>
  <c r="O751" i="12"/>
  <c r="K752" i="12"/>
  <c r="O752" i="12"/>
  <c r="K753" i="12"/>
  <c r="O753" i="12"/>
  <c r="K754" i="12"/>
  <c r="O754" i="12"/>
  <c r="K755" i="12"/>
  <c r="O755" i="12"/>
  <c r="K756" i="12"/>
  <c r="F1277" i="23"/>
  <c r="M756" i="12"/>
  <c r="O756" i="12"/>
  <c r="K1277" i="23"/>
  <c r="Q756" i="12"/>
  <c r="K757" i="12"/>
  <c r="O757" i="12"/>
  <c r="C1279" i="23"/>
  <c r="D1279" i="23"/>
  <c r="E1279" i="23"/>
  <c r="J758" i="12"/>
  <c r="K758" i="12"/>
  <c r="F1279" i="23"/>
  <c r="M758" i="12"/>
  <c r="I1279" i="23"/>
  <c r="J1279" i="23"/>
  <c r="N758" i="12"/>
  <c r="O758" i="12"/>
  <c r="K1279" i="23"/>
  <c r="Q758" i="12"/>
  <c r="K759" i="12"/>
  <c r="O759" i="12"/>
  <c r="K760" i="12"/>
  <c r="O760" i="12"/>
  <c r="C1282" i="23"/>
  <c r="D1282" i="23"/>
  <c r="E1282" i="23"/>
  <c r="J761" i="12"/>
  <c r="K761" i="12"/>
  <c r="F1282" i="23"/>
  <c r="M761" i="12"/>
  <c r="I1282" i="23"/>
  <c r="J1282" i="23"/>
  <c r="N761" i="12"/>
  <c r="O761" i="12"/>
  <c r="K1282" i="23"/>
  <c r="Q761" i="12"/>
  <c r="K762" i="12"/>
  <c r="O762" i="12"/>
  <c r="K763" i="12"/>
  <c r="O763" i="12"/>
  <c r="C1285" i="23"/>
  <c r="D1285" i="23"/>
  <c r="E1285" i="23"/>
  <c r="J764" i="12"/>
  <c r="K764" i="12"/>
  <c r="F1285" i="23"/>
  <c r="M764" i="12"/>
  <c r="I1285" i="23"/>
  <c r="J1285" i="23"/>
  <c r="N764" i="12"/>
  <c r="O764" i="12"/>
  <c r="K1285" i="23"/>
  <c r="Q764" i="12"/>
  <c r="K766" i="12"/>
  <c r="O766" i="12"/>
  <c r="K767" i="12"/>
  <c r="O767" i="12"/>
  <c r="K768" i="12"/>
  <c r="O768" i="12"/>
  <c r="K769" i="12"/>
  <c r="O769" i="12"/>
  <c r="K770" i="12"/>
  <c r="O770" i="12"/>
  <c r="K771" i="12"/>
  <c r="O771" i="12"/>
  <c r="K772" i="12"/>
  <c r="O772" i="12"/>
  <c r="K773" i="12"/>
  <c r="O773" i="12"/>
  <c r="K775" i="12"/>
  <c r="O775" i="12"/>
  <c r="K776" i="12"/>
  <c r="O776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40" i="12"/>
  <c r="O41" i="12"/>
  <c r="O45" i="12"/>
  <c r="K55" i="23"/>
  <c r="Q45" i="12"/>
  <c r="N55" i="23"/>
  <c r="O55" i="23"/>
  <c r="R45" i="12"/>
  <c r="O46" i="12"/>
  <c r="O47" i="12"/>
  <c r="O48" i="12"/>
  <c r="O49" i="12"/>
  <c r="O50" i="12"/>
  <c r="K64" i="23"/>
  <c r="Q50" i="12"/>
  <c r="O51" i="12"/>
  <c r="K65" i="23"/>
  <c r="Q51" i="12"/>
  <c r="O52" i="12"/>
  <c r="K66" i="23"/>
  <c r="Q52" i="12"/>
  <c r="O53" i="12"/>
  <c r="K67" i="23"/>
  <c r="Q53" i="12"/>
  <c r="O54" i="12"/>
  <c r="K68" i="23"/>
  <c r="Q54" i="12"/>
  <c r="O55" i="12"/>
  <c r="K69" i="23"/>
  <c r="Q55" i="12"/>
  <c r="O56" i="12"/>
  <c r="K70" i="23"/>
  <c r="Q56" i="12"/>
  <c r="O57" i="12"/>
  <c r="K71" i="23"/>
  <c r="Q57" i="12"/>
  <c r="O58" i="12"/>
  <c r="K72" i="23"/>
  <c r="Q58" i="12"/>
  <c r="O59" i="12"/>
  <c r="K73" i="23"/>
  <c r="Q59" i="12"/>
  <c r="O60" i="12"/>
  <c r="K74" i="23"/>
  <c r="Q60" i="12"/>
  <c r="O61" i="12"/>
  <c r="O62" i="12"/>
  <c r="O63" i="12"/>
  <c r="O64" i="12"/>
  <c r="O65" i="12"/>
  <c r="O66" i="12"/>
  <c r="O67" i="12"/>
  <c r="O68" i="12"/>
  <c r="O69" i="12"/>
  <c r="O70" i="12"/>
  <c r="O71" i="12"/>
  <c r="Q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K114" i="23"/>
  <c r="Q86" i="12"/>
  <c r="N114" i="23"/>
  <c r="O114" i="23"/>
  <c r="R86" i="12"/>
  <c r="O87" i="12"/>
  <c r="O88" i="12"/>
  <c r="O89" i="12"/>
  <c r="O90" i="12"/>
  <c r="O91" i="12"/>
  <c r="O92" i="12"/>
  <c r="O93" i="12"/>
  <c r="O94" i="12"/>
  <c r="O96" i="12"/>
  <c r="O97" i="12"/>
  <c r="O102" i="12"/>
  <c r="O103" i="12"/>
  <c r="O104" i="12"/>
  <c r="O105" i="12"/>
  <c r="O108" i="12"/>
  <c r="O109" i="12"/>
  <c r="O110" i="12"/>
  <c r="O111" i="12"/>
  <c r="O112" i="12"/>
  <c r="O115" i="12"/>
  <c r="O116" i="12"/>
  <c r="O117" i="12"/>
  <c r="O118" i="12"/>
  <c r="O119" i="12"/>
  <c r="O121" i="12"/>
  <c r="O122" i="12"/>
  <c r="O127" i="12"/>
  <c r="O128" i="12"/>
  <c r="O129" i="12"/>
  <c r="K164" i="23"/>
  <c r="Q129" i="12"/>
  <c r="O130" i="12"/>
  <c r="O131" i="12"/>
  <c r="O132" i="12"/>
  <c r="O133" i="12"/>
  <c r="O134" i="12"/>
  <c r="O135" i="12"/>
  <c r="O136" i="12"/>
  <c r="O137" i="12"/>
  <c r="O138" i="12"/>
  <c r="O139" i="12"/>
  <c r="O140" i="12"/>
  <c r="K196" i="23"/>
  <c r="Q140" i="12"/>
  <c r="O141" i="12"/>
  <c r="O142" i="12"/>
  <c r="O143" i="12"/>
  <c r="O144" i="12"/>
  <c r="K200" i="23"/>
  <c r="Q144" i="12"/>
  <c r="O145" i="12"/>
  <c r="K201" i="23"/>
  <c r="Q145" i="12"/>
  <c r="O146" i="12"/>
  <c r="K202" i="23"/>
  <c r="Q146" i="12"/>
  <c r="O147" i="12"/>
  <c r="K203" i="23"/>
  <c r="Q147" i="12"/>
  <c r="O148" i="12"/>
  <c r="K204" i="23"/>
  <c r="Q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2" i="12"/>
  <c r="O163" i="12"/>
  <c r="J705" i="12"/>
  <c r="J704" i="12"/>
  <c r="J695" i="12"/>
  <c r="N705" i="12"/>
  <c r="N704" i="12"/>
  <c r="N695" i="12"/>
  <c r="H811" i="12"/>
  <c r="H810" i="12"/>
  <c r="H809" i="12"/>
  <c r="H808" i="12"/>
  <c r="H807" i="12"/>
  <c r="H806" i="12"/>
  <c r="H805" i="12"/>
  <c r="H821" i="12"/>
  <c r="H820" i="12"/>
  <c r="H819" i="12"/>
  <c r="H818" i="12"/>
  <c r="AG860" i="12"/>
  <c r="AD860" i="12"/>
  <c r="AA860" i="12"/>
  <c r="U860" i="12"/>
  <c r="S860" i="12"/>
  <c r="I860" i="12"/>
  <c r="H860" i="12"/>
  <c r="AG858" i="12"/>
  <c r="AD858" i="12"/>
  <c r="AA858" i="12"/>
  <c r="U858" i="12"/>
  <c r="S858" i="12"/>
  <c r="I858" i="12"/>
  <c r="H858" i="12"/>
  <c r="AG857" i="12"/>
  <c r="AD857" i="12"/>
  <c r="AA857" i="12"/>
  <c r="U857" i="12"/>
  <c r="S857" i="12"/>
  <c r="I857" i="12"/>
  <c r="H857" i="12"/>
  <c r="AG854" i="12"/>
  <c r="AD854" i="12"/>
  <c r="AA854" i="12"/>
  <c r="U854" i="12"/>
  <c r="S854" i="12"/>
  <c r="I854" i="12"/>
  <c r="H854" i="12"/>
  <c r="AG853" i="12"/>
  <c r="AD853" i="12"/>
  <c r="AA853" i="12"/>
  <c r="U853" i="12"/>
  <c r="S853" i="12"/>
  <c r="I853" i="12"/>
  <c r="H853" i="12"/>
  <c r="AG118" i="12"/>
  <c r="AD118" i="12"/>
  <c r="AA118" i="12"/>
  <c r="S118" i="12"/>
  <c r="AG117" i="12"/>
  <c r="AD117" i="12"/>
  <c r="AA117" i="12"/>
  <c r="S117" i="12"/>
  <c r="AG116" i="12"/>
  <c r="AD116" i="12"/>
  <c r="AA116" i="12"/>
  <c r="S116" i="12"/>
  <c r="AG115" i="12"/>
  <c r="AD115" i="12"/>
  <c r="AA115" i="12"/>
  <c r="S115" i="12"/>
  <c r="AG112" i="12"/>
  <c r="AD112" i="12"/>
  <c r="AA112" i="12"/>
  <c r="S112" i="12"/>
  <c r="AG111" i="12"/>
  <c r="AD111" i="12"/>
  <c r="AA111" i="12"/>
  <c r="S111" i="12"/>
  <c r="AG110" i="12"/>
  <c r="AD110" i="12"/>
  <c r="AA110" i="12"/>
  <c r="S110" i="12"/>
  <c r="AG109" i="12"/>
  <c r="AD109" i="12"/>
  <c r="AA109" i="12"/>
  <c r="S109" i="12"/>
  <c r="AG108" i="12"/>
  <c r="AD108" i="12"/>
  <c r="AA108" i="12"/>
  <c r="S108" i="12"/>
  <c r="AG105" i="12"/>
  <c r="AD105" i="12"/>
  <c r="AA105" i="12"/>
  <c r="S105" i="12"/>
  <c r="AG104" i="12"/>
  <c r="AD104" i="12"/>
  <c r="AA104" i="12"/>
  <c r="S104" i="12"/>
  <c r="AG103" i="12"/>
  <c r="AD103" i="12"/>
  <c r="AA103" i="12"/>
  <c r="S103" i="12"/>
  <c r="AG102" i="12"/>
  <c r="AD102" i="12"/>
  <c r="AA102" i="12"/>
  <c r="S102" i="12"/>
  <c r="R146" i="23"/>
  <c r="N146" i="23"/>
  <c r="M146" i="23"/>
  <c r="K146" i="23"/>
  <c r="Q118" i="12"/>
  <c r="H146" i="23"/>
  <c r="I146" i="23"/>
  <c r="I1" i="20"/>
  <c r="G1016" i="23"/>
  <c r="AJ406" i="19"/>
  <c r="AI406" i="19"/>
  <c r="AH406" i="19"/>
  <c r="AG406" i="19"/>
  <c r="AF406" i="19"/>
  <c r="AK406" i="19"/>
  <c r="AJ432" i="19"/>
  <c r="AI432" i="19"/>
  <c r="AH432" i="19"/>
  <c r="AG432" i="19"/>
  <c r="AF432" i="19"/>
  <c r="AK432" i="19"/>
  <c r="B1102" i="23"/>
  <c r="S311" i="12"/>
  <c r="O311" i="12"/>
  <c r="S310" i="12"/>
  <c r="O310" i="12"/>
  <c r="M425" i="23"/>
  <c r="D128" i="9"/>
  <c r="C128" i="9"/>
  <c r="D127" i="9"/>
  <c r="R425" i="23"/>
  <c r="AG311" i="12"/>
  <c r="AD311" i="12"/>
  <c r="AC311" i="12"/>
  <c r="AA311" i="12"/>
  <c r="Z311" i="12"/>
  <c r="AG310" i="12"/>
  <c r="AD310" i="12"/>
  <c r="AC310" i="12"/>
  <c r="AA310" i="12"/>
  <c r="Z310" i="12"/>
  <c r="AG309" i="12"/>
  <c r="AD309" i="12"/>
  <c r="AC309" i="12"/>
  <c r="AA309" i="12"/>
  <c r="Z309" i="12"/>
  <c r="S309" i="12"/>
  <c r="O309" i="12"/>
  <c r="AJ435" i="19"/>
  <c r="AI435" i="19"/>
  <c r="AH435" i="19"/>
  <c r="AG435" i="19"/>
  <c r="AF435" i="19"/>
  <c r="AJ434" i="19"/>
  <c r="AI434" i="19"/>
  <c r="AH434" i="19"/>
  <c r="AG434" i="19"/>
  <c r="AF434" i="19"/>
  <c r="AJ433" i="19"/>
  <c r="AI433" i="19"/>
  <c r="AH433" i="19"/>
  <c r="AG433" i="19"/>
  <c r="AF433" i="19"/>
  <c r="AK435" i="19"/>
  <c r="AK433" i="19"/>
  <c r="AK434" i="19"/>
  <c r="I425" i="23"/>
  <c r="J425" i="23"/>
  <c r="K425" i="23"/>
  <c r="Q311" i="12"/>
  <c r="N425" i="23"/>
  <c r="O425" i="23"/>
  <c r="R311" i="12"/>
  <c r="I311" i="12"/>
  <c r="H311" i="12"/>
  <c r="N1062" i="23"/>
  <c r="O1062" i="23"/>
  <c r="R711" i="12"/>
  <c r="N1253" i="23"/>
  <c r="O1253" i="23"/>
  <c r="R735" i="12"/>
  <c r="O216" i="12"/>
  <c r="K316" i="23"/>
  <c r="Q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2" i="12"/>
  <c r="O273" i="12"/>
  <c r="O274" i="12"/>
  <c r="O275" i="12"/>
  <c r="O276" i="12"/>
  <c r="O277" i="12"/>
  <c r="O278" i="12"/>
  <c r="K383" i="23"/>
  <c r="Q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12" i="12"/>
  <c r="O313" i="12"/>
  <c r="O314" i="12"/>
  <c r="O316" i="12"/>
  <c r="K430" i="23"/>
  <c r="Q316" i="12"/>
  <c r="O317" i="12"/>
  <c r="K431" i="23"/>
  <c r="Q317" i="12"/>
  <c r="O318" i="12"/>
  <c r="K432" i="23"/>
  <c r="Q318" i="12"/>
  <c r="O319" i="12"/>
  <c r="K433" i="23"/>
  <c r="Q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3" i="12"/>
  <c r="O334" i="12"/>
  <c r="O339" i="12"/>
  <c r="K457" i="23"/>
  <c r="Q339" i="12"/>
  <c r="O340" i="12"/>
  <c r="O341" i="12"/>
  <c r="O342" i="12"/>
  <c r="O343" i="12"/>
  <c r="O344" i="12"/>
  <c r="O345" i="12"/>
  <c r="O346" i="12"/>
  <c r="O347" i="12"/>
  <c r="O348" i="12"/>
  <c r="Q348" i="12"/>
  <c r="O349" i="12"/>
  <c r="O350" i="12"/>
  <c r="O351" i="12"/>
  <c r="O352" i="12"/>
  <c r="O353" i="12"/>
  <c r="O354" i="12"/>
  <c r="O355" i="12"/>
  <c r="O356" i="12"/>
  <c r="O357" i="12"/>
  <c r="K497" i="23"/>
  <c r="Q357" i="12"/>
  <c r="O358" i="12"/>
  <c r="O359" i="12"/>
  <c r="K501" i="23"/>
  <c r="Q359" i="12"/>
  <c r="O360" i="12"/>
  <c r="K502" i="23"/>
  <c r="Q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80" i="12"/>
  <c r="O381" i="12"/>
  <c r="O382" i="12"/>
  <c r="O383" i="12"/>
  <c r="O384" i="12"/>
  <c r="K533" i="23"/>
  <c r="Q384" i="12"/>
  <c r="O385" i="12"/>
  <c r="O386" i="12"/>
  <c r="K535" i="23"/>
  <c r="Q386" i="12"/>
  <c r="O387" i="12"/>
  <c r="K536" i="23"/>
  <c r="Q387" i="12"/>
  <c r="O388" i="12"/>
  <c r="K537" i="23"/>
  <c r="Q388" i="12"/>
  <c r="O389" i="12"/>
  <c r="O390" i="12"/>
  <c r="K539" i="23"/>
  <c r="Q390" i="12"/>
  <c r="O391" i="12"/>
  <c r="K540" i="23"/>
  <c r="Q391" i="12"/>
  <c r="O392" i="12"/>
  <c r="O393" i="12"/>
  <c r="O394" i="12"/>
  <c r="O395" i="12"/>
  <c r="O396" i="12"/>
  <c r="O397" i="12"/>
  <c r="O398" i="12"/>
  <c r="O399" i="12"/>
  <c r="O400" i="12"/>
  <c r="O402" i="12"/>
  <c r="K551" i="23"/>
  <c r="Q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6" i="12"/>
  <c r="O417" i="12"/>
  <c r="O418" i="12"/>
  <c r="O419" i="12"/>
  <c r="O420" i="12"/>
  <c r="O421" i="12"/>
  <c r="O422" i="12"/>
  <c r="O423" i="12"/>
  <c r="O424" i="12"/>
  <c r="K632" i="23"/>
  <c r="Q424" i="12"/>
  <c r="O425" i="12"/>
  <c r="O426" i="12"/>
  <c r="O427" i="12"/>
  <c r="O428" i="12"/>
  <c r="O429" i="12"/>
  <c r="O430" i="12"/>
  <c r="O431" i="12"/>
  <c r="O432" i="12"/>
  <c r="O434" i="12"/>
  <c r="K642" i="23"/>
  <c r="Q434" i="12"/>
  <c r="O435" i="12"/>
  <c r="O436" i="12"/>
  <c r="O437" i="12"/>
  <c r="O438" i="12"/>
  <c r="K652" i="23"/>
  <c r="Q438" i="12"/>
  <c r="O439" i="12"/>
  <c r="O440" i="12"/>
  <c r="O441" i="12"/>
  <c r="O442" i="12"/>
  <c r="O443" i="12"/>
  <c r="O444" i="12"/>
  <c r="O445" i="12"/>
  <c r="O448" i="12"/>
  <c r="O449" i="12"/>
  <c r="O450" i="12"/>
  <c r="O451" i="12"/>
  <c r="O452" i="12"/>
  <c r="O453" i="12"/>
  <c r="O454" i="12"/>
  <c r="O455" i="12"/>
  <c r="K677" i="23"/>
  <c r="Q455" i="12"/>
  <c r="O456" i="12"/>
  <c r="O457" i="12"/>
  <c r="O458" i="12"/>
  <c r="O459" i="12"/>
  <c r="O460" i="12"/>
  <c r="O461" i="12"/>
  <c r="O462" i="12"/>
  <c r="O463" i="12"/>
  <c r="O464" i="12"/>
  <c r="O465" i="12"/>
  <c r="O466" i="12"/>
  <c r="O468" i="12"/>
  <c r="O469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4" i="12"/>
  <c r="O495" i="12"/>
  <c r="O496" i="12"/>
  <c r="O497" i="12"/>
  <c r="O498" i="12"/>
  <c r="O499" i="12"/>
  <c r="O500" i="12"/>
  <c r="O501" i="12"/>
  <c r="O503" i="12"/>
  <c r="K753" i="23"/>
  <c r="Q503" i="12"/>
  <c r="O504" i="12"/>
  <c r="O505" i="12"/>
  <c r="K755" i="23"/>
  <c r="Q505" i="12"/>
  <c r="O506" i="12"/>
  <c r="K756" i="23"/>
  <c r="Q506" i="12"/>
  <c r="O507" i="12"/>
  <c r="O508" i="12"/>
  <c r="O509" i="12"/>
  <c r="O510" i="12"/>
  <c r="O511" i="12"/>
  <c r="O512" i="12"/>
  <c r="O513" i="12"/>
  <c r="O514" i="12"/>
  <c r="O515" i="12"/>
  <c r="O516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4" i="12"/>
  <c r="O565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K903" i="23"/>
  <c r="Q587" i="12"/>
  <c r="O588" i="12"/>
  <c r="O589" i="12"/>
  <c r="O590" i="12"/>
  <c r="O591" i="12"/>
  <c r="O592" i="12"/>
  <c r="O593" i="12"/>
  <c r="O594" i="12"/>
  <c r="O595" i="12"/>
  <c r="O596" i="12"/>
  <c r="O597" i="12"/>
  <c r="O599" i="12"/>
  <c r="O600" i="12"/>
  <c r="O601" i="12"/>
  <c r="O602" i="12"/>
  <c r="O603" i="12"/>
  <c r="O604" i="12"/>
  <c r="O605" i="12"/>
  <c r="O606" i="12"/>
  <c r="O607" i="12"/>
  <c r="O608" i="12"/>
  <c r="O609" i="12"/>
  <c r="O611" i="12"/>
  <c r="O612" i="12"/>
  <c r="P425" i="23"/>
  <c r="U311" i="12"/>
  <c r="B1095" i="23"/>
  <c r="AK711" i="12"/>
  <c r="AK712" i="12"/>
  <c r="B1060" i="23"/>
  <c r="AG840" i="12"/>
  <c r="AD840" i="12"/>
  <c r="AA840" i="12"/>
  <c r="S840" i="12"/>
  <c r="H840" i="12"/>
  <c r="AG839" i="12"/>
  <c r="AD839" i="12"/>
  <c r="AA839" i="12"/>
  <c r="S839" i="12"/>
  <c r="H839" i="12"/>
  <c r="AG837" i="12"/>
  <c r="AD837" i="12"/>
  <c r="AA837" i="12"/>
  <c r="S837" i="12"/>
  <c r="I837" i="12"/>
  <c r="AG836" i="12"/>
  <c r="AD836" i="12"/>
  <c r="AA836" i="12"/>
  <c r="S836" i="12"/>
  <c r="AG835" i="12"/>
  <c r="AD835" i="12"/>
  <c r="AA835" i="12"/>
  <c r="S835" i="12"/>
  <c r="AG834" i="12"/>
  <c r="AD834" i="12"/>
  <c r="AA834" i="12"/>
  <c r="S834" i="12"/>
  <c r="AG833" i="12"/>
  <c r="AD833" i="12"/>
  <c r="AA833" i="12"/>
  <c r="S833" i="12"/>
  <c r="I18" i="25"/>
  <c r="I17" i="25"/>
  <c r="AG121" i="12"/>
  <c r="AD121" i="12"/>
  <c r="AA121" i="12"/>
  <c r="S121" i="12"/>
  <c r="H837" i="12"/>
  <c r="AG764" i="12"/>
  <c r="AD764" i="12"/>
  <c r="AA764" i="12"/>
  <c r="AA719" i="12"/>
  <c r="E344" i="9"/>
  <c r="I6" i="25"/>
  <c r="I14" i="25"/>
  <c r="I852" i="12"/>
  <c r="I851" i="12"/>
  <c r="I849" i="12"/>
  <c r="I841" i="12"/>
  <c r="I829" i="12"/>
  <c r="I828" i="12"/>
  <c r="I825" i="12"/>
  <c r="I824" i="12"/>
  <c r="I823" i="12"/>
  <c r="I822" i="12"/>
  <c r="I821" i="12"/>
  <c r="I820" i="12"/>
  <c r="I819" i="12"/>
  <c r="I818" i="12"/>
  <c r="I817" i="12"/>
  <c r="I816" i="12"/>
  <c r="I815" i="12"/>
  <c r="I814" i="12"/>
  <c r="I813" i="12"/>
  <c r="I812" i="12"/>
  <c r="I811" i="12"/>
  <c r="I810" i="12"/>
  <c r="I809" i="12"/>
  <c r="I808" i="12"/>
  <c r="I807" i="12"/>
  <c r="I806" i="12"/>
  <c r="I805" i="12"/>
  <c r="I801" i="12"/>
  <c r="I800" i="12"/>
  <c r="I797" i="12"/>
  <c r="I796" i="12"/>
  <c r="I795" i="12"/>
  <c r="I794" i="12"/>
  <c r="I793" i="12"/>
  <c r="I792" i="12"/>
  <c r="I791" i="12"/>
  <c r="I790" i="12"/>
  <c r="I777" i="12"/>
  <c r="I776" i="12"/>
  <c r="I773" i="12"/>
  <c r="I772" i="12"/>
  <c r="I771" i="12"/>
  <c r="I770" i="12"/>
  <c r="I769" i="12"/>
  <c r="I768" i="12"/>
  <c r="I767" i="12"/>
  <c r="I766" i="12"/>
  <c r="I741" i="12"/>
  <c r="I738" i="12"/>
  <c r="I737" i="12"/>
  <c r="I736" i="12"/>
  <c r="I720" i="12"/>
  <c r="I719" i="12"/>
  <c r="I706" i="12"/>
  <c r="I703" i="12"/>
  <c r="I702" i="12"/>
  <c r="I701" i="12"/>
  <c r="I700" i="12"/>
  <c r="I694" i="12"/>
  <c r="I691" i="12"/>
  <c r="I689" i="12"/>
  <c r="I688" i="12"/>
  <c r="I673" i="12"/>
  <c r="I672" i="12"/>
  <c r="I669" i="12"/>
  <c r="I668" i="12"/>
  <c r="I667" i="12"/>
  <c r="I666" i="12"/>
  <c r="I665" i="12"/>
  <c r="I664" i="12"/>
  <c r="I663" i="12"/>
  <c r="I662" i="12"/>
  <c r="I645" i="12"/>
  <c r="I644" i="12"/>
  <c r="I641" i="12"/>
  <c r="I640" i="12"/>
  <c r="I639" i="12"/>
  <c r="I638" i="12"/>
  <c r="I637" i="12"/>
  <c r="I636" i="12"/>
  <c r="I635" i="12"/>
  <c r="I634" i="12"/>
  <c r="I613" i="12"/>
  <c r="I612" i="12"/>
  <c r="I609" i="12"/>
  <c r="I608" i="12"/>
  <c r="I607" i="12"/>
  <c r="I606" i="12"/>
  <c r="I605" i="12"/>
  <c r="I604" i="12"/>
  <c r="I603" i="12"/>
  <c r="I602" i="12"/>
  <c r="I597" i="12"/>
  <c r="I596" i="12"/>
  <c r="I595" i="12"/>
  <c r="I594" i="12"/>
  <c r="I593" i="12"/>
  <c r="I592" i="12"/>
  <c r="I591" i="12"/>
  <c r="I590" i="12"/>
  <c r="I566" i="12"/>
  <c r="I565" i="12"/>
  <c r="I562" i="12"/>
  <c r="I561" i="12"/>
  <c r="I560" i="12"/>
  <c r="I559" i="12"/>
  <c r="I558" i="12"/>
  <c r="I557" i="12"/>
  <c r="I556" i="12"/>
  <c r="I555" i="12"/>
  <c r="I547" i="12"/>
  <c r="I546" i="12"/>
  <c r="I545" i="12"/>
  <c r="I544" i="12"/>
  <c r="I543" i="12"/>
  <c r="I542" i="12"/>
  <c r="I541" i="12"/>
  <c r="I540" i="12"/>
  <c r="I533" i="12"/>
  <c r="I532" i="12"/>
  <c r="I531" i="12"/>
  <c r="I530" i="12"/>
  <c r="I529" i="12"/>
  <c r="I528" i="12"/>
  <c r="I527" i="12"/>
  <c r="I526" i="12"/>
  <c r="I516" i="12"/>
  <c r="I515" i="12"/>
  <c r="I514" i="12"/>
  <c r="I513" i="12"/>
  <c r="I512" i="12"/>
  <c r="I511" i="12"/>
  <c r="I510" i="12"/>
  <c r="I509" i="12"/>
  <c r="I501" i="12"/>
  <c r="I500" i="12"/>
  <c r="I499" i="12"/>
  <c r="I498" i="12"/>
  <c r="I497" i="12"/>
  <c r="I496" i="12"/>
  <c r="I495" i="12"/>
  <c r="I494" i="12"/>
  <c r="I470" i="12"/>
  <c r="I469" i="12"/>
  <c r="I466" i="12"/>
  <c r="I465" i="12"/>
  <c r="I464" i="12"/>
  <c r="I463" i="12"/>
  <c r="I462" i="12"/>
  <c r="I461" i="12"/>
  <c r="I460" i="12"/>
  <c r="I459" i="12"/>
  <c r="I446" i="12"/>
  <c r="I445" i="12"/>
  <c r="I444" i="12"/>
  <c r="I443" i="12"/>
  <c r="I442" i="12"/>
  <c r="I441" i="12"/>
  <c r="I440" i="12"/>
  <c r="I439" i="12"/>
  <c r="I432" i="12"/>
  <c r="I431" i="12"/>
  <c r="I430" i="12"/>
  <c r="I429" i="12"/>
  <c r="I428" i="12"/>
  <c r="I427" i="12"/>
  <c r="I426" i="12"/>
  <c r="I425" i="12"/>
  <c r="I414" i="12"/>
  <c r="I413" i="12"/>
  <c r="I412" i="12"/>
  <c r="I411" i="12"/>
  <c r="I410" i="12"/>
  <c r="I409" i="12"/>
  <c r="I408" i="12"/>
  <c r="I407" i="12"/>
  <c r="I400" i="12"/>
  <c r="I399" i="12"/>
  <c r="I398" i="12"/>
  <c r="I397" i="12"/>
  <c r="I396" i="12"/>
  <c r="I395" i="12"/>
  <c r="I394" i="12"/>
  <c r="I393" i="12"/>
  <c r="I378" i="12"/>
  <c r="I377" i="12"/>
  <c r="I376" i="12"/>
  <c r="I375" i="12"/>
  <c r="I374" i="12"/>
  <c r="I373" i="12"/>
  <c r="I372" i="12"/>
  <c r="I371" i="12"/>
  <c r="I335" i="12"/>
  <c r="I334" i="12"/>
  <c r="I331" i="12"/>
  <c r="I330" i="12"/>
  <c r="I329" i="12"/>
  <c r="I328" i="12"/>
  <c r="I327" i="12"/>
  <c r="I326" i="12"/>
  <c r="I325" i="12"/>
  <c r="I324" i="12"/>
  <c r="I314" i="12"/>
  <c r="I313" i="12"/>
  <c r="I312" i="12"/>
  <c r="I308" i="12"/>
  <c r="I307" i="12"/>
  <c r="I292" i="12"/>
  <c r="I291" i="12"/>
  <c r="I290" i="12"/>
  <c r="I289" i="12"/>
  <c r="I288" i="12"/>
  <c r="I287" i="12"/>
  <c r="I286" i="12"/>
  <c r="I285" i="12"/>
  <c r="I270" i="12"/>
  <c r="I269" i="12"/>
  <c r="I268" i="12"/>
  <c r="I267" i="12"/>
  <c r="I266" i="12"/>
  <c r="I265" i="12"/>
  <c r="I264" i="12"/>
  <c r="I263" i="12"/>
  <c r="I255" i="12"/>
  <c r="I254" i="12"/>
  <c r="I253" i="12"/>
  <c r="I252" i="12"/>
  <c r="I251" i="12"/>
  <c r="I250" i="12"/>
  <c r="I249" i="12"/>
  <c r="I248" i="12"/>
  <c r="I234" i="12"/>
  <c r="I233" i="12"/>
  <c r="I232" i="12"/>
  <c r="I231" i="12"/>
  <c r="I230" i="12"/>
  <c r="I229" i="12"/>
  <c r="I228" i="12"/>
  <c r="I227" i="12"/>
  <c r="I212" i="12"/>
  <c r="I211" i="12"/>
  <c r="I208" i="12"/>
  <c r="I207" i="12"/>
  <c r="I206" i="12"/>
  <c r="I205" i="12"/>
  <c r="I204" i="12"/>
  <c r="I203" i="12"/>
  <c r="I202" i="12"/>
  <c r="I201" i="12"/>
  <c r="I188" i="12"/>
  <c r="I187" i="12"/>
  <c r="I164" i="12"/>
  <c r="I163" i="12"/>
  <c r="I160" i="12"/>
  <c r="I159" i="12"/>
  <c r="I158" i="12"/>
  <c r="I157" i="12"/>
  <c r="I156" i="12"/>
  <c r="I155" i="12"/>
  <c r="I154" i="12"/>
  <c r="I153" i="12"/>
  <c r="I123" i="12"/>
  <c r="I122" i="12"/>
  <c r="I119" i="12"/>
  <c r="I98" i="12"/>
  <c r="I97" i="12"/>
  <c r="I94" i="12"/>
  <c r="I93" i="12"/>
  <c r="I92" i="12"/>
  <c r="I91" i="12"/>
  <c r="I90" i="12"/>
  <c r="I89" i="12"/>
  <c r="I88" i="12"/>
  <c r="I87" i="12"/>
  <c r="I42" i="12"/>
  <c r="I41" i="12"/>
  <c r="I38" i="12"/>
  <c r="I37" i="12"/>
  <c r="I36" i="12"/>
  <c r="I35" i="12"/>
  <c r="I34" i="12"/>
  <c r="I33" i="12"/>
  <c r="I32" i="12"/>
  <c r="I31" i="12"/>
  <c r="B1096" i="23"/>
  <c r="B612" i="23"/>
  <c r="AJ431" i="19"/>
  <c r="AI431" i="19"/>
  <c r="AH431" i="19"/>
  <c r="AG431" i="19"/>
  <c r="AF431" i="19"/>
  <c r="AJ430" i="19"/>
  <c r="AI430" i="19"/>
  <c r="AH430" i="19"/>
  <c r="AG430" i="19"/>
  <c r="AF430" i="19"/>
  <c r="AJ429" i="19"/>
  <c r="AI429" i="19"/>
  <c r="AH429" i="19"/>
  <c r="AG429" i="19"/>
  <c r="AF429" i="19"/>
  <c r="AK431" i="19"/>
  <c r="AK429" i="19"/>
  <c r="AK430" i="19"/>
  <c r="B1092" i="23"/>
  <c r="B1063" i="23"/>
  <c r="G1092" i="23"/>
  <c r="C1284" i="23"/>
  <c r="C1283" i="23"/>
  <c r="E83" i="20"/>
  <c r="E82" i="20"/>
  <c r="E86" i="20"/>
  <c r="E89" i="20"/>
  <c r="E90" i="20"/>
  <c r="S285" i="12"/>
  <c r="AA285" i="12"/>
  <c r="AD285" i="12"/>
  <c r="AG285" i="12"/>
  <c r="AJ318" i="19"/>
  <c r="AI318" i="19"/>
  <c r="AH318" i="19"/>
  <c r="AG318" i="19"/>
  <c r="AF318" i="19"/>
  <c r="AJ692" i="19"/>
  <c r="AI692" i="19"/>
  <c r="AH692" i="19"/>
  <c r="AG692" i="19"/>
  <c r="AF692" i="19"/>
  <c r="AJ36" i="19"/>
  <c r="AI36" i="19"/>
  <c r="AH36" i="19"/>
  <c r="AG36" i="19"/>
  <c r="AF36" i="19"/>
  <c r="AJ555" i="19"/>
  <c r="AI555" i="19"/>
  <c r="AH555" i="19"/>
  <c r="AG555" i="19"/>
  <c r="AF555" i="19"/>
  <c r="AJ423" i="19"/>
  <c r="AI423" i="19"/>
  <c r="AH423" i="19"/>
  <c r="AG423" i="19"/>
  <c r="AF423" i="19"/>
  <c r="C1109" i="23"/>
  <c r="AC293" i="12"/>
  <c r="Z293" i="12"/>
  <c r="AJ676" i="19"/>
  <c r="AI676" i="19"/>
  <c r="AH676" i="19"/>
  <c r="AG676" i="19"/>
  <c r="AF676" i="19"/>
  <c r="P246" i="21"/>
  <c r="O240" i="9"/>
  <c r="AJ528" i="19"/>
  <c r="AI528" i="19"/>
  <c r="AH528" i="19"/>
  <c r="AG528" i="19"/>
  <c r="AF528" i="19"/>
  <c r="AJ417" i="19"/>
  <c r="AI417" i="19"/>
  <c r="AH417" i="19"/>
  <c r="AG417" i="19"/>
  <c r="AF417" i="19"/>
  <c r="AJ427" i="19"/>
  <c r="AI427" i="19"/>
  <c r="AH427" i="19"/>
  <c r="AG427" i="19"/>
  <c r="AF427" i="19"/>
  <c r="AJ447" i="19"/>
  <c r="AI447" i="19"/>
  <c r="AH447" i="19"/>
  <c r="AG447" i="19"/>
  <c r="AF447" i="19"/>
  <c r="V473" i="12"/>
  <c r="W473" i="12"/>
  <c r="Z473" i="12"/>
  <c r="AC473" i="12"/>
  <c r="AF473" i="12"/>
  <c r="S474" i="12"/>
  <c r="AA474" i="12"/>
  <c r="AD474" i="12"/>
  <c r="AG474" i="12"/>
  <c r="S475" i="12"/>
  <c r="AA475" i="12"/>
  <c r="AD475" i="12"/>
  <c r="AG475" i="12"/>
  <c r="S476" i="12"/>
  <c r="AA476" i="12"/>
  <c r="AD476" i="12"/>
  <c r="AG476" i="12"/>
  <c r="S477" i="12"/>
  <c r="AA477" i="12"/>
  <c r="AD477" i="12"/>
  <c r="AG477" i="12"/>
  <c r="S478" i="12"/>
  <c r="AA478" i="12"/>
  <c r="AD478" i="12"/>
  <c r="AG478" i="12"/>
  <c r="S479" i="12"/>
  <c r="AA479" i="12"/>
  <c r="AD479" i="12"/>
  <c r="AG479" i="12"/>
  <c r="S480" i="12"/>
  <c r="AA480" i="12"/>
  <c r="AD480" i="12"/>
  <c r="AG480" i="12"/>
  <c r="S481" i="12"/>
  <c r="AA481" i="12"/>
  <c r="AD481" i="12"/>
  <c r="AG481" i="12"/>
  <c r="S482" i="12"/>
  <c r="AA482" i="12"/>
  <c r="AD482" i="12"/>
  <c r="AG482" i="12"/>
  <c r="S483" i="12"/>
  <c r="AA483" i="12"/>
  <c r="AD483" i="12"/>
  <c r="AG483" i="12"/>
  <c r="S484" i="12"/>
  <c r="AA484" i="12"/>
  <c r="AD484" i="12"/>
  <c r="AG484" i="12"/>
  <c r="S485" i="12"/>
  <c r="AA485" i="12"/>
  <c r="AD485" i="12"/>
  <c r="AG485" i="12"/>
  <c r="S486" i="12"/>
  <c r="AA486" i="12"/>
  <c r="AD486" i="12"/>
  <c r="AG486" i="12"/>
  <c r="S487" i="12"/>
  <c r="AA487" i="12"/>
  <c r="AD487" i="12"/>
  <c r="AG487" i="12"/>
  <c r="S488" i="12"/>
  <c r="AA488" i="12"/>
  <c r="AD488" i="12"/>
  <c r="AG488" i="12"/>
  <c r="S489" i="12"/>
  <c r="AA489" i="12"/>
  <c r="AD489" i="12"/>
  <c r="AG489" i="12"/>
  <c r="S490" i="12"/>
  <c r="AA490" i="12"/>
  <c r="AD490" i="12"/>
  <c r="AG490" i="12"/>
  <c r="S491" i="12"/>
  <c r="AA491" i="12"/>
  <c r="AD491" i="12"/>
  <c r="AG491" i="12"/>
  <c r="S492" i="12"/>
  <c r="AA492" i="12"/>
  <c r="AD492" i="12"/>
  <c r="AG492" i="12"/>
  <c r="S493" i="12"/>
  <c r="AA493" i="12"/>
  <c r="AD493" i="12"/>
  <c r="AG493" i="12"/>
  <c r="S494" i="12"/>
  <c r="AA494" i="12"/>
  <c r="AD494" i="12"/>
  <c r="AG494" i="12"/>
  <c r="S495" i="12"/>
  <c r="AA495" i="12"/>
  <c r="AD495" i="12"/>
  <c r="AG495" i="12"/>
  <c r="H496" i="12"/>
  <c r="S496" i="12"/>
  <c r="AA496" i="12"/>
  <c r="AD496" i="12"/>
  <c r="AG496" i="12"/>
  <c r="H497" i="12"/>
  <c r="S497" i="12"/>
  <c r="AA497" i="12"/>
  <c r="AD497" i="12"/>
  <c r="AG497" i="12"/>
  <c r="S498" i="12"/>
  <c r="AA498" i="12"/>
  <c r="AD498" i="12"/>
  <c r="AG498" i="12"/>
  <c r="S499" i="12"/>
  <c r="AA499" i="12"/>
  <c r="AD499" i="12"/>
  <c r="AG499" i="12"/>
  <c r="S500" i="12"/>
  <c r="AA500" i="12"/>
  <c r="AD500" i="12"/>
  <c r="AG500" i="12"/>
  <c r="S501" i="12"/>
  <c r="AA501" i="12"/>
  <c r="AD501" i="12"/>
  <c r="AG501" i="12"/>
  <c r="V502" i="12"/>
  <c r="W502" i="12"/>
  <c r="Z502" i="12"/>
  <c r="AC502" i="12"/>
  <c r="AF502" i="12"/>
  <c r="S503" i="12"/>
  <c r="AA503" i="12"/>
  <c r="AD503" i="12"/>
  <c r="AG503" i="12"/>
  <c r="S504" i="12"/>
  <c r="AA504" i="12"/>
  <c r="AD504" i="12"/>
  <c r="AG504" i="12"/>
  <c r="S505" i="12"/>
  <c r="AA505" i="12"/>
  <c r="AD505" i="12"/>
  <c r="AG505" i="12"/>
  <c r="S506" i="12"/>
  <c r="AA506" i="12"/>
  <c r="AD506" i="12"/>
  <c r="AG506" i="12"/>
  <c r="S507" i="12"/>
  <c r="AA507" i="12"/>
  <c r="AD507" i="12"/>
  <c r="AG507" i="12"/>
  <c r="S508" i="12"/>
  <c r="AA508" i="12"/>
  <c r="AD508" i="12"/>
  <c r="AG508" i="12"/>
  <c r="S509" i="12"/>
  <c r="AA509" i="12"/>
  <c r="AD509" i="12"/>
  <c r="AG509" i="12"/>
  <c r="S510" i="12"/>
  <c r="AA510" i="12"/>
  <c r="AD510" i="12"/>
  <c r="AG510" i="12"/>
  <c r="S511" i="12"/>
  <c r="AA511" i="12"/>
  <c r="AD511" i="12"/>
  <c r="AG511" i="12"/>
  <c r="S512" i="12"/>
  <c r="AA512" i="12"/>
  <c r="AD512" i="12"/>
  <c r="AG512" i="12"/>
  <c r="S513" i="12"/>
  <c r="AA513" i="12"/>
  <c r="AD513" i="12"/>
  <c r="AG513" i="12"/>
  <c r="S514" i="12"/>
  <c r="AA514" i="12"/>
  <c r="AD514" i="12"/>
  <c r="AG514" i="12"/>
  <c r="S515" i="12"/>
  <c r="AA515" i="12"/>
  <c r="AD515" i="12"/>
  <c r="AG515" i="12"/>
  <c r="S516" i="12"/>
  <c r="AA516" i="12"/>
  <c r="AD516" i="12"/>
  <c r="AG516" i="12"/>
  <c r="V517" i="12"/>
  <c r="W517" i="12"/>
  <c r="Z517" i="12"/>
  <c r="AC517" i="12"/>
  <c r="AF517" i="12"/>
  <c r="S518" i="12"/>
  <c r="AA518" i="12"/>
  <c r="AD518" i="12"/>
  <c r="AG518" i="12"/>
  <c r="S519" i="12"/>
  <c r="AA519" i="12"/>
  <c r="AD519" i="12"/>
  <c r="AG519" i="12"/>
  <c r="S520" i="12"/>
  <c r="AA520" i="12"/>
  <c r="AD520" i="12"/>
  <c r="AG520" i="12"/>
  <c r="S521" i="12"/>
  <c r="AA521" i="12"/>
  <c r="AD521" i="12"/>
  <c r="AG521" i="12"/>
  <c r="S522" i="12"/>
  <c r="AA522" i="12"/>
  <c r="AD522" i="12"/>
  <c r="AG522" i="12"/>
  <c r="S523" i="12"/>
  <c r="AA523" i="12"/>
  <c r="AD523" i="12"/>
  <c r="AG523" i="12"/>
  <c r="S524" i="12"/>
  <c r="AA524" i="12"/>
  <c r="AD524" i="12"/>
  <c r="AG524" i="12"/>
  <c r="S525" i="12"/>
  <c r="AA525" i="12"/>
  <c r="AD525" i="12"/>
  <c r="AG525" i="12"/>
  <c r="S526" i="12"/>
  <c r="AA526" i="12"/>
  <c r="AD526" i="12"/>
  <c r="AG526" i="12"/>
  <c r="S527" i="12"/>
  <c r="AA527" i="12"/>
  <c r="AD527" i="12"/>
  <c r="AG527" i="12"/>
  <c r="S528" i="12"/>
  <c r="AA528" i="12"/>
  <c r="AD528" i="12"/>
  <c r="AG528" i="12"/>
  <c r="S529" i="12"/>
  <c r="AA529" i="12"/>
  <c r="AD529" i="12"/>
  <c r="AG529" i="12"/>
  <c r="S530" i="12"/>
  <c r="AA530" i="12"/>
  <c r="AD530" i="12"/>
  <c r="AG530" i="12"/>
  <c r="S531" i="12"/>
  <c r="AA531" i="12"/>
  <c r="AD531" i="12"/>
  <c r="AG531" i="12"/>
  <c r="S532" i="12"/>
  <c r="AA532" i="12"/>
  <c r="AD532" i="12"/>
  <c r="AG532" i="12"/>
  <c r="S533" i="12"/>
  <c r="AA533" i="12"/>
  <c r="AD533" i="12"/>
  <c r="AG533" i="12"/>
  <c r="V534" i="12"/>
  <c r="W534" i="12"/>
  <c r="Z534" i="12"/>
  <c r="AC534" i="12"/>
  <c r="AF534" i="12"/>
  <c r="S535" i="12"/>
  <c r="AA535" i="12"/>
  <c r="AD535" i="12"/>
  <c r="AG535" i="12"/>
  <c r="S536" i="12"/>
  <c r="AA536" i="12"/>
  <c r="AD536" i="12"/>
  <c r="AG536" i="12"/>
  <c r="S537" i="12"/>
  <c r="AA537" i="12"/>
  <c r="AD537" i="12"/>
  <c r="AG537" i="12"/>
  <c r="S538" i="12"/>
  <c r="AA538" i="12"/>
  <c r="AD538" i="12"/>
  <c r="AG538" i="12"/>
  <c r="S539" i="12"/>
  <c r="AA539" i="12"/>
  <c r="AD539" i="12"/>
  <c r="AG539" i="12"/>
  <c r="S540" i="12"/>
  <c r="AA540" i="12"/>
  <c r="AD540" i="12"/>
  <c r="AG540" i="12"/>
  <c r="S541" i="12"/>
  <c r="AA541" i="12"/>
  <c r="AD541" i="12"/>
  <c r="AG541" i="12"/>
  <c r="S542" i="12"/>
  <c r="AA542" i="12"/>
  <c r="AD542" i="12"/>
  <c r="AG542" i="12"/>
  <c r="S543" i="12"/>
  <c r="AA543" i="12"/>
  <c r="AD543" i="12"/>
  <c r="AG543" i="12"/>
  <c r="S544" i="12"/>
  <c r="AA544" i="12"/>
  <c r="AD544" i="12"/>
  <c r="AG544" i="12"/>
  <c r="S545" i="12"/>
  <c r="AA545" i="12"/>
  <c r="AD545" i="12"/>
  <c r="AG545" i="12"/>
  <c r="S546" i="12"/>
  <c r="AA546" i="12"/>
  <c r="AD546" i="12"/>
  <c r="AG546" i="12"/>
  <c r="S547" i="12"/>
  <c r="AA547" i="12"/>
  <c r="AD547" i="12"/>
  <c r="AG547" i="12"/>
  <c r="V548" i="12"/>
  <c r="W548" i="12"/>
  <c r="Z548" i="12"/>
  <c r="AC548" i="12"/>
  <c r="AF548" i="12"/>
  <c r="S549" i="12"/>
  <c r="AA549" i="12"/>
  <c r="AD549" i="12"/>
  <c r="AG549" i="12"/>
  <c r="S550" i="12"/>
  <c r="AA550" i="12"/>
  <c r="AD550" i="12"/>
  <c r="AG550" i="12"/>
  <c r="S551" i="12"/>
  <c r="AA551" i="12"/>
  <c r="AD551" i="12"/>
  <c r="AG551" i="12"/>
  <c r="S552" i="12"/>
  <c r="AA552" i="12"/>
  <c r="AD552" i="12"/>
  <c r="AG552" i="12"/>
  <c r="S553" i="12"/>
  <c r="AA553" i="12"/>
  <c r="AD553" i="12"/>
  <c r="AG553" i="12"/>
  <c r="S554" i="12"/>
  <c r="AA554" i="12"/>
  <c r="AD554" i="12"/>
  <c r="AG554" i="12"/>
  <c r="S555" i="12"/>
  <c r="AA555" i="12"/>
  <c r="AD555" i="12"/>
  <c r="AG555" i="12"/>
  <c r="S556" i="12"/>
  <c r="AA556" i="12"/>
  <c r="AD556" i="12"/>
  <c r="AG556" i="12"/>
  <c r="S557" i="12"/>
  <c r="AA557" i="12"/>
  <c r="AD557" i="12"/>
  <c r="AG557" i="12"/>
  <c r="S558" i="12"/>
  <c r="AA558" i="12"/>
  <c r="AD558" i="12"/>
  <c r="AG558" i="12"/>
  <c r="S559" i="12"/>
  <c r="AA559" i="12"/>
  <c r="AD559" i="12"/>
  <c r="AG559" i="12"/>
  <c r="S560" i="12"/>
  <c r="AA560" i="12"/>
  <c r="AD560" i="12"/>
  <c r="AG560" i="12"/>
  <c r="S561" i="12"/>
  <c r="AA561" i="12"/>
  <c r="AD561" i="12"/>
  <c r="AG561" i="12"/>
  <c r="S562" i="12"/>
  <c r="AA562" i="12"/>
  <c r="AD562" i="12"/>
  <c r="AG562" i="12"/>
  <c r="V563" i="12"/>
  <c r="W563" i="12"/>
  <c r="S564" i="12"/>
  <c r="AA564" i="12"/>
  <c r="AD564" i="12"/>
  <c r="AG564" i="12"/>
  <c r="S565" i="12"/>
  <c r="AA565" i="12"/>
  <c r="AD565" i="12"/>
  <c r="AG565" i="12"/>
  <c r="V648" i="12"/>
  <c r="W648" i="12"/>
  <c r="Z648" i="12"/>
  <c r="Z671" i="12"/>
  <c r="AC648" i="12"/>
  <c r="AF648" i="12"/>
  <c r="AF671" i="12"/>
  <c r="AF670" i="12"/>
  <c r="AF647" i="12"/>
  <c r="AF646" i="12"/>
  <c r="K649" i="12"/>
  <c r="O649" i="12"/>
  <c r="S649" i="12"/>
  <c r="AA649" i="12"/>
  <c r="AD649" i="12"/>
  <c r="AG649" i="12"/>
  <c r="K650" i="12"/>
  <c r="O650" i="12"/>
  <c r="S650" i="12"/>
  <c r="AA650" i="12"/>
  <c r="AD650" i="12"/>
  <c r="AG650" i="12"/>
  <c r="K651" i="12"/>
  <c r="O651" i="12"/>
  <c r="S651" i="12"/>
  <c r="AA651" i="12"/>
  <c r="AD651" i="12"/>
  <c r="AG651" i="12"/>
  <c r="K652" i="12"/>
  <c r="O652" i="12"/>
  <c r="S652" i="12"/>
  <c r="AA652" i="12"/>
  <c r="AD652" i="12"/>
  <c r="AG652" i="12"/>
  <c r="K653" i="12"/>
  <c r="O653" i="12"/>
  <c r="S653" i="12"/>
  <c r="AA653" i="12"/>
  <c r="AD653" i="12"/>
  <c r="AG653" i="12"/>
  <c r="K654" i="12"/>
  <c r="O654" i="12"/>
  <c r="S654" i="12"/>
  <c r="AA654" i="12"/>
  <c r="AD654" i="12"/>
  <c r="AG654" i="12"/>
  <c r="K655" i="12"/>
  <c r="O655" i="12"/>
  <c r="S655" i="12"/>
  <c r="AA655" i="12"/>
  <c r="AD655" i="12"/>
  <c r="AG655" i="12"/>
  <c r="K656" i="12"/>
  <c r="O656" i="12"/>
  <c r="S656" i="12"/>
  <c r="AA656" i="12"/>
  <c r="AD656" i="12"/>
  <c r="AG656" i="12"/>
  <c r="K657" i="12"/>
  <c r="O657" i="12"/>
  <c r="S657" i="12"/>
  <c r="AA657" i="12"/>
  <c r="AD657" i="12"/>
  <c r="AG657" i="12"/>
  <c r="K658" i="12"/>
  <c r="O658" i="12"/>
  <c r="S658" i="12"/>
  <c r="AA658" i="12"/>
  <c r="AD658" i="12"/>
  <c r="AG658" i="12"/>
  <c r="K659" i="12"/>
  <c r="O659" i="12"/>
  <c r="S659" i="12"/>
  <c r="AA659" i="12"/>
  <c r="AD659" i="12"/>
  <c r="AG659" i="12"/>
  <c r="K660" i="12"/>
  <c r="O660" i="12"/>
  <c r="S660" i="12"/>
  <c r="AA660" i="12"/>
  <c r="AD660" i="12"/>
  <c r="AG660" i="12"/>
  <c r="K661" i="12"/>
  <c r="O661" i="12"/>
  <c r="S661" i="12"/>
  <c r="AA661" i="12"/>
  <c r="AD661" i="12"/>
  <c r="AG661" i="12"/>
  <c r="K662" i="12"/>
  <c r="O662" i="12"/>
  <c r="S662" i="12"/>
  <c r="AA662" i="12"/>
  <c r="AD662" i="12"/>
  <c r="AG662" i="12"/>
  <c r="K663" i="12"/>
  <c r="O663" i="12"/>
  <c r="S663" i="12"/>
  <c r="AA663" i="12"/>
  <c r="AD663" i="12"/>
  <c r="AG663" i="12"/>
  <c r="K664" i="12"/>
  <c r="O664" i="12"/>
  <c r="S664" i="12"/>
  <c r="AA664" i="12"/>
  <c r="AD664" i="12"/>
  <c r="AG664" i="12"/>
  <c r="K665" i="12"/>
  <c r="O665" i="12"/>
  <c r="S665" i="12"/>
  <c r="AA665" i="12"/>
  <c r="AD665" i="12"/>
  <c r="AG665" i="12"/>
  <c r="K666" i="12"/>
  <c r="O666" i="12"/>
  <c r="S666" i="12"/>
  <c r="AA666" i="12"/>
  <c r="AD666" i="12"/>
  <c r="AG666" i="12"/>
  <c r="K667" i="12"/>
  <c r="O667" i="12"/>
  <c r="S667" i="12"/>
  <c r="AA667" i="12"/>
  <c r="AD667" i="12"/>
  <c r="AG667" i="12"/>
  <c r="K668" i="12"/>
  <c r="O668" i="12"/>
  <c r="S668" i="12"/>
  <c r="AA668" i="12"/>
  <c r="AD668" i="12"/>
  <c r="AG668" i="12"/>
  <c r="K669" i="12"/>
  <c r="O669" i="12"/>
  <c r="S669" i="12"/>
  <c r="AA669" i="12"/>
  <c r="AD669" i="12"/>
  <c r="AG669" i="12"/>
  <c r="V670" i="12"/>
  <c r="W670" i="12"/>
  <c r="K671" i="12"/>
  <c r="O671" i="12"/>
  <c r="S671" i="12"/>
  <c r="AA671" i="12"/>
  <c r="AD671" i="12"/>
  <c r="AG671" i="12"/>
  <c r="V616" i="12"/>
  <c r="W616" i="12"/>
  <c r="Z616" i="12"/>
  <c r="K617" i="12"/>
  <c r="O617" i="12"/>
  <c r="S617" i="12"/>
  <c r="K618" i="12"/>
  <c r="O618" i="12"/>
  <c r="S618" i="12"/>
  <c r="K619" i="12"/>
  <c r="O619" i="12"/>
  <c r="S619" i="12"/>
  <c r="K620" i="12"/>
  <c r="O620" i="12"/>
  <c r="S620" i="12"/>
  <c r="K621" i="12"/>
  <c r="O621" i="12"/>
  <c r="S621" i="12"/>
  <c r="K622" i="12"/>
  <c r="O622" i="12"/>
  <c r="S622" i="12"/>
  <c r="K623" i="12"/>
  <c r="O623" i="12"/>
  <c r="S623" i="12"/>
  <c r="K624" i="12"/>
  <c r="O624" i="12"/>
  <c r="S624" i="12"/>
  <c r="K625" i="12"/>
  <c r="O625" i="12"/>
  <c r="S625" i="12"/>
  <c r="K626" i="12"/>
  <c r="O626" i="12"/>
  <c r="S626" i="12"/>
  <c r="K627" i="12"/>
  <c r="O627" i="12"/>
  <c r="S627" i="12"/>
  <c r="K628" i="12"/>
  <c r="O628" i="12"/>
  <c r="S628" i="12"/>
  <c r="K629" i="12"/>
  <c r="O629" i="12"/>
  <c r="S629" i="12"/>
  <c r="K630" i="12"/>
  <c r="O630" i="12"/>
  <c r="S630" i="12"/>
  <c r="K631" i="12"/>
  <c r="O631" i="12"/>
  <c r="S631" i="12"/>
  <c r="K632" i="12"/>
  <c r="O632" i="12"/>
  <c r="S632" i="12"/>
  <c r="K633" i="12"/>
  <c r="O633" i="12"/>
  <c r="S633" i="12"/>
  <c r="K634" i="12"/>
  <c r="O634" i="12"/>
  <c r="S634" i="12"/>
  <c r="K635" i="12"/>
  <c r="O635" i="12"/>
  <c r="S635" i="12"/>
  <c r="K636" i="12"/>
  <c r="O636" i="12"/>
  <c r="S636" i="12"/>
  <c r="K637" i="12"/>
  <c r="O637" i="12"/>
  <c r="S637" i="12"/>
  <c r="K638" i="12"/>
  <c r="O638" i="12"/>
  <c r="S638" i="12"/>
  <c r="K639" i="12"/>
  <c r="O639" i="12"/>
  <c r="S639" i="12"/>
  <c r="K640" i="12"/>
  <c r="O640" i="12"/>
  <c r="S640" i="12"/>
  <c r="K641" i="12"/>
  <c r="O641" i="12"/>
  <c r="S641" i="12"/>
  <c r="V642" i="12"/>
  <c r="W642" i="12"/>
  <c r="V569" i="12"/>
  <c r="W569" i="12"/>
  <c r="Z569" i="12"/>
  <c r="AC569" i="12"/>
  <c r="AF569" i="12"/>
  <c r="S570" i="12"/>
  <c r="AA570" i="12"/>
  <c r="AD570" i="12"/>
  <c r="AG570" i="12"/>
  <c r="S571" i="12"/>
  <c r="AA571" i="12"/>
  <c r="AD571" i="12"/>
  <c r="AG571" i="12"/>
  <c r="S572" i="12"/>
  <c r="AA572" i="12"/>
  <c r="AD572" i="12"/>
  <c r="AG572" i="12"/>
  <c r="S573" i="12"/>
  <c r="AA573" i="12"/>
  <c r="AD573" i="12"/>
  <c r="AG573" i="12"/>
  <c r="S574" i="12"/>
  <c r="AA574" i="12"/>
  <c r="AD574" i="12"/>
  <c r="AG574" i="12"/>
  <c r="S575" i="12"/>
  <c r="AA575" i="12"/>
  <c r="AD575" i="12"/>
  <c r="AG575" i="12"/>
  <c r="S576" i="12"/>
  <c r="AA576" i="12"/>
  <c r="AD576" i="12"/>
  <c r="AG576" i="12"/>
  <c r="S577" i="12"/>
  <c r="AA577" i="12"/>
  <c r="AD577" i="12"/>
  <c r="AG577" i="12"/>
  <c r="S578" i="12"/>
  <c r="AA578" i="12"/>
  <c r="AD578" i="12"/>
  <c r="AG578" i="12"/>
  <c r="S579" i="12"/>
  <c r="AA579" i="12"/>
  <c r="AD579" i="12"/>
  <c r="AG579" i="12"/>
  <c r="S580" i="12"/>
  <c r="AA580" i="12"/>
  <c r="AD580" i="12"/>
  <c r="AG580" i="12"/>
  <c r="S581" i="12"/>
  <c r="AA581" i="12"/>
  <c r="AD581" i="12"/>
  <c r="AG581" i="12"/>
  <c r="S582" i="12"/>
  <c r="AA582" i="12"/>
  <c r="AD582" i="12"/>
  <c r="AG582" i="12"/>
  <c r="S583" i="12"/>
  <c r="AA583" i="12"/>
  <c r="AD583" i="12"/>
  <c r="AG583" i="12"/>
  <c r="S584" i="12"/>
  <c r="AA584" i="12"/>
  <c r="AD584" i="12"/>
  <c r="AG584" i="12"/>
  <c r="S585" i="12"/>
  <c r="AA585" i="12"/>
  <c r="AD585" i="12"/>
  <c r="AG585" i="12"/>
  <c r="S586" i="12"/>
  <c r="AA586" i="12"/>
  <c r="AD586" i="12"/>
  <c r="AG586" i="12"/>
  <c r="S587" i="12"/>
  <c r="AA587" i="12"/>
  <c r="AD587" i="12"/>
  <c r="AG587" i="12"/>
  <c r="S588" i="12"/>
  <c r="AA588" i="12"/>
  <c r="AD588" i="12"/>
  <c r="AG588" i="12"/>
  <c r="S589" i="12"/>
  <c r="AA589" i="12"/>
  <c r="AD589" i="12"/>
  <c r="AG589" i="12"/>
  <c r="S590" i="12"/>
  <c r="AA590" i="12"/>
  <c r="AD590" i="12"/>
  <c r="AG590" i="12"/>
  <c r="S591" i="12"/>
  <c r="AA591" i="12"/>
  <c r="AD591" i="12"/>
  <c r="AG591" i="12"/>
  <c r="S592" i="12"/>
  <c r="AA592" i="12"/>
  <c r="AD592" i="12"/>
  <c r="AG592" i="12"/>
  <c r="S593" i="12"/>
  <c r="AA593" i="12"/>
  <c r="AD593" i="12"/>
  <c r="AG593" i="12"/>
  <c r="S594" i="12"/>
  <c r="AA594" i="12"/>
  <c r="AD594" i="12"/>
  <c r="AG594" i="12"/>
  <c r="S595" i="12"/>
  <c r="AA595" i="12"/>
  <c r="AD595" i="12"/>
  <c r="AG595" i="12"/>
  <c r="S596" i="12"/>
  <c r="AA596" i="12"/>
  <c r="AD596" i="12"/>
  <c r="AG596" i="12"/>
  <c r="S597" i="12"/>
  <c r="AA597" i="12"/>
  <c r="AD597" i="12"/>
  <c r="AG597" i="12"/>
  <c r="V598" i="12"/>
  <c r="W598" i="12"/>
  <c r="Z598" i="12"/>
  <c r="AC598" i="12"/>
  <c r="AF598" i="12"/>
  <c r="S599" i="12"/>
  <c r="AA599" i="12"/>
  <c r="AD599" i="12"/>
  <c r="AG599" i="12"/>
  <c r="S600" i="12"/>
  <c r="AA600" i="12"/>
  <c r="AD600" i="12"/>
  <c r="AG600" i="12"/>
  <c r="S601" i="12"/>
  <c r="AA601" i="12"/>
  <c r="AD601" i="12"/>
  <c r="AG601" i="12"/>
  <c r="S602" i="12"/>
  <c r="AA602" i="12"/>
  <c r="AD602" i="12"/>
  <c r="AG602" i="12"/>
  <c r="S603" i="12"/>
  <c r="AA603" i="12"/>
  <c r="AD603" i="12"/>
  <c r="AG603" i="12"/>
  <c r="S604" i="12"/>
  <c r="AA604" i="12"/>
  <c r="AD604" i="12"/>
  <c r="AG604" i="12"/>
  <c r="S605" i="12"/>
  <c r="AA605" i="12"/>
  <c r="AD605" i="12"/>
  <c r="AG605" i="12"/>
  <c r="S606" i="12"/>
  <c r="AA606" i="12"/>
  <c r="AD606" i="12"/>
  <c r="AG606" i="12"/>
  <c r="S607" i="12"/>
  <c r="AA607" i="12"/>
  <c r="AD607" i="12"/>
  <c r="AG607" i="12"/>
  <c r="S608" i="12"/>
  <c r="AA608" i="12"/>
  <c r="AD608" i="12"/>
  <c r="AG608" i="12"/>
  <c r="S609" i="12"/>
  <c r="AA609" i="12"/>
  <c r="AD609" i="12"/>
  <c r="AG609" i="12"/>
  <c r="V610" i="12"/>
  <c r="W610" i="12"/>
  <c r="S611" i="12"/>
  <c r="AA611" i="12"/>
  <c r="AD611" i="12"/>
  <c r="AG611" i="12"/>
  <c r="S612" i="12"/>
  <c r="AA612" i="12"/>
  <c r="AD612" i="12"/>
  <c r="AG612" i="12"/>
  <c r="V338" i="12"/>
  <c r="W338" i="12"/>
  <c r="Z338" i="12"/>
  <c r="AC338" i="12"/>
  <c r="AF338" i="12"/>
  <c r="S339" i="12"/>
  <c r="AA339" i="12"/>
  <c r="AD339" i="12"/>
  <c r="AG339" i="12"/>
  <c r="S340" i="12"/>
  <c r="AA340" i="12"/>
  <c r="AD340" i="12"/>
  <c r="AG340" i="12"/>
  <c r="S341" i="12"/>
  <c r="AA341" i="12"/>
  <c r="AD341" i="12"/>
  <c r="AG341" i="12"/>
  <c r="S342" i="12"/>
  <c r="AA342" i="12"/>
  <c r="AD342" i="12"/>
  <c r="AG342" i="12"/>
  <c r="S343" i="12"/>
  <c r="AA343" i="12"/>
  <c r="AD343" i="12"/>
  <c r="AG343" i="12"/>
  <c r="S344" i="12"/>
  <c r="AA344" i="12"/>
  <c r="AD344" i="12"/>
  <c r="AG344" i="12"/>
  <c r="S345" i="12"/>
  <c r="AA345" i="12"/>
  <c r="AD345" i="12"/>
  <c r="AG345" i="12"/>
  <c r="S346" i="12"/>
  <c r="AA346" i="12"/>
  <c r="AD346" i="12"/>
  <c r="AG346" i="12"/>
  <c r="S347" i="12"/>
  <c r="AA347" i="12"/>
  <c r="AD347" i="12"/>
  <c r="AG347" i="12"/>
  <c r="R348" i="12"/>
  <c r="S348" i="12"/>
  <c r="U348" i="12"/>
  <c r="AA348" i="12"/>
  <c r="AD348" i="12"/>
  <c r="AG348" i="12"/>
  <c r="S349" i="12"/>
  <c r="AA349" i="12"/>
  <c r="AD349" i="12"/>
  <c r="AG349" i="12"/>
  <c r="S350" i="12"/>
  <c r="AA350" i="12"/>
  <c r="AD350" i="12"/>
  <c r="AG350" i="12"/>
  <c r="S351" i="12"/>
  <c r="AA351" i="12"/>
  <c r="AD351" i="12"/>
  <c r="AG351" i="12"/>
  <c r="S352" i="12"/>
  <c r="AA352" i="12"/>
  <c r="AD352" i="12"/>
  <c r="AG352" i="12"/>
  <c r="S353" i="12"/>
  <c r="AA353" i="12"/>
  <c r="AD353" i="12"/>
  <c r="AG353" i="12"/>
  <c r="S354" i="12"/>
  <c r="AA354" i="12"/>
  <c r="AD354" i="12"/>
  <c r="AG354" i="12"/>
  <c r="S355" i="12"/>
  <c r="AA355" i="12"/>
  <c r="AD355" i="12"/>
  <c r="AG355" i="12"/>
  <c r="S356" i="12"/>
  <c r="AA356" i="12"/>
  <c r="AD356" i="12"/>
  <c r="AG356" i="12"/>
  <c r="S357" i="12"/>
  <c r="AA357" i="12"/>
  <c r="AD357" i="12"/>
  <c r="AG357" i="12"/>
  <c r="S358" i="12"/>
  <c r="AA358" i="12"/>
  <c r="AD358" i="12"/>
  <c r="AG358" i="12"/>
  <c r="S359" i="12"/>
  <c r="AA359" i="12"/>
  <c r="AD359" i="12"/>
  <c r="AG359" i="12"/>
  <c r="S360" i="12"/>
  <c r="AA360" i="12"/>
  <c r="AD360" i="12"/>
  <c r="AG360" i="12"/>
  <c r="S361" i="12"/>
  <c r="AA361" i="12"/>
  <c r="AD361" i="12"/>
  <c r="AG361" i="12"/>
  <c r="S362" i="12"/>
  <c r="AA362" i="12"/>
  <c r="AD362" i="12"/>
  <c r="AG362" i="12"/>
  <c r="S363" i="12"/>
  <c r="AA363" i="12"/>
  <c r="AD363" i="12"/>
  <c r="AG363" i="12"/>
  <c r="S364" i="12"/>
  <c r="AA364" i="12"/>
  <c r="AD364" i="12"/>
  <c r="AG364" i="12"/>
  <c r="S365" i="12"/>
  <c r="AA365" i="12"/>
  <c r="AD365" i="12"/>
  <c r="AG365" i="12"/>
  <c r="S366" i="12"/>
  <c r="AA366" i="12"/>
  <c r="AD366" i="12"/>
  <c r="AG366" i="12"/>
  <c r="S367" i="12"/>
  <c r="AA367" i="12"/>
  <c r="AD367" i="12"/>
  <c r="AG367" i="12"/>
  <c r="S368" i="12"/>
  <c r="AA368" i="12"/>
  <c r="AD368" i="12"/>
  <c r="AG368" i="12"/>
  <c r="S369" i="12"/>
  <c r="AA369" i="12"/>
  <c r="AD369" i="12"/>
  <c r="AG369" i="12"/>
  <c r="S370" i="12"/>
  <c r="AA370" i="12"/>
  <c r="AD370" i="12"/>
  <c r="AG370" i="12"/>
  <c r="S371" i="12"/>
  <c r="AA371" i="12"/>
  <c r="AD371" i="12"/>
  <c r="AG371" i="12"/>
  <c r="S372" i="12"/>
  <c r="AA372" i="12"/>
  <c r="AD372" i="12"/>
  <c r="AG372" i="12"/>
  <c r="S373" i="12"/>
  <c r="AA373" i="12"/>
  <c r="AD373" i="12"/>
  <c r="AG373" i="12"/>
  <c r="S374" i="12"/>
  <c r="AA374" i="12"/>
  <c r="AD374" i="12"/>
  <c r="AG374" i="12"/>
  <c r="S375" i="12"/>
  <c r="AA375" i="12"/>
  <c r="AD375" i="12"/>
  <c r="AG375" i="12"/>
  <c r="S376" i="12"/>
  <c r="AA376" i="12"/>
  <c r="AD376" i="12"/>
  <c r="AG376" i="12"/>
  <c r="S377" i="12"/>
  <c r="AA377" i="12"/>
  <c r="AD377" i="12"/>
  <c r="AG377" i="12"/>
  <c r="S378" i="12"/>
  <c r="AA378" i="12"/>
  <c r="AD378" i="12"/>
  <c r="AG378" i="12"/>
  <c r="V379" i="12"/>
  <c r="W379" i="12"/>
  <c r="Z379" i="12"/>
  <c r="AC379" i="12"/>
  <c r="AF379" i="12"/>
  <c r="S380" i="12"/>
  <c r="AA380" i="12"/>
  <c r="AD380" i="12"/>
  <c r="AG380" i="12"/>
  <c r="S381" i="12"/>
  <c r="AA381" i="12"/>
  <c r="AD381" i="12"/>
  <c r="AG381" i="12"/>
  <c r="S382" i="12"/>
  <c r="AA382" i="12"/>
  <c r="AD382" i="12"/>
  <c r="AG382" i="12"/>
  <c r="S383" i="12"/>
  <c r="AA383" i="12"/>
  <c r="AD383" i="12"/>
  <c r="AG383" i="12"/>
  <c r="S384" i="12"/>
  <c r="AA384" i="12"/>
  <c r="AD384" i="12"/>
  <c r="AG384" i="12"/>
  <c r="S385" i="12"/>
  <c r="AA385" i="12"/>
  <c r="AD385" i="12"/>
  <c r="AG385" i="12"/>
  <c r="S386" i="12"/>
  <c r="AA386" i="12"/>
  <c r="AD386" i="12"/>
  <c r="AG386" i="12"/>
  <c r="S387" i="12"/>
  <c r="AA387" i="12"/>
  <c r="AD387" i="12"/>
  <c r="AG387" i="12"/>
  <c r="S388" i="12"/>
  <c r="AA388" i="12"/>
  <c r="AD388" i="12"/>
  <c r="AG388" i="12"/>
  <c r="S389" i="12"/>
  <c r="AA389" i="12"/>
  <c r="AD389" i="12"/>
  <c r="AG389" i="12"/>
  <c r="S390" i="12"/>
  <c r="AA390" i="12"/>
  <c r="AD390" i="12"/>
  <c r="AG390" i="12"/>
  <c r="S391" i="12"/>
  <c r="AA391" i="12"/>
  <c r="AD391" i="12"/>
  <c r="AG391" i="12"/>
  <c r="S392" i="12"/>
  <c r="AA392" i="12"/>
  <c r="AD392" i="12"/>
  <c r="AG392" i="12"/>
  <c r="S393" i="12"/>
  <c r="AA393" i="12"/>
  <c r="AD393" i="12"/>
  <c r="AG393" i="12"/>
  <c r="S394" i="12"/>
  <c r="AA394" i="12"/>
  <c r="AD394" i="12"/>
  <c r="AG394" i="12"/>
  <c r="S395" i="12"/>
  <c r="AA395" i="12"/>
  <c r="AD395" i="12"/>
  <c r="AG395" i="12"/>
  <c r="S396" i="12"/>
  <c r="AA396" i="12"/>
  <c r="AD396" i="12"/>
  <c r="AG396" i="12"/>
  <c r="S397" i="12"/>
  <c r="AA397" i="12"/>
  <c r="AD397" i="12"/>
  <c r="AG397" i="12"/>
  <c r="S398" i="12"/>
  <c r="AA398" i="12"/>
  <c r="AD398" i="12"/>
  <c r="AG398" i="12"/>
  <c r="S399" i="12"/>
  <c r="AA399" i="12"/>
  <c r="AD399" i="12"/>
  <c r="AG399" i="12"/>
  <c r="S400" i="12"/>
  <c r="AA400" i="12"/>
  <c r="AD400" i="12"/>
  <c r="AG400" i="12"/>
  <c r="V401" i="12"/>
  <c r="W401" i="12"/>
  <c r="Z401" i="12"/>
  <c r="AC401" i="12"/>
  <c r="AF401" i="12"/>
  <c r="S402" i="12"/>
  <c r="AA402" i="12"/>
  <c r="AD402" i="12"/>
  <c r="AG402" i="12"/>
  <c r="S403" i="12"/>
  <c r="AA403" i="12"/>
  <c r="AD403" i="12"/>
  <c r="AG403" i="12"/>
  <c r="S404" i="12"/>
  <c r="AA404" i="12"/>
  <c r="AD404" i="12"/>
  <c r="AG404" i="12"/>
  <c r="S405" i="12"/>
  <c r="AA405" i="12"/>
  <c r="AD405" i="12"/>
  <c r="AG405" i="12"/>
  <c r="S406" i="12"/>
  <c r="AA406" i="12"/>
  <c r="AD406" i="12"/>
  <c r="AG406" i="12"/>
  <c r="S407" i="12"/>
  <c r="AA407" i="12"/>
  <c r="AD407" i="12"/>
  <c r="AG407" i="12"/>
  <c r="S408" i="12"/>
  <c r="AA408" i="12"/>
  <c r="AD408" i="12"/>
  <c r="AG408" i="12"/>
  <c r="S409" i="12"/>
  <c r="AA409" i="12"/>
  <c r="AD409" i="12"/>
  <c r="AG409" i="12"/>
  <c r="S410" i="12"/>
  <c r="AA410" i="12"/>
  <c r="AD410" i="12"/>
  <c r="AG410" i="12"/>
  <c r="S411" i="12"/>
  <c r="AA411" i="12"/>
  <c r="AD411" i="12"/>
  <c r="AG411" i="12"/>
  <c r="S412" i="12"/>
  <c r="AA412" i="12"/>
  <c r="AD412" i="12"/>
  <c r="AG412" i="12"/>
  <c r="S413" i="12"/>
  <c r="AA413" i="12"/>
  <c r="AD413" i="12"/>
  <c r="AG413" i="12"/>
  <c r="S414" i="12"/>
  <c r="AA414" i="12"/>
  <c r="AD414" i="12"/>
  <c r="AG414" i="12"/>
  <c r="V415" i="12"/>
  <c r="W415" i="12"/>
  <c r="Z415" i="12"/>
  <c r="AC415" i="12"/>
  <c r="AF415" i="12"/>
  <c r="S416" i="12"/>
  <c r="AA416" i="12"/>
  <c r="AD416" i="12"/>
  <c r="AG416" i="12"/>
  <c r="S417" i="12"/>
  <c r="AA417" i="12"/>
  <c r="AD417" i="12"/>
  <c r="AG417" i="12"/>
  <c r="S418" i="12"/>
  <c r="AA418" i="12"/>
  <c r="AD418" i="12"/>
  <c r="AG418" i="12"/>
  <c r="S419" i="12"/>
  <c r="AA419" i="12"/>
  <c r="AD419" i="12"/>
  <c r="AG419" i="12"/>
  <c r="S420" i="12"/>
  <c r="AA420" i="12"/>
  <c r="AD420" i="12"/>
  <c r="AG420" i="12"/>
  <c r="S421" i="12"/>
  <c r="AA421" i="12"/>
  <c r="AD421" i="12"/>
  <c r="AG421" i="12"/>
  <c r="S422" i="12"/>
  <c r="AA422" i="12"/>
  <c r="AD422" i="12"/>
  <c r="AG422" i="12"/>
  <c r="S423" i="12"/>
  <c r="AA423" i="12"/>
  <c r="AD423" i="12"/>
  <c r="AG423" i="12"/>
  <c r="S424" i="12"/>
  <c r="AA424" i="12"/>
  <c r="AD424" i="12"/>
  <c r="AG424" i="12"/>
  <c r="S425" i="12"/>
  <c r="AA425" i="12"/>
  <c r="AD425" i="12"/>
  <c r="AG425" i="12"/>
  <c r="S426" i="12"/>
  <c r="AA426" i="12"/>
  <c r="AD426" i="12"/>
  <c r="AG426" i="12"/>
  <c r="S427" i="12"/>
  <c r="AA427" i="12"/>
  <c r="AD427" i="12"/>
  <c r="AG427" i="12"/>
  <c r="S428" i="12"/>
  <c r="AA428" i="12"/>
  <c r="AD428" i="12"/>
  <c r="AG428" i="12"/>
  <c r="S429" i="12"/>
  <c r="AA429" i="12"/>
  <c r="AD429" i="12"/>
  <c r="AG429" i="12"/>
  <c r="S430" i="12"/>
  <c r="AA430" i="12"/>
  <c r="AD430" i="12"/>
  <c r="AG430" i="12"/>
  <c r="S431" i="12"/>
  <c r="AA431" i="12"/>
  <c r="AD431" i="12"/>
  <c r="AG431" i="12"/>
  <c r="S432" i="12"/>
  <c r="AA432" i="12"/>
  <c r="AD432" i="12"/>
  <c r="AG432" i="12"/>
  <c r="V433" i="12"/>
  <c r="W433" i="12"/>
  <c r="Z433" i="12"/>
  <c r="AC433" i="12"/>
  <c r="AF433" i="12"/>
  <c r="S434" i="12"/>
  <c r="AA434" i="12"/>
  <c r="AD434" i="12"/>
  <c r="AG434" i="12"/>
  <c r="S435" i="12"/>
  <c r="AA435" i="12"/>
  <c r="AD435" i="12"/>
  <c r="AG435" i="12"/>
  <c r="S436" i="12"/>
  <c r="AA436" i="12"/>
  <c r="AD436" i="12"/>
  <c r="AG436" i="12"/>
  <c r="S437" i="12"/>
  <c r="AA437" i="12"/>
  <c r="AD437" i="12"/>
  <c r="AG437" i="12"/>
  <c r="S438" i="12"/>
  <c r="AA438" i="12"/>
  <c r="AD438" i="12"/>
  <c r="AG438" i="12"/>
  <c r="S439" i="12"/>
  <c r="AA439" i="12"/>
  <c r="AD439" i="12"/>
  <c r="AG439" i="12"/>
  <c r="S440" i="12"/>
  <c r="AA440" i="12"/>
  <c r="AD440" i="12"/>
  <c r="AG440" i="12"/>
  <c r="S441" i="12"/>
  <c r="AA441" i="12"/>
  <c r="AD441" i="12"/>
  <c r="AG441" i="12"/>
  <c r="S442" i="12"/>
  <c r="AA442" i="12"/>
  <c r="AD442" i="12"/>
  <c r="AG442" i="12"/>
  <c r="S443" i="12"/>
  <c r="AA443" i="12"/>
  <c r="AD443" i="12"/>
  <c r="AG443" i="12"/>
  <c r="S444" i="12"/>
  <c r="AA444" i="12"/>
  <c r="AD444" i="12"/>
  <c r="AG444" i="12"/>
  <c r="S445" i="12"/>
  <c r="AA445" i="12"/>
  <c r="AD445" i="12"/>
  <c r="AG445" i="12"/>
  <c r="S446" i="12"/>
  <c r="AA446" i="12"/>
  <c r="AD446" i="12"/>
  <c r="AG446" i="12"/>
  <c r="V447" i="12"/>
  <c r="W447" i="12"/>
  <c r="Z447" i="12"/>
  <c r="AC447" i="12"/>
  <c r="AF447" i="12"/>
  <c r="S448" i="12"/>
  <c r="AA448" i="12"/>
  <c r="AD448" i="12"/>
  <c r="AG448" i="12"/>
  <c r="S449" i="12"/>
  <c r="AA449" i="12"/>
  <c r="AD449" i="12"/>
  <c r="AG449" i="12"/>
  <c r="S450" i="12"/>
  <c r="AA450" i="12"/>
  <c r="AD450" i="12"/>
  <c r="AG450" i="12"/>
  <c r="S451" i="12"/>
  <c r="AA451" i="12"/>
  <c r="AD451" i="12"/>
  <c r="AG451" i="12"/>
  <c r="S452" i="12"/>
  <c r="AA452" i="12"/>
  <c r="AD452" i="12"/>
  <c r="AG452" i="12"/>
  <c r="S453" i="12"/>
  <c r="AA453" i="12"/>
  <c r="AD453" i="12"/>
  <c r="AG453" i="12"/>
  <c r="S454" i="12"/>
  <c r="AA454" i="12"/>
  <c r="AD454" i="12"/>
  <c r="AG454" i="12"/>
  <c r="S455" i="12"/>
  <c r="AA455" i="12"/>
  <c r="AD455" i="12"/>
  <c r="AG455" i="12"/>
  <c r="S456" i="12"/>
  <c r="AA456" i="12"/>
  <c r="AD456" i="12"/>
  <c r="AG456" i="12"/>
  <c r="S457" i="12"/>
  <c r="AA457" i="12"/>
  <c r="AD457" i="12"/>
  <c r="AG457" i="12"/>
  <c r="S458" i="12"/>
  <c r="AA458" i="12"/>
  <c r="AD458" i="12"/>
  <c r="AG458" i="12"/>
  <c r="S459" i="12"/>
  <c r="AA459" i="12"/>
  <c r="AD459" i="12"/>
  <c r="AG459" i="12"/>
  <c r="S460" i="12"/>
  <c r="AA460" i="12"/>
  <c r="AD460" i="12"/>
  <c r="AG460" i="12"/>
  <c r="S461" i="12"/>
  <c r="AA461" i="12"/>
  <c r="AD461" i="12"/>
  <c r="AG461" i="12"/>
  <c r="S462" i="12"/>
  <c r="AA462" i="12"/>
  <c r="AD462" i="12"/>
  <c r="AG462" i="12"/>
  <c r="S463" i="12"/>
  <c r="AA463" i="12"/>
  <c r="AD463" i="12"/>
  <c r="AG463" i="12"/>
  <c r="S464" i="12"/>
  <c r="AA464" i="12"/>
  <c r="AD464" i="12"/>
  <c r="AG464" i="12"/>
  <c r="S465" i="12"/>
  <c r="AA465" i="12"/>
  <c r="AD465" i="12"/>
  <c r="AG465" i="12"/>
  <c r="S466" i="12"/>
  <c r="AA466" i="12"/>
  <c r="AD466" i="12"/>
  <c r="AG466" i="12"/>
  <c r="V467" i="12"/>
  <c r="W467" i="12"/>
  <c r="S468" i="12"/>
  <c r="AA468" i="12"/>
  <c r="AD468" i="12"/>
  <c r="AG468" i="12"/>
  <c r="S469" i="12"/>
  <c r="AA469" i="12"/>
  <c r="AD469" i="12"/>
  <c r="AG469" i="12"/>
  <c r="V332" i="12"/>
  <c r="W332" i="12"/>
  <c r="S322" i="12"/>
  <c r="AA322" i="12"/>
  <c r="AD322" i="12"/>
  <c r="S294" i="12"/>
  <c r="AA294" i="12"/>
  <c r="AD294" i="12"/>
  <c r="S295" i="12"/>
  <c r="AA295" i="12"/>
  <c r="AD295" i="12"/>
  <c r="S296" i="12"/>
  <c r="AA296" i="12"/>
  <c r="AD296" i="12"/>
  <c r="S297" i="12"/>
  <c r="AA297" i="12"/>
  <c r="AD297" i="12"/>
  <c r="S298" i="12"/>
  <c r="AA298" i="12"/>
  <c r="AD298" i="12"/>
  <c r="S299" i="12"/>
  <c r="AA299" i="12"/>
  <c r="AD299" i="12"/>
  <c r="S300" i="12"/>
  <c r="AA300" i="12"/>
  <c r="AD300" i="12"/>
  <c r="S301" i="12"/>
  <c r="AA301" i="12"/>
  <c r="AD301" i="12"/>
  <c r="S302" i="12"/>
  <c r="AA302" i="12"/>
  <c r="AD302" i="12"/>
  <c r="S303" i="12"/>
  <c r="AA303" i="12"/>
  <c r="AD303" i="12"/>
  <c r="S304" i="12"/>
  <c r="AA304" i="12"/>
  <c r="AD304" i="12"/>
  <c r="S305" i="12"/>
  <c r="AA305" i="12"/>
  <c r="AD305" i="12"/>
  <c r="S306" i="12"/>
  <c r="AA306" i="12"/>
  <c r="AD306" i="12"/>
  <c r="S307" i="12"/>
  <c r="AA307" i="12"/>
  <c r="AD307" i="12"/>
  <c r="S308" i="12"/>
  <c r="AA308" i="12"/>
  <c r="AD308" i="12"/>
  <c r="S272" i="12"/>
  <c r="AA272" i="12"/>
  <c r="AD272" i="12"/>
  <c r="AG272" i="12"/>
  <c r="S273" i="12"/>
  <c r="AA273" i="12"/>
  <c r="AD273" i="12"/>
  <c r="AG273" i="12"/>
  <c r="S274" i="12"/>
  <c r="AA274" i="12"/>
  <c r="AD274" i="12"/>
  <c r="AG274" i="12"/>
  <c r="S275" i="12"/>
  <c r="AA275" i="12"/>
  <c r="AD275" i="12"/>
  <c r="AG275" i="12"/>
  <c r="S276" i="12"/>
  <c r="AA276" i="12"/>
  <c r="AD276" i="12"/>
  <c r="AG276" i="12"/>
  <c r="S277" i="12"/>
  <c r="AA277" i="12"/>
  <c r="AD277" i="12"/>
  <c r="AG277" i="12"/>
  <c r="S278" i="12"/>
  <c r="AA278" i="12"/>
  <c r="AD278" i="12"/>
  <c r="AG278" i="12"/>
  <c r="S279" i="12"/>
  <c r="AA279" i="12"/>
  <c r="AD279" i="12"/>
  <c r="AG279" i="12"/>
  <c r="S280" i="12"/>
  <c r="AA280" i="12"/>
  <c r="AD280" i="12"/>
  <c r="AG280" i="12"/>
  <c r="S281" i="12"/>
  <c r="AA281" i="12"/>
  <c r="AD281" i="12"/>
  <c r="AG281" i="12"/>
  <c r="S282" i="12"/>
  <c r="AA282" i="12"/>
  <c r="AD282" i="12"/>
  <c r="AG282" i="12"/>
  <c r="S283" i="12"/>
  <c r="AA283" i="12"/>
  <c r="AD283" i="12"/>
  <c r="AG283" i="12"/>
  <c r="S284" i="12"/>
  <c r="AA284" i="12"/>
  <c r="AD284" i="12"/>
  <c r="AG284" i="12"/>
  <c r="S286" i="12"/>
  <c r="AA286" i="12"/>
  <c r="AD286" i="12"/>
  <c r="AG286" i="12"/>
  <c r="S287" i="12"/>
  <c r="AA287" i="12"/>
  <c r="AD287" i="12"/>
  <c r="AG287" i="12"/>
  <c r="S257" i="12"/>
  <c r="AA257" i="12"/>
  <c r="AD257" i="12"/>
  <c r="AG257" i="12"/>
  <c r="S258" i="12"/>
  <c r="AA258" i="12"/>
  <c r="AD258" i="12"/>
  <c r="AG258" i="12"/>
  <c r="S259" i="12"/>
  <c r="AA259" i="12"/>
  <c r="AD259" i="12"/>
  <c r="AG259" i="12"/>
  <c r="S260" i="12"/>
  <c r="AA260" i="12"/>
  <c r="AD260" i="12"/>
  <c r="AG260" i="12"/>
  <c r="S261" i="12"/>
  <c r="AA261" i="12"/>
  <c r="AD261" i="12"/>
  <c r="AG261" i="12"/>
  <c r="S262" i="12"/>
  <c r="AA262" i="12"/>
  <c r="AD262" i="12"/>
  <c r="AG262" i="12"/>
  <c r="S263" i="12"/>
  <c r="AA263" i="12"/>
  <c r="AD263" i="12"/>
  <c r="AG263" i="12"/>
  <c r="V215" i="12"/>
  <c r="W215" i="12"/>
  <c r="Z215" i="12"/>
  <c r="AC215" i="12"/>
  <c r="AF215" i="12"/>
  <c r="S216" i="12"/>
  <c r="AA216" i="12"/>
  <c r="AD216" i="12"/>
  <c r="AG216" i="12"/>
  <c r="S217" i="12"/>
  <c r="AA217" i="12"/>
  <c r="AD217" i="12"/>
  <c r="AG217" i="12"/>
  <c r="S218" i="12"/>
  <c r="AA218" i="12"/>
  <c r="AD218" i="12"/>
  <c r="AG218" i="12"/>
  <c r="S219" i="12"/>
  <c r="AA219" i="12"/>
  <c r="AD219" i="12"/>
  <c r="AG219" i="12"/>
  <c r="S220" i="12"/>
  <c r="AA220" i="12"/>
  <c r="AD220" i="12"/>
  <c r="AG220" i="12"/>
  <c r="S221" i="12"/>
  <c r="AA221" i="12"/>
  <c r="AD221" i="12"/>
  <c r="AG221" i="12"/>
  <c r="S222" i="12"/>
  <c r="AA222" i="12"/>
  <c r="AD222" i="12"/>
  <c r="AG222" i="12"/>
  <c r="S223" i="12"/>
  <c r="AA223" i="12"/>
  <c r="AD223" i="12"/>
  <c r="AG223" i="12"/>
  <c r="S224" i="12"/>
  <c r="AA224" i="12"/>
  <c r="AD224" i="12"/>
  <c r="AG224" i="12"/>
  <c r="S225" i="12"/>
  <c r="AA225" i="12"/>
  <c r="AD225" i="12"/>
  <c r="AG225" i="12"/>
  <c r="S226" i="12"/>
  <c r="AA226" i="12"/>
  <c r="AD226" i="12"/>
  <c r="AG226" i="12"/>
  <c r="S227" i="12"/>
  <c r="AA227" i="12"/>
  <c r="AD227" i="12"/>
  <c r="AG227" i="12"/>
  <c r="S228" i="12"/>
  <c r="AA228" i="12"/>
  <c r="AD228" i="12"/>
  <c r="AG228" i="12"/>
  <c r="S229" i="12"/>
  <c r="AA229" i="12"/>
  <c r="AD229" i="12"/>
  <c r="AG229" i="12"/>
  <c r="S230" i="12"/>
  <c r="AA230" i="12"/>
  <c r="AD230" i="12"/>
  <c r="AG230" i="12"/>
  <c r="S231" i="12"/>
  <c r="AA231" i="12"/>
  <c r="AD231" i="12"/>
  <c r="AG231" i="12"/>
  <c r="S232" i="12"/>
  <c r="AA232" i="12"/>
  <c r="AD232" i="12"/>
  <c r="AG232" i="12"/>
  <c r="S233" i="12"/>
  <c r="AA233" i="12"/>
  <c r="AD233" i="12"/>
  <c r="AG233" i="12"/>
  <c r="S234" i="12"/>
  <c r="AA234" i="12"/>
  <c r="AD234" i="12"/>
  <c r="AG234" i="12"/>
  <c r="V235" i="12"/>
  <c r="W235" i="12"/>
  <c r="Z235" i="12"/>
  <c r="AC235" i="12"/>
  <c r="AF235" i="12"/>
  <c r="S236" i="12"/>
  <c r="AA236" i="12"/>
  <c r="AD236" i="12"/>
  <c r="AG236" i="12"/>
  <c r="S237" i="12"/>
  <c r="AA237" i="12"/>
  <c r="AD237" i="12"/>
  <c r="AG237" i="12"/>
  <c r="S238" i="12"/>
  <c r="AA238" i="12"/>
  <c r="AD238" i="12"/>
  <c r="AG238" i="12"/>
  <c r="S239" i="12"/>
  <c r="AA239" i="12"/>
  <c r="AD239" i="12"/>
  <c r="AG239" i="12"/>
  <c r="S240" i="12"/>
  <c r="AA240" i="12"/>
  <c r="AD240" i="12"/>
  <c r="AG240" i="12"/>
  <c r="S241" i="12"/>
  <c r="AA241" i="12"/>
  <c r="AD241" i="12"/>
  <c r="AG241" i="12"/>
  <c r="S242" i="12"/>
  <c r="AA242" i="12"/>
  <c r="AD242" i="12"/>
  <c r="AG242" i="12"/>
  <c r="S243" i="12"/>
  <c r="AA243" i="12"/>
  <c r="AD243" i="12"/>
  <c r="AG243" i="12"/>
  <c r="S244" i="12"/>
  <c r="AA244" i="12"/>
  <c r="AD244" i="12"/>
  <c r="AG244" i="12"/>
  <c r="S245" i="12"/>
  <c r="AA245" i="12"/>
  <c r="AD245" i="12"/>
  <c r="AG245" i="12"/>
  <c r="S246" i="12"/>
  <c r="AA246" i="12"/>
  <c r="AD246" i="12"/>
  <c r="AG246" i="12"/>
  <c r="S247" i="12"/>
  <c r="AA247" i="12"/>
  <c r="AD247" i="12"/>
  <c r="AG247" i="12"/>
  <c r="S248" i="12"/>
  <c r="AA248" i="12"/>
  <c r="AD248" i="12"/>
  <c r="AG248" i="12"/>
  <c r="S249" i="12"/>
  <c r="AA249" i="12"/>
  <c r="AD249" i="12"/>
  <c r="AG249" i="12"/>
  <c r="S250" i="12"/>
  <c r="AA250" i="12"/>
  <c r="AD250" i="12"/>
  <c r="AG250" i="12"/>
  <c r="S251" i="12"/>
  <c r="AA251" i="12"/>
  <c r="AD251" i="12"/>
  <c r="AG251" i="12"/>
  <c r="S252" i="12"/>
  <c r="AA252" i="12"/>
  <c r="AD252" i="12"/>
  <c r="AG252" i="12"/>
  <c r="S253" i="12"/>
  <c r="AA253" i="12"/>
  <c r="AD253" i="12"/>
  <c r="AG253" i="12"/>
  <c r="S254" i="12"/>
  <c r="AA254" i="12"/>
  <c r="AD254" i="12"/>
  <c r="AG254" i="12"/>
  <c r="S255" i="12"/>
  <c r="AA255" i="12"/>
  <c r="AD255" i="12"/>
  <c r="AG255" i="12"/>
  <c r="V256" i="12"/>
  <c r="W256" i="12"/>
  <c r="Z256" i="12"/>
  <c r="AC256" i="12"/>
  <c r="AF256" i="12"/>
  <c r="S264" i="12"/>
  <c r="AA264" i="12"/>
  <c r="AD264" i="12"/>
  <c r="AG264" i="12"/>
  <c r="S265" i="12"/>
  <c r="AA265" i="12"/>
  <c r="AD265" i="12"/>
  <c r="AG265" i="12"/>
  <c r="S266" i="12"/>
  <c r="AA266" i="12"/>
  <c r="AD266" i="12"/>
  <c r="AG266" i="12"/>
  <c r="S267" i="12"/>
  <c r="AA267" i="12"/>
  <c r="AD267" i="12"/>
  <c r="AG267" i="12"/>
  <c r="S268" i="12"/>
  <c r="AA268" i="12"/>
  <c r="AD268" i="12"/>
  <c r="AG268" i="12"/>
  <c r="S269" i="12"/>
  <c r="AA269" i="12"/>
  <c r="AD269" i="12"/>
  <c r="AG269" i="12"/>
  <c r="S270" i="12"/>
  <c r="AA270" i="12"/>
  <c r="AD270" i="12"/>
  <c r="AG270" i="12"/>
  <c r="V271" i="12"/>
  <c r="W271" i="12"/>
  <c r="Z271" i="12"/>
  <c r="AC271" i="12"/>
  <c r="AF271" i="12"/>
  <c r="S288" i="12"/>
  <c r="AA288" i="12"/>
  <c r="AD288" i="12"/>
  <c r="AG288" i="12"/>
  <c r="S289" i="12"/>
  <c r="AA289" i="12"/>
  <c r="AD289" i="12"/>
  <c r="AG289" i="12"/>
  <c r="S290" i="12"/>
  <c r="AA290" i="12"/>
  <c r="AD290" i="12"/>
  <c r="AG290" i="12"/>
  <c r="S291" i="12"/>
  <c r="AA291" i="12"/>
  <c r="AD291" i="12"/>
  <c r="AG291" i="12"/>
  <c r="S292" i="12"/>
  <c r="AA292" i="12"/>
  <c r="AD292" i="12"/>
  <c r="AG292" i="12"/>
  <c r="V293" i="12"/>
  <c r="W293" i="12"/>
  <c r="AF293" i="12"/>
  <c r="AG294" i="12"/>
  <c r="AG295" i="12"/>
  <c r="AG296" i="12"/>
  <c r="AG297" i="12"/>
  <c r="AG298" i="12"/>
  <c r="AG299" i="12"/>
  <c r="AG300" i="12"/>
  <c r="AG301" i="12"/>
  <c r="AG302" i="12"/>
  <c r="AG303" i="12"/>
  <c r="AG304" i="12"/>
  <c r="AG305" i="12"/>
  <c r="AG306" i="12"/>
  <c r="AG307" i="12"/>
  <c r="AG308" i="12"/>
  <c r="S312" i="12"/>
  <c r="AA312" i="12"/>
  <c r="AD312" i="12"/>
  <c r="AG312" i="12"/>
  <c r="S313" i="12"/>
  <c r="AA313" i="12"/>
  <c r="AD313" i="12"/>
  <c r="AG313" i="12"/>
  <c r="S314" i="12"/>
  <c r="AA314" i="12"/>
  <c r="AD314" i="12"/>
  <c r="AG314" i="12"/>
  <c r="V315" i="12"/>
  <c r="W315" i="12"/>
  <c r="Z315" i="12"/>
  <c r="AC315" i="12"/>
  <c r="AF315" i="12"/>
  <c r="S316" i="12"/>
  <c r="AA316" i="12"/>
  <c r="AD316" i="12"/>
  <c r="AG316" i="12"/>
  <c r="S317" i="12"/>
  <c r="AA317" i="12"/>
  <c r="AD317" i="12"/>
  <c r="AG317" i="12"/>
  <c r="S318" i="12"/>
  <c r="AA318" i="12"/>
  <c r="AD318" i="12"/>
  <c r="AG318" i="12"/>
  <c r="S319" i="12"/>
  <c r="AA319" i="12"/>
  <c r="AD319" i="12"/>
  <c r="AG319" i="12"/>
  <c r="S320" i="12"/>
  <c r="AA320" i="12"/>
  <c r="AD320" i="12"/>
  <c r="AG320" i="12"/>
  <c r="S321" i="12"/>
  <c r="AA321" i="12"/>
  <c r="AD321" i="12"/>
  <c r="AG321" i="12"/>
  <c r="AG322" i="12"/>
  <c r="S323" i="12"/>
  <c r="AA323" i="12"/>
  <c r="AD323" i="12"/>
  <c r="AG323" i="12"/>
  <c r="S324" i="12"/>
  <c r="AA324" i="12"/>
  <c r="AD324" i="12"/>
  <c r="AG324" i="12"/>
  <c r="S325" i="12"/>
  <c r="AA325" i="12"/>
  <c r="AD325" i="12"/>
  <c r="AG325" i="12"/>
  <c r="S326" i="12"/>
  <c r="AA326" i="12"/>
  <c r="AD326" i="12"/>
  <c r="AG326" i="12"/>
  <c r="S327" i="12"/>
  <c r="AA327" i="12"/>
  <c r="AD327" i="12"/>
  <c r="AG327" i="12"/>
  <c r="S328" i="12"/>
  <c r="AA328" i="12"/>
  <c r="AD328" i="12"/>
  <c r="AG328" i="12"/>
  <c r="S329" i="12"/>
  <c r="AA329" i="12"/>
  <c r="AD329" i="12"/>
  <c r="AG329" i="12"/>
  <c r="S330" i="12"/>
  <c r="AA330" i="12"/>
  <c r="AD330" i="12"/>
  <c r="AG330" i="12"/>
  <c r="S331" i="12"/>
  <c r="AA331" i="12"/>
  <c r="AD331" i="12"/>
  <c r="AG331" i="12"/>
  <c r="S333" i="12"/>
  <c r="AA333" i="12"/>
  <c r="AD333" i="12"/>
  <c r="AG333" i="12"/>
  <c r="S334" i="12"/>
  <c r="AA334" i="12"/>
  <c r="AD334" i="12"/>
  <c r="AG334" i="12"/>
  <c r="V167" i="12"/>
  <c r="W167" i="12"/>
  <c r="Z167" i="12"/>
  <c r="AC167" i="12"/>
  <c r="AC210" i="12"/>
  <c r="AC209" i="12"/>
  <c r="AF167" i="12"/>
  <c r="AF210" i="12"/>
  <c r="AF209" i="12"/>
  <c r="AF166" i="12"/>
  <c r="O168" i="12"/>
  <c r="S168" i="12"/>
  <c r="AA168" i="12"/>
  <c r="AD168" i="12"/>
  <c r="O169" i="12"/>
  <c r="Q169" i="12"/>
  <c r="S169" i="12"/>
  <c r="AA169" i="12"/>
  <c r="AD169" i="12"/>
  <c r="O170" i="12"/>
  <c r="S170" i="12"/>
  <c r="AA170" i="12"/>
  <c r="AD170" i="12"/>
  <c r="O171" i="12"/>
  <c r="S171" i="12"/>
  <c r="AA171" i="12"/>
  <c r="AD171" i="12"/>
  <c r="O172" i="12"/>
  <c r="S172" i="12"/>
  <c r="AA172" i="12"/>
  <c r="AD172" i="12"/>
  <c r="O173" i="12"/>
  <c r="S173" i="12"/>
  <c r="AA173" i="12"/>
  <c r="AD173" i="12"/>
  <c r="O174" i="12"/>
  <c r="S174" i="12"/>
  <c r="AA174" i="12"/>
  <c r="AD174" i="12"/>
  <c r="O175" i="12"/>
  <c r="S175" i="12"/>
  <c r="AA175" i="12"/>
  <c r="AD175" i="12"/>
  <c r="O176" i="12"/>
  <c r="S176" i="12"/>
  <c r="AA176" i="12"/>
  <c r="AD176" i="12"/>
  <c r="O177" i="12"/>
  <c r="S177" i="12"/>
  <c r="AA177" i="12"/>
  <c r="AD177" i="12"/>
  <c r="O178" i="12"/>
  <c r="S178" i="12"/>
  <c r="AA178" i="12"/>
  <c r="AD178" i="12"/>
  <c r="O179" i="12"/>
  <c r="S179" i="12"/>
  <c r="AA179" i="12"/>
  <c r="AD179" i="12"/>
  <c r="O180" i="12"/>
  <c r="S180" i="12"/>
  <c r="AA180" i="12"/>
  <c r="AD180" i="12"/>
  <c r="O181" i="12"/>
  <c r="S181" i="12"/>
  <c r="AA181" i="12"/>
  <c r="AD181" i="12"/>
  <c r="O182" i="12"/>
  <c r="S182" i="12"/>
  <c r="AA182" i="12"/>
  <c r="AD182" i="12"/>
  <c r="O183" i="12"/>
  <c r="S183" i="12"/>
  <c r="AA183" i="12"/>
  <c r="AD183" i="12"/>
  <c r="O184" i="12"/>
  <c r="S184" i="12"/>
  <c r="AA184" i="12"/>
  <c r="AD184" i="12"/>
  <c r="O185" i="12"/>
  <c r="S185" i="12"/>
  <c r="AA185" i="12"/>
  <c r="AD185" i="12"/>
  <c r="O186" i="12"/>
  <c r="S186" i="12"/>
  <c r="AA186" i="12"/>
  <c r="AD186" i="12"/>
  <c r="O187" i="12"/>
  <c r="S187" i="12"/>
  <c r="AA187" i="12"/>
  <c r="AD187" i="12"/>
  <c r="O188" i="12"/>
  <c r="S188" i="12"/>
  <c r="AA188" i="12"/>
  <c r="AD188" i="12"/>
  <c r="O189" i="12"/>
  <c r="S189" i="12"/>
  <c r="AA189" i="12"/>
  <c r="AD189" i="12"/>
  <c r="O190" i="12"/>
  <c r="S190" i="12"/>
  <c r="AA190" i="12"/>
  <c r="AD190" i="12"/>
  <c r="O191" i="12"/>
  <c r="S191" i="12"/>
  <c r="AA191" i="12"/>
  <c r="AD191" i="12"/>
  <c r="O192" i="12"/>
  <c r="S192" i="12"/>
  <c r="AA192" i="12"/>
  <c r="AD192" i="12"/>
  <c r="O193" i="12"/>
  <c r="S193" i="12"/>
  <c r="AA193" i="12"/>
  <c r="AD193" i="12"/>
  <c r="O194" i="12"/>
  <c r="S194" i="12"/>
  <c r="AA194" i="12"/>
  <c r="AD194" i="12"/>
  <c r="O195" i="12"/>
  <c r="S195" i="12"/>
  <c r="AA195" i="12"/>
  <c r="AD195" i="12"/>
  <c r="O196" i="12"/>
  <c r="S196" i="12"/>
  <c r="AA196" i="12"/>
  <c r="AD196" i="12"/>
  <c r="O197" i="12"/>
  <c r="S197" i="12"/>
  <c r="AA197" i="12"/>
  <c r="AD197" i="12"/>
  <c r="O198" i="12"/>
  <c r="S198" i="12"/>
  <c r="AA198" i="12"/>
  <c r="AD198" i="12"/>
  <c r="O199" i="12"/>
  <c r="S199" i="12"/>
  <c r="AA199" i="12"/>
  <c r="AD199" i="12"/>
  <c r="O200" i="12"/>
  <c r="S200" i="12"/>
  <c r="AA200" i="12"/>
  <c r="AD200" i="12"/>
  <c r="O201" i="12"/>
  <c r="S201" i="12"/>
  <c r="AA201" i="12"/>
  <c r="AD201" i="12"/>
  <c r="O202" i="12"/>
  <c r="S202" i="12"/>
  <c r="AA202" i="12"/>
  <c r="AD202" i="12"/>
  <c r="O203" i="12"/>
  <c r="S203" i="12"/>
  <c r="AA203" i="12"/>
  <c r="AD203" i="12"/>
  <c r="O204" i="12"/>
  <c r="S204" i="12"/>
  <c r="AA204" i="12"/>
  <c r="AD204" i="12"/>
  <c r="O205" i="12"/>
  <c r="S205" i="12"/>
  <c r="AA205" i="12"/>
  <c r="AD205" i="12"/>
  <c r="O206" i="12"/>
  <c r="S206" i="12"/>
  <c r="AA206" i="12"/>
  <c r="AD206" i="12"/>
  <c r="O207" i="12"/>
  <c r="S207" i="12"/>
  <c r="AA207" i="12"/>
  <c r="AD207" i="12"/>
  <c r="O208" i="12"/>
  <c r="S208" i="12"/>
  <c r="AA208" i="12"/>
  <c r="AD208" i="12"/>
  <c r="V209" i="12"/>
  <c r="W209" i="12"/>
  <c r="O210" i="12"/>
  <c r="S210" i="12"/>
  <c r="AA210" i="12"/>
  <c r="AD210" i="12"/>
  <c r="O211" i="12"/>
  <c r="S211" i="12"/>
  <c r="AA211" i="12"/>
  <c r="AD211" i="12"/>
  <c r="V126" i="12"/>
  <c r="W126" i="12"/>
  <c r="Z126" i="12"/>
  <c r="Z162" i="12"/>
  <c r="AC126" i="12"/>
  <c r="AC162" i="12"/>
  <c r="AC161" i="12"/>
  <c r="AF126" i="12"/>
  <c r="AF162" i="12"/>
  <c r="AF161" i="12"/>
  <c r="AF125" i="12"/>
  <c r="AF124" i="12"/>
  <c r="S127" i="12"/>
  <c r="AA127" i="12"/>
  <c r="AD127" i="12"/>
  <c r="AG127" i="12"/>
  <c r="S128" i="12"/>
  <c r="AA128" i="12"/>
  <c r="AD128" i="12"/>
  <c r="AG128" i="12"/>
  <c r="S129" i="12"/>
  <c r="AA129" i="12"/>
  <c r="AD129" i="12"/>
  <c r="AG129" i="12"/>
  <c r="S130" i="12"/>
  <c r="AA130" i="12"/>
  <c r="AD130" i="12"/>
  <c r="AG130" i="12"/>
  <c r="S131" i="12"/>
  <c r="AA131" i="12"/>
  <c r="AD131" i="12"/>
  <c r="AG131" i="12"/>
  <c r="S132" i="12"/>
  <c r="AA132" i="12"/>
  <c r="AD132" i="12"/>
  <c r="AG132" i="12"/>
  <c r="S133" i="12"/>
  <c r="AA133" i="12"/>
  <c r="AD133" i="12"/>
  <c r="AG133" i="12"/>
  <c r="S134" i="12"/>
  <c r="AA134" i="12"/>
  <c r="AD134" i="12"/>
  <c r="AG134" i="12"/>
  <c r="S135" i="12"/>
  <c r="AA135" i="12"/>
  <c r="AD135" i="12"/>
  <c r="AG135" i="12"/>
  <c r="S136" i="12"/>
  <c r="AA136" i="12"/>
  <c r="AD136" i="12"/>
  <c r="AG136" i="12"/>
  <c r="S137" i="12"/>
  <c r="AA137" i="12"/>
  <c r="AD137" i="12"/>
  <c r="AG137" i="12"/>
  <c r="S138" i="12"/>
  <c r="AA138" i="12"/>
  <c r="AD138" i="12"/>
  <c r="AG138" i="12"/>
  <c r="S139" i="12"/>
  <c r="AA139" i="12"/>
  <c r="AD139" i="12"/>
  <c r="AG139" i="12"/>
  <c r="S140" i="12"/>
  <c r="AA140" i="12"/>
  <c r="AD140" i="12"/>
  <c r="AG140" i="12"/>
  <c r="S141" i="12"/>
  <c r="AA141" i="12"/>
  <c r="AD141" i="12"/>
  <c r="AG141" i="12"/>
  <c r="S142" i="12"/>
  <c r="AA142" i="12"/>
  <c r="AD142" i="12"/>
  <c r="AG142" i="12"/>
  <c r="S143" i="12"/>
  <c r="AA143" i="12"/>
  <c r="AD143" i="12"/>
  <c r="AG143" i="12"/>
  <c r="S144" i="12"/>
  <c r="AA144" i="12"/>
  <c r="AD144" i="12"/>
  <c r="AG144" i="12"/>
  <c r="S145" i="12"/>
  <c r="AA145" i="12"/>
  <c r="AD145" i="12"/>
  <c r="AG145" i="12"/>
  <c r="S146" i="12"/>
  <c r="AA146" i="12"/>
  <c r="AD146" i="12"/>
  <c r="AG146" i="12"/>
  <c r="S147" i="12"/>
  <c r="AA147" i="12"/>
  <c r="AD147" i="12"/>
  <c r="AG147" i="12"/>
  <c r="S148" i="12"/>
  <c r="AA148" i="12"/>
  <c r="AD148" i="12"/>
  <c r="AG148" i="12"/>
  <c r="S149" i="12"/>
  <c r="AA149" i="12"/>
  <c r="AD149" i="12"/>
  <c r="AG149" i="12"/>
  <c r="S150" i="12"/>
  <c r="AA150" i="12"/>
  <c r="AD150" i="12"/>
  <c r="AG150" i="12"/>
  <c r="S151" i="12"/>
  <c r="AA151" i="12"/>
  <c r="AD151" i="12"/>
  <c r="AG151" i="12"/>
  <c r="S152" i="12"/>
  <c r="AA152" i="12"/>
  <c r="AD152" i="12"/>
  <c r="AG152" i="12"/>
  <c r="S153" i="12"/>
  <c r="AA153" i="12"/>
  <c r="AD153" i="12"/>
  <c r="AG153" i="12"/>
  <c r="S154" i="12"/>
  <c r="AA154" i="12"/>
  <c r="AD154" i="12"/>
  <c r="AG154" i="12"/>
  <c r="S155" i="12"/>
  <c r="AA155" i="12"/>
  <c r="AD155" i="12"/>
  <c r="AG155" i="12"/>
  <c r="S156" i="12"/>
  <c r="AA156" i="12"/>
  <c r="AD156" i="12"/>
  <c r="AG156" i="12"/>
  <c r="S157" i="12"/>
  <c r="AA157" i="12"/>
  <c r="AD157" i="12"/>
  <c r="AG157" i="12"/>
  <c r="S158" i="12"/>
  <c r="AA158" i="12"/>
  <c r="AD158" i="12"/>
  <c r="AG158" i="12"/>
  <c r="S159" i="12"/>
  <c r="AA159" i="12"/>
  <c r="AD159" i="12"/>
  <c r="AG159" i="12"/>
  <c r="S160" i="12"/>
  <c r="AA160" i="12"/>
  <c r="AD160" i="12"/>
  <c r="AG160" i="12"/>
  <c r="V161" i="12"/>
  <c r="W161" i="12"/>
  <c r="S162" i="12"/>
  <c r="AA162" i="12"/>
  <c r="AD162" i="12"/>
  <c r="AG162" i="12"/>
  <c r="S163" i="12"/>
  <c r="AA163" i="12"/>
  <c r="AD163" i="12"/>
  <c r="AG163" i="12"/>
  <c r="V14" i="12"/>
  <c r="W14" i="12"/>
  <c r="Z14" i="12"/>
  <c r="Z39" i="12"/>
  <c r="AC14" i="12"/>
  <c r="AC39" i="12"/>
  <c r="AF14" i="12"/>
  <c r="AF40" i="12"/>
  <c r="S15" i="12"/>
  <c r="AA15" i="12"/>
  <c r="AD15" i="12"/>
  <c r="AG15" i="12"/>
  <c r="S16" i="12"/>
  <c r="AA16" i="12"/>
  <c r="AD16" i="12"/>
  <c r="AG16" i="12"/>
  <c r="S17" i="12"/>
  <c r="AA17" i="12"/>
  <c r="AD17" i="12"/>
  <c r="AG17" i="12"/>
  <c r="S18" i="12"/>
  <c r="AA18" i="12"/>
  <c r="AD18" i="12"/>
  <c r="AG18" i="12"/>
  <c r="S19" i="12"/>
  <c r="AA19" i="12"/>
  <c r="AD19" i="12"/>
  <c r="AG19" i="12"/>
  <c r="S20" i="12"/>
  <c r="AA20" i="12"/>
  <c r="AD20" i="12"/>
  <c r="AG20" i="12"/>
  <c r="S21" i="12"/>
  <c r="AA21" i="12"/>
  <c r="AD21" i="12"/>
  <c r="AG21" i="12"/>
  <c r="S22" i="12"/>
  <c r="AA22" i="12"/>
  <c r="AD22" i="12"/>
  <c r="AG22" i="12"/>
  <c r="S23" i="12"/>
  <c r="AA23" i="12"/>
  <c r="AD23" i="12"/>
  <c r="AG23" i="12"/>
  <c r="S24" i="12"/>
  <c r="AA24" i="12"/>
  <c r="AD24" i="12"/>
  <c r="AG24" i="12"/>
  <c r="S25" i="12"/>
  <c r="AA25" i="12"/>
  <c r="AD25" i="12"/>
  <c r="AG25" i="12"/>
  <c r="S26" i="12"/>
  <c r="AA26" i="12"/>
  <c r="AD26" i="12"/>
  <c r="AG26" i="12"/>
  <c r="S27" i="12"/>
  <c r="AA27" i="12"/>
  <c r="AD27" i="12"/>
  <c r="AG27" i="12"/>
  <c r="H28" i="12"/>
  <c r="S28" i="12"/>
  <c r="AA28" i="12"/>
  <c r="AD28" i="12"/>
  <c r="AG28" i="12"/>
  <c r="S29" i="12"/>
  <c r="AA29" i="12"/>
  <c r="AD29" i="12"/>
  <c r="AG29" i="12"/>
  <c r="S30" i="12"/>
  <c r="AA30" i="12"/>
  <c r="AD30" i="12"/>
  <c r="AG30" i="12"/>
  <c r="S31" i="12"/>
  <c r="AA31" i="12"/>
  <c r="AD31" i="12"/>
  <c r="AG31" i="12"/>
  <c r="S32" i="12"/>
  <c r="AA32" i="12"/>
  <c r="AD32" i="12"/>
  <c r="AG32" i="12"/>
  <c r="S33" i="12"/>
  <c r="AA33" i="12"/>
  <c r="AD33" i="12"/>
  <c r="AG33" i="12"/>
  <c r="S34" i="12"/>
  <c r="AA34" i="12"/>
  <c r="AD34" i="12"/>
  <c r="AG34" i="12"/>
  <c r="S35" i="12"/>
  <c r="AA35" i="12"/>
  <c r="AD35" i="12"/>
  <c r="AG35" i="12"/>
  <c r="S36" i="12"/>
  <c r="AA36" i="12"/>
  <c r="AD36" i="12"/>
  <c r="AG36" i="12"/>
  <c r="S37" i="12"/>
  <c r="AA37" i="12"/>
  <c r="AD37" i="12"/>
  <c r="AG37" i="12"/>
  <c r="S38" i="12"/>
  <c r="AA38" i="12"/>
  <c r="AD38" i="12"/>
  <c r="AG38" i="12"/>
  <c r="V39" i="12"/>
  <c r="W39" i="12"/>
  <c r="S40" i="12"/>
  <c r="AA40" i="12"/>
  <c r="AD40" i="12"/>
  <c r="AG40" i="12"/>
  <c r="S41" i="12"/>
  <c r="AA41" i="12"/>
  <c r="AD41" i="12"/>
  <c r="AG41" i="12"/>
  <c r="V44" i="12"/>
  <c r="W44" i="12"/>
  <c r="Z44" i="12"/>
  <c r="Z95" i="12"/>
  <c r="AC44" i="12"/>
  <c r="AC95" i="12"/>
  <c r="AF44" i="12"/>
  <c r="AF96" i="12"/>
  <c r="AF95" i="12"/>
  <c r="AF43" i="12"/>
  <c r="S45" i="12"/>
  <c r="AA45" i="12"/>
  <c r="AD45" i="12"/>
  <c r="AG45" i="12"/>
  <c r="S46" i="12"/>
  <c r="AA46" i="12"/>
  <c r="AD46" i="12"/>
  <c r="AG46" i="12"/>
  <c r="S47" i="12"/>
  <c r="AA47" i="12"/>
  <c r="AD47" i="12"/>
  <c r="AG47" i="12"/>
  <c r="S48" i="12"/>
  <c r="AA48" i="12"/>
  <c r="AD48" i="12"/>
  <c r="AG48" i="12"/>
  <c r="S49" i="12"/>
  <c r="AA49" i="12"/>
  <c r="AD49" i="12"/>
  <c r="AG49" i="12"/>
  <c r="S50" i="12"/>
  <c r="AA50" i="12"/>
  <c r="AD50" i="12"/>
  <c r="AG50" i="12"/>
  <c r="S51" i="12"/>
  <c r="AA51" i="12"/>
  <c r="AD51" i="12"/>
  <c r="AG51" i="12"/>
  <c r="S52" i="12"/>
  <c r="AA52" i="12"/>
  <c r="AD52" i="12"/>
  <c r="AG52" i="12"/>
  <c r="S53" i="12"/>
  <c r="AA53" i="12"/>
  <c r="AD53" i="12"/>
  <c r="AG53" i="12"/>
  <c r="S54" i="12"/>
  <c r="AA54" i="12"/>
  <c r="AD54" i="12"/>
  <c r="AG54" i="12"/>
  <c r="S55" i="12"/>
  <c r="AA55" i="12"/>
  <c r="AD55" i="12"/>
  <c r="AG55" i="12"/>
  <c r="S56" i="12"/>
  <c r="AA56" i="12"/>
  <c r="AD56" i="12"/>
  <c r="AG56" i="12"/>
  <c r="S57" i="12"/>
  <c r="AA57" i="12"/>
  <c r="AD57" i="12"/>
  <c r="AG57" i="12"/>
  <c r="S58" i="12"/>
  <c r="AA58" i="12"/>
  <c r="AD58" i="12"/>
  <c r="AG58" i="12"/>
  <c r="S59" i="12"/>
  <c r="AA59" i="12"/>
  <c r="AD59" i="12"/>
  <c r="AG59" i="12"/>
  <c r="S60" i="12"/>
  <c r="AA60" i="12"/>
  <c r="AD60" i="12"/>
  <c r="AG60" i="12"/>
  <c r="S61" i="12"/>
  <c r="AA61" i="12"/>
  <c r="AD61" i="12"/>
  <c r="AG61" i="12"/>
  <c r="S62" i="12"/>
  <c r="AA62" i="12"/>
  <c r="AD62" i="12"/>
  <c r="AG62" i="12"/>
  <c r="S63" i="12"/>
  <c r="AA63" i="12"/>
  <c r="AD63" i="12"/>
  <c r="AG63" i="12"/>
  <c r="S64" i="12"/>
  <c r="AA64" i="12"/>
  <c r="AD64" i="12"/>
  <c r="AG64" i="12"/>
  <c r="S65" i="12"/>
  <c r="AA65" i="12"/>
  <c r="AD65" i="12"/>
  <c r="AG65" i="12"/>
  <c r="S66" i="12"/>
  <c r="AA66" i="12"/>
  <c r="AD66" i="12"/>
  <c r="AG66" i="12"/>
  <c r="S67" i="12"/>
  <c r="AA67" i="12"/>
  <c r="AD67" i="12"/>
  <c r="AG67" i="12"/>
  <c r="S68" i="12"/>
  <c r="AA68" i="12"/>
  <c r="AD68" i="12"/>
  <c r="AG68" i="12"/>
  <c r="S69" i="12"/>
  <c r="AA69" i="12"/>
  <c r="AD69" i="12"/>
  <c r="AG69" i="12"/>
  <c r="S70" i="12"/>
  <c r="AA70" i="12"/>
  <c r="AD70" i="12"/>
  <c r="AG70" i="12"/>
  <c r="S71" i="12"/>
  <c r="U71" i="12"/>
  <c r="AA71" i="12"/>
  <c r="AD71" i="12"/>
  <c r="AG71" i="12"/>
  <c r="S72" i="12"/>
  <c r="AA72" i="12"/>
  <c r="AD72" i="12"/>
  <c r="AG72" i="12"/>
  <c r="S73" i="12"/>
  <c r="AA73" i="12"/>
  <c r="AD73" i="12"/>
  <c r="AG73" i="12"/>
  <c r="S74" i="12"/>
  <c r="AA74" i="12"/>
  <c r="AD74" i="12"/>
  <c r="AG74" i="12"/>
  <c r="S75" i="12"/>
  <c r="AA75" i="12"/>
  <c r="AD75" i="12"/>
  <c r="AG75" i="12"/>
  <c r="S76" i="12"/>
  <c r="AA76" i="12"/>
  <c r="AD76" i="12"/>
  <c r="AG76" i="12"/>
  <c r="S77" i="12"/>
  <c r="AA77" i="12"/>
  <c r="AD77" i="12"/>
  <c r="AG77" i="12"/>
  <c r="S78" i="12"/>
  <c r="AA78" i="12"/>
  <c r="AD78" i="12"/>
  <c r="AG78" i="12"/>
  <c r="S79" i="12"/>
  <c r="AA79" i="12"/>
  <c r="AD79" i="12"/>
  <c r="AG79" i="12"/>
  <c r="S80" i="12"/>
  <c r="AA80" i="12"/>
  <c r="AD80" i="12"/>
  <c r="AG80" i="12"/>
  <c r="S81" i="12"/>
  <c r="AA81" i="12"/>
  <c r="AD81" i="12"/>
  <c r="AG81" i="12"/>
  <c r="S82" i="12"/>
  <c r="AA82" i="12"/>
  <c r="AD82" i="12"/>
  <c r="AG82" i="12"/>
  <c r="S83" i="12"/>
  <c r="AA83" i="12"/>
  <c r="AD83" i="12"/>
  <c r="AG83" i="12"/>
  <c r="S84" i="12"/>
  <c r="AA84" i="12"/>
  <c r="AD84" i="12"/>
  <c r="AG84" i="12"/>
  <c r="S85" i="12"/>
  <c r="AA85" i="12"/>
  <c r="AD85" i="12"/>
  <c r="AG85" i="12"/>
  <c r="S86" i="12"/>
  <c r="AA86" i="12"/>
  <c r="AD86" i="12"/>
  <c r="AG86" i="12"/>
  <c r="S87" i="12"/>
  <c r="AA87" i="12"/>
  <c r="AD87" i="12"/>
  <c r="AG87" i="12"/>
  <c r="S88" i="12"/>
  <c r="AA88" i="12"/>
  <c r="AD88" i="12"/>
  <c r="AG88" i="12"/>
  <c r="S89" i="12"/>
  <c r="AA89" i="12"/>
  <c r="AD89" i="12"/>
  <c r="AG89" i="12"/>
  <c r="S90" i="12"/>
  <c r="AA90" i="12"/>
  <c r="AD90" i="12"/>
  <c r="AG90" i="12"/>
  <c r="S91" i="12"/>
  <c r="AA91" i="12"/>
  <c r="AD91" i="12"/>
  <c r="AG91" i="12"/>
  <c r="S92" i="12"/>
  <c r="AA92" i="12"/>
  <c r="AD92" i="12"/>
  <c r="AG92" i="12"/>
  <c r="S93" i="12"/>
  <c r="AA93" i="12"/>
  <c r="AD93" i="12"/>
  <c r="AG93" i="12"/>
  <c r="S94" i="12"/>
  <c r="AA94" i="12"/>
  <c r="AD94" i="12"/>
  <c r="AG94" i="12"/>
  <c r="V95" i="12"/>
  <c r="W95" i="12"/>
  <c r="S96" i="12"/>
  <c r="AA96" i="12"/>
  <c r="AD96" i="12"/>
  <c r="AG96" i="12"/>
  <c r="S97" i="12"/>
  <c r="AA97" i="12"/>
  <c r="AD97" i="12"/>
  <c r="AG97" i="12"/>
  <c r="AC563" i="12"/>
  <c r="Z563" i="12"/>
  <c r="AC332" i="12"/>
  <c r="V677" i="12"/>
  <c r="W677" i="12"/>
  <c r="Z677" i="12"/>
  <c r="Z692" i="12"/>
  <c r="AC677" i="12"/>
  <c r="AC693" i="12"/>
  <c r="AC692" i="12"/>
  <c r="AF677" i="12"/>
  <c r="AF693" i="12"/>
  <c r="AF692" i="12"/>
  <c r="AF676" i="12"/>
  <c r="S678" i="12"/>
  <c r="AA678" i="12"/>
  <c r="AD678" i="12"/>
  <c r="AG678" i="12"/>
  <c r="S679" i="12"/>
  <c r="AA679" i="12"/>
  <c r="AD679" i="12"/>
  <c r="AG679" i="12"/>
  <c r="S680" i="12"/>
  <c r="AA680" i="12"/>
  <c r="AD680" i="12"/>
  <c r="AG680" i="12"/>
  <c r="S681" i="12"/>
  <c r="AA681" i="12"/>
  <c r="AD681" i="12"/>
  <c r="AG681" i="12"/>
  <c r="S682" i="12"/>
  <c r="AA682" i="12"/>
  <c r="AD682" i="12"/>
  <c r="AG682" i="12"/>
  <c r="S683" i="12"/>
  <c r="AA683" i="12"/>
  <c r="AD683" i="12"/>
  <c r="AG683" i="12"/>
  <c r="S684" i="12"/>
  <c r="AA684" i="12"/>
  <c r="AD684" i="12"/>
  <c r="AG684" i="12"/>
  <c r="S685" i="12"/>
  <c r="AA685" i="12"/>
  <c r="AD685" i="12"/>
  <c r="AG685" i="12"/>
  <c r="S686" i="12"/>
  <c r="AA686" i="12"/>
  <c r="AD686" i="12"/>
  <c r="AG686" i="12"/>
  <c r="S687" i="12"/>
  <c r="AA687" i="12"/>
  <c r="AD687" i="12"/>
  <c r="AG687" i="12"/>
  <c r="S688" i="12"/>
  <c r="AA688" i="12"/>
  <c r="AD688" i="12"/>
  <c r="AG688" i="12"/>
  <c r="S689" i="12"/>
  <c r="AA689" i="12"/>
  <c r="AD689" i="12"/>
  <c r="AG689" i="12"/>
  <c r="S691" i="12"/>
  <c r="AA691" i="12"/>
  <c r="AD691" i="12"/>
  <c r="AG691" i="12"/>
  <c r="V692" i="12"/>
  <c r="W692" i="12"/>
  <c r="S693" i="12"/>
  <c r="AA693" i="12"/>
  <c r="AD693" i="12"/>
  <c r="AG693" i="12"/>
  <c r="S694" i="12"/>
  <c r="AA694" i="12"/>
  <c r="AD694" i="12"/>
  <c r="AG694" i="12"/>
  <c r="V696" i="12"/>
  <c r="W696" i="12"/>
  <c r="Z696" i="12"/>
  <c r="Z705" i="12"/>
  <c r="Z704" i="12"/>
  <c r="Z695" i="12"/>
  <c r="AC696" i="12"/>
  <c r="AC705" i="12"/>
  <c r="AC704" i="12"/>
  <c r="AF696" i="12"/>
  <c r="AF705" i="12"/>
  <c r="AF704" i="12"/>
  <c r="AF695" i="12"/>
  <c r="S697" i="12"/>
  <c r="AA697" i="12"/>
  <c r="AD697" i="12"/>
  <c r="AG697" i="12"/>
  <c r="S698" i="12"/>
  <c r="AA698" i="12"/>
  <c r="AD698" i="12"/>
  <c r="AG698" i="12"/>
  <c r="S699" i="12"/>
  <c r="AA699" i="12"/>
  <c r="AD699" i="12"/>
  <c r="AG699" i="12"/>
  <c r="S700" i="12"/>
  <c r="AA700" i="12"/>
  <c r="AD700" i="12"/>
  <c r="AG700" i="12"/>
  <c r="S701" i="12"/>
  <c r="AA701" i="12"/>
  <c r="AD701" i="12"/>
  <c r="AG701" i="12"/>
  <c r="S702" i="12"/>
  <c r="AA702" i="12"/>
  <c r="AD702" i="12"/>
  <c r="AG702" i="12"/>
  <c r="S703" i="12"/>
  <c r="AA703" i="12"/>
  <c r="AD703" i="12"/>
  <c r="AG703" i="12"/>
  <c r="V704" i="12"/>
  <c r="W704" i="12"/>
  <c r="S705" i="12"/>
  <c r="AA705" i="12"/>
  <c r="AD705" i="12"/>
  <c r="AG705" i="12"/>
  <c r="S706" i="12"/>
  <c r="AA706" i="12"/>
  <c r="AD706" i="12"/>
  <c r="AG706" i="12"/>
  <c r="V708" i="12"/>
  <c r="W708" i="12"/>
  <c r="Z708" i="12"/>
  <c r="Z725" i="12"/>
  <c r="AC708" i="12"/>
  <c r="AC725" i="12"/>
  <c r="AC724" i="12"/>
  <c r="AC707" i="12"/>
  <c r="AF708" i="12"/>
  <c r="AF725" i="12"/>
  <c r="AF724" i="12"/>
  <c r="AF707" i="12"/>
  <c r="S709" i="12"/>
  <c r="AA709" i="12"/>
  <c r="AD709" i="12"/>
  <c r="AG709" i="12"/>
  <c r="S710" i="12"/>
  <c r="AA710" i="12"/>
  <c r="AD710" i="12"/>
  <c r="AG710" i="12"/>
  <c r="S711" i="12"/>
  <c r="AA711" i="12"/>
  <c r="AD711" i="12"/>
  <c r="AG711" i="12"/>
  <c r="S712" i="12"/>
  <c r="AA712" i="12"/>
  <c r="AD712" i="12"/>
  <c r="AG712" i="12"/>
  <c r="S713" i="12"/>
  <c r="AA713" i="12"/>
  <c r="AD713" i="12"/>
  <c r="AG713" i="12"/>
  <c r="S714" i="12"/>
  <c r="AA714" i="12"/>
  <c r="AD714" i="12"/>
  <c r="AG714" i="12"/>
  <c r="S715" i="12"/>
  <c r="AA715" i="12"/>
  <c r="AD715" i="12"/>
  <c r="AG715" i="12"/>
  <c r="S716" i="12"/>
  <c r="AA716" i="12"/>
  <c r="AD716" i="12"/>
  <c r="AG716" i="12"/>
  <c r="S717" i="12"/>
  <c r="AA717" i="12"/>
  <c r="AD717" i="12"/>
  <c r="AG717" i="12"/>
  <c r="S718" i="12"/>
  <c r="AA718" i="12"/>
  <c r="AD718" i="12"/>
  <c r="AG718" i="12"/>
  <c r="S719" i="12"/>
  <c r="AD719" i="12"/>
  <c r="AG719" i="12"/>
  <c r="S720" i="12"/>
  <c r="AA720" i="12"/>
  <c r="AD720" i="12"/>
  <c r="AG720" i="12"/>
  <c r="S721" i="12"/>
  <c r="AA721" i="12"/>
  <c r="AD721" i="12"/>
  <c r="AG721" i="12"/>
  <c r="S722" i="12"/>
  <c r="AA722" i="12"/>
  <c r="AD722" i="12"/>
  <c r="AG722" i="12"/>
  <c r="S723" i="12"/>
  <c r="U723" i="12"/>
  <c r="AA723" i="12"/>
  <c r="AD723" i="12"/>
  <c r="AG723" i="12"/>
  <c r="V724" i="12"/>
  <c r="W724" i="12"/>
  <c r="S725" i="12"/>
  <c r="AA725" i="12"/>
  <c r="AD725" i="12"/>
  <c r="AG725" i="12"/>
  <c r="S726" i="12"/>
  <c r="AA726" i="12"/>
  <c r="AD726" i="12"/>
  <c r="AG726" i="12"/>
  <c r="V728" i="12"/>
  <c r="W728" i="12"/>
  <c r="Z728" i="12"/>
  <c r="Z739" i="12"/>
  <c r="Z727" i="12"/>
  <c r="AC728" i="12"/>
  <c r="AC740" i="12"/>
  <c r="AC739" i="12"/>
  <c r="AC727" i="12"/>
  <c r="AF728" i="12"/>
  <c r="AF740" i="12"/>
  <c r="AF739" i="12"/>
  <c r="AF727" i="12"/>
  <c r="S729" i="12"/>
  <c r="AA729" i="12"/>
  <c r="AD729" i="12"/>
  <c r="AG729" i="12"/>
  <c r="S730" i="12"/>
  <c r="AA730" i="12"/>
  <c r="AD730" i="12"/>
  <c r="AG730" i="12"/>
  <c r="S731" i="12"/>
  <c r="AA731" i="12"/>
  <c r="AD731" i="12"/>
  <c r="AG731" i="12"/>
  <c r="S732" i="12"/>
  <c r="AA732" i="12"/>
  <c r="AD732" i="12"/>
  <c r="AG732" i="12"/>
  <c r="S733" i="12"/>
  <c r="AA733" i="12"/>
  <c r="AD733" i="12"/>
  <c r="AG733" i="12"/>
  <c r="S734" i="12"/>
  <c r="AA734" i="12"/>
  <c r="AD734" i="12"/>
  <c r="AG734" i="12"/>
  <c r="S735" i="12"/>
  <c r="AA735" i="12"/>
  <c r="AD735" i="12"/>
  <c r="AG735" i="12"/>
  <c r="S736" i="12"/>
  <c r="AA736" i="12"/>
  <c r="AD736" i="12"/>
  <c r="AG736" i="12"/>
  <c r="S737" i="12"/>
  <c r="AA737" i="12"/>
  <c r="AD737" i="12"/>
  <c r="AG737" i="12"/>
  <c r="S738" i="12"/>
  <c r="AA738" i="12"/>
  <c r="AD738" i="12"/>
  <c r="AG738" i="12"/>
  <c r="V739" i="12"/>
  <c r="V727" i="12"/>
  <c r="W739" i="12"/>
  <c r="W727" i="12"/>
  <c r="S740" i="12"/>
  <c r="AA740" i="12"/>
  <c r="AD740" i="12"/>
  <c r="AG740" i="12"/>
  <c r="S741" i="12"/>
  <c r="AA741" i="12"/>
  <c r="AD741" i="12"/>
  <c r="AG741" i="12"/>
  <c r="V743" i="12"/>
  <c r="W743" i="12"/>
  <c r="Z743" i="12"/>
  <c r="Z775" i="12"/>
  <c r="Z774" i="12"/>
  <c r="AC743" i="12"/>
  <c r="AC775" i="12"/>
  <c r="AC774" i="12"/>
  <c r="AC742" i="12"/>
  <c r="AF743" i="12"/>
  <c r="AF775" i="12"/>
  <c r="AF774" i="12"/>
  <c r="S744" i="12"/>
  <c r="AA744" i="12"/>
  <c r="AD744" i="12"/>
  <c r="AG744" i="12"/>
  <c r="S745" i="12"/>
  <c r="AA745" i="12"/>
  <c r="AD745" i="12"/>
  <c r="AG745" i="12"/>
  <c r="S746" i="12"/>
  <c r="AA746" i="12"/>
  <c r="AD746" i="12"/>
  <c r="AG746" i="12"/>
  <c r="S747" i="12"/>
  <c r="AA747" i="12"/>
  <c r="AD747" i="12"/>
  <c r="AG747" i="12"/>
  <c r="S748" i="12"/>
  <c r="AA748" i="12"/>
  <c r="AD748" i="12"/>
  <c r="AG748" i="12"/>
  <c r="S749" i="12"/>
  <c r="AA749" i="12"/>
  <c r="AD749" i="12"/>
  <c r="AG749" i="12"/>
  <c r="S750" i="12"/>
  <c r="AA750" i="12"/>
  <c r="AD750" i="12"/>
  <c r="AG750" i="12"/>
  <c r="S751" i="12"/>
  <c r="AA751" i="12"/>
  <c r="AD751" i="12"/>
  <c r="AG751" i="12"/>
  <c r="S752" i="12"/>
  <c r="AA752" i="12"/>
  <c r="AD752" i="12"/>
  <c r="AG752" i="12"/>
  <c r="S753" i="12"/>
  <c r="AA753" i="12"/>
  <c r="AD753" i="12"/>
  <c r="AG753" i="12"/>
  <c r="S754" i="12"/>
  <c r="AA754" i="12"/>
  <c r="AD754" i="12"/>
  <c r="AG754" i="12"/>
  <c r="S755" i="12"/>
  <c r="AA755" i="12"/>
  <c r="AD755" i="12"/>
  <c r="AG755" i="12"/>
  <c r="S756" i="12"/>
  <c r="AA756" i="12"/>
  <c r="AD756" i="12"/>
  <c r="AG756" i="12"/>
  <c r="S757" i="12"/>
  <c r="AA757" i="12"/>
  <c r="AD757" i="12"/>
  <c r="AG757" i="12"/>
  <c r="S758" i="12"/>
  <c r="AA758" i="12"/>
  <c r="AD758" i="12"/>
  <c r="AG758" i="12"/>
  <c r="S759" i="12"/>
  <c r="AA759" i="12"/>
  <c r="AD759" i="12"/>
  <c r="AG759" i="12"/>
  <c r="S760" i="12"/>
  <c r="AA760" i="12"/>
  <c r="AD760" i="12"/>
  <c r="AG760" i="12"/>
  <c r="S761" i="12"/>
  <c r="AA761" i="12"/>
  <c r="AD761" i="12"/>
  <c r="AG761" i="12"/>
  <c r="S762" i="12"/>
  <c r="AA762" i="12"/>
  <c r="AD762" i="12"/>
  <c r="AG762" i="12"/>
  <c r="S763" i="12"/>
  <c r="AA763" i="12"/>
  <c r="AD763" i="12"/>
  <c r="AG763" i="12"/>
  <c r="S764" i="12"/>
  <c r="S766" i="12"/>
  <c r="AA766" i="12"/>
  <c r="AD766" i="12"/>
  <c r="AG766" i="12"/>
  <c r="S767" i="12"/>
  <c r="AA767" i="12"/>
  <c r="AD767" i="12"/>
  <c r="AG767" i="12"/>
  <c r="S768" i="12"/>
  <c r="AA768" i="12"/>
  <c r="AD768" i="12"/>
  <c r="AG768" i="12"/>
  <c r="S769" i="12"/>
  <c r="AA769" i="12"/>
  <c r="AD769" i="12"/>
  <c r="AG769" i="12"/>
  <c r="S770" i="12"/>
  <c r="AA770" i="12"/>
  <c r="AD770" i="12"/>
  <c r="AG770" i="12"/>
  <c r="S771" i="12"/>
  <c r="AA771" i="12"/>
  <c r="AD771" i="12"/>
  <c r="AG771" i="12"/>
  <c r="S772" i="12"/>
  <c r="AA772" i="12"/>
  <c r="AD772" i="12"/>
  <c r="AG772" i="12"/>
  <c r="S773" i="12"/>
  <c r="AA773" i="12"/>
  <c r="AD773" i="12"/>
  <c r="AG773" i="12"/>
  <c r="V774" i="12"/>
  <c r="W774" i="12"/>
  <c r="S775" i="12"/>
  <c r="AA775" i="12"/>
  <c r="AD775" i="12"/>
  <c r="AG775" i="12"/>
  <c r="S776" i="12"/>
  <c r="AA776" i="12"/>
  <c r="AD776" i="12"/>
  <c r="AG776" i="12"/>
  <c r="K672" i="12"/>
  <c r="O672" i="12"/>
  <c r="S672" i="12"/>
  <c r="AA672" i="12"/>
  <c r="AD672" i="12"/>
  <c r="AG672" i="12"/>
  <c r="Z332" i="12"/>
  <c r="AH155" i="9"/>
  <c r="C1096" i="23"/>
  <c r="E367" i="9"/>
  <c r="B1281" i="23"/>
  <c r="W861" i="12"/>
  <c r="V861" i="12"/>
  <c r="W850" i="12"/>
  <c r="V850" i="12"/>
  <c r="W845" i="12"/>
  <c r="V845" i="12"/>
  <c r="W838" i="12"/>
  <c r="V838" i="12"/>
  <c r="W832" i="12"/>
  <c r="V832" i="12"/>
  <c r="W826" i="12"/>
  <c r="V826" i="12"/>
  <c r="W804" i="12"/>
  <c r="V804" i="12"/>
  <c r="W798" i="12"/>
  <c r="V798" i="12"/>
  <c r="W780" i="12"/>
  <c r="V780" i="12"/>
  <c r="W120" i="12"/>
  <c r="V120" i="12"/>
  <c r="W101" i="12"/>
  <c r="V101" i="12"/>
  <c r="W11" i="12"/>
  <c r="V11" i="12"/>
  <c r="W10" i="12"/>
  <c r="V10" i="12"/>
  <c r="AJ685" i="19"/>
  <c r="AI685" i="19"/>
  <c r="AH685" i="19"/>
  <c r="AG685" i="19"/>
  <c r="AF685" i="19"/>
  <c r="AJ594" i="19"/>
  <c r="AI594" i="19"/>
  <c r="AH594" i="19"/>
  <c r="AG594" i="19"/>
  <c r="AF594" i="19"/>
  <c r="AJ46" i="19"/>
  <c r="AI46" i="19"/>
  <c r="AH46" i="19"/>
  <c r="AG46" i="19"/>
  <c r="AF46" i="19"/>
  <c r="AJ547" i="19"/>
  <c r="AI547" i="19"/>
  <c r="AH547" i="19"/>
  <c r="AG547" i="19"/>
  <c r="AF547" i="19"/>
  <c r="AJ705" i="19"/>
  <c r="AI705" i="19"/>
  <c r="AH705" i="19"/>
  <c r="AG705" i="19"/>
  <c r="AF705" i="19"/>
  <c r="AJ405" i="19"/>
  <c r="AI405" i="19"/>
  <c r="AH405" i="19"/>
  <c r="AG405" i="19"/>
  <c r="AF405" i="19"/>
  <c r="H1097" i="23"/>
  <c r="C1097" i="23"/>
  <c r="D1097" i="23"/>
  <c r="E1097" i="23"/>
  <c r="J717" i="12"/>
  <c r="AJ550" i="19"/>
  <c r="AI550" i="19"/>
  <c r="AH550" i="19"/>
  <c r="AG550" i="19"/>
  <c r="AF550" i="19"/>
  <c r="AJ551" i="19"/>
  <c r="AI551" i="19"/>
  <c r="AH551" i="19"/>
  <c r="AG551" i="19"/>
  <c r="AF551" i="19"/>
  <c r="AJ444" i="19"/>
  <c r="AI444" i="19"/>
  <c r="AH444" i="19"/>
  <c r="AG444" i="19"/>
  <c r="AF444" i="19"/>
  <c r="AJ404" i="19"/>
  <c r="AI404" i="19"/>
  <c r="AH404" i="19"/>
  <c r="AG404" i="19"/>
  <c r="AF404" i="19"/>
  <c r="AJ534" i="19"/>
  <c r="AI534" i="19"/>
  <c r="AH534" i="19"/>
  <c r="AG534" i="19"/>
  <c r="AF534" i="19"/>
  <c r="AJ535" i="19"/>
  <c r="AI535" i="19"/>
  <c r="AH535" i="19"/>
  <c r="AG535" i="19"/>
  <c r="AF535" i="19"/>
  <c r="E1" i="20"/>
  <c r="G3" i="19"/>
  <c r="AG863" i="12"/>
  <c r="AD863" i="12"/>
  <c r="AA863" i="12"/>
  <c r="AG862" i="12"/>
  <c r="AD862" i="12"/>
  <c r="AA862" i="12"/>
  <c r="AG859" i="12"/>
  <c r="AD859" i="12"/>
  <c r="AA859" i="12"/>
  <c r="AG852" i="12"/>
  <c r="AD852" i="12"/>
  <c r="AA852" i="12"/>
  <c r="AG851" i="12"/>
  <c r="AD851" i="12"/>
  <c r="AA851" i="12"/>
  <c r="AF850" i="12"/>
  <c r="AC850" i="12"/>
  <c r="Z850" i="12"/>
  <c r="AG849" i="12"/>
  <c r="AD849" i="12"/>
  <c r="AA849" i="12"/>
  <c r="AG848" i="12"/>
  <c r="AD848" i="12"/>
  <c r="AA848" i="12"/>
  <c r="AG847" i="12"/>
  <c r="AD847" i="12"/>
  <c r="AA847" i="12"/>
  <c r="AG846" i="12"/>
  <c r="AD846" i="12"/>
  <c r="AA846" i="12"/>
  <c r="AF845" i="12"/>
  <c r="AC845" i="12"/>
  <c r="Z845" i="12"/>
  <c r="AF832" i="12"/>
  <c r="AF838" i="12"/>
  <c r="AC832" i="12"/>
  <c r="AC838" i="12"/>
  <c r="Z832" i="12"/>
  <c r="Z838" i="12"/>
  <c r="AG828" i="12"/>
  <c r="AD828" i="12"/>
  <c r="AA828" i="12"/>
  <c r="AG827" i="12"/>
  <c r="AD827" i="12"/>
  <c r="AA827" i="12"/>
  <c r="AG825" i="12"/>
  <c r="AD825" i="12"/>
  <c r="AA825" i="12"/>
  <c r="AG824" i="12"/>
  <c r="AD824" i="12"/>
  <c r="AA824" i="12"/>
  <c r="AG823" i="12"/>
  <c r="AD823" i="12"/>
  <c r="AA823" i="12"/>
  <c r="AG822" i="12"/>
  <c r="AD822" i="12"/>
  <c r="AA822" i="12"/>
  <c r="AG821" i="12"/>
  <c r="AD821" i="12"/>
  <c r="AA821" i="12"/>
  <c r="AG820" i="12"/>
  <c r="AD820" i="12"/>
  <c r="AA820" i="12"/>
  <c r="AG819" i="12"/>
  <c r="AD819" i="12"/>
  <c r="AA819" i="12"/>
  <c r="AG818" i="12"/>
  <c r="AD818" i="12"/>
  <c r="AA818" i="12"/>
  <c r="AG817" i="12"/>
  <c r="AD817" i="12"/>
  <c r="AA817" i="12"/>
  <c r="AG816" i="12"/>
  <c r="AD816" i="12"/>
  <c r="AA816" i="12"/>
  <c r="AG815" i="12"/>
  <c r="AD815" i="12"/>
  <c r="AA815" i="12"/>
  <c r="AG814" i="12"/>
  <c r="AD814" i="12"/>
  <c r="AA814" i="12"/>
  <c r="AG813" i="12"/>
  <c r="AD813" i="12"/>
  <c r="AA813" i="12"/>
  <c r="AG812" i="12"/>
  <c r="AD812" i="12"/>
  <c r="AA812" i="12"/>
  <c r="AG811" i="12"/>
  <c r="AD811" i="12"/>
  <c r="AA811" i="12"/>
  <c r="AG810" i="12"/>
  <c r="AD810" i="12"/>
  <c r="AA810" i="12"/>
  <c r="AG809" i="12"/>
  <c r="AD809" i="12"/>
  <c r="AA809" i="12"/>
  <c r="AG808" i="12"/>
  <c r="AD808" i="12"/>
  <c r="AA808" i="12"/>
  <c r="AG807" i="12"/>
  <c r="AD807" i="12"/>
  <c r="AA807" i="12"/>
  <c r="AG806" i="12"/>
  <c r="AD806" i="12"/>
  <c r="AA806" i="12"/>
  <c r="AG805" i="12"/>
  <c r="AD805" i="12"/>
  <c r="AA805" i="12"/>
  <c r="AF804" i="12"/>
  <c r="AF827" i="12"/>
  <c r="AF826" i="12"/>
  <c r="AF803" i="12"/>
  <c r="AF802" i="12"/>
  <c r="AC804" i="12"/>
  <c r="Z804" i="12"/>
  <c r="Z827" i="12"/>
  <c r="Z826" i="12"/>
  <c r="AG800" i="12"/>
  <c r="AD800" i="12"/>
  <c r="AA800" i="12"/>
  <c r="AG799" i="12"/>
  <c r="AD799" i="12"/>
  <c r="AA799" i="12"/>
  <c r="AG797" i="12"/>
  <c r="AD797" i="12"/>
  <c r="AA797" i="12"/>
  <c r="AG796" i="12"/>
  <c r="AD796" i="12"/>
  <c r="AA796" i="12"/>
  <c r="AG795" i="12"/>
  <c r="AD795" i="12"/>
  <c r="AA795" i="12"/>
  <c r="AG794" i="12"/>
  <c r="AD794" i="12"/>
  <c r="AA794" i="12"/>
  <c r="AG793" i="12"/>
  <c r="AD793" i="12"/>
  <c r="AA793" i="12"/>
  <c r="AG792" i="12"/>
  <c r="AD792" i="12"/>
  <c r="AA792" i="12"/>
  <c r="AG791" i="12"/>
  <c r="AD791" i="12"/>
  <c r="AA791" i="12"/>
  <c r="AG790" i="12"/>
  <c r="AD790" i="12"/>
  <c r="AA790" i="12"/>
  <c r="AG789" i="12"/>
  <c r="AD789" i="12"/>
  <c r="AA789" i="12"/>
  <c r="AG788" i="12"/>
  <c r="AD788" i="12"/>
  <c r="AA788" i="12"/>
  <c r="AG787" i="12"/>
  <c r="AD787" i="12"/>
  <c r="AA787" i="12"/>
  <c r="AG786" i="12"/>
  <c r="AD786" i="12"/>
  <c r="AA786" i="12"/>
  <c r="AG785" i="12"/>
  <c r="AD785" i="12"/>
  <c r="AA785" i="12"/>
  <c r="AG784" i="12"/>
  <c r="AD784" i="12"/>
  <c r="AA784" i="12"/>
  <c r="AG783" i="12"/>
  <c r="AD783" i="12"/>
  <c r="AA783" i="12"/>
  <c r="AG782" i="12"/>
  <c r="AD782" i="12"/>
  <c r="AA782" i="12"/>
  <c r="AG781" i="12"/>
  <c r="AD781" i="12"/>
  <c r="AA781" i="12"/>
  <c r="AF780" i="12"/>
  <c r="AF799" i="12"/>
  <c r="AF798" i="12"/>
  <c r="AC780" i="12"/>
  <c r="AC799" i="12"/>
  <c r="AC798" i="12"/>
  <c r="AC779" i="12"/>
  <c r="AC778" i="12"/>
  <c r="Z780" i="12"/>
  <c r="Z799" i="12"/>
  <c r="AG644" i="12"/>
  <c r="AD644" i="12"/>
  <c r="AA644" i="12"/>
  <c r="AG643" i="12"/>
  <c r="AD643" i="12"/>
  <c r="AA643" i="12"/>
  <c r="AG641" i="12"/>
  <c r="AD641" i="12"/>
  <c r="AA641" i="12"/>
  <c r="AG640" i="12"/>
  <c r="AD640" i="12"/>
  <c r="AA640" i="12"/>
  <c r="AG639" i="12"/>
  <c r="AD639" i="12"/>
  <c r="AA639" i="12"/>
  <c r="AG638" i="12"/>
  <c r="AD638" i="12"/>
  <c r="AA638" i="12"/>
  <c r="AG637" i="12"/>
  <c r="AD637" i="12"/>
  <c r="AA637" i="12"/>
  <c r="AG636" i="12"/>
  <c r="AD636" i="12"/>
  <c r="AA636" i="12"/>
  <c r="AG635" i="12"/>
  <c r="AD635" i="12"/>
  <c r="AA635" i="12"/>
  <c r="AG634" i="12"/>
  <c r="AD634" i="12"/>
  <c r="AA634" i="12"/>
  <c r="AG633" i="12"/>
  <c r="AD633" i="12"/>
  <c r="AA633" i="12"/>
  <c r="AG632" i="12"/>
  <c r="AD632" i="12"/>
  <c r="AA632" i="12"/>
  <c r="AG631" i="12"/>
  <c r="AD631" i="12"/>
  <c r="AA631" i="12"/>
  <c r="AG630" i="12"/>
  <c r="AD630" i="12"/>
  <c r="AA630" i="12"/>
  <c r="AG629" i="12"/>
  <c r="AD629" i="12"/>
  <c r="AA629" i="12"/>
  <c r="AG628" i="12"/>
  <c r="AD628" i="12"/>
  <c r="AA628" i="12"/>
  <c r="AG627" i="12"/>
  <c r="AD627" i="12"/>
  <c r="AA627" i="12"/>
  <c r="AG626" i="12"/>
  <c r="AD626" i="12"/>
  <c r="AA626" i="12"/>
  <c r="AG625" i="12"/>
  <c r="AD625" i="12"/>
  <c r="AA625" i="12"/>
  <c r="AG624" i="12"/>
  <c r="AD624" i="12"/>
  <c r="AA624" i="12"/>
  <c r="AG623" i="12"/>
  <c r="AD623" i="12"/>
  <c r="AA623" i="12"/>
  <c r="AG622" i="12"/>
  <c r="AD622" i="12"/>
  <c r="AA622" i="12"/>
  <c r="AG621" i="12"/>
  <c r="AD621" i="12"/>
  <c r="AA621" i="12"/>
  <c r="AG620" i="12"/>
  <c r="AD620" i="12"/>
  <c r="AA620" i="12"/>
  <c r="AG619" i="12"/>
  <c r="AD619" i="12"/>
  <c r="AA619" i="12"/>
  <c r="AG618" i="12"/>
  <c r="AD618" i="12"/>
  <c r="AA618" i="12"/>
  <c r="AG617" i="12"/>
  <c r="AD617" i="12"/>
  <c r="AA617" i="12"/>
  <c r="AF616" i="12"/>
  <c r="AC616" i="12"/>
  <c r="AC643" i="12"/>
  <c r="AC642" i="12"/>
  <c r="AG211" i="12"/>
  <c r="AG210" i="12"/>
  <c r="AG208" i="12"/>
  <c r="AG207" i="12"/>
  <c r="AG206" i="12"/>
  <c r="AG205" i="12"/>
  <c r="AG204" i="12"/>
  <c r="AG203" i="12"/>
  <c r="AG202" i="12"/>
  <c r="AG201" i="12"/>
  <c r="AG200" i="12"/>
  <c r="AG199" i="12"/>
  <c r="AG198" i="12"/>
  <c r="AG197" i="12"/>
  <c r="AG196" i="12"/>
  <c r="AG195" i="12"/>
  <c r="AG194" i="12"/>
  <c r="AG193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22" i="12"/>
  <c r="AD122" i="12"/>
  <c r="AA122" i="12"/>
  <c r="AG119" i="12"/>
  <c r="AD119" i="12"/>
  <c r="AA119" i="12"/>
  <c r="AF101" i="12"/>
  <c r="AF120" i="12"/>
  <c r="AC101" i="12"/>
  <c r="AC120" i="12"/>
  <c r="Z101" i="12"/>
  <c r="Z120" i="12"/>
  <c r="Z100" i="12"/>
  <c r="Z99" i="12"/>
  <c r="Q450" i="9"/>
  <c r="AJ733" i="19"/>
  <c r="AI733" i="19"/>
  <c r="AH733" i="19"/>
  <c r="AG733" i="19"/>
  <c r="AF733" i="19"/>
  <c r="AJ714" i="19"/>
  <c r="AI714" i="19"/>
  <c r="AH714" i="19"/>
  <c r="AG714" i="19"/>
  <c r="AF714" i="19"/>
  <c r="AJ136" i="19"/>
  <c r="AI136" i="19"/>
  <c r="AH136" i="19"/>
  <c r="AG136" i="19"/>
  <c r="AF136" i="19"/>
  <c r="AJ734" i="19"/>
  <c r="AI734" i="19"/>
  <c r="AH734" i="19"/>
  <c r="AG734" i="19"/>
  <c r="AF734" i="19"/>
  <c r="AJ135" i="19"/>
  <c r="AI135" i="19"/>
  <c r="AH135" i="19"/>
  <c r="AG135" i="19"/>
  <c r="AF135" i="19"/>
  <c r="AJ525" i="19"/>
  <c r="AI525" i="19"/>
  <c r="AH525" i="19"/>
  <c r="AG525" i="19"/>
  <c r="AF525" i="19"/>
  <c r="AJ764" i="19"/>
  <c r="AI764" i="19"/>
  <c r="AH764" i="19"/>
  <c r="AG764" i="19"/>
  <c r="AF764" i="19"/>
  <c r="AJ403" i="19"/>
  <c r="AI403" i="19"/>
  <c r="AH403" i="19"/>
  <c r="AG403" i="19"/>
  <c r="AF403" i="19"/>
  <c r="AJ576" i="19"/>
  <c r="AI576" i="19"/>
  <c r="AH576" i="19"/>
  <c r="AG576" i="19"/>
  <c r="AF576" i="19"/>
  <c r="AJ137" i="19"/>
  <c r="AI137" i="19"/>
  <c r="AH137" i="19"/>
  <c r="AG137" i="19"/>
  <c r="AF137" i="19"/>
  <c r="AJ402" i="19"/>
  <c r="AI402" i="19"/>
  <c r="AH402" i="19"/>
  <c r="AG402" i="19"/>
  <c r="AF402" i="19"/>
  <c r="AJ501" i="19"/>
  <c r="AI501" i="19"/>
  <c r="AH501" i="19"/>
  <c r="AG501" i="19"/>
  <c r="AF501" i="19"/>
  <c r="AJ502" i="19"/>
  <c r="AI502" i="19"/>
  <c r="AH502" i="19"/>
  <c r="AG502" i="19"/>
  <c r="AF502" i="19"/>
  <c r="AJ675" i="19"/>
  <c r="AI675" i="19"/>
  <c r="AH675" i="19"/>
  <c r="AG675" i="19"/>
  <c r="AF675" i="19"/>
  <c r="AJ642" i="19"/>
  <c r="AI642" i="19"/>
  <c r="AH642" i="19"/>
  <c r="AG642" i="19"/>
  <c r="AF642" i="19"/>
  <c r="AJ571" i="19"/>
  <c r="AI571" i="19"/>
  <c r="AH571" i="19"/>
  <c r="AG571" i="19"/>
  <c r="AF571" i="19"/>
  <c r="AJ720" i="19"/>
  <c r="AI720" i="19"/>
  <c r="AH720" i="19"/>
  <c r="AG720" i="19"/>
  <c r="AF720" i="19"/>
  <c r="AJ426" i="19"/>
  <c r="AI426" i="19"/>
  <c r="AH426" i="19"/>
  <c r="AG426" i="19"/>
  <c r="AF426" i="19"/>
  <c r="B704" i="23"/>
  <c r="B1098" i="23"/>
  <c r="G1022" i="23"/>
  <c r="G1021" i="23"/>
  <c r="G1020" i="23"/>
  <c r="G1018" i="23"/>
  <c r="G1017" i="23"/>
  <c r="E296" i="9"/>
  <c r="I40" i="23"/>
  <c r="D184" i="9"/>
  <c r="AJ728" i="19"/>
  <c r="AI728" i="19"/>
  <c r="AH728" i="19"/>
  <c r="AG728" i="19"/>
  <c r="AF728" i="19"/>
  <c r="AJ651" i="19"/>
  <c r="AI651" i="19"/>
  <c r="AH651" i="19"/>
  <c r="AG651" i="19"/>
  <c r="AF651" i="19"/>
  <c r="AJ696" i="19"/>
  <c r="AI696" i="19"/>
  <c r="AH696" i="19"/>
  <c r="AG696" i="19"/>
  <c r="AF696" i="19"/>
  <c r="AJ44" i="19"/>
  <c r="AI44" i="19"/>
  <c r="AH44" i="19"/>
  <c r="AG44" i="19"/>
  <c r="AF44" i="19"/>
  <c r="AJ494" i="19"/>
  <c r="AI494" i="19"/>
  <c r="AH494" i="19"/>
  <c r="AG494" i="19"/>
  <c r="AF494" i="19"/>
  <c r="AJ493" i="19"/>
  <c r="AI493" i="19"/>
  <c r="AH493" i="19"/>
  <c r="AG493" i="19"/>
  <c r="AF493" i="19"/>
  <c r="AJ443" i="19"/>
  <c r="AI443" i="19"/>
  <c r="AH443" i="19"/>
  <c r="AG443" i="19"/>
  <c r="AF443" i="19"/>
  <c r="AJ49" i="19"/>
  <c r="AI49" i="19"/>
  <c r="AH49" i="19"/>
  <c r="AG49" i="19"/>
  <c r="AF49" i="19"/>
  <c r="AJ48" i="19"/>
  <c r="AI48" i="19"/>
  <c r="AH48" i="19"/>
  <c r="AG48" i="19"/>
  <c r="AF48" i="19"/>
  <c r="AJ47" i="19"/>
  <c r="AI47" i="19"/>
  <c r="AH47" i="19"/>
  <c r="AG47" i="19"/>
  <c r="AF47" i="19"/>
  <c r="AJ470" i="19"/>
  <c r="AI470" i="19"/>
  <c r="AH470" i="19"/>
  <c r="AG470" i="19"/>
  <c r="AF470" i="19"/>
  <c r="AJ342" i="19"/>
  <c r="AI342" i="19"/>
  <c r="AH342" i="19"/>
  <c r="AG342" i="19"/>
  <c r="AF342" i="19"/>
  <c r="AJ621" i="19"/>
  <c r="AI621" i="19"/>
  <c r="AH621" i="19"/>
  <c r="AG621" i="19"/>
  <c r="AF621" i="19"/>
  <c r="C1107" i="23"/>
  <c r="C499" i="9"/>
  <c r="D499" i="9"/>
  <c r="C498" i="9"/>
  <c r="D498" i="9"/>
  <c r="AJ489" i="19"/>
  <c r="AI489" i="19"/>
  <c r="AH489" i="19"/>
  <c r="AG489" i="19"/>
  <c r="AF489" i="19"/>
  <c r="C99" i="9"/>
  <c r="D99" i="9"/>
  <c r="N40" i="23"/>
  <c r="AJ570" i="19"/>
  <c r="AI570" i="19"/>
  <c r="AH570" i="19"/>
  <c r="AG570" i="19"/>
  <c r="AF570" i="19"/>
  <c r="AJ674" i="19"/>
  <c r="AI674" i="19"/>
  <c r="AH674" i="19"/>
  <c r="AG674" i="19"/>
  <c r="AF674" i="19"/>
  <c r="AJ50" i="19"/>
  <c r="AI50" i="19"/>
  <c r="AH50" i="19"/>
  <c r="AG50" i="19"/>
  <c r="AF50" i="19"/>
  <c r="AJ51" i="19"/>
  <c r="AI51" i="19"/>
  <c r="AH51" i="19"/>
  <c r="AG51" i="19"/>
  <c r="AF51" i="19"/>
  <c r="AJ52" i="19"/>
  <c r="AI52" i="19"/>
  <c r="AH52" i="19"/>
  <c r="AG52" i="19"/>
  <c r="AF52" i="19"/>
  <c r="AJ425" i="19"/>
  <c r="AI425" i="19"/>
  <c r="AH425" i="19"/>
  <c r="AG425" i="19"/>
  <c r="AF425" i="19"/>
  <c r="AJ424" i="19"/>
  <c r="AI424" i="19"/>
  <c r="AH424" i="19"/>
  <c r="AG424" i="19"/>
  <c r="AF424" i="19"/>
  <c r="AJ422" i="19"/>
  <c r="AI422" i="19"/>
  <c r="AH422" i="19"/>
  <c r="AG422" i="19"/>
  <c r="AF422" i="19"/>
  <c r="AJ421" i="19"/>
  <c r="AI421" i="19"/>
  <c r="AH421" i="19"/>
  <c r="AG421" i="19"/>
  <c r="AF421" i="19"/>
  <c r="AJ420" i="19"/>
  <c r="AI420" i="19"/>
  <c r="AH420" i="19"/>
  <c r="AG420" i="19"/>
  <c r="AF420" i="19"/>
  <c r="AJ469" i="19"/>
  <c r="AI469" i="19"/>
  <c r="AH469" i="19"/>
  <c r="AG469" i="19"/>
  <c r="AF469" i="19"/>
  <c r="AJ468" i="19"/>
  <c r="AI468" i="19"/>
  <c r="AH468" i="19"/>
  <c r="AG468" i="19"/>
  <c r="AF468" i="19"/>
  <c r="AJ467" i="19"/>
  <c r="AI467" i="19"/>
  <c r="AH467" i="19"/>
  <c r="AG467" i="19"/>
  <c r="AF467" i="19"/>
  <c r="AJ466" i="19"/>
  <c r="AI466" i="19"/>
  <c r="AH466" i="19"/>
  <c r="AG466" i="19"/>
  <c r="AF466" i="19"/>
  <c r="AJ465" i="19"/>
  <c r="AI465" i="19"/>
  <c r="AH465" i="19"/>
  <c r="AG465" i="19"/>
  <c r="AF465" i="19"/>
  <c r="AJ464" i="19"/>
  <c r="AI464" i="19"/>
  <c r="AH464" i="19"/>
  <c r="AG464" i="19"/>
  <c r="AF464" i="19"/>
  <c r="AJ463" i="19"/>
  <c r="AI463" i="19"/>
  <c r="AH463" i="19"/>
  <c r="AG463" i="19"/>
  <c r="AF463" i="19"/>
  <c r="AJ462" i="19"/>
  <c r="AI462" i="19"/>
  <c r="AH462" i="19"/>
  <c r="AG462" i="19"/>
  <c r="AF462" i="19"/>
  <c r="AJ567" i="19"/>
  <c r="AI567" i="19"/>
  <c r="AH567" i="19"/>
  <c r="AG567" i="19"/>
  <c r="AF567" i="19"/>
  <c r="AJ566" i="19"/>
  <c r="AI566" i="19"/>
  <c r="AH566" i="19"/>
  <c r="AG566" i="19"/>
  <c r="AF566" i="19"/>
  <c r="AJ565" i="19"/>
  <c r="AI565" i="19"/>
  <c r="AH565" i="19"/>
  <c r="AG565" i="19"/>
  <c r="AF565" i="19"/>
  <c r="AJ563" i="19"/>
  <c r="AI563" i="19"/>
  <c r="AH563" i="19"/>
  <c r="AG563" i="19"/>
  <c r="AF563" i="19"/>
  <c r="AJ564" i="19"/>
  <c r="AI564" i="19"/>
  <c r="AH564" i="19"/>
  <c r="AG564" i="19"/>
  <c r="AF564" i="19"/>
  <c r="AJ569" i="19"/>
  <c r="AI569" i="19"/>
  <c r="AH569" i="19"/>
  <c r="AG569" i="19"/>
  <c r="AF569" i="19"/>
  <c r="AJ568" i="19"/>
  <c r="AI568" i="19"/>
  <c r="AH568" i="19"/>
  <c r="AG568" i="19"/>
  <c r="AF568" i="19"/>
  <c r="AJ562" i="19"/>
  <c r="AI562" i="19"/>
  <c r="AH562" i="19"/>
  <c r="AG562" i="19"/>
  <c r="AF562" i="19"/>
  <c r="AJ561" i="19"/>
  <c r="AI561" i="19"/>
  <c r="AH561" i="19"/>
  <c r="AG561" i="19"/>
  <c r="AF561" i="19"/>
  <c r="AJ560" i="19"/>
  <c r="AI560" i="19"/>
  <c r="AH560" i="19"/>
  <c r="AG560" i="19"/>
  <c r="AF560" i="19"/>
  <c r="AJ559" i="19"/>
  <c r="AI559" i="19"/>
  <c r="AH559" i="19"/>
  <c r="AG559" i="19"/>
  <c r="AF559" i="19"/>
  <c r="AJ558" i="19"/>
  <c r="AI558" i="19"/>
  <c r="AH558" i="19"/>
  <c r="AG558" i="19"/>
  <c r="AF558" i="19"/>
  <c r="AJ557" i="19"/>
  <c r="AI557" i="19"/>
  <c r="AH557" i="19"/>
  <c r="AG557" i="19"/>
  <c r="AF557" i="19"/>
  <c r="AJ556" i="19"/>
  <c r="AI556" i="19"/>
  <c r="AH556" i="19"/>
  <c r="AG556" i="19"/>
  <c r="AF556" i="19"/>
  <c r="AJ671" i="19"/>
  <c r="AI671" i="19"/>
  <c r="AH671" i="19"/>
  <c r="AG671" i="19"/>
  <c r="AF671" i="19"/>
  <c r="AJ668" i="19"/>
  <c r="AI668" i="19"/>
  <c r="AH668" i="19"/>
  <c r="AG668" i="19"/>
  <c r="AF668" i="19"/>
  <c r="AJ667" i="19"/>
  <c r="AI667" i="19"/>
  <c r="AH667" i="19"/>
  <c r="AG667" i="19"/>
  <c r="AF667" i="19"/>
  <c r="AJ666" i="19"/>
  <c r="AI666" i="19"/>
  <c r="AH666" i="19"/>
  <c r="AG666" i="19"/>
  <c r="AF666" i="19"/>
  <c r="AJ665" i="19"/>
  <c r="AI665" i="19"/>
  <c r="AH665" i="19"/>
  <c r="AG665" i="19"/>
  <c r="AF665" i="19"/>
  <c r="AJ670" i="19"/>
  <c r="AI670" i="19"/>
  <c r="AH670" i="19"/>
  <c r="AG670" i="19"/>
  <c r="AF670" i="19"/>
  <c r="AJ673" i="19"/>
  <c r="AI673" i="19"/>
  <c r="AH673" i="19"/>
  <c r="AG673" i="19"/>
  <c r="AF673" i="19"/>
  <c r="AJ672" i="19"/>
  <c r="AI672" i="19"/>
  <c r="AH672" i="19"/>
  <c r="AG672" i="19"/>
  <c r="AF672" i="19"/>
  <c r="AJ669" i="19"/>
  <c r="AI669" i="19"/>
  <c r="AH669" i="19"/>
  <c r="AG669" i="19"/>
  <c r="AF669" i="19"/>
  <c r="AJ725" i="19"/>
  <c r="AI725" i="19"/>
  <c r="AH725" i="19"/>
  <c r="AG725" i="19"/>
  <c r="AF725" i="19"/>
  <c r="AJ727" i="19"/>
  <c r="AI727" i="19"/>
  <c r="AH727" i="19"/>
  <c r="AG727" i="19"/>
  <c r="AF727" i="19"/>
  <c r="AJ724" i="19"/>
  <c r="AI724" i="19"/>
  <c r="AH724" i="19"/>
  <c r="AG724" i="19"/>
  <c r="AF724" i="19"/>
  <c r="AJ710" i="19"/>
  <c r="AI710" i="19"/>
  <c r="AH710" i="19"/>
  <c r="AG710" i="19"/>
  <c r="AF710" i="19"/>
  <c r="AJ709" i="19"/>
  <c r="AI709" i="19"/>
  <c r="AH709" i="19"/>
  <c r="AG709" i="19"/>
  <c r="AF709" i="19"/>
  <c r="AJ708" i="19"/>
  <c r="AI708" i="19"/>
  <c r="AH708" i="19"/>
  <c r="AG708" i="19"/>
  <c r="AF708" i="19"/>
  <c r="AJ707" i="19"/>
  <c r="AI707" i="19"/>
  <c r="AH707" i="19"/>
  <c r="AG707" i="19"/>
  <c r="AF707" i="19"/>
  <c r="AJ695" i="19"/>
  <c r="AI695" i="19"/>
  <c r="AH695" i="19"/>
  <c r="AG695" i="19"/>
  <c r="AF695" i="19"/>
  <c r="AJ694" i="19"/>
  <c r="AI694" i="19"/>
  <c r="AH694" i="19"/>
  <c r="AG694" i="19"/>
  <c r="AF694" i="19"/>
  <c r="AJ693" i="19"/>
  <c r="AI693" i="19"/>
  <c r="AH693" i="19"/>
  <c r="AG693" i="19"/>
  <c r="AF693" i="19"/>
  <c r="AJ691" i="19"/>
  <c r="AI691" i="19"/>
  <c r="AH691" i="19"/>
  <c r="AG691" i="19"/>
  <c r="AF691" i="19"/>
  <c r="AJ22" i="19"/>
  <c r="AI22" i="19"/>
  <c r="AH22" i="19"/>
  <c r="AG22" i="19"/>
  <c r="AF22" i="19"/>
  <c r="AJ17" i="19"/>
  <c r="AI17" i="19"/>
  <c r="AH17" i="19"/>
  <c r="AG17" i="19"/>
  <c r="AF17" i="19"/>
  <c r="C1101" i="23"/>
  <c r="B1094" i="23"/>
  <c r="C1094" i="23"/>
  <c r="H1098" i="23"/>
  <c r="R824" i="23"/>
  <c r="C297" i="9"/>
  <c r="Q95" i="9"/>
  <c r="P95" i="9"/>
  <c r="AJ401" i="19"/>
  <c r="AI401" i="19"/>
  <c r="AH401" i="19"/>
  <c r="AG401" i="19"/>
  <c r="AF401" i="19"/>
  <c r="AJ492" i="19"/>
  <c r="AI492" i="19"/>
  <c r="AH492" i="19"/>
  <c r="AG492" i="19"/>
  <c r="AF492" i="19"/>
  <c r="AJ491" i="19"/>
  <c r="AI491" i="19"/>
  <c r="AH491" i="19"/>
  <c r="AG491" i="19"/>
  <c r="AF491" i="19"/>
  <c r="AJ490" i="19"/>
  <c r="AI490" i="19"/>
  <c r="AH490" i="19"/>
  <c r="AG490" i="19"/>
  <c r="AF490" i="19"/>
  <c r="AJ663" i="19"/>
  <c r="AI663" i="19"/>
  <c r="AH663" i="19"/>
  <c r="AG663" i="19"/>
  <c r="AF663" i="19"/>
  <c r="AJ38" i="19"/>
  <c r="AI38" i="19"/>
  <c r="AH38" i="19"/>
  <c r="AG38" i="19"/>
  <c r="AF38" i="19"/>
  <c r="AJ488" i="19"/>
  <c r="AI488" i="19"/>
  <c r="AH488" i="19"/>
  <c r="AG488" i="19"/>
  <c r="AF488" i="19"/>
  <c r="AJ56" i="19"/>
  <c r="AI56" i="19"/>
  <c r="AH56" i="19"/>
  <c r="AG56" i="19"/>
  <c r="AF56" i="19"/>
  <c r="X23" i="21"/>
  <c r="W23" i="21"/>
  <c r="H1035" i="23"/>
  <c r="H1034" i="23"/>
  <c r="AJ388" i="19"/>
  <c r="AI388" i="19"/>
  <c r="AH388" i="19"/>
  <c r="AG388" i="19"/>
  <c r="AF388" i="19"/>
  <c r="K136" i="9"/>
  <c r="J11" i="9"/>
  <c r="AJ641" i="19"/>
  <c r="AI641" i="19"/>
  <c r="AH641" i="19"/>
  <c r="AG641" i="19"/>
  <c r="AF641" i="19"/>
  <c r="AJ545" i="19"/>
  <c r="AI545" i="19"/>
  <c r="AH545" i="19"/>
  <c r="AG545" i="19"/>
  <c r="AF545" i="19"/>
  <c r="P233" i="23"/>
  <c r="U169" i="12"/>
  <c r="J38" i="9"/>
  <c r="AJ33" i="19"/>
  <c r="AI33" i="19"/>
  <c r="AH33" i="19"/>
  <c r="AG33" i="19"/>
  <c r="AF33" i="19"/>
  <c r="AJ30" i="19"/>
  <c r="AI30" i="19"/>
  <c r="AH30" i="19"/>
  <c r="AG30" i="19"/>
  <c r="AF30" i="19"/>
  <c r="AJ31" i="19"/>
  <c r="AI31" i="19"/>
  <c r="AH31" i="19"/>
  <c r="AG31" i="19"/>
  <c r="AF31" i="19"/>
  <c r="AJ40" i="19"/>
  <c r="AI40" i="19"/>
  <c r="AH40" i="19"/>
  <c r="AG40" i="19"/>
  <c r="AF40" i="19"/>
  <c r="AJ37" i="19"/>
  <c r="AI37" i="19"/>
  <c r="AH37" i="19"/>
  <c r="AG37" i="19"/>
  <c r="AF37" i="19"/>
  <c r="AJ35" i="19"/>
  <c r="AI35" i="19"/>
  <c r="AH35" i="19"/>
  <c r="AG35" i="19"/>
  <c r="AF35" i="19"/>
  <c r="AJ34" i="19"/>
  <c r="AI34" i="19"/>
  <c r="AH34" i="19"/>
  <c r="AG34" i="19"/>
  <c r="AF34" i="19"/>
  <c r="J30" i="9"/>
  <c r="C21" i="9"/>
  <c r="C20" i="9"/>
  <c r="D71" i="9"/>
  <c r="AJ461" i="19"/>
  <c r="AI461" i="19"/>
  <c r="AH461" i="19"/>
  <c r="AG461" i="19"/>
  <c r="AF461" i="19"/>
  <c r="AJ460" i="19"/>
  <c r="AI460" i="19"/>
  <c r="AH460" i="19"/>
  <c r="AG460" i="19"/>
  <c r="AF460" i="19"/>
  <c r="AJ459" i="19"/>
  <c r="AI459" i="19"/>
  <c r="AH459" i="19"/>
  <c r="AG459" i="19"/>
  <c r="AF459" i="19"/>
  <c r="AJ458" i="19"/>
  <c r="AI458" i="19"/>
  <c r="AH458" i="19"/>
  <c r="AG458" i="19"/>
  <c r="AF458" i="19"/>
  <c r="AJ596" i="19"/>
  <c r="AI596" i="19"/>
  <c r="AH596" i="19"/>
  <c r="AG596" i="19"/>
  <c r="AF596" i="19"/>
  <c r="AJ595" i="19"/>
  <c r="AI595" i="19"/>
  <c r="AH595" i="19"/>
  <c r="AG595" i="19"/>
  <c r="AF595" i="19"/>
  <c r="AJ593" i="19"/>
  <c r="AI593" i="19"/>
  <c r="AH593" i="19"/>
  <c r="AG593" i="19"/>
  <c r="AF593" i="19"/>
  <c r="AJ584" i="19"/>
  <c r="AI584" i="19"/>
  <c r="AH584" i="19"/>
  <c r="AG584" i="19"/>
  <c r="AF584" i="19"/>
  <c r="AJ583" i="19"/>
  <c r="AI583" i="19"/>
  <c r="AH583" i="19"/>
  <c r="AG583" i="19"/>
  <c r="AF583" i="19"/>
  <c r="AJ640" i="19"/>
  <c r="AI640" i="19"/>
  <c r="AH640" i="19"/>
  <c r="AG640" i="19"/>
  <c r="AF640" i="19"/>
  <c r="AJ730" i="19"/>
  <c r="AI730" i="19"/>
  <c r="AH730" i="19"/>
  <c r="AG730" i="19"/>
  <c r="AF730" i="19"/>
  <c r="AJ713" i="19"/>
  <c r="AI713" i="19"/>
  <c r="AH713" i="19"/>
  <c r="AG713" i="19"/>
  <c r="AF713" i="19"/>
  <c r="AJ684" i="19"/>
  <c r="AI684" i="19"/>
  <c r="AH684" i="19"/>
  <c r="AG684" i="19"/>
  <c r="AF684" i="19"/>
  <c r="AJ683" i="19"/>
  <c r="AI683" i="19"/>
  <c r="AH683" i="19"/>
  <c r="AG683" i="19"/>
  <c r="AF683" i="19"/>
  <c r="AJ682" i="19"/>
  <c r="AI682" i="19"/>
  <c r="AH682" i="19"/>
  <c r="AG682" i="19"/>
  <c r="AF682" i="19"/>
  <c r="AJ681" i="19"/>
  <c r="AI681" i="19"/>
  <c r="AH681" i="19"/>
  <c r="AG681" i="19"/>
  <c r="AF681" i="19"/>
  <c r="AJ592" i="19"/>
  <c r="AI592" i="19"/>
  <c r="AH592" i="19"/>
  <c r="AG592" i="19"/>
  <c r="AF592" i="19"/>
  <c r="AJ590" i="19"/>
  <c r="AI590" i="19"/>
  <c r="AH590" i="19"/>
  <c r="AG590" i="19"/>
  <c r="AF590" i="19"/>
  <c r="AJ591" i="19"/>
  <c r="AI591" i="19"/>
  <c r="AH591" i="19"/>
  <c r="AG591" i="19"/>
  <c r="AF591" i="19"/>
  <c r="AJ589" i="19"/>
  <c r="AI589" i="19"/>
  <c r="AH589" i="19"/>
  <c r="AG589" i="19"/>
  <c r="AF589" i="19"/>
  <c r="AJ588" i="19"/>
  <c r="AI588" i="19"/>
  <c r="AH588" i="19"/>
  <c r="AG588" i="19"/>
  <c r="AF588" i="19"/>
  <c r="AJ587" i="19"/>
  <c r="AI587" i="19"/>
  <c r="AH587" i="19"/>
  <c r="AG587" i="19"/>
  <c r="AF587" i="19"/>
  <c r="AJ586" i="19"/>
  <c r="AI586" i="19"/>
  <c r="AH586" i="19"/>
  <c r="AG586" i="19"/>
  <c r="AF586" i="19"/>
  <c r="AJ585" i="19"/>
  <c r="AI585" i="19"/>
  <c r="AH585" i="19"/>
  <c r="AG585" i="19"/>
  <c r="AF585" i="19"/>
  <c r="AJ27" i="19"/>
  <c r="AI27" i="19"/>
  <c r="AH27" i="19"/>
  <c r="AG27" i="19"/>
  <c r="AF27" i="19"/>
  <c r="AJ26" i="19"/>
  <c r="AI26" i="19"/>
  <c r="AH26" i="19"/>
  <c r="AG26" i="19"/>
  <c r="AF26" i="19"/>
  <c r="AJ28" i="19"/>
  <c r="AI28" i="19"/>
  <c r="AH28" i="19"/>
  <c r="AG28" i="19"/>
  <c r="AF28" i="19"/>
  <c r="AJ29" i="19"/>
  <c r="AI29" i="19"/>
  <c r="AH29" i="19"/>
  <c r="AG29" i="19"/>
  <c r="AF29" i="19"/>
  <c r="AJ14" i="19"/>
  <c r="AI14" i="19"/>
  <c r="AH14" i="19"/>
  <c r="AG14" i="19"/>
  <c r="AF14" i="19"/>
  <c r="AJ639" i="19"/>
  <c r="AI639" i="19"/>
  <c r="AH639" i="19"/>
  <c r="AG639" i="19"/>
  <c r="AF639" i="19"/>
  <c r="AJ636" i="19"/>
  <c r="AI636" i="19"/>
  <c r="AH636" i="19"/>
  <c r="AG636" i="19"/>
  <c r="AF636" i="19"/>
  <c r="AJ637" i="19"/>
  <c r="AI637" i="19"/>
  <c r="AH637" i="19"/>
  <c r="AG637" i="19"/>
  <c r="AF637" i="19"/>
  <c r="AJ635" i="19"/>
  <c r="AI635" i="19"/>
  <c r="AH635" i="19"/>
  <c r="AG635" i="19"/>
  <c r="AF635" i="19"/>
  <c r="AJ634" i="19"/>
  <c r="AI634" i="19"/>
  <c r="AH634" i="19"/>
  <c r="AG634" i="19"/>
  <c r="AF634" i="19"/>
  <c r="AJ633" i="19"/>
  <c r="AI633" i="19"/>
  <c r="AH633" i="19"/>
  <c r="AG633" i="19"/>
  <c r="AF633" i="19"/>
  <c r="AJ638" i="19"/>
  <c r="AI638" i="19"/>
  <c r="AH638" i="19"/>
  <c r="AG638" i="19"/>
  <c r="AF638" i="19"/>
  <c r="B442" i="23"/>
  <c r="C442" i="23"/>
  <c r="B114" i="9"/>
  <c r="AJ756" i="19"/>
  <c r="AI756" i="19"/>
  <c r="AH756" i="19"/>
  <c r="AG756" i="19"/>
  <c r="AF756" i="19"/>
  <c r="AJ70" i="19"/>
  <c r="AI70" i="19"/>
  <c r="AH70" i="19"/>
  <c r="AG70" i="19"/>
  <c r="AF70" i="19"/>
  <c r="AJ143" i="19"/>
  <c r="AI143" i="19"/>
  <c r="AH143" i="19"/>
  <c r="AG143" i="19"/>
  <c r="AF143" i="19"/>
  <c r="AJ142" i="19"/>
  <c r="AI142" i="19"/>
  <c r="AH142" i="19"/>
  <c r="AG142" i="19"/>
  <c r="AF142" i="19"/>
  <c r="AJ400" i="19"/>
  <c r="AI400" i="19"/>
  <c r="AH400" i="19"/>
  <c r="AG400" i="19"/>
  <c r="AF400" i="19"/>
  <c r="AJ399" i="19"/>
  <c r="AI399" i="19"/>
  <c r="AH399" i="19"/>
  <c r="AG399" i="19"/>
  <c r="AF399" i="19"/>
  <c r="AJ398" i="19"/>
  <c r="AI398" i="19"/>
  <c r="AH398" i="19"/>
  <c r="AG398" i="19"/>
  <c r="AF398" i="19"/>
  <c r="AJ397" i="19"/>
  <c r="AI397" i="19"/>
  <c r="AH397" i="19"/>
  <c r="AG397" i="19"/>
  <c r="AF397" i="19"/>
  <c r="AJ396" i="19"/>
  <c r="AI396" i="19"/>
  <c r="AH396" i="19"/>
  <c r="AG396" i="19"/>
  <c r="AF396" i="19"/>
  <c r="AJ395" i="19"/>
  <c r="AI395" i="19"/>
  <c r="AH395" i="19"/>
  <c r="AG395" i="19"/>
  <c r="AF395" i="19"/>
  <c r="AJ394" i="19"/>
  <c r="AI394" i="19"/>
  <c r="AH394" i="19"/>
  <c r="AG394" i="19"/>
  <c r="AF394" i="19"/>
  <c r="AJ393" i="19"/>
  <c r="AI393" i="19"/>
  <c r="AH393" i="19"/>
  <c r="AG393" i="19"/>
  <c r="AF393" i="19"/>
  <c r="AJ392" i="19"/>
  <c r="AI392" i="19"/>
  <c r="AH392" i="19"/>
  <c r="AG392" i="19"/>
  <c r="AF392" i="19"/>
  <c r="AJ391" i="19"/>
  <c r="AI391" i="19"/>
  <c r="AH391" i="19"/>
  <c r="AG391" i="19"/>
  <c r="AF391" i="19"/>
  <c r="AJ390" i="19"/>
  <c r="AI390" i="19"/>
  <c r="AH390" i="19"/>
  <c r="AG390" i="19"/>
  <c r="AF390" i="19"/>
  <c r="AJ389" i="19"/>
  <c r="AI389" i="19"/>
  <c r="AH389" i="19"/>
  <c r="AG389" i="19"/>
  <c r="AF389" i="19"/>
  <c r="C598" i="23"/>
  <c r="C597" i="23"/>
  <c r="C596" i="23"/>
  <c r="C607" i="23"/>
  <c r="C606" i="23"/>
  <c r="C605" i="23"/>
  <c r="C604" i="23"/>
  <c r="C603" i="23"/>
  <c r="C602" i="23"/>
  <c r="C601" i="23"/>
  <c r="C600" i="23"/>
  <c r="C599" i="23"/>
  <c r="C594" i="23"/>
  <c r="C593" i="23"/>
  <c r="C591" i="23"/>
  <c r="C590" i="23"/>
  <c r="C589" i="23"/>
  <c r="C588" i="23"/>
  <c r="C587" i="23"/>
  <c r="C586" i="23"/>
  <c r="C585" i="23"/>
  <c r="R617" i="23"/>
  <c r="R620" i="23"/>
  <c r="N620" i="23"/>
  <c r="O620" i="23"/>
  <c r="P620" i="23"/>
  <c r="M617" i="23"/>
  <c r="I617" i="23"/>
  <c r="J617" i="23"/>
  <c r="K617" i="23"/>
  <c r="AF9" i="19"/>
  <c r="AF8" i="19"/>
  <c r="AF456" i="19"/>
  <c r="AJ624" i="19"/>
  <c r="AI624" i="19"/>
  <c r="AH624" i="19"/>
  <c r="AG624" i="19"/>
  <c r="AF624" i="19"/>
  <c r="AJ623" i="19"/>
  <c r="AI623" i="19"/>
  <c r="AH623" i="19"/>
  <c r="AG623" i="19"/>
  <c r="AF623" i="19"/>
  <c r="AJ622" i="19"/>
  <c r="AI622" i="19"/>
  <c r="AH622" i="19"/>
  <c r="AG622" i="19"/>
  <c r="AF622" i="19"/>
  <c r="AJ582" i="19"/>
  <c r="AI582" i="19"/>
  <c r="AH582" i="19"/>
  <c r="AG582" i="19"/>
  <c r="AF582" i="19"/>
  <c r="E142" i="9"/>
  <c r="AJ581" i="19"/>
  <c r="AI581" i="19"/>
  <c r="AH581" i="19"/>
  <c r="AG581" i="19"/>
  <c r="AF581" i="19"/>
  <c r="AJ688" i="19"/>
  <c r="AI688" i="19"/>
  <c r="AH688" i="19"/>
  <c r="AG688" i="19"/>
  <c r="AF688" i="19"/>
  <c r="AJ687" i="19"/>
  <c r="AI687" i="19"/>
  <c r="AH687" i="19"/>
  <c r="AG687" i="19"/>
  <c r="AF687" i="19"/>
  <c r="AJ689" i="19"/>
  <c r="AI689" i="19"/>
  <c r="AH689" i="19"/>
  <c r="AG689" i="19"/>
  <c r="AF689" i="19"/>
  <c r="AJ457" i="19"/>
  <c r="AI457" i="19"/>
  <c r="AH457" i="19"/>
  <c r="AG457" i="19"/>
  <c r="AF457" i="19"/>
  <c r="AJ456" i="19"/>
  <c r="AI456" i="19"/>
  <c r="AH456" i="19"/>
  <c r="AG456" i="19"/>
  <c r="AJ455" i="19"/>
  <c r="AI455" i="19"/>
  <c r="AH455" i="19"/>
  <c r="AG455" i="19"/>
  <c r="AF455" i="19"/>
  <c r="AJ10" i="19"/>
  <c r="AI10" i="19"/>
  <c r="AH10" i="19"/>
  <c r="AG10" i="19"/>
  <c r="AF10" i="19"/>
  <c r="AJ579" i="19"/>
  <c r="AI579" i="19"/>
  <c r="AH579" i="19"/>
  <c r="AG579" i="19"/>
  <c r="AF579" i="19"/>
  <c r="AJ620" i="19"/>
  <c r="AI620" i="19"/>
  <c r="AH620" i="19"/>
  <c r="AG620" i="19"/>
  <c r="AF620" i="19"/>
  <c r="AJ619" i="19"/>
  <c r="AI619" i="19"/>
  <c r="AH619" i="19"/>
  <c r="AG619" i="19"/>
  <c r="AF619" i="19"/>
  <c r="AJ141" i="19"/>
  <c r="AI141" i="19"/>
  <c r="AH141" i="19"/>
  <c r="AG141" i="19"/>
  <c r="AF141" i="19"/>
  <c r="AJ387" i="19"/>
  <c r="AI387" i="19"/>
  <c r="AH387" i="19"/>
  <c r="AG387" i="19"/>
  <c r="AF387" i="19"/>
  <c r="AJ386" i="19"/>
  <c r="AI386" i="19"/>
  <c r="AH386" i="19"/>
  <c r="AG386" i="19"/>
  <c r="AF386" i="19"/>
  <c r="AJ385" i="19"/>
  <c r="AI385" i="19"/>
  <c r="AH385" i="19"/>
  <c r="AG385" i="19"/>
  <c r="AF385" i="19"/>
  <c r="AJ413" i="19"/>
  <c r="AI413" i="19"/>
  <c r="AH413" i="19"/>
  <c r="AG413" i="19"/>
  <c r="AF413" i="19"/>
  <c r="AJ412" i="19"/>
  <c r="AI412" i="19"/>
  <c r="AH412" i="19"/>
  <c r="AG412" i="19"/>
  <c r="AF412" i="19"/>
  <c r="AJ411" i="19"/>
  <c r="AI411" i="19"/>
  <c r="AH411" i="19"/>
  <c r="AG411" i="19"/>
  <c r="AF411" i="19"/>
  <c r="AJ410" i="19"/>
  <c r="AI410" i="19"/>
  <c r="AH410" i="19"/>
  <c r="AG410" i="19"/>
  <c r="AF410" i="19"/>
  <c r="AJ409" i="19"/>
  <c r="AI409" i="19"/>
  <c r="AH409" i="19"/>
  <c r="AG409" i="19"/>
  <c r="AF409" i="19"/>
  <c r="AJ408" i="19"/>
  <c r="AI408" i="19"/>
  <c r="AH408" i="19"/>
  <c r="AG408" i="19"/>
  <c r="AF408" i="19"/>
  <c r="AJ766" i="19"/>
  <c r="AI766" i="19"/>
  <c r="AH766" i="19"/>
  <c r="AG766" i="19"/>
  <c r="AF766" i="19"/>
  <c r="AJ765" i="19"/>
  <c r="AI765" i="19"/>
  <c r="AH765" i="19"/>
  <c r="AG765" i="19"/>
  <c r="AF765" i="19"/>
  <c r="AJ763" i="19"/>
  <c r="AI763" i="19"/>
  <c r="AH763" i="19"/>
  <c r="AG763" i="19"/>
  <c r="AF763" i="19"/>
  <c r="AJ762" i="19"/>
  <c r="AI762" i="19"/>
  <c r="AH762" i="19"/>
  <c r="AG762" i="19"/>
  <c r="AF762" i="19"/>
  <c r="AJ761" i="19"/>
  <c r="AI761" i="19"/>
  <c r="AH761" i="19"/>
  <c r="AG761" i="19"/>
  <c r="AF761" i="19"/>
  <c r="AJ760" i="19"/>
  <c r="AI760" i="19"/>
  <c r="AH760" i="19"/>
  <c r="AG760" i="19"/>
  <c r="AF760" i="19"/>
  <c r="AJ759" i="19"/>
  <c r="AI759" i="19"/>
  <c r="AH759" i="19"/>
  <c r="AG759" i="19"/>
  <c r="AF759" i="19"/>
  <c r="AJ758" i="19"/>
  <c r="AI758" i="19"/>
  <c r="AH758" i="19"/>
  <c r="AG758" i="19"/>
  <c r="AF758" i="19"/>
  <c r="AJ755" i="19"/>
  <c r="AI755" i="19"/>
  <c r="AH755" i="19"/>
  <c r="AG755" i="19"/>
  <c r="AF755" i="19"/>
  <c r="AJ754" i="19"/>
  <c r="AI754" i="19"/>
  <c r="AH754" i="19"/>
  <c r="AG754" i="19"/>
  <c r="AF754" i="19"/>
  <c r="AJ753" i="19"/>
  <c r="AI753" i="19"/>
  <c r="AH753" i="19"/>
  <c r="AG753" i="19"/>
  <c r="AF753" i="19"/>
  <c r="AJ752" i="19"/>
  <c r="AI752" i="19"/>
  <c r="AH752" i="19"/>
  <c r="AG752" i="19"/>
  <c r="AF752" i="19"/>
  <c r="AJ751" i="19"/>
  <c r="AI751" i="19"/>
  <c r="AH751" i="19"/>
  <c r="AG751" i="19"/>
  <c r="AF751" i="19"/>
  <c r="AJ750" i="19"/>
  <c r="AI750" i="19"/>
  <c r="AH750" i="19"/>
  <c r="AG750" i="19"/>
  <c r="AF750" i="19"/>
  <c r="AJ749" i="19"/>
  <c r="AI749" i="19"/>
  <c r="AH749" i="19"/>
  <c r="AG749" i="19"/>
  <c r="AF749" i="19"/>
  <c r="AJ748" i="19"/>
  <c r="AI748" i="19"/>
  <c r="AH748" i="19"/>
  <c r="AG748" i="19"/>
  <c r="AF748" i="19"/>
  <c r="AJ747" i="19"/>
  <c r="AI747" i="19"/>
  <c r="AH747" i="19"/>
  <c r="AG747" i="19"/>
  <c r="AF747" i="19"/>
  <c r="AJ746" i="19"/>
  <c r="AI746" i="19"/>
  <c r="AH746" i="19"/>
  <c r="AG746" i="19"/>
  <c r="AF746" i="19"/>
  <c r="AJ745" i="19"/>
  <c r="AI745" i="19"/>
  <c r="AH745" i="19"/>
  <c r="AG745" i="19"/>
  <c r="AF745" i="19"/>
  <c r="AJ744" i="19"/>
  <c r="AI744" i="19"/>
  <c r="AH744" i="19"/>
  <c r="AG744" i="19"/>
  <c r="AF744" i="19"/>
  <c r="AJ743" i="19"/>
  <c r="AI743" i="19"/>
  <c r="AH743" i="19"/>
  <c r="AG743" i="19"/>
  <c r="AF743" i="19"/>
  <c r="AJ742" i="19"/>
  <c r="AI742" i="19"/>
  <c r="AH742" i="19"/>
  <c r="AG742" i="19"/>
  <c r="AF742" i="19"/>
  <c r="AJ741" i="19"/>
  <c r="AI741" i="19"/>
  <c r="AH741" i="19"/>
  <c r="AG741" i="19"/>
  <c r="AF741" i="19"/>
  <c r="AJ740" i="19"/>
  <c r="AI740" i="19"/>
  <c r="AH740" i="19"/>
  <c r="AG740" i="19"/>
  <c r="AF740" i="19"/>
  <c r="AJ739" i="19"/>
  <c r="AI739" i="19"/>
  <c r="AH739" i="19"/>
  <c r="AG739" i="19"/>
  <c r="AF739" i="19"/>
  <c r="AJ738" i="19"/>
  <c r="AI738" i="19"/>
  <c r="AH738" i="19"/>
  <c r="AG738" i="19"/>
  <c r="AF738" i="19"/>
  <c r="AJ737" i="19"/>
  <c r="AI737" i="19"/>
  <c r="AH737" i="19"/>
  <c r="AG737" i="19"/>
  <c r="AF737" i="19"/>
  <c r="AJ736" i="19"/>
  <c r="AI736" i="19"/>
  <c r="AH736" i="19"/>
  <c r="AG736" i="19"/>
  <c r="AF736" i="19"/>
  <c r="AJ735" i="19"/>
  <c r="AI735" i="19"/>
  <c r="AH735" i="19"/>
  <c r="AG735" i="19"/>
  <c r="AF735" i="19"/>
  <c r="AJ732" i="19"/>
  <c r="AI732" i="19"/>
  <c r="AH732" i="19"/>
  <c r="AG732" i="19"/>
  <c r="AF732" i="19"/>
  <c r="AJ731" i="19"/>
  <c r="AI731" i="19"/>
  <c r="AH731" i="19"/>
  <c r="AG731" i="19"/>
  <c r="AF731" i="19"/>
  <c r="AJ729" i="19"/>
  <c r="AI729" i="19"/>
  <c r="AH729" i="19"/>
  <c r="AG729" i="19"/>
  <c r="AF729" i="19"/>
  <c r="AJ723" i="19"/>
  <c r="AI723" i="19"/>
  <c r="AH723" i="19"/>
  <c r="AG723" i="19"/>
  <c r="AF723" i="19"/>
  <c r="AJ722" i="19"/>
  <c r="AI722" i="19"/>
  <c r="AH722" i="19"/>
  <c r="AG722" i="19"/>
  <c r="AF722" i="19"/>
  <c r="AJ719" i="19"/>
  <c r="AI719" i="19"/>
  <c r="AH719" i="19"/>
  <c r="AG719" i="19"/>
  <c r="AF719" i="19"/>
  <c r="AJ718" i="19"/>
  <c r="AI718" i="19"/>
  <c r="AH718" i="19"/>
  <c r="AG718" i="19"/>
  <c r="AF718" i="19"/>
  <c r="AJ717" i="19"/>
  <c r="AI717" i="19"/>
  <c r="AH717" i="19"/>
  <c r="AG717" i="19"/>
  <c r="AF717" i="19"/>
  <c r="AJ716" i="19"/>
  <c r="AI716" i="19"/>
  <c r="AH716" i="19"/>
  <c r="AG716" i="19"/>
  <c r="AF716" i="19"/>
  <c r="AJ715" i="19"/>
  <c r="AI715" i="19"/>
  <c r="AH715" i="19"/>
  <c r="AG715" i="19"/>
  <c r="AF715" i="19"/>
  <c r="AJ706" i="19"/>
  <c r="AI706" i="19"/>
  <c r="AH706" i="19"/>
  <c r="AG706" i="19"/>
  <c r="AF706" i="19"/>
  <c r="AJ703" i="19"/>
  <c r="AI703" i="19"/>
  <c r="AH703" i="19"/>
  <c r="AG703" i="19"/>
  <c r="AF703" i="19"/>
  <c r="AJ702" i="19"/>
  <c r="AI702" i="19"/>
  <c r="AH702" i="19"/>
  <c r="AG702" i="19"/>
  <c r="AF702" i="19"/>
  <c r="AJ701" i="19"/>
  <c r="AI701" i="19"/>
  <c r="AH701" i="19"/>
  <c r="AG701" i="19"/>
  <c r="AF701" i="19"/>
  <c r="AJ700" i="19"/>
  <c r="AI700" i="19"/>
  <c r="AH700" i="19"/>
  <c r="AG700" i="19"/>
  <c r="AF700" i="19"/>
  <c r="AJ699" i="19"/>
  <c r="AI699" i="19"/>
  <c r="AH699" i="19"/>
  <c r="AG699" i="19"/>
  <c r="AF699" i="19"/>
  <c r="AJ698" i="19"/>
  <c r="AI698" i="19"/>
  <c r="AH698" i="19"/>
  <c r="AG698" i="19"/>
  <c r="AF698" i="19"/>
  <c r="AJ690" i="19"/>
  <c r="AI690" i="19"/>
  <c r="AH690" i="19"/>
  <c r="AG690" i="19"/>
  <c r="AF690" i="19"/>
  <c r="AJ686" i="19"/>
  <c r="AI686" i="19"/>
  <c r="AH686" i="19"/>
  <c r="AG686" i="19"/>
  <c r="AF686" i="19"/>
  <c r="AJ680" i="19"/>
  <c r="AI680" i="19"/>
  <c r="AH680" i="19"/>
  <c r="AG680" i="19"/>
  <c r="AF680" i="19"/>
  <c r="AJ679" i="19"/>
  <c r="AI679" i="19"/>
  <c r="AH679" i="19"/>
  <c r="AG679" i="19"/>
  <c r="AF679" i="19"/>
  <c r="AJ664" i="19"/>
  <c r="AI664" i="19"/>
  <c r="AH664" i="19"/>
  <c r="AG664" i="19"/>
  <c r="AF664" i="19"/>
  <c r="AJ662" i="19"/>
  <c r="AI662" i="19"/>
  <c r="AH662" i="19"/>
  <c r="AG662" i="19"/>
  <c r="AF662" i="19"/>
  <c r="AJ661" i="19"/>
  <c r="AI661" i="19"/>
  <c r="AH661" i="19"/>
  <c r="AG661" i="19"/>
  <c r="AF661" i="19"/>
  <c r="AJ660" i="19"/>
  <c r="AI660" i="19"/>
  <c r="AH660" i="19"/>
  <c r="AG660" i="19"/>
  <c r="AF660" i="19"/>
  <c r="AJ659" i="19"/>
  <c r="AI659" i="19"/>
  <c r="AH659" i="19"/>
  <c r="AG659" i="19"/>
  <c r="AF659" i="19"/>
  <c r="AJ658" i="19"/>
  <c r="AI658" i="19"/>
  <c r="AH658" i="19"/>
  <c r="AG658" i="19"/>
  <c r="AF658" i="19"/>
  <c r="AJ657" i="19"/>
  <c r="AI657" i="19"/>
  <c r="AH657" i="19"/>
  <c r="AG657" i="19"/>
  <c r="AF657" i="19"/>
  <c r="AJ656" i="19"/>
  <c r="AI656" i="19"/>
  <c r="AH656" i="19"/>
  <c r="AG656" i="19"/>
  <c r="AF656" i="19"/>
  <c r="AJ655" i="19"/>
  <c r="AI655" i="19"/>
  <c r="AH655" i="19"/>
  <c r="AG655" i="19"/>
  <c r="AF655" i="19"/>
  <c r="AJ654" i="19"/>
  <c r="AI654" i="19"/>
  <c r="AH654" i="19"/>
  <c r="AG654" i="19"/>
  <c r="AF654" i="19"/>
  <c r="AJ653" i="19"/>
  <c r="AI653" i="19"/>
  <c r="AH653" i="19"/>
  <c r="AG653" i="19"/>
  <c r="AF653" i="19"/>
  <c r="AJ652" i="19"/>
  <c r="AI652" i="19"/>
  <c r="AH652" i="19"/>
  <c r="AG652" i="19"/>
  <c r="AF652" i="19"/>
  <c r="AJ650" i="19"/>
  <c r="AI650" i="19"/>
  <c r="AH650" i="19"/>
  <c r="AG650" i="19"/>
  <c r="AF650" i="19"/>
  <c r="AJ649" i="19"/>
  <c r="AI649" i="19"/>
  <c r="AH649" i="19"/>
  <c r="AG649" i="19"/>
  <c r="AF649" i="19"/>
  <c r="AJ648" i="19"/>
  <c r="AI648" i="19"/>
  <c r="AH648" i="19"/>
  <c r="AG648" i="19"/>
  <c r="AF648" i="19"/>
  <c r="AJ647" i="19"/>
  <c r="AI647" i="19"/>
  <c r="AH647" i="19"/>
  <c r="AG647" i="19"/>
  <c r="AF647" i="19"/>
  <c r="AJ646" i="19"/>
  <c r="AI646" i="19"/>
  <c r="AH646" i="19"/>
  <c r="AG646" i="19"/>
  <c r="AF646" i="19"/>
  <c r="AJ645" i="19"/>
  <c r="AI645" i="19"/>
  <c r="AH645" i="19"/>
  <c r="AG645" i="19"/>
  <c r="AF645" i="19"/>
  <c r="AJ644" i="19"/>
  <c r="AI644" i="19"/>
  <c r="AH644" i="19"/>
  <c r="AG644" i="19"/>
  <c r="AF644" i="19"/>
  <c r="AJ643" i="19"/>
  <c r="AI643" i="19"/>
  <c r="AH643" i="19"/>
  <c r="AG643" i="19"/>
  <c r="AF643" i="19"/>
  <c r="AJ632" i="19"/>
  <c r="AI632" i="19"/>
  <c r="AH632" i="19"/>
  <c r="AG632" i="19"/>
  <c r="AF632" i="19"/>
  <c r="AJ631" i="19"/>
  <c r="AI631" i="19"/>
  <c r="AH631" i="19"/>
  <c r="AG631" i="19"/>
  <c r="AF631" i="19"/>
  <c r="AJ630" i="19"/>
  <c r="AI630" i="19"/>
  <c r="AH630" i="19"/>
  <c r="AG630" i="19"/>
  <c r="AF630" i="19"/>
  <c r="AJ629" i="19"/>
  <c r="AI629" i="19"/>
  <c r="AH629" i="19"/>
  <c r="AG629" i="19"/>
  <c r="AF629" i="19"/>
  <c r="AJ628" i="19"/>
  <c r="AI628" i="19"/>
  <c r="AH628" i="19"/>
  <c r="AG628" i="19"/>
  <c r="AF628" i="19"/>
  <c r="AJ627" i="19"/>
  <c r="AI627" i="19"/>
  <c r="AH627" i="19"/>
  <c r="AG627" i="19"/>
  <c r="AF627" i="19"/>
  <c r="AJ626" i="19"/>
  <c r="AI626" i="19"/>
  <c r="AH626" i="19"/>
  <c r="AG626" i="19"/>
  <c r="AF626" i="19"/>
  <c r="AJ625" i="19"/>
  <c r="AI625" i="19"/>
  <c r="AH625" i="19"/>
  <c r="AG625" i="19"/>
  <c r="AF625" i="19"/>
  <c r="AJ618" i="19"/>
  <c r="AI618" i="19"/>
  <c r="AH618" i="19"/>
  <c r="AG618" i="19"/>
  <c r="AF618" i="19"/>
  <c r="AJ617" i="19"/>
  <c r="AI617" i="19"/>
  <c r="AH617" i="19"/>
  <c r="AG617" i="19"/>
  <c r="AF617" i="19"/>
  <c r="AJ616" i="19"/>
  <c r="AI616" i="19"/>
  <c r="AH616" i="19"/>
  <c r="AG616" i="19"/>
  <c r="AF616" i="19"/>
  <c r="AJ615" i="19"/>
  <c r="AI615" i="19"/>
  <c r="AH615" i="19"/>
  <c r="AG615" i="19"/>
  <c r="AF615" i="19"/>
  <c r="AJ614" i="19"/>
  <c r="AI614" i="19"/>
  <c r="AH614" i="19"/>
  <c r="AG614" i="19"/>
  <c r="AF614" i="19"/>
  <c r="AJ613" i="19"/>
  <c r="AI613" i="19"/>
  <c r="AH613" i="19"/>
  <c r="AG613" i="19"/>
  <c r="AF613" i="19"/>
  <c r="AJ612" i="19"/>
  <c r="AI612" i="19"/>
  <c r="AH612" i="19"/>
  <c r="AG612" i="19"/>
  <c r="AF612" i="19"/>
  <c r="AJ611" i="19"/>
  <c r="AI611" i="19"/>
  <c r="AH611" i="19"/>
  <c r="AG611" i="19"/>
  <c r="AF611" i="19"/>
  <c r="AJ610" i="19"/>
  <c r="AI610" i="19"/>
  <c r="AH610" i="19"/>
  <c r="AG610" i="19"/>
  <c r="AF610" i="19"/>
  <c r="AJ609" i="19"/>
  <c r="AI609" i="19"/>
  <c r="AH609" i="19"/>
  <c r="AG609" i="19"/>
  <c r="AF609" i="19"/>
  <c r="AJ608" i="19"/>
  <c r="AI608" i="19"/>
  <c r="AH608" i="19"/>
  <c r="AG608" i="19"/>
  <c r="AF608" i="19"/>
  <c r="AJ607" i="19"/>
  <c r="AI607" i="19"/>
  <c r="AH607" i="19"/>
  <c r="AG607" i="19"/>
  <c r="AF607" i="19"/>
  <c r="AJ606" i="19"/>
  <c r="AI606" i="19"/>
  <c r="AH606" i="19"/>
  <c r="AG606" i="19"/>
  <c r="AF606" i="19"/>
  <c r="AJ605" i="19"/>
  <c r="AI605" i="19"/>
  <c r="AH605" i="19"/>
  <c r="AG605" i="19"/>
  <c r="AF605" i="19"/>
  <c r="AJ604" i="19"/>
  <c r="AI604" i="19"/>
  <c r="AH604" i="19"/>
  <c r="AG604" i="19"/>
  <c r="AF604" i="19"/>
  <c r="AJ603" i="19"/>
  <c r="AI603" i="19"/>
  <c r="AH603" i="19"/>
  <c r="AG603" i="19"/>
  <c r="AF603" i="19"/>
  <c r="AJ602" i="19"/>
  <c r="AI602" i="19"/>
  <c r="AH602" i="19"/>
  <c r="AG602" i="19"/>
  <c r="AF602" i="19"/>
  <c r="AJ601" i="19"/>
  <c r="AI601" i="19"/>
  <c r="AH601" i="19"/>
  <c r="AG601" i="19"/>
  <c r="AF601" i="19"/>
  <c r="AJ600" i="19"/>
  <c r="AI600" i="19"/>
  <c r="AH600" i="19"/>
  <c r="AG600" i="19"/>
  <c r="AF600" i="19"/>
  <c r="AJ599" i="19"/>
  <c r="AI599" i="19"/>
  <c r="AH599" i="19"/>
  <c r="AG599" i="19"/>
  <c r="AF599" i="19"/>
  <c r="AJ580" i="19"/>
  <c r="AI580" i="19"/>
  <c r="AH580" i="19"/>
  <c r="AG580" i="19"/>
  <c r="AF580" i="19"/>
  <c r="AJ578" i="19"/>
  <c r="AI578" i="19"/>
  <c r="AH578" i="19"/>
  <c r="AG578" i="19"/>
  <c r="AF578" i="19"/>
  <c r="AJ577" i="19"/>
  <c r="AI577" i="19"/>
  <c r="AH577" i="19"/>
  <c r="AG577" i="19"/>
  <c r="AF577" i="19"/>
  <c r="AJ575" i="19"/>
  <c r="AI575" i="19"/>
  <c r="AH575" i="19"/>
  <c r="AG575" i="19"/>
  <c r="AF575" i="19"/>
  <c r="AJ574" i="19"/>
  <c r="AI574" i="19"/>
  <c r="AH574" i="19"/>
  <c r="AG574" i="19"/>
  <c r="AF574" i="19"/>
  <c r="AJ573" i="19"/>
  <c r="AI573" i="19"/>
  <c r="AH573" i="19"/>
  <c r="AG573" i="19"/>
  <c r="AF573" i="19"/>
  <c r="AJ572" i="19"/>
  <c r="AI572" i="19"/>
  <c r="AH572" i="19"/>
  <c r="AG572" i="19"/>
  <c r="AF572" i="19"/>
  <c r="AJ554" i="19"/>
  <c r="AI554" i="19"/>
  <c r="AH554" i="19"/>
  <c r="AG554" i="19"/>
  <c r="AF554" i="19"/>
  <c r="AJ553" i="19"/>
  <c r="AI553" i="19"/>
  <c r="AH553" i="19"/>
  <c r="AG553" i="19"/>
  <c r="AF553" i="19"/>
  <c r="AJ552" i="19"/>
  <c r="AI552" i="19"/>
  <c r="AH552" i="19"/>
  <c r="AG552" i="19"/>
  <c r="AF552" i="19"/>
  <c r="AJ549" i="19"/>
  <c r="AI549" i="19"/>
  <c r="AH549" i="19"/>
  <c r="AG549" i="19"/>
  <c r="AF549" i="19"/>
  <c r="AJ548" i="19"/>
  <c r="AI548" i="19"/>
  <c r="AH548" i="19"/>
  <c r="AG548" i="19"/>
  <c r="AF548" i="19"/>
  <c r="AJ546" i="19"/>
  <c r="AI546" i="19"/>
  <c r="AH546" i="19"/>
  <c r="AG546" i="19"/>
  <c r="AF546" i="19"/>
  <c r="AJ544" i="19"/>
  <c r="AI544" i="19"/>
  <c r="AH544" i="19"/>
  <c r="AG544" i="19"/>
  <c r="AF544" i="19"/>
  <c r="AJ543" i="19"/>
  <c r="AI543" i="19"/>
  <c r="AH543" i="19"/>
  <c r="AG543" i="19"/>
  <c r="AF543" i="19"/>
  <c r="AJ542" i="19"/>
  <c r="AI542" i="19"/>
  <c r="AH542" i="19"/>
  <c r="AG542" i="19"/>
  <c r="AF542" i="19"/>
  <c r="AJ541" i="19"/>
  <c r="AI541" i="19"/>
  <c r="AH541" i="19"/>
  <c r="AG541" i="19"/>
  <c r="AF541" i="19"/>
  <c r="AJ540" i="19"/>
  <c r="AI540" i="19"/>
  <c r="AH540" i="19"/>
  <c r="AG540" i="19"/>
  <c r="AF540" i="19"/>
  <c r="AJ539" i="19"/>
  <c r="AI539" i="19"/>
  <c r="AH539" i="19"/>
  <c r="AG539" i="19"/>
  <c r="AF539" i="19"/>
  <c r="AJ538" i="19"/>
  <c r="AI538" i="19"/>
  <c r="AH538" i="19"/>
  <c r="AG538" i="19"/>
  <c r="AF538" i="19"/>
  <c r="AJ537" i="19"/>
  <c r="AI537" i="19"/>
  <c r="AH537" i="19"/>
  <c r="AG537" i="19"/>
  <c r="AF537" i="19"/>
  <c r="AJ536" i="19"/>
  <c r="AI536" i="19"/>
  <c r="AH536" i="19"/>
  <c r="AG536" i="19"/>
  <c r="AF536" i="19"/>
  <c r="AJ533" i="19"/>
  <c r="AI533" i="19"/>
  <c r="AH533" i="19"/>
  <c r="AG533" i="19"/>
  <c r="AF533" i="19"/>
  <c r="AJ532" i="19"/>
  <c r="AI532" i="19"/>
  <c r="AH532" i="19"/>
  <c r="AG532" i="19"/>
  <c r="AF532" i="19"/>
  <c r="AJ531" i="19"/>
  <c r="AI531" i="19"/>
  <c r="AH531" i="19"/>
  <c r="AG531" i="19"/>
  <c r="AF531" i="19"/>
  <c r="AJ530" i="19"/>
  <c r="AI530" i="19"/>
  <c r="AH530" i="19"/>
  <c r="AG530" i="19"/>
  <c r="AF530" i="19"/>
  <c r="AJ529" i="19"/>
  <c r="AI529" i="19"/>
  <c r="AH529" i="19"/>
  <c r="AG529" i="19"/>
  <c r="AF529" i="19"/>
  <c r="AJ527" i="19"/>
  <c r="AI527" i="19"/>
  <c r="AH527" i="19"/>
  <c r="AG527" i="19"/>
  <c r="AF527" i="19"/>
  <c r="AJ526" i="19"/>
  <c r="AI526" i="19"/>
  <c r="AH526" i="19"/>
  <c r="AG526" i="19"/>
  <c r="AF526" i="19"/>
  <c r="AJ524" i="19"/>
  <c r="AI524" i="19"/>
  <c r="AH524" i="19"/>
  <c r="AG524" i="19"/>
  <c r="AF524" i="19"/>
  <c r="AJ523" i="19"/>
  <c r="AI523" i="19"/>
  <c r="AH523" i="19"/>
  <c r="AG523" i="19"/>
  <c r="AF523" i="19"/>
  <c r="AJ522" i="19"/>
  <c r="AI522" i="19"/>
  <c r="AH522" i="19"/>
  <c r="AG522" i="19"/>
  <c r="AF522" i="19"/>
  <c r="AJ521" i="19"/>
  <c r="AI521" i="19"/>
  <c r="AH521" i="19"/>
  <c r="AG521" i="19"/>
  <c r="AF521" i="19"/>
  <c r="AJ520" i="19"/>
  <c r="AI520" i="19"/>
  <c r="AH520" i="19"/>
  <c r="AG520" i="19"/>
  <c r="AF520" i="19"/>
  <c r="AJ519" i="19"/>
  <c r="AI519" i="19"/>
  <c r="AH519" i="19"/>
  <c r="AG519" i="19"/>
  <c r="AF519" i="19"/>
  <c r="AJ518" i="19"/>
  <c r="AI518" i="19"/>
  <c r="AH518" i="19"/>
  <c r="AG518" i="19"/>
  <c r="AF518" i="19"/>
  <c r="AJ517" i="19"/>
  <c r="AI517" i="19"/>
  <c r="AH517" i="19"/>
  <c r="AG517" i="19"/>
  <c r="AF517" i="19"/>
  <c r="AJ516" i="19"/>
  <c r="AI516" i="19"/>
  <c r="AH516" i="19"/>
  <c r="AG516" i="19"/>
  <c r="AF516" i="19"/>
  <c r="AJ515" i="19"/>
  <c r="AI515" i="19"/>
  <c r="AH515" i="19"/>
  <c r="AG515" i="19"/>
  <c r="AF515" i="19"/>
  <c r="AJ514" i="19"/>
  <c r="AI514" i="19"/>
  <c r="AH514" i="19"/>
  <c r="AG514" i="19"/>
  <c r="AF514" i="19"/>
  <c r="AJ513" i="19"/>
  <c r="AI513" i="19"/>
  <c r="AH513" i="19"/>
  <c r="AG513" i="19"/>
  <c r="AF513" i="19"/>
  <c r="AJ512" i="19"/>
  <c r="AI512" i="19"/>
  <c r="AH512" i="19"/>
  <c r="AG512" i="19"/>
  <c r="AF512" i="19"/>
  <c r="AJ511" i="19"/>
  <c r="AI511" i="19"/>
  <c r="AH511" i="19"/>
  <c r="AG511" i="19"/>
  <c r="AF511" i="19"/>
  <c r="AJ510" i="19"/>
  <c r="AI510" i="19"/>
  <c r="AH510" i="19"/>
  <c r="AG510" i="19"/>
  <c r="AF510" i="19"/>
  <c r="AJ509" i="19"/>
  <c r="AI509" i="19"/>
  <c r="AH509" i="19"/>
  <c r="AG509" i="19"/>
  <c r="AF509" i="19"/>
  <c r="AJ508" i="19"/>
  <c r="AI508" i="19"/>
  <c r="AH508" i="19"/>
  <c r="AG508" i="19"/>
  <c r="AF508" i="19"/>
  <c r="AJ507" i="19"/>
  <c r="AI507" i="19"/>
  <c r="AH507" i="19"/>
  <c r="AG507" i="19"/>
  <c r="AF507" i="19"/>
  <c r="AJ506" i="19"/>
  <c r="AI506" i="19"/>
  <c r="AH506" i="19"/>
  <c r="AG506" i="19"/>
  <c r="AF506" i="19"/>
  <c r="AJ505" i="19"/>
  <c r="AI505" i="19"/>
  <c r="AH505" i="19"/>
  <c r="AG505" i="19"/>
  <c r="AF505" i="19"/>
  <c r="AJ504" i="19"/>
  <c r="AI504" i="19"/>
  <c r="AH504" i="19"/>
  <c r="AG504" i="19"/>
  <c r="AF504" i="19"/>
  <c r="AJ503" i="19"/>
  <c r="AI503" i="19"/>
  <c r="AH503" i="19"/>
  <c r="AG503" i="19"/>
  <c r="AF503" i="19"/>
  <c r="AJ500" i="19"/>
  <c r="AI500" i="19"/>
  <c r="AH500" i="19"/>
  <c r="AG500" i="19"/>
  <c r="AF500" i="19"/>
  <c r="AJ499" i="19"/>
  <c r="AI499" i="19"/>
  <c r="AH499" i="19"/>
  <c r="AG499" i="19"/>
  <c r="AF499" i="19"/>
  <c r="AJ498" i="19"/>
  <c r="AI498" i="19"/>
  <c r="AH498" i="19"/>
  <c r="AG498" i="19"/>
  <c r="AF498" i="19"/>
  <c r="AJ497" i="19"/>
  <c r="AI497" i="19"/>
  <c r="AH497" i="19"/>
  <c r="AG497" i="19"/>
  <c r="AF497" i="19"/>
  <c r="AJ496" i="19"/>
  <c r="AI496" i="19"/>
  <c r="AH496" i="19"/>
  <c r="AG496" i="19"/>
  <c r="AF496" i="19"/>
  <c r="AJ495" i="19"/>
  <c r="AI495" i="19"/>
  <c r="AH495" i="19"/>
  <c r="AG495" i="19"/>
  <c r="AF495" i="19"/>
  <c r="AJ487" i="19"/>
  <c r="AI487" i="19"/>
  <c r="AH487" i="19"/>
  <c r="AG487" i="19"/>
  <c r="AF487" i="19"/>
  <c r="AJ486" i="19"/>
  <c r="AI486" i="19"/>
  <c r="AH486" i="19"/>
  <c r="AG486" i="19"/>
  <c r="AF486" i="19"/>
  <c r="AJ485" i="19"/>
  <c r="AI485" i="19"/>
  <c r="AH485" i="19"/>
  <c r="AG485" i="19"/>
  <c r="AF485" i="19"/>
  <c r="AJ484" i="19"/>
  <c r="AI484" i="19"/>
  <c r="AH484" i="19"/>
  <c r="AG484" i="19"/>
  <c r="AF484" i="19"/>
  <c r="AJ483" i="19"/>
  <c r="AI483" i="19"/>
  <c r="AH483" i="19"/>
  <c r="AG483" i="19"/>
  <c r="AF483" i="19"/>
  <c r="AJ482" i="19"/>
  <c r="AI482" i="19"/>
  <c r="AH482" i="19"/>
  <c r="AG482" i="19"/>
  <c r="AF482" i="19"/>
  <c r="AJ481" i="19"/>
  <c r="AI481" i="19"/>
  <c r="AH481" i="19"/>
  <c r="AG481" i="19"/>
  <c r="AF481" i="19"/>
  <c r="AJ480" i="19"/>
  <c r="AI480" i="19"/>
  <c r="AH480" i="19"/>
  <c r="AG480" i="19"/>
  <c r="AF480" i="19"/>
  <c r="AJ479" i="19"/>
  <c r="AI479" i="19"/>
  <c r="AH479" i="19"/>
  <c r="AG479" i="19"/>
  <c r="AF479" i="19"/>
  <c r="AJ478" i="19"/>
  <c r="AI478" i="19"/>
  <c r="AH478" i="19"/>
  <c r="AG478" i="19"/>
  <c r="AF478" i="19"/>
  <c r="AJ477" i="19"/>
  <c r="AI477" i="19"/>
  <c r="AH477" i="19"/>
  <c r="AG477" i="19"/>
  <c r="AF477" i="19"/>
  <c r="AJ476" i="19"/>
  <c r="AI476" i="19"/>
  <c r="AH476" i="19"/>
  <c r="AG476" i="19"/>
  <c r="AF476" i="19"/>
  <c r="AJ475" i="19"/>
  <c r="AI475" i="19"/>
  <c r="AH475" i="19"/>
  <c r="AG475" i="19"/>
  <c r="AF475" i="19"/>
  <c r="AJ474" i="19"/>
  <c r="AI474" i="19"/>
  <c r="AH474" i="19"/>
  <c r="AG474" i="19"/>
  <c r="AF474" i="19"/>
  <c r="AJ473" i="19"/>
  <c r="AI473" i="19"/>
  <c r="AH473" i="19"/>
  <c r="AG473" i="19"/>
  <c r="AF473" i="19"/>
  <c r="AJ454" i="19"/>
  <c r="AI454" i="19"/>
  <c r="AH454" i="19"/>
  <c r="AG454" i="19"/>
  <c r="AF454" i="19"/>
  <c r="AJ453" i="19"/>
  <c r="AI453" i="19"/>
  <c r="AH453" i="19"/>
  <c r="AG453" i="19"/>
  <c r="AF453" i="19"/>
  <c r="AJ452" i="19"/>
  <c r="AI452" i="19"/>
  <c r="AH452" i="19"/>
  <c r="AG452" i="19"/>
  <c r="AF452" i="19"/>
  <c r="AJ451" i="19"/>
  <c r="AI451" i="19"/>
  <c r="AH451" i="19"/>
  <c r="AG451" i="19"/>
  <c r="AF451" i="19"/>
  <c r="AJ450" i="19"/>
  <c r="AI450" i="19"/>
  <c r="AH450" i="19"/>
  <c r="AG450" i="19"/>
  <c r="AF450" i="19"/>
  <c r="AJ449" i="19"/>
  <c r="AI449" i="19"/>
  <c r="AH449" i="19"/>
  <c r="AG449" i="19"/>
  <c r="AF449" i="19"/>
  <c r="AJ448" i="19"/>
  <c r="AI448" i="19"/>
  <c r="AH448" i="19"/>
  <c r="AG448" i="19"/>
  <c r="AF448" i="19"/>
  <c r="AJ446" i="19"/>
  <c r="AI446" i="19"/>
  <c r="AH446" i="19"/>
  <c r="AG446" i="19"/>
  <c r="AF446" i="19"/>
  <c r="AJ445" i="19"/>
  <c r="AI445" i="19"/>
  <c r="AH445" i="19"/>
  <c r="AG445" i="19"/>
  <c r="AF445" i="19"/>
  <c r="AJ442" i="19"/>
  <c r="AI442" i="19"/>
  <c r="AH442" i="19"/>
  <c r="AG442" i="19"/>
  <c r="AF442" i="19"/>
  <c r="AJ441" i="19"/>
  <c r="AI441" i="19"/>
  <c r="AH441" i="19"/>
  <c r="AG441" i="19"/>
  <c r="AF441" i="19"/>
  <c r="AJ440" i="19"/>
  <c r="AI440" i="19"/>
  <c r="AH440" i="19"/>
  <c r="AG440" i="19"/>
  <c r="AF440" i="19"/>
  <c r="AJ439" i="19"/>
  <c r="AI439" i="19"/>
  <c r="AH439" i="19"/>
  <c r="AG439" i="19"/>
  <c r="AF439" i="19"/>
  <c r="AJ436" i="19"/>
  <c r="AI436" i="19"/>
  <c r="AH436" i="19"/>
  <c r="AG436" i="19"/>
  <c r="AF436" i="19"/>
  <c r="AJ419" i="19"/>
  <c r="AI419" i="19"/>
  <c r="AH419" i="19"/>
  <c r="AG419" i="19"/>
  <c r="AF419" i="19"/>
  <c r="AJ418" i="19"/>
  <c r="AI418" i="19"/>
  <c r="AH418" i="19"/>
  <c r="AG418" i="19"/>
  <c r="AF418" i="19"/>
  <c r="AJ416" i="19"/>
  <c r="AI416" i="19"/>
  <c r="AH416" i="19"/>
  <c r="AG416" i="19"/>
  <c r="AF416" i="19"/>
  <c r="AJ415" i="19"/>
  <c r="AI415" i="19"/>
  <c r="AH415" i="19"/>
  <c r="AG415" i="19"/>
  <c r="AF415" i="19"/>
  <c r="AJ414" i="19"/>
  <c r="AI414" i="19"/>
  <c r="AH414" i="19"/>
  <c r="AG414" i="19"/>
  <c r="AF414" i="19"/>
  <c r="AJ407" i="19"/>
  <c r="AI407" i="19"/>
  <c r="AH407" i="19"/>
  <c r="AG407" i="19"/>
  <c r="AF407" i="19"/>
  <c r="AJ384" i="19"/>
  <c r="AI384" i="19"/>
  <c r="AH384" i="19"/>
  <c r="AG384" i="19"/>
  <c r="AF384" i="19"/>
  <c r="AJ383" i="19"/>
  <c r="AI383" i="19"/>
  <c r="AH383" i="19"/>
  <c r="AG383" i="19"/>
  <c r="AF383" i="19"/>
  <c r="AJ382" i="19"/>
  <c r="AI382" i="19"/>
  <c r="AH382" i="19"/>
  <c r="AG382" i="19"/>
  <c r="AF382" i="19"/>
  <c r="AJ381" i="19"/>
  <c r="AI381" i="19"/>
  <c r="AH381" i="19"/>
  <c r="AG381" i="19"/>
  <c r="AF381" i="19"/>
  <c r="AJ380" i="19"/>
  <c r="AI380" i="19"/>
  <c r="AH380" i="19"/>
  <c r="AG380" i="19"/>
  <c r="AF380" i="19"/>
  <c r="AJ379" i="19"/>
  <c r="AI379" i="19"/>
  <c r="AH379" i="19"/>
  <c r="AG379" i="19"/>
  <c r="AF379" i="19"/>
  <c r="AJ378" i="19"/>
  <c r="AI378" i="19"/>
  <c r="AH378" i="19"/>
  <c r="AG378" i="19"/>
  <c r="AF378" i="19"/>
  <c r="AJ377" i="19"/>
  <c r="AI377" i="19"/>
  <c r="AH377" i="19"/>
  <c r="AG377" i="19"/>
  <c r="AF377" i="19"/>
  <c r="AJ376" i="19"/>
  <c r="AI376" i="19"/>
  <c r="AH376" i="19"/>
  <c r="AG376" i="19"/>
  <c r="AF376" i="19"/>
  <c r="AJ375" i="19"/>
  <c r="AI375" i="19"/>
  <c r="AH375" i="19"/>
  <c r="AG375" i="19"/>
  <c r="AF375" i="19"/>
  <c r="AJ374" i="19"/>
  <c r="AI374" i="19"/>
  <c r="AH374" i="19"/>
  <c r="AG374" i="19"/>
  <c r="AF374" i="19"/>
  <c r="AJ373" i="19"/>
  <c r="AI373" i="19"/>
  <c r="AH373" i="19"/>
  <c r="AG373" i="19"/>
  <c r="AF373" i="19"/>
  <c r="AJ372" i="19"/>
  <c r="AI372" i="19"/>
  <c r="AH372" i="19"/>
  <c r="AG372" i="19"/>
  <c r="AF372" i="19"/>
  <c r="AJ371" i="19"/>
  <c r="AI371" i="19"/>
  <c r="AH371" i="19"/>
  <c r="AG371" i="19"/>
  <c r="AF371" i="19"/>
  <c r="AJ370" i="19"/>
  <c r="AI370" i="19"/>
  <c r="AH370" i="19"/>
  <c r="AG370" i="19"/>
  <c r="AF370" i="19"/>
  <c r="AJ369" i="19"/>
  <c r="AI369" i="19"/>
  <c r="AH369" i="19"/>
  <c r="AG369" i="19"/>
  <c r="AF369" i="19"/>
  <c r="AJ368" i="19"/>
  <c r="AI368" i="19"/>
  <c r="AH368" i="19"/>
  <c r="AG368" i="19"/>
  <c r="AF368" i="19"/>
  <c r="AJ367" i="19"/>
  <c r="AI367" i="19"/>
  <c r="AH367" i="19"/>
  <c r="AG367" i="19"/>
  <c r="AF367" i="19"/>
  <c r="AJ366" i="19"/>
  <c r="AI366" i="19"/>
  <c r="AH366" i="19"/>
  <c r="AG366" i="19"/>
  <c r="AF366" i="19"/>
  <c r="AJ365" i="19"/>
  <c r="AI365" i="19"/>
  <c r="AH365" i="19"/>
  <c r="AG365" i="19"/>
  <c r="AF365" i="19"/>
  <c r="AJ364" i="19"/>
  <c r="AI364" i="19"/>
  <c r="AH364" i="19"/>
  <c r="AG364" i="19"/>
  <c r="AF364" i="19"/>
  <c r="AJ363" i="19"/>
  <c r="AI363" i="19"/>
  <c r="AH363" i="19"/>
  <c r="AG363" i="19"/>
  <c r="AF363" i="19"/>
  <c r="AJ362" i="19"/>
  <c r="AI362" i="19"/>
  <c r="AH362" i="19"/>
  <c r="AG362" i="19"/>
  <c r="AF362" i="19"/>
  <c r="AJ361" i="19"/>
  <c r="AI361" i="19"/>
  <c r="AH361" i="19"/>
  <c r="AG361" i="19"/>
  <c r="AF361" i="19"/>
  <c r="AJ360" i="19"/>
  <c r="AI360" i="19"/>
  <c r="AH360" i="19"/>
  <c r="AG360" i="19"/>
  <c r="AF360" i="19"/>
  <c r="AJ359" i="19"/>
  <c r="AI359" i="19"/>
  <c r="AH359" i="19"/>
  <c r="AG359" i="19"/>
  <c r="AF359" i="19"/>
  <c r="AJ358" i="19"/>
  <c r="AI358" i="19"/>
  <c r="AH358" i="19"/>
  <c r="AG358" i="19"/>
  <c r="AF358" i="19"/>
  <c r="AJ357" i="19"/>
  <c r="AI357" i="19"/>
  <c r="AH357" i="19"/>
  <c r="AG357" i="19"/>
  <c r="AF357" i="19"/>
  <c r="AJ356" i="19"/>
  <c r="AI356" i="19"/>
  <c r="AH356" i="19"/>
  <c r="AG356" i="19"/>
  <c r="AF356" i="19"/>
  <c r="AJ355" i="19"/>
  <c r="AI355" i="19"/>
  <c r="AH355" i="19"/>
  <c r="AG355" i="19"/>
  <c r="AF355" i="19"/>
  <c r="AJ354" i="19"/>
  <c r="AI354" i="19"/>
  <c r="AH354" i="19"/>
  <c r="AG354" i="19"/>
  <c r="AF354" i="19"/>
  <c r="AJ353" i="19"/>
  <c r="AI353" i="19"/>
  <c r="AH353" i="19"/>
  <c r="AG353" i="19"/>
  <c r="AF353" i="19"/>
  <c r="AJ352" i="19"/>
  <c r="AI352" i="19"/>
  <c r="AH352" i="19"/>
  <c r="AG352" i="19"/>
  <c r="AF352" i="19"/>
  <c r="AJ351" i="19"/>
  <c r="AI351" i="19"/>
  <c r="AH351" i="19"/>
  <c r="AG351" i="19"/>
  <c r="AF351" i="19"/>
  <c r="AJ350" i="19"/>
  <c r="AI350" i="19"/>
  <c r="AH350" i="19"/>
  <c r="AG350" i="19"/>
  <c r="AF350" i="19"/>
  <c r="AJ349" i="19"/>
  <c r="AI349" i="19"/>
  <c r="AH349" i="19"/>
  <c r="AG349" i="19"/>
  <c r="AF349" i="19"/>
  <c r="AJ348" i="19"/>
  <c r="AI348" i="19"/>
  <c r="AH348" i="19"/>
  <c r="AG348" i="19"/>
  <c r="AF348" i="19"/>
  <c r="AJ347" i="19"/>
  <c r="AI347" i="19"/>
  <c r="AH347" i="19"/>
  <c r="AG347" i="19"/>
  <c r="AF347" i="19"/>
  <c r="AJ346" i="19"/>
  <c r="AI346" i="19"/>
  <c r="AH346" i="19"/>
  <c r="AG346" i="19"/>
  <c r="AF346" i="19"/>
  <c r="AJ345" i="19"/>
  <c r="AI345" i="19"/>
  <c r="AH345" i="19"/>
  <c r="AG345" i="19"/>
  <c r="AF345" i="19"/>
  <c r="AJ344" i="19"/>
  <c r="AI344" i="19"/>
  <c r="AH344" i="19"/>
  <c r="AG344" i="19"/>
  <c r="AF344" i="19"/>
  <c r="AJ341" i="19"/>
  <c r="AI341" i="19"/>
  <c r="AH341" i="19"/>
  <c r="AG341" i="19"/>
  <c r="AF341" i="19"/>
  <c r="AJ340" i="19"/>
  <c r="AI340" i="19"/>
  <c r="AH340" i="19"/>
  <c r="AG340" i="19"/>
  <c r="AF340" i="19"/>
  <c r="AJ339" i="19"/>
  <c r="AI339" i="19"/>
  <c r="AH339" i="19"/>
  <c r="AG339" i="19"/>
  <c r="AF339" i="19"/>
  <c r="AJ338" i="19"/>
  <c r="AI338" i="19"/>
  <c r="AH338" i="19"/>
  <c r="AG338" i="19"/>
  <c r="AF338" i="19"/>
  <c r="AJ337" i="19"/>
  <c r="AI337" i="19"/>
  <c r="AH337" i="19"/>
  <c r="AG337" i="19"/>
  <c r="AF337" i="19"/>
  <c r="AJ336" i="19"/>
  <c r="AI336" i="19"/>
  <c r="AH336" i="19"/>
  <c r="AG336" i="19"/>
  <c r="AF336" i="19"/>
  <c r="AJ335" i="19"/>
  <c r="AI335" i="19"/>
  <c r="AH335" i="19"/>
  <c r="AG335" i="19"/>
  <c r="AF335" i="19"/>
  <c r="AJ334" i="19"/>
  <c r="AI334" i="19"/>
  <c r="AH334" i="19"/>
  <c r="AG334" i="19"/>
  <c r="AF334" i="19"/>
  <c r="AJ333" i="19"/>
  <c r="AI333" i="19"/>
  <c r="AH333" i="19"/>
  <c r="AG333" i="19"/>
  <c r="AF333" i="19"/>
  <c r="AJ332" i="19"/>
  <c r="AI332" i="19"/>
  <c r="AH332" i="19"/>
  <c r="AG332" i="19"/>
  <c r="AF332" i="19"/>
  <c r="AJ331" i="19"/>
  <c r="AI331" i="19"/>
  <c r="AH331" i="19"/>
  <c r="AG331" i="19"/>
  <c r="AF331" i="19"/>
  <c r="AJ330" i="19"/>
  <c r="AI330" i="19"/>
  <c r="AH330" i="19"/>
  <c r="AG330" i="19"/>
  <c r="AF330" i="19"/>
  <c r="AJ329" i="19"/>
  <c r="AI329" i="19"/>
  <c r="AH329" i="19"/>
  <c r="AG329" i="19"/>
  <c r="AF329" i="19"/>
  <c r="AJ328" i="19"/>
  <c r="AI328" i="19"/>
  <c r="AH328" i="19"/>
  <c r="AG328" i="19"/>
  <c r="AF328" i="19"/>
  <c r="AJ327" i="19"/>
  <c r="AI327" i="19"/>
  <c r="AH327" i="19"/>
  <c r="AG327" i="19"/>
  <c r="AF327" i="19"/>
  <c r="AJ326" i="19"/>
  <c r="AI326" i="19"/>
  <c r="AH326" i="19"/>
  <c r="AG326" i="19"/>
  <c r="AF326" i="19"/>
  <c r="AJ325" i="19"/>
  <c r="AI325" i="19"/>
  <c r="AH325" i="19"/>
  <c r="AG325" i="19"/>
  <c r="AF325" i="19"/>
  <c r="AJ324" i="19"/>
  <c r="AI324" i="19"/>
  <c r="AH324" i="19"/>
  <c r="AG324" i="19"/>
  <c r="AF324" i="19"/>
  <c r="AJ323" i="19"/>
  <c r="AI323" i="19"/>
  <c r="AH323" i="19"/>
  <c r="AG323" i="19"/>
  <c r="AF323" i="19"/>
  <c r="AJ322" i="19"/>
  <c r="AI322" i="19"/>
  <c r="AH322" i="19"/>
  <c r="AG322" i="19"/>
  <c r="AF322" i="19"/>
  <c r="AJ321" i="19"/>
  <c r="AI321" i="19"/>
  <c r="AH321" i="19"/>
  <c r="AG321" i="19"/>
  <c r="AF321" i="19"/>
  <c r="AJ320" i="19"/>
  <c r="AI320" i="19"/>
  <c r="AH320" i="19"/>
  <c r="AG320" i="19"/>
  <c r="AF320" i="19"/>
  <c r="AJ319" i="19"/>
  <c r="AI319" i="19"/>
  <c r="AH319" i="19"/>
  <c r="AG319" i="19"/>
  <c r="AF319" i="19"/>
  <c r="AJ317" i="19"/>
  <c r="AI317" i="19"/>
  <c r="AH317" i="19"/>
  <c r="AG317" i="19"/>
  <c r="AF317" i="19"/>
  <c r="AJ316" i="19"/>
  <c r="AI316" i="19"/>
  <c r="AH316" i="19"/>
  <c r="AG316" i="19"/>
  <c r="AF316" i="19"/>
  <c r="AJ315" i="19"/>
  <c r="AI315" i="19"/>
  <c r="AH315" i="19"/>
  <c r="AG315" i="19"/>
  <c r="AF315" i="19"/>
  <c r="AJ314" i="19"/>
  <c r="AI314" i="19"/>
  <c r="AH314" i="19"/>
  <c r="AG314" i="19"/>
  <c r="AF314" i="19"/>
  <c r="AJ313" i="19"/>
  <c r="AI313" i="19"/>
  <c r="AH313" i="19"/>
  <c r="AG313" i="19"/>
  <c r="AF313" i="19"/>
  <c r="AJ312" i="19"/>
  <c r="AI312" i="19"/>
  <c r="AH312" i="19"/>
  <c r="AG312" i="19"/>
  <c r="AF312" i="19"/>
  <c r="AJ311" i="19"/>
  <c r="AI311" i="19"/>
  <c r="AH311" i="19"/>
  <c r="AG311" i="19"/>
  <c r="AF311" i="19"/>
  <c r="AJ310" i="19"/>
  <c r="AI310" i="19"/>
  <c r="AH310" i="19"/>
  <c r="AG310" i="19"/>
  <c r="AF310" i="19"/>
  <c r="AJ309" i="19"/>
  <c r="AI309" i="19"/>
  <c r="AH309" i="19"/>
  <c r="AG309" i="19"/>
  <c r="AF309" i="19"/>
  <c r="AJ308" i="19"/>
  <c r="AI308" i="19"/>
  <c r="AH308" i="19"/>
  <c r="AG308" i="19"/>
  <c r="AF308" i="19"/>
  <c r="AJ307" i="19"/>
  <c r="AI307" i="19"/>
  <c r="AH307" i="19"/>
  <c r="AG307" i="19"/>
  <c r="AF307" i="19"/>
  <c r="AJ303" i="19"/>
  <c r="AI303" i="19"/>
  <c r="AH303" i="19"/>
  <c r="AG303" i="19"/>
  <c r="AF303" i="19"/>
  <c r="AJ302" i="19"/>
  <c r="AI302" i="19"/>
  <c r="AH302" i="19"/>
  <c r="AG302" i="19"/>
  <c r="AF302" i="19"/>
  <c r="AJ301" i="19"/>
  <c r="AI301" i="19"/>
  <c r="AH301" i="19"/>
  <c r="AG301" i="19"/>
  <c r="AF301" i="19"/>
  <c r="AJ300" i="19"/>
  <c r="AI300" i="19"/>
  <c r="AH300" i="19"/>
  <c r="AG300" i="19"/>
  <c r="AF300" i="19"/>
  <c r="AJ299" i="19"/>
  <c r="AI299" i="19"/>
  <c r="AH299" i="19"/>
  <c r="AG299" i="19"/>
  <c r="AF299" i="19"/>
  <c r="AJ298" i="19"/>
  <c r="AI298" i="19"/>
  <c r="AH298" i="19"/>
  <c r="AG298" i="19"/>
  <c r="AF298" i="19"/>
  <c r="AJ297" i="19"/>
  <c r="AI297" i="19"/>
  <c r="AH297" i="19"/>
  <c r="AG297" i="19"/>
  <c r="AF297" i="19"/>
  <c r="AJ296" i="19"/>
  <c r="AI296" i="19"/>
  <c r="AH296" i="19"/>
  <c r="AG296" i="19"/>
  <c r="AF296" i="19"/>
  <c r="AJ295" i="19"/>
  <c r="AI295" i="19"/>
  <c r="AH295" i="19"/>
  <c r="AG295" i="19"/>
  <c r="AF295" i="19"/>
  <c r="AJ294" i="19"/>
  <c r="AI294" i="19"/>
  <c r="AH294" i="19"/>
  <c r="AG294" i="19"/>
  <c r="AF294" i="19"/>
  <c r="AJ293" i="19"/>
  <c r="AI293" i="19"/>
  <c r="AH293" i="19"/>
  <c r="AG293" i="19"/>
  <c r="AF293" i="19"/>
  <c r="AJ292" i="19"/>
  <c r="AI292" i="19"/>
  <c r="AH292" i="19"/>
  <c r="AG292" i="19"/>
  <c r="AF292" i="19"/>
  <c r="AJ291" i="19"/>
  <c r="AI291" i="19"/>
  <c r="AH291" i="19"/>
  <c r="AG291" i="19"/>
  <c r="AF291" i="19"/>
  <c r="AJ290" i="19"/>
  <c r="AI290" i="19"/>
  <c r="AH290" i="19"/>
  <c r="AG290" i="19"/>
  <c r="AF290" i="19"/>
  <c r="AJ289" i="19"/>
  <c r="AI289" i="19"/>
  <c r="AH289" i="19"/>
  <c r="AG289" i="19"/>
  <c r="AF289" i="19"/>
  <c r="AJ288" i="19"/>
  <c r="AI288" i="19"/>
  <c r="AH288" i="19"/>
  <c r="AG288" i="19"/>
  <c r="AF288" i="19"/>
  <c r="AJ287" i="19"/>
  <c r="AI287" i="19"/>
  <c r="AH287" i="19"/>
  <c r="AG287" i="19"/>
  <c r="AF287" i="19"/>
  <c r="AJ286" i="19"/>
  <c r="AI286" i="19"/>
  <c r="AH286" i="19"/>
  <c r="AG286" i="19"/>
  <c r="AF286" i="19"/>
  <c r="AJ285" i="19"/>
  <c r="AI285" i="19"/>
  <c r="AH285" i="19"/>
  <c r="AG285" i="19"/>
  <c r="AF285" i="19"/>
  <c r="AJ284" i="19"/>
  <c r="AI284" i="19"/>
  <c r="AH284" i="19"/>
  <c r="AG284" i="19"/>
  <c r="AF284" i="19"/>
  <c r="AJ283" i="19"/>
  <c r="AI283" i="19"/>
  <c r="AH283" i="19"/>
  <c r="AG283" i="19"/>
  <c r="AF283" i="19"/>
  <c r="AJ282" i="19"/>
  <c r="AI282" i="19"/>
  <c r="AH282" i="19"/>
  <c r="AG282" i="19"/>
  <c r="AF282" i="19"/>
  <c r="AJ281" i="19"/>
  <c r="AI281" i="19"/>
  <c r="AH281" i="19"/>
  <c r="AG281" i="19"/>
  <c r="AF281" i="19"/>
  <c r="AJ280" i="19"/>
  <c r="AI280" i="19"/>
  <c r="AH280" i="19"/>
  <c r="AG280" i="19"/>
  <c r="AF280" i="19"/>
  <c r="AJ279" i="19"/>
  <c r="AI279" i="19"/>
  <c r="AH279" i="19"/>
  <c r="AG279" i="19"/>
  <c r="AF279" i="19"/>
  <c r="AJ278" i="19"/>
  <c r="AI278" i="19"/>
  <c r="AH278" i="19"/>
  <c r="AG278" i="19"/>
  <c r="AF278" i="19"/>
  <c r="AJ277" i="19"/>
  <c r="AI277" i="19"/>
  <c r="AH277" i="19"/>
  <c r="AG277" i="19"/>
  <c r="AF277" i="19"/>
  <c r="AJ276" i="19"/>
  <c r="AI276" i="19"/>
  <c r="AH276" i="19"/>
  <c r="AG276" i="19"/>
  <c r="AF276" i="19"/>
  <c r="AJ275" i="19"/>
  <c r="AI275" i="19"/>
  <c r="AH275" i="19"/>
  <c r="AG275" i="19"/>
  <c r="AF275" i="19"/>
  <c r="AJ274" i="19"/>
  <c r="AI274" i="19"/>
  <c r="AH274" i="19"/>
  <c r="AG274" i="19"/>
  <c r="AF274" i="19"/>
  <c r="AJ273" i="19"/>
  <c r="AI273" i="19"/>
  <c r="AH273" i="19"/>
  <c r="AG273" i="19"/>
  <c r="AF273" i="19"/>
  <c r="AJ272" i="19"/>
  <c r="AI272" i="19"/>
  <c r="AH272" i="19"/>
  <c r="AG272" i="19"/>
  <c r="AF272" i="19"/>
  <c r="AJ271" i="19"/>
  <c r="AI271" i="19"/>
  <c r="AH271" i="19"/>
  <c r="AG271" i="19"/>
  <c r="AF271" i="19"/>
  <c r="AJ270" i="19"/>
  <c r="AI270" i="19"/>
  <c r="AH270" i="19"/>
  <c r="AG270" i="19"/>
  <c r="AF270" i="19"/>
  <c r="AJ269" i="19"/>
  <c r="AI269" i="19"/>
  <c r="AH269" i="19"/>
  <c r="AG269" i="19"/>
  <c r="AF269" i="19"/>
  <c r="AJ268" i="19"/>
  <c r="AI268" i="19"/>
  <c r="AH268" i="19"/>
  <c r="AG268" i="19"/>
  <c r="AF268" i="19"/>
  <c r="AJ267" i="19"/>
  <c r="AI267" i="19"/>
  <c r="AH267" i="19"/>
  <c r="AG267" i="19"/>
  <c r="AF267" i="19"/>
  <c r="AJ266" i="19"/>
  <c r="AI266" i="19"/>
  <c r="AH266" i="19"/>
  <c r="AG266" i="19"/>
  <c r="AF266" i="19"/>
  <c r="AJ265" i="19"/>
  <c r="AI265" i="19"/>
  <c r="AH265" i="19"/>
  <c r="AG265" i="19"/>
  <c r="AF265" i="19"/>
  <c r="AJ264" i="19"/>
  <c r="AI264" i="19"/>
  <c r="AH264" i="19"/>
  <c r="AG264" i="19"/>
  <c r="AF264" i="19"/>
  <c r="AJ263" i="19"/>
  <c r="AI263" i="19"/>
  <c r="AH263" i="19"/>
  <c r="AG263" i="19"/>
  <c r="AF263" i="19"/>
  <c r="AJ262" i="19"/>
  <c r="AI262" i="19"/>
  <c r="AH262" i="19"/>
  <c r="AG262" i="19"/>
  <c r="AF262" i="19"/>
  <c r="AJ261" i="19"/>
  <c r="AI261" i="19"/>
  <c r="AH261" i="19"/>
  <c r="AG261" i="19"/>
  <c r="AF261" i="19"/>
  <c r="AJ260" i="19"/>
  <c r="AI260" i="19"/>
  <c r="AH260" i="19"/>
  <c r="AG260" i="19"/>
  <c r="AF260" i="19"/>
  <c r="AJ259" i="19"/>
  <c r="AI259" i="19"/>
  <c r="AH259" i="19"/>
  <c r="AG259" i="19"/>
  <c r="AF259" i="19"/>
  <c r="AJ258" i="19"/>
  <c r="AI258" i="19"/>
  <c r="AH258" i="19"/>
  <c r="AG258" i="19"/>
  <c r="AF258" i="19"/>
  <c r="AJ257" i="19"/>
  <c r="AI257" i="19"/>
  <c r="AH257" i="19"/>
  <c r="AG257" i="19"/>
  <c r="AF257" i="19"/>
  <c r="AJ256" i="19"/>
  <c r="AI256" i="19"/>
  <c r="AH256" i="19"/>
  <c r="AG256" i="19"/>
  <c r="AF256" i="19"/>
  <c r="AJ255" i="19"/>
  <c r="AI255" i="19"/>
  <c r="AH255" i="19"/>
  <c r="AG255" i="19"/>
  <c r="AF255" i="19"/>
  <c r="AJ254" i="19"/>
  <c r="AI254" i="19"/>
  <c r="AH254" i="19"/>
  <c r="AG254" i="19"/>
  <c r="AF254" i="19"/>
  <c r="AJ253" i="19"/>
  <c r="AI253" i="19"/>
  <c r="AH253" i="19"/>
  <c r="AG253" i="19"/>
  <c r="AF253" i="19"/>
  <c r="AJ252" i="19"/>
  <c r="AI252" i="19"/>
  <c r="AH252" i="19"/>
  <c r="AG252" i="19"/>
  <c r="AF252" i="19"/>
  <c r="AJ251" i="19"/>
  <c r="AI251" i="19"/>
  <c r="AH251" i="19"/>
  <c r="AG251" i="19"/>
  <c r="AF251" i="19"/>
  <c r="AJ250" i="19"/>
  <c r="AI250" i="19"/>
  <c r="AH250" i="19"/>
  <c r="AG250" i="19"/>
  <c r="AF250" i="19"/>
  <c r="AJ249" i="19"/>
  <c r="AI249" i="19"/>
  <c r="AH249" i="19"/>
  <c r="AG249" i="19"/>
  <c r="AF249" i="19"/>
  <c r="AJ248" i="19"/>
  <c r="AI248" i="19"/>
  <c r="AH248" i="19"/>
  <c r="AG248" i="19"/>
  <c r="AF248" i="19"/>
  <c r="AJ247" i="19"/>
  <c r="AI247" i="19"/>
  <c r="AH247" i="19"/>
  <c r="AG247" i="19"/>
  <c r="AF247" i="19"/>
  <c r="AJ246" i="19"/>
  <c r="AI246" i="19"/>
  <c r="AH246" i="19"/>
  <c r="AG246" i="19"/>
  <c r="AF246" i="19"/>
  <c r="AJ245" i="19"/>
  <c r="AI245" i="19"/>
  <c r="AH245" i="19"/>
  <c r="AG245" i="19"/>
  <c r="AF245" i="19"/>
  <c r="AJ244" i="19"/>
  <c r="AI244" i="19"/>
  <c r="AH244" i="19"/>
  <c r="AG244" i="19"/>
  <c r="AF244" i="19"/>
  <c r="AJ243" i="19"/>
  <c r="AI243" i="19"/>
  <c r="AH243" i="19"/>
  <c r="AG243" i="19"/>
  <c r="AF243" i="19"/>
  <c r="AJ242" i="19"/>
  <c r="AI242" i="19"/>
  <c r="AH242" i="19"/>
  <c r="AG242" i="19"/>
  <c r="AF242" i="19"/>
  <c r="AJ241" i="19"/>
  <c r="AI241" i="19"/>
  <c r="AH241" i="19"/>
  <c r="AG241" i="19"/>
  <c r="AF241" i="19"/>
  <c r="AJ240" i="19"/>
  <c r="AI240" i="19"/>
  <c r="AH240" i="19"/>
  <c r="AG240" i="19"/>
  <c r="AF240" i="19"/>
  <c r="AJ239" i="19"/>
  <c r="AI239" i="19"/>
  <c r="AH239" i="19"/>
  <c r="AG239" i="19"/>
  <c r="AF239" i="19"/>
  <c r="AJ238" i="19"/>
  <c r="AI238" i="19"/>
  <c r="AH238" i="19"/>
  <c r="AG238" i="19"/>
  <c r="AF238" i="19"/>
  <c r="AJ237" i="19"/>
  <c r="AI237" i="19"/>
  <c r="AH237" i="19"/>
  <c r="AG237" i="19"/>
  <c r="AF237" i="19"/>
  <c r="AJ236" i="19"/>
  <c r="AI236" i="19"/>
  <c r="AH236" i="19"/>
  <c r="AG236" i="19"/>
  <c r="AF236" i="19"/>
  <c r="AJ235" i="19"/>
  <c r="AI235" i="19"/>
  <c r="AH235" i="19"/>
  <c r="AG235" i="19"/>
  <c r="AF235" i="19"/>
  <c r="AJ234" i="19"/>
  <c r="AI234" i="19"/>
  <c r="AH234" i="19"/>
  <c r="AG234" i="19"/>
  <c r="AF234" i="19"/>
  <c r="AJ233" i="19"/>
  <c r="AI233" i="19"/>
  <c r="AH233" i="19"/>
  <c r="AG233" i="19"/>
  <c r="AF233" i="19"/>
  <c r="AJ232" i="19"/>
  <c r="AI232" i="19"/>
  <c r="AH232" i="19"/>
  <c r="AG232" i="19"/>
  <c r="AF232" i="19"/>
  <c r="AJ231" i="19"/>
  <c r="AI231" i="19"/>
  <c r="AH231" i="19"/>
  <c r="AG231" i="19"/>
  <c r="AF231" i="19"/>
  <c r="AJ230" i="19"/>
  <c r="AI230" i="19"/>
  <c r="AH230" i="19"/>
  <c r="AG230" i="19"/>
  <c r="AF230" i="19"/>
  <c r="AJ229" i="19"/>
  <c r="AI229" i="19"/>
  <c r="AH229" i="19"/>
  <c r="AG229" i="19"/>
  <c r="AF229" i="19"/>
  <c r="AJ228" i="19"/>
  <c r="AI228" i="19"/>
  <c r="AH228" i="19"/>
  <c r="AG228" i="19"/>
  <c r="AF228" i="19"/>
  <c r="AJ227" i="19"/>
  <c r="AI227" i="19"/>
  <c r="AH227" i="19"/>
  <c r="AG227" i="19"/>
  <c r="AF227" i="19"/>
  <c r="AJ226" i="19"/>
  <c r="AI226" i="19"/>
  <c r="AH226" i="19"/>
  <c r="AG226" i="19"/>
  <c r="AF226" i="19"/>
  <c r="AJ225" i="19"/>
  <c r="AI225" i="19"/>
  <c r="AH225" i="19"/>
  <c r="AG225" i="19"/>
  <c r="AF225" i="19"/>
  <c r="AJ224" i="19"/>
  <c r="AI224" i="19"/>
  <c r="AH224" i="19"/>
  <c r="AG224" i="19"/>
  <c r="AF224" i="19"/>
  <c r="AJ223" i="19"/>
  <c r="AI223" i="19"/>
  <c r="AH223" i="19"/>
  <c r="AG223" i="19"/>
  <c r="AF223" i="19"/>
  <c r="AJ222" i="19"/>
  <c r="AI222" i="19"/>
  <c r="AH222" i="19"/>
  <c r="AG222" i="19"/>
  <c r="AF222" i="19"/>
  <c r="AJ221" i="19"/>
  <c r="AI221" i="19"/>
  <c r="AH221" i="19"/>
  <c r="AG221" i="19"/>
  <c r="AF221" i="19"/>
  <c r="AJ220" i="19"/>
  <c r="AI220" i="19"/>
  <c r="AH220" i="19"/>
  <c r="AG220" i="19"/>
  <c r="AF220" i="19"/>
  <c r="AJ219" i="19"/>
  <c r="AI219" i="19"/>
  <c r="AH219" i="19"/>
  <c r="AG219" i="19"/>
  <c r="AF219" i="19"/>
  <c r="AJ218" i="19"/>
  <c r="AI218" i="19"/>
  <c r="AH218" i="19"/>
  <c r="AG218" i="19"/>
  <c r="AF218" i="19"/>
  <c r="AJ217" i="19"/>
  <c r="AI217" i="19"/>
  <c r="AH217" i="19"/>
  <c r="AG217" i="19"/>
  <c r="AF217" i="19"/>
  <c r="AJ216" i="19"/>
  <c r="AI216" i="19"/>
  <c r="AH216" i="19"/>
  <c r="AG216" i="19"/>
  <c r="AF216" i="19"/>
  <c r="AJ215" i="19"/>
  <c r="AI215" i="19"/>
  <c r="AH215" i="19"/>
  <c r="AG215" i="19"/>
  <c r="AF215" i="19"/>
  <c r="AJ214" i="19"/>
  <c r="AI214" i="19"/>
  <c r="AH214" i="19"/>
  <c r="AG214" i="19"/>
  <c r="AF214" i="19"/>
  <c r="AJ213" i="19"/>
  <c r="AI213" i="19"/>
  <c r="AH213" i="19"/>
  <c r="AG213" i="19"/>
  <c r="AF213" i="19"/>
  <c r="AJ212" i="19"/>
  <c r="AI212" i="19"/>
  <c r="AH212" i="19"/>
  <c r="AG212" i="19"/>
  <c r="AF212" i="19"/>
  <c r="AJ211" i="19"/>
  <c r="AI211" i="19"/>
  <c r="AH211" i="19"/>
  <c r="AG211" i="19"/>
  <c r="AF211" i="19"/>
  <c r="AJ210" i="19"/>
  <c r="AI210" i="19"/>
  <c r="AH210" i="19"/>
  <c r="AG210" i="19"/>
  <c r="AF210" i="19"/>
  <c r="AJ209" i="19"/>
  <c r="AI209" i="19"/>
  <c r="AH209" i="19"/>
  <c r="AG209" i="19"/>
  <c r="AF209" i="19"/>
  <c r="AJ208" i="19"/>
  <c r="AI208" i="19"/>
  <c r="AH208" i="19"/>
  <c r="AG208" i="19"/>
  <c r="AF208" i="19"/>
  <c r="AJ207" i="19"/>
  <c r="AI207" i="19"/>
  <c r="AH207" i="19"/>
  <c r="AG207" i="19"/>
  <c r="AF207" i="19"/>
  <c r="AJ206" i="19"/>
  <c r="AI206" i="19"/>
  <c r="AH206" i="19"/>
  <c r="AG206" i="19"/>
  <c r="AF206" i="19"/>
  <c r="AJ205" i="19"/>
  <c r="AI205" i="19"/>
  <c r="AH205" i="19"/>
  <c r="AG205" i="19"/>
  <c r="AF205" i="19"/>
  <c r="AJ204" i="19"/>
  <c r="AI204" i="19"/>
  <c r="AH204" i="19"/>
  <c r="AG204" i="19"/>
  <c r="AF204" i="19"/>
  <c r="AJ203" i="19"/>
  <c r="AI203" i="19"/>
  <c r="AH203" i="19"/>
  <c r="AG203" i="19"/>
  <c r="AF203" i="19"/>
  <c r="AJ202" i="19"/>
  <c r="AI202" i="19"/>
  <c r="AH202" i="19"/>
  <c r="AG202" i="19"/>
  <c r="AF202" i="19"/>
  <c r="AJ201" i="19"/>
  <c r="AI201" i="19"/>
  <c r="AH201" i="19"/>
  <c r="AG201" i="19"/>
  <c r="AF201" i="19"/>
  <c r="AJ200" i="19"/>
  <c r="AI200" i="19"/>
  <c r="AH200" i="19"/>
  <c r="AG200" i="19"/>
  <c r="AF200" i="19"/>
  <c r="AJ199" i="19"/>
  <c r="AI199" i="19"/>
  <c r="AH199" i="19"/>
  <c r="AG199" i="19"/>
  <c r="AF199" i="19"/>
  <c r="AJ198" i="19"/>
  <c r="AI198" i="19"/>
  <c r="AH198" i="19"/>
  <c r="AG198" i="19"/>
  <c r="AF198" i="19"/>
  <c r="AJ197" i="19"/>
  <c r="AI197" i="19"/>
  <c r="AH197" i="19"/>
  <c r="AG197" i="19"/>
  <c r="AF197" i="19"/>
  <c r="AJ196" i="19"/>
  <c r="AI196" i="19"/>
  <c r="AH196" i="19"/>
  <c r="AG196" i="19"/>
  <c r="AF196" i="19"/>
  <c r="AJ195" i="19"/>
  <c r="AI195" i="19"/>
  <c r="AH195" i="19"/>
  <c r="AG195" i="19"/>
  <c r="AF195" i="19"/>
  <c r="AJ194" i="19"/>
  <c r="AI194" i="19"/>
  <c r="AH194" i="19"/>
  <c r="AG194" i="19"/>
  <c r="AF194" i="19"/>
  <c r="AJ193" i="19"/>
  <c r="AI193" i="19"/>
  <c r="AH193" i="19"/>
  <c r="AG193" i="19"/>
  <c r="AF193" i="19"/>
  <c r="AJ192" i="19"/>
  <c r="AI192" i="19"/>
  <c r="AH192" i="19"/>
  <c r="AG192" i="19"/>
  <c r="AF192" i="19"/>
  <c r="AJ191" i="19"/>
  <c r="AI191" i="19"/>
  <c r="AH191" i="19"/>
  <c r="AG191" i="19"/>
  <c r="AF191" i="19"/>
  <c r="AJ190" i="19"/>
  <c r="AI190" i="19"/>
  <c r="AH190" i="19"/>
  <c r="AG190" i="19"/>
  <c r="AF190" i="19"/>
  <c r="AJ189" i="19"/>
  <c r="AI189" i="19"/>
  <c r="AH189" i="19"/>
  <c r="AG189" i="19"/>
  <c r="AF189" i="19"/>
  <c r="AJ188" i="19"/>
  <c r="AI188" i="19"/>
  <c r="AH188" i="19"/>
  <c r="AG188" i="19"/>
  <c r="AF188" i="19"/>
  <c r="AJ187" i="19"/>
  <c r="AI187" i="19"/>
  <c r="AH187" i="19"/>
  <c r="AG187" i="19"/>
  <c r="AF187" i="19"/>
  <c r="AJ186" i="19"/>
  <c r="AI186" i="19"/>
  <c r="AH186" i="19"/>
  <c r="AG186" i="19"/>
  <c r="AF186" i="19"/>
  <c r="AJ185" i="19"/>
  <c r="AI185" i="19"/>
  <c r="AH185" i="19"/>
  <c r="AG185" i="19"/>
  <c r="AF185" i="19"/>
  <c r="AJ184" i="19"/>
  <c r="AI184" i="19"/>
  <c r="AH184" i="19"/>
  <c r="AG184" i="19"/>
  <c r="AF184" i="19"/>
  <c r="AJ183" i="19"/>
  <c r="AI183" i="19"/>
  <c r="AH183" i="19"/>
  <c r="AG183" i="19"/>
  <c r="AF183" i="19"/>
  <c r="AJ182" i="19"/>
  <c r="AI182" i="19"/>
  <c r="AH182" i="19"/>
  <c r="AG182" i="19"/>
  <c r="AF182" i="19"/>
  <c r="AJ181" i="19"/>
  <c r="AI181" i="19"/>
  <c r="AH181" i="19"/>
  <c r="AG181" i="19"/>
  <c r="AF181" i="19"/>
  <c r="AJ180" i="19"/>
  <c r="AI180" i="19"/>
  <c r="AH180" i="19"/>
  <c r="AG180" i="19"/>
  <c r="AF180" i="19"/>
  <c r="AJ179" i="19"/>
  <c r="AI179" i="19"/>
  <c r="AH179" i="19"/>
  <c r="AG179" i="19"/>
  <c r="AF179" i="19"/>
  <c r="AJ178" i="19"/>
  <c r="AI178" i="19"/>
  <c r="AH178" i="19"/>
  <c r="AG178" i="19"/>
  <c r="AF178" i="19"/>
  <c r="AJ177" i="19"/>
  <c r="AI177" i="19"/>
  <c r="AH177" i="19"/>
  <c r="AG177" i="19"/>
  <c r="AF177" i="19"/>
  <c r="AJ176" i="19"/>
  <c r="AI176" i="19"/>
  <c r="AH176" i="19"/>
  <c r="AG176" i="19"/>
  <c r="AF176" i="19"/>
  <c r="AJ175" i="19"/>
  <c r="AI175" i="19"/>
  <c r="AH175" i="19"/>
  <c r="AG175" i="19"/>
  <c r="AF175" i="19"/>
  <c r="AJ174" i="19"/>
  <c r="AI174" i="19"/>
  <c r="AH174" i="19"/>
  <c r="AG174" i="19"/>
  <c r="AF174" i="19"/>
  <c r="AJ173" i="19"/>
  <c r="AI173" i="19"/>
  <c r="AH173" i="19"/>
  <c r="AG173" i="19"/>
  <c r="AF173" i="19"/>
  <c r="AJ172" i="19"/>
  <c r="AI172" i="19"/>
  <c r="AH172" i="19"/>
  <c r="AG172" i="19"/>
  <c r="AF172" i="19"/>
  <c r="AJ171" i="19"/>
  <c r="AI171" i="19"/>
  <c r="AH171" i="19"/>
  <c r="AG171" i="19"/>
  <c r="AF171" i="19"/>
  <c r="AJ170" i="19"/>
  <c r="AI170" i="19"/>
  <c r="AH170" i="19"/>
  <c r="AG170" i="19"/>
  <c r="AF170" i="19"/>
  <c r="AJ169" i="19"/>
  <c r="AI169" i="19"/>
  <c r="AH169" i="19"/>
  <c r="AG169" i="19"/>
  <c r="AF169" i="19"/>
  <c r="AJ168" i="19"/>
  <c r="AI168" i="19"/>
  <c r="AH168" i="19"/>
  <c r="AG168" i="19"/>
  <c r="AF168" i="19"/>
  <c r="AJ167" i="19"/>
  <c r="AI167" i="19"/>
  <c r="AH167" i="19"/>
  <c r="AG167" i="19"/>
  <c r="AF167" i="19"/>
  <c r="AJ166" i="19"/>
  <c r="AI166" i="19"/>
  <c r="AH166" i="19"/>
  <c r="AG166" i="19"/>
  <c r="AF166" i="19"/>
  <c r="AJ165" i="19"/>
  <c r="AI165" i="19"/>
  <c r="AH165" i="19"/>
  <c r="AG165" i="19"/>
  <c r="AF165" i="19"/>
  <c r="AJ164" i="19"/>
  <c r="AI164" i="19"/>
  <c r="AH164" i="19"/>
  <c r="AG164" i="19"/>
  <c r="AF164" i="19"/>
  <c r="AJ163" i="19"/>
  <c r="AI163" i="19"/>
  <c r="AH163" i="19"/>
  <c r="AG163" i="19"/>
  <c r="AF163" i="19"/>
  <c r="AJ162" i="19"/>
  <c r="AI162" i="19"/>
  <c r="AH162" i="19"/>
  <c r="AG162" i="19"/>
  <c r="AF162" i="19"/>
  <c r="AJ161" i="19"/>
  <c r="AI161" i="19"/>
  <c r="AH161" i="19"/>
  <c r="AG161" i="19"/>
  <c r="AF161" i="19"/>
  <c r="AJ160" i="19"/>
  <c r="AI160" i="19"/>
  <c r="AH160" i="19"/>
  <c r="AG160" i="19"/>
  <c r="AF160" i="19"/>
  <c r="AJ159" i="19"/>
  <c r="AI159" i="19"/>
  <c r="AH159" i="19"/>
  <c r="AG159" i="19"/>
  <c r="AF159" i="19"/>
  <c r="AJ158" i="19"/>
  <c r="AI158" i="19"/>
  <c r="AH158" i="19"/>
  <c r="AG158" i="19"/>
  <c r="AF158" i="19"/>
  <c r="AJ157" i="19"/>
  <c r="AI157" i="19"/>
  <c r="AH157" i="19"/>
  <c r="AG157" i="19"/>
  <c r="AF157" i="19"/>
  <c r="AJ156" i="19"/>
  <c r="AI156" i="19"/>
  <c r="AH156" i="19"/>
  <c r="AG156" i="19"/>
  <c r="AF156" i="19"/>
  <c r="AJ155" i="19"/>
  <c r="AI155" i="19"/>
  <c r="AH155" i="19"/>
  <c r="AG155" i="19"/>
  <c r="AF155" i="19"/>
  <c r="AJ154" i="19"/>
  <c r="AI154" i="19"/>
  <c r="AH154" i="19"/>
  <c r="AG154" i="19"/>
  <c r="AF154" i="19"/>
  <c r="AJ153" i="19"/>
  <c r="AI153" i="19"/>
  <c r="AH153" i="19"/>
  <c r="AG153" i="19"/>
  <c r="AF153" i="19"/>
  <c r="AJ152" i="19"/>
  <c r="AI152" i="19"/>
  <c r="AH152" i="19"/>
  <c r="AG152" i="19"/>
  <c r="AF152" i="19"/>
  <c r="AJ151" i="19"/>
  <c r="AI151" i="19"/>
  <c r="AH151" i="19"/>
  <c r="AG151" i="19"/>
  <c r="AF151" i="19"/>
  <c r="AJ150" i="19"/>
  <c r="AI150" i="19"/>
  <c r="AH150" i="19"/>
  <c r="AG150" i="19"/>
  <c r="AF150" i="19"/>
  <c r="AJ149" i="19"/>
  <c r="AI149" i="19"/>
  <c r="AH149" i="19"/>
  <c r="AG149" i="19"/>
  <c r="AF149" i="19"/>
  <c r="AJ148" i="19"/>
  <c r="AI148" i="19"/>
  <c r="AH148" i="19"/>
  <c r="AG148" i="19"/>
  <c r="AF148" i="19"/>
  <c r="AJ147" i="19"/>
  <c r="AI147" i="19"/>
  <c r="AH147" i="19"/>
  <c r="AG147" i="19"/>
  <c r="AF147" i="19"/>
  <c r="AJ146" i="19"/>
  <c r="AI146" i="19"/>
  <c r="AH146" i="19"/>
  <c r="AG146" i="19"/>
  <c r="AF146" i="19"/>
  <c r="AJ140" i="19"/>
  <c r="AI140" i="19"/>
  <c r="AH140" i="19"/>
  <c r="AG140" i="19"/>
  <c r="AF140" i="19"/>
  <c r="AJ139" i="19"/>
  <c r="AI139" i="19"/>
  <c r="AH139" i="19"/>
  <c r="AG139" i="19"/>
  <c r="AF139" i="19"/>
  <c r="AJ138" i="19"/>
  <c r="AI138" i="19"/>
  <c r="AH138" i="19"/>
  <c r="AG138" i="19"/>
  <c r="AF138" i="19"/>
  <c r="AJ134" i="19"/>
  <c r="AI134" i="19"/>
  <c r="AH134" i="19"/>
  <c r="AG134" i="19"/>
  <c r="AF134" i="19"/>
  <c r="AJ133" i="19"/>
  <c r="AI133" i="19"/>
  <c r="AH133" i="19"/>
  <c r="AG133" i="19"/>
  <c r="AF133" i="19"/>
  <c r="AJ132" i="19"/>
  <c r="AI132" i="19"/>
  <c r="AH132" i="19"/>
  <c r="AG132" i="19"/>
  <c r="AF132" i="19"/>
  <c r="AJ131" i="19"/>
  <c r="AI131" i="19"/>
  <c r="AH131" i="19"/>
  <c r="AG131" i="19"/>
  <c r="AF131" i="19"/>
  <c r="AJ130" i="19"/>
  <c r="AI130" i="19"/>
  <c r="AH130" i="19"/>
  <c r="AG130" i="19"/>
  <c r="AF130" i="19"/>
  <c r="AJ129" i="19"/>
  <c r="AI129" i="19"/>
  <c r="AH129" i="19"/>
  <c r="AG129" i="19"/>
  <c r="AF129" i="19"/>
  <c r="AJ128" i="19"/>
  <c r="AI128" i="19"/>
  <c r="AH128" i="19"/>
  <c r="AG128" i="19"/>
  <c r="AF128" i="19"/>
  <c r="AJ127" i="19"/>
  <c r="AI127" i="19"/>
  <c r="AH127" i="19"/>
  <c r="AG127" i="19"/>
  <c r="AF127" i="19"/>
  <c r="AJ126" i="19"/>
  <c r="AI126" i="19"/>
  <c r="AH126" i="19"/>
  <c r="AG126" i="19"/>
  <c r="AF126" i="19"/>
  <c r="AJ125" i="19"/>
  <c r="AI125" i="19"/>
  <c r="AH125" i="19"/>
  <c r="AG125" i="19"/>
  <c r="AF125" i="19"/>
  <c r="AJ124" i="19"/>
  <c r="AI124" i="19"/>
  <c r="AH124" i="19"/>
  <c r="AG124" i="19"/>
  <c r="AF124" i="19"/>
  <c r="AJ123" i="19"/>
  <c r="AI123" i="19"/>
  <c r="AH123" i="19"/>
  <c r="AG123" i="19"/>
  <c r="AF123" i="19"/>
  <c r="AJ122" i="19"/>
  <c r="AI122" i="19"/>
  <c r="AH122" i="19"/>
  <c r="AG122" i="19"/>
  <c r="AF122" i="19"/>
  <c r="AJ121" i="19"/>
  <c r="AI121" i="19"/>
  <c r="AH121" i="19"/>
  <c r="AG121" i="19"/>
  <c r="AF121" i="19"/>
  <c r="AJ120" i="19"/>
  <c r="AI120" i="19"/>
  <c r="AH120" i="19"/>
  <c r="AG120" i="19"/>
  <c r="AF120" i="19"/>
  <c r="AJ119" i="19"/>
  <c r="AI119" i="19"/>
  <c r="AH119" i="19"/>
  <c r="AG119" i="19"/>
  <c r="AF119" i="19"/>
  <c r="AJ118" i="19"/>
  <c r="AI118" i="19"/>
  <c r="AH118" i="19"/>
  <c r="AG118" i="19"/>
  <c r="AF118" i="19"/>
  <c r="AJ117" i="19"/>
  <c r="AI117" i="19"/>
  <c r="AH117" i="19"/>
  <c r="AG117" i="19"/>
  <c r="AF117" i="19"/>
  <c r="AJ116" i="19"/>
  <c r="AI116" i="19"/>
  <c r="AH116" i="19"/>
  <c r="AG116" i="19"/>
  <c r="AF116" i="19"/>
  <c r="AJ115" i="19"/>
  <c r="AI115" i="19"/>
  <c r="AH115" i="19"/>
  <c r="AG115" i="19"/>
  <c r="AF115" i="19"/>
  <c r="AJ114" i="19"/>
  <c r="AI114" i="19"/>
  <c r="AH114" i="19"/>
  <c r="AG114" i="19"/>
  <c r="AF114" i="19"/>
  <c r="AJ113" i="19"/>
  <c r="AI113" i="19"/>
  <c r="AH113" i="19"/>
  <c r="AG113" i="19"/>
  <c r="AF113" i="19"/>
  <c r="AJ112" i="19"/>
  <c r="AI112" i="19"/>
  <c r="AH112" i="19"/>
  <c r="AG112" i="19"/>
  <c r="AF112" i="19"/>
  <c r="AJ111" i="19"/>
  <c r="AI111" i="19"/>
  <c r="AH111" i="19"/>
  <c r="AG111" i="19"/>
  <c r="AF111" i="19"/>
  <c r="AJ110" i="19"/>
  <c r="AI110" i="19"/>
  <c r="AH110" i="19"/>
  <c r="AG110" i="19"/>
  <c r="AF110" i="19"/>
  <c r="AJ109" i="19"/>
  <c r="AI109" i="19"/>
  <c r="AH109" i="19"/>
  <c r="AG109" i="19"/>
  <c r="AF109" i="19"/>
  <c r="AJ108" i="19"/>
  <c r="AI108" i="19"/>
  <c r="AH108" i="19"/>
  <c r="AG108" i="19"/>
  <c r="AF108" i="19"/>
  <c r="AJ107" i="19"/>
  <c r="AI107" i="19"/>
  <c r="AH107" i="19"/>
  <c r="AG107" i="19"/>
  <c r="AF107" i="19"/>
  <c r="AJ106" i="19"/>
  <c r="AI106" i="19"/>
  <c r="AH106" i="19"/>
  <c r="AG106" i="19"/>
  <c r="AF106" i="19"/>
  <c r="AJ105" i="19"/>
  <c r="AI105" i="19"/>
  <c r="AH105" i="19"/>
  <c r="AG105" i="19"/>
  <c r="AF105" i="19"/>
  <c r="AJ104" i="19"/>
  <c r="AI104" i="19"/>
  <c r="AH104" i="19"/>
  <c r="AG104" i="19"/>
  <c r="AF104" i="19"/>
  <c r="AJ103" i="19"/>
  <c r="AI103" i="19"/>
  <c r="AH103" i="19"/>
  <c r="AG103" i="19"/>
  <c r="AF103" i="19"/>
  <c r="AJ102" i="19"/>
  <c r="AI102" i="19"/>
  <c r="AH102" i="19"/>
  <c r="AG102" i="19"/>
  <c r="AF102" i="19"/>
  <c r="AJ101" i="19"/>
  <c r="AI101" i="19"/>
  <c r="AH101" i="19"/>
  <c r="AG101" i="19"/>
  <c r="AF101" i="19"/>
  <c r="AJ100" i="19"/>
  <c r="AI100" i="19"/>
  <c r="AH100" i="19"/>
  <c r="AG100" i="19"/>
  <c r="AF100" i="19"/>
  <c r="AJ99" i="19"/>
  <c r="AI99" i="19"/>
  <c r="AH99" i="19"/>
  <c r="AG99" i="19"/>
  <c r="AF99" i="19"/>
  <c r="AJ98" i="19"/>
  <c r="AI98" i="19"/>
  <c r="AH98" i="19"/>
  <c r="AG98" i="19"/>
  <c r="AF98" i="19"/>
  <c r="AJ97" i="19"/>
  <c r="AI97" i="19"/>
  <c r="AH97" i="19"/>
  <c r="AG97" i="19"/>
  <c r="AF97" i="19"/>
  <c r="AJ96" i="19"/>
  <c r="AI96" i="19"/>
  <c r="AH96" i="19"/>
  <c r="AG96" i="19"/>
  <c r="AF96" i="19"/>
  <c r="AJ95" i="19"/>
  <c r="AI95" i="19"/>
  <c r="AH95" i="19"/>
  <c r="AG95" i="19"/>
  <c r="AF95" i="19"/>
  <c r="AJ94" i="19"/>
  <c r="AI94" i="19"/>
  <c r="AH94" i="19"/>
  <c r="AG94" i="19"/>
  <c r="AF94" i="19"/>
  <c r="AJ93" i="19"/>
  <c r="AI93" i="19"/>
  <c r="AH93" i="19"/>
  <c r="AG93" i="19"/>
  <c r="AF93" i="19"/>
  <c r="AJ92" i="19"/>
  <c r="AI92" i="19"/>
  <c r="AH92" i="19"/>
  <c r="AG92" i="19"/>
  <c r="AF92" i="19"/>
  <c r="AJ91" i="19"/>
  <c r="AI91" i="19"/>
  <c r="AH91" i="19"/>
  <c r="AG91" i="19"/>
  <c r="AF91" i="19"/>
  <c r="AJ90" i="19"/>
  <c r="AI90" i="19"/>
  <c r="AH90" i="19"/>
  <c r="AG90" i="19"/>
  <c r="AF90" i="19"/>
  <c r="AJ89" i="19"/>
  <c r="AI89" i="19"/>
  <c r="AH89" i="19"/>
  <c r="AG89" i="19"/>
  <c r="AF89" i="19"/>
  <c r="AJ88" i="19"/>
  <c r="AI88" i="19"/>
  <c r="AH88" i="19"/>
  <c r="AG88" i="19"/>
  <c r="AF88" i="19"/>
  <c r="AJ87" i="19"/>
  <c r="AI87" i="19"/>
  <c r="AH87" i="19"/>
  <c r="AG87" i="19"/>
  <c r="AF87" i="19"/>
  <c r="AJ86" i="19"/>
  <c r="AI86" i="19"/>
  <c r="AH86" i="19"/>
  <c r="AG86" i="19"/>
  <c r="AF86" i="19"/>
  <c r="AJ85" i="19"/>
  <c r="AI85" i="19"/>
  <c r="AH85" i="19"/>
  <c r="AG85" i="19"/>
  <c r="AF85" i="19"/>
  <c r="AJ84" i="19"/>
  <c r="AI84" i="19"/>
  <c r="AH84" i="19"/>
  <c r="AG84" i="19"/>
  <c r="AF84" i="19"/>
  <c r="AJ83" i="19"/>
  <c r="AI83" i="19"/>
  <c r="AH83" i="19"/>
  <c r="AG83" i="19"/>
  <c r="AF83" i="19"/>
  <c r="AJ82" i="19"/>
  <c r="AI82" i="19"/>
  <c r="AH82" i="19"/>
  <c r="AG82" i="19"/>
  <c r="AF82" i="19"/>
  <c r="AJ81" i="19"/>
  <c r="AI81" i="19"/>
  <c r="AH81" i="19"/>
  <c r="AG81" i="19"/>
  <c r="AF81" i="19"/>
  <c r="AJ80" i="19"/>
  <c r="AI80" i="19"/>
  <c r="AH80" i="19"/>
  <c r="AG80" i="19"/>
  <c r="AF80" i="19"/>
  <c r="AJ79" i="19"/>
  <c r="AI79" i="19"/>
  <c r="AH79" i="19"/>
  <c r="AG79" i="19"/>
  <c r="AF79" i="19"/>
  <c r="AJ78" i="19"/>
  <c r="AI78" i="19"/>
  <c r="AH78" i="19"/>
  <c r="AG78" i="19"/>
  <c r="AF78" i="19"/>
  <c r="AJ77" i="19"/>
  <c r="AI77" i="19"/>
  <c r="AH77" i="19"/>
  <c r="AG77" i="19"/>
  <c r="AF77" i="19"/>
  <c r="AJ76" i="19"/>
  <c r="AI76" i="19"/>
  <c r="AH76" i="19"/>
  <c r="AG76" i="19"/>
  <c r="AF76" i="19"/>
  <c r="AJ75" i="19"/>
  <c r="AI75" i="19"/>
  <c r="AH75" i="19"/>
  <c r="AG75" i="19"/>
  <c r="AF75" i="19"/>
  <c r="AJ74" i="19"/>
  <c r="AI74" i="19"/>
  <c r="AH74" i="19"/>
  <c r="AG74" i="19"/>
  <c r="AF74" i="19"/>
  <c r="AJ73" i="19"/>
  <c r="AI73" i="19"/>
  <c r="AH73" i="19"/>
  <c r="AG73" i="19"/>
  <c r="AF73" i="19"/>
  <c r="AJ72" i="19"/>
  <c r="AI72" i="19"/>
  <c r="AH72" i="19"/>
  <c r="AG72" i="19"/>
  <c r="AF72" i="19"/>
  <c r="AJ71" i="19"/>
  <c r="AI71" i="19"/>
  <c r="AH71" i="19"/>
  <c r="AG71" i="19"/>
  <c r="AF71" i="19"/>
  <c r="AJ69" i="19"/>
  <c r="AI69" i="19"/>
  <c r="AH69" i="19"/>
  <c r="AG69" i="19"/>
  <c r="AF69" i="19"/>
  <c r="AJ68" i="19"/>
  <c r="AI68" i="19"/>
  <c r="AH68" i="19"/>
  <c r="AG68" i="19"/>
  <c r="AF68" i="19"/>
  <c r="AJ67" i="19"/>
  <c r="AI67" i="19"/>
  <c r="AH67" i="19"/>
  <c r="AG67" i="19"/>
  <c r="AF67" i="19"/>
  <c r="AJ66" i="19"/>
  <c r="AI66" i="19"/>
  <c r="AH66" i="19"/>
  <c r="AG66" i="19"/>
  <c r="AF66" i="19"/>
  <c r="AJ63" i="19"/>
  <c r="AI63" i="19"/>
  <c r="AH63" i="19"/>
  <c r="AG63" i="19"/>
  <c r="AF63" i="19"/>
  <c r="AJ62" i="19"/>
  <c r="AI62" i="19"/>
  <c r="AH62" i="19"/>
  <c r="AG62" i="19"/>
  <c r="AF62" i="19"/>
  <c r="AJ61" i="19"/>
  <c r="AI61" i="19"/>
  <c r="AH61" i="19"/>
  <c r="AG61" i="19"/>
  <c r="AF61" i="19"/>
  <c r="AJ60" i="19"/>
  <c r="AI60" i="19"/>
  <c r="AH60" i="19"/>
  <c r="AG60" i="19"/>
  <c r="AF60" i="19"/>
  <c r="AJ59" i="19"/>
  <c r="AI59" i="19"/>
  <c r="AH59" i="19"/>
  <c r="AG59" i="19"/>
  <c r="AF59" i="19"/>
  <c r="AJ58" i="19"/>
  <c r="AI58" i="19"/>
  <c r="AH58" i="19"/>
  <c r="AG58" i="19"/>
  <c r="AF58" i="19"/>
  <c r="AJ57" i="19"/>
  <c r="AI57" i="19"/>
  <c r="AH57" i="19"/>
  <c r="AG57" i="19"/>
  <c r="AF57" i="19"/>
  <c r="AJ55" i="19"/>
  <c r="AI55" i="19"/>
  <c r="AH55" i="19"/>
  <c r="AG55" i="19"/>
  <c r="AF55" i="19"/>
  <c r="AJ54" i="19"/>
  <c r="AI54" i="19"/>
  <c r="AH54" i="19"/>
  <c r="AG54" i="19"/>
  <c r="AF54" i="19"/>
  <c r="AJ53" i="19"/>
  <c r="AI53" i="19"/>
  <c r="AH53" i="19"/>
  <c r="AG53" i="19"/>
  <c r="AF53" i="19"/>
  <c r="AJ43" i="19"/>
  <c r="AI43" i="19"/>
  <c r="AH43" i="19"/>
  <c r="AG43" i="19"/>
  <c r="AF43" i="19"/>
  <c r="AJ42" i="19"/>
  <c r="AI42" i="19"/>
  <c r="AH42" i="19"/>
  <c r="AG42" i="19"/>
  <c r="AF42" i="19"/>
  <c r="AJ41" i="19"/>
  <c r="AI41" i="19"/>
  <c r="AH41" i="19"/>
  <c r="AG41" i="19"/>
  <c r="AF41" i="19"/>
  <c r="AJ39" i="19"/>
  <c r="AI39" i="19"/>
  <c r="AH39" i="19"/>
  <c r="AG39" i="19"/>
  <c r="AF39" i="19"/>
  <c r="AJ32" i="19"/>
  <c r="AI32" i="19"/>
  <c r="AH32" i="19"/>
  <c r="AG32" i="19"/>
  <c r="AF32" i="19"/>
  <c r="AJ25" i="19"/>
  <c r="AI25" i="19"/>
  <c r="AH25" i="19"/>
  <c r="AG25" i="19"/>
  <c r="AF25" i="19"/>
  <c r="AJ24" i="19"/>
  <c r="AI24" i="19"/>
  <c r="AH24" i="19"/>
  <c r="AG24" i="19"/>
  <c r="AF24" i="19"/>
  <c r="AJ23" i="19"/>
  <c r="AI23" i="19"/>
  <c r="AH23" i="19"/>
  <c r="AG23" i="19"/>
  <c r="AF23" i="19"/>
  <c r="AJ16" i="19"/>
  <c r="AI16" i="19"/>
  <c r="AH16" i="19"/>
  <c r="AG16" i="19"/>
  <c r="AF16" i="19"/>
  <c r="AJ15" i="19"/>
  <c r="AI15" i="19"/>
  <c r="AH15" i="19"/>
  <c r="AG15" i="19"/>
  <c r="AF15" i="19"/>
  <c r="AJ13" i="19"/>
  <c r="AI13" i="19"/>
  <c r="AH13" i="19"/>
  <c r="AG13" i="19"/>
  <c r="AF13" i="19"/>
  <c r="AJ12" i="19"/>
  <c r="AI12" i="19"/>
  <c r="AH12" i="19"/>
  <c r="AG12" i="19"/>
  <c r="AF12" i="19"/>
  <c r="AJ11" i="19"/>
  <c r="AI11" i="19"/>
  <c r="AH11" i="19"/>
  <c r="AG11" i="19"/>
  <c r="AF11" i="19"/>
  <c r="AJ9" i="19"/>
  <c r="AI9" i="19"/>
  <c r="AH9" i="19"/>
  <c r="AG9" i="19"/>
  <c r="C1059" i="23"/>
  <c r="M1066" i="23"/>
  <c r="C1090" i="23"/>
  <c r="C1089" i="23"/>
  <c r="C1088" i="23"/>
  <c r="R724" i="23"/>
  <c r="N724" i="23"/>
  <c r="O724" i="23"/>
  <c r="AJ239" i="9"/>
  <c r="AH239" i="9"/>
  <c r="AF239" i="9"/>
  <c r="X22" i="21"/>
  <c r="W22" i="21"/>
  <c r="H1075" i="23"/>
  <c r="C1075" i="23"/>
  <c r="D1075" i="23"/>
  <c r="E1075" i="23"/>
  <c r="F1075" i="23"/>
  <c r="M1075" i="23"/>
  <c r="H1071" i="23"/>
  <c r="M1071" i="23"/>
  <c r="C1071" i="23"/>
  <c r="J780" i="12"/>
  <c r="J799" i="12"/>
  <c r="J798" i="12"/>
  <c r="J779" i="12"/>
  <c r="J778" i="12"/>
  <c r="I3" i="12"/>
  <c r="H1281" i="23"/>
  <c r="AJ8" i="19"/>
  <c r="AI8" i="19"/>
  <c r="AH8" i="19"/>
  <c r="AG8" i="19"/>
  <c r="Q504" i="9"/>
  <c r="Q505" i="9"/>
  <c r="Q506" i="9"/>
  <c r="Q507" i="9"/>
  <c r="Q508" i="9"/>
  <c r="Q502" i="9"/>
  <c r="Q444" i="9"/>
  <c r="Q443" i="9"/>
  <c r="B1250" i="23"/>
  <c r="C1250" i="23"/>
  <c r="B1247" i="23"/>
  <c r="C1247" i="23"/>
  <c r="B1246" i="23"/>
  <c r="C1246" i="23"/>
  <c r="C1248" i="23"/>
  <c r="C1112" i="23"/>
  <c r="C1244" i="23"/>
  <c r="C1243" i="23"/>
  <c r="C1242" i="23"/>
  <c r="C1241" i="23"/>
  <c r="C1239" i="23"/>
  <c r="C1238" i="23"/>
  <c r="C1237" i="23"/>
  <c r="C1236" i="23"/>
  <c r="C1235" i="23"/>
  <c r="C1233" i="23"/>
  <c r="C1232" i="23"/>
  <c r="C1231" i="23"/>
  <c r="C1230" i="23"/>
  <c r="C1228" i="23"/>
  <c r="C1227" i="23"/>
  <c r="C1226" i="23"/>
  <c r="C1211" i="23"/>
  <c r="C1210" i="23"/>
  <c r="C1205" i="23"/>
  <c r="C1204" i="23"/>
  <c r="C1224" i="23"/>
  <c r="C1223" i="23"/>
  <c r="C1218" i="23"/>
  <c r="C1217" i="23"/>
  <c r="C1209" i="23"/>
  <c r="C1208" i="23"/>
  <c r="C1203" i="23"/>
  <c r="C1202" i="23"/>
  <c r="C1222" i="23"/>
  <c r="C1221" i="23"/>
  <c r="C1220" i="23"/>
  <c r="C1216" i="23"/>
  <c r="C1215" i="23"/>
  <c r="C1214" i="23"/>
  <c r="C1213" i="23"/>
  <c r="C1207" i="23"/>
  <c r="C1201" i="23"/>
  <c r="C1200" i="23"/>
  <c r="C1199" i="23"/>
  <c r="C1197" i="23"/>
  <c r="C1196" i="23"/>
  <c r="C1195" i="23"/>
  <c r="C1192" i="23"/>
  <c r="C1191" i="23"/>
  <c r="C1185" i="23"/>
  <c r="C1184" i="23"/>
  <c r="C1178" i="23"/>
  <c r="C1194" i="23"/>
  <c r="C1190" i="23"/>
  <c r="C1189" i="23"/>
  <c r="C1183" i="23"/>
  <c r="C1182" i="23"/>
  <c r="C1177" i="23"/>
  <c r="C1188" i="23"/>
  <c r="C1187" i="23"/>
  <c r="C1181" i="23"/>
  <c r="C1180" i="23"/>
  <c r="C1176" i="23"/>
  <c r="C1175" i="23"/>
  <c r="C1174" i="23"/>
  <c r="C1172" i="23"/>
  <c r="C1171" i="23"/>
  <c r="C1170" i="23"/>
  <c r="C1168" i="23"/>
  <c r="C1167" i="23"/>
  <c r="C1166" i="23"/>
  <c r="C1164" i="23"/>
  <c r="C1163" i="23"/>
  <c r="C1162" i="23"/>
  <c r="C1161" i="23"/>
  <c r="C1160" i="23"/>
  <c r="C1159" i="23"/>
  <c r="C1158" i="23"/>
  <c r="C1157" i="23"/>
  <c r="C1156" i="23"/>
  <c r="C1155" i="23"/>
  <c r="C1154" i="23"/>
  <c r="C1152" i="23"/>
  <c r="C1151" i="23"/>
  <c r="C1150" i="23"/>
  <c r="C1149" i="23"/>
  <c r="C1147" i="23"/>
  <c r="C1146" i="23"/>
  <c r="C1145" i="23"/>
  <c r="C1144" i="23"/>
  <c r="C1143" i="23"/>
  <c r="C1141" i="23"/>
  <c r="C1140" i="23"/>
  <c r="C1139" i="23"/>
  <c r="C1138" i="23"/>
  <c r="C1136" i="23"/>
  <c r="C1134" i="23"/>
  <c r="C1133" i="23"/>
  <c r="C1132" i="23"/>
  <c r="C1131" i="23"/>
  <c r="C1130" i="23"/>
  <c r="C1129" i="23"/>
  <c r="C1128" i="23"/>
  <c r="C1127" i="23"/>
  <c r="C1126" i="23"/>
  <c r="C1124" i="23"/>
  <c r="C1123" i="23"/>
  <c r="C1122" i="23"/>
  <c r="C1120" i="23"/>
  <c r="C1119" i="23"/>
  <c r="C1118" i="23"/>
  <c r="C1117" i="23"/>
  <c r="C1098" i="23"/>
  <c r="C1092" i="23"/>
  <c r="C362" i="9"/>
  <c r="D362" i="9"/>
  <c r="H1066" i="23"/>
  <c r="C1066" i="23"/>
  <c r="D1066" i="23"/>
  <c r="E1066" i="23"/>
  <c r="F1066" i="23"/>
  <c r="C1063" i="23"/>
  <c r="C1060" i="23"/>
  <c r="M1078" i="23"/>
  <c r="M1077" i="23"/>
  <c r="M1076" i="23"/>
  <c r="C1076" i="23"/>
  <c r="I1076" i="23"/>
  <c r="J1076" i="23"/>
  <c r="K1076" i="23"/>
  <c r="M1074" i="23"/>
  <c r="M1073" i="23"/>
  <c r="M1072" i="23"/>
  <c r="M1070" i="23"/>
  <c r="M1069" i="23"/>
  <c r="M1068" i="23"/>
  <c r="C1068" i="23"/>
  <c r="I1068" i="23"/>
  <c r="J1068" i="23"/>
  <c r="K1068" i="23"/>
  <c r="M1067" i="23"/>
  <c r="C1067" i="23"/>
  <c r="I1067" i="23"/>
  <c r="J1067" i="23"/>
  <c r="K1067" i="23"/>
  <c r="H1078" i="23"/>
  <c r="H1077" i="23"/>
  <c r="H1076" i="23"/>
  <c r="H1074" i="23"/>
  <c r="H1073" i="23"/>
  <c r="C1073" i="23"/>
  <c r="D1073" i="23"/>
  <c r="E1073" i="23"/>
  <c r="F1073" i="23"/>
  <c r="H1072" i="23"/>
  <c r="H1070" i="23"/>
  <c r="H1069" i="23"/>
  <c r="H1068" i="23"/>
  <c r="H1067" i="23"/>
  <c r="Q643" i="23"/>
  <c r="C33" i="9"/>
  <c r="H848" i="12"/>
  <c r="H847" i="12"/>
  <c r="N714" i="23"/>
  <c r="O714" i="23"/>
  <c r="P714" i="23"/>
  <c r="H14" i="25"/>
  <c r="H6" i="25"/>
  <c r="S863" i="12"/>
  <c r="S862" i="12"/>
  <c r="S859" i="12"/>
  <c r="S852" i="12"/>
  <c r="S851" i="12"/>
  <c r="S849" i="12"/>
  <c r="S848" i="12"/>
  <c r="S847" i="12"/>
  <c r="S846" i="12"/>
  <c r="S828" i="12"/>
  <c r="S827" i="12"/>
  <c r="S825" i="12"/>
  <c r="S824" i="12"/>
  <c r="S823" i="12"/>
  <c r="S822" i="12"/>
  <c r="S821" i="12"/>
  <c r="S820" i="12"/>
  <c r="S819" i="12"/>
  <c r="S818" i="12"/>
  <c r="S817" i="12"/>
  <c r="S816" i="12"/>
  <c r="S815" i="12"/>
  <c r="S814" i="12"/>
  <c r="S813" i="12"/>
  <c r="S812" i="12"/>
  <c r="S811" i="12"/>
  <c r="S810" i="12"/>
  <c r="S809" i="12"/>
  <c r="S808" i="12"/>
  <c r="S807" i="12"/>
  <c r="S806" i="12"/>
  <c r="S805" i="12"/>
  <c r="S800" i="12"/>
  <c r="S799" i="12"/>
  <c r="S797" i="12"/>
  <c r="S796" i="12"/>
  <c r="S795" i="12"/>
  <c r="S794" i="12"/>
  <c r="S793" i="12"/>
  <c r="S792" i="12"/>
  <c r="S791" i="12"/>
  <c r="S790" i="12"/>
  <c r="S789" i="12"/>
  <c r="S788" i="12"/>
  <c r="S787" i="12"/>
  <c r="S786" i="12"/>
  <c r="S785" i="12"/>
  <c r="S784" i="12"/>
  <c r="S783" i="12"/>
  <c r="S782" i="12"/>
  <c r="S781" i="12"/>
  <c r="S644" i="12"/>
  <c r="S643" i="12"/>
  <c r="S122" i="12"/>
  <c r="S119" i="12"/>
  <c r="O644" i="12"/>
  <c r="O643" i="12"/>
  <c r="K644" i="12"/>
  <c r="K643" i="12"/>
  <c r="C1116" i="23"/>
  <c r="C1113" i="23"/>
  <c r="C1111" i="23"/>
  <c r="C1110" i="23"/>
  <c r="C1095" i="23"/>
  <c r="C1070" i="23"/>
  <c r="C1072" i="23"/>
  <c r="C1069" i="23"/>
  <c r="C1086" i="23"/>
  <c r="C1085" i="23"/>
  <c r="C1084" i="23"/>
  <c r="C1083" i="23"/>
  <c r="C1082" i="23"/>
  <c r="C1081" i="23"/>
  <c r="C1080" i="23"/>
  <c r="C1078" i="23"/>
  <c r="C1077" i="23"/>
  <c r="C1074" i="23"/>
  <c r="Q452" i="9"/>
  <c r="Q453" i="9"/>
  <c r="Q454" i="9"/>
  <c r="Q455" i="9"/>
  <c r="Q456" i="9"/>
  <c r="H1033" i="23"/>
  <c r="H1032" i="23"/>
  <c r="S370" i="9"/>
  <c r="S371" i="9"/>
  <c r="C361" i="9"/>
  <c r="D361" i="9"/>
  <c r="C360" i="9"/>
  <c r="D360" i="9"/>
  <c r="D359" i="9"/>
  <c r="M968" i="23"/>
  <c r="C483" i="9"/>
  <c r="D483" i="9"/>
  <c r="C352" i="9"/>
  <c r="D352" i="9"/>
  <c r="C351" i="9"/>
  <c r="D351" i="9"/>
  <c r="C350" i="9"/>
  <c r="D350" i="9"/>
  <c r="AJ155" i="9"/>
  <c r="AF155" i="9"/>
  <c r="R781" i="23"/>
  <c r="R783" i="23"/>
  <c r="C227" i="9"/>
  <c r="D227" i="9"/>
  <c r="C226" i="9"/>
  <c r="D226" i="9"/>
  <c r="AK304" i="9"/>
  <c r="AJ304" i="9"/>
  <c r="AI304" i="9"/>
  <c r="AH304" i="9"/>
  <c r="U303" i="9"/>
  <c r="D297" i="9"/>
  <c r="E295" i="9"/>
  <c r="O302" i="9"/>
  <c r="P302" i="9"/>
  <c r="Q302" i="9"/>
  <c r="D295" i="9"/>
  <c r="R900" i="23"/>
  <c r="C294" i="9"/>
  <c r="D294" i="9"/>
  <c r="C291" i="9"/>
  <c r="D291" i="9"/>
  <c r="D293" i="9"/>
  <c r="R899" i="23"/>
  <c r="D292" i="9"/>
  <c r="Q860" i="23"/>
  <c r="D296" i="9"/>
  <c r="Q861" i="23"/>
  <c r="C1281" i="23"/>
  <c r="C1252" i="23"/>
  <c r="D1252" i="23"/>
  <c r="C1108" i="23"/>
  <c r="C1106" i="23"/>
  <c r="C1102" i="23"/>
  <c r="C1061" i="23"/>
  <c r="I977" i="23"/>
  <c r="J977" i="23"/>
  <c r="I975" i="23"/>
  <c r="J975" i="23"/>
  <c r="N659" i="12"/>
  <c r="I948" i="23"/>
  <c r="J948" i="23"/>
  <c r="I946" i="23"/>
  <c r="J946" i="23"/>
  <c r="N903" i="23"/>
  <c r="O903" i="23"/>
  <c r="C613" i="23"/>
  <c r="C612" i="23"/>
  <c r="N533" i="23"/>
  <c r="O533" i="23"/>
  <c r="J489" i="23"/>
  <c r="C479" i="23"/>
  <c r="I479" i="23"/>
  <c r="J479" i="23"/>
  <c r="K479" i="23"/>
  <c r="C478" i="23"/>
  <c r="D478" i="23"/>
  <c r="E478" i="23"/>
  <c r="I478" i="23"/>
  <c r="J478" i="23"/>
  <c r="K478" i="23"/>
  <c r="N433" i="23"/>
  <c r="O433" i="23"/>
  <c r="R319" i="12"/>
  <c r="N347" i="23"/>
  <c r="O347" i="23"/>
  <c r="N300" i="23"/>
  <c r="O300" i="23"/>
  <c r="N294" i="23"/>
  <c r="O294" i="23"/>
  <c r="R194" i="12"/>
  <c r="N292" i="23"/>
  <c r="O292" i="23"/>
  <c r="K290" i="23"/>
  <c r="Q190" i="12"/>
  <c r="U859" i="12"/>
  <c r="U852" i="12"/>
  <c r="U851" i="12"/>
  <c r="U848" i="12"/>
  <c r="U847" i="12"/>
  <c r="U846" i="12"/>
  <c r="H838" i="12"/>
  <c r="H804" i="12"/>
  <c r="E132" i="20"/>
  <c r="E126" i="20"/>
  <c r="E125" i="20"/>
  <c r="E119" i="20"/>
  <c r="E99" i="20"/>
  <c r="E84" i="20"/>
  <c r="F1001" i="9"/>
  <c r="S379" i="9"/>
  <c r="S381" i="9"/>
  <c r="S382" i="9"/>
  <c r="S384" i="9"/>
  <c r="S386" i="9"/>
  <c r="C230" i="9"/>
  <c r="D230" i="9"/>
  <c r="R758" i="23"/>
  <c r="N758" i="23"/>
  <c r="O758" i="23"/>
  <c r="R508" i="12"/>
  <c r="C225" i="9"/>
  <c r="D225" i="9"/>
  <c r="C224" i="9"/>
  <c r="D224" i="9"/>
  <c r="C222" i="9"/>
  <c r="D222" i="9"/>
  <c r="D220" i="9"/>
  <c r="R728" i="23"/>
  <c r="D219" i="9"/>
  <c r="C217" i="9"/>
  <c r="D217" i="9"/>
  <c r="C216" i="9"/>
  <c r="D216" i="9"/>
  <c r="C215" i="9"/>
  <c r="D215" i="9"/>
  <c r="E184" i="9"/>
  <c r="O150" i="9"/>
  <c r="R183" i="9"/>
  <c r="O183" i="9"/>
  <c r="E183" i="9"/>
  <c r="R685" i="23"/>
  <c r="N685" i="23"/>
  <c r="O685" i="23"/>
  <c r="K685" i="23"/>
  <c r="E179" i="9"/>
  <c r="S146" i="9"/>
  <c r="R146" i="9"/>
  <c r="C146" i="9"/>
  <c r="D146" i="9"/>
  <c r="S145" i="9"/>
  <c r="Q145" i="9"/>
  <c r="D145" i="9"/>
  <c r="R507" i="23"/>
  <c r="N507" i="23"/>
  <c r="O507" i="23"/>
  <c r="S144" i="9"/>
  <c r="R144" i="9"/>
  <c r="Q144" i="9"/>
  <c r="S142" i="9"/>
  <c r="D142" i="9"/>
  <c r="R503" i="23"/>
  <c r="R141" i="9"/>
  <c r="C141" i="9"/>
  <c r="D141" i="9"/>
  <c r="D140" i="9"/>
  <c r="R467" i="23"/>
  <c r="D139" i="9"/>
  <c r="D136" i="9"/>
  <c r="C100" i="9"/>
  <c r="D100" i="9"/>
  <c r="F95" i="9"/>
  <c r="Q94" i="9"/>
  <c r="F94" i="9"/>
  <c r="C87" i="9"/>
  <c r="D87" i="9"/>
  <c r="C64" i="9"/>
  <c r="D64" i="9"/>
  <c r="C63" i="9"/>
  <c r="D63" i="9"/>
  <c r="H62" i="9"/>
  <c r="C62" i="9"/>
  <c r="D62" i="9"/>
  <c r="C30" i="9"/>
  <c r="C29" i="9"/>
  <c r="J24" i="9"/>
  <c r="J22" i="9"/>
  <c r="C13" i="9"/>
  <c r="K24" i="9"/>
  <c r="C12" i="9"/>
  <c r="C11" i="9"/>
  <c r="E431" i="20"/>
  <c r="E430" i="20"/>
  <c r="E429" i="20"/>
  <c r="E428" i="20"/>
  <c r="E427" i="20"/>
  <c r="E426" i="20"/>
  <c r="E425" i="20"/>
  <c r="E424" i="20"/>
  <c r="E423" i="20"/>
  <c r="E422" i="20"/>
  <c r="E421" i="20"/>
  <c r="E420" i="20"/>
  <c r="E419" i="20"/>
  <c r="E418" i="20"/>
  <c r="E417" i="20"/>
  <c r="E416" i="20"/>
  <c r="E415" i="20"/>
  <c r="E414" i="20"/>
  <c r="E413" i="20"/>
  <c r="E412" i="20"/>
  <c r="E411" i="20"/>
  <c r="E410" i="20"/>
  <c r="E409" i="20"/>
  <c r="E408" i="20"/>
  <c r="E407" i="20"/>
  <c r="E406" i="20"/>
  <c r="E405" i="20"/>
  <c r="E404" i="20"/>
  <c r="E403" i="20"/>
  <c r="E402" i="20"/>
  <c r="E401" i="20"/>
  <c r="E400" i="20"/>
  <c r="E399" i="20"/>
  <c r="E398" i="20"/>
  <c r="E397" i="20"/>
  <c r="E396" i="20"/>
  <c r="E395" i="20"/>
  <c r="E394" i="20"/>
  <c r="E393" i="20"/>
  <c r="E392" i="20"/>
  <c r="E391" i="20"/>
  <c r="E390" i="20"/>
  <c r="E389" i="20"/>
  <c r="E388" i="20"/>
  <c r="E387" i="20"/>
  <c r="E386" i="20"/>
  <c r="E385" i="20"/>
  <c r="E384" i="20"/>
  <c r="E383" i="20"/>
  <c r="E382" i="20"/>
  <c r="E381" i="20"/>
  <c r="E380" i="20"/>
  <c r="E379" i="20"/>
  <c r="E378" i="20"/>
  <c r="E377" i="20"/>
  <c r="E376" i="20"/>
  <c r="E375" i="20"/>
  <c r="E374" i="20"/>
  <c r="E373" i="20"/>
  <c r="E372" i="20"/>
  <c r="E371" i="20"/>
  <c r="E370" i="20"/>
  <c r="E369" i="20"/>
  <c r="E368" i="20"/>
  <c r="E367" i="20"/>
  <c r="E366" i="20"/>
  <c r="E365" i="20"/>
  <c r="E364" i="20"/>
  <c r="E363" i="20"/>
  <c r="E362" i="20"/>
  <c r="E361" i="20"/>
  <c r="E360" i="20"/>
  <c r="E359" i="20"/>
  <c r="E358" i="20"/>
  <c r="E357" i="20"/>
  <c r="E356" i="20"/>
  <c r="E355" i="20"/>
  <c r="E354" i="20"/>
  <c r="E353" i="20"/>
  <c r="E352" i="20"/>
  <c r="E351" i="20"/>
  <c r="E350" i="20"/>
  <c r="E349" i="20"/>
  <c r="E348" i="20"/>
  <c r="E347" i="20"/>
  <c r="E346" i="20"/>
  <c r="E345" i="20"/>
  <c r="E344" i="20"/>
  <c r="E343" i="20"/>
  <c r="E342" i="20"/>
  <c r="E341" i="20"/>
  <c r="E340" i="20"/>
  <c r="E339" i="20"/>
  <c r="E338" i="20"/>
  <c r="E337" i="20"/>
  <c r="E336" i="20"/>
  <c r="E335" i="20"/>
  <c r="E334" i="20"/>
  <c r="E333" i="20"/>
  <c r="E332" i="20"/>
  <c r="E331" i="20"/>
  <c r="E330" i="20"/>
  <c r="E329" i="20"/>
  <c r="E328" i="20"/>
  <c r="E327" i="20"/>
  <c r="E326" i="20"/>
  <c r="E325" i="20"/>
  <c r="E324" i="20"/>
  <c r="E323" i="20"/>
  <c r="E322" i="20"/>
  <c r="E321" i="20"/>
  <c r="E320" i="20"/>
  <c r="E319" i="20"/>
  <c r="E318" i="20"/>
  <c r="E317" i="20"/>
  <c r="E316" i="20"/>
  <c r="E315" i="20"/>
  <c r="E314" i="20"/>
  <c r="E313" i="20"/>
  <c r="E312" i="20"/>
  <c r="E311" i="20"/>
  <c r="E310" i="20"/>
  <c r="E309" i="20"/>
  <c r="E308" i="20"/>
  <c r="E307" i="20"/>
  <c r="E306" i="20"/>
  <c r="E305" i="20"/>
  <c r="E304" i="20"/>
  <c r="E303" i="20"/>
  <c r="E302" i="20"/>
  <c r="E301" i="20"/>
  <c r="E300" i="20"/>
  <c r="E299" i="20"/>
  <c r="E298" i="20"/>
  <c r="E297" i="20"/>
  <c r="E296" i="20"/>
  <c r="E295" i="20"/>
  <c r="E294" i="20"/>
  <c r="E293" i="20"/>
  <c r="E292" i="20"/>
  <c r="E291" i="20"/>
  <c r="E290" i="20"/>
  <c r="E289" i="20"/>
  <c r="E288" i="20"/>
  <c r="E287" i="20"/>
  <c r="E286" i="20"/>
  <c r="E285" i="20"/>
  <c r="E284" i="20"/>
  <c r="E283" i="20"/>
  <c r="E282" i="20"/>
  <c r="E281" i="20"/>
  <c r="E280" i="20"/>
  <c r="E279" i="20"/>
  <c r="E278" i="20"/>
  <c r="E277" i="20"/>
  <c r="E276" i="20"/>
  <c r="E275" i="20"/>
  <c r="E274" i="20"/>
  <c r="E273" i="20"/>
  <c r="E272" i="20"/>
  <c r="E271" i="20"/>
  <c r="E270" i="20"/>
  <c r="E269" i="20"/>
  <c r="E268" i="20"/>
  <c r="E267" i="20"/>
  <c r="E266" i="20"/>
  <c r="E265" i="20"/>
  <c r="E264" i="20"/>
  <c r="E263" i="20"/>
  <c r="E262" i="20"/>
  <c r="E261" i="20"/>
  <c r="E260" i="20"/>
  <c r="E259" i="20"/>
  <c r="E258" i="20"/>
  <c r="E257" i="20"/>
  <c r="E256" i="20"/>
  <c r="E255" i="20"/>
  <c r="E254" i="20"/>
  <c r="E253" i="20"/>
  <c r="E252" i="20"/>
  <c r="E251" i="20"/>
  <c r="E250" i="20"/>
  <c r="E249" i="20"/>
  <c r="E248" i="20"/>
  <c r="E247" i="20"/>
  <c r="E246" i="20"/>
  <c r="E245" i="20"/>
  <c r="E244" i="20"/>
  <c r="E243" i="20"/>
  <c r="E242" i="20"/>
  <c r="E241" i="20"/>
  <c r="E240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E226" i="20"/>
  <c r="E223" i="20"/>
  <c r="E222" i="20"/>
  <c r="E221" i="20"/>
  <c r="E220" i="20"/>
  <c r="E219" i="20"/>
  <c r="E218" i="20"/>
  <c r="E217" i="20"/>
  <c r="E216" i="20"/>
  <c r="E213" i="20"/>
  <c r="E212" i="20"/>
  <c r="E211" i="20"/>
  <c r="E210" i="20"/>
  <c r="E209" i="20"/>
  <c r="E208" i="20"/>
  <c r="E207" i="20"/>
  <c r="E206" i="20"/>
  <c r="E205" i="20"/>
  <c r="E204" i="20"/>
  <c r="E203" i="20"/>
  <c r="E202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4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1" i="20"/>
  <c r="E130" i="20"/>
  <c r="E129" i="20"/>
  <c r="E128" i="20"/>
  <c r="E127" i="20"/>
  <c r="E124" i="20"/>
  <c r="E123" i="20"/>
  <c r="E122" i="20"/>
  <c r="E121" i="20"/>
  <c r="E120" i="20"/>
  <c r="E118" i="20"/>
  <c r="E117" i="20"/>
  <c r="E116" i="20"/>
  <c r="E115" i="20"/>
  <c r="E114" i="20"/>
  <c r="E113" i="20"/>
  <c r="E112" i="20"/>
  <c r="E111" i="20"/>
  <c r="E110" i="20"/>
  <c r="E109" i="20"/>
  <c r="E108" i="20"/>
  <c r="E106" i="20"/>
  <c r="E105" i="20"/>
  <c r="E104" i="20"/>
  <c r="E103" i="20"/>
  <c r="E100" i="20"/>
  <c r="E95" i="20"/>
  <c r="E94" i="20"/>
  <c r="E93" i="20"/>
  <c r="E92" i="20"/>
  <c r="E91" i="20"/>
  <c r="E88" i="20"/>
  <c r="E87" i="20"/>
  <c r="E200" i="20"/>
  <c r="E224" i="20"/>
  <c r="E215" i="20"/>
  <c r="E199" i="20"/>
  <c r="E163" i="20"/>
  <c r="E201" i="20"/>
  <c r="E214" i="20"/>
  <c r="E165" i="20"/>
  <c r="E225" i="20"/>
  <c r="D221" i="9"/>
  <c r="E98" i="20"/>
  <c r="E102" i="20"/>
  <c r="L136" i="9"/>
  <c r="D137" i="9"/>
  <c r="D94" i="9"/>
  <c r="R364" i="23"/>
  <c r="D229" i="9"/>
  <c r="R736" i="23"/>
  <c r="D20" i="9"/>
  <c r="E101" i="20"/>
  <c r="E107" i="20"/>
  <c r="D143" i="9"/>
  <c r="R504" i="23"/>
  <c r="N504" i="23"/>
  <c r="O504" i="23"/>
  <c r="R362" i="12"/>
  <c r="D144" i="9"/>
  <c r="Q531" i="23"/>
  <c r="D213" i="9"/>
  <c r="Q705" i="23"/>
  <c r="D95" i="9"/>
  <c r="R365" i="23"/>
  <c r="E185" i="9"/>
  <c r="R684" i="23"/>
  <c r="N684" i="23"/>
  <c r="O684" i="23"/>
  <c r="D214" i="9"/>
  <c r="Q706" i="23"/>
  <c r="D223" i="9"/>
  <c r="Q779" i="23"/>
  <c r="E96" i="20"/>
  <c r="E97" i="20"/>
  <c r="N383" i="23"/>
  <c r="O383" i="23"/>
  <c r="N946" i="23"/>
  <c r="O946" i="23"/>
  <c r="R630" i="12"/>
  <c r="N430" i="23"/>
  <c r="O430" i="23"/>
  <c r="R316" i="12"/>
  <c r="N379" i="23"/>
  <c r="O379" i="23"/>
  <c r="R274" i="12"/>
  <c r="N432" i="23"/>
  <c r="O432" i="23"/>
  <c r="J488" i="23"/>
  <c r="K488" i="23"/>
  <c r="N551" i="23"/>
  <c r="O551" i="23"/>
  <c r="N296" i="23"/>
  <c r="O296" i="23"/>
  <c r="R196" i="12"/>
  <c r="D479" i="23"/>
  <c r="E479" i="23"/>
  <c r="F479" i="23"/>
  <c r="N536" i="23"/>
  <c r="O536" i="23"/>
  <c r="N948" i="23"/>
  <c r="O948" i="23"/>
  <c r="R632" i="12"/>
  <c r="N977" i="23"/>
  <c r="O977" i="23"/>
  <c r="N497" i="23"/>
  <c r="O497" i="23"/>
  <c r="R357" i="12"/>
  <c r="N457" i="23"/>
  <c r="O457" i="23"/>
  <c r="R339" i="12"/>
  <c r="N502" i="23"/>
  <c r="O502" i="23"/>
  <c r="N290" i="23"/>
  <c r="O290" i="23"/>
  <c r="N652" i="23"/>
  <c r="O652" i="23"/>
  <c r="N431" i="23"/>
  <c r="O431" i="23"/>
  <c r="N642" i="23"/>
  <c r="O642" i="23"/>
  <c r="P642" i="23"/>
  <c r="U434" i="12"/>
  <c r="R434" i="12"/>
  <c r="N489" i="23"/>
  <c r="O489" i="23"/>
  <c r="P489" i="23"/>
  <c r="N535" i="23"/>
  <c r="O535" i="23"/>
  <c r="N540" i="23"/>
  <c r="O540" i="23"/>
  <c r="N755" i="23"/>
  <c r="O755" i="23"/>
  <c r="P755" i="23"/>
  <c r="U505" i="12"/>
  <c r="R505" i="12"/>
  <c r="U627" i="12"/>
  <c r="N291" i="23"/>
  <c r="O291" i="23"/>
  <c r="N295" i="23"/>
  <c r="O295" i="23"/>
  <c r="N297" i="23"/>
  <c r="O297" i="23"/>
  <c r="N316" i="23"/>
  <c r="O316" i="23"/>
  <c r="P316" i="23"/>
  <c r="U216" i="12"/>
  <c r="R216" i="12"/>
  <c r="N488" i="23"/>
  <c r="O488" i="23"/>
  <c r="P488" i="23"/>
  <c r="K941" i="23"/>
  <c r="Q625" i="12"/>
  <c r="N756" i="23"/>
  <c r="O756" i="23"/>
  <c r="N1046" i="23"/>
  <c r="O1046" i="23"/>
  <c r="N1282" i="23"/>
  <c r="O1282" i="23"/>
  <c r="P1305" i="23"/>
  <c r="U784" i="12"/>
  <c r="I1252" i="23"/>
  <c r="N1285" i="23"/>
  <c r="O1285" i="23"/>
  <c r="P1308" i="23"/>
  <c r="U787" i="12"/>
  <c r="H852" i="12"/>
  <c r="H859" i="12"/>
  <c r="H851" i="12"/>
  <c r="H846" i="12"/>
  <c r="K12" i="9"/>
  <c r="P183" i="9"/>
  <c r="D12" i="9"/>
  <c r="K23" i="9"/>
  <c r="R362" i="23"/>
  <c r="R500" i="23"/>
  <c r="X20" i="21"/>
  <c r="K972" i="23"/>
  <c r="Q656" i="12"/>
  <c r="P296" i="23"/>
  <c r="U196" i="12"/>
  <c r="P946" i="23"/>
  <c r="U630" i="12"/>
  <c r="F972" i="23"/>
  <c r="M656" i="12"/>
  <c r="U626" i="12"/>
  <c r="U622" i="12"/>
  <c r="P430" i="23"/>
  <c r="U316" i="12"/>
  <c r="P973" i="23"/>
  <c r="U657" i="12"/>
  <c r="P200" i="23"/>
  <c r="U144" i="12"/>
  <c r="P948" i="23"/>
  <c r="U632" i="12"/>
  <c r="P379" i="23"/>
  <c r="U274" i="12"/>
  <c r="K937" i="23"/>
  <c r="Q621" i="12"/>
  <c r="P457" i="23"/>
  <c r="U339" i="12"/>
  <c r="R494" i="23"/>
  <c r="N494" i="23"/>
  <c r="O494" i="23"/>
  <c r="R496" i="23"/>
  <c r="R495" i="23"/>
  <c r="N495" i="23"/>
  <c r="O495" i="23"/>
  <c r="W20" i="21"/>
  <c r="R499" i="23"/>
  <c r="N499" i="23"/>
  <c r="D76" i="9"/>
  <c r="K78" i="9"/>
  <c r="K68" i="9"/>
  <c r="K73" i="9"/>
  <c r="R555" i="23"/>
  <c r="N555" i="23"/>
  <c r="O555" i="23"/>
  <c r="R406" i="12"/>
  <c r="H1090" i="23"/>
  <c r="H1089" i="23"/>
  <c r="H1084" i="23"/>
  <c r="D1084" i="23"/>
  <c r="E1084" i="23"/>
  <c r="F1084" i="23"/>
  <c r="H1082" i="23"/>
  <c r="D1082" i="23"/>
  <c r="E1082" i="23"/>
  <c r="F1082" i="23"/>
  <c r="R1075" i="23"/>
  <c r="N1075" i="23"/>
  <c r="O1075" i="23"/>
  <c r="P1075" i="23"/>
  <c r="H1083" i="23"/>
  <c r="D1083" i="23"/>
  <c r="E1083" i="23"/>
  <c r="F1083" i="23"/>
  <c r="H1081" i="23"/>
  <c r="D1081" i="23"/>
  <c r="E1081" i="23"/>
  <c r="F1081" i="23"/>
  <c r="H1080" i="23"/>
  <c r="D1080" i="23"/>
  <c r="R1071" i="23"/>
  <c r="N1071" i="23"/>
  <c r="O1071" i="23"/>
  <c r="P1071" i="23"/>
  <c r="R360" i="23"/>
  <c r="R1084" i="23"/>
  <c r="N1084" i="23"/>
  <c r="O1084" i="23"/>
  <c r="P1084" i="23"/>
  <c r="R1083" i="23"/>
  <c r="N1083" i="23"/>
  <c r="O1083" i="23"/>
  <c r="P1083" i="23"/>
  <c r="M1082" i="23"/>
  <c r="I1082" i="23"/>
  <c r="J1082" i="23"/>
  <c r="K1082" i="23"/>
  <c r="R1081" i="23"/>
  <c r="M1083" i="23"/>
  <c r="I1083" i="23"/>
  <c r="J1083" i="23"/>
  <c r="K1083" i="23"/>
  <c r="M1084" i="23"/>
  <c r="I1084" i="23"/>
  <c r="J1084" i="23"/>
  <c r="M1081" i="23"/>
  <c r="I1081" i="23"/>
  <c r="J1081" i="23"/>
  <c r="H1086" i="23"/>
  <c r="D1086" i="23"/>
  <c r="E1086" i="23"/>
  <c r="F1086" i="23"/>
  <c r="H1085" i="23"/>
  <c r="D1085" i="23"/>
  <c r="E1085" i="23"/>
  <c r="F1085" i="23"/>
  <c r="H1088" i="23"/>
  <c r="D1088" i="23"/>
  <c r="F1005" i="9"/>
  <c r="R1082" i="23"/>
  <c r="N1082" i="23"/>
  <c r="O1082" i="23"/>
  <c r="P1082" i="23"/>
  <c r="M1080" i="23"/>
  <c r="I1080" i="23"/>
  <c r="R1085" i="23"/>
  <c r="N1085" i="23"/>
  <c r="O1085" i="23"/>
  <c r="M1085" i="23"/>
  <c r="I1085" i="23"/>
  <c r="J1085" i="23"/>
  <c r="R1086" i="23"/>
  <c r="N1086" i="23"/>
  <c r="O1086" i="23"/>
  <c r="P1086" i="23"/>
  <c r="M1086" i="23"/>
  <c r="I1086" i="23"/>
  <c r="J1086" i="23"/>
  <c r="K1086" i="23"/>
  <c r="R1080" i="23"/>
  <c r="N1080" i="23"/>
  <c r="R1066" i="23"/>
  <c r="R1073" i="23"/>
  <c r="N1073" i="23"/>
  <c r="O1073" i="23"/>
  <c r="R1070" i="23"/>
  <c r="R1076" i="23"/>
  <c r="R1074" i="23"/>
  <c r="N1074" i="23"/>
  <c r="O1074" i="23"/>
  <c r="P1074" i="23"/>
  <c r="R1069" i="23"/>
  <c r="R1072" i="23"/>
  <c r="N1072" i="23"/>
  <c r="O1072" i="23"/>
  <c r="P1072" i="23"/>
  <c r="R1067" i="23"/>
  <c r="N1067" i="23"/>
  <c r="O1067" i="23"/>
  <c r="R1078" i="23"/>
  <c r="R1077" i="23"/>
  <c r="R1068" i="23"/>
  <c r="N1068" i="23"/>
  <c r="O1068" i="23"/>
  <c r="AH208" i="9"/>
  <c r="AF208" i="9"/>
  <c r="AJ208" i="9"/>
  <c r="AF304" i="9"/>
  <c r="AG304" i="9"/>
  <c r="C1280" i="23"/>
  <c r="N1279" i="23"/>
  <c r="O1279" i="23"/>
  <c r="R758" i="12"/>
  <c r="H1031" i="23"/>
  <c r="R516" i="23"/>
  <c r="N516" i="23"/>
  <c r="O516" i="23"/>
  <c r="D1164" i="23"/>
  <c r="E1164" i="23"/>
  <c r="F1164" i="23"/>
  <c r="P834" i="23"/>
  <c r="U554" i="12"/>
  <c r="O834" i="23"/>
  <c r="R554" i="12"/>
  <c r="K680" i="23"/>
  <c r="F680" i="23"/>
  <c r="C10" i="25"/>
  <c r="C599" i="25"/>
  <c r="D1098" i="23"/>
  <c r="E1098" i="23"/>
  <c r="J718" i="12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1" i="21"/>
  <c r="X25" i="21"/>
  <c r="X26" i="21"/>
  <c r="X27" i="21"/>
  <c r="X28" i="21"/>
  <c r="X29" i="21"/>
  <c r="X30" i="21"/>
  <c r="X31" i="21"/>
  <c r="X32" i="21"/>
  <c r="X24" i="21"/>
  <c r="X34" i="21"/>
  <c r="X35" i="21"/>
  <c r="X36" i="21"/>
  <c r="X33" i="21"/>
  <c r="X5" i="21"/>
  <c r="H1096" i="23"/>
  <c r="H1101" i="23"/>
  <c r="D1101" i="23"/>
  <c r="E1101" i="23"/>
  <c r="J721" i="12"/>
  <c r="C537" i="25"/>
  <c r="C444" i="25"/>
  <c r="C66" i="25"/>
  <c r="C304" i="25"/>
  <c r="C166" i="25"/>
  <c r="C301" i="25"/>
  <c r="C394" i="25"/>
  <c r="C159" i="25"/>
  <c r="C892" i="25"/>
  <c r="C577" i="25"/>
  <c r="C154" i="25"/>
  <c r="C325" i="25"/>
  <c r="C406" i="25"/>
  <c r="C904" i="25"/>
  <c r="C313" i="25"/>
  <c r="C961" i="25"/>
  <c r="C61" i="25"/>
  <c r="C274" i="25"/>
  <c r="C327" i="25"/>
  <c r="C913" i="25"/>
  <c r="C462" i="25"/>
  <c r="C661" i="25"/>
  <c r="C574" i="25"/>
  <c r="C339" i="25"/>
  <c r="C405" i="25"/>
  <c r="C293" i="25"/>
  <c r="C467" i="25"/>
  <c r="C24" i="25"/>
  <c r="C886" i="25"/>
  <c r="C651" i="25"/>
  <c r="C237" i="25"/>
  <c r="C605" i="25"/>
  <c r="C779" i="25"/>
  <c r="N298" i="23"/>
  <c r="O298" i="23"/>
  <c r="R198" i="12"/>
  <c r="C329" i="25"/>
  <c r="AE294" i="9"/>
  <c r="R880" i="23"/>
  <c r="N880" i="23"/>
  <c r="AE295" i="9"/>
  <c r="R881" i="23"/>
  <c r="N881" i="23"/>
  <c r="AE296" i="9"/>
  <c r="R882" i="23"/>
  <c r="N882" i="23"/>
  <c r="AE297" i="9"/>
  <c r="R883" i="23"/>
  <c r="N883" i="23"/>
  <c r="AE316" i="9"/>
  <c r="R884" i="23"/>
  <c r="N884" i="23"/>
  <c r="AE317" i="9"/>
  <c r="AE332" i="9"/>
  <c r="R885" i="23"/>
  <c r="N885" i="23"/>
  <c r="O879" i="23"/>
  <c r="R576" i="12"/>
  <c r="R893" i="23"/>
  <c r="N893" i="23"/>
  <c r="O893" i="23"/>
  <c r="R580" i="12"/>
  <c r="C62" i="25"/>
  <c r="C807" i="25"/>
  <c r="R661" i="12"/>
  <c r="C527" i="25"/>
  <c r="C465" i="25"/>
  <c r="C372" i="25"/>
  <c r="C9" i="25"/>
  <c r="C518" i="25"/>
  <c r="C357" i="25"/>
  <c r="C677" i="25"/>
  <c r="C851" i="25"/>
  <c r="C401" i="25"/>
  <c r="C98" i="25"/>
  <c r="C987" i="25"/>
  <c r="C727" i="25"/>
  <c r="C125" i="25"/>
  <c r="C299" i="25"/>
  <c r="C294" i="25"/>
  <c r="C269" i="25"/>
  <c r="C688" i="25"/>
  <c r="C285" i="25"/>
  <c r="C224" i="25"/>
  <c r="C976" i="25"/>
  <c r="C80" i="25"/>
  <c r="C731" i="25"/>
  <c r="C391" i="25"/>
  <c r="C639" i="25"/>
  <c r="C298" i="25"/>
  <c r="C763" i="25"/>
  <c r="C704" i="25"/>
  <c r="C542" i="25"/>
  <c r="C356" i="25"/>
  <c r="C908" i="25"/>
  <c r="C759" i="25"/>
  <c r="C46" i="25"/>
  <c r="C912" i="25"/>
  <c r="C176" i="25"/>
  <c r="C240" i="25"/>
  <c r="C642" i="25"/>
  <c r="C842" i="25"/>
  <c r="C592" i="25"/>
  <c r="C768" i="25"/>
  <c r="C59" i="25"/>
  <c r="C877" i="25"/>
  <c r="C682" i="25"/>
  <c r="C447" i="25"/>
  <c r="C187" i="25"/>
  <c r="C816" i="25"/>
  <c r="C83" i="25"/>
  <c r="C901" i="25"/>
  <c r="AE163" i="9"/>
  <c r="AK163" i="9"/>
  <c r="AE164" i="9"/>
  <c r="AK164" i="9"/>
  <c r="R645" i="23"/>
  <c r="N645" i="23"/>
  <c r="AE165" i="9"/>
  <c r="AK165" i="9"/>
  <c r="R646" i="23"/>
  <c r="N646" i="23"/>
  <c r="AE166" i="9"/>
  <c r="AK166" i="9"/>
  <c r="R647" i="23"/>
  <c r="N647" i="23"/>
  <c r="AE167" i="9"/>
  <c r="AK167" i="9"/>
  <c r="R648" i="23"/>
  <c r="N648" i="23"/>
  <c r="O644" i="23"/>
  <c r="R436" i="12"/>
  <c r="C694" i="25"/>
  <c r="C459" i="25"/>
  <c r="C199" i="25"/>
  <c r="C183" i="25"/>
  <c r="C889" i="25"/>
  <c r="C342" i="25"/>
  <c r="C637" i="25"/>
  <c r="C562" i="25"/>
  <c r="C261" i="25"/>
  <c r="C245" i="25"/>
  <c r="C419" i="25"/>
  <c r="C971" i="25"/>
  <c r="C862" i="25"/>
  <c r="C627" i="25"/>
  <c r="C669" i="25"/>
  <c r="C869" i="25"/>
  <c r="C456" i="25"/>
  <c r="C593" i="25"/>
  <c r="C194" i="25"/>
  <c r="C939" i="25"/>
  <c r="C191" i="25"/>
  <c r="C57" i="25"/>
  <c r="C41" i="25"/>
  <c r="C905" i="25"/>
  <c r="C100" i="25"/>
  <c r="AA148" i="9"/>
  <c r="E153" i="9"/>
  <c r="R573" i="23"/>
  <c r="AA224" i="9"/>
  <c r="E238" i="9"/>
  <c r="R574" i="23"/>
  <c r="R576" i="23"/>
  <c r="R615" i="23"/>
  <c r="N615" i="23"/>
  <c r="O615" i="23"/>
  <c r="R613" i="23"/>
  <c r="R616" i="23"/>
  <c r="N616" i="23"/>
  <c r="O616" i="23"/>
  <c r="O614" i="23"/>
  <c r="R421" i="12"/>
  <c r="C744" i="25"/>
  <c r="C212" i="25"/>
  <c r="C949" i="25"/>
  <c r="C570" i="25"/>
  <c r="C806" i="25"/>
  <c r="C263" i="25"/>
  <c r="C201" i="25"/>
  <c r="C108" i="25"/>
  <c r="C984" i="25"/>
  <c r="N293" i="23"/>
  <c r="O293" i="23"/>
  <c r="R193" i="12"/>
  <c r="C386" i="25"/>
  <c r="C280" i="25"/>
  <c r="C381" i="25"/>
  <c r="C701" i="25"/>
  <c r="C875" i="25"/>
  <c r="C425" i="25"/>
  <c r="C443" i="25"/>
  <c r="C175" i="25"/>
  <c r="C834" i="25"/>
  <c r="C924" i="25"/>
  <c r="C379" i="25"/>
  <c r="C470" i="25"/>
  <c r="C762" i="25"/>
  <c r="C739" i="25"/>
  <c r="C403" i="25"/>
  <c r="C506" i="25"/>
  <c r="C344" i="25"/>
  <c r="C740" i="25"/>
  <c r="C711" i="25"/>
  <c r="C668" i="25"/>
  <c r="C649" i="25"/>
  <c r="C508" i="25"/>
  <c r="C469" i="25"/>
  <c r="C463" i="25"/>
  <c r="E235" i="9"/>
  <c r="R777" i="23"/>
  <c r="Q777" i="23"/>
  <c r="N777" i="23"/>
  <c r="O777" i="23"/>
  <c r="AA153" i="9"/>
  <c r="E156" i="9"/>
  <c r="R778" i="23"/>
  <c r="Q778" i="23"/>
  <c r="N778" i="23"/>
  <c r="O778" i="23"/>
  <c r="O776" i="23"/>
  <c r="R521" i="12"/>
  <c r="C868" i="25"/>
  <c r="C586" i="25"/>
  <c r="C835" i="25"/>
  <c r="C652" i="25"/>
  <c r="C794" i="25"/>
  <c r="C416" i="25"/>
  <c r="AE310" i="9"/>
  <c r="AE325" i="9"/>
  <c r="AE311" i="9"/>
  <c r="AE326" i="9"/>
  <c r="R891" i="23"/>
  <c r="N891" i="23"/>
  <c r="O891" i="23"/>
  <c r="R835" i="12"/>
  <c r="C428" i="25"/>
  <c r="C118" i="25"/>
  <c r="C69" i="25"/>
  <c r="C241" i="25"/>
  <c r="C6" i="25"/>
  <c r="C930" i="25"/>
  <c r="C986" i="25"/>
  <c r="C189" i="25"/>
  <c r="C347" i="25"/>
  <c r="C558" i="25"/>
  <c r="C826" i="25"/>
  <c r="M1283" i="23"/>
  <c r="I1283" i="23"/>
  <c r="J1283" i="23"/>
  <c r="N762" i="12"/>
  <c r="M1284" i="23"/>
  <c r="I1284" i="23"/>
  <c r="J1284" i="23"/>
  <c r="N763" i="12"/>
  <c r="C591" i="25"/>
  <c r="C165" i="25"/>
  <c r="C197" i="25"/>
  <c r="C371" i="25"/>
  <c r="N511" i="23"/>
  <c r="O511" i="23"/>
  <c r="R366" i="12"/>
  <c r="C654" i="25"/>
  <c r="C838" i="25"/>
  <c r="C603" i="25"/>
  <c r="C343" i="25"/>
  <c r="C471" i="25"/>
  <c r="C864" i="25"/>
  <c r="C107" i="25"/>
  <c r="C925" i="25"/>
  <c r="C706" i="25"/>
  <c r="C909" i="25"/>
  <c r="C533" i="25"/>
  <c r="C707" i="25"/>
  <c r="C257" i="25"/>
  <c r="C26" i="25"/>
  <c r="C167" i="25"/>
  <c r="C992" i="25"/>
  <c r="C22" i="25"/>
  <c r="R707" i="23"/>
  <c r="N707" i="23"/>
  <c r="O707" i="23"/>
  <c r="R475" i="12"/>
  <c r="R476" i="12"/>
  <c r="R709" i="23"/>
  <c r="N709" i="23"/>
  <c r="O709" i="23"/>
  <c r="R477" i="12"/>
  <c r="C881" i="25"/>
  <c r="C338" i="25"/>
  <c r="R894" i="23"/>
  <c r="N894" i="23"/>
  <c r="O894" i="23"/>
  <c r="R581" i="12"/>
  <c r="C88" i="25"/>
  <c r="C479" i="25"/>
  <c r="C417" i="25"/>
  <c r="C324" i="25"/>
  <c r="C606" i="25"/>
  <c r="C494" i="25"/>
  <c r="C244" i="25"/>
  <c r="C169" i="25"/>
  <c r="R902" i="23"/>
  <c r="N902" i="23"/>
  <c r="O902" i="23"/>
  <c r="R586" i="12"/>
  <c r="C68" i="25"/>
  <c r="C846" i="25"/>
  <c r="C858" i="25"/>
  <c r="C950" i="25"/>
  <c r="C551" i="25"/>
  <c r="C489" i="25"/>
  <c r="C396" i="25"/>
  <c r="C25" i="25"/>
  <c r="C530" i="25"/>
  <c r="C424" i="25"/>
  <c r="C11" i="25"/>
  <c r="C72" i="25"/>
  <c r="C534" i="25"/>
  <c r="C713" i="25"/>
  <c r="C852" i="25"/>
  <c r="C367" i="25"/>
  <c r="C63" i="25"/>
  <c r="C65" i="25"/>
  <c r="C547" i="25"/>
  <c r="C76" i="25"/>
  <c r="C802" i="25"/>
  <c r="C907" i="25"/>
  <c r="C99" i="25"/>
  <c r="C500" i="25"/>
  <c r="C741" i="25"/>
  <c r="C124" i="25"/>
  <c r="C824" i="25"/>
  <c r="C798" i="25"/>
  <c r="R754" i="23"/>
  <c r="N754" i="23"/>
  <c r="O754" i="23"/>
  <c r="R504" i="12"/>
  <c r="R506" i="12"/>
  <c r="C832" i="25"/>
  <c r="C110" i="25"/>
  <c r="C929" i="25"/>
  <c r="C643" i="25"/>
  <c r="C655" i="25"/>
  <c r="E107" i="9"/>
  <c r="E108" i="9"/>
  <c r="E109" i="9"/>
  <c r="E110" i="9"/>
  <c r="E111" i="9"/>
  <c r="E112" i="9"/>
  <c r="E113" i="9"/>
  <c r="E115" i="9"/>
  <c r="R434" i="23"/>
  <c r="N434" i="23"/>
  <c r="O434" i="23"/>
  <c r="R320" i="12"/>
  <c r="R435" i="23"/>
  <c r="N435" i="23"/>
  <c r="O435" i="23"/>
  <c r="R321" i="12"/>
  <c r="R436" i="23"/>
  <c r="N436" i="23"/>
  <c r="O436" i="23"/>
  <c r="R322" i="12"/>
  <c r="AE108" i="9"/>
  <c r="AE111" i="9"/>
  <c r="R438" i="23"/>
  <c r="N438" i="23"/>
  <c r="AE109" i="9"/>
  <c r="AE110" i="9"/>
  <c r="R439" i="23"/>
  <c r="N439" i="23"/>
  <c r="AE106" i="9"/>
  <c r="R440" i="23"/>
  <c r="N440" i="23"/>
  <c r="R441" i="23"/>
  <c r="N441" i="23"/>
  <c r="O437" i="23"/>
  <c r="R323" i="12"/>
  <c r="C182" i="25"/>
  <c r="C991" i="25"/>
  <c r="C940" i="25"/>
  <c r="C387" i="25"/>
  <c r="C572" i="25"/>
  <c r="C818" i="25"/>
  <c r="C656" i="25"/>
  <c r="C484" i="25"/>
  <c r="C141" i="25"/>
  <c r="C529" i="25"/>
  <c r="C178" i="25"/>
  <c r="C277" i="25"/>
  <c r="C382" i="25"/>
  <c r="C147" i="25"/>
  <c r="C813" i="25"/>
  <c r="C461" i="25"/>
  <c r="C635" i="25"/>
  <c r="C185" i="25"/>
  <c r="C970" i="25"/>
  <c r="C735" i="25"/>
  <c r="C837" i="25"/>
  <c r="C485" i="25"/>
  <c r="C659" i="25"/>
  <c r="C209" i="25"/>
  <c r="C982" i="25"/>
  <c r="C747" i="25"/>
  <c r="C487" i="25"/>
  <c r="C213" i="25"/>
  <c r="C221" i="25"/>
  <c r="C395" i="25"/>
  <c r="C750" i="25"/>
  <c r="R768" i="23"/>
  <c r="N768" i="23"/>
  <c r="O768" i="23"/>
  <c r="R518" i="12"/>
  <c r="C850" i="25"/>
  <c r="C821" i="25"/>
  <c r="C32" i="25"/>
  <c r="C545" i="25"/>
  <c r="C170" i="25"/>
  <c r="C915" i="25"/>
  <c r="C455" i="25"/>
  <c r="C393" i="25"/>
  <c r="C300" i="25"/>
  <c r="C486" i="25"/>
  <c r="C482" i="25"/>
  <c r="R317" i="12"/>
  <c r="R318" i="12"/>
  <c r="C232" i="25"/>
  <c r="C767" i="25"/>
  <c r="C705" i="25"/>
  <c r="C612" i="25"/>
  <c r="C234" i="25"/>
  <c r="C638" i="25"/>
  <c r="C388" i="25"/>
  <c r="C457" i="25"/>
  <c r="C214" i="25"/>
  <c r="C205" i="25"/>
  <c r="C346" i="25"/>
  <c r="C111" i="25"/>
  <c r="C839" i="25"/>
  <c r="R464" i="23"/>
  <c r="N464" i="23"/>
  <c r="O464" i="23"/>
  <c r="R343" i="12"/>
  <c r="R465" i="23"/>
  <c r="N465" i="23"/>
  <c r="O465" i="23"/>
  <c r="R344" i="12"/>
  <c r="R466" i="23"/>
  <c r="N466" i="23"/>
  <c r="O466" i="23"/>
  <c r="R345" i="12"/>
  <c r="AA155" i="9"/>
  <c r="E158" i="9"/>
  <c r="R530" i="23"/>
  <c r="N530" i="23"/>
  <c r="O530" i="23"/>
  <c r="R381" i="12"/>
  <c r="R37" i="23"/>
  <c r="N37" i="23"/>
  <c r="O37" i="23"/>
  <c r="R27" i="12"/>
  <c r="N38" i="23"/>
  <c r="O38" i="23"/>
  <c r="R28" i="12"/>
  <c r="R39" i="23"/>
  <c r="N39" i="23"/>
  <c r="O39" i="23"/>
  <c r="R29" i="12"/>
  <c r="R30" i="12"/>
  <c r="R14" i="12"/>
  <c r="R84" i="12"/>
  <c r="R112" i="23"/>
  <c r="N112" i="23"/>
  <c r="O112" i="23"/>
  <c r="R113" i="23"/>
  <c r="N113" i="23"/>
  <c r="O113" i="23"/>
  <c r="O111" i="23"/>
  <c r="R85" i="12"/>
  <c r="R44" i="12"/>
  <c r="R130" i="23"/>
  <c r="N130" i="23"/>
  <c r="O130" i="23"/>
  <c r="R102" i="12"/>
  <c r="R131" i="23"/>
  <c r="N131" i="23"/>
  <c r="O131" i="23"/>
  <c r="R103" i="12"/>
  <c r="R132" i="23"/>
  <c r="N132" i="23"/>
  <c r="O132" i="23"/>
  <c r="R104" i="12"/>
  <c r="R133" i="23"/>
  <c r="N133" i="23"/>
  <c r="O133" i="23"/>
  <c r="R105" i="12"/>
  <c r="R136" i="23"/>
  <c r="N136" i="23"/>
  <c r="O136" i="23"/>
  <c r="R108" i="12"/>
  <c r="R137" i="23"/>
  <c r="N137" i="23"/>
  <c r="O137" i="23"/>
  <c r="R109" i="12"/>
  <c r="R138" i="23"/>
  <c r="N138" i="23"/>
  <c r="O138" i="23"/>
  <c r="R110" i="12"/>
  <c r="R139" i="23"/>
  <c r="N139" i="23"/>
  <c r="O139" i="23"/>
  <c r="R111" i="12"/>
  <c r="R140" i="23"/>
  <c r="N140" i="23"/>
  <c r="O140" i="23"/>
  <c r="R112" i="12"/>
  <c r="R143" i="23"/>
  <c r="N143" i="23"/>
  <c r="O143" i="23"/>
  <c r="R115" i="12"/>
  <c r="R144" i="23"/>
  <c r="N144" i="23"/>
  <c r="O144" i="23"/>
  <c r="R116" i="12"/>
  <c r="R145" i="23"/>
  <c r="N145" i="23"/>
  <c r="O145" i="23"/>
  <c r="R117" i="12"/>
  <c r="O146" i="23"/>
  <c r="R118" i="12"/>
  <c r="R101" i="12"/>
  <c r="R206" i="23"/>
  <c r="N206" i="23"/>
  <c r="O206" i="23"/>
  <c r="R150" i="12"/>
  <c r="R151" i="12"/>
  <c r="R208" i="23"/>
  <c r="N208" i="23"/>
  <c r="O208" i="23"/>
  <c r="R152" i="12"/>
  <c r="R126" i="12"/>
  <c r="R40" i="12"/>
  <c r="R39" i="12"/>
  <c r="R13" i="12"/>
  <c r="R96" i="12"/>
  <c r="R95" i="12"/>
  <c r="R43" i="12"/>
  <c r="R12" i="12"/>
  <c r="R121" i="12"/>
  <c r="R120" i="12"/>
  <c r="R100" i="12"/>
  <c r="R99" i="12"/>
  <c r="R162" i="12"/>
  <c r="R161" i="12"/>
  <c r="R125" i="12"/>
  <c r="R124" i="12"/>
  <c r="R185" i="12"/>
  <c r="R286" i="23"/>
  <c r="N286" i="23"/>
  <c r="O286" i="23"/>
  <c r="R186" i="12"/>
  <c r="N289" i="23"/>
  <c r="O289" i="23"/>
  <c r="R189" i="12"/>
  <c r="R190" i="12"/>
  <c r="R191" i="12"/>
  <c r="R192" i="12"/>
  <c r="R195" i="12"/>
  <c r="R197" i="12"/>
  <c r="N299" i="23"/>
  <c r="O299" i="23"/>
  <c r="R199" i="12"/>
  <c r="R200" i="12"/>
  <c r="R167" i="12"/>
  <c r="R210" i="12"/>
  <c r="R209" i="12"/>
  <c r="R166" i="12"/>
  <c r="R317" i="23"/>
  <c r="N317" i="23"/>
  <c r="O317" i="23"/>
  <c r="R217" i="12"/>
  <c r="R218" i="12"/>
  <c r="R219" i="12"/>
  <c r="R220" i="12"/>
  <c r="R221" i="12"/>
  <c r="R322" i="23"/>
  <c r="N322" i="23"/>
  <c r="O322" i="23"/>
  <c r="R222" i="12"/>
  <c r="R323" i="23"/>
  <c r="N323" i="23"/>
  <c r="O323" i="23"/>
  <c r="R223" i="12"/>
  <c r="R324" i="23"/>
  <c r="N324" i="23"/>
  <c r="O324" i="23"/>
  <c r="R224" i="12"/>
  <c r="R325" i="23"/>
  <c r="Q325" i="23"/>
  <c r="N325" i="23"/>
  <c r="O325" i="23"/>
  <c r="R225" i="12"/>
  <c r="R326" i="23"/>
  <c r="N326" i="23"/>
  <c r="O326" i="23"/>
  <c r="R226" i="12"/>
  <c r="R215" i="12"/>
  <c r="D38" i="9"/>
  <c r="R336" i="23"/>
  <c r="N336" i="23"/>
  <c r="O336" i="23"/>
  <c r="R236" i="12"/>
  <c r="N337" i="23"/>
  <c r="O337" i="23"/>
  <c r="R237" i="12"/>
  <c r="R338" i="23"/>
  <c r="N338" i="23"/>
  <c r="O338" i="23"/>
  <c r="R238" i="12"/>
  <c r="R239" i="12"/>
  <c r="R240" i="12"/>
  <c r="R241" i="12"/>
  <c r="R242" i="12"/>
  <c r="R343" i="23"/>
  <c r="N343" i="23"/>
  <c r="O343" i="23"/>
  <c r="R243" i="12"/>
  <c r="R344" i="23"/>
  <c r="N344" i="23"/>
  <c r="O344" i="23"/>
  <c r="R244" i="12"/>
  <c r="R345" i="23"/>
  <c r="N345" i="23"/>
  <c r="O345" i="23"/>
  <c r="R245" i="12"/>
  <c r="R346" i="23"/>
  <c r="Q346" i="23"/>
  <c r="N346" i="23"/>
  <c r="O346" i="23"/>
  <c r="R246" i="12"/>
  <c r="R247" i="12"/>
  <c r="R235" i="12"/>
  <c r="N357" i="23"/>
  <c r="O357" i="23"/>
  <c r="R257" i="12"/>
  <c r="R358" i="23"/>
  <c r="N358" i="23"/>
  <c r="O358" i="23"/>
  <c r="R258" i="12"/>
  <c r="N360" i="23"/>
  <c r="O360" i="23"/>
  <c r="R361" i="23"/>
  <c r="N361" i="23"/>
  <c r="O361" i="23"/>
  <c r="N362" i="23"/>
  <c r="O362" i="23"/>
  <c r="O359" i="23"/>
  <c r="R259" i="12"/>
  <c r="R363" i="23"/>
  <c r="N363" i="23"/>
  <c r="O363" i="23"/>
  <c r="R260" i="12"/>
  <c r="N364" i="23"/>
  <c r="O364" i="23"/>
  <c r="R261" i="12"/>
  <c r="N365" i="23"/>
  <c r="O365" i="23"/>
  <c r="R262" i="12"/>
  <c r="R256" i="12"/>
  <c r="R376" i="23"/>
  <c r="N376" i="23"/>
  <c r="O376" i="23"/>
  <c r="R377" i="23"/>
  <c r="N377" i="23"/>
  <c r="O377" i="23"/>
  <c r="O375" i="23"/>
  <c r="R272" i="12"/>
  <c r="R378" i="23"/>
  <c r="N378" i="23"/>
  <c r="O378" i="23"/>
  <c r="R273" i="12"/>
  <c r="R380" i="23"/>
  <c r="N380" i="23"/>
  <c r="O380" i="23"/>
  <c r="R275" i="12"/>
  <c r="R381" i="23"/>
  <c r="N381" i="23"/>
  <c r="O381" i="23"/>
  <c r="R276" i="12"/>
  <c r="R382" i="23"/>
  <c r="N382" i="23"/>
  <c r="O382" i="23"/>
  <c r="R277" i="12"/>
  <c r="R278" i="12"/>
  <c r="R384" i="23"/>
  <c r="N384" i="23"/>
  <c r="O384" i="23"/>
  <c r="R279" i="12"/>
  <c r="R385" i="23"/>
  <c r="N385" i="23"/>
  <c r="O385" i="23"/>
  <c r="R280" i="12"/>
  <c r="R386" i="23"/>
  <c r="N386" i="23"/>
  <c r="O386" i="23"/>
  <c r="R281" i="12"/>
  <c r="R387" i="23"/>
  <c r="N387" i="23"/>
  <c r="O387" i="23"/>
  <c r="R282" i="12"/>
  <c r="R399" i="23"/>
  <c r="N399" i="23"/>
  <c r="O399" i="23"/>
  <c r="R294" i="12"/>
  <c r="R295" i="12"/>
  <c r="R296" i="12"/>
  <c r="R297" i="12"/>
  <c r="R298" i="12"/>
  <c r="R409" i="23"/>
  <c r="N409" i="23"/>
  <c r="O409" i="23"/>
  <c r="R410" i="23"/>
  <c r="N410" i="23"/>
  <c r="O410" i="23"/>
  <c r="O408" i="23"/>
  <c r="R299" i="12"/>
  <c r="R411" i="23"/>
  <c r="N411" i="23"/>
  <c r="O411" i="23"/>
  <c r="R300" i="12"/>
  <c r="R301" i="12"/>
  <c r="R413" i="23"/>
  <c r="N413" i="23"/>
  <c r="O413" i="23"/>
  <c r="R302" i="12"/>
  <c r="R414" i="23"/>
  <c r="N414" i="23"/>
  <c r="O414" i="23"/>
  <c r="R303" i="12"/>
  <c r="R304" i="12"/>
  <c r="R416" i="23"/>
  <c r="N416" i="23"/>
  <c r="O416" i="23"/>
  <c r="R305" i="12"/>
  <c r="R418" i="23"/>
  <c r="N418" i="23"/>
  <c r="R419" i="23"/>
  <c r="N419" i="23"/>
  <c r="R420" i="23"/>
  <c r="N420" i="23"/>
  <c r="N417" i="23"/>
  <c r="O417" i="23"/>
  <c r="R306" i="12"/>
  <c r="R423" i="23"/>
  <c r="N423" i="23"/>
  <c r="O423" i="23"/>
  <c r="R309" i="12"/>
  <c r="R424" i="23"/>
  <c r="N424" i="23"/>
  <c r="O424" i="23"/>
  <c r="R310" i="12"/>
  <c r="R293" i="12"/>
  <c r="R315" i="12"/>
  <c r="O388" i="23"/>
  <c r="R283" i="12"/>
  <c r="R389" i="23"/>
  <c r="N389" i="23"/>
  <c r="O389" i="23"/>
  <c r="R284" i="12"/>
  <c r="R271" i="12"/>
  <c r="R214" i="12"/>
  <c r="R333" i="12"/>
  <c r="R332" i="12"/>
  <c r="R213" i="12"/>
  <c r="R458" i="23"/>
  <c r="N458" i="23"/>
  <c r="O458" i="23"/>
  <c r="R340" i="12"/>
  <c r="R459" i="23"/>
  <c r="N459" i="23"/>
  <c r="O459" i="23"/>
  <c r="R341" i="12"/>
  <c r="R461" i="23"/>
  <c r="N461" i="23"/>
  <c r="O461" i="23"/>
  <c r="AA142" i="9"/>
  <c r="R462" i="23"/>
  <c r="N462" i="23"/>
  <c r="O462" i="23"/>
  <c r="R463" i="23"/>
  <c r="Q463" i="23"/>
  <c r="N463" i="23"/>
  <c r="O463" i="23"/>
  <c r="O460" i="23"/>
  <c r="R342" i="12"/>
  <c r="N467" i="23"/>
  <c r="O467" i="23"/>
  <c r="R346" i="12"/>
  <c r="AE141" i="9"/>
  <c r="AJ141" i="9"/>
  <c r="AK141" i="9"/>
  <c r="R470" i="23"/>
  <c r="N470" i="23"/>
  <c r="AE143" i="9"/>
  <c r="AK143" i="9"/>
  <c r="R471" i="23"/>
  <c r="N471" i="23"/>
  <c r="AE144" i="9"/>
  <c r="AK144" i="9"/>
  <c r="R472" i="23"/>
  <c r="N472" i="23"/>
  <c r="AE145" i="9"/>
  <c r="AK145" i="9"/>
  <c r="R473" i="23"/>
  <c r="N473" i="23"/>
  <c r="AE146" i="9"/>
  <c r="AK146" i="9"/>
  <c r="R474" i="23"/>
  <c r="N474" i="23"/>
  <c r="AE150" i="9"/>
  <c r="AK150" i="9"/>
  <c r="R475" i="23"/>
  <c r="N475" i="23"/>
  <c r="AE151" i="9"/>
  <c r="AK151" i="9"/>
  <c r="R476" i="23"/>
  <c r="N476" i="23"/>
  <c r="R469" i="23"/>
  <c r="Q469" i="23"/>
  <c r="N469" i="23"/>
  <c r="O469" i="23"/>
  <c r="O468" i="23"/>
  <c r="R347" i="12"/>
  <c r="AE138" i="9"/>
  <c r="AE168" i="9"/>
  <c r="AJ168" i="9"/>
  <c r="AJ138" i="9"/>
  <c r="AK138" i="9"/>
  <c r="R481" i="23"/>
  <c r="N481" i="23"/>
  <c r="AE139" i="9"/>
  <c r="AJ139" i="9"/>
  <c r="AK139" i="9"/>
  <c r="R482" i="23"/>
  <c r="N482" i="23"/>
  <c r="AE140" i="9"/>
  <c r="AJ140" i="9"/>
  <c r="AK140" i="9"/>
  <c r="R483" i="23"/>
  <c r="N483" i="23"/>
  <c r="O480" i="23"/>
  <c r="R349" i="12"/>
  <c r="D378" i="9"/>
  <c r="R484" i="23"/>
  <c r="N484" i="23"/>
  <c r="O484" i="23"/>
  <c r="R350" i="12"/>
  <c r="R485" i="23"/>
  <c r="N485" i="23"/>
  <c r="O485" i="23"/>
  <c r="R351" i="12"/>
  <c r="AJ171" i="9"/>
  <c r="AK171" i="9"/>
  <c r="R487" i="23"/>
  <c r="N487" i="23"/>
  <c r="AK160" i="9"/>
  <c r="AK169" i="9"/>
  <c r="AK172" i="9"/>
  <c r="R490" i="23"/>
  <c r="N490" i="23"/>
  <c r="AE201" i="9"/>
  <c r="AK201" i="9"/>
  <c r="AE202" i="9"/>
  <c r="AK202" i="9"/>
  <c r="R491" i="23"/>
  <c r="N491" i="23"/>
  <c r="AK203" i="9"/>
  <c r="R492" i="23"/>
  <c r="N492" i="23"/>
  <c r="O486" i="23"/>
  <c r="R352" i="12"/>
  <c r="R493" i="23"/>
  <c r="N493" i="23"/>
  <c r="O493" i="23"/>
  <c r="R353" i="12"/>
  <c r="R354" i="12"/>
  <c r="R355" i="12"/>
  <c r="N496" i="23"/>
  <c r="O496" i="23"/>
  <c r="R356" i="12"/>
  <c r="N500" i="23"/>
  <c r="O498" i="23"/>
  <c r="R358" i="12"/>
  <c r="N501" i="23"/>
  <c r="O501" i="23"/>
  <c r="R359" i="12"/>
  <c r="R360" i="12"/>
  <c r="N503" i="23"/>
  <c r="O503" i="23"/>
  <c r="R361" i="12"/>
  <c r="AA152" i="9"/>
  <c r="E155" i="9"/>
  <c r="R506" i="23"/>
  <c r="Q506" i="23"/>
  <c r="N506" i="23"/>
  <c r="O506" i="23"/>
  <c r="R508" i="23"/>
  <c r="N508" i="23"/>
  <c r="O508" i="23"/>
  <c r="O505" i="23"/>
  <c r="R363" i="12"/>
  <c r="R538" i="23"/>
  <c r="R509" i="23"/>
  <c r="Q509" i="23"/>
  <c r="N509" i="23"/>
  <c r="O509" i="23"/>
  <c r="R364" i="12"/>
  <c r="R510" i="23"/>
  <c r="Q510" i="23"/>
  <c r="N510" i="23"/>
  <c r="O510" i="23"/>
  <c r="R365" i="12"/>
  <c r="R512" i="23"/>
  <c r="N512" i="23"/>
  <c r="O512" i="23"/>
  <c r="R367" i="12"/>
  <c r="R513" i="23"/>
  <c r="N513" i="23"/>
  <c r="O513" i="23"/>
  <c r="R368" i="12"/>
  <c r="AE159" i="9"/>
  <c r="AK159" i="9"/>
  <c r="AE162" i="9"/>
  <c r="AK162" i="9"/>
  <c r="R529" i="23"/>
  <c r="N529" i="23"/>
  <c r="O529" i="23"/>
  <c r="R380" i="12"/>
  <c r="R532" i="23"/>
  <c r="R531" i="23"/>
  <c r="N531" i="23"/>
  <c r="O531" i="23"/>
  <c r="R382" i="12"/>
  <c r="N532" i="23"/>
  <c r="O532" i="23"/>
  <c r="R383" i="12"/>
  <c r="R384" i="12"/>
  <c r="N534" i="23"/>
  <c r="O534" i="23"/>
  <c r="R385" i="12"/>
  <c r="R386" i="12"/>
  <c r="R387" i="12"/>
  <c r="N537" i="23"/>
  <c r="O537" i="23"/>
  <c r="R388" i="12"/>
  <c r="N538" i="23"/>
  <c r="O538" i="23"/>
  <c r="R389" i="12"/>
  <c r="N539" i="23"/>
  <c r="O539" i="23"/>
  <c r="R390" i="12"/>
  <c r="R391" i="12"/>
  <c r="R541" i="23"/>
  <c r="N541" i="23"/>
  <c r="O541" i="23"/>
  <c r="R392" i="12"/>
  <c r="R379" i="12"/>
  <c r="R402" i="12"/>
  <c r="R552" i="23"/>
  <c r="N552" i="23"/>
  <c r="O552" i="23"/>
  <c r="R403" i="12"/>
  <c r="R553" i="23"/>
  <c r="N553" i="23"/>
  <c r="O553" i="23"/>
  <c r="R404" i="12"/>
  <c r="R554" i="23"/>
  <c r="N554" i="23"/>
  <c r="O554" i="23"/>
  <c r="R405" i="12"/>
  <c r="R401" i="12"/>
  <c r="R565" i="23"/>
  <c r="N565" i="23"/>
  <c r="O565" i="23"/>
  <c r="R416" i="12"/>
  <c r="AA175" i="9"/>
  <c r="AA178" i="9"/>
  <c r="AA180" i="9"/>
  <c r="AA181" i="9"/>
  <c r="AA147" i="9"/>
  <c r="AA170" i="9"/>
  <c r="AA176" i="9"/>
  <c r="AA177" i="9"/>
  <c r="AA179" i="9"/>
  <c r="AA182" i="9"/>
  <c r="AA183" i="9"/>
  <c r="AA184" i="9"/>
  <c r="AA185" i="9"/>
  <c r="AA186" i="9"/>
  <c r="AA187" i="9"/>
  <c r="E163" i="9"/>
  <c r="E164" i="9"/>
  <c r="R566" i="23"/>
  <c r="N566" i="23"/>
  <c r="O566" i="23"/>
  <c r="R417" i="12"/>
  <c r="R568" i="23"/>
  <c r="N568" i="23"/>
  <c r="R569" i="23"/>
  <c r="N569" i="23"/>
  <c r="E159" i="9"/>
  <c r="R570" i="23"/>
  <c r="N570" i="23"/>
  <c r="E196" i="9"/>
  <c r="R571" i="23"/>
  <c r="N571" i="23"/>
  <c r="R572" i="23"/>
  <c r="N572" i="23"/>
  <c r="N573" i="23"/>
  <c r="N574" i="23"/>
  <c r="O567" i="23"/>
  <c r="R418" i="12"/>
  <c r="N576" i="23"/>
  <c r="O576" i="23"/>
  <c r="R577" i="23"/>
  <c r="N577" i="23"/>
  <c r="O577" i="23"/>
  <c r="O575" i="23"/>
  <c r="R419" i="12"/>
  <c r="R612" i="23"/>
  <c r="N612" i="23"/>
  <c r="O612" i="23"/>
  <c r="N613" i="23"/>
  <c r="O613" i="23"/>
  <c r="O611" i="23"/>
  <c r="R420" i="12"/>
  <c r="P193" i="9"/>
  <c r="Q193" i="9"/>
  <c r="E182" i="9"/>
  <c r="R624" i="23"/>
  <c r="N624" i="23"/>
  <c r="O624" i="23"/>
  <c r="R625" i="23"/>
  <c r="N625" i="23"/>
  <c r="O625" i="23"/>
  <c r="R626" i="23"/>
  <c r="N626" i="23"/>
  <c r="O626" i="23"/>
  <c r="R193" i="9"/>
  <c r="E181" i="9"/>
  <c r="R627" i="23"/>
  <c r="N627" i="23"/>
  <c r="O627" i="23"/>
  <c r="O623" i="23"/>
  <c r="R422" i="12"/>
  <c r="R630" i="23"/>
  <c r="N630" i="23"/>
  <c r="O630" i="23"/>
  <c r="AE157" i="9"/>
  <c r="AK157" i="9"/>
  <c r="R631" i="23"/>
  <c r="N631" i="23"/>
  <c r="O631" i="23"/>
  <c r="O629" i="23"/>
  <c r="R423" i="12"/>
  <c r="N632" i="23"/>
  <c r="O632" i="23"/>
  <c r="R424" i="12"/>
  <c r="R415" i="12"/>
  <c r="E170" i="9"/>
  <c r="E171" i="9"/>
  <c r="E172" i="9"/>
  <c r="R643" i="23"/>
  <c r="N643" i="23"/>
  <c r="O643" i="23"/>
  <c r="R435" i="12"/>
  <c r="R650" i="23"/>
  <c r="N650" i="23"/>
  <c r="R651" i="23"/>
  <c r="N651" i="23"/>
  <c r="O649" i="23"/>
  <c r="R437" i="12"/>
  <c r="R438" i="12"/>
  <c r="R433" i="12"/>
  <c r="R662" i="23"/>
  <c r="N662" i="23"/>
  <c r="O662" i="23"/>
  <c r="R448" i="12"/>
  <c r="R663" i="23"/>
  <c r="N663" i="23"/>
  <c r="O663" i="23"/>
  <c r="R449" i="12"/>
  <c r="R664" i="23"/>
  <c r="N664" i="23"/>
  <c r="O664" i="23"/>
  <c r="R450" i="12"/>
  <c r="Q199" i="9"/>
  <c r="E180" i="9"/>
  <c r="R665" i="23"/>
  <c r="N665" i="23"/>
  <c r="O665" i="23"/>
  <c r="R451" i="12"/>
  <c r="AE193" i="9"/>
  <c r="AK193" i="9"/>
  <c r="AE194" i="9"/>
  <c r="AK194" i="9"/>
  <c r="AE195" i="9"/>
  <c r="AK195" i="9"/>
  <c r="AE196" i="9"/>
  <c r="AK196" i="9"/>
  <c r="AE197" i="9"/>
  <c r="AK197" i="9"/>
  <c r="AE198" i="9"/>
  <c r="AK198" i="9"/>
  <c r="AE199" i="9"/>
  <c r="AK199" i="9"/>
  <c r="R667" i="23"/>
  <c r="N667" i="23"/>
  <c r="R668" i="23"/>
  <c r="N668" i="23"/>
  <c r="O666" i="23"/>
  <c r="R452" i="12"/>
  <c r="R670" i="23"/>
  <c r="N670" i="23"/>
  <c r="AE158" i="9"/>
  <c r="AK158" i="9"/>
  <c r="R671" i="23"/>
  <c r="N671" i="23"/>
  <c r="O669" i="23"/>
  <c r="R453" i="12"/>
  <c r="AE190" i="9"/>
  <c r="AK190" i="9"/>
  <c r="R673" i="23"/>
  <c r="N673" i="23"/>
  <c r="AE191" i="9"/>
  <c r="AK191" i="9"/>
  <c r="R674" i="23"/>
  <c r="N674" i="23"/>
  <c r="AE192" i="9"/>
  <c r="AK192" i="9"/>
  <c r="R675" i="23"/>
  <c r="N675" i="23"/>
  <c r="AE200" i="9"/>
  <c r="AK200" i="9"/>
  <c r="R676" i="23"/>
  <c r="N676" i="23"/>
  <c r="O676" i="23"/>
  <c r="O672" i="23"/>
  <c r="R454" i="12"/>
  <c r="N677" i="23"/>
  <c r="O677" i="23"/>
  <c r="R455" i="12"/>
  <c r="R679" i="23"/>
  <c r="N679" i="23"/>
  <c r="O679" i="23"/>
  <c r="R680" i="23"/>
  <c r="N680" i="23"/>
  <c r="O680" i="23"/>
  <c r="R681" i="23"/>
  <c r="N681" i="23"/>
  <c r="O681" i="23"/>
  <c r="R682" i="23"/>
  <c r="N682" i="23"/>
  <c r="O682" i="23"/>
  <c r="O678" i="23"/>
  <c r="R456" i="12"/>
  <c r="O683" i="23"/>
  <c r="R457" i="12"/>
  <c r="R687" i="23"/>
  <c r="N687" i="23"/>
  <c r="O687" i="23"/>
  <c r="R688" i="23"/>
  <c r="N688" i="23"/>
  <c r="O688" i="23"/>
  <c r="O686" i="23"/>
  <c r="R458" i="12"/>
  <c r="R447" i="12"/>
  <c r="O514" i="23"/>
  <c r="R369" i="12"/>
  <c r="R517" i="23"/>
  <c r="N517" i="23"/>
  <c r="O517" i="23"/>
  <c r="R518" i="23"/>
  <c r="N518" i="23"/>
  <c r="O518" i="23"/>
  <c r="R519" i="23"/>
  <c r="N519" i="23"/>
  <c r="O519" i="23"/>
  <c r="O515" i="23"/>
  <c r="R370" i="12"/>
  <c r="R338" i="12"/>
  <c r="R337" i="12"/>
  <c r="R468" i="12"/>
  <c r="R467" i="12"/>
  <c r="R336" i="12"/>
  <c r="R705" i="23"/>
  <c r="N705" i="23"/>
  <c r="O705" i="23"/>
  <c r="R706" i="23"/>
  <c r="N706" i="23"/>
  <c r="O706" i="23"/>
  <c r="O704" i="23"/>
  <c r="R474" i="12"/>
  <c r="R710" i="23"/>
  <c r="N710" i="23"/>
  <c r="O710" i="23"/>
  <c r="R478" i="12"/>
  <c r="R711" i="23"/>
  <c r="N711" i="23"/>
  <c r="O711" i="23"/>
  <c r="R479" i="12"/>
  <c r="R713" i="23"/>
  <c r="N713" i="23"/>
  <c r="O713" i="23"/>
  <c r="R715" i="23"/>
  <c r="N715" i="23"/>
  <c r="O715" i="23"/>
  <c r="AE269" i="9"/>
  <c r="R716" i="23"/>
  <c r="N716" i="23"/>
  <c r="O716" i="23"/>
  <c r="R717" i="23"/>
  <c r="N717" i="23"/>
  <c r="O717" i="23"/>
  <c r="E239" i="9"/>
  <c r="E240" i="9"/>
  <c r="AA229" i="9"/>
  <c r="AA230" i="9"/>
  <c r="E241" i="9"/>
  <c r="E242" i="9"/>
  <c r="E243" i="9"/>
  <c r="E244" i="9"/>
  <c r="E245" i="9"/>
  <c r="AA237" i="9"/>
  <c r="E246" i="9"/>
  <c r="AA225" i="9"/>
  <c r="E234" i="9"/>
  <c r="E233" i="9"/>
  <c r="E247" i="9"/>
  <c r="E280" i="9"/>
  <c r="R718" i="23"/>
  <c r="N718" i="23"/>
  <c r="O718" i="23"/>
  <c r="R719" i="23"/>
  <c r="N719" i="23"/>
  <c r="O719" i="23"/>
  <c r="AE270" i="9"/>
  <c r="AK270" i="9"/>
  <c r="AE272" i="9"/>
  <c r="AK272" i="9"/>
  <c r="R720" i="23"/>
  <c r="N720" i="23"/>
  <c r="O720" i="23"/>
  <c r="AA252" i="9"/>
  <c r="E262" i="9"/>
  <c r="R721" i="23"/>
  <c r="N721" i="23"/>
  <c r="O721" i="23"/>
  <c r="O712" i="23"/>
  <c r="R480" i="12"/>
  <c r="AE216" i="9"/>
  <c r="AK216" i="9"/>
  <c r="R723" i="23"/>
  <c r="Q723" i="23"/>
  <c r="N723" i="23"/>
  <c r="O723" i="23"/>
  <c r="AE217" i="9"/>
  <c r="AK217" i="9"/>
  <c r="R725" i="23"/>
  <c r="N725" i="23"/>
  <c r="O725" i="23"/>
  <c r="O722" i="23"/>
  <c r="R481" i="12"/>
  <c r="R726" i="23"/>
  <c r="N726" i="23"/>
  <c r="O726" i="23"/>
  <c r="R482" i="12"/>
  <c r="R727" i="23"/>
  <c r="N727" i="23"/>
  <c r="O727" i="23"/>
  <c r="R483" i="12"/>
  <c r="N728" i="23"/>
  <c r="O728" i="23"/>
  <c r="R484" i="12"/>
  <c r="R729" i="23"/>
  <c r="Q729" i="23"/>
  <c r="N729" i="23"/>
  <c r="O729" i="23"/>
  <c r="R485" i="12"/>
  <c r="R730" i="23"/>
  <c r="N730" i="23"/>
  <c r="O730" i="23"/>
  <c r="R486" i="12"/>
  <c r="R731" i="23"/>
  <c r="N731" i="23"/>
  <c r="O731" i="23"/>
  <c r="R487" i="12"/>
  <c r="AA243" i="9"/>
  <c r="E253" i="9"/>
  <c r="AA242" i="9"/>
  <c r="E252" i="9"/>
  <c r="AA260" i="9"/>
  <c r="E269" i="9"/>
  <c r="AA259" i="9"/>
  <c r="E268" i="9"/>
  <c r="R241" i="9"/>
  <c r="R733" i="23"/>
  <c r="Q733" i="23"/>
  <c r="N733" i="23"/>
  <c r="O733" i="23"/>
  <c r="R734" i="23"/>
  <c r="Q734" i="23"/>
  <c r="N734" i="23"/>
  <c r="O734" i="23"/>
  <c r="Q736" i="23"/>
  <c r="N736" i="23"/>
  <c r="O736" i="23"/>
  <c r="R735" i="23"/>
  <c r="Q735" i="23"/>
  <c r="N735" i="23"/>
  <c r="O735" i="23"/>
  <c r="O732" i="23"/>
  <c r="R488" i="12"/>
  <c r="R738" i="23"/>
  <c r="N738" i="23"/>
  <c r="O738" i="23"/>
  <c r="R739" i="23"/>
  <c r="N739" i="23"/>
  <c r="O739" i="23"/>
  <c r="O737" i="23"/>
  <c r="R489" i="12"/>
  <c r="N740" i="23"/>
  <c r="O740" i="23"/>
  <c r="R490" i="12"/>
  <c r="R741" i="23"/>
  <c r="N741" i="23"/>
  <c r="O741" i="23"/>
  <c r="R491" i="12"/>
  <c r="N753" i="23"/>
  <c r="O753" i="23"/>
  <c r="R503" i="12"/>
  <c r="R507" i="12"/>
  <c r="R502" i="12"/>
  <c r="R770" i="23"/>
  <c r="Q770" i="23"/>
  <c r="N770" i="23"/>
  <c r="O770" i="23"/>
  <c r="R771" i="23"/>
  <c r="Q771" i="23"/>
  <c r="N771" i="23"/>
  <c r="O771" i="23"/>
  <c r="R772" i="23"/>
  <c r="Q772" i="23"/>
  <c r="N772" i="23"/>
  <c r="O772" i="23"/>
  <c r="O769" i="23"/>
  <c r="R519" i="12"/>
  <c r="R774" i="23"/>
  <c r="Q774" i="23"/>
  <c r="N774" i="23"/>
  <c r="O774" i="23"/>
  <c r="R775" i="23"/>
  <c r="Q775" i="23"/>
  <c r="N775" i="23"/>
  <c r="O775" i="23"/>
  <c r="O773" i="23"/>
  <c r="R520" i="12"/>
  <c r="R779" i="23"/>
  <c r="N779" i="23"/>
  <c r="O779" i="23"/>
  <c r="R522" i="12"/>
  <c r="N781" i="23"/>
  <c r="O781" i="23"/>
  <c r="R782" i="23"/>
  <c r="N782" i="23"/>
  <c r="O782" i="23"/>
  <c r="O780" i="23"/>
  <c r="R523" i="12"/>
  <c r="N783" i="23"/>
  <c r="O783" i="23"/>
  <c r="R524" i="12"/>
  <c r="R784" i="23"/>
  <c r="N784" i="23"/>
  <c r="O784" i="23"/>
  <c r="R525" i="12"/>
  <c r="R517" i="12"/>
  <c r="E237" i="9"/>
  <c r="E259" i="9"/>
  <c r="E275" i="9"/>
  <c r="R794" i="23"/>
  <c r="N794" i="23"/>
  <c r="O794" i="23"/>
  <c r="R535" i="12"/>
  <c r="R795" i="23"/>
  <c r="N795" i="23"/>
  <c r="O795" i="23"/>
  <c r="R536" i="12"/>
  <c r="R796" i="23"/>
  <c r="N796" i="23"/>
  <c r="O796" i="23"/>
  <c r="R537" i="12"/>
  <c r="AE221" i="9"/>
  <c r="AK221" i="9"/>
  <c r="R798" i="23"/>
  <c r="N798" i="23"/>
  <c r="AE222" i="9"/>
  <c r="AK222" i="9"/>
  <c r="R799" i="23"/>
  <c r="N799" i="23"/>
  <c r="AE223" i="9"/>
  <c r="AK223" i="9"/>
  <c r="R800" i="23"/>
  <c r="N800" i="23"/>
  <c r="O797" i="23"/>
  <c r="R538" i="12"/>
  <c r="R801" i="23"/>
  <c r="N801" i="23"/>
  <c r="O801" i="23"/>
  <c r="R539" i="12"/>
  <c r="R534" i="12"/>
  <c r="R811" i="23"/>
  <c r="N811" i="23"/>
  <c r="O811" i="23"/>
  <c r="R549" i="12"/>
  <c r="AE236" i="9"/>
  <c r="AE251" i="9"/>
  <c r="AE273" i="9"/>
  <c r="R812" i="23"/>
  <c r="N812" i="23"/>
  <c r="O812" i="23"/>
  <c r="R550" i="12"/>
  <c r="AE226" i="9"/>
  <c r="AK226" i="9"/>
  <c r="R814" i="23"/>
  <c r="N814" i="23"/>
  <c r="AE227" i="9"/>
  <c r="AK227" i="9"/>
  <c r="R815" i="23"/>
  <c r="N815" i="23"/>
  <c r="AE228" i="9"/>
  <c r="AK228" i="9"/>
  <c r="R816" i="23"/>
  <c r="N816" i="23"/>
  <c r="AE241" i="9"/>
  <c r="AK241" i="9"/>
  <c r="R817" i="23"/>
  <c r="N817" i="23"/>
  <c r="AE257" i="9"/>
  <c r="AK257" i="9"/>
  <c r="R818" i="23"/>
  <c r="N818" i="23"/>
  <c r="AE240" i="9"/>
  <c r="AK240" i="9"/>
  <c r="R819" i="23"/>
  <c r="N819" i="23"/>
  <c r="R820" i="23"/>
  <c r="N820" i="23"/>
  <c r="AE245" i="9"/>
  <c r="AJ245" i="9"/>
  <c r="AK245" i="9"/>
  <c r="R821" i="23"/>
  <c r="N821" i="23"/>
  <c r="AE244" i="9"/>
  <c r="AJ244" i="9"/>
  <c r="AK244" i="9"/>
  <c r="R822" i="23"/>
  <c r="N822" i="23"/>
  <c r="AE262" i="9"/>
  <c r="AJ262" i="9"/>
  <c r="AK262" i="9"/>
  <c r="R823" i="23"/>
  <c r="N823" i="23"/>
  <c r="N824" i="23"/>
  <c r="AE232" i="9"/>
  <c r="AK232" i="9"/>
  <c r="R825" i="23"/>
  <c r="N825" i="23"/>
  <c r="AE231" i="9"/>
  <c r="AK231" i="9"/>
  <c r="R826" i="23"/>
  <c r="N826" i="23"/>
  <c r="O813" i="23"/>
  <c r="R551" i="12"/>
  <c r="R828" i="23"/>
  <c r="N828" i="23"/>
  <c r="R829" i="23"/>
  <c r="N829" i="23"/>
  <c r="R830" i="23"/>
  <c r="N830" i="23"/>
  <c r="R831" i="23"/>
  <c r="N831" i="23"/>
  <c r="R832" i="23"/>
  <c r="N832" i="23"/>
  <c r="O827" i="23"/>
  <c r="R552" i="12"/>
  <c r="R833" i="23"/>
  <c r="N833" i="23"/>
  <c r="O833" i="23"/>
  <c r="R553" i="12"/>
  <c r="R548" i="12"/>
  <c r="O742" i="23"/>
  <c r="R492" i="12"/>
  <c r="R743" i="23"/>
  <c r="N743" i="23"/>
  <c r="O743" i="23"/>
  <c r="R493" i="12"/>
  <c r="R473" i="12"/>
  <c r="R472" i="12"/>
  <c r="R564" i="12"/>
  <c r="R563" i="12"/>
  <c r="R471" i="12"/>
  <c r="R860" i="23"/>
  <c r="N860" i="23"/>
  <c r="O860" i="23"/>
  <c r="R570" i="12"/>
  <c r="R861" i="23"/>
  <c r="N861" i="23"/>
  <c r="O861" i="23"/>
  <c r="R571" i="12"/>
  <c r="E316" i="9"/>
  <c r="R863" i="23"/>
  <c r="N863" i="23"/>
  <c r="O863" i="23"/>
  <c r="E331" i="9"/>
  <c r="R864" i="23"/>
  <c r="N864" i="23"/>
  <c r="O864" i="23"/>
  <c r="R865" i="23"/>
  <c r="N865" i="23"/>
  <c r="O865" i="23"/>
  <c r="R866" i="23"/>
  <c r="N866" i="23"/>
  <c r="O866" i="23"/>
  <c r="R867" i="23"/>
  <c r="N867" i="23"/>
  <c r="O867" i="23"/>
  <c r="O862" i="23"/>
  <c r="R572" i="12"/>
  <c r="AE298" i="9"/>
  <c r="R869" i="23"/>
  <c r="N869" i="23"/>
  <c r="AE305" i="9"/>
  <c r="AK305" i="9"/>
  <c r="AE321" i="9"/>
  <c r="AK321" i="9"/>
  <c r="R870" i="23"/>
  <c r="N870" i="23"/>
  <c r="AE306" i="9"/>
  <c r="AK306" i="9"/>
  <c r="AE322" i="9"/>
  <c r="AK322" i="9"/>
  <c r="R871" i="23"/>
  <c r="N871" i="23"/>
  <c r="N872" i="23"/>
  <c r="AE308" i="9"/>
  <c r="AJ308" i="9"/>
  <c r="AK308" i="9"/>
  <c r="R873" i="23"/>
  <c r="N873" i="23"/>
  <c r="O873" i="23"/>
  <c r="AE323" i="9"/>
  <c r="AJ323" i="9"/>
  <c r="AK323" i="9"/>
  <c r="R874" i="23"/>
  <c r="N874" i="23"/>
  <c r="O874" i="23"/>
  <c r="N876" i="23"/>
  <c r="O876" i="23"/>
  <c r="AE336" i="9"/>
  <c r="R875" i="23"/>
  <c r="N875" i="23"/>
  <c r="O875" i="23"/>
  <c r="O868" i="23"/>
  <c r="R573" i="12"/>
  <c r="N877" i="23"/>
  <c r="O877" i="23"/>
  <c r="R574" i="12"/>
  <c r="N878" i="23"/>
  <c r="O878" i="23"/>
  <c r="R575" i="12"/>
  <c r="R886" i="23"/>
  <c r="N886" i="23"/>
  <c r="O886" i="23"/>
  <c r="R577" i="12"/>
  <c r="R887" i="23"/>
  <c r="N887" i="23"/>
  <c r="O887" i="23"/>
  <c r="R578" i="12"/>
  <c r="AE299" i="9"/>
  <c r="R889" i="23"/>
  <c r="N889" i="23"/>
  <c r="R890" i="23"/>
  <c r="N890" i="23"/>
  <c r="R892" i="23"/>
  <c r="N892" i="23"/>
  <c r="O888" i="23"/>
  <c r="R579" i="12"/>
  <c r="N895" i="23"/>
  <c r="O895" i="23"/>
  <c r="R582" i="12"/>
  <c r="N898" i="23"/>
  <c r="O898" i="23"/>
  <c r="N899" i="23"/>
  <c r="O899" i="23"/>
  <c r="N900" i="23"/>
  <c r="O900" i="23"/>
  <c r="O897" i="23"/>
  <c r="R584" i="12"/>
  <c r="R901" i="23"/>
  <c r="N901" i="23"/>
  <c r="O901" i="23"/>
  <c r="R585" i="12"/>
  <c r="R587" i="12"/>
  <c r="E323" i="9"/>
  <c r="R915" i="23"/>
  <c r="N915" i="23"/>
  <c r="O915" i="23"/>
  <c r="R599" i="12"/>
  <c r="R916" i="23"/>
  <c r="N916" i="23"/>
  <c r="O916" i="23"/>
  <c r="R600" i="12"/>
  <c r="AE315" i="9"/>
  <c r="R917" i="23"/>
  <c r="N917" i="23"/>
  <c r="O917" i="23"/>
  <c r="R601" i="12"/>
  <c r="R598" i="12"/>
  <c r="O904" i="23"/>
  <c r="R588" i="12"/>
  <c r="R905" i="23"/>
  <c r="N905" i="23"/>
  <c r="O905" i="23"/>
  <c r="R589" i="12"/>
  <c r="R569" i="12"/>
  <c r="R568" i="12"/>
  <c r="R611" i="12"/>
  <c r="R610" i="12"/>
  <c r="R567" i="12"/>
  <c r="R165" i="12"/>
  <c r="R631" i="12"/>
  <c r="R633" i="12"/>
  <c r="R616" i="12"/>
  <c r="R643" i="12"/>
  <c r="R642" i="12"/>
  <c r="R615" i="12"/>
  <c r="R614" i="12"/>
  <c r="N975" i="23"/>
  <c r="O975" i="23"/>
  <c r="R659" i="12"/>
  <c r="R660" i="12"/>
  <c r="R648" i="12"/>
  <c r="R671" i="12"/>
  <c r="R670" i="12"/>
  <c r="R647" i="12"/>
  <c r="R646" i="12"/>
  <c r="R677" i="12"/>
  <c r="R693" i="12"/>
  <c r="R692" i="12"/>
  <c r="R676" i="12"/>
  <c r="R697" i="12"/>
  <c r="N1047" i="23"/>
  <c r="O1047" i="23"/>
  <c r="R698" i="12"/>
  <c r="N1048" i="23"/>
  <c r="O1048" i="23"/>
  <c r="R699" i="12"/>
  <c r="R696" i="12"/>
  <c r="R705" i="12"/>
  <c r="R704" i="12"/>
  <c r="R695" i="12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R1059" i="23"/>
  <c r="N1059" i="23"/>
  <c r="O1059" i="23"/>
  <c r="D458" i="9"/>
  <c r="D459" i="9"/>
  <c r="D460" i="9"/>
  <c r="D461" i="9"/>
  <c r="D462" i="9"/>
  <c r="D463" i="9"/>
  <c r="D464" i="9"/>
  <c r="D465" i="9"/>
  <c r="R1060" i="23"/>
  <c r="N1060" i="23"/>
  <c r="O1060" i="23"/>
  <c r="O1058" i="23"/>
  <c r="R709" i="12"/>
  <c r="R1061" i="23"/>
  <c r="N1061" i="23"/>
  <c r="O1061" i="23"/>
  <c r="R710" i="12"/>
  <c r="R1063" i="23"/>
  <c r="N1063" i="23"/>
  <c r="O1063" i="23"/>
  <c r="R712" i="12"/>
  <c r="N1069" i="23"/>
  <c r="N1070" i="23"/>
  <c r="N1076" i="23"/>
  <c r="N1077" i="23"/>
  <c r="N1078" i="23"/>
  <c r="O1065" i="23"/>
  <c r="N1081" i="23"/>
  <c r="O1079" i="23"/>
  <c r="D467" i="9"/>
  <c r="R1088" i="23"/>
  <c r="N1088" i="23"/>
  <c r="D468" i="9"/>
  <c r="R1089" i="23"/>
  <c r="N1089" i="23"/>
  <c r="D469" i="9"/>
  <c r="R1090" i="23"/>
  <c r="N1090" i="23"/>
  <c r="O1087" i="23"/>
  <c r="O1064" i="23"/>
  <c r="R713" i="12"/>
  <c r="R1092" i="23"/>
  <c r="N1092" i="23"/>
  <c r="D434" i="9"/>
  <c r="Q1092" i="23"/>
  <c r="O1092" i="23"/>
  <c r="R714" i="12"/>
  <c r="R1094" i="23"/>
  <c r="N1094" i="23"/>
  <c r="O1094" i="23"/>
  <c r="R1095" i="23"/>
  <c r="N1095" i="23"/>
  <c r="O1095" i="23"/>
  <c r="O1093" i="23"/>
  <c r="R715" i="12"/>
  <c r="N1096" i="23"/>
  <c r="O1096" i="23"/>
  <c r="R716" i="12"/>
  <c r="R1097" i="23"/>
  <c r="N1097" i="23"/>
  <c r="O1097" i="23"/>
  <c r="R717" i="12"/>
  <c r="D433" i="9"/>
  <c r="R1098" i="23"/>
  <c r="N1098" i="23"/>
  <c r="O1098" i="23"/>
  <c r="R718" i="12"/>
  <c r="R1101" i="23"/>
  <c r="N1101" i="23"/>
  <c r="O1101" i="23"/>
  <c r="R721" i="12"/>
  <c r="R1102" i="23"/>
  <c r="N1102" i="23"/>
  <c r="O1102" i="23"/>
  <c r="R722" i="12"/>
  <c r="R1103" i="23"/>
  <c r="Q1103" i="23"/>
  <c r="O1103" i="23"/>
  <c r="R723" i="12"/>
  <c r="R708" i="12"/>
  <c r="R725" i="12"/>
  <c r="R724" i="12"/>
  <c r="R707" i="12"/>
  <c r="E9" i="21"/>
  <c r="E15" i="21"/>
  <c r="E21" i="21"/>
  <c r="E29" i="21"/>
  <c r="E30" i="21"/>
  <c r="E31" i="21"/>
  <c r="E32" i="21"/>
  <c r="E28" i="21"/>
  <c r="E38" i="21"/>
  <c r="E39" i="21"/>
  <c r="E40" i="21"/>
  <c r="E41" i="21"/>
  <c r="E42" i="21"/>
  <c r="E43" i="21"/>
  <c r="E36" i="21"/>
  <c r="E44" i="21"/>
  <c r="E45" i="21"/>
  <c r="E46" i="21"/>
  <c r="E54" i="21"/>
  <c r="E59" i="21"/>
  <c r="E60" i="21"/>
  <c r="E64" i="21"/>
  <c r="E66" i="21"/>
  <c r="E81" i="21"/>
  <c r="E86" i="21"/>
  <c r="E87" i="21"/>
  <c r="E88" i="21"/>
  <c r="E89" i="21"/>
  <c r="E90" i="21"/>
  <c r="E91" i="21"/>
  <c r="E92" i="21"/>
  <c r="E93" i="21"/>
  <c r="E94" i="21"/>
  <c r="E95" i="21"/>
  <c r="E96" i="21"/>
  <c r="E98" i="21"/>
  <c r="E99" i="21"/>
  <c r="E49" i="21"/>
  <c r="E116" i="21"/>
  <c r="E117" i="21"/>
  <c r="E118" i="21"/>
  <c r="E100" i="21"/>
  <c r="E130" i="21"/>
  <c r="E131" i="21"/>
  <c r="E135" i="21"/>
  <c r="E143" i="21"/>
  <c r="E122" i="21"/>
  <c r="E148" i="21"/>
  <c r="E149" i="21"/>
  <c r="E158" i="21"/>
  <c r="E159" i="21"/>
  <c r="E160" i="21"/>
  <c r="E161" i="21"/>
  <c r="E145" i="21"/>
  <c r="E166" i="21"/>
  <c r="E168" i="21"/>
  <c r="E175" i="21"/>
  <c r="E182" i="21"/>
  <c r="E183" i="21"/>
  <c r="E184" i="21"/>
  <c r="E164" i="21"/>
  <c r="E198" i="21"/>
  <c r="E189" i="21"/>
  <c r="E210" i="21"/>
  <c r="E214" i="21"/>
  <c r="E215" i="21"/>
  <c r="E200" i="21"/>
  <c r="E226" i="21"/>
  <c r="E227" i="21"/>
  <c r="E228" i="21"/>
  <c r="E230" i="21"/>
  <c r="E231" i="21"/>
  <c r="E232" i="21"/>
  <c r="E217" i="21"/>
  <c r="E238" i="21"/>
  <c r="E239" i="21"/>
  <c r="E240" i="21"/>
  <c r="E241" i="21"/>
  <c r="E242" i="21"/>
  <c r="E244" i="21"/>
  <c r="E246" i="21"/>
  <c r="E247" i="21"/>
  <c r="E245" i="21"/>
  <c r="E249" i="21"/>
  <c r="E248" i="21"/>
  <c r="E254" i="21"/>
  <c r="E251" i="21"/>
  <c r="E237" i="21"/>
  <c r="E6" i="21"/>
  <c r="D477" i="9"/>
  <c r="R1106" i="23"/>
  <c r="N1106" i="23"/>
  <c r="O1106" i="23"/>
  <c r="R729" i="12"/>
  <c r="R1107" i="23"/>
  <c r="N1107" i="23"/>
  <c r="O1107" i="23"/>
  <c r="R730" i="12"/>
  <c r="R1108" i="23"/>
  <c r="N1108" i="23"/>
  <c r="O1108" i="23"/>
  <c r="R731" i="12"/>
  <c r="R1109" i="23"/>
  <c r="N1109" i="23"/>
  <c r="O1109" i="23"/>
  <c r="R732" i="12"/>
  <c r="R1115" i="23"/>
  <c r="R1116" i="23"/>
  <c r="N1116" i="23"/>
  <c r="R1117" i="23"/>
  <c r="N1117" i="23"/>
  <c r="R1118" i="23"/>
  <c r="N1118" i="23"/>
  <c r="H1115" i="23"/>
  <c r="R1119" i="23"/>
  <c r="N1119" i="23"/>
  <c r="R1120" i="23"/>
  <c r="N1120" i="23"/>
  <c r="O1115" i="23"/>
  <c r="R1121" i="23"/>
  <c r="R1122" i="23"/>
  <c r="N1122" i="23"/>
  <c r="R1123" i="23"/>
  <c r="N1123" i="23"/>
  <c r="R1124" i="23"/>
  <c r="N1124" i="23"/>
  <c r="O1121" i="23"/>
  <c r="R1126" i="23"/>
  <c r="N1126" i="23"/>
  <c r="R1127" i="23"/>
  <c r="N1127" i="23"/>
  <c r="R1128" i="23"/>
  <c r="N1128" i="23"/>
  <c r="R1129" i="23"/>
  <c r="N1129" i="23"/>
  <c r="R1130" i="23"/>
  <c r="N1130" i="23"/>
  <c r="R1131" i="23"/>
  <c r="N1131" i="23"/>
  <c r="R1132" i="23"/>
  <c r="N1132" i="23"/>
  <c r="R1133" i="23"/>
  <c r="N1133" i="23"/>
  <c r="R1134" i="23"/>
  <c r="N1134" i="23"/>
  <c r="O1125" i="23"/>
  <c r="R1136" i="23"/>
  <c r="N1136" i="23"/>
  <c r="O1135" i="23"/>
  <c r="O1116" i="23"/>
  <c r="O1117" i="23"/>
  <c r="O1118" i="23"/>
  <c r="O1119" i="23"/>
  <c r="O1120" i="23"/>
  <c r="O1122" i="23"/>
  <c r="O1123" i="23"/>
  <c r="O1124" i="23"/>
  <c r="O1126" i="23"/>
  <c r="O1127" i="23"/>
  <c r="O1128" i="23"/>
  <c r="O1129" i="23"/>
  <c r="O1130" i="23"/>
  <c r="O1131" i="23"/>
  <c r="O1132" i="23"/>
  <c r="O1133" i="23"/>
  <c r="O1134" i="23"/>
  <c r="O1136" i="23"/>
  <c r="R1138" i="23"/>
  <c r="N1138" i="23"/>
  <c r="R1139" i="23"/>
  <c r="N1139" i="23"/>
  <c r="R1140" i="23"/>
  <c r="N1140" i="23"/>
  <c r="R1141" i="23"/>
  <c r="N1141" i="23"/>
  <c r="O1137" i="23"/>
  <c r="O1138" i="23"/>
  <c r="O1139" i="23"/>
  <c r="O1140" i="23"/>
  <c r="O1141" i="23"/>
  <c r="R1143" i="23"/>
  <c r="N1143" i="23"/>
  <c r="R1144" i="23"/>
  <c r="N1144" i="23"/>
  <c r="R1145" i="23"/>
  <c r="N1145" i="23"/>
  <c r="R1146" i="23"/>
  <c r="N1146" i="23"/>
  <c r="R1147" i="23"/>
  <c r="N1147" i="23"/>
  <c r="O1142" i="23"/>
  <c r="O1143" i="23"/>
  <c r="O1144" i="23"/>
  <c r="O1145" i="23"/>
  <c r="O1146" i="23"/>
  <c r="O1147" i="23"/>
  <c r="R1149" i="23"/>
  <c r="N1149" i="23"/>
  <c r="R1150" i="23"/>
  <c r="N1150" i="23"/>
  <c r="R1151" i="23"/>
  <c r="N1151" i="23"/>
  <c r="R1152" i="23"/>
  <c r="N1152" i="23"/>
  <c r="O1148" i="23"/>
  <c r="O1149" i="23"/>
  <c r="O1150" i="23"/>
  <c r="O1151" i="23"/>
  <c r="O1152" i="23"/>
  <c r="R1153" i="23"/>
  <c r="R1154" i="23"/>
  <c r="N1154" i="23"/>
  <c r="R1155" i="23"/>
  <c r="N1155" i="23"/>
  <c r="R1156" i="23"/>
  <c r="N1156" i="23"/>
  <c r="R1157" i="23"/>
  <c r="N1157" i="23"/>
  <c r="R1158" i="23"/>
  <c r="N1158" i="23"/>
  <c r="R1159" i="23"/>
  <c r="N1159" i="23"/>
  <c r="R1160" i="23"/>
  <c r="N1160" i="23"/>
  <c r="R1161" i="23"/>
  <c r="N1161" i="23"/>
  <c r="R1162" i="23"/>
  <c r="N1162" i="23"/>
  <c r="R1163" i="23"/>
  <c r="N1163" i="23"/>
  <c r="R1164" i="23"/>
  <c r="N1164" i="23"/>
  <c r="O1153" i="23"/>
  <c r="O1154" i="23"/>
  <c r="O1155" i="23"/>
  <c r="O1156" i="23"/>
  <c r="O1157" i="23"/>
  <c r="O1158" i="23"/>
  <c r="O1159" i="23"/>
  <c r="O1160" i="23"/>
  <c r="O1161" i="23"/>
  <c r="O1162" i="23"/>
  <c r="O1163" i="23"/>
  <c r="O1164" i="23"/>
  <c r="R1165" i="23"/>
  <c r="R1166" i="23"/>
  <c r="N1166" i="23"/>
  <c r="R1167" i="23"/>
  <c r="N1167" i="23"/>
  <c r="R1168" i="23"/>
  <c r="N1168" i="23"/>
  <c r="O1165" i="23"/>
  <c r="O1166" i="23"/>
  <c r="O1167" i="23"/>
  <c r="O1168" i="23"/>
  <c r="R1170" i="23"/>
  <c r="N1170" i="23"/>
  <c r="R1171" i="23"/>
  <c r="N1171" i="23"/>
  <c r="R1172" i="23"/>
  <c r="N1172" i="23"/>
  <c r="O1169" i="23"/>
  <c r="O1170" i="23"/>
  <c r="O1171" i="23"/>
  <c r="O1172" i="23"/>
  <c r="R1174" i="23"/>
  <c r="N1174" i="23"/>
  <c r="R1175" i="23"/>
  <c r="N1175" i="23"/>
  <c r="R1176" i="23"/>
  <c r="N1176" i="23"/>
  <c r="R1177" i="23"/>
  <c r="N1177" i="23"/>
  <c r="R1178" i="23"/>
  <c r="N1178" i="23"/>
  <c r="O1173" i="23"/>
  <c r="O1174" i="23"/>
  <c r="O1175" i="23"/>
  <c r="O1176" i="23"/>
  <c r="O1177" i="23"/>
  <c r="O1178" i="23"/>
  <c r="R1180" i="23"/>
  <c r="N1180" i="23"/>
  <c r="R1181" i="23"/>
  <c r="N1181" i="23"/>
  <c r="R1182" i="23"/>
  <c r="N1182" i="23"/>
  <c r="R1183" i="23"/>
  <c r="N1183" i="23"/>
  <c r="R1184" i="23"/>
  <c r="N1184" i="23"/>
  <c r="R1185" i="23"/>
  <c r="N1185" i="23"/>
  <c r="O1179" i="23"/>
  <c r="O1180" i="23"/>
  <c r="O1181" i="23"/>
  <c r="O1182" i="23"/>
  <c r="O1183" i="23"/>
  <c r="O1184" i="23"/>
  <c r="O1185" i="23"/>
  <c r="R1187" i="23"/>
  <c r="N1187" i="23"/>
  <c r="R1188" i="23"/>
  <c r="N1188" i="23"/>
  <c r="R1189" i="23"/>
  <c r="N1189" i="23"/>
  <c r="R1190" i="23"/>
  <c r="N1190" i="23"/>
  <c r="R1191" i="23"/>
  <c r="N1191" i="23"/>
  <c r="R1192" i="23"/>
  <c r="N1192" i="23"/>
  <c r="O1186" i="23"/>
  <c r="O1187" i="23"/>
  <c r="O1188" i="23"/>
  <c r="O1189" i="23"/>
  <c r="O1190" i="23"/>
  <c r="O1191" i="23"/>
  <c r="O1192" i="23"/>
  <c r="R1194" i="23"/>
  <c r="N1194" i="23"/>
  <c r="R1195" i="23"/>
  <c r="N1195" i="23"/>
  <c r="R1196" i="23"/>
  <c r="N1196" i="23"/>
  <c r="R1197" i="23"/>
  <c r="N1197" i="23"/>
  <c r="O1193" i="23"/>
  <c r="O1194" i="23"/>
  <c r="O1195" i="23"/>
  <c r="O1196" i="23"/>
  <c r="O1197" i="23"/>
  <c r="R1198" i="23"/>
  <c r="R1199" i="23"/>
  <c r="N1199" i="23"/>
  <c r="R1200" i="23"/>
  <c r="N1200" i="23"/>
  <c r="R1201" i="23"/>
  <c r="N1201" i="23"/>
  <c r="R1202" i="23"/>
  <c r="N1202" i="23"/>
  <c r="R1203" i="23"/>
  <c r="N1203" i="23"/>
  <c r="R1204" i="23"/>
  <c r="N1204" i="23"/>
  <c r="R1205" i="23"/>
  <c r="N1205" i="23"/>
  <c r="O1198" i="23"/>
  <c r="O1199" i="23"/>
  <c r="O1200" i="23"/>
  <c r="O1201" i="23"/>
  <c r="O1202" i="23"/>
  <c r="O1203" i="23"/>
  <c r="O1204" i="23"/>
  <c r="O1205" i="23"/>
  <c r="R1207" i="23"/>
  <c r="N1207" i="23"/>
  <c r="R1208" i="23"/>
  <c r="N1208" i="23"/>
  <c r="R1209" i="23"/>
  <c r="N1209" i="23"/>
  <c r="R1210" i="23"/>
  <c r="N1210" i="23"/>
  <c r="R1211" i="23"/>
  <c r="N1211" i="23"/>
  <c r="O1206" i="23"/>
  <c r="O1207" i="23"/>
  <c r="O1208" i="23"/>
  <c r="O1209" i="23"/>
  <c r="O1210" i="23"/>
  <c r="O1211" i="23"/>
  <c r="R1213" i="23"/>
  <c r="N1213" i="23"/>
  <c r="R1214" i="23"/>
  <c r="N1214" i="23"/>
  <c r="R1215" i="23"/>
  <c r="N1215" i="23"/>
  <c r="R1216" i="23"/>
  <c r="N1216" i="23"/>
  <c r="R1217" i="23"/>
  <c r="N1217" i="23"/>
  <c r="R1218" i="23"/>
  <c r="N1218" i="23"/>
  <c r="O1212" i="23"/>
  <c r="O1213" i="23"/>
  <c r="O1214" i="23"/>
  <c r="O1215" i="23"/>
  <c r="O1216" i="23"/>
  <c r="O1217" i="23"/>
  <c r="O1218" i="23"/>
  <c r="R1220" i="23"/>
  <c r="N1220" i="23"/>
  <c r="R1221" i="23"/>
  <c r="N1221" i="23"/>
  <c r="R1222" i="23"/>
  <c r="N1222" i="23"/>
  <c r="R1223" i="23"/>
  <c r="N1223" i="23"/>
  <c r="R1224" i="23"/>
  <c r="N1224" i="23"/>
  <c r="O1219" i="23"/>
  <c r="O1220" i="23"/>
  <c r="O1221" i="23"/>
  <c r="O1222" i="23"/>
  <c r="O1223" i="23"/>
  <c r="O1224" i="23"/>
  <c r="R1225" i="23"/>
  <c r="R1226" i="23"/>
  <c r="N1226" i="23"/>
  <c r="R1227" i="23"/>
  <c r="N1227" i="23"/>
  <c r="R1228" i="23"/>
  <c r="N1228" i="23"/>
  <c r="O1225" i="23"/>
  <c r="O1226" i="23"/>
  <c r="O1227" i="23"/>
  <c r="O1228" i="23"/>
  <c r="R1230" i="23"/>
  <c r="N1230" i="23"/>
  <c r="R1231" i="23"/>
  <c r="N1231" i="23"/>
  <c r="R1232" i="23"/>
  <c r="N1232" i="23"/>
  <c r="R1233" i="23"/>
  <c r="N1233" i="23"/>
  <c r="O1229" i="23"/>
  <c r="O1230" i="23"/>
  <c r="O1231" i="23"/>
  <c r="O1232" i="23"/>
  <c r="O1233" i="23"/>
  <c r="R1235" i="23"/>
  <c r="N1235" i="23"/>
  <c r="R1236" i="23"/>
  <c r="N1236" i="23"/>
  <c r="R1237" i="23"/>
  <c r="N1237" i="23"/>
  <c r="R1238" i="23"/>
  <c r="N1238" i="23"/>
  <c r="R1239" i="23"/>
  <c r="N1239" i="23"/>
  <c r="O1234" i="23"/>
  <c r="O1235" i="23"/>
  <c r="O1236" i="23"/>
  <c r="O1237" i="23"/>
  <c r="O1238" i="23"/>
  <c r="O1239" i="23"/>
  <c r="R1241" i="23"/>
  <c r="N1241" i="23"/>
  <c r="R1242" i="23"/>
  <c r="N1242" i="23"/>
  <c r="R1243" i="23"/>
  <c r="N1243" i="23"/>
  <c r="R1244" i="23"/>
  <c r="N1244" i="23"/>
  <c r="O1240" i="23"/>
  <c r="O1241" i="23"/>
  <c r="O1242" i="23"/>
  <c r="O1243" i="23"/>
  <c r="O1244" i="23"/>
  <c r="R1246" i="23"/>
  <c r="N1246" i="23"/>
  <c r="O1246" i="23"/>
  <c r="R1247" i="23"/>
  <c r="N1247" i="23"/>
  <c r="O1247" i="23"/>
  <c r="N1248" i="23"/>
  <c r="O1248" i="23"/>
  <c r="O1245" i="23"/>
  <c r="R1250" i="23"/>
  <c r="N1250" i="23"/>
  <c r="O1250" i="23"/>
  <c r="O1249" i="23"/>
  <c r="O1114" i="23"/>
  <c r="R733" i="12"/>
  <c r="O1252" i="23"/>
  <c r="R734" i="12"/>
  <c r="R728" i="12"/>
  <c r="R740" i="12"/>
  <c r="R739" i="12"/>
  <c r="R727" i="12"/>
  <c r="R1280" i="23"/>
  <c r="N1280" i="23"/>
  <c r="O1280" i="23"/>
  <c r="R759" i="12"/>
  <c r="R1281" i="23"/>
  <c r="N1281" i="23"/>
  <c r="O1281" i="23"/>
  <c r="R760" i="12"/>
  <c r="R761" i="12"/>
  <c r="R1283" i="23"/>
  <c r="N1283" i="23"/>
  <c r="O1283" i="23"/>
  <c r="R762" i="12"/>
  <c r="R1284" i="23"/>
  <c r="N1284" i="23"/>
  <c r="O1284" i="23"/>
  <c r="R763" i="12"/>
  <c r="R764" i="12"/>
  <c r="R743" i="12"/>
  <c r="R775" i="12"/>
  <c r="R774" i="12"/>
  <c r="R742" i="12"/>
  <c r="R675" i="12"/>
  <c r="R674" i="12"/>
  <c r="R780" i="12"/>
  <c r="R799" i="12"/>
  <c r="R798" i="12"/>
  <c r="R779" i="12"/>
  <c r="R778" i="12"/>
  <c r="R832" i="12"/>
  <c r="R839" i="12"/>
  <c r="R838" i="12"/>
  <c r="N896" i="23"/>
  <c r="O896" i="23"/>
  <c r="R840" i="12"/>
  <c r="R831" i="12"/>
  <c r="R830" i="12"/>
  <c r="R10" i="12"/>
  <c r="R11" i="12"/>
  <c r="R9" i="12"/>
  <c r="C777" i="25"/>
  <c r="C684" i="25"/>
  <c r="C306" i="25"/>
  <c r="C674" i="25"/>
  <c r="C568" i="25"/>
  <c r="C287" i="25"/>
  <c r="C225" i="25"/>
  <c r="C132" i="25"/>
  <c r="C8" i="25"/>
  <c r="C535" i="25"/>
  <c r="N839" i="12"/>
  <c r="C412" i="25"/>
  <c r="C546" i="25"/>
  <c r="C715" i="25"/>
  <c r="C19" i="25"/>
  <c r="C398" i="25"/>
  <c r="C308" i="25"/>
  <c r="C644" i="25"/>
  <c r="C675" i="25"/>
  <c r="C433" i="25"/>
  <c r="C980" i="25"/>
  <c r="C29" i="25"/>
  <c r="C817" i="25"/>
  <c r="C408" i="25"/>
  <c r="C565" i="25"/>
  <c r="N661" i="12"/>
  <c r="C526" i="25"/>
  <c r="C291" i="25"/>
  <c r="C477" i="25"/>
  <c r="C749" i="25"/>
  <c r="C923" i="25"/>
  <c r="C473" i="25"/>
  <c r="C134" i="25"/>
  <c r="C879" i="25"/>
  <c r="C525" i="25"/>
  <c r="C773" i="25"/>
  <c r="C948" i="25"/>
  <c r="C497" i="25"/>
  <c r="C146" i="25"/>
  <c r="C891" i="25"/>
  <c r="C631" i="25"/>
  <c r="C861" i="25"/>
  <c r="C509" i="25"/>
  <c r="C683" i="25"/>
  <c r="C233" i="25"/>
  <c r="C14" i="25"/>
  <c r="N632" i="12"/>
  <c r="C105" i="25"/>
  <c r="C833" i="25"/>
  <c r="C314" i="25"/>
  <c r="C64" i="25"/>
  <c r="C743" i="25"/>
  <c r="C681" i="25"/>
  <c r="M1280" i="23"/>
  <c r="I1280" i="23"/>
  <c r="J1280" i="23"/>
  <c r="N759" i="12"/>
  <c r="C433" i="9"/>
  <c r="M1281" i="23"/>
  <c r="I1281" i="23"/>
  <c r="J1281" i="23"/>
  <c r="N760" i="12"/>
  <c r="C588" i="25"/>
  <c r="C210" i="25"/>
  <c r="C626" i="25"/>
  <c r="C376" i="25"/>
  <c r="C600" i="25"/>
  <c r="C236" i="25"/>
  <c r="C900" i="25"/>
  <c r="C782" i="25"/>
  <c r="C532" i="25"/>
  <c r="C745" i="25"/>
  <c r="C70" i="25"/>
  <c r="C493" i="25"/>
  <c r="C490" i="25"/>
  <c r="C255" i="25"/>
  <c r="C792" i="25"/>
  <c r="C200" i="25"/>
  <c r="C981" i="25"/>
  <c r="C594" i="25"/>
  <c r="C962" i="25"/>
  <c r="C712" i="25"/>
  <c r="C575" i="25"/>
  <c r="C513" i="25"/>
  <c r="E890" i="23"/>
  <c r="J834" i="12"/>
  <c r="C420" i="25"/>
  <c r="C45" i="25"/>
  <c r="C474" i="25"/>
  <c r="C703" i="25"/>
  <c r="C235" i="25"/>
  <c r="C766" i="25"/>
  <c r="C883" i="25"/>
  <c r="C571" i="25"/>
  <c r="C974" i="25"/>
  <c r="C476" i="25"/>
  <c r="C645" i="25"/>
  <c r="C112" i="25"/>
  <c r="C812" i="25"/>
  <c r="C796" i="25"/>
  <c r="C941" i="25"/>
  <c r="C5" i="25"/>
  <c r="C271" i="25"/>
  <c r="C307" i="25"/>
  <c r="C74" i="25"/>
  <c r="C967" i="25"/>
  <c r="C355" i="25"/>
  <c r="C560" i="25"/>
  <c r="C719" i="25"/>
  <c r="C268" i="25"/>
  <c r="C884" i="25"/>
  <c r="C972" i="25"/>
  <c r="C149" i="25"/>
  <c r="C323" i="25"/>
  <c r="C438" i="25"/>
  <c r="C814" i="25"/>
  <c r="C579" i="25"/>
  <c r="C335" i="25"/>
  <c r="C273" i="25"/>
  <c r="C180" i="25"/>
  <c r="C432" i="25"/>
  <c r="C422" i="25"/>
  <c r="C359" i="25"/>
  <c r="C297" i="25"/>
  <c r="C204" i="25"/>
  <c r="C576" i="25"/>
  <c r="C434" i="25"/>
  <c r="C184" i="25"/>
  <c r="C414" i="25"/>
  <c r="C20" i="25"/>
  <c r="C809" i="25"/>
  <c r="C302" i="25"/>
  <c r="C633" i="25"/>
  <c r="C540" i="25"/>
  <c r="C162" i="25"/>
  <c r="C602" i="25"/>
  <c r="C352" i="25"/>
  <c r="C104" i="25"/>
  <c r="C366" i="25"/>
  <c r="C786" i="25"/>
  <c r="C914" i="25"/>
  <c r="C664" i="25"/>
  <c r="C409" i="25"/>
  <c r="C238" i="25"/>
  <c r="C157" i="25"/>
  <c r="C322" i="25"/>
  <c r="C87" i="25"/>
  <c r="C77" i="25"/>
  <c r="C251" i="25"/>
  <c r="C35" i="25"/>
  <c r="C778" i="25"/>
  <c r="C543" i="25"/>
  <c r="C481" i="25"/>
  <c r="C202" i="25"/>
  <c r="C229" i="25"/>
  <c r="C358" i="25"/>
  <c r="C267" i="25"/>
  <c r="C7" i="25"/>
  <c r="C840" i="25"/>
  <c r="C188" i="25"/>
  <c r="C48" i="25"/>
  <c r="C618" i="25"/>
  <c r="C326" i="25"/>
  <c r="C284" i="25"/>
  <c r="C488" i="25"/>
  <c r="C938" i="25"/>
  <c r="C452" i="25"/>
  <c r="C800" i="25"/>
  <c r="C52" i="25"/>
  <c r="C788" i="25"/>
  <c r="C845" i="25"/>
  <c r="C772" i="25"/>
  <c r="C276" i="25"/>
  <c r="C78" i="25"/>
  <c r="C765" i="25"/>
  <c r="C437" i="25"/>
  <c r="C611" i="25"/>
  <c r="C161" i="25"/>
  <c r="C958" i="25"/>
  <c r="C723" i="25"/>
  <c r="C623" i="25"/>
  <c r="C561" i="25"/>
  <c r="C468" i="25"/>
  <c r="C90" i="25"/>
  <c r="C566" i="25"/>
  <c r="C316" i="25"/>
  <c r="C647" i="25"/>
  <c r="C585" i="25"/>
  <c r="C492" i="25"/>
  <c r="C114" i="25"/>
  <c r="C578" i="25"/>
  <c r="C328" i="25"/>
  <c r="C320" i="25"/>
  <c r="C383" i="25"/>
  <c r="C321" i="25"/>
  <c r="C228" i="25"/>
  <c r="C446" i="25"/>
  <c r="C144" i="25"/>
  <c r="C921" i="25"/>
  <c r="C828" i="25"/>
  <c r="C450" i="25"/>
  <c r="C746" i="25"/>
  <c r="C496" i="25"/>
  <c r="C385" i="25"/>
  <c r="C250" i="25"/>
  <c r="C133" i="25"/>
  <c r="C310" i="25"/>
  <c r="C75" i="25"/>
  <c r="C808" i="25"/>
  <c r="C697" i="25"/>
  <c r="C94" i="25"/>
  <c r="C445" i="25"/>
  <c r="C466" i="25"/>
  <c r="C231" i="25"/>
  <c r="C573" i="25"/>
  <c r="C365" i="25"/>
  <c r="C539" i="25"/>
  <c r="C89" i="25"/>
  <c r="C922" i="25"/>
  <c r="C687" i="25"/>
  <c r="C58" i="25"/>
  <c r="C517" i="25"/>
  <c r="C502" i="25"/>
  <c r="J839" i="12"/>
  <c r="C411" i="25"/>
  <c r="C151" i="25"/>
  <c r="C217" i="25"/>
  <c r="C990" i="25"/>
  <c r="C81" i="25"/>
  <c r="C906" i="25"/>
  <c r="C902" i="25"/>
  <c r="C440" i="25"/>
  <c r="C956" i="25"/>
  <c r="C531" i="25"/>
  <c r="C620" i="25"/>
  <c r="C933" i="25"/>
  <c r="C400" i="25"/>
  <c r="C944" i="25"/>
  <c r="C262" i="25"/>
  <c r="C31" i="25"/>
  <c r="C514" i="25"/>
  <c r="C181" i="25"/>
  <c r="J891" i="23"/>
  <c r="N835" i="12"/>
  <c r="C427" i="25"/>
  <c r="C556" i="25"/>
  <c r="C442" i="25"/>
  <c r="C799" i="25"/>
  <c r="C272" i="25"/>
  <c r="C783" i="25"/>
  <c r="C692" i="25"/>
  <c r="C192" i="25"/>
  <c r="C580" i="25"/>
  <c r="C791" i="25"/>
  <c r="C155" i="25"/>
  <c r="C139" i="25"/>
  <c r="C636" i="25"/>
  <c r="C464" i="25"/>
  <c r="C609" i="25"/>
  <c r="C138" i="25"/>
  <c r="C429" i="25"/>
  <c r="C725" i="25"/>
  <c r="C899" i="25"/>
  <c r="C122" i="25"/>
  <c r="C867" i="25"/>
  <c r="C911" i="25"/>
  <c r="C849" i="25"/>
  <c r="C756" i="25"/>
  <c r="C378" i="25"/>
  <c r="C710" i="25"/>
  <c r="C460" i="25"/>
  <c r="C935" i="25"/>
  <c r="C873" i="25"/>
  <c r="C780" i="25"/>
  <c r="C402" i="25"/>
  <c r="C722" i="25"/>
  <c r="C472" i="25"/>
  <c r="C671" i="25"/>
  <c r="C516" i="25"/>
  <c r="H1283" i="23"/>
  <c r="D1283" i="23"/>
  <c r="E1283" i="23"/>
  <c r="J762" i="12"/>
  <c r="C590" i="25"/>
  <c r="C30" i="25"/>
  <c r="C312" i="25"/>
  <c r="C678" i="25"/>
  <c r="C266" i="25"/>
  <c r="C16" i="25"/>
  <c r="C965" i="25"/>
  <c r="C164" i="25"/>
  <c r="C360" i="25"/>
  <c r="C666" i="25"/>
  <c r="C854" i="25"/>
  <c r="C604" i="25"/>
  <c r="C13" i="25"/>
  <c r="C152" i="25"/>
  <c r="C690" i="25"/>
  <c r="C866" i="25"/>
  <c r="C616" i="25"/>
  <c r="C608" i="25"/>
  <c r="C960" i="25"/>
  <c r="C897" i="25"/>
  <c r="C804" i="25"/>
  <c r="C426" i="25"/>
  <c r="C734" i="25"/>
  <c r="C337" i="25"/>
  <c r="C937" i="25"/>
  <c r="C85" i="25"/>
  <c r="C286" i="25"/>
  <c r="C51" i="25"/>
  <c r="C784" i="25"/>
  <c r="C966" i="25"/>
  <c r="C726" i="25"/>
  <c r="C709" i="25"/>
  <c r="C598" i="25"/>
  <c r="C363" i="25"/>
  <c r="C103" i="25"/>
  <c r="C34" i="25"/>
  <c r="C203" i="25"/>
  <c r="C288" i="25"/>
  <c r="C754" i="25"/>
  <c r="C519" i="25"/>
  <c r="C789" i="25"/>
  <c r="C942" i="25"/>
  <c r="C222" i="25"/>
  <c r="C665" i="25"/>
  <c r="C230" i="25"/>
  <c r="C975" i="25"/>
  <c r="C101" i="25"/>
  <c r="C275" i="25"/>
  <c r="C150" i="25"/>
  <c r="C790" i="25"/>
  <c r="C699" i="25"/>
  <c r="C439" i="25"/>
  <c r="C793" i="25"/>
  <c r="C168" i="25"/>
  <c r="C541" i="25"/>
  <c r="C333" i="25"/>
  <c r="C963" i="25"/>
  <c r="C764" i="25"/>
  <c r="C696" i="25"/>
  <c r="C364" i="25"/>
  <c r="C932" i="25"/>
  <c r="C557" i="25"/>
  <c r="C988" i="25"/>
  <c r="C702" i="25"/>
  <c r="C109" i="25"/>
  <c r="C415" i="25"/>
  <c r="C115" i="25"/>
  <c r="C334" i="25"/>
  <c r="C787" i="25"/>
  <c r="C392" i="25"/>
  <c r="C614" i="25"/>
  <c r="C368" i="25"/>
  <c r="C721" i="25"/>
  <c r="C311" i="25"/>
  <c r="C249" i="25"/>
  <c r="C156" i="25"/>
  <c r="C264" i="25"/>
  <c r="C410" i="25"/>
  <c r="C160" i="25"/>
  <c r="C265" i="25"/>
  <c r="C973" i="25"/>
  <c r="C23" i="25"/>
  <c r="C957" i="25"/>
  <c r="C15" i="25"/>
  <c r="C748" i="25"/>
  <c r="C289" i="25"/>
  <c r="C985" i="25"/>
  <c r="C42" i="25"/>
  <c r="C989" i="25"/>
  <c r="C27" i="25"/>
  <c r="C760" i="25"/>
  <c r="C752" i="25"/>
  <c r="C33" i="25"/>
  <c r="C140" i="25"/>
  <c r="C18" i="25"/>
  <c r="C714" i="25"/>
  <c r="C39" i="25"/>
  <c r="C625" i="25"/>
  <c r="C130" i="25"/>
  <c r="C373" i="25"/>
  <c r="C430" i="25"/>
  <c r="C195" i="25"/>
  <c r="C928" i="25"/>
  <c r="C17" i="25"/>
  <c r="C179" i="25"/>
  <c r="C742" i="25"/>
  <c r="C507" i="25"/>
  <c r="C453" i="25"/>
  <c r="C317" i="25"/>
  <c r="C491" i="25"/>
  <c r="C44" i="25"/>
  <c r="C898" i="25"/>
  <c r="C663" i="25"/>
  <c r="C239" i="25"/>
  <c r="C177" i="25"/>
  <c r="C84" i="25"/>
  <c r="C954" i="25"/>
  <c r="C374" i="25"/>
  <c r="C621" i="25"/>
  <c r="C389" i="25"/>
  <c r="C563" i="25"/>
  <c r="C113" i="25"/>
  <c r="C934" i="25"/>
  <c r="C843" i="25"/>
  <c r="C583" i="25"/>
  <c r="C672" i="25"/>
  <c r="C21" i="25"/>
  <c r="C829" i="25"/>
  <c r="C336" i="25"/>
  <c r="C340" i="25"/>
  <c r="C920" i="25"/>
  <c r="C341" i="25"/>
  <c r="C700" i="25"/>
  <c r="C145" i="25"/>
  <c r="C116" i="25"/>
  <c r="C223" i="25"/>
  <c r="C874" i="25"/>
  <c r="C569" i="25"/>
  <c r="C595" i="25"/>
  <c r="C823" i="25"/>
  <c r="C946" i="25"/>
  <c r="C943" i="25"/>
  <c r="C691" i="25"/>
  <c r="C207" i="25"/>
  <c r="C93" i="25"/>
  <c r="C43" i="25"/>
  <c r="C615" i="25"/>
  <c r="C718" i="25"/>
  <c r="C755" i="25"/>
  <c r="C717" i="25"/>
  <c r="C206" i="25"/>
  <c r="C660" i="25"/>
  <c r="C969" i="25"/>
  <c r="C136" i="25"/>
  <c r="C137" i="25"/>
  <c r="C515" i="25"/>
  <c r="C559" i="25"/>
  <c r="C397" i="25"/>
  <c r="C860" i="25"/>
  <c r="C283" i="25"/>
  <c r="C441" i="25"/>
  <c r="C667" i="25"/>
  <c r="C564" i="25"/>
  <c r="C260" i="25"/>
  <c r="C117" i="25"/>
  <c r="C47" i="25"/>
  <c r="C71" i="25"/>
  <c r="C775" i="25"/>
  <c r="C407" i="25"/>
  <c r="C876" i="25"/>
  <c r="C781" i="25"/>
  <c r="C330" i="25"/>
  <c r="C632" i="25"/>
  <c r="C215" i="25"/>
  <c r="C404" i="25"/>
  <c r="C629" i="25"/>
  <c r="C380" i="25"/>
  <c r="C186" i="25"/>
  <c r="C686" i="25"/>
  <c r="C887" i="25"/>
  <c r="C841" i="25"/>
  <c r="C865" i="25"/>
  <c r="C878" i="25"/>
  <c r="C49" i="25"/>
  <c r="C890" i="25"/>
  <c r="J890" i="23"/>
  <c r="N834" i="12"/>
  <c r="C421" i="25"/>
  <c r="C12" i="25"/>
  <c r="C375" i="25"/>
  <c r="C377" i="25"/>
  <c r="C153" i="25"/>
  <c r="C295" i="25"/>
  <c r="C370" i="25"/>
  <c r="C4" i="25"/>
  <c r="C129" i="25"/>
  <c r="C758" i="25"/>
  <c r="C803" i="25"/>
  <c r="C859" i="25"/>
  <c r="C720" i="25"/>
  <c r="C270" i="25"/>
  <c r="C549" i="25"/>
  <c r="C888" i="25"/>
  <c r="C483" i="25"/>
  <c r="C305" i="25"/>
  <c r="C893" i="25"/>
  <c r="C951" i="25"/>
  <c r="C282" i="25"/>
  <c r="C390" i="25"/>
  <c r="C693" i="25"/>
  <c r="C947" i="25"/>
  <c r="C211" i="25"/>
  <c r="C135" i="25"/>
  <c r="C148" i="25"/>
  <c r="C82" i="25"/>
  <c r="C536" i="25"/>
  <c r="C757" i="25"/>
  <c r="C872" i="25"/>
  <c r="C622" i="25"/>
  <c r="C227" i="25"/>
  <c r="C774" i="25"/>
  <c r="C218" i="25"/>
  <c r="C822" i="25"/>
  <c r="C128" i="25"/>
  <c r="C454" i="25"/>
  <c r="C309" i="25"/>
  <c r="C805" i="25"/>
  <c r="C259" i="25"/>
  <c r="C431" i="25"/>
  <c r="H1280" i="23"/>
  <c r="D1280" i="23"/>
  <c r="E1280" i="23"/>
  <c r="J759" i="12"/>
  <c r="D1281" i="23"/>
  <c r="E1281" i="23"/>
  <c r="J760" i="12"/>
  <c r="C587" i="25"/>
  <c r="C825" i="25"/>
  <c r="C648" i="25"/>
  <c r="C198" i="25"/>
  <c r="C601" i="25"/>
  <c r="C345" i="25"/>
  <c r="C208" i="25"/>
  <c r="C498" i="25"/>
  <c r="C92" i="25"/>
  <c r="C676" i="25"/>
  <c r="C634" i="25"/>
  <c r="C863" i="25"/>
  <c r="C730" i="25"/>
  <c r="C296" i="25"/>
  <c r="C361" i="25"/>
  <c r="C67" i="25"/>
  <c r="C79" i="25"/>
  <c r="C60" i="25"/>
  <c r="C848" i="25"/>
  <c r="C729" i="25"/>
  <c r="C658" i="25"/>
  <c r="C37" i="25"/>
  <c r="C797" i="25"/>
  <c r="C640" i="25"/>
  <c r="C870" i="25"/>
  <c r="C86" i="25"/>
  <c r="C505" i="25"/>
  <c r="C495" i="25"/>
  <c r="C776" i="25"/>
  <c r="C216" i="25"/>
  <c r="C451" i="25"/>
  <c r="C478" i="25"/>
  <c r="C254" i="25"/>
  <c r="C544" i="25"/>
  <c r="C732" i="25"/>
  <c r="C589" i="25"/>
  <c r="C613" i="25"/>
  <c r="C142" i="25"/>
  <c r="C131" i="25"/>
  <c r="C959" i="25"/>
  <c r="C50" i="25"/>
  <c r="C624" i="25"/>
  <c r="C815" i="25"/>
  <c r="C662" i="25"/>
  <c r="C689" i="25"/>
  <c r="C413" i="25"/>
  <c r="C964" i="25"/>
  <c r="C353" i="25"/>
  <c r="C910" i="25"/>
  <c r="C607" i="25"/>
  <c r="C619" i="25"/>
  <c r="C650" i="25"/>
  <c r="C369" i="25"/>
  <c r="C855" i="25"/>
  <c r="C258" i="25"/>
  <c r="C628" i="25"/>
  <c r="C423" i="25"/>
  <c r="C256" i="25"/>
  <c r="C916" i="25"/>
  <c r="C354" i="25"/>
  <c r="C550" i="25"/>
  <c r="C673" i="25"/>
  <c r="C653" i="25"/>
  <c r="C831" i="25"/>
  <c r="C646" i="25"/>
  <c r="C247" i="25"/>
  <c r="C680" i="25"/>
  <c r="C279" i="25"/>
  <c r="C927" i="25"/>
  <c r="C163" i="25"/>
  <c r="C278" i="25"/>
  <c r="C521" i="25"/>
  <c r="C617" i="25"/>
  <c r="C885" i="25"/>
  <c r="C931" i="25"/>
  <c r="C853" i="25"/>
  <c r="C761" i="25"/>
  <c r="C785" i="25"/>
  <c r="C252" i="25"/>
  <c r="C480" i="25"/>
  <c r="C510" i="25"/>
  <c r="C384" i="25"/>
  <c r="C399" i="25"/>
  <c r="C882" i="25"/>
  <c r="C801" i="25"/>
  <c r="C871" i="25"/>
  <c r="C332" i="25"/>
  <c r="C436" i="25"/>
  <c r="C955" i="25"/>
  <c r="C243" i="25"/>
  <c r="C318" i="25"/>
  <c r="C830" i="25"/>
  <c r="C292" i="25"/>
  <c r="M1098" i="23"/>
  <c r="I1098" i="23"/>
  <c r="J1098" i="23"/>
  <c r="N718" i="12"/>
  <c r="M1096" i="23"/>
  <c r="M1101" i="23"/>
  <c r="I1101" i="23"/>
  <c r="J1101" i="23"/>
  <c r="N721" i="12"/>
  <c r="C538" i="25"/>
  <c r="C102" i="25"/>
  <c r="C219" i="25"/>
  <c r="C733" i="25"/>
  <c r="C190" i="25"/>
  <c r="C73" i="25"/>
  <c r="C685" i="25"/>
  <c r="C196" i="25"/>
  <c r="C880" i="25"/>
  <c r="C331" i="25"/>
  <c r="C670" i="25"/>
  <c r="C290" i="25"/>
  <c r="C953" i="25"/>
  <c r="C795" i="25"/>
  <c r="C753" i="25"/>
  <c r="C242" i="25"/>
  <c r="C548" i="25"/>
  <c r="C698" i="25"/>
  <c r="C303" i="25"/>
  <c r="C315" i="25"/>
  <c r="C418" i="25"/>
  <c r="C174" i="25"/>
  <c r="C520" i="25"/>
  <c r="C810" i="25"/>
  <c r="C36" i="25"/>
  <c r="C193" i="25"/>
  <c r="C123" i="25"/>
  <c r="C708" i="25"/>
  <c r="C751" i="25"/>
  <c r="C567" i="25"/>
  <c r="C968" i="25"/>
  <c r="C475" i="25"/>
  <c r="C220" i="25"/>
  <c r="C844" i="25"/>
  <c r="C584" i="25"/>
  <c r="C319" i="25"/>
  <c r="C936" i="25"/>
  <c r="C679" i="25"/>
  <c r="C555" i="25"/>
  <c r="C501" i="25"/>
  <c r="C819" i="25"/>
  <c r="C143" i="25"/>
  <c r="C979" i="25"/>
  <c r="C91" i="25"/>
  <c r="C503" i="25"/>
  <c r="C657" i="25"/>
  <c r="C458" i="25"/>
  <c r="C926" i="25"/>
  <c r="C856" i="25"/>
  <c r="C362" i="25"/>
  <c r="C857" i="25"/>
  <c r="C945" i="25"/>
  <c r="C728" i="25"/>
  <c r="C38" i="25"/>
  <c r="C348" i="25"/>
  <c r="C53" i="25"/>
  <c r="C903" i="25"/>
  <c r="C836" i="25"/>
  <c r="C246" i="25"/>
  <c r="C435" i="25"/>
  <c r="C28" i="25"/>
  <c r="C40" i="25"/>
  <c r="C158" i="25"/>
  <c r="C106" i="25"/>
  <c r="C952" i="25"/>
  <c r="C610" i="25"/>
  <c r="C827" i="25"/>
  <c r="C528" i="25"/>
  <c r="C253" i="25"/>
  <c r="C724" i="25"/>
  <c r="C499" i="25"/>
  <c r="C847" i="25"/>
  <c r="C226" i="25"/>
  <c r="C811" i="25"/>
  <c r="C983" i="25"/>
  <c r="C641" i="25"/>
  <c r="C716" i="25"/>
  <c r="C504" i="25"/>
  <c r="C281" i="25"/>
  <c r="AK674" i="19"/>
  <c r="AK426" i="19"/>
  <c r="AK637" i="19"/>
  <c r="AK291" i="19"/>
  <c r="AK468" i="19"/>
  <c r="AK229" i="19"/>
  <c r="AK279" i="19"/>
  <c r="AK604" i="19"/>
  <c r="AK662" i="19"/>
  <c r="AK620" i="19"/>
  <c r="AK639" i="19"/>
  <c r="AK28" i="19"/>
  <c r="AK26" i="19"/>
  <c r="AK588" i="19"/>
  <c r="AK713" i="19"/>
  <c r="AK460" i="19"/>
  <c r="AK17" i="19"/>
  <c r="AK695" i="19"/>
  <c r="AK667" i="19"/>
  <c r="AK668" i="19"/>
  <c r="AK671" i="19"/>
  <c r="AK556" i="19"/>
  <c r="AK559" i="19"/>
  <c r="AK566" i="19"/>
  <c r="AK464" i="19"/>
  <c r="AK421" i="19"/>
  <c r="AK733" i="19"/>
  <c r="AK495" i="19"/>
  <c r="AK521" i="19"/>
  <c r="AK602" i="19"/>
  <c r="AK171" i="19"/>
  <c r="AK248" i="19"/>
  <c r="AK480" i="19"/>
  <c r="AK759" i="19"/>
  <c r="AK72" i="19"/>
  <c r="AK89" i="19"/>
  <c r="AK96" i="19"/>
  <c r="AK101" i="19"/>
  <c r="AK127" i="19"/>
  <c r="AK140" i="19"/>
  <c r="AK159" i="19"/>
  <c r="AK176" i="19"/>
  <c r="AK207" i="19"/>
  <c r="AK212" i="19"/>
  <c r="AK217" i="19"/>
  <c r="AK224" i="19"/>
  <c r="AK243" i="19"/>
  <c r="AK255" i="19"/>
  <c r="AK260" i="19"/>
  <c r="AK265" i="19"/>
  <c r="AK272" i="19"/>
  <c r="AK277" i="19"/>
  <c r="AK282" i="19"/>
  <c r="AK294" i="19"/>
  <c r="AK329" i="19"/>
  <c r="AK362" i="19"/>
  <c r="AK367" i="19"/>
  <c r="AK483" i="19"/>
  <c r="AK500" i="19"/>
  <c r="AK84" i="19"/>
  <c r="AK94" i="19"/>
  <c r="AK106" i="19"/>
  <c r="AK125" i="19"/>
  <c r="AK130" i="19"/>
  <c r="AK152" i="19"/>
  <c r="AK157" i="19"/>
  <c r="AK164" i="19"/>
  <c r="AK169" i="19"/>
  <c r="AK174" i="19"/>
  <c r="AK183" i="19"/>
  <c r="AK205" i="19"/>
  <c r="AK210" i="19"/>
  <c r="AK219" i="19"/>
  <c r="AK236" i="19"/>
  <c r="AK241" i="19"/>
  <c r="AK289" i="19"/>
  <c r="AK296" i="19"/>
  <c r="AK301" i="19"/>
  <c r="AK316" i="19"/>
  <c r="AK355" i="19"/>
  <c r="AK360" i="19"/>
  <c r="AK372" i="19"/>
  <c r="AK352" i="19"/>
  <c r="AK654" i="19"/>
  <c r="AK190" i="19"/>
  <c r="AK326" i="19"/>
  <c r="AK364" i="19"/>
  <c r="AK513" i="19"/>
  <c r="AK541" i="19"/>
  <c r="AK574" i="19"/>
  <c r="AK629" i="19"/>
  <c r="AK652" i="19"/>
  <c r="AK659" i="19"/>
  <c r="O160" i="23"/>
  <c r="P160" i="23"/>
  <c r="AK476" i="19"/>
  <c r="D956" i="25"/>
  <c r="D955" i="25"/>
  <c r="D992" i="25"/>
  <c r="D991" i="25"/>
  <c r="D985" i="25"/>
  <c r="D979" i="25"/>
  <c r="D973" i="25"/>
  <c r="D967" i="25"/>
  <c r="D964" i="25"/>
  <c r="D958" i="25"/>
  <c r="D950" i="25"/>
  <c r="D944" i="25"/>
  <c r="D939" i="25"/>
  <c r="D933" i="25"/>
  <c r="D927" i="25"/>
  <c r="D921" i="25"/>
  <c r="D915" i="25"/>
  <c r="D909" i="25"/>
  <c r="D903" i="25"/>
  <c r="D897" i="25"/>
  <c r="D891" i="25"/>
  <c r="D885" i="25"/>
  <c r="D879" i="25"/>
  <c r="D873" i="25"/>
  <c r="D867" i="25"/>
  <c r="D861" i="25"/>
  <c r="D855" i="25"/>
  <c r="D849" i="25"/>
  <c r="D843" i="25"/>
  <c r="D837" i="25"/>
  <c r="D831" i="25"/>
  <c r="D825" i="25"/>
  <c r="D819" i="25"/>
  <c r="D813" i="25"/>
  <c r="D807" i="25"/>
  <c r="D801" i="25"/>
  <c r="D795" i="25"/>
  <c r="D789" i="25"/>
  <c r="D783" i="25"/>
  <c r="D777" i="25"/>
  <c r="D765" i="25"/>
  <c r="D759" i="25"/>
  <c r="D753" i="25"/>
  <c r="D747" i="25"/>
  <c r="D741" i="25"/>
  <c r="D735" i="25"/>
  <c r="D729" i="25"/>
  <c r="D723" i="25"/>
  <c r="D717" i="25"/>
  <c r="D711" i="25"/>
  <c r="D705" i="25"/>
  <c r="D699" i="25"/>
  <c r="D693" i="25"/>
  <c r="D687" i="25"/>
  <c r="D681" i="25"/>
  <c r="D675" i="25"/>
  <c r="D669" i="25"/>
  <c r="D663" i="25"/>
  <c r="D657" i="25"/>
  <c r="D651" i="25"/>
  <c r="D645" i="25"/>
  <c r="D639" i="25"/>
  <c r="D633" i="25"/>
  <c r="D990" i="25"/>
  <c r="D984" i="25"/>
  <c r="D978" i="25"/>
  <c r="D972" i="25"/>
  <c r="D963" i="25"/>
  <c r="D957" i="25"/>
  <c r="D949" i="25"/>
  <c r="D938" i="25"/>
  <c r="D932" i="25"/>
  <c r="D926" i="25"/>
  <c r="D920" i="25"/>
  <c r="D914" i="25"/>
  <c r="D908" i="25"/>
  <c r="D902" i="25"/>
  <c r="D896" i="25"/>
  <c r="D890" i="25"/>
  <c r="D884" i="25"/>
  <c r="D878" i="25"/>
  <c r="D872" i="25"/>
  <c r="D866" i="25"/>
  <c r="D860" i="25"/>
  <c r="D854" i="25"/>
  <c r="D848" i="25"/>
  <c r="D842" i="25"/>
  <c r="D836" i="25"/>
  <c r="D830" i="25"/>
  <c r="D824" i="25"/>
  <c r="D818" i="25"/>
  <c r="D812" i="25"/>
  <c r="D806" i="25"/>
  <c r="D800" i="25"/>
  <c r="D794" i="25"/>
  <c r="D788" i="25"/>
  <c r="D782" i="25"/>
  <c r="D776" i="25"/>
  <c r="D770" i="25"/>
  <c r="D764" i="25"/>
  <c r="D758" i="25"/>
  <c r="D752" i="25"/>
  <c r="D746" i="25"/>
  <c r="D740" i="25"/>
  <c r="D734" i="25"/>
  <c r="D728" i="25"/>
  <c r="D722" i="25"/>
  <c r="D716" i="25"/>
  <c r="D710" i="25"/>
  <c r="D704" i="25"/>
  <c r="D698" i="25"/>
  <c r="D692" i="25"/>
  <c r="D686" i="25"/>
  <c r="D680" i="25"/>
  <c r="D674" i="25"/>
  <c r="D668" i="25"/>
  <c r="D662" i="25"/>
  <c r="D656" i="25"/>
  <c r="D650" i="25"/>
  <c r="D644" i="25"/>
  <c r="D638" i="25"/>
  <c r="D632" i="25"/>
  <c r="D626" i="25"/>
  <c r="D620" i="25"/>
  <c r="D614" i="25"/>
  <c r="D608" i="25"/>
  <c r="D602" i="25"/>
  <c r="D596" i="25"/>
  <c r="D590" i="25"/>
  <c r="D584" i="25"/>
  <c r="D578" i="25"/>
  <c r="D572" i="25"/>
  <c r="D566" i="25"/>
  <c r="D560" i="25"/>
  <c r="D554" i="25"/>
  <c r="D548" i="25"/>
  <c r="D542" i="25"/>
  <c r="D536" i="25"/>
  <c r="D530" i="25"/>
  <c r="D524" i="25"/>
  <c r="D518" i="25"/>
  <c r="D512" i="25"/>
  <c r="D506" i="25"/>
  <c r="D500" i="25"/>
  <c r="D494" i="25"/>
  <c r="D488" i="25"/>
  <c r="D989" i="25"/>
  <c r="D983" i="25"/>
  <c r="D977" i="25"/>
  <c r="D971" i="25"/>
  <c r="D962" i="25"/>
  <c r="D954" i="25"/>
  <c r="D948" i="25"/>
  <c r="D943" i="25"/>
  <c r="D937" i="25"/>
  <c r="D931" i="25"/>
  <c r="D925" i="25"/>
  <c r="D913" i="25"/>
  <c r="D907" i="25"/>
  <c r="D901" i="25"/>
  <c r="D895" i="25"/>
  <c r="D889" i="25"/>
  <c r="D883" i="25"/>
  <c r="D877" i="25"/>
  <c r="D871" i="25"/>
  <c r="D865" i="25"/>
  <c r="D859" i="25"/>
  <c r="D853" i="25"/>
  <c r="D847" i="25"/>
  <c r="D841" i="25"/>
  <c r="D835" i="25"/>
  <c r="D829" i="25"/>
  <c r="D823" i="25"/>
  <c r="D817" i="25"/>
  <c r="D811" i="25"/>
  <c r="D805" i="25"/>
  <c r="D799" i="25"/>
  <c r="D793" i="25"/>
  <c r="D787" i="25"/>
  <c r="D781" i="25"/>
  <c r="D775" i="25"/>
  <c r="D769" i="25"/>
  <c r="D763" i="25"/>
  <c r="D757" i="25"/>
  <c r="D751" i="25"/>
  <c r="D745" i="25"/>
  <c r="D739" i="25"/>
  <c r="D733" i="25"/>
  <c r="D727" i="25"/>
  <c r="D721" i="25"/>
  <c r="D715" i="25"/>
  <c r="D709" i="25"/>
  <c r="D703" i="25"/>
  <c r="D697" i="25"/>
  <c r="D691" i="25"/>
  <c r="D685" i="25"/>
  <c r="D679" i="25"/>
  <c r="D673" i="25"/>
  <c r="D667" i="25"/>
  <c r="D661" i="25"/>
  <c r="D655" i="25"/>
  <c r="D649" i="25"/>
  <c r="D643" i="25"/>
  <c r="D637" i="25"/>
  <c r="D631" i="25"/>
  <c r="D625" i="25"/>
  <c r="D619" i="25"/>
  <c r="D613" i="25"/>
  <c r="D607" i="25"/>
  <c r="D601" i="25"/>
  <c r="D595" i="25"/>
  <c r="D589" i="25"/>
  <c r="D583" i="25"/>
  <c r="D577" i="25"/>
  <c r="D571" i="25"/>
  <c r="D565" i="25"/>
  <c r="D559" i="25"/>
  <c r="D553" i="25"/>
  <c r="D547" i="25"/>
  <c r="D541" i="25"/>
  <c r="D535" i="25"/>
  <c r="D529" i="25"/>
  <c r="D517" i="25"/>
  <c r="D511" i="25"/>
  <c r="D505" i="25"/>
  <c r="D499" i="25"/>
  <c r="D493" i="25"/>
  <c r="D487" i="25"/>
  <c r="D988" i="25"/>
  <c r="D982" i="25"/>
  <c r="D976" i="25"/>
  <c r="D970" i="25"/>
  <c r="D961" i="25"/>
  <c r="D953" i="25"/>
  <c r="D947" i="25"/>
  <c r="D942" i="25"/>
  <c r="D936" i="25"/>
  <c r="D930" i="25"/>
  <c r="D924" i="25"/>
  <c r="D918" i="25"/>
  <c r="D912" i="25"/>
  <c r="D906" i="25"/>
  <c r="D900" i="25"/>
  <c r="D894" i="25"/>
  <c r="D888" i="25"/>
  <c r="D882" i="25"/>
  <c r="D876" i="25"/>
  <c r="D870" i="25"/>
  <c r="D864" i="25"/>
  <c r="D858" i="25"/>
  <c r="D852" i="25"/>
  <c r="D846" i="25"/>
  <c r="D840" i="25"/>
  <c r="D834" i="25"/>
  <c r="D828" i="25"/>
  <c r="D822" i="25"/>
  <c r="D816" i="25"/>
  <c r="D810" i="25"/>
  <c r="D804" i="25"/>
  <c r="D798" i="25"/>
  <c r="D792" i="25"/>
  <c r="D786" i="25"/>
  <c r="D780" i="25"/>
  <c r="D774" i="25"/>
  <c r="D768" i="25"/>
  <c r="D762" i="25"/>
  <c r="D756" i="25"/>
  <c r="D750" i="25"/>
  <c r="D744" i="25"/>
  <c r="D732" i="25"/>
  <c r="D726" i="25"/>
  <c r="D720" i="25"/>
  <c r="D714" i="25"/>
  <c r="D708" i="25"/>
  <c r="D702" i="25"/>
  <c r="D696" i="25"/>
  <c r="D690" i="25"/>
  <c r="D684" i="25"/>
  <c r="D678" i="25"/>
  <c r="D672" i="25"/>
  <c r="D666" i="25"/>
  <c r="D660" i="25"/>
  <c r="D654" i="25"/>
  <c r="D648" i="25"/>
  <c r="D642" i="25"/>
  <c r="D636" i="25"/>
  <c r="D630" i="25"/>
  <c r="D624" i="25"/>
  <c r="D618" i="25"/>
  <c r="D612" i="25"/>
  <c r="D606" i="25"/>
  <c r="D600" i="25"/>
  <c r="D594" i="25"/>
  <c r="D588" i="25"/>
  <c r="D582" i="25"/>
  <c r="D576" i="25"/>
  <c r="D570" i="25"/>
  <c r="D564" i="25"/>
  <c r="D558" i="25"/>
  <c r="D552" i="25"/>
  <c r="D546" i="25"/>
  <c r="D540" i="25"/>
  <c r="D534" i="25"/>
  <c r="D528" i="25"/>
  <c r="D522" i="25"/>
  <c r="D516" i="25"/>
  <c r="D510" i="25"/>
  <c r="D504" i="25"/>
  <c r="D498" i="25"/>
  <c r="D492" i="25"/>
  <c r="D486" i="25"/>
  <c r="D986" i="25"/>
  <c r="D980" i="25"/>
  <c r="D974" i="25"/>
  <c r="D968" i="25"/>
  <c r="D965" i="25"/>
  <c r="D959" i="25"/>
  <c r="D951" i="25"/>
  <c r="D945" i="25"/>
  <c r="D940" i="25"/>
  <c r="D934" i="25"/>
  <c r="D928" i="25"/>
  <c r="D922" i="25"/>
  <c r="D916" i="25"/>
  <c r="D910" i="25"/>
  <c r="D904" i="25"/>
  <c r="D898" i="25"/>
  <c r="D892" i="25"/>
  <c r="D886" i="25"/>
  <c r="D880" i="25"/>
  <c r="D874" i="25"/>
  <c r="D868" i="25"/>
  <c r="D862" i="25"/>
  <c r="D856" i="25"/>
  <c r="D850" i="25"/>
  <c r="D844" i="25"/>
  <c r="D838" i="25"/>
  <c r="D832" i="25"/>
  <c r="D826" i="25"/>
  <c r="D820" i="25"/>
  <c r="D814" i="25"/>
  <c r="D808" i="25"/>
  <c r="D802" i="25"/>
  <c r="D796" i="25"/>
  <c r="D790" i="25"/>
  <c r="D784" i="25"/>
  <c r="D778" i="25"/>
  <c r="D772" i="25"/>
  <c r="D766" i="25"/>
  <c r="D760" i="25"/>
  <c r="D754" i="25"/>
  <c r="D748" i="25"/>
  <c r="D742" i="25"/>
  <c r="D736" i="25"/>
  <c r="D730" i="25"/>
  <c r="D724" i="25"/>
  <c r="D718" i="25"/>
  <c r="D712" i="25"/>
  <c r="D706" i="25"/>
  <c r="D700" i="25"/>
  <c r="D694" i="25"/>
  <c r="D688" i="25"/>
  <c r="D682" i="25"/>
  <c r="D676" i="25"/>
  <c r="D670" i="25"/>
  <c r="D664" i="25"/>
  <c r="D658" i="25"/>
  <c r="D652" i="25"/>
  <c r="D646" i="25"/>
  <c r="D640" i="25"/>
  <c r="D634" i="25"/>
  <c r="D628" i="25"/>
  <c r="D622" i="25"/>
  <c r="D616" i="25"/>
  <c r="D610" i="25"/>
  <c r="D604" i="25"/>
  <c r="D598" i="25"/>
  <c r="D592" i="25"/>
  <c r="D586" i="25"/>
  <c r="D580" i="25"/>
  <c r="D574" i="25"/>
  <c r="D568" i="25"/>
  <c r="D562" i="25"/>
  <c r="D556" i="25"/>
  <c r="D550" i="25"/>
  <c r="D544" i="25"/>
  <c r="D538" i="25"/>
  <c r="D532" i="25"/>
  <c r="D526" i="25"/>
  <c r="D520" i="25"/>
  <c r="D514" i="25"/>
  <c r="D508" i="25"/>
  <c r="D502" i="25"/>
  <c r="D496" i="25"/>
  <c r="D490" i="25"/>
  <c r="D484" i="25"/>
  <c r="D987" i="25"/>
  <c r="D917" i="25"/>
  <c r="D845" i="25"/>
  <c r="D773" i="25"/>
  <c r="D701" i="25"/>
  <c r="D629" i="25"/>
  <c r="D593" i="25"/>
  <c r="D557" i="25"/>
  <c r="D521" i="25"/>
  <c r="D981" i="25"/>
  <c r="D911" i="25"/>
  <c r="D839" i="25"/>
  <c r="D767" i="25"/>
  <c r="D695" i="25"/>
  <c r="D627" i="25"/>
  <c r="D591" i="25"/>
  <c r="D555" i="25"/>
  <c r="D519" i="25"/>
  <c r="D491" i="25"/>
  <c r="D479" i="25"/>
  <c r="D473" i="25"/>
  <c r="D467" i="25"/>
  <c r="D461" i="25"/>
  <c r="D455" i="25"/>
  <c r="D449" i="25"/>
  <c r="D443" i="25"/>
  <c r="D437" i="25"/>
  <c r="D431" i="25"/>
  <c r="D425" i="25"/>
  <c r="D419" i="25"/>
  <c r="D413" i="25"/>
  <c r="D407" i="25"/>
  <c r="D401" i="25"/>
  <c r="D395" i="25"/>
  <c r="D389" i="25"/>
  <c r="D383" i="25"/>
  <c r="D377" i="25"/>
  <c r="D371" i="25"/>
  <c r="D365" i="25"/>
  <c r="D359" i="25"/>
  <c r="D353" i="25"/>
  <c r="D347" i="25"/>
  <c r="D341" i="25"/>
  <c r="D335" i="25"/>
  <c r="D329" i="25"/>
  <c r="D317" i="25"/>
  <c r="D311" i="25"/>
  <c r="D305" i="25"/>
  <c r="D299" i="25"/>
  <c r="D293" i="25"/>
  <c r="D287" i="25"/>
  <c r="D281" i="25"/>
  <c r="D275" i="25"/>
  <c r="D269" i="25"/>
  <c r="D263" i="25"/>
  <c r="D257" i="25"/>
  <c r="D251" i="25"/>
  <c r="D245" i="25"/>
  <c r="D239" i="25"/>
  <c r="D233" i="25"/>
  <c r="D227" i="25"/>
  <c r="D221" i="25"/>
  <c r="D215" i="25"/>
  <c r="D209" i="25"/>
  <c r="D203" i="25"/>
  <c r="D197" i="25"/>
  <c r="D191" i="25"/>
  <c r="D185" i="25"/>
  <c r="D179" i="25"/>
  <c r="D167" i="25"/>
  <c r="D161" i="25"/>
  <c r="D155" i="25"/>
  <c r="D149" i="25"/>
  <c r="D143" i="25"/>
  <c r="D137" i="25"/>
  <c r="D131" i="25"/>
  <c r="D125" i="25"/>
  <c r="D113" i="25"/>
  <c r="D107" i="25"/>
  <c r="D101" i="25"/>
  <c r="D95" i="25"/>
  <c r="D89" i="25"/>
  <c r="D83" i="25"/>
  <c r="D77" i="25"/>
  <c r="D71" i="25"/>
  <c r="D65" i="25"/>
  <c r="D59" i="25"/>
  <c r="D53" i="25"/>
  <c r="D47" i="25"/>
  <c r="D41" i="25"/>
  <c r="D35" i="25"/>
  <c r="D29" i="25"/>
  <c r="D23" i="25"/>
  <c r="D17" i="25"/>
  <c r="D975" i="25"/>
  <c r="D905" i="25"/>
  <c r="D833" i="25"/>
  <c r="D761" i="25"/>
  <c r="D689" i="25"/>
  <c r="D623" i="25"/>
  <c r="D587" i="25"/>
  <c r="D551" i="25"/>
  <c r="D515" i="25"/>
  <c r="D489" i="25"/>
  <c r="D969" i="25"/>
  <c r="D899" i="25"/>
  <c r="D827" i="25"/>
  <c r="D755" i="25"/>
  <c r="D683" i="25"/>
  <c r="D621" i="25"/>
  <c r="D585" i="25"/>
  <c r="D549" i="25"/>
  <c r="D513" i="25"/>
  <c r="D478" i="25"/>
  <c r="D472" i="25"/>
  <c r="D466" i="25"/>
  <c r="D460" i="25"/>
  <c r="D454" i="25"/>
  <c r="D448" i="25"/>
  <c r="D966" i="25"/>
  <c r="D893" i="25"/>
  <c r="D821" i="25"/>
  <c r="D749" i="25"/>
  <c r="D677" i="25"/>
  <c r="D617" i="25"/>
  <c r="D581" i="25"/>
  <c r="D545" i="25"/>
  <c r="D509" i="25"/>
  <c r="D485" i="25"/>
  <c r="D960" i="25"/>
  <c r="D887" i="25"/>
  <c r="D815" i="25"/>
  <c r="D743" i="25"/>
  <c r="D671" i="25"/>
  <c r="D615" i="25"/>
  <c r="D579" i="25"/>
  <c r="D543" i="25"/>
  <c r="D507" i="25"/>
  <c r="D483" i="25"/>
  <c r="D477" i="25"/>
  <c r="D471" i="25"/>
  <c r="D465" i="25"/>
  <c r="D459" i="25"/>
  <c r="D453" i="25"/>
  <c r="D447" i="25"/>
  <c r="D441" i="25"/>
  <c r="D435" i="25"/>
  <c r="D429" i="25"/>
  <c r="D423" i="25"/>
  <c r="D417" i="25"/>
  <c r="D411" i="25"/>
  <c r="D405" i="25"/>
  <c r="D399" i="25"/>
  <c r="D393" i="25"/>
  <c r="D387" i="25"/>
  <c r="D381" i="25"/>
  <c r="D375" i="25"/>
  <c r="D369" i="25"/>
  <c r="D363" i="25"/>
  <c r="D357" i="25"/>
  <c r="D351" i="25"/>
  <c r="D345" i="25"/>
  <c r="D339" i="25"/>
  <c r="D333" i="25"/>
  <c r="D327" i="25"/>
  <c r="D315" i="25"/>
  <c r="D309" i="25"/>
  <c r="D303" i="25"/>
  <c r="D297" i="25"/>
  <c r="D291" i="25"/>
  <c r="D285" i="25"/>
  <c r="D279" i="25"/>
  <c r="D273" i="25"/>
  <c r="D267" i="25"/>
  <c r="D261" i="25"/>
  <c r="D255" i="25"/>
  <c r="D249" i="25"/>
  <c r="D243" i="25"/>
  <c r="D237" i="25"/>
  <c r="D231" i="25"/>
  <c r="D225" i="25"/>
  <c r="D219" i="25"/>
  <c r="D213" i="25"/>
  <c r="D207" i="25"/>
  <c r="D201" i="25"/>
  <c r="D195" i="25"/>
  <c r="D189" i="25"/>
  <c r="D183" i="25"/>
  <c r="D177" i="25"/>
  <c r="D171" i="25"/>
  <c r="D165" i="25"/>
  <c r="D159" i="25"/>
  <c r="D153" i="25"/>
  <c r="D147" i="25"/>
  <c r="D141" i="25"/>
  <c r="D135" i="25"/>
  <c r="D952" i="25"/>
  <c r="D809" i="25"/>
  <c r="D737" i="25"/>
  <c r="D665" i="25"/>
  <c r="D611" i="25"/>
  <c r="D575" i="25"/>
  <c r="D539" i="25"/>
  <c r="D946" i="25"/>
  <c r="D875" i="25"/>
  <c r="D803" i="25"/>
  <c r="D731" i="25"/>
  <c r="D659" i="25"/>
  <c r="D609" i="25"/>
  <c r="D573" i="25"/>
  <c r="D537" i="25"/>
  <c r="D503" i="25"/>
  <c r="D482" i="25"/>
  <c r="D476" i="25"/>
  <c r="D470" i="25"/>
  <c r="D464" i="25"/>
  <c r="D458" i="25"/>
  <c r="D452" i="25"/>
  <c r="D446" i="25"/>
  <c r="D440" i="25"/>
  <c r="D434" i="25"/>
  <c r="D428" i="25"/>
  <c r="D422" i="25"/>
  <c r="D416" i="25"/>
  <c r="D410" i="25"/>
  <c r="D404" i="25"/>
  <c r="D398" i="25"/>
  <c r="D392" i="25"/>
  <c r="D386" i="25"/>
  <c r="D380" i="25"/>
  <c r="D374" i="25"/>
  <c r="D368" i="25"/>
  <c r="D362" i="25"/>
  <c r="D356" i="25"/>
  <c r="D350" i="25"/>
  <c r="D344" i="25"/>
  <c r="D338" i="25"/>
  <c r="D332" i="25"/>
  <c r="D326" i="25"/>
  <c r="D320" i="25"/>
  <c r="D314" i="25"/>
  <c r="D308" i="25"/>
  <c r="D302" i="25"/>
  <c r="D296" i="25"/>
  <c r="D290" i="25"/>
  <c r="D284" i="25"/>
  <c r="D278" i="25"/>
  <c r="D272" i="25"/>
  <c r="D266" i="25"/>
  <c r="D260" i="25"/>
  <c r="D254" i="25"/>
  <c r="D248" i="25"/>
  <c r="D242" i="25"/>
  <c r="D236" i="25"/>
  <c r="D230" i="25"/>
  <c r="D224" i="25"/>
  <c r="D218" i="25"/>
  <c r="D212" i="25"/>
  <c r="D206" i="25"/>
  <c r="D200" i="25"/>
  <c r="D194" i="25"/>
  <c r="D188" i="25"/>
  <c r="D182" i="25"/>
  <c r="D176" i="25"/>
  <c r="D170" i="25"/>
  <c r="D164" i="25"/>
  <c r="D158" i="25"/>
  <c r="D152" i="25"/>
  <c r="D146" i="25"/>
  <c r="D140" i="25"/>
  <c r="D134" i="25"/>
  <c r="D128" i="25"/>
  <c r="D122" i="25"/>
  <c r="D116" i="25"/>
  <c r="D110" i="25"/>
  <c r="D104" i="25"/>
  <c r="D98" i="25"/>
  <c r="D92" i="25"/>
  <c r="D86" i="25"/>
  <c r="D80" i="25"/>
  <c r="D74" i="25"/>
  <c r="D68" i="25"/>
  <c r="D62" i="25"/>
  <c r="D50" i="25"/>
  <c r="D44" i="25"/>
  <c r="D38" i="25"/>
  <c r="D32" i="25"/>
  <c r="D923" i="25"/>
  <c r="D851" i="25"/>
  <c r="D779" i="25"/>
  <c r="D707" i="25"/>
  <c r="D635" i="25"/>
  <c r="D597" i="25"/>
  <c r="D561" i="25"/>
  <c r="D525" i="25"/>
  <c r="D495" i="25"/>
  <c r="D480" i="25"/>
  <c r="D474" i="25"/>
  <c r="D468" i="25"/>
  <c r="D462" i="25"/>
  <c r="D456" i="25"/>
  <c r="D450" i="25"/>
  <c r="D444" i="25"/>
  <c r="D438" i="25"/>
  <c r="D432" i="25"/>
  <c r="D426" i="25"/>
  <c r="D420" i="25"/>
  <c r="D414" i="25"/>
  <c r="D408" i="25"/>
  <c r="D402" i="25"/>
  <c r="D396" i="25"/>
  <c r="D390" i="25"/>
  <c r="D384" i="25"/>
  <c r="D378" i="25"/>
  <c r="D372" i="25"/>
  <c r="D366" i="25"/>
  <c r="D360" i="25"/>
  <c r="D354" i="25"/>
  <c r="D348" i="25"/>
  <c r="D342" i="25"/>
  <c r="D336" i="25"/>
  <c r="D330" i="25"/>
  <c r="D324" i="25"/>
  <c r="D318" i="25"/>
  <c r="D312" i="25"/>
  <c r="D306" i="25"/>
  <c r="D300" i="25"/>
  <c r="D294" i="25"/>
  <c r="D288" i="25"/>
  <c r="D282" i="25"/>
  <c r="D276" i="25"/>
  <c r="D270" i="25"/>
  <c r="D264" i="25"/>
  <c r="D258" i="25"/>
  <c r="D252" i="25"/>
  <c r="D246" i="25"/>
  <c r="D240" i="25"/>
  <c r="D234" i="25"/>
  <c r="D228" i="25"/>
  <c r="D222" i="25"/>
  <c r="D216" i="25"/>
  <c r="D210" i="25"/>
  <c r="D204" i="25"/>
  <c r="D198" i="25"/>
  <c r="D192" i="25"/>
  <c r="D186" i="25"/>
  <c r="D180" i="25"/>
  <c r="D174" i="25"/>
  <c r="D168" i="25"/>
  <c r="D162" i="25"/>
  <c r="D156" i="25"/>
  <c r="D150" i="25"/>
  <c r="D144" i="25"/>
  <c r="D138" i="25"/>
  <c r="D941" i="25"/>
  <c r="D653" i="25"/>
  <c r="D501" i="25"/>
  <c r="D442" i="25"/>
  <c r="D424" i="25"/>
  <c r="D367" i="25"/>
  <c r="D352" i="25"/>
  <c r="D295" i="25"/>
  <c r="D280" i="25"/>
  <c r="D223" i="25"/>
  <c r="D120" i="25"/>
  <c r="D96" i="25"/>
  <c r="D72" i="25"/>
  <c r="D48" i="25"/>
  <c r="D11" i="25"/>
  <c r="D5" i="25"/>
  <c r="D430" i="25"/>
  <c r="D241" i="25"/>
  <c r="D105" i="25"/>
  <c r="D935" i="25"/>
  <c r="D647" i="25"/>
  <c r="D463" i="25"/>
  <c r="D409" i="25"/>
  <c r="D394" i="25"/>
  <c r="D337" i="25"/>
  <c r="D265" i="25"/>
  <c r="D250" i="25"/>
  <c r="D127" i="25"/>
  <c r="D111" i="25"/>
  <c r="D103" i="25"/>
  <c r="D87" i="25"/>
  <c r="D63" i="25"/>
  <c r="D31" i="25"/>
  <c r="D142" i="25"/>
  <c r="D7" i="25"/>
  <c r="D114" i="25"/>
  <c r="D73" i="25"/>
  <c r="D929" i="25"/>
  <c r="D641" i="25"/>
  <c r="D497" i="25"/>
  <c r="D439" i="25"/>
  <c r="D379" i="25"/>
  <c r="D364" i="25"/>
  <c r="D307" i="25"/>
  <c r="D292" i="25"/>
  <c r="D235" i="25"/>
  <c r="D220" i="25"/>
  <c r="D208" i="25"/>
  <c r="D196" i="25"/>
  <c r="D184" i="25"/>
  <c r="D172" i="25"/>
  <c r="D160" i="25"/>
  <c r="D148" i="25"/>
  <c r="D136" i="25"/>
  <c r="D118" i="25"/>
  <c r="D94" i="25"/>
  <c r="D70" i="25"/>
  <c r="D46" i="25"/>
  <c r="D16" i="25"/>
  <c r="D10" i="25"/>
  <c r="D4" i="25"/>
  <c r="D599" i="25"/>
  <c r="D418" i="25"/>
  <c r="D289" i="25"/>
  <c r="D205" i="25"/>
  <c r="D169" i="25"/>
  <c r="D133" i="25"/>
  <c r="D100" i="25"/>
  <c r="D21" i="25"/>
  <c r="D343" i="25"/>
  <c r="D214" i="25"/>
  <c r="D154" i="25"/>
  <c r="D298" i="25"/>
  <c r="D130" i="25"/>
  <c r="D66" i="25"/>
  <c r="D445" i="25"/>
  <c r="D49" i="25"/>
  <c r="D869" i="25"/>
  <c r="D605" i="25"/>
  <c r="D421" i="25"/>
  <c r="D406" i="25"/>
  <c r="D349" i="25"/>
  <c r="D334" i="25"/>
  <c r="D277" i="25"/>
  <c r="D262" i="25"/>
  <c r="D126" i="25"/>
  <c r="D102" i="25"/>
  <c r="D78" i="25"/>
  <c r="D30" i="25"/>
  <c r="D22" i="25"/>
  <c r="D346" i="25"/>
  <c r="D217" i="25"/>
  <c r="D181" i="25"/>
  <c r="D145" i="25"/>
  <c r="D28" i="25"/>
  <c r="D202" i="25"/>
  <c r="D58" i="25"/>
  <c r="D725" i="25"/>
  <c r="D313" i="25"/>
  <c r="D19" i="25"/>
  <c r="D719" i="25"/>
  <c r="D129" i="25"/>
  <c r="D57" i="25"/>
  <c r="D6" i="25"/>
  <c r="D863" i="25"/>
  <c r="D603" i="25"/>
  <c r="D481" i="25"/>
  <c r="D457" i="25"/>
  <c r="D436" i="25"/>
  <c r="D391" i="25"/>
  <c r="D376" i="25"/>
  <c r="D319" i="25"/>
  <c r="D304" i="25"/>
  <c r="D247" i="25"/>
  <c r="D232" i="25"/>
  <c r="D117" i="25"/>
  <c r="D109" i="25"/>
  <c r="D93" i="25"/>
  <c r="D85" i="25"/>
  <c r="D69" i="25"/>
  <c r="D61" i="25"/>
  <c r="D45" i="25"/>
  <c r="D37" i="25"/>
  <c r="D15" i="25"/>
  <c r="D9" i="25"/>
  <c r="D857" i="25"/>
  <c r="D361" i="25"/>
  <c r="D274" i="25"/>
  <c r="D193" i="25"/>
  <c r="D157" i="25"/>
  <c r="D124" i="25"/>
  <c r="D76" i="25"/>
  <c r="D52" i="25"/>
  <c r="D82" i="25"/>
  <c r="D13" i="25"/>
  <c r="D533" i="25"/>
  <c r="D370" i="25"/>
  <c r="D226" i="25"/>
  <c r="D427" i="25"/>
  <c r="D340" i="25"/>
  <c r="D283" i="25"/>
  <c r="D33" i="25"/>
  <c r="D797" i="25"/>
  <c r="D569" i="25"/>
  <c r="D433" i="25"/>
  <c r="D403" i="25"/>
  <c r="D388" i="25"/>
  <c r="D331" i="25"/>
  <c r="D316" i="25"/>
  <c r="D259" i="25"/>
  <c r="D244" i="25"/>
  <c r="D108" i="25"/>
  <c r="D84" i="25"/>
  <c r="D60" i="25"/>
  <c r="D36" i="25"/>
  <c r="D14" i="25"/>
  <c r="D8" i="25"/>
  <c r="D785" i="25"/>
  <c r="D415" i="25"/>
  <c r="D400" i="25"/>
  <c r="D166" i="25"/>
  <c r="D34" i="25"/>
  <c r="D90" i="25"/>
  <c r="D42" i="25"/>
  <c r="D469" i="25"/>
  <c r="D355" i="25"/>
  <c r="D268" i="25"/>
  <c r="D12" i="25"/>
  <c r="D791" i="25"/>
  <c r="D567" i="25"/>
  <c r="D475" i="25"/>
  <c r="D451" i="25"/>
  <c r="D373" i="25"/>
  <c r="D358" i="25"/>
  <c r="D301" i="25"/>
  <c r="D286" i="25"/>
  <c r="D229" i="25"/>
  <c r="D132" i="25"/>
  <c r="D123" i="25"/>
  <c r="D115" i="25"/>
  <c r="D99" i="25"/>
  <c r="D91" i="25"/>
  <c r="D75" i="25"/>
  <c r="D67" i="25"/>
  <c r="D51" i="25"/>
  <c r="D43" i="25"/>
  <c r="D27" i="25"/>
  <c r="D20" i="25"/>
  <c r="D271" i="25"/>
  <c r="D178" i="25"/>
  <c r="D106" i="25"/>
  <c r="D26" i="25"/>
  <c r="D412" i="25"/>
  <c r="D97" i="25"/>
  <c r="D713" i="25"/>
  <c r="D527" i="25"/>
  <c r="D397" i="25"/>
  <c r="D382" i="25"/>
  <c r="D325" i="25"/>
  <c r="D310" i="25"/>
  <c r="D253" i="25"/>
  <c r="D238" i="25"/>
  <c r="D211" i="25"/>
  <c r="D199" i="25"/>
  <c r="D187" i="25"/>
  <c r="D175" i="25"/>
  <c r="D163" i="25"/>
  <c r="D151" i="25"/>
  <c r="D139" i="25"/>
  <c r="D112" i="25"/>
  <c r="D88" i="25"/>
  <c r="D64" i="25"/>
  <c r="D40" i="25"/>
  <c r="D25" i="25"/>
  <c r="D18" i="25"/>
  <c r="D79" i="25"/>
  <c r="D39" i="25"/>
  <c r="D24" i="25"/>
  <c r="D563" i="25"/>
  <c r="D328" i="25"/>
  <c r="D256" i="25"/>
  <c r="D190" i="25"/>
  <c r="D385" i="25"/>
  <c r="D531" i="25"/>
  <c r="D81" i="25"/>
  <c r="D3" i="25"/>
  <c r="C3" i="25"/>
  <c r="P754" i="23"/>
  <c r="U504" i="12"/>
  <c r="R150" i="9"/>
  <c r="P508" i="23"/>
  <c r="P361" i="23"/>
  <c r="AK497" i="19"/>
  <c r="AL497" i="19"/>
  <c r="Q150" i="9"/>
  <c r="K508" i="23"/>
  <c r="AK32" i="19"/>
  <c r="AK76" i="19"/>
  <c r="AK100" i="19"/>
  <c r="AK105" i="19"/>
  <c r="AK156" i="19"/>
  <c r="AK168" i="19"/>
  <c r="AK173" i="19"/>
  <c r="AK185" i="19"/>
  <c r="AK197" i="19"/>
  <c r="AK209" i="19"/>
  <c r="AK216" i="19"/>
  <c r="AK221" i="19"/>
  <c r="AK228" i="19"/>
  <c r="AK233" i="19"/>
  <c r="AK240" i="19"/>
  <c r="AK245" i="19"/>
  <c r="AK252" i="19"/>
  <c r="AK257" i="19"/>
  <c r="AK264" i="19"/>
  <c r="AK276" i="19"/>
  <c r="AK293" i="19"/>
  <c r="AK300" i="19"/>
  <c r="AK315" i="19"/>
  <c r="AK383" i="19"/>
  <c r="AK419" i="19"/>
  <c r="AK475" i="19"/>
  <c r="AK503" i="19"/>
  <c r="AK508" i="19"/>
  <c r="AK520" i="19"/>
  <c r="AK543" i="19"/>
  <c r="AK552" i="19"/>
  <c r="AK577" i="19"/>
  <c r="AK601" i="19"/>
  <c r="AK608" i="19"/>
  <c r="AK613" i="19"/>
  <c r="AK626" i="19"/>
  <c r="AK631" i="19"/>
  <c r="AK648" i="19"/>
  <c r="AK703" i="19"/>
  <c r="AK740" i="19"/>
  <c r="AK747" i="19"/>
  <c r="AK761" i="19"/>
  <c r="AK110" i="19"/>
  <c r="AK154" i="19"/>
  <c r="AK274" i="19"/>
  <c r="AK298" i="19"/>
  <c r="AK499" i="19"/>
  <c r="AK526" i="19"/>
  <c r="AK606" i="19"/>
  <c r="AK701" i="19"/>
  <c r="AK731" i="19"/>
  <c r="AK267" i="19"/>
  <c r="AK440" i="19"/>
  <c r="AK473" i="19"/>
  <c r="AK599" i="19"/>
  <c r="AK504" i="19"/>
  <c r="AK506" i="19"/>
  <c r="AK530" i="19"/>
  <c r="AK578" i="19"/>
  <c r="AK614" i="19"/>
  <c r="AK616" i="19"/>
  <c r="AK627" i="19"/>
  <c r="AK632" i="19"/>
  <c r="AK649" i="19"/>
  <c r="AK655" i="19"/>
  <c r="AK657" i="19"/>
  <c r="AK699" i="19"/>
  <c r="AK716" i="19"/>
  <c r="AK719" i="19"/>
  <c r="AK723" i="19"/>
  <c r="AK741" i="19"/>
  <c r="AK743" i="19"/>
  <c r="AK748" i="19"/>
  <c r="AK753" i="19"/>
  <c r="AK114" i="19"/>
  <c r="AK146" i="19"/>
  <c r="AK148" i="19"/>
  <c r="AK158" i="19"/>
  <c r="AK165" i="19"/>
  <c r="AK172" i="19"/>
  <c r="AK177" i="19"/>
  <c r="AK179" i="19"/>
  <c r="AK187" i="19"/>
  <c r="AK189" i="19"/>
  <c r="AK194" i="19"/>
  <c r="AK201" i="19"/>
  <c r="AK211" i="19"/>
  <c r="AK213" i="19"/>
  <c r="AK215" i="19"/>
  <c r="AK223" i="19"/>
  <c r="AK227" i="19"/>
  <c r="AK232" i="19"/>
  <c r="AK235" i="19"/>
  <c r="AK244" i="19"/>
  <c r="AK247" i="19"/>
  <c r="AK249" i="19"/>
  <c r="AK251" i="19"/>
  <c r="AK254" i="19"/>
  <c r="AK263" i="19"/>
  <c r="AK266" i="19"/>
  <c r="AK268" i="19"/>
  <c r="AK278" i="19"/>
  <c r="AK280" i="19"/>
  <c r="AK287" i="19"/>
  <c r="AK290" i="19"/>
  <c r="AK292" i="19"/>
  <c r="AK297" i="19"/>
  <c r="AK299" i="19"/>
  <c r="AK302" i="19"/>
  <c r="AK317" i="19"/>
  <c r="AK325" i="19"/>
  <c r="AK330" i="19"/>
  <c r="AK356" i="19"/>
  <c r="AK377" i="19"/>
  <c r="AK380" i="19"/>
  <c r="AK418" i="19"/>
  <c r="AK441" i="19"/>
  <c r="AK451" i="19"/>
  <c r="AK454" i="19"/>
  <c r="AK519" i="19"/>
  <c r="AK575" i="19"/>
  <c r="AK580" i="19"/>
  <c r="AK600" i="19"/>
  <c r="AK610" i="19"/>
  <c r="AK628" i="19"/>
  <c r="AK630" i="19"/>
  <c r="AK647" i="19"/>
  <c r="AK650" i="19"/>
  <c r="AK653" i="19"/>
  <c r="AK664" i="19"/>
  <c r="AK698" i="19"/>
  <c r="AK729" i="19"/>
  <c r="AK737" i="19"/>
  <c r="AK744" i="19"/>
  <c r="AK749" i="19"/>
  <c r="AK754" i="19"/>
  <c r="AK408" i="19"/>
  <c r="AK386" i="19"/>
  <c r="AK141" i="19"/>
  <c r="AK579" i="19"/>
  <c r="AK689" i="19"/>
  <c r="AK688" i="19"/>
  <c r="AK590" i="19"/>
  <c r="AK593" i="19"/>
  <c r="AK673" i="19"/>
  <c r="AK665" i="19"/>
  <c r="AK564" i="19"/>
  <c r="AK465" i="19"/>
  <c r="AK52" i="19"/>
  <c r="AK651" i="19"/>
  <c r="AK501" i="19"/>
  <c r="AK714" i="19"/>
  <c r="AK447" i="19"/>
  <c r="AK10" i="19"/>
  <c r="AK687" i="19"/>
  <c r="AK624" i="19"/>
  <c r="AK389" i="19"/>
  <c r="AK395" i="19"/>
  <c r="AK396" i="19"/>
  <c r="AK397" i="19"/>
  <c r="AK756" i="19"/>
  <c r="AK40" i="19"/>
  <c r="AL406" i="19"/>
  <c r="AL432" i="19"/>
  <c r="AK455" i="19"/>
  <c r="AL455" i="19"/>
  <c r="AK411" i="19"/>
  <c r="AL411" i="19"/>
  <c r="AK8" i="19"/>
  <c r="AL8" i="19"/>
  <c r="I847" i="12"/>
  <c r="I848" i="12"/>
  <c r="I859" i="12"/>
  <c r="E78" i="20"/>
  <c r="E85" i="20"/>
  <c r="AK107" i="19"/>
  <c r="AK131" i="19"/>
  <c r="AL131" i="19"/>
  <c r="AK69" i="19"/>
  <c r="AK270" i="19"/>
  <c r="AK412" i="19"/>
  <c r="AK622" i="19"/>
  <c r="AK458" i="19"/>
  <c r="AL458" i="19"/>
  <c r="AK477" i="19"/>
  <c r="P86" i="23"/>
  <c r="U66" i="12"/>
  <c r="K108" i="23"/>
  <c r="Q82" i="12"/>
  <c r="AK199" i="19"/>
  <c r="AL294" i="19"/>
  <c r="F143" i="21"/>
  <c r="AL289" i="19"/>
  <c r="AK722" i="19"/>
  <c r="AK9" i="19"/>
  <c r="AK24" i="19"/>
  <c r="AK42" i="19"/>
  <c r="AK57" i="19"/>
  <c r="AK59" i="19"/>
  <c r="AK66" i="19"/>
  <c r="AK74" i="19"/>
  <c r="AK79" i="19"/>
  <c r="AK86" i="19"/>
  <c r="AK91" i="19"/>
  <c r="AK98" i="19"/>
  <c r="AK103" i="19"/>
  <c r="AL103" i="19"/>
  <c r="AK115" i="19"/>
  <c r="AK122" i="19"/>
  <c r="AK147" i="19"/>
  <c r="AL147" i="19"/>
  <c r="AK166" i="19"/>
  <c r="AK178" i="19"/>
  <c r="AK202" i="19"/>
  <c r="AK214" i="19"/>
  <c r="AK226" i="19"/>
  <c r="AK231" i="19"/>
  <c r="AK238" i="19"/>
  <c r="AK250" i="19"/>
  <c r="AK262" i="19"/>
  <c r="AL262" i="19"/>
  <c r="AK286" i="19"/>
  <c r="AK313" i="19"/>
  <c r="AK319" i="19"/>
  <c r="AK338" i="19"/>
  <c r="AK376" i="19"/>
  <c r="K31" i="23"/>
  <c r="Q23" i="12"/>
  <c r="J500" i="23"/>
  <c r="K500" i="23"/>
  <c r="AL291" i="19"/>
  <c r="AK295" i="19"/>
  <c r="AL295" i="19"/>
  <c r="I261" i="21"/>
  <c r="AK14" i="19"/>
  <c r="AK587" i="19"/>
  <c r="AK34" i="19"/>
  <c r="AK30" i="19"/>
  <c r="AK33" i="19"/>
  <c r="AL33" i="19"/>
  <c r="AK705" i="19"/>
  <c r="K503" i="23"/>
  <c r="Q361" i="12"/>
  <c r="J262" i="21"/>
  <c r="K98" i="23"/>
  <c r="Q74" i="12"/>
  <c r="AK502" i="19"/>
  <c r="AL435" i="19"/>
  <c r="AL434" i="19"/>
  <c r="AL433" i="19"/>
  <c r="E4" i="20"/>
  <c r="V647" i="12"/>
  <c r="V646" i="12"/>
  <c r="AL100" i="19"/>
  <c r="AL76" i="19"/>
  <c r="E80" i="20"/>
  <c r="E29" i="20"/>
  <c r="I71" i="12"/>
  <c r="I850" i="12"/>
  <c r="I656" i="12"/>
  <c r="I862" i="12"/>
  <c r="AL296" i="19"/>
  <c r="AL290" i="19"/>
  <c r="AL292" i="19"/>
  <c r="AL299" i="19"/>
  <c r="AK505" i="19"/>
  <c r="AL505" i="19"/>
  <c r="E79" i="20"/>
  <c r="E81" i="20"/>
  <c r="E11" i="20"/>
  <c r="E62" i="20"/>
  <c r="I45" i="12"/>
  <c r="I846" i="12"/>
  <c r="N617" i="23"/>
  <c r="O617" i="23"/>
  <c r="P617" i="23"/>
  <c r="M620" i="23"/>
  <c r="I620" i="23"/>
  <c r="J620" i="23"/>
  <c r="K620" i="23"/>
  <c r="I146" i="12"/>
  <c r="K489" i="23"/>
  <c r="I348" i="12"/>
  <c r="AK60" i="19"/>
  <c r="AK75" i="19"/>
  <c r="AK80" i="19"/>
  <c r="AL80" i="19"/>
  <c r="AK97" i="19"/>
  <c r="AK99" i="19"/>
  <c r="AK153" i="19"/>
  <c r="AK160" i="19"/>
  <c r="AK167" i="19"/>
  <c r="AK203" i="19"/>
  <c r="AK220" i="19"/>
  <c r="AK237" i="19"/>
  <c r="AK239" i="19"/>
  <c r="AK273" i="19"/>
  <c r="AK275" i="19"/>
  <c r="AK285" i="19"/>
  <c r="AL285" i="19"/>
  <c r="AK307" i="19"/>
  <c r="AL307" i="19"/>
  <c r="AK327" i="19"/>
  <c r="AK346" i="19"/>
  <c r="AK358" i="19"/>
  <c r="AK363" i="19"/>
  <c r="AK382" i="19"/>
  <c r="AK481" i="19"/>
  <c r="AK498" i="19"/>
  <c r="AL498" i="19"/>
  <c r="AK512" i="19"/>
  <c r="AK612" i="19"/>
  <c r="AK617" i="19"/>
  <c r="AK658" i="19"/>
  <c r="AL658" i="19"/>
  <c r="AK660" i="19"/>
  <c r="AK702" i="19"/>
  <c r="AK717" i="19"/>
  <c r="AK758" i="19"/>
  <c r="AK56" i="19"/>
  <c r="AK271" i="19"/>
  <c r="AK283" i="19"/>
  <c r="AK538" i="19"/>
  <c r="AL538" i="19"/>
  <c r="AK510" i="19"/>
  <c r="AK615" i="19"/>
  <c r="AK259" i="19"/>
  <c r="AK323" i="19"/>
  <c r="AK361" i="19"/>
  <c r="AK373" i="19"/>
  <c r="AK554" i="19"/>
  <c r="AK68" i="19"/>
  <c r="AK742" i="19"/>
  <c r="AL742" i="19"/>
  <c r="K337" i="23"/>
  <c r="Q237" i="12"/>
  <c r="AK489" i="19"/>
  <c r="AL743" i="19"/>
  <c r="AL717" i="19"/>
  <c r="AL615" i="19"/>
  <c r="AL577" i="19"/>
  <c r="AK12" i="19"/>
  <c r="AK61" i="19"/>
  <c r="AK81" i="19"/>
  <c r="AK88" i="19"/>
  <c r="AL88" i="19"/>
  <c r="AK124" i="19"/>
  <c r="AK129" i="19"/>
  <c r="AK139" i="19"/>
  <c r="AK149" i="19"/>
  <c r="AK161" i="19"/>
  <c r="AK204" i="19"/>
  <c r="AL204" i="19"/>
  <c r="AK288" i="19"/>
  <c r="AL288" i="19"/>
  <c r="AK303" i="19"/>
  <c r="AL303" i="19"/>
  <c r="AK308" i="19"/>
  <c r="AL308" i="19"/>
  <c r="AK311" i="19"/>
  <c r="AK321" i="19"/>
  <c r="AK328" i="19"/>
  <c r="AL328" i="19"/>
  <c r="AK331" i="19"/>
  <c r="AL331" i="19"/>
  <c r="AK333" i="19"/>
  <c r="AK340" i="19"/>
  <c r="AK345" i="19"/>
  <c r="AK347" i="19"/>
  <c r="AK354" i="19"/>
  <c r="AK357" i="19"/>
  <c r="AK359" i="19"/>
  <c r="AL359" i="19"/>
  <c r="AK366" i="19"/>
  <c r="AK369" i="19"/>
  <c r="AK371" i="19"/>
  <c r="AK53" i="19"/>
  <c r="AL53" i="19"/>
  <c r="AK93" i="19"/>
  <c r="AL93" i="19"/>
  <c r="AK112" i="19"/>
  <c r="AK117" i="19"/>
  <c r="AK180" i="19"/>
  <c r="AK192" i="19"/>
  <c r="AL192" i="19"/>
  <c r="AK195" i="19"/>
  <c r="AK269" i="19"/>
  <c r="AK281" i="19"/>
  <c r="AK284" i="19"/>
  <c r="AK591" i="19"/>
  <c r="AK592" i="19"/>
  <c r="AK681" i="19"/>
  <c r="AK682" i="19"/>
  <c r="AK683" i="19"/>
  <c r="AK684" i="19"/>
  <c r="AK730" i="19"/>
  <c r="AL730" i="19"/>
  <c r="AK640" i="19"/>
  <c r="AL640" i="19"/>
  <c r="AK583" i="19"/>
  <c r="AK584" i="19"/>
  <c r="AK595" i="19"/>
  <c r="AK596" i="19"/>
  <c r="AK459" i="19"/>
  <c r="AK461" i="19"/>
  <c r="AK15" i="19"/>
  <c r="AL15" i="19"/>
  <c r="AK41" i="19"/>
  <c r="AK55" i="19"/>
  <c r="AK63" i="19"/>
  <c r="AL63" i="19"/>
  <c r="AK71" i="19"/>
  <c r="AL71" i="19"/>
  <c r="AK78" i="19"/>
  <c r="AK83" i="19"/>
  <c r="AK90" i="19"/>
  <c r="AL90" i="19"/>
  <c r="AK95" i="19"/>
  <c r="AK102" i="19"/>
  <c r="AK119" i="19"/>
  <c r="AK126" i="19"/>
  <c r="AK151" i="19"/>
  <c r="AK163" i="19"/>
  <c r="AK170" i="19"/>
  <c r="AK175" i="19"/>
  <c r="AK182" i="19"/>
  <c r="AK206" i="19"/>
  <c r="AL206" i="19"/>
  <c r="AK218" i="19"/>
  <c r="AK230" i="19"/>
  <c r="AK242" i="19"/>
  <c r="AK310" i="19"/>
  <c r="AK335" i="19"/>
  <c r="AK344" i="19"/>
  <c r="AL344" i="19"/>
  <c r="AK349" i="19"/>
  <c r="AL349" i="19"/>
  <c r="AK368" i="19"/>
  <c r="AK407" i="19"/>
  <c r="AK439" i="19"/>
  <c r="AK446" i="19"/>
  <c r="AL446" i="19"/>
  <c r="AK479" i="19"/>
  <c r="AL479" i="19"/>
  <c r="AK484" i="19"/>
  <c r="AK496" i="19"/>
  <c r="AL496" i="19"/>
  <c r="AK517" i="19"/>
  <c r="AK522" i="19"/>
  <c r="AK531" i="19"/>
  <c r="AK546" i="19"/>
  <c r="AK603" i="19"/>
  <c r="AL603" i="19"/>
  <c r="AK643" i="19"/>
  <c r="AK656" i="19"/>
  <c r="AK715" i="19"/>
  <c r="AK763" i="19"/>
  <c r="AL763" i="19"/>
  <c r="AK393" i="19"/>
  <c r="AL393" i="19"/>
  <c r="AK402" i="19"/>
  <c r="AK137" i="19"/>
  <c r="AK405" i="19"/>
  <c r="AL405" i="19"/>
  <c r="AK547" i="19"/>
  <c r="AK46" i="19"/>
  <c r="AL46" i="19"/>
  <c r="AK594" i="19"/>
  <c r="AK685" i="19"/>
  <c r="AK582" i="19"/>
  <c r="AL582" i="19"/>
  <c r="AK621" i="19"/>
  <c r="AK387" i="19"/>
  <c r="AK619" i="19"/>
  <c r="AK581" i="19"/>
  <c r="AK392" i="19"/>
  <c r="AK398" i="19"/>
  <c r="AL398" i="19"/>
  <c r="AK400" i="19"/>
  <c r="AL400" i="19"/>
  <c r="AK143" i="19"/>
  <c r="AL143" i="19"/>
  <c r="AK638" i="19"/>
  <c r="AL638" i="19"/>
  <c r="AK636" i="19"/>
  <c r="AK378" i="19"/>
  <c r="AK381" i="19"/>
  <c r="AK416" i="19"/>
  <c r="AL416" i="19"/>
  <c r="AK442" i="19"/>
  <c r="AL442" i="19"/>
  <c r="AK452" i="19"/>
  <c r="AL452" i="19"/>
  <c r="AK482" i="19"/>
  <c r="AK485" i="19"/>
  <c r="AK487" i="19"/>
  <c r="AL487" i="19"/>
  <c r="AK515" i="19"/>
  <c r="AL515" i="19"/>
  <c r="AK518" i="19"/>
  <c r="AL518" i="19"/>
  <c r="AK529" i="19"/>
  <c r="AL529" i="19"/>
  <c r="AK532" i="19"/>
  <c r="AK548" i="19"/>
  <c r="AK611" i="19"/>
  <c r="AK618" i="19"/>
  <c r="AL618" i="19"/>
  <c r="AK644" i="19"/>
  <c r="AL644" i="19"/>
  <c r="AK646" i="19"/>
  <c r="AK661" i="19"/>
  <c r="AL661" i="19"/>
  <c r="AK679" i="19"/>
  <c r="AK686" i="19"/>
  <c r="AL686" i="19"/>
  <c r="AK718" i="19"/>
  <c r="AL718" i="19"/>
  <c r="AK735" i="19"/>
  <c r="AL735" i="19"/>
  <c r="AK738" i="19"/>
  <c r="AL738" i="19"/>
  <c r="AK745" i="19"/>
  <c r="AK750" i="19"/>
  <c r="AK752" i="19"/>
  <c r="AK755" i="19"/>
  <c r="AL755" i="19"/>
  <c r="AK765" i="19"/>
  <c r="AL765" i="19"/>
  <c r="AK318" i="19"/>
  <c r="AK633" i="19"/>
  <c r="AK29" i="19"/>
  <c r="AK27" i="19"/>
  <c r="AK585" i="19"/>
  <c r="AK586" i="19"/>
  <c r="AL586" i="19"/>
  <c r="AK589" i="19"/>
  <c r="AL589" i="19"/>
  <c r="AK545" i="19"/>
  <c r="AK641" i="19"/>
  <c r="AL641" i="19"/>
  <c r="AK22" i="19"/>
  <c r="AK693" i="19"/>
  <c r="AL693" i="19"/>
  <c r="AK694" i="19"/>
  <c r="AK707" i="19"/>
  <c r="AK708" i="19"/>
  <c r="AL708" i="19"/>
  <c r="AK724" i="19"/>
  <c r="AK727" i="19"/>
  <c r="AK725" i="19"/>
  <c r="AK669" i="19"/>
  <c r="AL669" i="19"/>
  <c r="AK672" i="19"/>
  <c r="AL672" i="19"/>
  <c r="AK666" i="19"/>
  <c r="AK558" i="19"/>
  <c r="AL558" i="19"/>
  <c r="AK560" i="19"/>
  <c r="AL560" i="19"/>
  <c r="AK561" i="19"/>
  <c r="AK562" i="19"/>
  <c r="AK568" i="19"/>
  <c r="AL568" i="19"/>
  <c r="AK569" i="19"/>
  <c r="AL569" i="19"/>
  <c r="AK563" i="19"/>
  <c r="AK565" i="19"/>
  <c r="AK567" i="19"/>
  <c r="AK462" i="19"/>
  <c r="AL462" i="19"/>
  <c r="AK463" i="19"/>
  <c r="AL463" i="19"/>
  <c r="AK466" i="19"/>
  <c r="AL466" i="19"/>
  <c r="AK467" i="19"/>
  <c r="AL467" i="19"/>
  <c r="AK469" i="19"/>
  <c r="AK420" i="19"/>
  <c r="AL420" i="19"/>
  <c r="AK422" i="19"/>
  <c r="AK424" i="19"/>
  <c r="AL424" i="19"/>
  <c r="AK425" i="19"/>
  <c r="AL425" i="19"/>
  <c r="AK51" i="19"/>
  <c r="AK50" i="19"/>
  <c r="AK570" i="19"/>
  <c r="AK457" i="19"/>
  <c r="AK488" i="19"/>
  <c r="AL488" i="19"/>
  <c r="AK38" i="19"/>
  <c r="AK663" i="19"/>
  <c r="AK490" i="19"/>
  <c r="AK491" i="19"/>
  <c r="AL491" i="19"/>
  <c r="AK492" i="19"/>
  <c r="AK401" i="19"/>
  <c r="AK720" i="19"/>
  <c r="AK571" i="19"/>
  <c r="AL571" i="19"/>
  <c r="AK642" i="19"/>
  <c r="AL642" i="19"/>
  <c r="AK675" i="19"/>
  <c r="AL675" i="19"/>
  <c r="AK11" i="19"/>
  <c r="AK13" i="19"/>
  <c r="AK25" i="19"/>
  <c r="AL25" i="19"/>
  <c r="AK39" i="19"/>
  <c r="AL39" i="19"/>
  <c r="AK43" i="19"/>
  <c r="AL43" i="19"/>
  <c r="AK54" i="19"/>
  <c r="AL54" i="19"/>
  <c r="AK58" i="19"/>
  <c r="AK67" i="19"/>
  <c r="AL67" i="19"/>
  <c r="AK73" i="19"/>
  <c r="AK82" i="19"/>
  <c r="AL82" i="19"/>
  <c r="AK87" i="19"/>
  <c r="AL87" i="19"/>
  <c r="AK92" i="19"/>
  <c r="AK104" i="19"/>
  <c r="AK111" i="19"/>
  <c r="AK113" i="19"/>
  <c r="AL113" i="19"/>
  <c r="AK116" i="19"/>
  <c r="AL116" i="19"/>
  <c r="AK118" i="19"/>
  <c r="AL118" i="19"/>
  <c r="AK123" i="19"/>
  <c r="AL123" i="19"/>
  <c r="AK128" i="19"/>
  <c r="AK138" i="19"/>
  <c r="AL138" i="19"/>
  <c r="AK150" i="19"/>
  <c r="AK155" i="19"/>
  <c r="AL155" i="19"/>
  <c r="AK162" i="19"/>
  <c r="AK181" i="19"/>
  <c r="AK184" i="19"/>
  <c r="AL184" i="19"/>
  <c r="AK186" i="19"/>
  <c r="AK191" i="19"/>
  <c r="AL191" i="19"/>
  <c r="AK193" i="19"/>
  <c r="AL193" i="19"/>
  <c r="AK196" i="19"/>
  <c r="AK198" i="19"/>
  <c r="AL198" i="19"/>
  <c r="AK208" i="19"/>
  <c r="AL208" i="19"/>
  <c r="AK222" i="19"/>
  <c r="AL222" i="19"/>
  <c r="AK225" i="19"/>
  <c r="AK234" i="19"/>
  <c r="AK246" i="19"/>
  <c r="AK253" i="19"/>
  <c r="AK256" i="19"/>
  <c r="AL256" i="19"/>
  <c r="AK258" i="19"/>
  <c r="AK261" i="19"/>
  <c r="AL261" i="19"/>
  <c r="AK309" i="19"/>
  <c r="AL309" i="19"/>
  <c r="AK314" i="19"/>
  <c r="AK320" i="19"/>
  <c r="AL320" i="19"/>
  <c r="AK322" i="19"/>
  <c r="AK332" i="19"/>
  <c r="AK334" i="19"/>
  <c r="AK339" i="19"/>
  <c r="AL339" i="19"/>
  <c r="AK348" i="19"/>
  <c r="AL348" i="19"/>
  <c r="AK353" i="19"/>
  <c r="AK365" i="19"/>
  <c r="AK370" i="19"/>
  <c r="AK384" i="19"/>
  <c r="AL384" i="19"/>
  <c r="AK445" i="19"/>
  <c r="AK449" i="19"/>
  <c r="AL449" i="19"/>
  <c r="AK474" i="19"/>
  <c r="AL474" i="19"/>
  <c r="AK486" i="19"/>
  <c r="AL486" i="19"/>
  <c r="AK507" i="19"/>
  <c r="AL507" i="19"/>
  <c r="AK509" i="19"/>
  <c r="AK514" i="19"/>
  <c r="AL514" i="19"/>
  <c r="AK516" i="19"/>
  <c r="AL516" i="19"/>
  <c r="AK524" i="19"/>
  <c r="AK527" i="19"/>
  <c r="AL527" i="19"/>
  <c r="AK533" i="19"/>
  <c r="AK537" i="19"/>
  <c r="AL537" i="19"/>
  <c r="AK540" i="19"/>
  <c r="AL540" i="19"/>
  <c r="AK542" i="19"/>
  <c r="AL542" i="19"/>
  <c r="AK549" i="19"/>
  <c r="AL549" i="19"/>
  <c r="AK553" i="19"/>
  <c r="AK573" i="19"/>
  <c r="AL573" i="19"/>
  <c r="AK605" i="19"/>
  <c r="AK607" i="19"/>
  <c r="AL607" i="19"/>
  <c r="AK609" i="19"/>
  <c r="AL609" i="19"/>
  <c r="AK625" i="19"/>
  <c r="AK645" i="19"/>
  <c r="AK680" i="19"/>
  <c r="AK690" i="19"/>
  <c r="AL690" i="19"/>
  <c r="AK732" i="19"/>
  <c r="AL732" i="19"/>
  <c r="AK739" i="19"/>
  <c r="AL739" i="19"/>
  <c r="AK746" i="19"/>
  <c r="AL746" i="19"/>
  <c r="AK751" i="19"/>
  <c r="AK760" i="19"/>
  <c r="AL760" i="19"/>
  <c r="AK762" i="19"/>
  <c r="AK766" i="19"/>
  <c r="AL766" i="19"/>
  <c r="AK388" i="19"/>
  <c r="AL388" i="19"/>
  <c r="AL280" i="19"/>
  <c r="AL196" i="19"/>
  <c r="AL160" i="19"/>
  <c r="AL148" i="19"/>
  <c r="E21" i="20"/>
  <c r="E59" i="20"/>
  <c r="E15" i="20"/>
  <c r="E5" i="20"/>
  <c r="E43" i="20"/>
  <c r="E23" i="20"/>
  <c r="E13" i="20"/>
  <c r="E19" i="20"/>
  <c r="E3" i="20"/>
  <c r="E2" i="20"/>
  <c r="E8" i="20"/>
  <c r="E55" i="20"/>
  <c r="E31" i="20"/>
  <c r="Z209" i="12"/>
  <c r="Z166" i="12"/>
  <c r="I7" i="25"/>
  <c r="Z798" i="12"/>
  <c r="Z779" i="12"/>
  <c r="Z778" i="12"/>
  <c r="I15" i="25"/>
  <c r="Z670" i="12"/>
  <c r="Z647" i="12"/>
  <c r="Z646" i="12"/>
  <c r="Z724" i="12"/>
  <c r="Z707" i="12"/>
  <c r="I13" i="25"/>
  <c r="AF39" i="12"/>
  <c r="AF13" i="12"/>
  <c r="AF12" i="12"/>
  <c r="I3" i="25"/>
  <c r="I827" i="12"/>
  <c r="I804" i="12"/>
  <c r="Z161" i="12"/>
  <c r="Z125" i="12"/>
  <c r="Z124" i="12"/>
  <c r="I4" i="25"/>
  <c r="AL300" i="19"/>
  <c r="E17" i="20"/>
  <c r="E42" i="20"/>
  <c r="E28" i="20"/>
  <c r="E10" i="20"/>
  <c r="E41" i="20"/>
  <c r="E6" i="20"/>
  <c r="E16" i="20"/>
  <c r="E37" i="20"/>
  <c r="E18" i="20"/>
  <c r="E7" i="20"/>
  <c r="E9" i="20"/>
  <c r="E63" i="20"/>
  <c r="E61" i="20"/>
  <c r="E56" i="20"/>
  <c r="AL731" i="19"/>
  <c r="AL663" i="19"/>
  <c r="AL627" i="19"/>
  <c r="AL565" i="19"/>
  <c r="AL553" i="19"/>
  <c r="AL517" i="19"/>
  <c r="AL110" i="19"/>
  <c r="AL203" i="19"/>
  <c r="AK135" i="19"/>
  <c r="AL135" i="19"/>
  <c r="E50" i="20"/>
  <c r="E46" i="20"/>
  <c r="E66" i="20"/>
  <c r="E53" i="20"/>
  <c r="E26" i="20"/>
  <c r="E60" i="20"/>
  <c r="E33" i="20"/>
  <c r="E58" i="20"/>
  <c r="E48" i="20"/>
  <c r="E34" i="20"/>
  <c r="E49" i="20"/>
  <c r="E30" i="20"/>
  <c r="E32" i="20"/>
  <c r="E35" i="20"/>
  <c r="E57" i="20"/>
  <c r="E47" i="20"/>
  <c r="E40" i="20"/>
  <c r="E52" i="20"/>
  <c r="E38" i="20"/>
  <c r="E27" i="20"/>
  <c r="E44" i="20"/>
  <c r="E54" i="20"/>
  <c r="E64" i="20"/>
  <c r="E45" i="20"/>
  <c r="E39" i="20"/>
  <c r="E25" i="20"/>
  <c r="E67" i="20"/>
  <c r="E51" i="20"/>
  <c r="E36" i="20"/>
  <c r="E22" i="20"/>
  <c r="E24" i="20"/>
  <c r="E20" i="20"/>
  <c r="F136" i="21"/>
  <c r="N262" i="21"/>
  <c r="F193" i="21"/>
  <c r="F209" i="21"/>
  <c r="AL754" i="19"/>
  <c r="AL688" i="19"/>
  <c r="AL274" i="19"/>
  <c r="F18" i="21"/>
  <c r="F16" i="21"/>
  <c r="F138" i="21"/>
  <c r="F107" i="21"/>
  <c r="F22" i="21"/>
  <c r="F75" i="21"/>
  <c r="F74" i="21"/>
  <c r="K262" i="21"/>
  <c r="K261" i="21"/>
  <c r="F85" i="21"/>
  <c r="F192" i="21"/>
  <c r="AL298" i="19"/>
  <c r="F139" i="21"/>
  <c r="F20" i="21"/>
  <c r="F170" i="21"/>
  <c r="F142" i="21"/>
  <c r="AL340" i="19"/>
  <c r="F92" i="21"/>
  <c r="I262" i="21"/>
  <c r="F141" i="21"/>
  <c r="F176" i="21"/>
  <c r="F116" i="21"/>
  <c r="L262" i="21"/>
  <c r="F229" i="21"/>
  <c r="M262" i="21"/>
  <c r="F207" i="21"/>
  <c r="F184" i="21"/>
  <c r="F153" i="21"/>
  <c r="F24" i="21"/>
  <c r="F103" i="21"/>
  <c r="F102" i="21"/>
  <c r="F215" i="21"/>
  <c r="B249" i="21"/>
  <c r="F205" i="21"/>
  <c r="F156" i="21"/>
  <c r="AL78" i="19"/>
  <c r="AL231" i="19"/>
  <c r="AL195" i="19"/>
  <c r="AL159" i="19"/>
  <c r="AL301" i="19"/>
  <c r="AL276" i="19"/>
  <c r="AL397" i="19"/>
  <c r="AL361" i="19"/>
  <c r="AL58" i="19"/>
  <c r="AL218" i="19"/>
  <c r="AL194" i="19"/>
  <c r="AL182" i="19"/>
  <c r="F26" i="21"/>
  <c r="F161" i="21"/>
  <c r="F134" i="21"/>
  <c r="AL293" i="19"/>
  <c r="AL579" i="19"/>
  <c r="L261" i="21"/>
  <c r="F90" i="21"/>
  <c r="F197" i="21"/>
  <c r="AL744" i="19"/>
  <c r="AL408" i="19"/>
  <c r="AL395" i="19"/>
  <c r="AL383" i="19"/>
  <c r="AL371" i="19"/>
  <c r="AL310" i="19"/>
  <c r="AL56" i="19"/>
  <c r="AL252" i="19"/>
  <c r="AL228" i="19"/>
  <c r="AL216" i="19"/>
  <c r="AL156" i="19"/>
  <c r="AK450" i="19"/>
  <c r="AL450" i="19"/>
  <c r="E12" i="20"/>
  <c r="E14" i="20"/>
  <c r="AL716" i="19"/>
  <c r="E65" i="20"/>
  <c r="AL219" i="19"/>
  <c r="AL89" i="19"/>
  <c r="AL183" i="19"/>
  <c r="E70" i="20"/>
  <c r="AL207" i="19"/>
  <c r="AL172" i="19"/>
  <c r="E69" i="20"/>
  <c r="AL14" i="19"/>
  <c r="W647" i="12"/>
  <c r="W646" i="12"/>
  <c r="AL240" i="19"/>
  <c r="AL99" i="19"/>
  <c r="AL75" i="19"/>
  <c r="AL168" i="19"/>
  <c r="E74" i="20"/>
  <c r="E72" i="20"/>
  <c r="E76" i="20"/>
  <c r="E75" i="20"/>
  <c r="E73" i="20"/>
  <c r="E71" i="20"/>
  <c r="P1277" i="23"/>
  <c r="U756" i="12"/>
  <c r="K268" i="23"/>
  <c r="Q178" i="12"/>
  <c r="K943" i="23"/>
  <c r="Q627" i="12"/>
  <c r="P268" i="23"/>
  <c r="U178" i="12"/>
  <c r="U621" i="12"/>
  <c r="K938" i="23"/>
  <c r="Q622" i="12"/>
  <c r="I434" i="12"/>
  <c r="F977" i="23"/>
  <c r="M661" i="12"/>
  <c r="K977" i="23"/>
  <c r="Q661" i="12"/>
  <c r="P1046" i="23"/>
  <c r="U697" i="12"/>
  <c r="U625" i="12"/>
  <c r="K942" i="23"/>
  <c r="Q626" i="12"/>
  <c r="I735" i="12"/>
  <c r="P1304" i="23"/>
  <c r="U783" i="12"/>
  <c r="P1282" i="23"/>
  <c r="U761" i="12"/>
  <c r="I506" i="12"/>
  <c r="P756" i="23"/>
  <c r="U506" i="12"/>
  <c r="P284" i="23"/>
  <c r="U184" i="12"/>
  <c r="F946" i="23"/>
  <c r="M630" i="12"/>
  <c r="F941" i="23"/>
  <c r="M625" i="12"/>
  <c r="F943" i="23"/>
  <c r="M627" i="12"/>
  <c r="P1303" i="23"/>
  <c r="U782" i="12"/>
  <c r="F938" i="23"/>
  <c r="M622" i="12"/>
  <c r="F974" i="23"/>
  <c r="M658" i="12"/>
  <c r="P74" i="23"/>
  <c r="U60" i="12"/>
  <c r="I339" i="12"/>
  <c r="P903" i="23"/>
  <c r="U587" i="12"/>
  <c r="P1269" i="23"/>
  <c r="U750" i="12"/>
  <c r="P203" i="23"/>
  <c r="U147" i="12"/>
  <c r="P652" i="23"/>
  <c r="U438" i="12"/>
  <c r="P1062" i="23"/>
  <c r="U711" i="12"/>
  <c r="K946" i="23"/>
  <c r="Q630" i="12"/>
  <c r="N630" i="12"/>
  <c r="F1027" i="23"/>
  <c r="P1285" i="23"/>
  <c r="U764" i="12"/>
  <c r="F948" i="23"/>
  <c r="M632" i="12"/>
  <c r="U789" i="12"/>
  <c r="P977" i="23"/>
  <c r="U661" i="12"/>
  <c r="P1306" i="23"/>
  <c r="U785" i="12"/>
  <c r="I402" i="12"/>
  <c r="P551" i="23"/>
  <c r="U402" i="12"/>
  <c r="F942" i="23"/>
  <c r="M626" i="12"/>
  <c r="I632" i="12"/>
  <c r="K948" i="23"/>
  <c r="Q632" i="12"/>
  <c r="K973" i="23"/>
  <c r="Q657" i="12"/>
  <c r="P1307" i="23"/>
  <c r="U786" i="12"/>
  <c r="I786" i="12"/>
  <c r="P297" i="23"/>
  <c r="U197" i="12"/>
  <c r="P164" i="23"/>
  <c r="U129" i="12"/>
  <c r="K974" i="23"/>
  <c r="Q658" i="12"/>
  <c r="P292" i="23"/>
  <c r="U192" i="12"/>
  <c r="F937" i="23"/>
  <c r="M621" i="12"/>
  <c r="P974" i="23"/>
  <c r="U658" i="12"/>
  <c r="D1078" i="23"/>
  <c r="E1078" i="23"/>
  <c r="F1078" i="23"/>
  <c r="P1279" i="23"/>
  <c r="U758" i="12"/>
  <c r="P972" i="23"/>
  <c r="U656" i="12"/>
  <c r="D1067" i="23"/>
  <c r="E1067" i="23"/>
  <c r="F1067" i="23"/>
  <c r="I1069" i="23"/>
  <c r="J1069" i="23"/>
  <c r="K1069" i="23"/>
  <c r="I1071" i="23"/>
  <c r="J1071" i="23"/>
  <c r="K1071" i="23"/>
  <c r="I1066" i="23"/>
  <c r="J1066" i="23"/>
  <c r="K1066" i="23"/>
  <c r="F478" i="23"/>
  <c r="P196" i="23"/>
  <c r="U140" i="12"/>
  <c r="D1068" i="23"/>
  <c r="E1068" i="23"/>
  <c r="F1068" i="23"/>
  <c r="I1070" i="23"/>
  <c r="J1070" i="23"/>
  <c r="K1070" i="23"/>
  <c r="D1071" i="23"/>
  <c r="E1071" i="23"/>
  <c r="F1071" i="23"/>
  <c r="D1089" i="23"/>
  <c r="E1089" i="23"/>
  <c r="F1089" i="23"/>
  <c r="D1069" i="23"/>
  <c r="E1069" i="23"/>
  <c r="F1069" i="23"/>
  <c r="I1072" i="23"/>
  <c r="J1072" i="23"/>
  <c r="K1072" i="23"/>
  <c r="D1070" i="23"/>
  <c r="E1070" i="23"/>
  <c r="F1070" i="23"/>
  <c r="I1073" i="23"/>
  <c r="J1073" i="23"/>
  <c r="K1073" i="23"/>
  <c r="O824" i="23"/>
  <c r="P824" i="23"/>
  <c r="D1072" i="23"/>
  <c r="E1072" i="23"/>
  <c r="F1072" i="23"/>
  <c r="I1074" i="23"/>
  <c r="J1074" i="23"/>
  <c r="K1074" i="23"/>
  <c r="D1248" i="23"/>
  <c r="E1248" i="23"/>
  <c r="F1248" i="23"/>
  <c r="P1248" i="23"/>
  <c r="K975" i="23"/>
  <c r="Q659" i="12"/>
  <c r="D1074" i="23"/>
  <c r="E1074" i="23"/>
  <c r="F1074" i="23"/>
  <c r="I1077" i="23"/>
  <c r="J1077" i="23"/>
  <c r="K1077" i="23"/>
  <c r="N1066" i="23"/>
  <c r="O1066" i="23"/>
  <c r="P1066" i="23"/>
  <c r="D1076" i="23"/>
  <c r="E1076" i="23"/>
  <c r="F1076" i="23"/>
  <c r="I1078" i="23"/>
  <c r="J1078" i="23"/>
  <c r="K1078" i="23"/>
  <c r="I1248" i="23"/>
  <c r="J1248" i="23"/>
  <c r="K1248" i="23"/>
  <c r="P684" i="23"/>
  <c r="D1077" i="23"/>
  <c r="E1077" i="23"/>
  <c r="F1077" i="23"/>
  <c r="P65" i="23"/>
  <c r="U51" i="12"/>
  <c r="P78" i="23"/>
  <c r="U62" i="12"/>
  <c r="I387" i="12"/>
  <c r="P536" i="23"/>
  <c r="U387" i="12"/>
  <c r="I51" i="12"/>
  <c r="I144" i="12"/>
  <c r="I196" i="12"/>
  <c r="K296" i="23"/>
  <c r="Q196" i="12"/>
  <c r="P290" i="23"/>
  <c r="U190" i="12"/>
  <c r="K292" i="23"/>
  <c r="Q192" i="12"/>
  <c r="P533" i="23"/>
  <c r="U384" i="12"/>
  <c r="I195" i="12"/>
  <c r="P295" i="23"/>
  <c r="U195" i="12"/>
  <c r="P68" i="23"/>
  <c r="U54" i="12"/>
  <c r="P432" i="23"/>
  <c r="U318" i="12"/>
  <c r="P31" i="23"/>
  <c r="U23" i="12"/>
  <c r="I391" i="12"/>
  <c r="P540" i="23"/>
  <c r="U391" i="12"/>
  <c r="P431" i="23"/>
  <c r="U317" i="12"/>
  <c r="K300" i="23"/>
  <c r="Q200" i="12"/>
  <c r="K297" i="23"/>
  <c r="Q197" i="12"/>
  <c r="P299" i="23"/>
  <c r="U199" i="12"/>
  <c r="K284" i="23"/>
  <c r="Q184" i="12"/>
  <c r="K298" i="23"/>
  <c r="Q198" i="12"/>
  <c r="P347" i="23"/>
  <c r="U247" i="12"/>
  <c r="I278" i="12"/>
  <c r="P383" i="23"/>
  <c r="U278" i="12"/>
  <c r="P102" i="23"/>
  <c r="U78" i="12"/>
  <c r="P291" i="23"/>
  <c r="U191" i="12"/>
  <c r="P535" i="23"/>
  <c r="U386" i="12"/>
  <c r="P72" i="23"/>
  <c r="U58" i="12"/>
  <c r="P69" i="23"/>
  <c r="U55" i="12"/>
  <c r="K291" i="23"/>
  <c r="Q191" i="12"/>
  <c r="K293" i="23"/>
  <c r="Q193" i="12"/>
  <c r="P300" i="23"/>
  <c r="U200" i="12"/>
  <c r="K295" i="23"/>
  <c r="Q195" i="12"/>
  <c r="P724" i="23"/>
  <c r="P114" i="23"/>
  <c r="U86" i="12"/>
  <c r="P433" i="23"/>
  <c r="U319" i="12"/>
  <c r="I319" i="12"/>
  <c r="P497" i="23"/>
  <c r="U357" i="12"/>
  <c r="P202" i="23"/>
  <c r="U146" i="12"/>
  <c r="P294" i="23"/>
  <c r="U194" i="12"/>
  <c r="K299" i="23"/>
  <c r="Q199" i="12"/>
  <c r="P55" i="23"/>
  <c r="U45" i="12"/>
  <c r="O500" i="23"/>
  <c r="P500" i="23"/>
  <c r="K754" i="23"/>
  <c r="Q504" i="12"/>
  <c r="P555" i="23"/>
  <c r="U406" i="12"/>
  <c r="Q183" i="9"/>
  <c r="F38" i="21"/>
  <c r="F221" i="21"/>
  <c r="AL335" i="19"/>
  <c r="AL297" i="19"/>
  <c r="AL701" i="19"/>
  <c r="AL171" i="19"/>
  <c r="AL180" i="19"/>
  <c r="AL169" i="19"/>
  <c r="AL264" i="19"/>
  <c r="B247" i="21"/>
  <c r="F110" i="21"/>
  <c r="F72" i="21"/>
  <c r="AK410" i="19"/>
  <c r="AL410" i="19"/>
  <c r="AK85" i="19"/>
  <c r="AL85" i="19"/>
  <c r="AK109" i="19"/>
  <c r="AL109" i="19"/>
  <c r="AK121" i="19"/>
  <c r="AK133" i="19"/>
  <c r="AK337" i="19"/>
  <c r="AK351" i="19"/>
  <c r="AK375" i="19"/>
  <c r="AL375" i="19"/>
  <c r="AK415" i="19"/>
  <c r="AL415" i="19"/>
  <c r="AK555" i="19"/>
  <c r="AK427" i="19"/>
  <c r="AL427" i="19"/>
  <c r="AK417" i="19"/>
  <c r="AL417" i="19"/>
  <c r="AK36" i="19"/>
  <c r="AK692" i="19"/>
  <c r="AK23" i="19"/>
  <c r="AL23" i="19"/>
  <c r="AK312" i="19"/>
  <c r="AL312" i="19"/>
  <c r="AK700" i="19"/>
  <c r="AK576" i="19"/>
  <c r="AK413" i="19"/>
  <c r="AK456" i="19"/>
  <c r="AL456" i="19"/>
  <c r="AK623" i="19"/>
  <c r="AK390" i="19"/>
  <c r="AL390" i="19"/>
  <c r="AK391" i="19"/>
  <c r="AL391" i="19"/>
  <c r="AK394" i="19"/>
  <c r="AL394" i="19"/>
  <c r="AK399" i="19"/>
  <c r="AL399" i="19"/>
  <c r="AK142" i="19"/>
  <c r="AK70" i="19"/>
  <c r="AK634" i="19"/>
  <c r="AL634" i="19"/>
  <c r="AK635" i="19"/>
  <c r="AL635" i="19"/>
  <c r="AK691" i="19"/>
  <c r="AK709" i="19"/>
  <c r="AL709" i="19"/>
  <c r="AK710" i="19"/>
  <c r="AK670" i="19"/>
  <c r="AL670" i="19"/>
  <c r="AK557" i="19"/>
  <c r="AL557" i="19"/>
  <c r="AK409" i="19"/>
  <c r="AL409" i="19"/>
  <c r="AK35" i="19"/>
  <c r="AL35" i="19"/>
  <c r="AK37" i="19"/>
  <c r="AL37" i="19"/>
  <c r="AK31" i="19"/>
  <c r="AL31" i="19"/>
  <c r="AK16" i="19"/>
  <c r="AK108" i="19"/>
  <c r="AL108" i="19"/>
  <c r="AK120" i="19"/>
  <c r="AK132" i="19"/>
  <c r="AL132" i="19"/>
  <c r="AK188" i="19"/>
  <c r="AK200" i="19"/>
  <c r="AL200" i="19"/>
  <c r="AK324" i="19"/>
  <c r="AL324" i="19"/>
  <c r="AK336" i="19"/>
  <c r="AL336" i="19"/>
  <c r="AK350" i="19"/>
  <c r="AL350" i="19"/>
  <c r="AK374" i="19"/>
  <c r="AK414" i="19"/>
  <c r="AL414" i="19"/>
  <c r="AK478" i="19"/>
  <c r="AL478" i="19"/>
  <c r="AK511" i="19"/>
  <c r="AK523" i="19"/>
  <c r="AL523" i="19"/>
  <c r="AK539" i="19"/>
  <c r="AK572" i="19"/>
  <c r="AL572" i="19"/>
  <c r="AK385" i="19"/>
  <c r="AL385" i="19"/>
  <c r="AK62" i="19"/>
  <c r="AL62" i="19"/>
  <c r="AK77" i="19"/>
  <c r="AL77" i="19"/>
  <c r="AK341" i="19"/>
  <c r="AK379" i="19"/>
  <c r="AL379" i="19"/>
  <c r="AK436" i="19"/>
  <c r="AL436" i="19"/>
  <c r="AK453" i="19"/>
  <c r="AL453" i="19"/>
  <c r="AK544" i="19"/>
  <c r="AK706" i="19"/>
  <c r="AK736" i="19"/>
  <c r="AL736" i="19"/>
  <c r="AK49" i="19"/>
  <c r="AL49" i="19"/>
  <c r="AK403" i="19"/>
  <c r="AL403" i="19"/>
  <c r="AK764" i="19"/>
  <c r="AL764" i="19"/>
  <c r="AK525" i="19"/>
  <c r="AK734" i="19"/>
  <c r="AL734" i="19"/>
  <c r="AK136" i="19"/>
  <c r="AL136" i="19"/>
  <c r="AK676" i="19"/>
  <c r="AL676" i="19"/>
  <c r="AK342" i="19"/>
  <c r="AK470" i="19"/>
  <c r="AK47" i="19"/>
  <c r="AL47" i="19"/>
  <c r="AK48" i="19"/>
  <c r="AL48" i="19"/>
  <c r="AK443" i="19"/>
  <c r="AL443" i="19"/>
  <c r="AK493" i="19"/>
  <c r="AL493" i="19"/>
  <c r="AK494" i="19"/>
  <c r="AK44" i="19"/>
  <c r="AK696" i="19"/>
  <c r="AL696" i="19"/>
  <c r="AK728" i="19"/>
  <c r="AL728" i="19"/>
  <c r="AK534" i="19"/>
  <c r="AL534" i="19"/>
  <c r="AK404" i="19"/>
  <c r="AL404" i="19"/>
  <c r="AK444" i="19"/>
  <c r="AL444" i="19"/>
  <c r="AK551" i="19"/>
  <c r="AL551" i="19"/>
  <c r="AK550" i="19"/>
  <c r="AL550" i="19"/>
  <c r="AK423" i="19"/>
  <c r="AL423" i="19"/>
  <c r="P201" i="23"/>
  <c r="U145" i="12"/>
  <c r="F1302" i="23"/>
  <c r="M781" i="12"/>
  <c r="F1098" i="23"/>
  <c r="M718" i="12"/>
  <c r="P101" i="23"/>
  <c r="U77" i="12"/>
  <c r="P502" i="23"/>
  <c r="U360" i="12"/>
  <c r="K78" i="23"/>
  <c r="Q62" i="12"/>
  <c r="K336" i="23"/>
  <c r="Q236" i="12"/>
  <c r="P204" i="23"/>
  <c r="U148" i="12"/>
  <c r="F1097" i="23"/>
  <c r="M717" i="12"/>
  <c r="P965" i="23"/>
  <c r="U649" i="12"/>
  <c r="F965" i="23"/>
  <c r="M649" i="12"/>
  <c r="K899" i="23"/>
  <c r="I362" i="12"/>
  <c r="I357" i="12"/>
  <c r="R302" i="9"/>
  <c r="P501" i="23"/>
  <c r="U359" i="12"/>
  <c r="P781" i="23"/>
  <c r="F968" i="23"/>
  <c r="M652" i="12"/>
  <c r="K30" i="9"/>
  <c r="D33" i="9"/>
  <c r="D21" i="9"/>
  <c r="D13" i="9"/>
  <c r="D30" i="9"/>
  <c r="K11" i="9"/>
  <c r="K22" i="9"/>
  <c r="K101" i="23"/>
  <c r="Q77" i="12"/>
  <c r="K38" i="23"/>
  <c r="Q28" i="12"/>
  <c r="K38" i="9"/>
  <c r="K834" i="23"/>
  <c r="Q554" i="12"/>
  <c r="P758" i="23"/>
  <c r="U508" i="12"/>
  <c r="D29" i="9"/>
  <c r="P685" i="23"/>
  <c r="K90" i="23"/>
  <c r="Q70" i="12"/>
  <c r="D11" i="9"/>
  <c r="P507" i="23"/>
  <c r="P504" i="23"/>
  <c r="U362" i="12"/>
  <c r="I968" i="23"/>
  <c r="J968" i="23"/>
  <c r="P899" i="23"/>
  <c r="K504" i="23"/>
  <c r="Q362" i="12"/>
  <c r="I23" i="12"/>
  <c r="AL430" i="19"/>
  <c r="AL429" i="19"/>
  <c r="AL431" i="19"/>
  <c r="V41" i="21"/>
  <c r="S26" i="21"/>
  <c r="V45" i="21"/>
  <c r="S27" i="21"/>
  <c r="AL137" i="19"/>
  <c r="AL651" i="19"/>
  <c r="AL689" i="19"/>
  <c r="AL302" i="19"/>
  <c r="AL541" i="19"/>
  <c r="AL268" i="19"/>
  <c r="AL111" i="19"/>
  <c r="AL287" i="19"/>
  <c r="AL220" i="19"/>
  <c r="AL702" i="19"/>
  <c r="AL244" i="19"/>
  <c r="AL499" i="19"/>
  <c r="N261" i="21"/>
  <c r="M261" i="21"/>
  <c r="F151" i="21"/>
  <c r="P362" i="23"/>
  <c r="AK528" i="19"/>
  <c r="AL528" i="19"/>
  <c r="AK134" i="19"/>
  <c r="AL134" i="19"/>
  <c r="AK448" i="19"/>
  <c r="AL448" i="19"/>
  <c r="AK535" i="19"/>
  <c r="AK536" i="19"/>
  <c r="AL536" i="19"/>
  <c r="AL367" i="19"/>
  <c r="AL389" i="19"/>
  <c r="E77" i="20"/>
  <c r="AL12" i="19"/>
  <c r="AL679" i="19"/>
  <c r="E68" i="20"/>
  <c r="AL555" i="19"/>
  <c r="AL519" i="19"/>
  <c r="AL601" i="19"/>
  <c r="AL165" i="19"/>
  <c r="AL599" i="19"/>
  <c r="AL224" i="19"/>
  <c r="AL623" i="19"/>
  <c r="AL489" i="19"/>
  <c r="AL426" i="19"/>
  <c r="AL501" i="19"/>
  <c r="AL248" i="19"/>
  <c r="AL330" i="19"/>
  <c r="AL401" i="19"/>
  <c r="AL525" i="19"/>
  <c r="AL355" i="19"/>
  <c r="AL724" i="19"/>
  <c r="AL188" i="19"/>
  <c r="AL439" i="19"/>
  <c r="AL461" i="19"/>
  <c r="AL611" i="19"/>
  <c r="AL258" i="19"/>
  <c r="AL164" i="19"/>
  <c r="AL284" i="19"/>
  <c r="AL70" i="19"/>
  <c r="AL236" i="19"/>
  <c r="AL713" i="19"/>
  <c r="AL176" i="19"/>
  <c r="AL260" i="19"/>
  <c r="AL698" i="19"/>
  <c r="AL659" i="19"/>
  <c r="AL451" i="19"/>
  <c r="AL647" i="19"/>
  <c r="AL671" i="19"/>
  <c r="AL95" i="19"/>
  <c r="AL11" i="19"/>
  <c r="AL477" i="19"/>
  <c r="AL27" i="19"/>
  <c r="AL52" i="19"/>
  <c r="AL212" i="19"/>
  <c r="AL513" i="19"/>
  <c r="AL585" i="19"/>
  <c r="AL272" i="19"/>
  <c r="AL152" i="19"/>
  <c r="AL83" i="19"/>
  <c r="AL146" i="19"/>
  <c r="AL653" i="19"/>
  <c r="AL254" i="19"/>
  <c r="AL17" i="19"/>
  <c r="AL242" i="19"/>
  <c r="AL125" i="19"/>
  <c r="AL230" i="19"/>
  <c r="AL101" i="19"/>
  <c r="AL629" i="19"/>
  <c r="AL170" i="19"/>
  <c r="AL469" i="19"/>
  <c r="AL278" i="19"/>
  <c r="AL158" i="19"/>
  <c r="AL665" i="19"/>
  <c r="AL733" i="19"/>
  <c r="AL705" i="19"/>
  <c r="AL266" i="19"/>
  <c r="AL605" i="19"/>
  <c r="AL591" i="19"/>
  <c r="AL153" i="19"/>
  <c r="AL28" i="19"/>
  <c r="AL273" i="19"/>
  <c r="AL40" i="19"/>
  <c r="AL356" i="19"/>
  <c r="AL120" i="19"/>
  <c r="AL249" i="19"/>
  <c r="AL84" i="19"/>
  <c r="AL237" i="19"/>
  <c r="AL225" i="19"/>
  <c r="AL740" i="19"/>
  <c r="AL660" i="19"/>
  <c r="AL636" i="19"/>
  <c r="AL72" i="19"/>
  <c r="AL213" i="19"/>
  <c r="AL752" i="19"/>
  <c r="AL201" i="19"/>
  <c r="AL600" i="19"/>
  <c r="AL189" i="19"/>
  <c r="AL177" i="19"/>
  <c r="AL506" i="19"/>
  <c r="AL512" i="19"/>
  <c r="AL476" i="19"/>
  <c r="AL575" i="19"/>
  <c r="AL29" i="19"/>
  <c r="AL250" i="19"/>
  <c r="AL178" i="19"/>
  <c r="AL41" i="19"/>
  <c r="AL190" i="19"/>
  <c r="AL13" i="19"/>
  <c r="AL637" i="19"/>
  <c r="AL563" i="19"/>
  <c r="AL238" i="19"/>
  <c r="AL166" i="19"/>
  <c r="AL587" i="19"/>
  <c r="AL133" i="19"/>
  <c r="AL357" i="19"/>
  <c r="AL741" i="19"/>
  <c r="AL625" i="19"/>
  <c r="AL286" i="19"/>
  <c r="AL121" i="19"/>
  <c r="AL673" i="19"/>
  <c r="AL332" i="19"/>
  <c r="AL226" i="19"/>
  <c r="AL154" i="19"/>
  <c r="AL613" i="19"/>
  <c r="AL345" i="19"/>
  <c r="AL214" i="19"/>
  <c r="AL649" i="19"/>
  <c r="AL202" i="19"/>
  <c r="AL97" i="19"/>
  <c r="AL548" i="19"/>
  <c r="AL583" i="19"/>
  <c r="AL366" i="19"/>
  <c r="AL365" i="19"/>
  <c r="AL500" i="19"/>
  <c r="AL511" i="19"/>
  <c r="AL750" i="19"/>
  <c r="AL710" i="19"/>
  <c r="AL695" i="19"/>
  <c r="AL737" i="19"/>
  <c r="AL377" i="19"/>
  <c r="AL683" i="19"/>
  <c r="AL725" i="19"/>
  <c r="AL402" i="19"/>
  <c r="AL475" i="19"/>
  <c r="AL645" i="19"/>
  <c r="AL559" i="19"/>
  <c r="AL117" i="19"/>
  <c r="AL316" i="19"/>
  <c r="AL646" i="19"/>
  <c r="AL584" i="19"/>
  <c r="AL354" i="19"/>
  <c r="AL329" i="19"/>
  <c r="AL378" i="19"/>
  <c r="AL684" i="19"/>
  <c r="AL317" i="19"/>
  <c r="AL313" i="19"/>
  <c r="AL337" i="19"/>
  <c r="AL373" i="19"/>
  <c r="AL531" i="19"/>
  <c r="AL617" i="19"/>
  <c r="AL691" i="19"/>
  <c r="AL386" i="19"/>
  <c r="AL567" i="19"/>
  <c r="AL362" i="19"/>
  <c r="AL532" i="19"/>
  <c r="AL161" i="19"/>
  <c r="AL363" i="19"/>
  <c r="AL314" i="19"/>
  <c r="AL352" i="19"/>
  <c r="AL473" i="19"/>
  <c r="AL620" i="19"/>
  <c r="AL81" i="19"/>
  <c r="AL681" i="19"/>
  <c r="AL210" i="19"/>
  <c r="AL761" i="19"/>
  <c r="AL747" i="19"/>
  <c r="AL485" i="19"/>
  <c r="AL38" i="19"/>
  <c r="AL643" i="19"/>
  <c r="AL140" i="19"/>
  <c r="AL703" i="19"/>
  <c r="AL374" i="19"/>
  <c r="AL680" i="19"/>
  <c r="AL554" i="19"/>
  <c r="AL580" i="19"/>
  <c r="AL666" i="19"/>
  <c r="AL128" i="19"/>
  <c r="AL257" i="19"/>
  <c r="AL173" i="19"/>
  <c r="AL566" i="19"/>
  <c r="O252" i="23"/>
  <c r="P252" i="23"/>
  <c r="AL104" i="19"/>
  <c r="AL245" i="19"/>
  <c r="AL544" i="19"/>
  <c r="AL578" i="19"/>
  <c r="AL652" i="19"/>
  <c r="AL372" i="19"/>
  <c r="AL233" i="19"/>
  <c r="AL325" i="19"/>
  <c r="AL664" i="19"/>
  <c r="AL59" i="19"/>
  <c r="AL508" i="19"/>
  <c r="AL323" i="19"/>
  <c r="AL654" i="19"/>
  <c r="AL421" i="19"/>
  <c r="AL556" i="19"/>
  <c r="AL484" i="19"/>
  <c r="AL759" i="19"/>
  <c r="AL281" i="19"/>
  <c r="AL197" i="19"/>
  <c r="AL530" i="19"/>
  <c r="AL482" i="19"/>
  <c r="AL396" i="19"/>
  <c r="AL592" i="19"/>
  <c r="AL494" i="19"/>
  <c r="AL34" i="19"/>
  <c r="AL22" i="19"/>
  <c r="AL149" i="19"/>
  <c r="AL606" i="19"/>
  <c r="AL520" i="19"/>
  <c r="AL269" i="19"/>
  <c r="AL185" i="19"/>
  <c r="AL630" i="19"/>
  <c r="AL130" i="19"/>
  <c r="AL608" i="19"/>
  <c r="AL327" i="19"/>
  <c r="AL460" i="19"/>
  <c r="AL51" i="19"/>
  <c r="AL106" i="19"/>
  <c r="AL594" i="19"/>
  <c r="AL94" i="19"/>
  <c r="AL546" i="19"/>
  <c r="AL413" i="19"/>
  <c r="AL510" i="19"/>
  <c r="AL69" i="19"/>
  <c r="AL570" i="19"/>
  <c r="AL315" i="19"/>
  <c r="AL522" i="19"/>
  <c r="AL10" i="19"/>
  <c r="AL748" i="19"/>
  <c r="AL26" i="19"/>
  <c r="AL86" i="19"/>
  <c r="AL239" i="19"/>
  <c r="AL167" i="19"/>
  <c r="AL66" i="19"/>
  <c r="AL490" i="19"/>
  <c r="V44" i="21"/>
  <c r="AL504" i="19"/>
  <c r="AL588" i="19"/>
  <c r="AL338" i="19"/>
  <c r="AL227" i="19"/>
  <c r="AL648" i="19"/>
  <c r="AL387" i="19"/>
  <c r="AL392" i="19"/>
  <c r="AL141" i="19"/>
  <c r="AL545" i="19"/>
  <c r="AL50" i="19"/>
  <c r="AL720" i="19"/>
  <c r="AL253" i="19"/>
  <c r="AL419" i="19"/>
  <c r="AL729" i="19"/>
  <c r="AL74" i="19"/>
  <c r="AL631" i="19"/>
  <c r="AL112" i="19"/>
  <c r="AL241" i="19"/>
  <c r="AL129" i="19"/>
  <c r="AL215" i="19"/>
  <c r="AL326" i="19"/>
  <c r="AL380" i="19"/>
  <c r="AL509" i="19"/>
  <c r="AL612" i="19"/>
  <c r="AL593" i="19"/>
  <c r="AL122" i="19"/>
  <c r="AL181" i="19"/>
  <c r="AL751" i="19"/>
  <c r="AL57" i="19"/>
  <c r="AL277" i="19"/>
  <c r="AL229" i="19"/>
  <c r="AL124" i="19"/>
  <c r="V40" i="21"/>
  <c r="AL351" i="19"/>
  <c r="AL626" i="19"/>
  <c r="S8" i="21"/>
  <c r="AL265" i="19"/>
  <c r="AL105" i="19"/>
  <c r="AL263" i="19"/>
  <c r="AL179" i="19"/>
  <c r="AL521" i="19"/>
  <c r="AL715" i="19"/>
  <c r="AL602" i="19"/>
  <c r="AL16" i="19"/>
  <c r="AL655" i="19"/>
  <c r="AL619" i="19"/>
  <c r="AL667" i="19"/>
  <c r="AL44" i="19"/>
  <c r="AL692" i="19"/>
  <c r="O232" i="23"/>
  <c r="P232" i="23"/>
  <c r="O262" i="23"/>
  <c r="P262" i="23"/>
  <c r="AL98" i="19"/>
  <c r="AL440" i="19"/>
  <c r="AL217" i="19"/>
  <c r="AL275" i="19"/>
  <c r="AL706" i="19"/>
  <c r="AL624" i="19"/>
  <c r="AL576" i="19"/>
  <c r="AL32" i="19"/>
  <c r="AL368" i="19"/>
  <c r="AL205" i="19"/>
  <c r="AL157" i="19"/>
  <c r="AL42" i="19"/>
  <c r="AL251" i="19"/>
  <c r="AL614" i="19"/>
  <c r="AL454" i="19"/>
  <c r="AL581" i="19"/>
  <c r="AL30" i="19"/>
  <c r="AL492" i="19"/>
  <c r="AL564" i="19"/>
  <c r="AL685" i="19"/>
  <c r="AL150" i="19"/>
  <c r="AL758" i="19"/>
  <c r="AL381" i="19"/>
  <c r="AL139" i="19"/>
  <c r="AL358" i="19"/>
  <c r="AL347" i="19"/>
  <c r="AL502" i="19"/>
  <c r="AL756" i="19"/>
  <c r="AL246" i="19"/>
  <c r="AL370" i="19"/>
  <c r="AL346" i="19"/>
  <c r="AL539" i="19"/>
  <c r="AL407" i="19"/>
  <c r="AL610" i="19"/>
  <c r="AL465" i="19"/>
  <c r="AL464" i="19"/>
  <c r="AL186" i="19"/>
  <c r="AL723" i="19"/>
  <c r="AL322" i="19"/>
  <c r="AL441" i="19"/>
  <c r="AL282" i="19"/>
  <c r="AL127" i="19"/>
  <c r="AL657" i="19"/>
  <c r="AL234" i="19"/>
  <c r="AL382" i="19"/>
  <c r="AL633" i="19"/>
  <c r="AL174" i="19"/>
  <c r="AL92" i="19"/>
  <c r="AL333" i="19"/>
  <c r="AL115" i="19"/>
  <c r="AL61" i="19"/>
  <c r="AL418" i="19"/>
  <c r="AL321" i="19"/>
  <c r="AL656" i="19"/>
  <c r="AL561" i="19"/>
  <c r="AL596" i="19"/>
  <c r="AL334" i="19"/>
  <c r="AL270" i="19"/>
  <c r="AL682" i="19"/>
  <c r="AL595" i="19"/>
  <c r="AL526" i="19"/>
  <c r="AL60" i="19"/>
  <c r="AL369" i="19"/>
  <c r="AL311" i="19"/>
  <c r="AL694" i="19"/>
  <c r="AL162" i="19"/>
  <c r="AL24" i="19"/>
  <c r="AL223" i="19"/>
  <c r="AL470" i="19"/>
  <c r="AL283" i="19"/>
  <c r="AL668" i="19"/>
  <c r="AL271" i="19"/>
  <c r="AL211" i="19"/>
  <c r="AL459" i="19"/>
  <c r="AL9" i="19"/>
  <c r="AL114" i="19"/>
  <c r="AL79" i="19"/>
  <c r="AL319" i="19"/>
  <c r="AL412" i="19"/>
  <c r="AL562" i="19"/>
  <c r="AL722" i="19"/>
  <c r="AL259" i="19"/>
  <c r="AL481" i="19"/>
  <c r="AL447" i="19"/>
  <c r="AL199" i="19"/>
  <c r="AL495" i="19"/>
  <c r="AL622" i="19"/>
  <c r="AL36" i="19"/>
  <c r="AL102" i="19"/>
  <c r="AL247" i="19"/>
  <c r="AL574" i="19"/>
  <c r="AL707" i="19"/>
  <c r="V42" i="21"/>
  <c r="AL745" i="19"/>
  <c r="AL126" i="19"/>
  <c r="AL91" i="19"/>
  <c r="AL341" i="19"/>
  <c r="AL235" i="19"/>
  <c r="AL187" i="19"/>
  <c r="AL483" i="19"/>
  <c r="AL232" i="19"/>
  <c r="AL279" i="19"/>
  <c r="AL524" i="19"/>
  <c r="AL457" i="19"/>
  <c r="AL674" i="19"/>
  <c r="AL445" i="19"/>
  <c r="AL480" i="19"/>
  <c r="AL96" i="19"/>
  <c r="AL604" i="19"/>
  <c r="AL73" i="19"/>
  <c r="AL175" i="19"/>
  <c r="AL119" i="19"/>
  <c r="AL616" i="19"/>
  <c r="AL628" i="19"/>
  <c r="AL639" i="19"/>
  <c r="AL68" i="19"/>
  <c r="AL267" i="19"/>
  <c r="AL342" i="19"/>
  <c r="AL547" i="19"/>
  <c r="F1" i="20"/>
  <c r="G1" i="20"/>
  <c r="P516" i="23"/>
  <c r="AL364" i="19"/>
  <c r="AL163" i="19"/>
  <c r="AL107" i="19"/>
  <c r="AL714" i="19"/>
  <c r="AL662" i="19"/>
  <c r="AL376" i="19"/>
  <c r="AL687" i="19"/>
  <c r="AL727" i="19"/>
  <c r="AL221" i="19"/>
  <c r="AL650" i="19"/>
  <c r="AL590" i="19"/>
  <c r="AL699" i="19"/>
  <c r="S25" i="21"/>
  <c r="AL209" i="19"/>
  <c r="AL255" i="19"/>
  <c r="AL353" i="19"/>
  <c r="AL503" i="19"/>
  <c r="AL151" i="19"/>
  <c r="AL749" i="19"/>
  <c r="AL243" i="19"/>
  <c r="AL422" i="19"/>
  <c r="AL468" i="19"/>
  <c r="S9" i="21"/>
  <c r="P736" i="23"/>
  <c r="R240" i="9"/>
  <c r="W166" i="12"/>
  <c r="W742" i="12"/>
  <c r="V676" i="12"/>
  <c r="Z337" i="12"/>
  <c r="AL535" i="19"/>
  <c r="P1068" i="23"/>
  <c r="P1067" i="23"/>
  <c r="K1085" i="23"/>
  <c r="P494" i="23"/>
  <c r="U354" i="12"/>
  <c r="S7" i="21"/>
  <c r="AL318" i="19"/>
  <c r="O1080" i="23"/>
  <c r="P1080" i="23"/>
  <c r="E1079" i="23"/>
  <c r="E1080" i="23"/>
  <c r="F1080" i="23"/>
  <c r="F1079" i="23"/>
  <c r="P495" i="23"/>
  <c r="U355" i="12"/>
  <c r="AL753" i="19"/>
  <c r="AL632" i="19"/>
  <c r="AL543" i="19"/>
  <c r="AL533" i="19"/>
  <c r="K1081" i="23"/>
  <c r="O1081" i="23"/>
  <c r="P1081" i="23"/>
  <c r="AL621" i="19"/>
  <c r="P1085" i="23"/>
  <c r="AL700" i="19"/>
  <c r="AL360" i="19"/>
  <c r="AL719" i="19"/>
  <c r="AL55" i="19"/>
  <c r="AL552" i="19"/>
  <c r="AL762" i="19"/>
  <c r="J160" i="23"/>
  <c r="K160" i="23"/>
  <c r="E160" i="23"/>
  <c r="F160" i="23"/>
  <c r="AL142" i="19"/>
  <c r="V43" i="21"/>
  <c r="O1070" i="23"/>
  <c r="P1070" i="23"/>
  <c r="K1084" i="23"/>
  <c r="J1079" i="23"/>
  <c r="J1080" i="23"/>
  <c r="K1080" i="23"/>
  <c r="O1077" i="23"/>
  <c r="P1077" i="23"/>
  <c r="O1076" i="23"/>
  <c r="P1076" i="23"/>
  <c r="O1078" i="23"/>
  <c r="P1078" i="23"/>
  <c r="P1073" i="23"/>
  <c r="D1090" i="23"/>
  <c r="E1090" i="23"/>
  <c r="F1090" i="23"/>
  <c r="H1094" i="23"/>
  <c r="E1088" i="23"/>
  <c r="F1088" i="23"/>
  <c r="O499" i="23"/>
  <c r="P499" i="23"/>
  <c r="U620" i="12"/>
  <c r="I1075" i="23"/>
  <c r="V779" i="12"/>
  <c r="V778" i="12"/>
  <c r="V844" i="12"/>
  <c r="V843" i="12"/>
  <c r="V842" i="12"/>
  <c r="W337" i="12"/>
  <c r="W336" i="12"/>
  <c r="Z568" i="12"/>
  <c r="Z611" i="12"/>
  <c r="D54" i="25"/>
  <c r="H845" i="12"/>
  <c r="V166" i="12"/>
  <c r="V707" i="12"/>
  <c r="V742" i="12"/>
  <c r="Z844" i="12"/>
  <c r="Z862" i="12"/>
  <c r="D321" i="25"/>
  <c r="AC43" i="12"/>
  <c r="V214" i="12"/>
  <c r="V213" i="12"/>
  <c r="Z13" i="12"/>
  <c r="V125" i="12"/>
  <c r="V124" i="12"/>
  <c r="W676" i="12"/>
  <c r="W43" i="12"/>
  <c r="AF568" i="12"/>
  <c r="AF611" i="12"/>
  <c r="AF610" i="12"/>
  <c r="AF567" i="12"/>
  <c r="V337" i="12"/>
  <c r="V336" i="12"/>
  <c r="V803" i="12"/>
  <c r="V802" i="12"/>
  <c r="AC568" i="12"/>
  <c r="AC611" i="12"/>
  <c r="AC610" i="12"/>
  <c r="AC567" i="12"/>
  <c r="AF337" i="12"/>
  <c r="AF468" i="12"/>
  <c r="AF467" i="12"/>
  <c r="AF336" i="12"/>
  <c r="W100" i="12"/>
  <c r="W99" i="12"/>
  <c r="W831" i="12"/>
  <c r="W830" i="12"/>
  <c r="AC13" i="12"/>
  <c r="Z43" i="12"/>
  <c r="V615" i="12"/>
  <c r="V614" i="12"/>
  <c r="W779" i="12"/>
  <c r="W778" i="12"/>
  <c r="W844" i="12"/>
  <c r="W843" i="12"/>
  <c r="W842" i="12"/>
  <c r="W707" i="12"/>
  <c r="V13" i="12"/>
  <c r="V472" i="12"/>
  <c r="V471" i="12"/>
  <c r="AC844" i="12"/>
  <c r="AC862" i="12"/>
  <c r="AC861" i="12"/>
  <c r="W125" i="12"/>
  <c r="W124" i="12"/>
  <c r="V695" i="12"/>
  <c r="AC337" i="12"/>
  <c r="AC467" i="12"/>
  <c r="AC336" i="12"/>
  <c r="V100" i="12"/>
  <c r="V99" i="12"/>
  <c r="V831" i="12"/>
  <c r="V830" i="12"/>
  <c r="AC214" i="12"/>
  <c r="W214" i="12"/>
  <c r="W213" i="12"/>
  <c r="V568" i="12"/>
  <c r="V567" i="12"/>
  <c r="W615" i="12"/>
  <c r="W614" i="12"/>
  <c r="AF779" i="12"/>
  <c r="AF778" i="12"/>
  <c r="AF214" i="12"/>
  <c r="AF333" i="12"/>
  <c r="D173" i="25"/>
  <c r="Z214" i="12"/>
  <c r="W568" i="12"/>
  <c r="W567" i="12"/>
  <c r="AC831" i="12"/>
  <c r="AC830" i="12"/>
  <c r="AC166" i="12"/>
  <c r="AF831" i="12"/>
  <c r="AF830" i="12"/>
  <c r="AF844" i="12"/>
  <c r="AF862" i="12"/>
  <c r="AF861" i="12"/>
  <c r="AC676" i="12"/>
  <c r="AF100" i="12"/>
  <c r="AF99" i="12"/>
  <c r="Z472" i="12"/>
  <c r="Z471" i="12"/>
  <c r="W472" i="12"/>
  <c r="W471" i="12"/>
  <c r="AF472" i="12"/>
  <c r="AC100" i="12"/>
  <c r="AC99" i="12"/>
  <c r="AC472" i="12"/>
  <c r="AC471" i="12"/>
  <c r="W803" i="12"/>
  <c r="W802" i="12"/>
  <c r="V43" i="12"/>
  <c r="H850" i="12"/>
  <c r="AF643" i="12"/>
  <c r="AF642" i="12"/>
  <c r="AF615" i="12"/>
  <c r="AF614" i="12"/>
  <c r="W695" i="12"/>
  <c r="W13" i="12"/>
  <c r="AC671" i="12"/>
  <c r="AC670" i="12"/>
  <c r="AC647" i="12"/>
  <c r="AC646" i="12"/>
  <c r="V9" i="12"/>
  <c r="Z831" i="12"/>
  <c r="Z830" i="12"/>
  <c r="Z676" i="12"/>
  <c r="AC125" i="12"/>
  <c r="AC124" i="12"/>
  <c r="AC827" i="12"/>
  <c r="AC826" i="12"/>
  <c r="AC803" i="12"/>
  <c r="AC802" i="12"/>
  <c r="Z742" i="12"/>
  <c r="AC615" i="12"/>
  <c r="AC614" i="12"/>
  <c r="AC695" i="12"/>
  <c r="Z803" i="12"/>
  <c r="Z802" i="12"/>
  <c r="Z643" i="12"/>
  <c r="D119" i="25"/>
  <c r="AF742" i="12"/>
  <c r="AF675" i="12"/>
  <c r="AF674" i="12"/>
  <c r="W9" i="12"/>
  <c r="K784" i="23"/>
  <c r="Q525" i="12"/>
  <c r="B1034" i="23"/>
  <c r="D738" i="25"/>
  <c r="D55" i="25"/>
  <c r="D523" i="25"/>
  <c r="D121" i="25"/>
  <c r="D322" i="25"/>
  <c r="D56" i="25"/>
  <c r="D323" i="25"/>
  <c r="D771" i="25"/>
  <c r="K728" i="23"/>
  <c r="Q484" i="12"/>
  <c r="I57" i="12"/>
  <c r="K86" i="23"/>
  <c r="Q66" i="12"/>
  <c r="P73" i="23"/>
  <c r="U59" i="12"/>
  <c r="H1284" i="23"/>
  <c r="D1284" i="23"/>
  <c r="E1284" i="23"/>
  <c r="K507" i="23"/>
  <c r="I484" i="12"/>
  <c r="K467" i="23"/>
  <c r="Q346" i="12"/>
  <c r="F1281" i="23"/>
  <c r="M760" i="12"/>
  <c r="P496" i="23"/>
  <c r="U356" i="12"/>
  <c r="H827" i="12"/>
  <c r="H826" i="12"/>
  <c r="H803" i="12"/>
  <c r="H802" i="12"/>
  <c r="I390" i="12"/>
  <c r="I621" i="12"/>
  <c r="H195" i="12"/>
  <c r="H387" i="12"/>
  <c r="H369" i="12"/>
  <c r="H862" i="12"/>
  <c r="H861" i="12"/>
  <c r="H656" i="12"/>
  <c r="H339" i="12"/>
  <c r="I761" i="12"/>
  <c r="I789" i="12"/>
  <c r="H185" i="12"/>
  <c r="H144" i="12"/>
  <c r="H45" i="12"/>
  <c r="H357" i="12"/>
  <c r="I190" i="12"/>
  <c r="H51" i="12"/>
  <c r="H786" i="12"/>
  <c r="H735" i="12"/>
  <c r="H588" i="12"/>
  <c r="H434" i="12"/>
  <c r="H196" i="12"/>
  <c r="H71" i="12"/>
  <c r="H146" i="12"/>
  <c r="H391" i="12"/>
  <c r="H506" i="12"/>
  <c r="H362" i="12"/>
  <c r="H278" i="12"/>
  <c r="H402" i="12"/>
  <c r="H319" i="12"/>
  <c r="H484" i="12"/>
  <c r="H390" i="12"/>
  <c r="H632" i="12"/>
  <c r="H23" i="12"/>
  <c r="I627" i="12"/>
  <c r="H492" i="12"/>
  <c r="H348" i="12"/>
  <c r="H621" i="12"/>
  <c r="H579" i="12"/>
  <c r="I845" i="12"/>
  <c r="I260" i="21"/>
  <c r="P38" i="23"/>
  <c r="U28" i="12"/>
  <c r="P108" i="23"/>
  <c r="U82" i="12"/>
  <c r="K35" i="23"/>
  <c r="Q25" i="12"/>
  <c r="K347" i="23"/>
  <c r="Q247" i="12"/>
  <c r="I711" i="12"/>
  <c r="I587" i="12"/>
  <c r="I55" i="12"/>
  <c r="I622" i="12"/>
  <c r="I192" i="12"/>
  <c r="I58" i="12"/>
  <c r="I386" i="12"/>
  <c r="I505" i="12"/>
  <c r="I649" i="12"/>
  <c r="I317" i="12"/>
  <c r="I189" i="12"/>
  <c r="I346" i="12"/>
  <c r="I658" i="12"/>
  <c r="I764" i="12"/>
  <c r="I438" i="12"/>
  <c r="I424" i="12"/>
  <c r="E867" i="23"/>
  <c r="F867" i="23"/>
  <c r="I56" i="12"/>
  <c r="I77" i="12"/>
  <c r="I697" i="12"/>
  <c r="I318" i="12"/>
  <c r="I86" i="12"/>
  <c r="I626" i="12"/>
  <c r="I62" i="12"/>
  <c r="I66" i="12"/>
  <c r="I140" i="12"/>
  <c r="I316" i="12"/>
  <c r="I785" i="12"/>
  <c r="I661" i="12"/>
  <c r="I199" i="12"/>
  <c r="I784" i="12"/>
  <c r="P337" i="23"/>
  <c r="U237" i="12"/>
  <c r="I194" i="12"/>
  <c r="I191" i="12"/>
  <c r="I184" i="12"/>
  <c r="I782" i="12"/>
  <c r="I129" i="12"/>
  <c r="I625" i="12"/>
  <c r="I787" i="12"/>
  <c r="P539" i="23"/>
  <c r="U390" i="12"/>
  <c r="I384" i="12"/>
  <c r="P467" i="23"/>
  <c r="U346" i="12"/>
  <c r="I788" i="12"/>
  <c r="I145" i="12"/>
  <c r="I147" i="12"/>
  <c r="I148" i="12"/>
  <c r="I197" i="12"/>
  <c r="K294" i="23"/>
  <c r="Q194" i="12"/>
  <c r="I54" i="12"/>
  <c r="I756" i="12"/>
  <c r="I630" i="12"/>
  <c r="I216" i="12"/>
  <c r="N260" i="21"/>
  <c r="Z610" i="12"/>
  <c r="Z567" i="12"/>
  <c r="I10" i="25"/>
  <c r="I12" i="25"/>
  <c r="Z861" i="12"/>
  <c r="Z843" i="12"/>
  <c r="Z842" i="12"/>
  <c r="I16" i="25"/>
  <c r="AF332" i="12"/>
  <c r="AF213" i="12"/>
  <c r="I5" i="25"/>
  <c r="Z467" i="12"/>
  <c r="I8" i="25"/>
  <c r="Z642" i="12"/>
  <c r="Z615" i="12"/>
  <c r="Z614" i="12"/>
  <c r="I11" i="25"/>
  <c r="I826" i="12"/>
  <c r="K260" i="21"/>
  <c r="L260" i="21"/>
  <c r="H262" i="21"/>
  <c r="M260" i="21"/>
  <c r="O195" i="23"/>
  <c r="P195" i="23"/>
  <c r="J195" i="23"/>
  <c r="K195" i="23"/>
  <c r="P498" i="23"/>
  <c r="U358" i="12"/>
  <c r="K361" i="23"/>
  <c r="K362" i="23"/>
  <c r="F1065" i="23"/>
  <c r="P975" i="23"/>
  <c r="U659" i="12"/>
  <c r="P1048" i="23"/>
  <c r="U699" i="12"/>
  <c r="I359" i="12"/>
  <c r="I60" i="12"/>
  <c r="P683" i="23"/>
  <c r="U457" i="12"/>
  <c r="I50" i="12"/>
  <c r="P64" i="23"/>
  <c r="U50" i="12"/>
  <c r="E1065" i="23"/>
  <c r="P1047" i="23"/>
  <c r="U698" i="12"/>
  <c r="I758" i="12"/>
  <c r="P677" i="23"/>
  <c r="U455" i="12"/>
  <c r="I455" i="12"/>
  <c r="I360" i="12"/>
  <c r="I783" i="12"/>
  <c r="P753" i="23"/>
  <c r="U503" i="12"/>
  <c r="P783" i="23"/>
  <c r="U524" i="12"/>
  <c r="I59" i="12"/>
  <c r="P1253" i="23"/>
  <c r="U735" i="12"/>
  <c r="P1309" i="23"/>
  <c r="U788" i="12"/>
  <c r="I25" i="12"/>
  <c r="I388" i="12"/>
  <c r="P537" i="23"/>
  <c r="U388" i="12"/>
  <c r="P632" i="23"/>
  <c r="U424" i="12"/>
  <c r="P293" i="23"/>
  <c r="U193" i="12"/>
  <c r="I53" i="12"/>
  <c r="P67" i="23"/>
  <c r="U53" i="12"/>
  <c r="P35" i="23"/>
  <c r="U25" i="12"/>
  <c r="F975" i="23"/>
  <c r="M659" i="12"/>
  <c r="I52" i="12"/>
  <c r="P66" i="23"/>
  <c r="U52" i="12"/>
  <c r="P70" i="23"/>
  <c r="U56" i="12"/>
  <c r="P365" i="23"/>
  <c r="U262" i="12"/>
  <c r="P71" i="23"/>
  <c r="U57" i="12"/>
  <c r="K289" i="23"/>
  <c r="Q189" i="12"/>
  <c r="P289" i="23"/>
  <c r="U189" i="12"/>
  <c r="P298" i="23"/>
  <c r="U198" i="12"/>
  <c r="P382" i="23"/>
  <c r="U277" i="12"/>
  <c r="AK7" i="19"/>
  <c r="K684" i="23"/>
  <c r="K683" i="23"/>
  <c r="Q457" i="12"/>
  <c r="M99" i="23"/>
  <c r="P728" i="23"/>
  <c r="U484" i="12"/>
  <c r="S372" i="9"/>
  <c r="S373" i="9"/>
  <c r="S374" i="9"/>
  <c r="S375" i="9"/>
  <c r="S376" i="9"/>
  <c r="C4" i="19"/>
  <c r="Q445" i="9"/>
  <c r="Q446" i="9"/>
  <c r="Q447" i="9"/>
  <c r="Q448" i="9"/>
  <c r="Q449" i="9"/>
  <c r="K965" i="23"/>
  <c r="Q649" i="12"/>
  <c r="Q497" i="9"/>
  <c r="Q498" i="9"/>
  <c r="Q499" i="9"/>
  <c r="Q500" i="9"/>
  <c r="Q501" i="9"/>
  <c r="K364" i="23"/>
  <c r="Q261" i="12"/>
  <c r="P364" i="23"/>
  <c r="U261" i="12"/>
  <c r="P90" i="23"/>
  <c r="U70" i="12"/>
  <c r="I70" i="12"/>
  <c r="I361" i="12"/>
  <c r="P503" i="23"/>
  <c r="U361" i="12"/>
  <c r="I262" i="12"/>
  <c r="P100" i="23"/>
  <c r="U76" i="12"/>
  <c r="K365" i="23"/>
  <c r="Q262" i="12"/>
  <c r="I236" i="12"/>
  <c r="I74" i="12"/>
  <c r="P98" i="23"/>
  <c r="U74" i="12"/>
  <c r="K968" i="23"/>
  <c r="Q652" i="12"/>
  <c r="V39" i="21"/>
  <c r="AD7" i="19"/>
  <c r="O491" i="9"/>
  <c r="C1034" i="23"/>
  <c r="P234" i="23"/>
  <c r="U170" i="12"/>
  <c r="P734" i="23"/>
  <c r="P735" i="23"/>
  <c r="S24" i="21"/>
  <c r="S6" i="21"/>
  <c r="V12" i="12"/>
  <c r="V675" i="12"/>
  <c r="V674" i="12"/>
  <c r="Z12" i="12"/>
  <c r="P1079" i="23"/>
  <c r="AL7" i="19"/>
  <c r="K1079" i="23"/>
  <c r="I237" i="12"/>
  <c r="V6" i="21"/>
  <c r="P360" i="23"/>
  <c r="P359" i="23"/>
  <c r="U259" i="12"/>
  <c r="O1069" i="23"/>
  <c r="P1069" i="23"/>
  <c r="J1075" i="23"/>
  <c r="K1075" i="23"/>
  <c r="J1065" i="23"/>
  <c r="O243" i="23"/>
  <c r="P243" i="23"/>
  <c r="P253" i="23"/>
  <c r="U173" i="12"/>
  <c r="F1087" i="23"/>
  <c r="F1064" i="23"/>
  <c r="M713" i="12"/>
  <c r="U623" i="12"/>
  <c r="E1087" i="23"/>
  <c r="D1094" i="23"/>
  <c r="E1094" i="23"/>
  <c r="F1094" i="23"/>
  <c r="H844" i="12"/>
  <c r="AC12" i="12"/>
  <c r="W675" i="12"/>
  <c r="W674" i="12"/>
  <c r="AC10" i="12"/>
  <c r="AC213" i="12"/>
  <c r="AC165" i="12"/>
  <c r="V165" i="12"/>
  <c r="AF10" i="12"/>
  <c r="W12" i="12"/>
  <c r="W165" i="12"/>
  <c r="Z675" i="12"/>
  <c r="Z674" i="12"/>
  <c r="AF564" i="12"/>
  <c r="Z10" i="12"/>
  <c r="AC675" i="12"/>
  <c r="AC674" i="12"/>
  <c r="AF843" i="12"/>
  <c r="AF842" i="12"/>
  <c r="Z213" i="12"/>
  <c r="AC11" i="12"/>
  <c r="AC843" i="12"/>
  <c r="AC842" i="12"/>
  <c r="H16" i="25"/>
  <c r="I861" i="12"/>
  <c r="B1035" i="23"/>
  <c r="C1035" i="23"/>
  <c r="D1033" i="23"/>
  <c r="E1033" i="23"/>
  <c r="F1033" i="23"/>
  <c r="D881" i="25"/>
  <c r="D919" i="25"/>
  <c r="I193" i="12"/>
  <c r="I504" i="12"/>
  <c r="I503" i="12"/>
  <c r="I198" i="12"/>
  <c r="I525" i="12"/>
  <c r="I82" i="12"/>
  <c r="H147" i="12"/>
  <c r="H184" i="12"/>
  <c r="H66" i="12"/>
  <c r="H317" i="12"/>
  <c r="H627" i="12"/>
  <c r="H145" i="12"/>
  <c r="H191" i="12"/>
  <c r="H62" i="12"/>
  <c r="H649" i="12"/>
  <c r="H190" i="12"/>
  <c r="H843" i="12"/>
  <c r="H842" i="12"/>
  <c r="H74" i="12"/>
  <c r="H59" i="12"/>
  <c r="H788" i="12"/>
  <c r="H194" i="12"/>
  <c r="H626" i="12"/>
  <c r="H631" i="12"/>
  <c r="H151" i="12"/>
  <c r="H318" i="12"/>
  <c r="H386" i="12"/>
  <c r="H525" i="12"/>
  <c r="H70" i="12"/>
  <c r="H360" i="12"/>
  <c r="H50" i="12"/>
  <c r="H193" i="12"/>
  <c r="H455" i="12"/>
  <c r="H216" i="12"/>
  <c r="H384" i="12"/>
  <c r="H697" i="12"/>
  <c r="H424" i="12"/>
  <c r="H58" i="12"/>
  <c r="H505" i="12"/>
  <c r="H630" i="12"/>
  <c r="H784" i="12"/>
  <c r="H77" i="12"/>
  <c r="H438" i="12"/>
  <c r="H192" i="12"/>
  <c r="I200" i="12"/>
  <c r="H60" i="12"/>
  <c r="H57" i="12"/>
  <c r="H52" i="12"/>
  <c r="H660" i="12"/>
  <c r="H236" i="12"/>
  <c r="H388" i="12"/>
  <c r="H503" i="12"/>
  <c r="H504" i="12"/>
  <c r="H359" i="12"/>
  <c r="H756" i="12"/>
  <c r="H787" i="12"/>
  <c r="H199" i="12"/>
  <c r="H56" i="12"/>
  <c r="H764" i="12"/>
  <c r="H734" i="12"/>
  <c r="H237" i="12"/>
  <c r="H758" i="12"/>
  <c r="H54" i="12"/>
  <c r="H625" i="12"/>
  <c r="H661" i="12"/>
  <c r="H658" i="12"/>
  <c r="H622" i="12"/>
  <c r="H86" i="12"/>
  <c r="H129" i="12"/>
  <c r="H785" i="12"/>
  <c r="H346" i="12"/>
  <c r="H55" i="12"/>
  <c r="H262" i="12"/>
  <c r="H25" i="12"/>
  <c r="H198" i="12"/>
  <c r="H783" i="12"/>
  <c r="H361" i="12"/>
  <c r="H82" i="12"/>
  <c r="H197" i="12"/>
  <c r="H316" i="12"/>
  <c r="H189" i="12"/>
  <c r="H587" i="12"/>
  <c r="H789" i="12"/>
  <c r="H554" i="12"/>
  <c r="H53" i="12"/>
  <c r="H148" i="12"/>
  <c r="H782" i="12"/>
  <c r="H140" i="12"/>
  <c r="H17" i="12"/>
  <c r="H711" i="12"/>
  <c r="H761" i="12"/>
  <c r="I457" i="12"/>
  <c r="O499" i="9"/>
  <c r="I698" i="12"/>
  <c r="I699" i="12"/>
  <c r="I659" i="12"/>
  <c r="I28" i="12"/>
  <c r="P784" i="23"/>
  <c r="U525" i="12"/>
  <c r="I261" i="12"/>
  <c r="I247" i="12"/>
  <c r="I259" i="12"/>
  <c r="I277" i="12"/>
  <c r="I624" i="12"/>
  <c r="I803" i="12"/>
  <c r="Z11" i="12"/>
  <c r="Z9" i="12"/>
  <c r="AF563" i="12"/>
  <c r="AF471" i="12"/>
  <c r="AF165" i="12"/>
  <c r="I9" i="25"/>
  <c r="Z336" i="12"/>
  <c r="Z165" i="12"/>
  <c r="I844" i="12"/>
  <c r="H99" i="23"/>
  <c r="E1064" i="23"/>
  <c r="J713" i="12"/>
  <c r="F1284" i="23"/>
  <c r="M763" i="12"/>
  <c r="K360" i="23"/>
  <c r="K359" i="23"/>
  <c r="Q259" i="12"/>
  <c r="K77" i="23"/>
  <c r="F1283" i="23"/>
  <c r="M762" i="12"/>
  <c r="AB179" i="9"/>
  <c r="AB319" i="9"/>
  <c r="AB276" i="9"/>
  <c r="AB205" i="9"/>
  <c r="AB255" i="9"/>
  <c r="X41" i="21"/>
  <c r="G262" i="21"/>
  <c r="S48" i="21"/>
  <c r="S5" i="21"/>
  <c r="J867" i="23"/>
  <c r="K867" i="23"/>
  <c r="K16" i="23"/>
  <c r="P336" i="23"/>
  <c r="U236" i="12"/>
  <c r="K758" i="23"/>
  <c r="Q508" i="12"/>
  <c r="D1034" i="23"/>
  <c r="E1034" i="23"/>
  <c r="F1034" i="23"/>
  <c r="D1031" i="23"/>
  <c r="E1031" i="23"/>
  <c r="F1031" i="23"/>
  <c r="D1035" i="23"/>
  <c r="E1035" i="23"/>
  <c r="F1035" i="23"/>
  <c r="D1032" i="23"/>
  <c r="E1032" i="23"/>
  <c r="F1032" i="23"/>
  <c r="F940" i="23"/>
  <c r="M624" i="12"/>
  <c r="O444" i="9"/>
  <c r="C187" i="21"/>
  <c r="O503" i="9"/>
  <c r="P944" i="23"/>
  <c r="U628" i="12"/>
  <c r="O497" i="9"/>
  <c r="O500" i="9"/>
  <c r="O506" i="9"/>
  <c r="O502" i="9"/>
  <c r="O504" i="9"/>
  <c r="O501" i="9"/>
  <c r="O507" i="9"/>
  <c r="O498" i="9"/>
  <c r="O508" i="9"/>
  <c r="O505" i="9"/>
  <c r="AC9" i="12"/>
  <c r="U617" i="12"/>
  <c r="K382" i="23"/>
  <c r="Q277" i="12"/>
  <c r="P87" i="23"/>
  <c r="U67" i="12"/>
  <c r="F939" i="23"/>
  <c r="M623" i="12"/>
  <c r="K940" i="23"/>
  <c r="Q624" i="12"/>
  <c r="U619" i="12"/>
  <c r="U618" i="12"/>
  <c r="K1065" i="23"/>
  <c r="P945" i="23"/>
  <c r="U629" i="12"/>
  <c r="U624" i="12"/>
  <c r="P1065" i="23"/>
  <c r="F933" i="23"/>
  <c r="M617" i="12"/>
  <c r="D2" i="25"/>
  <c r="P131" i="23"/>
  <c r="U103" i="12"/>
  <c r="P145" i="23"/>
  <c r="U117" i="12"/>
  <c r="P137" i="23"/>
  <c r="U109" i="12"/>
  <c r="P136" i="23"/>
  <c r="U108" i="12"/>
  <c r="P138" i="23"/>
  <c r="U110" i="12"/>
  <c r="K131" i="23"/>
  <c r="Q103" i="12"/>
  <c r="K144" i="23"/>
  <c r="Q116" i="12"/>
  <c r="K130" i="23"/>
  <c r="Q102" i="12"/>
  <c r="K140" i="23"/>
  <c r="Q112" i="12"/>
  <c r="K139" i="23"/>
  <c r="Q111" i="12"/>
  <c r="E146" i="23"/>
  <c r="K143" i="23"/>
  <c r="Q115" i="12"/>
  <c r="K137" i="23"/>
  <c r="Q109" i="12"/>
  <c r="K138" i="23"/>
  <c r="Q110" i="12"/>
  <c r="K136" i="23"/>
  <c r="Q108" i="12"/>
  <c r="P107" i="23"/>
  <c r="U81" i="12"/>
  <c r="P19" i="23"/>
  <c r="U17" i="12"/>
  <c r="K19" i="23"/>
  <c r="Q17" i="12"/>
  <c r="H624" i="12"/>
  <c r="H699" i="12"/>
  <c r="H247" i="12"/>
  <c r="H261" i="12"/>
  <c r="H457" i="12"/>
  <c r="H109" i="12"/>
  <c r="H110" i="12"/>
  <c r="H112" i="12"/>
  <c r="H659" i="12"/>
  <c r="H277" i="12"/>
  <c r="H698" i="12"/>
  <c r="H200" i="12"/>
  <c r="H259" i="12"/>
  <c r="I508" i="12"/>
  <c r="I67" i="12"/>
  <c r="AF11" i="12"/>
  <c r="AF9" i="12"/>
  <c r="Z4" i="12"/>
  <c r="I81" i="12"/>
  <c r="K107" i="23"/>
  <c r="Q81" i="12"/>
  <c r="I696" i="12"/>
  <c r="K97" i="23"/>
  <c r="I802" i="12"/>
  <c r="I843" i="12"/>
  <c r="K87" i="23"/>
  <c r="Q67" i="12"/>
  <c r="C630" i="25"/>
  <c r="K79" i="23"/>
  <c r="Q63" i="12"/>
  <c r="K76" i="23"/>
  <c r="K75" i="23"/>
  <c r="Q61" i="12"/>
  <c r="K88" i="23"/>
  <c r="Q68" i="12"/>
  <c r="K59" i="23"/>
  <c r="Q47" i="12"/>
  <c r="F1280" i="23"/>
  <c r="M759" i="12"/>
  <c r="AB230" i="9"/>
  <c r="K113" i="23"/>
  <c r="K33" i="23"/>
  <c r="K94" i="23"/>
  <c r="T53" i="21"/>
  <c r="T52" i="21"/>
  <c r="K172" i="23"/>
  <c r="Q133" i="12"/>
  <c r="B239" i="21"/>
  <c r="C239" i="21"/>
  <c r="T51" i="21"/>
  <c r="K1284" i="23"/>
  <c r="Q763" i="12"/>
  <c r="W35" i="21"/>
  <c r="AB181" i="9"/>
  <c r="W34" i="21"/>
  <c r="K29" i="23"/>
  <c r="K25" i="23"/>
  <c r="F967" i="23"/>
  <c r="M651" i="12"/>
  <c r="K63" i="23"/>
  <c r="AB237" i="9"/>
  <c r="W29" i="21"/>
  <c r="K21" i="23"/>
  <c r="W12" i="21"/>
  <c r="K105" i="23"/>
  <c r="K62" i="23"/>
  <c r="T55" i="21"/>
  <c r="K57" i="23"/>
  <c r="K60" i="23"/>
  <c r="Q48" i="12"/>
  <c r="K100" i="23"/>
  <c r="Q76" i="12"/>
  <c r="I76" i="12"/>
  <c r="K34" i="23"/>
  <c r="K199" i="23"/>
  <c r="Q143" i="12"/>
  <c r="K93" i="23"/>
  <c r="K106" i="23"/>
  <c r="K28" i="23"/>
  <c r="K96" i="23"/>
  <c r="K1283" i="23"/>
  <c r="Q762" i="12"/>
  <c r="T56" i="21"/>
  <c r="P17" i="23"/>
  <c r="P97" i="23"/>
  <c r="P105" i="23"/>
  <c r="I762" i="12"/>
  <c r="P25" i="23"/>
  <c r="P21" i="23"/>
  <c r="P57" i="23"/>
  <c r="I763" i="12"/>
  <c r="P94" i="23"/>
  <c r="P77" i="23"/>
  <c r="P29" i="23"/>
  <c r="P113" i="23"/>
  <c r="P867" i="23"/>
  <c r="P93" i="23"/>
  <c r="P22" i="23"/>
  <c r="P96" i="23"/>
  <c r="P63" i="23"/>
  <c r="P106" i="23"/>
  <c r="P34" i="23"/>
  <c r="P58" i="23"/>
  <c r="F1030" i="23"/>
  <c r="M686" i="12"/>
  <c r="E1030" i="23"/>
  <c r="J686" i="12"/>
  <c r="O448" i="9"/>
  <c r="O447" i="9"/>
  <c r="O446" i="9"/>
  <c r="O456" i="9"/>
  <c r="O451" i="9"/>
  <c r="O455" i="9"/>
  <c r="O443" i="9"/>
  <c r="O450" i="9"/>
  <c r="O452" i="9"/>
  <c r="O445" i="9"/>
  <c r="O454" i="9"/>
  <c r="O453" i="9"/>
  <c r="C6" i="21"/>
  <c r="O449" i="9"/>
  <c r="F936" i="23"/>
  <c r="M620" i="12"/>
  <c r="F934" i="23"/>
  <c r="M618" i="12"/>
  <c r="I620" i="12"/>
  <c r="F944" i="23"/>
  <c r="M628" i="12"/>
  <c r="I619" i="12"/>
  <c r="F935" i="23"/>
  <c r="M619" i="12"/>
  <c r="F945" i="23"/>
  <c r="M629" i="12"/>
  <c r="I623" i="12"/>
  <c r="I628" i="12"/>
  <c r="P143" i="23"/>
  <c r="U115" i="12"/>
  <c r="P144" i="23"/>
  <c r="U116" i="12"/>
  <c r="F174" i="21"/>
  <c r="P130" i="23"/>
  <c r="U102" i="12"/>
  <c r="P139" i="23"/>
  <c r="U111" i="12"/>
  <c r="P132" i="23"/>
  <c r="U104" i="12"/>
  <c r="P140" i="23"/>
  <c r="U112" i="12"/>
  <c r="F114" i="21"/>
  <c r="K145" i="23"/>
  <c r="Q117" i="12"/>
  <c r="P133" i="23"/>
  <c r="U105" i="12"/>
  <c r="K133" i="23"/>
  <c r="Q105" i="12"/>
  <c r="K132" i="23"/>
  <c r="Q104" i="12"/>
  <c r="J146" i="23"/>
  <c r="N118" i="12"/>
  <c r="N101" i="12"/>
  <c r="F146" i="23"/>
  <c r="M118" i="12"/>
  <c r="X45" i="21"/>
  <c r="F231" i="21"/>
  <c r="F148" i="21"/>
  <c r="AB242" i="9"/>
  <c r="I17" i="12"/>
  <c r="I618" i="12"/>
  <c r="F194" i="21"/>
  <c r="H111" i="12"/>
  <c r="H696" i="12"/>
  <c r="H620" i="12"/>
  <c r="H618" i="12"/>
  <c r="H508" i="12"/>
  <c r="H628" i="12"/>
  <c r="H623" i="12"/>
  <c r="H762" i="12"/>
  <c r="H76" i="12"/>
  <c r="H67" i="12"/>
  <c r="H619" i="12"/>
  <c r="H763" i="12"/>
  <c r="H81" i="12"/>
  <c r="I133" i="12"/>
  <c r="I63" i="12"/>
  <c r="I68" i="12"/>
  <c r="I78" i="12"/>
  <c r="I629" i="12"/>
  <c r="I69" i="12"/>
  <c r="I759" i="12"/>
  <c r="I149" i="12"/>
  <c r="I29" i="12"/>
  <c r="I143" i="12"/>
  <c r="I75" i="12"/>
  <c r="K95" i="23"/>
  <c r="Q73" i="12"/>
  <c r="K37" i="23"/>
  <c r="Q27" i="12"/>
  <c r="I16" i="12"/>
  <c r="I79" i="12"/>
  <c r="I150" i="12"/>
  <c r="I26" i="12"/>
  <c r="I20" i="12"/>
  <c r="K208" i="23"/>
  <c r="Q152" i="12"/>
  <c r="I22" i="12"/>
  <c r="K205" i="23"/>
  <c r="Q149" i="12"/>
  <c r="I651" i="12"/>
  <c r="I27" i="12"/>
  <c r="F233" i="21"/>
  <c r="I705" i="12"/>
  <c r="I842" i="12"/>
  <c r="F40" i="23"/>
  <c r="M30" i="12"/>
  <c r="AB178" i="9"/>
  <c r="B240" i="21"/>
  <c r="C240" i="21"/>
  <c r="P199" i="23"/>
  <c r="U143" i="12"/>
  <c r="K18" i="23"/>
  <c r="Q16" i="12"/>
  <c r="K102" i="23"/>
  <c r="Q78" i="12"/>
  <c r="P89" i="23"/>
  <c r="U69" i="12"/>
  <c r="K39" i="23"/>
  <c r="Q29" i="12"/>
  <c r="P99" i="23"/>
  <c r="U75" i="12"/>
  <c r="P1280" i="23"/>
  <c r="U759" i="12"/>
  <c r="K103" i="23"/>
  <c r="Q79" i="12"/>
  <c r="F971" i="23"/>
  <c r="M655" i="12"/>
  <c r="K30" i="23"/>
  <c r="Q22" i="12"/>
  <c r="K27" i="23"/>
  <c r="Q21" i="12"/>
  <c r="K32" i="23"/>
  <c r="Q24" i="12"/>
  <c r="P103" i="23"/>
  <c r="U79" i="12"/>
  <c r="K58" i="23"/>
  <c r="K56" i="23"/>
  <c r="Q46" i="12"/>
  <c r="K206" i="23"/>
  <c r="Q150" i="12"/>
  <c r="P60" i="23"/>
  <c r="U48" i="12"/>
  <c r="K99" i="23"/>
  <c r="Q75" i="12"/>
  <c r="K22" i="23"/>
  <c r="K20" i="23"/>
  <c r="Q18" i="12"/>
  <c r="B250" i="21"/>
  <c r="B248" i="21"/>
  <c r="C249" i="21"/>
  <c r="F67" i="21"/>
  <c r="X42" i="21"/>
  <c r="X44" i="21"/>
  <c r="F61" i="21"/>
  <c r="F196" i="21"/>
  <c r="F83" i="21"/>
  <c r="B242" i="21"/>
  <c r="C242" i="21"/>
  <c r="AB147" i="9"/>
  <c r="F51" i="21"/>
  <c r="F82" i="21"/>
  <c r="F54" i="21"/>
  <c r="AB142" i="9"/>
  <c r="F17" i="21"/>
  <c r="F182" i="21"/>
  <c r="F40" i="21"/>
  <c r="F13" i="21"/>
  <c r="F213" i="21"/>
  <c r="F109" i="21"/>
  <c r="F256" i="21"/>
  <c r="K1280" i="23"/>
  <c r="Q759" i="12"/>
  <c r="F63" i="21"/>
  <c r="F181" i="21"/>
  <c r="F127" i="21"/>
  <c r="F96" i="21"/>
  <c r="F130" i="21"/>
  <c r="AB224" i="9"/>
  <c r="F11" i="21"/>
  <c r="F172" i="21"/>
  <c r="F191" i="21"/>
  <c r="F218" i="21"/>
  <c r="F165" i="21"/>
  <c r="F155" i="21"/>
  <c r="K61" i="23"/>
  <c r="Q49" i="12"/>
  <c r="F89" i="21"/>
  <c r="F146" i="21"/>
  <c r="F86" i="21"/>
  <c r="AB175" i="9"/>
  <c r="F42" i="21"/>
  <c r="F239" i="21"/>
  <c r="AB186" i="9"/>
  <c r="F98" i="21"/>
  <c r="F112" i="21"/>
  <c r="F202" i="21"/>
  <c r="F65" i="21"/>
  <c r="F104" i="21"/>
  <c r="F257" i="21"/>
  <c r="F57" i="21"/>
  <c r="F219" i="21"/>
  <c r="F77" i="21"/>
  <c r="K36" i="23"/>
  <c r="Q26" i="12"/>
  <c r="AB302" i="9"/>
  <c r="F198" i="21"/>
  <c r="F19" i="21"/>
  <c r="F137" i="21"/>
  <c r="F91" i="21"/>
  <c r="F94" i="21"/>
  <c r="F206" i="21"/>
  <c r="P37" i="23"/>
  <c r="U27" i="12"/>
  <c r="P206" i="23"/>
  <c r="U150" i="12"/>
  <c r="F123" i="21"/>
  <c r="F201" i="21"/>
  <c r="F62" i="21"/>
  <c r="K967" i="23"/>
  <c r="Q651" i="12"/>
  <c r="K112" i="23"/>
  <c r="K111" i="23"/>
  <c r="Q85" i="12"/>
  <c r="F56" i="21"/>
  <c r="F76" i="21"/>
  <c r="F173" i="21"/>
  <c r="F53" i="21"/>
  <c r="F183" i="21"/>
  <c r="AB275" i="9"/>
  <c r="X43" i="21"/>
  <c r="AB153" i="9"/>
  <c r="F64" i="21"/>
  <c r="F140" i="21"/>
  <c r="F169" i="21"/>
  <c r="F106" i="21"/>
  <c r="F210" i="21"/>
  <c r="AB229" i="9"/>
  <c r="E256" i="23"/>
  <c r="F256" i="23"/>
  <c r="F150" i="21"/>
  <c r="P56" i="23"/>
  <c r="U46" i="12"/>
  <c r="P92" i="23"/>
  <c r="U72" i="12"/>
  <c r="P20" i="23"/>
  <c r="U18" i="12"/>
  <c r="F124" i="21"/>
  <c r="F180" i="21"/>
  <c r="F222" i="21"/>
  <c r="F132" i="21"/>
  <c r="F52" i="21"/>
  <c r="AB331" i="9"/>
  <c r="F58" i="21"/>
  <c r="F84" i="21"/>
  <c r="F78" i="21"/>
  <c r="F80" i="21"/>
  <c r="F258" i="21"/>
  <c r="F73" i="21"/>
  <c r="K92" i="23"/>
  <c r="Q72" i="12"/>
  <c r="F43" i="21"/>
  <c r="F69" i="21"/>
  <c r="F60" i="21"/>
  <c r="AB148" i="9"/>
  <c r="F108" i="21"/>
  <c r="F154" i="21"/>
  <c r="F190" i="21"/>
  <c r="F10" i="21"/>
  <c r="P205" i="23"/>
  <c r="U149" i="12"/>
  <c r="P172" i="23"/>
  <c r="P18" i="23"/>
  <c r="U16" i="12"/>
  <c r="F71" i="21"/>
  <c r="F117" i="21"/>
  <c r="F88" i="21"/>
  <c r="AB177" i="9"/>
  <c r="F224" i="21"/>
  <c r="K17" i="23"/>
  <c r="K15" i="23"/>
  <c r="Q15" i="12"/>
  <c r="F126" i="21"/>
  <c r="AB72" i="9"/>
  <c r="F232" i="21"/>
  <c r="AB335" i="9"/>
  <c r="F131" i="21"/>
  <c r="F97" i="21"/>
  <c r="F93" i="21"/>
  <c r="AB176" i="9"/>
  <c r="F87" i="21"/>
  <c r="F175" i="21"/>
  <c r="J261" i="21"/>
  <c r="F147" i="21"/>
  <c r="F55" i="21"/>
  <c r="F159" i="21"/>
  <c r="F133" i="21"/>
  <c r="F95" i="21"/>
  <c r="J256" i="23"/>
  <c r="K256" i="23"/>
  <c r="B44" i="21"/>
  <c r="C44" i="21"/>
  <c r="F179" i="21"/>
  <c r="F214" i="21"/>
  <c r="AB318" i="9"/>
  <c r="F68" i="21"/>
  <c r="F129" i="21"/>
  <c r="F44" i="21"/>
  <c r="P30" i="23"/>
  <c r="U22" i="12"/>
  <c r="F255" i="21"/>
  <c r="F226" i="21"/>
  <c r="K24" i="23"/>
  <c r="K23" i="23"/>
  <c r="Q19" i="12"/>
  <c r="F177" i="21"/>
  <c r="B244" i="21"/>
  <c r="C244" i="21"/>
  <c r="B238" i="21"/>
  <c r="C238" i="21"/>
  <c r="F149" i="21"/>
  <c r="AB243" i="9"/>
  <c r="F253" i="21"/>
  <c r="K104" i="23"/>
  <c r="Q80" i="12"/>
  <c r="K89" i="23"/>
  <c r="Q69" i="12"/>
  <c r="F223" i="21"/>
  <c r="F105" i="21"/>
  <c r="F228" i="21"/>
  <c r="F225" i="21"/>
  <c r="F115" i="21"/>
  <c r="K26" i="23"/>
  <c r="Q20" i="12"/>
  <c r="E261" i="21"/>
  <c r="E260" i="21"/>
  <c r="F254" i="21"/>
  <c r="AB187" i="9"/>
  <c r="F99" i="21"/>
  <c r="F168" i="21"/>
  <c r="F14" i="21"/>
  <c r="F238" i="21"/>
  <c r="F158" i="21"/>
  <c r="F252" i="21"/>
  <c r="F59" i="21"/>
  <c r="F39" i="21"/>
  <c r="X72" i="9"/>
  <c r="V72" i="9"/>
  <c r="W72" i="9"/>
  <c r="F118" i="21"/>
  <c r="F208" i="21"/>
  <c r="F111" i="21"/>
  <c r="F25" i="21"/>
  <c r="F37" i="21"/>
  <c r="F23" i="21"/>
  <c r="F178" i="21"/>
  <c r="F230" i="21"/>
  <c r="F113" i="21"/>
  <c r="F12" i="21"/>
  <c r="F79" i="21"/>
  <c r="F101" i="21"/>
  <c r="F160" i="21"/>
  <c r="AB254" i="9"/>
  <c r="F167" i="21"/>
  <c r="F50" i="21"/>
  <c r="F128" i="21"/>
  <c r="F157" i="21"/>
  <c r="AB258" i="9"/>
  <c r="F166" i="21"/>
  <c r="F125" i="21"/>
  <c r="F203" i="21"/>
  <c r="F152" i="21"/>
  <c r="F81" i="21"/>
  <c r="F195" i="21"/>
  <c r="F212" i="21"/>
  <c r="F171" i="21"/>
  <c r="F211" i="21"/>
  <c r="F259" i="21"/>
  <c r="K109" i="23"/>
  <c r="Q83" i="12"/>
  <c r="B246" i="21"/>
  <c r="F70" i="21"/>
  <c r="F41" i="21"/>
  <c r="F227" i="21"/>
  <c r="P36" i="23"/>
  <c r="U26" i="12"/>
  <c r="P26" i="23"/>
  <c r="U20" i="12"/>
  <c r="P109" i="23"/>
  <c r="U83" i="12"/>
  <c r="P62" i="23"/>
  <c r="P61" i="23"/>
  <c r="U49" i="12"/>
  <c r="P76" i="23"/>
  <c r="P75" i="23"/>
  <c r="U61" i="12"/>
  <c r="P39" i="23"/>
  <c r="U29" i="12"/>
  <c r="P24" i="23"/>
  <c r="P23" i="23"/>
  <c r="U19" i="12"/>
  <c r="P1283" i="23"/>
  <c r="U762" i="12"/>
  <c r="P59" i="23"/>
  <c r="U47" i="12"/>
  <c r="P1284" i="23"/>
  <c r="U763" i="12"/>
  <c r="P88" i="23"/>
  <c r="U68" i="12"/>
  <c r="P16" i="23"/>
  <c r="P15" i="23"/>
  <c r="U15" i="12"/>
  <c r="P79" i="23"/>
  <c r="U63" i="12"/>
  <c r="P33" i="23"/>
  <c r="P32" i="23"/>
  <c r="U24" i="12"/>
  <c r="P967" i="23"/>
  <c r="U651" i="12"/>
  <c r="P95" i="23"/>
  <c r="U73" i="12"/>
  <c r="P104" i="23"/>
  <c r="U80" i="12"/>
  <c r="P28" i="23"/>
  <c r="P27" i="23"/>
  <c r="U21" i="12"/>
  <c r="P112" i="23"/>
  <c r="P111" i="23"/>
  <c r="U85" i="12"/>
  <c r="Z443" i="9"/>
  <c r="K945" i="23"/>
  <c r="Q629" i="12"/>
  <c r="K939" i="23"/>
  <c r="Q623" i="12"/>
  <c r="K936" i="23"/>
  <c r="Q620" i="12"/>
  <c r="K944" i="23"/>
  <c r="Q628" i="12"/>
  <c r="K935" i="23"/>
  <c r="Q619" i="12"/>
  <c r="K934" i="23"/>
  <c r="Q618" i="12"/>
  <c r="K933" i="23"/>
  <c r="Q617" i="12"/>
  <c r="C496" i="9"/>
  <c r="D496" i="9"/>
  <c r="C495" i="9"/>
  <c r="D495" i="9"/>
  <c r="N121" i="12"/>
  <c r="N120" i="12"/>
  <c r="N100" i="12"/>
  <c r="N99" i="12"/>
  <c r="AB152" i="9"/>
  <c r="P146" i="23"/>
  <c r="U118" i="12"/>
  <c r="I695" i="12"/>
  <c r="I704" i="12"/>
  <c r="I47" i="12"/>
  <c r="I48" i="12"/>
  <c r="W45" i="21"/>
  <c r="AB334" i="9"/>
  <c r="H78" i="12"/>
  <c r="H48" i="12"/>
  <c r="H68" i="12"/>
  <c r="H75" i="12"/>
  <c r="H20" i="12"/>
  <c r="H29" i="12"/>
  <c r="H133" i="12"/>
  <c r="H27" i="12"/>
  <c r="H47" i="12"/>
  <c r="H651" i="12"/>
  <c r="H26" i="12"/>
  <c r="H149" i="12"/>
  <c r="H63" i="12"/>
  <c r="H705" i="12"/>
  <c r="H704" i="12"/>
  <c r="H695" i="12"/>
  <c r="H150" i="12"/>
  <c r="H759" i="12"/>
  <c r="H22" i="12"/>
  <c r="H143" i="12"/>
  <c r="H79" i="12"/>
  <c r="H69" i="12"/>
  <c r="H629" i="12"/>
  <c r="H16" i="12"/>
  <c r="H108" i="12"/>
  <c r="I83" i="12"/>
  <c r="I657" i="12"/>
  <c r="I18" i="12"/>
  <c r="I152" i="12"/>
  <c r="I61" i="12"/>
  <c r="U133" i="12"/>
  <c r="I617" i="12"/>
  <c r="I19" i="12"/>
  <c r="I49" i="12"/>
  <c r="I21" i="12"/>
  <c r="I73" i="12"/>
  <c r="I80" i="12"/>
  <c r="I72" i="12"/>
  <c r="I85" i="12"/>
  <c r="I24" i="12"/>
  <c r="X6" i="21"/>
  <c r="B189" i="21"/>
  <c r="P971" i="23"/>
  <c r="U655" i="12"/>
  <c r="P208" i="23"/>
  <c r="U152" i="12"/>
  <c r="K971" i="23"/>
  <c r="Q655" i="12"/>
  <c r="X40" i="21"/>
  <c r="X39" i="21"/>
  <c r="F189" i="21"/>
  <c r="F36" i="21"/>
  <c r="AB266" i="9"/>
  <c r="W19" i="21"/>
  <c r="C250" i="21"/>
  <c r="C248" i="21"/>
  <c r="E420" i="23"/>
  <c r="F15" i="21"/>
  <c r="H261" i="21"/>
  <c r="J260" i="21"/>
  <c r="W26" i="21"/>
  <c r="T57" i="21"/>
  <c r="E257" i="23"/>
  <c r="F257" i="23"/>
  <c r="O250" i="23"/>
  <c r="P250" i="23"/>
  <c r="O241" i="23"/>
  <c r="P241" i="23"/>
  <c r="O230" i="23"/>
  <c r="P230" i="23"/>
  <c r="O260" i="23"/>
  <c r="P260" i="23"/>
  <c r="AB56" i="9"/>
  <c r="E261" i="23"/>
  <c r="F261" i="23"/>
  <c r="E79" i="9"/>
  <c r="E232" i="23"/>
  <c r="F232" i="23"/>
  <c r="F66" i="21"/>
  <c r="F49" i="21"/>
  <c r="B245" i="21"/>
  <c r="C247" i="21"/>
  <c r="AB170" i="9"/>
  <c r="T49" i="21"/>
  <c r="O249" i="23"/>
  <c r="P249" i="23"/>
  <c r="O229" i="23"/>
  <c r="P229" i="23"/>
  <c r="O259" i="23"/>
  <c r="P259" i="23"/>
  <c r="O240" i="23"/>
  <c r="P240" i="23"/>
  <c r="F100" i="21"/>
  <c r="F200" i="21"/>
  <c r="E260" i="23"/>
  <c r="F260" i="23"/>
  <c r="O162" i="23"/>
  <c r="P162" i="23"/>
  <c r="J162" i="23"/>
  <c r="K162" i="23"/>
  <c r="E162" i="23"/>
  <c r="F162" i="23"/>
  <c r="W25" i="21"/>
  <c r="AB185" i="9"/>
  <c r="W27" i="21"/>
  <c r="B69" i="9"/>
  <c r="F217" i="21"/>
  <c r="W17" i="21"/>
  <c r="AB107" i="9"/>
  <c r="AB113" i="9"/>
  <c r="O420" i="23"/>
  <c r="O419" i="23"/>
  <c r="P419" i="23"/>
  <c r="E419" i="23"/>
  <c r="F419" i="23"/>
  <c r="AB253" i="9"/>
  <c r="W30" i="21"/>
  <c r="O258" i="23"/>
  <c r="P258" i="23"/>
  <c r="O248" i="23"/>
  <c r="P248" i="23"/>
  <c r="O239" i="23"/>
  <c r="P239" i="23"/>
  <c r="O228" i="23"/>
  <c r="P228" i="23"/>
  <c r="O261" i="23"/>
  <c r="P261" i="23"/>
  <c r="O231" i="23"/>
  <c r="P231" i="23"/>
  <c r="O242" i="23"/>
  <c r="P242" i="23"/>
  <c r="O251" i="23"/>
  <c r="P251" i="23"/>
  <c r="J261" i="23"/>
  <c r="K261" i="23"/>
  <c r="AB260" i="9"/>
  <c r="W43" i="21"/>
  <c r="E259" i="23"/>
  <c r="F259" i="23"/>
  <c r="AB330" i="9"/>
  <c r="W32" i="21"/>
  <c r="W13" i="21"/>
  <c r="AB259" i="9"/>
  <c r="E60" i="9"/>
  <c r="E262" i="23"/>
  <c r="F262" i="23"/>
  <c r="F243" i="23"/>
  <c r="AB182" i="9"/>
  <c r="W9" i="21"/>
  <c r="W16" i="21"/>
  <c r="AB329" i="9"/>
  <c r="F9" i="21"/>
  <c r="E258" i="23"/>
  <c r="F258" i="23"/>
  <c r="F245" i="21"/>
  <c r="W10" i="21"/>
  <c r="AB184" i="9"/>
  <c r="AB314" i="9"/>
  <c r="W15" i="21"/>
  <c r="J259" i="23"/>
  <c r="K259" i="23"/>
  <c r="J260" i="23"/>
  <c r="K260" i="23"/>
  <c r="T54" i="21"/>
  <c r="J258" i="23"/>
  <c r="K258" i="23"/>
  <c r="W11" i="21"/>
  <c r="AB206" i="9"/>
  <c r="W14" i="21"/>
  <c r="T50" i="21"/>
  <c r="J257" i="23"/>
  <c r="K257" i="23"/>
  <c r="O247" i="23"/>
  <c r="P247" i="23"/>
  <c r="O227" i="23"/>
  <c r="P227" i="23"/>
  <c r="O238" i="23"/>
  <c r="P238" i="23"/>
  <c r="O257" i="23"/>
  <c r="P257" i="23"/>
  <c r="AB263" i="9"/>
  <c r="AB333" i="9"/>
  <c r="W44" i="21"/>
  <c r="F973" i="23"/>
  <c r="M657" i="12"/>
  <c r="F122" i="21"/>
  <c r="F164" i="21"/>
  <c r="W7" i="21"/>
  <c r="F21" i="21"/>
  <c r="F251" i="21"/>
  <c r="F260" i="21"/>
  <c r="J161" i="23"/>
  <c r="K161" i="23"/>
  <c r="E161" i="23"/>
  <c r="F161" i="23"/>
  <c r="W21" i="21"/>
  <c r="AB252" i="9"/>
  <c r="AB112" i="9"/>
  <c r="W28" i="21"/>
  <c r="AB207" i="9"/>
  <c r="F28" i="21"/>
  <c r="O163" i="23"/>
  <c r="P163" i="23"/>
  <c r="AB183" i="9"/>
  <c r="W36" i="21"/>
  <c r="W33" i="21"/>
  <c r="L125" i="9"/>
  <c r="AB225" i="9"/>
  <c r="W18" i="21"/>
  <c r="AB180" i="9"/>
  <c r="W8" i="21"/>
  <c r="F145" i="21"/>
  <c r="W31" i="21"/>
  <c r="AB274" i="9"/>
  <c r="G1103" i="23"/>
  <c r="Z442" i="9"/>
  <c r="B441" i="9"/>
  <c r="C434" i="9"/>
  <c r="L1092" i="23"/>
  <c r="Z441" i="9"/>
  <c r="AA441" i="9"/>
  <c r="H978" i="9"/>
  <c r="L1103" i="23"/>
  <c r="C978" i="25"/>
  <c r="F508" i="23"/>
  <c r="F507" i="23"/>
  <c r="P150" i="9"/>
  <c r="N780" i="12"/>
  <c r="N799" i="12"/>
  <c r="N798" i="12"/>
  <c r="N779" i="12"/>
  <c r="N778" i="12"/>
  <c r="I118" i="12"/>
  <c r="I655" i="12"/>
  <c r="I46" i="12"/>
  <c r="H118" i="12"/>
  <c r="H103" i="12"/>
  <c r="H104" i="12"/>
  <c r="H105" i="12"/>
  <c r="H18" i="12"/>
  <c r="H617" i="12"/>
  <c r="H24" i="12"/>
  <c r="H19" i="12"/>
  <c r="H657" i="12"/>
  <c r="H85" i="12"/>
  <c r="H72" i="12"/>
  <c r="H61" i="12"/>
  <c r="H80" i="12"/>
  <c r="H633" i="12"/>
  <c r="H73" i="12"/>
  <c r="H152" i="12"/>
  <c r="H83" i="12"/>
  <c r="H655" i="12"/>
  <c r="H46" i="12"/>
  <c r="H21" i="12"/>
  <c r="H49" i="12"/>
  <c r="I15" i="12"/>
  <c r="P420" i="23"/>
  <c r="F420" i="23"/>
  <c r="K40" i="23"/>
  <c r="Q30" i="12"/>
  <c r="I781" i="12"/>
  <c r="K270" i="23"/>
  <c r="Q180" i="12"/>
  <c r="P270" i="23"/>
  <c r="U180" i="12"/>
  <c r="C259" i="21"/>
  <c r="X112" i="9"/>
  <c r="C246" i="21"/>
  <c r="C245" i="21"/>
  <c r="AB304" i="9"/>
  <c r="P240" i="9"/>
  <c r="C69" i="9"/>
  <c r="D69" i="9"/>
  <c r="M159" i="23"/>
  <c r="J163" i="23"/>
  <c r="K163" i="23"/>
  <c r="R417" i="23"/>
  <c r="W24" i="21"/>
  <c r="B458" i="9"/>
  <c r="C458" i="9"/>
  <c r="I78" i="9"/>
  <c r="J78" i="9"/>
  <c r="I73" i="9"/>
  <c r="J73" i="9"/>
  <c r="AB208" i="9"/>
  <c r="O194" i="23"/>
  <c r="P194" i="23"/>
  <c r="P193" i="23"/>
  <c r="U139" i="12"/>
  <c r="AB256" i="9"/>
  <c r="AB277" i="9"/>
  <c r="AB64" i="9"/>
  <c r="B36" i="21"/>
  <c r="AB48" i="9"/>
  <c r="B455" i="9"/>
  <c r="C455" i="9"/>
  <c r="E163" i="23"/>
  <c r="F163" i="23"/>
  <c r="W6" i="21"/>
  <c r="G261" i="21"/>
  <c r="G260" i="21"/>
  <c r="H260" i="21"/>
  <c r="J194" i="23"/>
  <c r="K194" i="23"/>
  <c r="K193" i="23"/>
  <c r="Q139" i="12"/>
  <c r="I68" i="9"/>
  <c r="J68" i="9"/>
  <c r="F252" i="23"/>
  <c r="AB155" i="9"/>
  <c r="AB188" i="9"/>
  <c r="R159" i="23"/>
  <c r="B76" i="9"/>
  <c r="C76" i="9"/>
  <c r="AB239" i="9"/>
  <c r="F237" i="21"/>
  <c r="F6" i="21"/>
  <c r="L404" i="23"/>
  <c r="J262" i="23"/>
  <c r="K262" i="23"/>
  <c r="J232" i="23"/>
  <c r="K232" i="23"/>
  <c r="Q376" i="9"/>
  <c r="Q382" i="9"/>
  <c r="Q372" i="9"/>
  <c r="Q373" i="9"/>
  <c r="Q375" i="9"/>
  <c r="Q378" i="9"/>
  <c r="Q384" i="9"/>
  <c r="Q381" i="9"/>
  <c r="Q374" i="9"/>
  <c r="Q379" i="9"/>
  <c r="Q370" i="9"/>
  <c r="Q386" i="9"/>
  <c r="Q371" i="9"/>
  <c r="M417" i="23"/>
  <c r="AB320" i="9"/>
  <c r="T48" i="21"/>
  <c r="G404" i="23"/>
  <c r="AB337" i="9"/>
  <c r="B468" i="9"/>
  <c r="C468" i="9"/>
  <c r="M1089" i="23"/>
  <c r="I1089" i="23"/>
  <c r="J1089" i="23"/>
  <c r="K1089" i="23"/>
  <c r="B449" i="9"/>
  <c r="C449" i="9"/>
  <c r="B445" i="9"/>
  <c r="C445" i="9"/>
  <c r="B453" i="9"/>
  <c r="C453" i="9"/>
  <c r="B461" i="9"/>
  <c r="C461" i="9"/>
  <c r="B448" i="9"/>
  <c r="C448" i="9"/>
  <c r="B443" i="9"/>
  <c r="C443" i="9"/>
  <c r="B460" i="9"/>
  <c r="C460" i="9"/>
  <c r="AA442" i="9"/>
  <c r="B462" i="9"/>
  <c r="C462" i="9"/>
  <c r="B447" i="9"/>
  <c r="C447" i="9"/>
  <c r="B459" i="9"/>
  <c r="C459" i="9"/>
  <c r="B465" i="9"/>
  <c r="C465" i="9"/>
  <c r="B463" i="9"/>
  <c r="C463" i="9"/>
  <c r="B467" i="9"/>
  <c r="C467" i="9"/>
  <c r="M1088" i="23"/>
  <c r="I1088" i="23"/>
  <c r="J1088" i="23"/>
  <c r="K1088" i="23"/>
  <c r="B444" i="9"/>
  <c r="C444" i="9"/>
  <c r="B454" i="9"/>
  <c r="C454" i="9"/>
  <c r="B450" i="9"/>
  <c r="C450" i="9"/>
  <c r="B446" i="9"/>
  <c r="C446" i="9"/>
  <c r="B469" i="9"/>
  <c r="C469" i="9"/>
  <c r="M1090" i="23"/>
  <c r="I1090" i="23"/>
  <c r="J1090" i="23"/>
  <c r="K1090" i="23"/>
  <c r="B464" i="9"/>
  <c r="B452" i="9"/>
  <c r="C452" i="9"/>
  <c r="B456" i="9"/>
  <c r="C456" i="9"/>
  <c r="B451" i="9"/>
  <c r="C451" i="9"/>
  <c r="AA443" i="9"/>
  <c r="K1302" i="23"/>
  <c r="Q781" i="12"/>
  <c r="P1302" i="23"/>
  <c r="U781" i="12"/>
  <c r="I180" i="12"/>
  <c r="I780" i="12"/>
  <c r="I30" i="12"/>
  <c r="P40" i="23"/>
  <c r="U30" i="12"/>
  <c r="H616" i="12"/>
  <c r="H15" i="12"/>
  <c r="H180" i="12"/>
  <c r="H30" i="12"/>
  <c r="H781" i="12"/>
  <c r="H780" i="12"/>
  <c r="I354" i="12"/>
  <c r="I139" i="12"/>
  <c r="D1096" i="23"/>
  <c r="E1096" i="23"/>
  <c r="J716" i="12"/>
  <c r="H1250" i="23"/>
  <c r="W112" i="9"/>
  <c r="V112" i="9"/>
  <c r="W5" i="21"/>
  <c r="C251" i="21"/>
  <c r="J419" i="23"/>
  <c r="K419" i="23"/>
  <c r="L76" i="9"/>
  <c r="K494" i="23"/>
  <c r="Q354" i="12"/>
  <c r="L67" i="9"/>
  <c r="E125" i="9"/>
  <c r="J499" i="23"/>
  <c r="K499" i="23"/>
  <c r="K498" i="23"/>
  <c r="Q358" i="12"/>
  <c r="G403" i="23"/>
  <c r="L72" i="9"/>
  <c r="C200" i="21"/>
  <c r="G407" i="23"/>
  <c r="Q240" i="9"/>
  <c r="O382" i="9"/>
  <c r="O376" i="9"/>
  <c r="O378" i="9"/>
  <c r="O384" i="9"/>
  <c r="O374" i="9"/>
  <c r="O373" i="9"/>
  <c r="O379" i="9"/>
  <c r="O370" i="9"/>
  <c r="O386" i="9"/>
  <c r="O381" i="9"/>
  <c r="O371" i="9"/>
  <c r="O372" i="9"/>
  <c r="O375" i="9"/>
  <c r="E74" i="9"/>
  <c r="J236" i="23"/>
  <c r="K236" i="23"/>
  <c r="O418" i="23"/>
  <c r="P418" i="23"/>
  <c r="F736" i="23"/>
  <c r="K407" i="23"/>
  <c r="L407" i="23"/>
  <c r="E418" i="23"/>
  <c r="F418" i="23"/>
  <c r="L403" i="23"/>
  <c r="O236" i="23"/>
  <c r="P236" i="23"/>
  <c r="O255" i="23"/>
  <c r="P255" i="23"/>
  <c r="J420" i="23"/>
  <c r="P382" i="9"/>
  <c r="P372" i="9"/>
  <c r="P373" i="9"/>
  <c r="P378" i="9"/>
  <c r="P371" i="9"/>
  <c r="P376" i="9"/>
  <c r="P374" i="9"/>
  <c r="P384" i="9"/>
  <c r="P375" i="9"/>
  <c r="P379" i="9"/>
  <c r="P370" i="9"/>
  <c r="P386" i="9"/>
  <c r="P381" i="9"/>
  <c r="C477" i="9"/>
  <c r="B477" i="9"/>
  <c r="C217" i="21"/>
  <c r="J418" i="23"/>
  <c r="K418" i="23"/>
  <c r="B418" i="9"/>
  <c r="O161" i="23"/>
  <c r="P161" i="23"/>
  <c r="M840" i="12"/>
  <c r="I896" i="23"/>
  <c r="J896" i="23"/>
  <c r="K378" i="23"/>
  <c r="Q273" i="12"/>
  <c r="P63" i="9"/>
  <c r="C36" i="21"/>
  <c r="O1089" i="23"/>
  <c r="P1089" i="23"/>
  <c r="H1061" i="23"/>
  <c r="D1061" i="23"/>
  <c r="E1061" i="23"/>
  <c r="J710" i="12"/>
  <c r="H1060" i="23"/>
  <c r="D1060" i="23"/>
  <c r="E1060" i="23"/>
  <c r="F1060" i="23"/>
  <c r="C464" i="9"/>
  <c r="H1059" i="23"/>
  <c r="D1059" i="23"/>
  <c r="E1059" i="23"/>
  <c r="B471" i="9"/>
  <c r="O1090" i="23"/>
  <c r="P1090" i="23"/>
  <c r="O1088" i="23"/>
  <c r="P1088" i="23"/>
  <c r="K1087" i="23"/>
  <c r="K1064" i="23"/>
  <c r="Q713" i="12"/>
  <c r="I1096" i="23"/>
  <c r="J1096" i="23"/>
  <c r="N716" i="12"/>
  <c r="J1087" i="23"/>
  <c r="J1064" i="23"/>
  <c r="N713" i="12"/>
  <c r="M1059" i="23"/>
  <c r="M1063" i="23"/>
  <c r="I1063" i="23"/>
  <c r="J1063" i="23"/>
  <c r="N712" i="12"/>
  <c r="M1094" i="23"/>
  <c r="I1094" i="23"/>
  <c r="J1094" i="23"/>
  <c r="K1094" i="23"/>
  <c r="K1098" i="23"/>
  <c r="Q718" i="12"/>
  <c r="P1097" i="23"/>
  <c r="U717" i="12"/>
  <c r="I14" i="12"/>
  <c r="I799" i="12"/>
  <c r="H14" i="12"/>
  <c r="H354" i="12"/>
  <c r="H799" i="12"/>
  <c r="H798" i="12"/>
  <c r="H779" i="12"/>
  <c r="H778" i="12"/>
  <c r="H139" i="12"/>
  <c r="K420" i="23"/>
  <c r="I356" i="12"/>
  <c r="I355" i="12"/>
  <c r="I840" i="12"/>
  <c r="C344" i="9"/>
  <c r="D344" i="9"/>
  <c r="I302" i="12"/>
  <c r="I358" i="12"/>
  <c r="I142" i="12"/>
  <c r="I306" i="12"/>
  <c r="I716" i="12"/>
  <c r="H1102" i="23"/>
  <c r="D1102" i="23"/>
  <c r="E1102" i="23"/>
  <c r="J722" i="12"/>
  <c r="F1096" i="23"/>
  <c r="M716" i="12"/>
  <c r="D1250" i="23"/>
  <c r="E1250" i="23"/>
  <c r="M1250" i="23"/>
  <c r="P1249" i="23"/>
  <c r="P407" i="23"/>
  <c r="B598" i="19"/>
  <c r="O434" i="9"/>
  <c r="H1092" i="23"/>
  <c r="K736" i="23"/>
  <c r="K734" i="23"/>
  <c r="K413" i="23"/>
  <c r="Q302" i="12"/>
  <c r="P198" i="23"/>
  <c r="U142" i="12"/>
  <c r="K496" i="23"/>
  <c r="Q356" i="12"/>
  <c r="P158" i="23"/>
  <c r="K198" i="23"/>
  <c r="Q142" i="12"/>
  <c r="K415" i="23"/>
  <c r="Q304" i="12"/>
  <c r="K495" i="23"/>
  <c r="Q355" i="12"/>
  <c r="P415" i="23"/>
  <c r="U304" i="12"/>
  <c r="I274" i="12"/>
  <c r="K379" i="23"/>
  <c r="Q274" i="12"/>
  <c r="P159" i="23"/>
  <c r="U128" i="12"/>
  <c r="P417" i="23"/>
  <c r="U306" i="12"/>
  <c r="S78" i="9"/>
  <c r="E70" i="9"/>
  <c r="F70" i="9"/>
  <c r="Q63" i="9"/>
  <c r="S63" i="9"/>
  <c r="R63" i="9"/>
  <c r="I128" i="12"/>
  <c r="K159" i="23"/>
  <c r="Q128" i="12"/>
  <c r="H1109" i="23"/>
  <c r="H1106" i="23"/>
  <c r="K403" i="23"/>
  <c r="Q296" i="12"/>
  <c r="I583" i="12"/>
  <c r="P896" i="23"/>
  <c r="I59" i="9"/>
  <c r="H266" i="23"/>
  <c r="H235" i="23"/>
  <c r="H244" i="23"/>
  <c r="P157" i="23"/>
  <c r="M1109" i="23"/>
  <c r="M1106" i="23"/>
  <c r="J245" i="23"/>
  <c r="K245" i="23"/>
  <c r="M286" i="23"/>
  <c r="J255" i="23"/>
  <c r="K255" i="23"/>
  <c r="AE384" i="9"/>
  <c r="AF384" i="9"/>
  <c r="AE370" i="9"/>
  <c r="AE379" i="9"/>
  <c r="AF379" i="9"/>
  <c r="AD382" i="9"/>
  <c r="AD373" i="9"/>
  <c r="AD376" i="9"/>
  <c r="AF381" i="9"/>
  <c r="AE382" i="9"/>
  <c r="AE371" i="9"/>
  <c r="AD371" i="9"/>
  <c r="AF369" i="9"/>
  <c r="AE375" i="9"/>
  <c r="D366" i="9"/>
  <c r="R1034" i="23"/>
  <c r="N1034" i="23"/>
  <c r="O1034" i="23"/>
  <c r="P1034" i="23"/>
  <c r="AD369" i="9"/>
  <c r="AF378" i="9"/>
  <c r="AD386" i="9"/>
  <c r="AF376" i="9"/>
  <c r="AF372" i="9"/>
  <c r="AD379" i="9"/>
  <c r="AE372" i="9"/>
  <c r="AE369" i="9"/>
  <c r="AD375" i="9"/>
  <c r="P1032" i="23"/>
  <c r="AE381" i="9"/>
  <c r="AE373" i="9"/>
  <c r="AD370" i="9"/>
  <c r="AF375" i="9"/>
  <c r="D365" i="9"/>
  <c r="R1033" i="23"/>
  <c r="AD378" i="9"/>
  <c r="AE376" i="9"/>
  <c r="AD374" i="9"/>
  <c r="AF371" i="9"/>
  <c r="AD372" i="9"/>
  <c r="AF373" i="9"/>
  <c r="AF374" i="9"/>
  <c r="AE386" i="9"/>
  <c r="AF382" i="9"/>
  <c r="AF370" i="9"/>
  <c r="AF386" i="9"/>
  <c r="AD384" i="9"/>
  <c r="AD381" i="9"/>
  <c r="AE378" i="9"/>
  <c r="AE374" i="9"/>
  <c r="K896" i="23"/>
  <c r="Q840" i="12"/>
  <c r="O245" i="23"/>
  <c r="P245" i="23"/>
  <c r="B394" i="9"/>
  <c r="E255" i="23"/>
  <c r="F255" i="23"/>
  <c r="K735" i="23"/>
  <c r="P192" i="23"/>
  <c r="U138" i="12"/>
  <c r="P413" i="23"/>
  <c r="U302" i="12"/>
  <c r="O225" i="23"/>
  <c r="P225" i="23"/>
  <c r="K417" i="23"/>
  <c r="Q306" i="12"/>
  <c r="P1098" i="23"/>
  <c r="U718" i="12"/>
  <c r="I760" i="12"/>
  <c r="P1096" i="23"/>
  <c r="U716" i="12"/>
  <c r="H1063" i="23"/>
  <c r="D1063" i="23"/>
  <c r="E1063" i="23"/>
  <c r="J712" i="12"/>
  <c r="M1061" i="23"/>
  <c r="I1061" i="23"/>
  <c r="J1061" i="23"/>
  <c r="M1102" i="23"/>
  <c r="I1102" i="23"/>
  <c r="J1102" i="23"/>
  <c r="N722" i="12"/>
  <c r="M1060" i="23"/>
  <c r="I1060" i="23"/>
  <c r="J1060" i="23"/>
  <c r="K1060" i="23"/>
  <c r="C471" i="9"/>
  <c r="P1060" i="23"/>
  <c r="F1061" i="23"/>
  <c r="M710" i="12"/>
  <c r="P1087" i="23"/>
  <c r="P1064" i="23"/>
  <c r="U713" i="12"/>
  <c r="D471" i="9"/>
  <c r="P1094" i="23"/>
  <c r="K1063" i="23"/>
  <c r="Q712" i="12"/>
  <c r="K1096" i="23"/>
  <c r="Q716" i="12"/>
  <c r="I1059" i="23"/>
  <c r="J1059" i="23"/>
  <c r="K1059" i="23"/>
  <c r="K1281" i="23"/>
  <c r="Q760" i="12"/>
  <c r="P1059" i="23"/>
  <c r="P1063" i="23"/>
  <c r="U712" i="12"/>
  <c r="P1061" i="23"/>
  <c r="U710" i="12"/>
  <c r="F1059" i="23"/>
  <c r="E1058" i="23"/>
  <c r="J709" i="12"/>
  <c r="P1102" i="23"/>
  <c r="U722" i="12"/>
  <c r="K1101" i="23"/>
  <c r="Q721" i="12"/>
  <c r="F1101" i="23"/>
  <c r="M721" i="12"/>
  <c r="I40" i="12"/>
  <c r="Q583" i="12"/>
  <c r="I718" i="12"/>
  <c r="N710" i="12"/>
  <c r="I710" i="12"/>
  <c r="I798" i="12"/>
  <c r="H40" i="12"/>
  <c r="H39" i="12"/>
  <c r="H13" i="12"/>
  <c r="H583" i="12"/>
  <c r="H716" i="12"/>
  <c r="H355" i="12"/>
  <c r="H128" i="12"/>
  <c r="H306" i="12"/>
  <c r="H356" i="12"/>
  <c r="H710" i="12"/>
  <c r="H760" i="12"/>
  <c r="H142" i="12"/>
  <c r="H718" i="12"/>
  <c r="H358" i="12"/>
  <c r="H274" i="12"/>
  <c r="H302" i="12"/>
  <c r="I309" i="12"/>
  <c r="H309" i="12"/>
  <c r="P423" i="23"/>
  <c r="U309" i="12"/>
  <c r="P424" i="23"/>
  <c r="U310" i="12"/>
  <c r="K423" i="23"/>
  <c r="Q309" i="12"/>
  <c r="K424" i="23"/>
  <c r="Q310" i="12"/>
  <c r="I310" i="12"/>
  <c r="H310" i="12"/>
  <c r="AA329" i="9"/>
  <c r="E337" i="9"/>
  <c r="I713" i="12"/>
  <c r="AK336" i="9"/>
  <c r="U583" i="12"/>
  <c r="U840" i="12"/>
  <c r="I304" i="12"/>
  <c r="H643" i="12"/>
  <c r="H642" i="12"/>
  <c r="H615" i="12"/>
  <c r="H614" i="12"/>
  <c r="Z329" i="9"/>
  <c r="D337" i="9"/>
  <c r="F875" i="23"/>
  <c r="AI336" i="9"/>
  <c r="I721" i="12"/>
  <c r="I170" i="12"/>
  <c r="I296" i="12"/>
  <c r="I138" i="12"/>
  <c r="I722" i="12"/>
  <c r="I169" i="12"/>
  <c r="P1250" i="23"/>
  <c r="K192" i="23"/>
  <c r="Q138" i="12"/>
  <c r="AA107" i="9"/>
  <c r="AA112" i="9"/>
  <c r="C51" i="9"/>
  <c r="Z107" i="9"/>
  <c r="I1250" i="23"/>
  <c r="J1250" i="23"/>
  <c r="J1249" i="23"/>
  <c r="K1249" i="23"/>
  <c r="E1249" i="23"/>
  <c r="F1249" i="23"/>
  <c r="F1250" i="23"/>
  <c r="Y107" i="9"/>
  <c r="Z112" i="9"/>
  <c r="Y112" i="9"/>
  <c r="K409" i="23"/>
  <c r="O489" i="9"/>
  <c r="C481" i="9"/>
  <c r="C53" i="9"/>
  <c r="G49" i="9"/>
  <c r="AA330" i="9"/>
  <c r="E338" i="9"/>
  <c r="O191" i="9"/>
  <c r="E332" i="9"/>
  <c r="Z335" i="9"/>
  <c r="D343" i="9"/>
  <c r="D340" i="9"/>
  <c r="E336" i="9"/>
  <c r="AA331" i="9"/>
  <c r="E339" i="9"/>
  <c r="E330" i="9"/>
  <c r="C54" i="21"/>
  <c r="C340" i="9"/>
  <c r="Y329" i="9"/>
  <c r="C337" i="9"/>
  <c r="C332" i="9"/>
  <c r="C330" i="9"/>
  <c r="AA335" i="9"/>
  <c r="E335" i="9"/>
  <c r="C333" i="9"/>
  <c r="AA333" i="9"/>
  <c r="E341" i="9"/>
  <c r="C334" i="9"/>
  <c r="Y330" i="9"/>
  <c r="C338" i="9"/>
  <c r="Y331" i="9"/>
  <c r="C339" i="9"/>
  <c r="Y335" i="9"/>
  <c r="C343" i="9"/>
  <c r="Y333" i="9"/>
  <c r="C341" i="9"/>
  <c r="C336" i="9"/>
  <c r="E340" i="9"/>
  <c r="K234" i="23"/>
  <c r="Q170" i="12"/>
  <c r="E334" i="9"/>
  <c r="C335" i="9"/>
  <c r="G53" i="9"/>
  <c r="M1092" i="23"/>
  <c r="D1092" i="23"/>
  <c r="E1092" i="23"/>
  <c r="J714" i="12"/>
  <c r="H1095" i="23"/>
  <c r="E333" i="9"/>
  <c r="P156" i="23"/>
  <c r="U127" i="12"/>
  <c r="P403" i="23"/>
  <c r="U296" i="12"/>
  <c r="D335" i="9"/>
  <c r="D313" i="9"/>
  <c r="C52" i="9"/>
  <c r="D330" i="9"/>
  <c r="Z330" i="9"/>
  <c r="Z333" i="9"/>
  <c r="D341" i="9"/>
  <c r="H53" i="9"/>
  <c r="C321" i="9"/>
  <c r="K158" i="23"/>
  <c r="C317" i="9"/>
  <c r="H51" i="9"/>
  <c r="C325" i="9"/>
  <c r="H50" i="9"/>
  <c r="G51" i="9"/>
  <c r="F49" i="9"/>
  <c r="E313" i="9"/>
  <c r="C314" i="9"/>
  <c r="J171" i="23"/>
  <c r="K171" i="23"/>
  <c r="P265" i="23"/>
  <c r="C313" i="9"/>
  <c r="Z331" i="9"/>
  <c r="D53" i="9"/>
  <c r="D320" i="9"/>
  <c r="C324" i="9"/>
  <c r="P1117" i="23"/>
  <c r="P1120" i="23"/>
  <c r="P1118" i="23"/>
  <c r="P1116" i="23"/>
  <c r="E320" i="9"/>
  <c r="K82" i="23"/>
  <c r="P82" i="23"/>
  <c r="I1106" i="23"/>
  <c r="J1106" i="23"/>
  <c r="N729" i="12"/>
  <c r="P166" i="23"/>
  <c r="Z314" i="9"/>
  <c r="AA314" i="9"/>
  <c r="I1109" i="23"/>
  <c r="J1109" i="23"/>
  <c r="N732" i="12"/>
  <c r="E225" i="23"/>
  <c r="F225" i="23"/>
  <c r="P1101" i="23"/>
  <c r="U721" i="12"/>
  <c r="K1033" i="23"/>
  <c r="Z318" i="9"/>
  <c r="AA318" i="9"/>
  <c r="P81" i="23"/>
  <c r="B371" i="9"/>
  <c r="J49" i="9"/>
  <c r="P85" i="23"/>
  <c r="K85" i="23"/>
  <c r="E49" i="9"/>
  <c r="K265" i="23"/>
  <c r="M269" i="23"/>
  <c r="M266" i="23"/>
  <c r="M1115" i="23"/>
  <c r="K49" i="9"/>
  <c r="D481" i="9"/>
  <c r="E50" i="9"/>
  <c r="F251" i="23"/>
  <c r="F239" i="23"/>
  <c r="F238" i="23"/>
  <c r="F248" i="23"/>
  <c r="E226" i="23"/>
  <c r="F226" i="23"/>
  <c r="E230" i="23"/>
  <c r="F230" i="23"/>
  <c r="E229" i="23"/>
  <c r="F229" i="23"/>
  <c r="F250" i="23"/>
  <c r="F242" i="23"/>
  <c r="F240" i="23"/>
  <c r="E231" i="23"/>
  <c r="F231" i="23"/>
  <c r="F237" i="23"/>
  <c r="F241" i="23"/>
  <c r="E227" i="23"/>
  <c r="F227" i="23"/>
  <c r="F247" i="23"/>
  <c r="F246" i="23"/>
  <c r="E228" i="23"/>
  <c r="F228" i="23"/>
  <c r="F249" i="23"/>
  <c r="C49" i="9"/>
  <c r="K254" i="23"/>
  <c r="Q174" i="12"/>
  <c r="I286" i="23"/>
  <c r="J286" i="23"/>
  <c r="D1106" i="23"/>
  <c r="E1106" i="23"/>
  <c r="J729" i="12"/>
  <c r="H1263" i="23"/>
  <c r="M1263" i="23"/>
  <c r="H1107" i="23"/>
  <c r="H1108" i="23"/>
  <c r="E67" i="9"/>
  <c r="I60" i="9"/>
  <c r="D1109" i="23"/>
  <c r="E1109" i="23"/>
  <c r="J732" i="12"/>
  <c r="O226" i="23"/>
  <c r="P226" i="23"/>
  <c r="O246" i="23"/>
  <c r="AB370" i="9"/>
  <c r="AB376" i="9"/>
  <c r="AB371" i="9"/>
  <c r="AB382" i="9"/>
  <c r="AB386" i="9"/>
  <c r="AB381" i="9"/>
  <c r="AB375" i="9"/>
  <c r="AC370" i="9"/>
  <c r="AC374" i="9"/>
  <c r="AC373" i="9"/>
  <c r="AB373" i="9"/>
  <c r="AC372" i="9"/>
  <c r="AA386" i="9"/>
  <c r="AA376" i="9"/>
  <c r="AA382" i="9"/>
  <c r="AA384" i="9"/>
  <c r="AA371" i="9"/>
  <c r="AB372" i="9"/>
  <c r="AC386" i="9"/>
  <c r="AA372" i="9"/>
  <c r="AA381" i="9"/>
  <c r="AC375" i="9"/>
  <c r="AB379" i="9"/>
  <c r="AC384" i="9"/>
  <c r="AC376" i="9"/>
  <c r="AA374" i="9"/>
  <c r="AA370" i="9"/>
  <c r="AC382" i="9"/>
  <c r="AA378" i="9"/>
  <c r="AA373" i="9"/>
  <c r="AA375" i="9"/>
  <c r="AC378" i="9"/>
  <c r="AC371" i="9"/>
  <c r="AB378" i="9"/>
  <c r="AB374" i="9"/>
  <c r="AB384" i="9"/>
  <c r="AA379" i="9"/>
  <c r="AC381" i="9"/>
  <c r="AC379" i="9"/>
  <c r="Y314" i="9"/>
  <c r="Y318" i="9"/>
  <c r="P1281" i="23"/>
  <c r="U760" i="12"/>
  <c r="I712" i="12"/>
  <c r="K1061" i="23"/>
  <c r="Q710" i="12"/>
  <c r="F1063" i="23"/>
  <c r="M712" i="12"/>
  <c r="F1058" i="23"/>
  <c r="M709" i="12"/>
  <c r="J1058" i="23"/>
  <c r="N709" i="12"/>
  <c r="P1058" i="23"/>
  <c r="U709" i="12"/>
  <c r="K1102" i="23"/>
  <c r="Q722" i="12"/>
  <c r="F1102" i="23"/>
  <c r="M722" i="12"/>
  <c r="E97" i="9"/>
  <c r="I39" i="12"/>
  <c r="I103" i="12"/>
  <c r="I131" i="12"/>
  <c r="I779" i="12"/>
  <c r="I116" i="12"/>
  <c r="I105" i="12"/>
  <c r="H138" i="12"/>
  <c r="H296" i="12"/>
  <c r="H721" i="12"/>
  <c r="H304" i="12"/>
  <c r="H712" i="12"/>
  <c r="H713" i="12"/>
  <c r="H170" i="12"/>
  <c r="H169" i="12"/>
  <c r="H722" i="12"/>
  <c r="P875" i="23"/>
  <c r="P170" i="23"/>
  <c r="K167" i="23"/>
  <c r="P171" i="23"/>
  <c r="P167" i="23"/>
  <c r="AG336" i="9"/>
  <c r="K875" i="23"/>
  <c r="K402" i="23"/>
  <c r="P402" i="23"/>
  <c r="C329" i="9"/>
  <c r="Y337" i="9"/>
  <c r="Z337" i="9"/>
  <c r="E329" i="9"/>
  <c r="AA337" i="9"/>
  <c r="E343" i="9"/>
  <c r="I709" i="12"/>
  <c r="I729" i="12"/>
  <c r="I732" i="12"/>
  <c r="I186" i="12"/>
  <c r="I127" i="12"/>
  <c r="AA113" i="9"/>
  <c r="B481" i="9"/>
  <c r="O178" i="23"/>
  <c r="P178" i="23"/>
  <c r="Y113" i="9"/>
  <c r="Z113" i="9"/>
  <c r="P409" i="23"/>
  <c r="K1250" i="23"/>
  <c r="E53" i="9"/>
  <c r="AD329" i="9"/>
  <c r="AI329" i="9"/>
  <c r="AC330" i="9"/>
  <c r="AG330" i="9"/>
  <c r="P246" i="23"/>
  <c r="AE330" i="9"/>
  <c r="AK330" i="9"/>
  <c r="AD330" i="9"/>
  <c r="AI330" i="9"/>
  <c r="D338" i="9"/>
  <c r="AE329" i="9"/>
  <c r="AK329" i="9"/>
  <c r="P410" i="23"/>
  <c r="K406" i="23"/>
  <c r="K405" i="23"/>
  <c r="Q298" i="12"/>
  <c r="E176" i="23"/>
  <c r="F176" i="23"/>
  <c r="K401" i="23"/>
  <c r="K410" i="23"/>
  <c r="K408" i="23"/>
  <c r="Q299" i="12"/>
  <c r="AD335" i="9"/>
  <c r="AI335" i="9"/>
  <c r="D329" i="9"/>
  <c r="AE331" i="9"/>
  <c r="AK331" i="9"/>
  <c r="J178" i="23"/>
  <c r="K178" i="23"/>
  <c r="AJ337" i="9"/>
  <c r="E178" i="23"/>
  <c r="F178" i="23"/>
  <c r="AC329" i="9"/>
  <c r="AG329" i="9"/>
  <c r="AG324" i="9"/>
  <c r="AF337" i="9"/>
  <c r="AC331" i="9"/>
  <c r="AG331" i="9"/>
  <c r="AC334" i="9"/>
  <c r="AG334" i="9"/>
  <c r="AG332" i="9"/>
  <c r="B390" i="9"/>
  <c r="P244" i="23"/>
  <c r="U172" i="12"/>
  <c r="AI332" i="9"/>
  <c r="AD331" i="9"/>
  <c r="AI331" i="9"/>
  <c r="AH337" i="9"/>
  <c r="AC335" i="9"/>
  <c r="AG335" i="9"/>
  <c r="AK332" i="9"/>
  <c r="D339" i="9"/>
  <c r="AE335" i="9"/>
  <c r="AK335" i="9"/>
  <c r="AC333" i="9"/>
  <c r="AG333" i="9"/>
  <c r="AK325" i="9"/>
  <c r="B414" i="9"/>
  <c r="Y48" i="9"/>
  <c r="C66" i="21"/>
  <c r="C49" i="21"/>
  <c r="D390" i="9"/>
  <c r="J892" i="23"/>
  <c r="AK327" i="9"/>
  <c r="Z56" i="9"/>
  <c r="AC328" i="9"/>
  <c r="AG328" i="9"/>
  <c r="C50" i="9"/>
  <c r="D1095" i="23"/>
  <c r="E1095" i="23"/>
  <c r="E1093" i="23"/>
  <c r="J715" i="12"/>
  <c r="F1092" i="23"/>
  <c r="M714" i="12"/>
  <c r="E177" i="23"/>
  <c r="F177" i="23"/>
  <c r="O1011" i="23"/>
  <c r="P1011" i="23"/>
  <c r="M1095" i="23"/>
  <c r="I1095" i="23"/>
  <c r="J1095" i="23"/>
  <c r="I1092" i="23"/>
  <c r="J1092" i="23"/>
  <c r="N714" i="12"/>
  <c r="AG325" i="9"/>
  <c r="P1109" i="23"/>
  <c r="U732" i="12"/>
  <c r="F1106" i="23"/>
  <c r="M729" i="12"/>
  <c r="P412" i="23"/>
  <c r="U301" i="12"/>
  <c r="C320" i="9"/>
  <c r="D333" i="9"/>
  <c r="C389" i="9"/>
  <c r="AE333" i="9"/>
  <c r="AK333" i="9"/>
  <c r="C390" i="9"/>
  <c r="AA56" i="9"/>
  <c r="D334" i="9"/>
  <c r="O184" i="23"/>
  <c r="P184" i="23"/>
  <c r="AA64" i="9"/>
  <c r="H52" i="9"/>
  <c r="AD333" i="9"/>
  <c r="AI333" i="9"/>
  <c r="H49" i="9"/>
  <c r="D397" i="9"/>
  <c r="AE334" i="9"/>
  <c r="AK334" i="9"/>
  <c r="E114" i="9"/>
  <c r="AG315" i="9"/>
  <c r="K416" i="23"/>
  <c r="Q305" i="12"/>
  <c r="AG309" i="9"/>
  <c r="AC313" i="9"/>
  <c r="B426" i="9"/>
  <c r="AD334" i="9"/>
  <c r="AI334" i="9"/>
  <c r="P1106" i="23"/>
  <c r="U729" i="12"/>
  <c r="O182" i="23"/>
  <c r="P182" i="23"/>
  <c r="Y320" i="9"/>
  <c r="D336" i="9"/>
  <c r="Y56" i="9"/>
  <c r="I184" i="23"/>
  <c r="J184" i="23"/>
  <c r="K184" i="23"/>
  <c r="F52" i="9"/>
  <c r="E183" i="23"/>
  <c r="F183" i="23"/>
  <c r="AG316" i="9"/>
  <c r="P266" i="23"/>
  <c r="U176" i="12"/>
  <c r="K157" i="23"/>
  <c r="K156" i="23"/>
  <c r="Q127" i="12"/>
  <c r="G52" i="9"/>
  <c r="I183" i="23"/>
  <c r="J183" i="23"/>
  <c r="K183" i="23"/>
  <c r="AI324" i="9"/>
  <c r="F51" i="9"/>
  <c r="E182" i="23"/>
  <c r="F182" i="23"/>
  <c r="D332" i="9"/>
  <c r="G50" i="9"/>
  <c r="P80" i="23"/>
  <c r="U64" i="12"/>
  <c r="O183" i="23"/>
  <c r="P183" i="23"/>
  <c r="P269" i="23"/>
  <c r="U179" i="12"/>
  <c r="AK324" i="9"/>
  <c r="I182" i="23"/>
  <c r="J182" i="23"/>
  <c r="K182" i="23"/>
  <c r="J170" i="23"/>
  <c r="K170" i="23"/>
  <c r="F50" i="9"/>
  <c r="Z320" i="9"/>
  <c r="K1106" i="23"/>
  <c r="Q729" i="12"/>
  <c r="E184" i="23"/>
  <c r="F184" i="23"/>
  <c r="F53" i="9"/>
  <c r="K1109" i="23"/>
  <c r="Q732" i="12"/>
  <c r="E174" i="23"/>
  <c r="F174" i="23"/>
  <c r="B396" i="9"/>
  <c r="J50" i="9"/>
  <c r="D114" i="9"/>
  <c r="P264" i="23"/>
  <c r="P263" i="23"/>
  <c r="U175" i="12"/>
  <c r="Z64" i="9"/>
  <c r="I53" i="9"/>
  <c r="E190" i="23"/>
  <c r="F190" i="23"/>
  <c r="K81" i="23"/>
  <c r="K80" i="23"/>
  <c r="Q64" i="12"/>
  <c r="C114" i="9"/>
  <c r="F236" i="23"/>
  <c r="P286" i="23"/>
  <c r="U186" i="12"/>
  <c r="K84" i="23"/>
  <c r="K83" i="23"/>
  <c r="Q65" i="12"/>
  <c r="E326" i="9"/>
  <c r="AE318" i="9"/>
  <c r="AK318" i="9"/>
  <c r="E324" i="9"/>
  <c r="E314" i="9"/>
  <c r="D326" i="9"/>
  <c r="AD318" i="9"/>
  <c r="AI318" i="9"/>
  <c r="I273" i="12"/>
  <c r="F1026" i="23"/>
  <c r="H1247" i="23"/>
  <c r="D1247" i="23"/>
  <c r="E1247" i="23"/>
  <c r="F1247" i="23"/>
  <c r="C326" i="9"/>
  <c r="AC318" i="9"/>
  <c r="AG318" i="9"/>
  <c r="I1263" i="23"/>
  <c r="J1263" i="23"/>
  <c r="C322" i="9"/>
  <c r="AC314" i="9"/>
  <c r="AG314" i="9"/>
  <c r="M1247" i="23"/>
  <c r="I1247" i="23"/>
  <c r="J1247" i="23"/>
  <c r="K1247" i="23"/>
  <c r="E318" i="9"/>
  <c r="J238" i="23"/>
  <c r="K238" i="23"/>
  <c r="J249" i="23"/>
  <c r="K249" i="23"/>
  <c r="J239" i="23"/>
  <c r="K239" i="23"/>
  <c r="J240" i="23"/>
  <c r="K240" i="23"/>
  <c r="J250" i="23"/>
  <c r="K250" i="23"/>
  <c r="J252" i="23"/>
  <c r="K252" i="23"/>
  <c r="J241" i="23"/>
  <c r="K241" i="23"/>
  <c r="J243" i="23"/>
  <c r="K243" i="23"/>
  <c r="J230" i="23"/>
  <c r="K230" i="23"/>
  <c r="J247" i="23"/>
  <c r="K247" i="23"/>
  <c r="J251" i="23"/>
  <c r="K251" i="23"/>
  <c r="J227" i="23"/>
  <c r="K227" i="23"/>
  <c r="J226" i="23"/>
  <c r="K226" i="23"/>
  <c r="J229" i="23"/>
  <c r="K229" i="23"/>
  <c r="J228" i="23"/>
  <c r="K228" i="23"/>
  <c r="J231" i="23"/>
  <c r="K231" i="23"/>
  <c r="J248" i="23"/>
  <c r="K248" i="23"/>
  <c r="J242" i="23"/>
  <c r="K242" i="23"/>
  <c r="D398" i="9"/>
  <c r="I269" i="23"/>
  <c r="J269" i="23"/>
  <c r="I179" i="12"/>
  <c r="E322" i="9"/>
  <c r="AE314" i="9"/>
  <c r="AK314" i="9"/>
  <c r="AA320" i="9"/>
  <c r="AE319" i="9"/>
  <c r="AK319" i="9"/>
  <c r="F1109" i="23"/>
  <c r="M732" i="12"/>
  <c r="P283" i="23"/>
  <c r="U183" i="12"/>
  <c r="J188" i="23"/>
  <c r="K188" i="23"/>
  <c r="J51" i="9"/>
  <c r="K286" i="23"/>
  <c r="Q186" i="12"/>
  <c r="K264" i="23"/>
  <c r="K263" i="23"/>
  <c r="Q175" i="12"/>
  <c r="J53" i="9"/>
  <c r="J190" i="23"/>
  <c r="K190" i="23"/>
  <c r="K411" i="23"/>
  <c r="Q300" i="12"/>
  <c r="E315" i="9"/>
  <c r="K1032" i="23"/>
  <c r="J52" i="9"/>
  <c r="J189" i="23"/>
  <c r="K189" i="23"/>
  <c r="P461" i="23"/>
  <c r="E321" i="9"/>
  <c r="Z72" i="9"/>
  <c r="M1134" i="23"/>
  <c r="I1134" i="23"/>
  <c r="J1134" i="23"/>
  <c r="K1134" i="23"/>
  <c r="M1117" i="23"/>
  <c r="I1117" i="23"/>
  <c r="J1117" i="23"/>
  <c r="K1117" i="23"/>
  <c r="M1120" i="23"/>
  <c r="I1120" i="23"/>
  <c r="J1120" i="23"/>
  <c r="K1120" i="23"/>
  <c r="M1133" i="23"/>
  <c r="I1133" i="23"/>
  <c r="J1133" i="23"/>
  <c r="K1133" i="23"/>
  <c r="M1118" i="23"/>
  <c r="I1118" i="23"/>
  <c r="J1118" i="23"/>
  <c r="K1118" i="23"/>
  <c r="M1119" i="23"/>
  <c r="I1119" i="23"/>
  <c r="J1119" i="23"/>
  <c r="K1119" i="23"/>
  <c r="M1116" i="23"/>
  <c r="I1116" i="23"/>
  <c r="D318" i="9"/>
  <c r="E98" i="9"/>
  <c r="K166" i="23"/>
  <c r="M267" i="23"/>
  <c r="I266" i="23"/>
  <c r="J266" i="23"/>
  <c r="I176" i="12"/>
  <c r="I51" i="9"/>
  <c r="E188" i="23"/>
  <c r="F188" i="23"/>
  <c r="C315" i="9"/>
  <c r="D1108" i="23"/>
  <c r="E1108" i="23"/>
  <c r="J731" i="12"/>
  <c r="D1263" i="23"/>
  <c r="E1263" i="23"/>
  <c r="K53" i="9"/>
  <c r="O190" i="23"/>
  <c r="P190" i="23"/>
  <c r="D50" i="9"/>
  <c r="Y375" i="9"/>
  <c r="X384" i="9"/>
  <c r="Y381" i="9"/>
  <c r="Z381" i="9"/>
  <c r="Y371" i="9"/>
  <c r="X386" i="9"/>
  <c r="Y386" i="9"/>
  <c r="Y376" i="9"/>
  <c r="X381" i="9"/>
  <c r="X375" i="9"/>
  <c r="X371" i="9"/>
  <c r="Z375" i="9"/>
  <c r="Y379" i="9"/>
  <c r="Y374" i="9"/>
  <c r="X376" i="9"/>
  <c r="Y370" i="9"/>
  <c r="Z370" i="9"/>
  <c r="C367" i="9"/>
  <c r="M1035" i="23"/>
  <c r="I1035" i="23"/>
  <c r="J1035" i="23"/>
  <c r="K1035" i="23"/>
  <c r="X373" i="9"/>
  <c r="X382" i="9"/>
  <c r="Z376" i="9"/>
  <c r="Z384" i="9"/>
  <c r="Y384" i="9"/>
  <c r="Y373" i="9"/>
  <c r="Y378" i="9"/>
  <c r="X372" i="9"/>
  <c r="Z374" i="9"/>
  <c r="Z382" i="9"/>
  <c r="X379" i="9"/>
  <c r="Z371" i="9"/>
  <c r="Z372" i="9"/>
  <c r="X374" i="9"/>
  <c r="Z373" i="9"/>
  <c r="Y372" i="9"/>
  <c r="X370" i="9"/>
  <c r="Z378" i="9"/>
  <c r="Z386" i="9"/>
  <c r="Z379" i="9"/>
  <c r="Y382" i="9"/>
  <c r="X378" i="9"/>
  <c r="D322" i="9"/>
  <c r="AD314" i="9"/>
  <c r="AI314" i="9"/>
  <c r="AI312" i="9"/>
  <c r="C319" i="9"/>
  <c r="P168" i="23"/>
  <c r="D1107" i="23"/>
  <c r="E1107" i="23"/>
  <c r="J730" i="12"/>
  <c r="H1116" i="23"/>
  <c r="D1116" i="23"/>
  <c r="H1117" i="23"/>
  <c r="D1117" i="23"/>
  <c r="H1118" i="23"/>
  <c r="D1118" i="23"/>
  <c r="H1119" i="23"/>
  <c r="D1119" i="23"/>
  <c r="H1120" i="23"/>
  <c r="D1120" i="23"/>
  <c r="E1115" i="23"/>
  <c r="H1121" i="23"/>
  <c r="H1122" i="23"/>
  <c r="D1122" i="23"/>
  <c r="H1123" i="23"/>
  <c r="D1123" i="23"/>
  <c r="H1124" i="23"/>
  <c r="D1124" i="23"/>
  <c r="E1121" i="23"/>
  <c r="H1126" i="23"/>
  <c r="D1126" i="23"/>
  <c r="H1127" i="23"/>
  <c r="D1127" i="23"/>
  <c r="H1128" i="23"/>
  <c r="D1128" i="23"/>
  <c r="H1129" i="23"/>
  <c r="D1129" i="23"/>
  <c r="H1130" i="23"/>
  <c r="D1130" i="23"/>
  <c r="H1131" i="23"/>
  <c r="D1131" i="23"/>
  <c r="H1132" i="23"/>
  <c r="D1132" i="23"/>
  <c r="H1133" i="23"/>
  <c r="D1133" i="23"/>
  <c r="H1134" i="23"/>
  <c r="D1134" i="23"/>
  <c r="E1125" i="23"/>
  <c r="H1136" i="23"/>
  <c r="D1136" i="23"/>
  <c r="E1135" i="23"/>
  <c r="E1116" i="23"/>
  <c r="E1117" i="23"/>
  <c r="E1118" i="23"/>
  <c r="E1119" i="23"/>
  <c r="E1120" i="23"/>
  <c r="E1122" i="23"/>
  <c r="E1123" i="23"/>
  <c r="E1124" i="23"/>
  <c r="E1126" i="23"/>
  <c r="E1127" i="23"/>
  <c r="E1128" i="23"/>
  <c r="E1129" i="23"/>
  <c r="E1130" i="23"/>
  <c r="E1131" i="23"/>
  <c r="E1132" i="23"/>
  <c r="E1133" i="23"/>
  <c r="E1134" i="23"/>
  <c r="E1136" i="23"/>
  <c r="H1138" i="23"/>
  <c r="D1138" i="23"/>
  <c r="H1139" i="23"/>
  <c r="D1139" i="23"/>
  <c r="H1140" i="23"/>
  <c r="D1140" i="23"/>
  <c r="H1141" i="23"/>
  <c r="D1141" i="23"/>
  <c r="E1137" i="23"/>
  <c r="E1138" i="23"/>
  <c r="E1139" i="23"/>
  <c r="E1140" i="23"/>
  <c r="E1141" i="23"/>
  <c r="H1143" i="23"/>
  <c r="D1143" i="23"/>
  <c r="H1144" i="23"/>
  <c r="D1144" i="23"/>
  <c r="H1145" i="23"/>
  <c r="D1145" i="23"/>
  <c r="H1146" i="23"/>
  <c r="D1146" i="23"/>
  <c r="H1147" i="23"/>
  <c r="D1147" i="23"/>
  <c r="E1142" i="23"/>
  <c r="E1143" i="23"/>
  <c r="E1144" i="23"/>
  <c r="E1145" i="23"/>
  <c r="E1146" i="23"/>
  <c r="E1147" i="23"/>
  <c r="H1149" i="23"/>
  <c r="D1149" i="23"/>
  <c r="H1150" i="23"/>
  <c r="D1150" i="23"/>
  <c r="H1151" i="23"/>
  <c r="D1151" i="23"/>
  <c r="H1152" i="23"/>
  <c r="D1152" i="23"/>
  <c r="E1148" i="23"/>
  <c r="E1149" i="23"/>
  <c r="E1150" i="23"/>
  <c r="E1151" i="23"/>
  <c r="E1152" i="23"/>
  <c r="H1153" i="23"/>
  <c r="H1154" i="23"/>
  <c r="D1154" i="23"/>
  <c r="H1155" i="23"/>
  <c r="D1155" i="23"/>
  <c r="H1156" i="23"/>
  <c r="D1156" i="23"/>
  <c r="H1157" i="23"/>
  <c r="D1157" i="23"/>
  <c r="H1158" i="23"/>
  <c r="D1158" i="23"/>
  <c r="H1159" i="23"/>
  <c r="D1159" i="23"/>
  <c r="H1160" i="23"/>
  <c r="D1160" i="23"/>
  <c r="H1161" i="23"/>
  <c r="D1161" i="23"/>
  <c r="H1162" i="23"/>
  <c r="D1162" i="23"/>
  <c r="H1163" i="23"/>
  <c r="D1163" i="23"/>
  <c r="E1153" i="23"/>
  <c r="E1154" i="23"/>
  <c r="E1155" i="23"/>
  <c r="E1156" i="23"/>
  <c r="E1157" i="23"/>
  <c r="E1158" i="23"/>
  <c r="E1159" i="23"/>
  <c r="E1160" i="23"/>
  <c r="E1161" i="23"/>
  <c r="E1162" i="23"/>
  <c r="E1163" i="23"/>
  <c r="H1165" i="23"/>
  <c r="H1166" i="23"/>
  <c r="D1166" i="23"/>
  <c r="H1167" i="23"/>
  <c r="D1167" i="23"/>
  <c r="H1168" i="23"/>
  <c r="D1168" i="23"/>
  <c r="E1165" i="23"/>
  <c r="E1166" i="23"/>
  <c r="E1167" i="23"/>
  <c r="E1168" i="23"/>
  <c r="H1170" i="23"/>
  <c r="D1170" i="23"/>
  <c r="H1171" i="23"/>
  <c r="D1171" i="23"/>
  <c r="H1172" i="23"/>
  <c r="D1172" i="23"/>
  <c r="E1169" i="23"/>
  <c r="E1170" i="23"/>
  <c r="E1171" i="23"/>
  <c r="E1172" i="23"/>
  <c r="H1174" i="23"/>
  <c r="D1174" i="23"/>
  <c r="H1175" i="23"/>
  <c r="D1175" i="23"/>
  <c r="H1176" i="23"/>
  <c r="D1176" i="23"/>
  <c r="H1177" i="23"/>
  <c r="D1177" i="23"/>
  <c r="H1178" i="23"/>
  <c r="D1178" i="23"/>
  <c r="E1173" i="23"/>
  <c r="E1174" i="23"/>
  <c r="E1175" i="23"/>
  <c r="E1176" i="23"/>
  <c r="E1177" i="23"/>
  <c r="E1178" i="23"/>
  <c r="H1180" i="23"/>
  <c r="D1180" i="23"/>
  <c r="H1181" i="23"/>
  <c r="D1181" i="23"/>
  <c r="H1182" i="23"/>
  <c r="D1182" i="23"/>
  <c r="H1183" i="23"/>
  <c r="D1183" i="23"/>
  <c r="H1184" i="23"/>
  <c r="D1184" i="23"/>
  <c r="H1185" i="23"/>
  <c r="D1185" i="23"/>
  <c r="E1179" i="23"/>
  <c r="E1180" i="23"/>
  <c r="E1181" i="23"/>
  <c r="E1182" i="23"/>
  <c r="E1183" i="23"/>
  <c r="E1184" i="23"/>
  <c r="E1185" i="23"/>
  <c r="H1187" i="23"/>
  <c r="D1187" i="23"/>
  <c r="H1188" i="23"/>
  <c r="D1188" i="23"/>
  <c r="H1189" i="23"/>
  <c r="D1189" i="23"/>
  <c r="H1190" i="23"/>
  <c r="D1190" i="23"/>
  <c r="H1191" i="23"/>
  <c r="D1191" i="23"/>
  <c r="H1192" i="23"/>
  <c r="D1192" i="23"/>
  <c r="E1186" i="23"/>
  <c r="E1187" i="23"/>
  <c r="E1188" i="23"/>
  <c r="E1189" i="23"/>
  <c r="E1190" i="23"/>
  <c r="E1191" i="23"/>
  <c r="E1192" i="23"/>
  <c r="H1194" i="23"/>
  <c r="D1194" i="23"/>
  <c r="H1195" i="23"/>
  <c r="D1195" i="23"/>
  <c r="H1196" i="23"/>
  <c r="D1196" i="23"/>
  <c r="H1197" i="23"/>
  <c r="D1197" i="23"/>
  <c r="E1193" i="23"/>
  <c r="E1194" i="23"/>
  <c r="E1195" i="23"/>
  <c r="E1196" i="23"/>
  <c r="E1197" i="23"/>
  <c r="H1198" i="23"/>
  <c r="H1199" i="23"/>
  <c r="D1199" i="23"/>
  <c r="H1200" i="23"/>
  <c r="D1200" i="23"/>
  <c r="H1201" i="23"/>
  <c r="D1201" i="23"/>
  <c r="H1202" i="23"/>
  <c r="D1202" i="23"/>
  <c r="H1203" i="23"/>
  <c r="D1203" i="23"/>
  <c r="H1204" i="23"/>
  <c r="D1204" i="23"/>
  <c r="H1205" i="23"/>
  <c r="D1205" i="23"/>
  <c r="E1198" i="23"/>
  <c r="E1199" i="23"/>
  <c r="E1200" i="23"/>
  <c r="E1201" i="23"/>
  <c r="E1202" i="23"/>
  <c r="E1203" i="23"/>
  <c r="E1204" i="23"/>
  <c r="E1205" i="23"/>
  <c r="H1207" i="23"/>
  <c r="D1207" i="23"/>
  <c r="H1208" i="23"/>
  <c r="D1208" i="23"/>
  <c r="H1209" i="23"/>
  <c r="D1209" i="23"/>
  <c r="H1210" i="23"/>
  <c r="D1210" i="23"/>
  <c r="H1211" i="23"/>
  <c r="D1211" i="23"/>
  <c r="E1206" i="23"/>
  <c r="E1207" i="23"/>
  <c r="E1208" i="23"/>
  <c r="E1209" i="23"/>
  <c r="E1210" i="23"/>
  <c r="E1211" i="23"/>
  <c r="H1213" i="23"/>
  <c r="D1213" i="23"/>
  <c r="H1214" i="23"/>
  <c r="D1214" i="23"/>
  <c r="H1215" i="23"/>
  <c r="D1215" i="23"/>
  <c r="H1216" i="23"/>
  <c r="D1216" i="23"/>
  <c r="H1217" i="23"/>
  <c r="D1217" i="23"/>
  <c r="H1218" i="23"/>
  <c r="D1218" i="23"/>
  <c r="E1212" i="23"/>
  <c r="E1213" i="23"/>
  <c r="E1214" i="23"/>
  <c r="E1215" i="23"/>
  <c r="E1216" i="23"/>
  <c r="E1217" i="23"/>
  <c r="E1218" i="23"/>
  <c r="H1220" i="23"/>
  <c r="D1220" i="23"/>
  <c r="H1221" i="23"/>
  <c r="D1221" i="23"/>
  <c r="H1222" i="23"/>
  <c r="D1222" i="23"/>
  <c r="H1223" i="23"/>
  <c r="D1223" i="23"/>
  <c r="H1224" i="23"/>
  <c r="D1224" i="23"/>
  <c r="E1219" i="23"/>
  <c r="E1220" i="23"/>
  <c r="E1221" i="23"/>
  <c r="E1222" i="23"/>
  <c r="E1223" i="23"/>
  <c r="E1224" i="23"/>
  <c r="H1225" i="23"/>
  <c r="H1226" i="23"/>
  <c r="D1226" i="23"/>
  <c r="H1227" i="23"/>
  <c r="D1227" i="23"/>
  <c r="H1228" i="23"/>
  <c r="D1228" i="23"/>
  <c r="E1225" i="23"/>
  <c r="E1226" i="23"/>
  <c r="E1227" i="23"/>
  <c r="E1228" i="23"/>
  <c r="H1230" i="23"/>
  <c r="D1230" i="23"/>
  <c r="H1231" i="23"/>
  <c r="D1231" i="23"/>
  <c r="H1232" i="23"/>
  <c r="D1232" i="23"/>
  <c r="H1233" i="23"/>
  <c r="D1233" i="23"/>
  <c r="E1229" i="23"/>
  <c r="E1230" i="23"/>
  <c r="E1231" i="23"/>
  <c r="E1232" i="23"/>
  <c r="E1233" i="23"/>
  <c r="H1235" i="23"/>
  <c r="D1235" i="23"/>
  <c r="H1236" i="23"/>
  <c r="D1236" i="23"/>
  <c r="H1237" i="23"/>
  <c r="D1237" i="23"/>
  <c r="H1238" i="23"/>
  <c r="D1238" i="23"/>
  <c r="H1239" i="23"/>
  <c r="D1239" i="23"/>
  <c r="E1234" i="23"/>
  <c r="E1235" i="23"/>
  <c r="E1236" i="23"/>
  <c r="E1237" i="23"/>
  <c r="E1238" i="23"/>
  <c r="E1239" i="23"/>
  <c r="H1241" i="23"/>
  <c r="D1241" i="23"/>
  <c r="H1242" i="23"/>
  <c r="D1242" i="23"/>
  <c r="H1243" i="23"/>
  <c r="D1243" i="23"/>
  <c r="H1244" i="23"/>
  <c r="D1244" i="23"/>
  <c r="E1240" i="23"/>
  <c r="E1241" i="23"/>
  <c r="E1242" i="23"/>
  <c r="E1243" i="23"/>
  <c r="E1244" i="23"/>
  <c r="H1246" i="23"/>
  <c r="D1246" i="23"/>
  <c r="E1246" i="23"/>
  <c r="E1245" i="23"/>
  <c r="E1114" i="23"/>
  <c r="J733" i="12"/>
  <c r="E1252" i="23"/>
  <c r="E52" i="9"/>
  <c r="E319" i="9"/>
  <c r="D52" i="9"/>
  <c r="K50" i="9"/>
  <c r="D51" i="9"/>
  <c r="D49" i="9"/>
  <c r="Z48" i="9"/>
  <c r="E317" i="9"/>
  <c r="D317" i="9"/>
  <c r="P84" i="23"/>
  <c r="P83" i="23"/>
  <c r="U65" i="12"/>
  <c r="I282" i="23"/>
  <c r="J282" i="23"/>
  <c r="P401" i="23"/>
  <c r="E51" i="9"/>
  <c r="D325" i="9"/>
  <c r="AD319" i="9"/>
  <c r="AI319" i="9"/>
  <c r="C318" i="9"/>
  <c r="AA48" i="9"/>
  <c r="F245" i="23"/>
  <c r="K168" i="23"/>
  <c r="Q131" i="12"/>
  <c r="F1117" i="23"/>
  <c r="F1120" i="23"/>
  <c r="F1118" i="23"/>
  <c r="F1119" i="23"/>
  <c r="P1119" i="23"/>
  <c r="AA72" i="9"/>
  <c r="D314" i="9"/>
  <c r="D315" i="9"/>
  <c r="AC319" i="9"/>
  <c r="AG319" i="9"/>
  <c r="O237" i="23"/>
  <c r="P235" i="23"/>
  <c r="U171" i="12"/>
  <c r="D321" i="9"/>
  <c r="P1247" i="23"/>
  <c r="D324" i="9"/>
  <c r="I52" i="9"/>
  <c r="E189" i="23"/>
  <c r="F189" i="23"/>
  <c r="K414" i="23"/>
  <c r="Q303" i="12"/>
  <c r="P281" i="23"/>
  <c r="U181" i="12"/>
  <c r="I49" i="9"/>
  <c r="Y64" i="9"/>
  <c r="P282" i="23"/>
  <c r="U182" i="12"/>
  <c r="O256" i="23"/>
  <c r="P256" i="23"/>
  <c r="K404" i="23"/>
  <c r="Q297" i="12"/>
  <c r="O189" i="23"/>
  <c r="P189" i="23"/>
  <c r="K52" i="9"/>
  <c r="D319" i="9"/>
  <c r="K51" i="9"/>
  <c r="O188" i="23"/>
  <c r="P188" i="23"/>
  <c r="E325" i="9"/>
  <c r="I50" i="9"/>
  <c r="Y72" i="9"/>
  <c r="I13" i="12"/>
  <c r="K1058" i="23"/>
  <c r="Q709" i="12"/>
  <c r="J734" i="12"/>
  <c r="F1252" i="23"/>
  <c r="M734" i="12"/>
  <c r="I104" i="12"/>
  <c r="I778" i="12"/>
  <c r="H176" i="12"/>
  <c r="H273" i="12"/>
  <c r="H732" i="12"/>
  <c r="H186" i="12"/>
  <c r="H729" i="12"/>
  <c r="H131" i="12"/>
  <c r="H709" i="12"/>
  <c r="H127" i="12"/>
  <c r="H181" i="12"/>
  <c r="H178" i="12"/>
  <c r="H179" i="12"/>
  <c r="H116" i="12"/>
  <c r="K165" i="23"/>
  <c r="Q130" i="12"/>
  <c r="I117" i="12"/>
  <c r="I183" i="12"/>
  <c r="K169" i="23"/>
  <c r="Q132" i="12"/>
  <c r="I102" i="12"/>
  <c r="P169" i="23"/>
  <c r="K892" i="23"/>
  <c r="Q836" i="12"/>
  <c r="U131" i="12"/>
  <c r="P165" i="23"/>
  <c r="U130" i="12"/>
  <c r="K400" i="23"/>
  <c r="Q295" i="12"/>
  <c r="P400" i="23"/>
  <c r="U295" i="12"/>
  <c r="I175" i="12"/>
  <c r="AE337" i="9"/>
  <c r="AC337" i="9"/>
  <c r="AD337" i="9"/>
  <c r="D367" i="9"/>
  <c r="R1035" i="23"/>
  <c r="N1035" i="23"/>
  <c r="O1035" i="23"/>
  <c r="P1035" i="23"/>
  <c r="I654" i="12"/>
  <c r="I294" i="12"/>
  <c r="I182" i="12"/>
  <c r="I305" i="12"/>
  <c r="I297" i="12"/>
  <c r="I303" i="12"/>
  <c r="I301" i="12"/>
  <c r="I65" i="12"/>
  <c r="I300" i="12"/>
  <c r="I650" i="12"/>
  <c r="I64" i="12"/>
  <c r="I130" i="12"/>
  <c r="K412" i="23"/>
  <c r="Q301" i="12"/>
  <c r="P411" i="23"/>
  <c r="U300" i="12"/>
  <c r="K663" i="23"/>
  <c r="Q449" i="12"/>
  <c r="P874" i="23"/>
  <c r="D389" i="9"/>
  <c r="P406" i="23"/>
  <c r="P405" i="23"/>
  <c r="U298" i="12"/>
  <c r="C100" i="21"/>
  <c r="P404" i="23"/>
  <c r="U297" i="12"/>
  <c r="P414" i="23"/>
  <c r="U303" i="12"/>
  <c r="AI325" i="9"/>
  <c r="AC48" i="9"/>
  <c r="P399" i="23"/>
  <c r="U294" i="12"/>
  <c r="E892" i="23"/>
  <c r="K399" i="23"/>
  <c r="Q294" i="12"/>
  <c r="P416" i="23"/>
  <c r="U305" i="12"/>
  <c r="AI326" i="9"/>
  <c r="AC112" i="9"/>
  <c r="H442" i="23"/>
  <c r="D442" i="23"/>
  <c r="E442" i="23"/>
  <c r="F442" i="23"/>
  <c r="P408" i="23"/>
  <c r="U299" i="12"/>
  <c r="C397" i="9"/>
  <c r="AG326" i="9"/>
  <c r="AG327" i="9"/>
  <c r="F1095" i="23"/>
  <c r="AK312" i="9"/>
  <c r="B413" i="9"/>
  <c r="H1012" i="23"/>
  <c r="D1012" i="23"/>
  <c r="E1012" i="23"/>
  <c r="F1012" i="23"/>
  <c r="AG312" i="9"/>
  <c r="O1012" i="23"/>
  <c r="P1012" i="23"/>
  <c r="E871" i="23"/>
  <c r="F871" i="23"/>
  <c r="O871" i="23"/>
  <c r="P871" i="23"/>
  <c r="E885" i="23"/>
  <c r="F885" i="23"/>
  <c r="B120" i="21"/>
  <c r="C176" i="21"/>
  <c r="C414" i="9"/>
  <c r="AI327" i="9"/>
  <c r="AG317" i="9"/>
  <c r="J871" i="23"/>
  <c r="K871" i="23"/>
  <c r="AK326" i="9"/>
  <c r="AK328" i="9"/>
  <c r="AC107" i="9"/>
  <c r="AG313" i="9"/>
  <c r="B373" i="9"/>
  <c r="B427" i="9"/>
  <c r="K1092" i="23"/>
  <c r="Q714" i="12"/>
  <c r="K1095" i="23"/>
  <c r="J1093" i="23"/>
  <c r="N715" i="12"/>
  <c r="B389" i="9"/>
  <c r="F1093" i="23"/>
  <c r="M715" i="12"/>
  <c r="K282" i="23"/>
  <c r="Q182" i="12"/>
  <c r="K269" i="23"/>
  <c r="Q179" i="12"/>
  <c r="P340" i="23"/>
  <c r="U240" i="12"/>
  <c r="K969" i="23"/>
  <c r="Q653" i="12"/>
  <c r="F1270" i="23"/>
  <c r="M751" i="12"/>
  <c r="C398" i="9"/>
  <c r="F1268" i="23"/>
  <c r="M749" i="12"/>
  <c r="H1111" i="23"/>
  <c r="D1111" i="23"/>
  <c r="E1111" i="23"/>
  <c r="F1111" i="23"/>
  <c r="AC56" i="9"/>
  <c r="F874" i="23"/>
  <c r="P970" i="23"/>
  <c r="U654" i="12"/>
  <c r="K1264" i="23"/>
  <c r="Q745" i="12"/>
  <c r="AI328" i="9"/>
  <c r="AD56" i="9"/>
  <c r="F1107" i="23"/>
  <c r="M730" i="12"/>
  <c r="F970" i="23"/>
  <c r="M654" i="12"/>
  <c r="F1269" i="23"/>
  <c r="M750" i="12"/>
  <c r="P387" i="23"/>
  <c r="U282" i="12"/>
  <c r="K281" i="23"/>
  <c r="Q181" i="12"/>
  <c r="F876" i="23"/>
  <c r="B397" i="9"/>
  <c r="H1113" i="23"/>
  <c r="D1113" i="23"/>
  <c r="E1113" i="23"/>
  <c r="F1113" i="23"/>
  <c r="P386" i="23"/>
  <c r="U281" i="12"/>
  <c r="F1263" i="23"/>
  <c r="M744" i="12"/>
  <c r="I180" i="23"/>
  <c r="P358" i="23"/>
  <c r="U258" i="12"/>
  <c r="K970" i="23"/>
  <c r="Q654" i="12"/>
  <c r="D374" i="9"/>
  <c r="O181" i="23"/>
  <c r="P181" i="23"/>
  <c r="P384" i="23"/>
  <c r="U279" i="12"/>
  <c r="F1144" i="23"/>
  <c r="B374" i="9"/>
  <c r="E181" i="23"/>
  <c r="F181" i="23"/>
  <c r="K874" i="23"/>
  <c r="I181" i="23"/>
  <c r="J181" i="23"/>
  <c r="K181" i="23"/>
  <c r="C374" i="9"/>
  <c r="I174" i="12"/>
  <c r="E884" i="23"/>
  <c r="F884" i="23"/>
  <c r="P385" i="23"/>
  <c r="U280" i="12"/>
  <c r="F1266" i="23"/>
  <c r="M747" i="12"/>
  <c r="AE56" i="9"/>
  <c r="AJ320" i="9"/>
  <c r="AK317" i="9"/>
  <c r="O885" i="23"/>
  <c r="P885" i="23"/>
  <c r="F1115" i="23"/>
  <c r="F1116" i="23"/>
  <c r="F1265" i="23"/>
  <c r="M746" i="12"/>
  <c r="J1012" i="23"/>
  <c r="K1012" i="23"/>
  <c r="J1011" i="23"/>
  <c r="K1011" i="23"/>
  <c r="C373" i="9"/>
  <c r="J175" i="23"/>
  <c r="F1108" i="23"/>
  <c r="M731" i="12"/>
  <c r="J237" i="23"/>
  <c r="K1263" i="23"/>
  <c r="Q744" i="12"/>
  <c r="F1264" i="23"/>
  <c r="M745" i="12"/>
  <c r="F1278" i="23"/>
  <c r="M757" i="12"/>
  <c r="AE112" i="9"/>
  <c r="AE107" i="9"/>
  <c r="I653" i="12"/>
  <c r="B399" i="9"/>
  <c r="E441" i="23"/>
  <c r="F441" i="23"/>
  <c r="AD64" i="9"/>
  <c r="AC64" i="9"/>
  <c r="B398" i="9"/>
  <c r="J1116" i="23"/>
  <c r="K1116" i="23"/>
  <c r="J1115" i="23"/>
  <c r="K1115" i="23"/>
  <c r="F969" i="23"/>
  <c r="M653" i="12"/>
  <c r="P224" i="23"/>
  <c r="U168" i="12"/>
  <c r="P1115" i="23"/>
  <c r="K625" i="23"/>
  <c r="K283" i="23"/>
  <c r="Q183" i="12"/>
  <c r="G325" i="23"/>
  <c r="AK313" i="9"/>
  <c r="P338" i="23"/>
  <c r="U238" i="12"/>
  <c r="P378" i="23"/>
  <c r="U273" i="12"/>
  <c r="AK310" i="9"/>
  <c r="D387" i="9"/>
  <c r="AC72" i="9"/>
  <c r="AI315" i="9"/>
  <c r="O176" i="23"/>
  <c r="R1110" i="23"/>
  <c r="N1110" i="23"/>
  <c r="O1110" i="23"/>
  <c r="P1110" i="23"/>
  <c r="B375" i="9"/>
  <c r="R185" i="23"/>
  <c r="D375" i="9"/>
  <c r="D388" i="9"/>
  <c r="AK311" i="9"/>
  <c r="AK316" i="9"/>
  <c r="O884" i="23"/>
  <c r="P884" i="23"/>
  <c r="P318" i="23"/>
  <c r="U218" i="12"/>
  <c r="F1273" i="23"/>
  <c r="M754" i="12"/>
  <c r="D396" i="9"/>
  <c r="AE48" i="9"/>
  <c r="P237" i="23"/>
  <c r="AK315" i="9"/>
  <c r="AE64" i="9"/>
  <c r="J225" i="23"/>
  <c r="K225" i="23"/>
  <c r="AC320" i="9"/>
  <c r="AD107" i="9"/>
  <c r="AD112" i="9"/>
  <c r="M185" i="23"/>
  <c r="C375" i="9"/>
  <c r="AG311" i="9"/>
  <c r="B388" i="9"/>
  <c r="B387" i="9"/>
  <c r="E891" i="23"/>
  <c r="AG310" i="9"/>
  <c r="J177" i="23"/>
  <c r="K177" i="23"/>
  <c r="M1111" i="23"/>
  <c r="I1111" i="23"/>
  <c r="J1111" i="23"/>
  <c r="K1111" i="23"/>
  <c r="J176" i="23"/>
  <c r="K176" i="23"/>
  <c r="M1110" i="23"/>
  <c r="I1110" i="23"/>
  <c r="J1110" i="23"/>
  <c r="K1110" i="23"/>
  <c r="P357" i="23"/>
  <c r="U257" i="12"/>
  <c r="P966" i="23"/>
  <c r="U650" i="12"/>
  <c r="AI313" i="9"/>
  <c r="M1113" i="23"/>
  <c r="I1113" i="23"/>
  <c r="J1113" i="23"/>
  <c r="K1113" i="23"/>
  <c r="AE72" i="9"/>
  <c r="O177" i="23"/>
  <c r="R1111" i="23"/>
  <c r="N1111" i="23"/>
  <c r="O1111" i="23"/>
  <c r="P1111" i="23"/>
  <c r="K266" i="23"/>
  <c r="Q176" i="12"/>
  <c r="AD320" i="9"/>
  <c r="K966" i="23"/>
  <c r="Q650" i="12"/>
  <c r="AF320" i="9"/>
  <c r="K253" i="23"/>
  <c r="Q173" i="12"/>
  <c r="P363" i="23"/>
  <c r="U260" i="12"/>
  <c r="AD48" i="9"/>
  <c r="C396" i="9"/>
  <c r="C366" i="9"/>
  <c r="M1034" i="23"/>
  <c r="I1034" i="23"/>
  <c r="J1034" i="23"/>
  <c r="K1034" i="23"/>
  <c r="D373" i="9"/>
  <c r="O175" i="23"/>
  <c r="F966" i="23"/>
  <c r="M650" i="12"/>
  <c r="AI309" i="9"/>
  <c r="P267" i="23"/>
  <c r="U177" i="12"/>
  <c r="J246" i="23"/>
  <c r="AE320" i="9"/>
  <c r="R1113" i="23"/>
  <c r="N1113" i="23"/>
  <c r="O1113" i="23"/>
  <c r="P1113" i="23"/>
  <c r="M1121" i="23"/>
  <c r="M377" i="23"/>
  <c r="I377" i="23"/>
  <c r="J377" i="23"/>
  <c r="K377" i="23"/>
  <c r="M376" i="23"/>
  <c r="M1153" i="23"/>
  <c r="AH320" i="9"/>
  <c r="C388" i="9"/>
  <c r="AI311" i="9"/>
  <c r="F1271" i="23"/>
  <c r="M752" i="12"/>
  <c r="AI316" i="9"/>
  <c r="J884" i="23"/>
  <c r="K884" i="23"/>
  <c r="P339" i="23"/>
  <c r="U239" i="12"/>
  <c r="AI317" i="9"/>
  <c r="J885" i="23"/>
  <c r="K885" i="23"/>
  <c r="P876" i="23"/>
  <c r="AK309" i="9"/>
  <c r="I267" i="23"/>
  <c r="J267" i="23"/>
  <c r="I177" i="12"/>
  <c r="C387" i="9"/>
  <c r="AI310" i="9"/>
  <c r="AD72" i="9"/>
  <c r="P377" i="23"/>
  <c r="H1110" i="23"/>
  <c r="D1110" i="23"/>
  <c r="E1110" i="23"/>
  <c r="F1110" i="23"/>
  <c r="E870" i="23"/>
  <c r="F870" i="23"/>
  <c r="I132" i="12"/>
  <c r="I652" i="12"/>
  <c r="I181" i="12"/>
  <c r="I178" i="12"/>
  <c r="I172" i="12"/>
  <c r="I280" i="12"/>
  <c r="M1107" i="23"/>
  <c r="M1108" i="23"/>
  <c r="P176" i="23"/>
  <c r="I111" i="12"/>
  <c r="I110" i="12"/>
  <c r="P177" i="23"/>
  <c r="I112" i="12"/>
  <c r="H730" i="12"/>
  <c r="H303" i="12"/>
  <c r="H750" i="12"/>
  <c r="H746" i="12"/>
  <c r="H652" i="12"/>
  <c r="H751" i="12"/>
  <c r="H744" i="12"/>
  <c r="H757" i="12"/>
  <c r="H301" i="12"/>
  <c r="H745" i="12"/>
  <c r="H297" i="12"/>
  <c r="H65" i="12"/>
  <c r="H177" i="12"/>
  <c r="H130" i="12"/>
  <c r="H305" i="12"/>
  <c r="H752" i="12"/>
  <c r="H749" i="12"/>
  <c r="H174" i="12"/>
  <c r="H64" i="12"/>
  <c r="H182" i="12"/>
  <c r="H175" i="12"/>
  <c r="H132" i="12"/>
  <c r="H653" i="12"/>
  <c r="H731" i="12"/>
  <c r="H294" i="12"/>
  <c r="H183" i="12"/>
  <c r="H172" i="12"/>
  <c r="H171" i="12"/>
  <c r="H650" i="12"/>
  <c r="H654" i="12"/>
  <c r="H754" i="12"/>
  <c r="H300" i="12"/>
  <c r="H747" i="12"/>
  <c r="H117" i="12"/>
  <c r="I260" i="12"/>
  <c r="I258" i="12"/>
  <c r="I714" i="12"/>
  <c r="I239" i="12"/>
  <c r="I240" i="12"/>
  <c r="I257" i="12"/>
  <c r="I295" i="12"/>
  <c r="P175" i="23"/>
  <c r="K175" i="23"/>
  <c r="Q121" i="12"/>
  <c r="I115" i="12"/>
  <c r="K891" i="23"/>
  <c r="Q835" i="12"/>
  <c r="I279" i="12"/>
  <c r="I173" i="12"/>
  <c r="H102" i="12"/>
  <c r="F892" i="23"/>
  <c r="M836" i="12"/>
  <c r="U132" i="12"/>
  <c r="F891" i="23"/>
  <c r="M835" i="12"/>
  <c r="AK337" i="9"/>
  <c r="O870" i="23"/>
  <c r="P870" i="23"/>
  <c r="AG337" i="9"/>
  <c r="I299" i="12"/>
  <c r="I449" i="12"/>
  <c r="C197" i="9"/>
  <c r="D195" i="9"/>
  <c r="B377" i="9"/>
  <c r="F702" i="9"/>
  <c r="O892" i="23"/>
  <c r="C166" i="9"/>
  <c r="C167" i="9"/>
  <c r="P151" i="9"/>
  <c r="P152" i="9"/>
  <c r="P153" i="9"/>
  <c r="H605" i="23"/>
  <c r="D605" i="23"/>
  <c r="E605" i="23"/>
  <c r="F605" i="23"/>
  <c r="K771" i="23"/>
  <c r="C162" i="9"/>
  <c r="C165" i="9"/>
  <c r="C149" i="9"/>
  <c r="D167" i="9"/>
  <c r="E162" i="9"/>
  <c r="P462" i="23"/>
  <c r="AC113" i="9"/>
  <c r="P381" i="23"/>
  <c r="U276" i="12"/>
  <c r="D157" i="9"/>
  <c r="D165" i="9"/>
  <c r="D149" i="9"/>
  <c r="D162" i="9"/>
  <c r="D166" i="9"/>
  <c r="P380" i="23"/>
  <c r="U275" i="12"/>
  <c r="C189" i="21"/>
  <c r="E165" i="9"/>
  <c r="P771" i="23"/>
  <c r="C164" i="21"/>
  <c r="E167" i="9"/>
  <c r="C145" i="21"/>
  <c r="C122" i="21"/>
  <c r="E149" i="9"/>
  <c r="E166" i="9"/>
  <c r="P1092" i="23"/>
  <c r="U714" i="12"/>
  <c r="B376" i="9"/>
  <c r="P627" i="23"/>
  <c r="H1103" i="23"/>
  <c r="E1103" i="23"/>
  <c r="J723" i="12"/>
  <c r="P1095" i="23"/>
  <c r="M1097" i="23"/>
  <c r="K1093" i="23"/>
  <c r="Q715" i="12"/>
  <c r="P969" i="23"/>
  <c r="U653" i="12"/>
  <c r="F1149" i="23"/>
  <c r="F1140" i="23"/>
  <c r="K267" i="23"/>
  <c r="Q177" i="12"/>
  <c r="P344" i="23"/>
  <c r="U244" i="12"/>
  <c r="K340" i="23"/>
  <c r="Q240" i="12"/>
  <c r="P323" i="23"/>
  <c r="U223" i="12"/>
  <c r="K384" i="23"/>
  <c r="Q279" i="12"/>
  <c r="P665" i="23"/>
  <c r="U451" i="12"/>
  <c r="F1150" i="23"/>
  <c r="F1146" i="23"/>
  <c r="F1133" i="23"/>
  <c r="F1131" i="23"/>
  <c r="P464" i="23"/>
  <c r="U343" i="12"/>
  <c r="F1139" i="23"/>
  <c r="P968" i="23"/>
  <c r="U652" i="12"/>
  <c r="F1134" i="23"/>
  <c r="F1141" i="23"/>
  <c r="F1132" i="23"/>
  <c r="K363" i="23"/>
  <c r="Q260" i="12"/>
  <c r="F1138" i="23"/>
  <c r="F1130" i="23"/>
  <c r="P320" i="23"/>
  <c r="U220" i="12"/>
  <c r="P317" i="23"/>
  <c r="U217" i="12"/>
  <c r="P459" i="23"/>
  <c r="U341" i="12"/>
  <c r="P435" i="23"/>
  <c r="U321" i="12"/>
  <c r="F1147" i="23"/>
  <c r="F1126" i="23"/>
  <c r="F1123" i="23"/>
  <c r="AI337" i="9"/>
  <c r="K338" i="23"/>
  <c r="Q238" i="12"/>
  <c r="F1151" i="23"/>
  <c r="F1124" i="23"/>
  <c r="P1036" i="23"/>
  <c r="U687" i="12"/>
  <c r="P321" i="23"/>
  <c r="U221" i="12"/>
  <c r="P346" i="23"/>
  <c r="U246" i="12"/>
  <c r="F1128" i="23"/>
  <c r="F1152" i="23"/>
  <c r="P512" i="23"/>
  <c r="U367" i="12"/>
  <c r="F1143" i="23"/>
  <c r="F1129" i="23"/>
  <c r="P325" i="23"/>
  <c r="U225" i="12"/>
  <c r="P458" i="23"/>
  <c r="U340" i="12"/>
  <c r="F1145" i="23"/>
  <c r="F1122" i="23"/>
  <c r="F873" i="23"/>
  <c r="P324" i="23"/>
  <c r="U224" i="12"/>
  <c r="F1127" i="23"/>
  <c r="J439" i="23"/>
  <c r="K439" i="23"/>
  <c r="P389" i="23"/>
  <c r="U284" i="12"/>
  <c r="AD113" i="9"/>
  <c r="P873" i="23"/>
  <c r="E180" i="23"/>
  <c r="F180" i="23"/>
  <c r="D179" i="23"/>
  <c r="J180" i="23"/>
  <c r="K180" i="23"/>
  <c r="I179" i="23"/>
  <c r="J179" i="23"/>
  <c r="P254" i="23"/>
  <c r="U174" i="12"/>
  <c r="K357" i="23"/>
  <c r="Q257" i="12"/>
  <c r="O439" i="23"/>
  <c r="P439" i="23"/>
  <c r="P662" i="23"/>
  <c r="U448" i="12"/>
  <c r="K630" i="23"/>
  <c r="O180" i="23"/>
  <c r="P180" i="23"/>
  <c r="P345" i="23"/>
  <c r="U245" i="12"/>
  <c r="O186" i="23"/>
  <c r="P186" i="23"/>
  <c r="AE113" i="9"/>
  <c r="K237" i="23"/>
  <c r="K235" i="23"/>
  <c r="Q171" i="12"/>
  <c r="P319" i="23"/>
  <c r="U219" i="12"/>
  <c r="K385" i="23"/>
  <c r="Q280" i="12"/>
  <c r="M1155" i="23"/>
  <c r="I1155" i="23"/>
  <c r="J1155" i="23"/>
  <c r="K1155" i="23"/>
  <c r="M1162" i="23"/>
  <c r="I1162" i="23"/>
  <c r="J1162" i="23"/>
  <c r="K1162" i="23"/>
  <c r="M1164" i="23"/>
  <c r="I1164" i="23"/>
  <c r="J1164" i="23"/>
  <c r="K1164" i="23"/>
  <c r="M1163" i="23"/>
  <c r="I1163" i="23"/>
  <c r="J1163" i="23"/>
  <c r="K1163" i="23"/>
  <c r="M1157" i="23"/>
  <c r="I1157" i="23"/>
  <c r="J1157" i="23"/>
  <c r="K1157" i="23"/>
  <c r="M1158" i="23"/>
  <c r="I1158" i="23"/>
  <c r="J1158" i="23"/>
  <c r="K1158" i="23"/>
  <c r="M1159" i="23"/>
  <c r="I1159" i="23"/>
  <c r="J1159" i="23"/>
  <c r="K1159" i="23"/>
  <c r="M1154" i="23"/>
  <c r="I1154" i="23"/>
  <c r="M1161" i="23"/>
  <c r="I1161" i="23"/>
  <c r="J1161" i="23"/>
  <c r="K1161" i="23"/>
  <c r="M1156" i="23"/>
  <c r="I1156" i="23"/>
  <c r="J1156" i="23"/>
  <c r="K1156" i="23"/>
  <c r="M1160" i="23"/>
  <c r="I1160" i="23"/>
  <c r="J1160" i="23"/>
  <c r="K1160" i="23"/>
  <c r="K339" i="23"/>
  <c r="Q239" i="12"/>
  <c r="K224" i="23"/>
  <c r="Q168" i="12"/>
  <c r="K627" i="23"/>
  <c r="D377" i="9"/>
  <c r="R442" i="23"/>
  <c r="N442" i="23"/>
  <c r="O442" i="23"/>
  <c r="P442" i="23"/>
  <c r="E187" i="23"/>
  <c r="F187" i="23"/>
  <c r="H998" i="23"/>
  <c r="D998" i="23"/>
  <c r="E998" i="23"/>
  <c r="F998" i="23"/>
  <c r="H997" i="23"/>
  <c r="D997" i="23"/>
  <c r="E997" i="23"/>
  <c r="F997" i="23"/>
  <c r="P626" i="23"/>
  <c r="P630" i="23"/>
  <c r="P625" i="23"/>
  <c r="K516" i="23"/>
  <c r="M173" i="23"/>
  <c r="M1165" i="23"/>
  <c r="J997" i="23"/>
  <c r="K997" i="23"/>
  <c r="J441" i="23"/>
  <c r="K441" i="23"/>
  <c r="E872" i="23"/>
  <c r="F872" i="23"/>
  <c r="P322" i="23"/>
  <c r="U222" i="12"/>
  <c r="L325" i="23"/>
  <c r="J440" i="23"/>
  <c r="K440" i="23"/>
  <c r="C376" i="9"/>
  <c r="P1146" i="23"/>
  <c r="P1133" i="23"/>
  <c r="P1127" i="23"/>
  <c r="P1150" i="23"/>
  <c r="P1130" i="23"/>
  <c r="P1132" i="23"/>
  <c r="P1128" i="23"/>
  <c r="P1139" i="23"/>
  <c r="P1131" i="23"/>
  <c r="P1141" i="23"/>
  <c r="P1140" i="23"/>
  <c r="P1124" i="23"/>
  <c r="P1145" i="23"/>
  <c r="P1123" i="23"/>
  <c r="P1152" i="23"/>
  <c r="P1144" i="23"/>
  <c r="P1134" i="23"/>
  <c r="P1129" i="23"/>
  <c r="P1147" i="23"/>
  <c r="P1151" i="23"/>
  <c r="J187" i="23"/>
  <c r="K187" i="23"/>
  <c r="R173" i="23"/>
  <c r="P1155" i="23"/>
  <c r="P1160" i="23"/>
  <c r="P1156" i="23"/>
  <c r="P1158" i="23"/>
  <c r="P1159" i="23"/>
  <c r="P1162" i="23"/>
  <c r="P1163" i="23"/>
  <c r="P1161" i="23"/>
  <c r="P1157" i="23"/>
  <c r="P1164" i="23"/>
  <c r="K626" i="23"/>
  <c r="I376" i="23"/>
  <c r="J376" i="23"/>
  <c r="J375" i="23"/>
  <c r="C377" i="9"/>
  <c r="M442" i="23"/>
  <c r="I442" i="23"/>
  <c r="J442" i="23"/>
  <c r="K442" i="23"/>
  <c r="K319" i="23"/>
  <c r="Q219" i="12"/>
  <c r="O441" i="23"/>
  <c r="P441" i="23"/>
  <c r="O997" i="23"/>
  <c r="P997" i="23"/>
  <c r="F1159" i="23"/>
  <c r="F1157" i="23"/>
  <c r="F1156" i="23"/>
  <c r="F1161" i="23"/>
  <c r="F1162" i="23"/>
  <c r="F1158" i="23"/>
  <c r="F1155" i="23"/>
  <c r="F1160" i="23"/>
  <c r="F1163" i="23"/>
  <c r="J186" i="23"/>
  <c r="K186" i="23"/>
  <c r="P1184" i="23"/>
  <c r="P1182" i="23"/>
  <c r="P1172" i="23"/>
  <c r="P1192" i="23"/>
  <c r="P1178" i="23"/>
  <c r="P1185" i="23"/>
  <c r="P1197" i="23"/>
  <c r="P1167" i="23"/>
  <c r="P1175" i="23"/>
  <c r="P1168" i="23"/>
  <c r="P1188" i="23"/>
  <c r="P1195" i="23"/>
  <c r="P1181" i="23"/>
  <c r="P1190" i="23"/>
  <c r="P1191" i="23"/>
  <c r="P1196" i="23"/>
  <c r="P1176" i="23"/>
  <c r="P1183" i="23"/>
  <c r="P1189" i="23"/>
  <c r="P1171" i="23"/>
  <c r="P1177" i="23"/>
  <c r="K246" i="23"/>
  <c r="K244" i="23"/>
  <c r="Q172" i="12"/>
  <c r="K358" i="23"/>
  <c r="Q258" i="12"/>
  <c r="P663" i="23"/>
  <c r="U449" i="12"/>
  <c r="O187" i="23"/>
  <c r="P187" i="23"/>
  <c r="I486" i="21"/>
  <c r="M1122" i="23"/>
  <c r="I1122" i="23"/>
  <c r="M1132" i="23"/>
  <c r="I1132" i="23"/>
  <c r="J1132" i="23"/>
  <c r="K1132" i="23"/>
  <c r="M1141" i="23"/>
  <c r="I1141" i="23"/>
  <c r="J1141" i="23"/>
  <c r="K1141" i="23"/>
  <c r="M1136" i="23"/>
  <c r="I1136" i="23"/>
  <c r="M1126" i="23"/>
  <c r="I1126" i="23"/>
  <c r="M1130" i="23"/>
  <c r="I1130" i="23"/>
  <c r="J1130" i="23"/>
  <c r="K1130" i="23"/>
  <c r="M1147" i="23"/>
  <c r="I1147" i="23"/>
  <c r="J1147" i="23"/>
  <c r="K1147" i="23"/>
  <c r="M1149" i="23"/>
  <c r="I1149" i="23"/>
  <c r="M1150" i="23"/>
  <c r="I1150" i="23"/>
  <c r="J1150" i="23"/>
  <c r="K1150" i="23"/>
  <c r="M1145" i="23"/>
  <c r="I1145" i="23"/>
  <c r="J1145" i="23"/>
  <c r="K1145" i="23"/>
  <c r="M1144" i="23"/>
  <c r="I1144" i="23"/>
  <c r="J1144" i="23"/>
  <c r="K1144" i="23"/>
  <c r="M1131" i="23"/>
  <c r="I1131" i="23"/>
  <c r="J1131" i="23"/>
  <c r="K1131" i="23"/>
  <c r="M1151" i="23"/>
  <c r="I1151" i="23"/>
  <c r="J1151" i="23"/>
  <c r="K1151" i="23"/>
  <c r="M1123" i="23"/>
  <c r="I1123" i="23"/>
  <c r="J1123" i="23"/>
  <c r="K1123" i="23"/>
  <c r="M1128" i="23"/>
  <c r="I1128" i="23"/>
  <c r="J1128" i="23"/>
  <c r="K1128" i="23"/>
  <c r="M1139" i="23"/>
  <c r="I1139" i="23"/>
  <c r="J1139" i="23"/>
  <c r="K1139" i="23"/>
  <c r="M1129" i="23"/>
  <c r="I1129" i="23"/>
  <c r="J1129" i="23"/>
  <c r="K1129" i="23"/>
  <c r="M1127" i="23"/>
  <c r="I1127" i="23"/>
  <c r="J1127" i="23"/>
  <c r="K1127" i="23"/>
  <c r="M1138" i="23"/>
  <c r="I1138" i="23"/>
  <c r="M1124" i="23"/>
  <c r="I1124" i="23"/>
  <c r="J1124" i="23"/>
  <c r="K1124" i="23"/>
  <c r="M1143" i="23"/>
  <c r="I1143" i="23"/>
  <c r="M1146" i="23"/>
  <c r="I1146" i="23"/>
  <c r="J1146" i="23"/>
  <c r="K1146" i="23"/>
  <c r="M1140" i="23"/>
  <c r="I1140" i="23"/>
  <c r="J1140" i="23"/>
  <c r="K1140" i="23"/>
  <c r="M1152" i="23"/>
  <c r="I1152" i="23"/>
  <c r="J1152" i="23"/>
  <c r="K1152" i="23"/>
  <c r="P465" i="23"/>
  <c r="U344" i="12"/>
  <c r="K876" i="23"/>
  <c r="P466" i="23"/>
  <c r="U345" i="12"/>
  <c r="P513" i="23"/>
  <c r="U368" i="12"/>
  <c r="K1031" i="23"/>
  <c r="K1030" i="23"/>
  <c r="Q686" i="12"/>
  <c r="D376" i="9"/>
  <c r="O440" i="23"/>
  <c r="P440" i="23"/>
  <c r="H994" i="23"/>
  <c r="D994" i="23"/>
  <c r="E994" i="23"/>
  <c r="J678" i="12"/>
  <c r="J708" i="12"/>
  <c r="I171" i="12"/>
  <c r="I1107" i="23"/>
  <c r="J1107" i="23"/>
  <c r="N730" i="12"/>
  <c r="I1108" i="23"/>
  <c r="J1108" i="23"/>
  <c r="N731" i="12"/>
  <c r="J1121" i="23"/>
  <c r="J1125" i="23"/>
  <c r="J1135" i="23"/>
  <c r="J1137" i="23"/>
  <c r="J1122" i="23"/>
  <c r="J1126" i="23"/>
  <c r="J1136" i="23"/>
  <c r="J1138" i="23"/>
  <c r="J1142" i="23"/>
  <c r="J1143" i="23"/>
  <c r="J1148" i="23"/>
  <c r="J1149" i="23"/>
  <c r="J1153" i="23"/>
  <c r="J1154" i="23"/>
  <c r="M1166" i="23"/>
  <c r="I1166" i="23"/>
  <c r="M1167" i="23"/>
  <c r="I1167" i="23"/>
  <c r="M1168" i="23"/>
  <c r="I1168" i="23"/>
  <c r="J1165" i="23"/>
  <c r="J1166" i="23"/>
  <c r="J1167" i="23"/>
  <c r="J1168" i="23"/>
  <c r="M1170" i="23"/>
  <c r="I1170" i="23"/>
  <c r="M1171" i="23"/>
  <c r="I1171" i="23"/>
  <c r="M1172" i="23"/>
  <c r="I1172" i="23"/>
  <c r="J1169" i="23"/>
  <c r="J1170" i="23"/>
  <c r="J1171" i="23"/>
  <c r="J1172" i="23"/>
  <c r="M1174" i="23"/>
  <c r="I1174" i="23"/>
  <c r="M1175" i="23"/>
  <c r="I1175" i="23"/>
  <c r="M1176" i="23"/>
  <c r="I1176" i="23"/>
  <c r="M1177" i="23"/>
  <c r="I1177" i="23"/>
  <c r="M1178" i="23"/>
  <c r="I1178" i="23"/>
  <c r="J1173" i="23"/>
  <c r="J1174" i="23"/>
  <c r="J1175" i="23"/>
  <c r="J1176" i="23"/>
  <c r="J1177" i="23"/>
  <c r="J1178" i="23"/>
  <c r="M1180" i="23"/>
  <c r="I1180" i="23"/>
  <c r="M1181" i="23"/>
  <c r="I1181" i="23"/>
  <c r="M1182" i="23"/>
  <c r="I1182" i="23"/>
  <c r="M1183" i="23"/>
  <c r="I1183" i="23"/>
  <c r="M1184" i="23"/>
  <c r="I1184" i="23"/>
  <c r="M1185" i="23"/>
  <c r="I1185" i="23"/>
  <c r="J1179" i="23"/>
  <c r="J1180" i="23"/>
  <c r="J1181" i="23"/>
  <c r="J1182" i="23"/>
  <c r="J1183" i="23"/>
  <c r="J1184" i="23"/>
  <c r="J1185" i="23"/>
  <c r="M1187" i="23"/>
  <c r="I1187" i="23"/>
  <c r="M1188" i="23"/>
  <c r="I1188" i="23"/>
  <c r="M1189" i="23"/>
  <c r="I1189" i="23"/>
  <c r="M1190" i="23"/>
  <c r="I1190" i="23"/>
  <c r="M1191" i="23"/>
  <c r="I1191" i="23"/>
  <c r="M1192" i="23"/>
  <c r="I1192" i="23"/>
  <c r="J1186" i="23"/>
  <c r="J1187" i="23"/>
  <c r="J1188" i="23"/>
  <c r="J1189" i="23"/>
  <c r="J1190" i="23"/>
  <c r="J1191" i="23"/>
  <c r="J1192" i="23"/>
  <c r="M1194" i="23"/>
  <c r="I1194" i="23"/>
  <c r="M1195" i="23"/>
  <c r="I1195" i="23"/>
  <c r="M1196" i="23"/>
  <c r="I1196" i="23"/>
  <c r="M1197" i="23"/>
  <c r="I1197" i="23"/>
  <c r="J1193" i="23"/>
  <c r="J1194" i="23"/>
  <c r="J1195" i="23"/>
  <c r="J1196" i="23"/>
  <c r="J1197" i="23"/>
  <c r="M1198" i="23"/>
  <c r="M1199" i="23"/>
  <c r="I1199" i="23"/>
  <c r="M1200" i="23"/>
  <c r="I1200" i="23"/>
  <c r="M1201" i="23"/>
  <c r="I1201" i="23"/>
  <c r="M1202" i="23"/>
  <c r="I1202" i="23"/>
  <c r="M1203" i="23"/>
  <c r="I1203" i="23"/>
  <c r="M1204" i="23"/>
  <c r="I1204" i="23"/>
  <c r="M1205" i="23"/>
  <c r="I1205" i="23"/>
  <c r="J1198" i="23"/>
  <c r="J1199" i="23"/>
  <c r="J1200" i="23"/>
  <c r="J1201" i="23"/>
  <c r="J1202" i="23"/>
  <c r="J1203" i="23"/>
  <c r="J1204" i="23"/>
  <c r="J1205" i="23"/>
  <c r="M1207" i="23"/>
  <c r="I1207" i="23"/>
  <c r="M1208" i="23"/>
  <c r="I1208" i="23"/>
  <c r="M1209" i="23"/>
  <c r="I1209" i="23"/>
  <c r="M1210" i="23"/>
  <c r="I1210" i="23"/>
  <c r="M1211" i="23"/>
  <c r="I1211" i="23"/>
  <c r="J1206" i="23"/>
  <c r="J1207" i="23"/>
  <c r="J1208" i="23"/>
  <c r="J1209" i="23"/>
  <c r="J1210" i="23"/>
  <c r="J1211" i="23"/>
  <c r="M1213" i="23"/>
  <c r="I1213" i="23"/>
  <c r="M1214" i="23"/>
  <c r="I1214" i="23"/>
  <c r="M1215" i="23"/>
  <c r="I1215" i="23"/>
  <c r="M1216" i="23"/>
  <c r="I1216" i="23"/>
  <c r="M1217" i="23"/>
  <c r="I1217" i="23"/>
  <c r="M1218" i="23"/>
  <c r="I1218" i="23"/>
  <c r="J1212" i="23"/>
  <c r="J1213" i="23"/>
  <c r="J1214" i="23"/>
  <c r="J1215" i="23"/>
  <c r="J1216" i="23"/>
  <c r="J1217" i="23"/>
  <c r="J1218" i="23"/>
  <c r="M1220" i="23"/>
  <c r="I1220" i="23"/>
  <c r="M1221" i="23"/>
  <c r="I1221" i="23"/>
  <c r="M1222" i="23"/>
  <c r="I1222" i="23"/>
  <c r="M1223" i="23"/>
  <c r="I1223" i="23"/>
  <c r="M1224" i="23"/>
  <c r="I1224" i="23"/>
  <c r="J1219" i="23"/>
  <c r="J1220" i="23"/>
  <c r="J1221" i="23"/>
  <c r="J1222" i="23"/>
  <c r="J1223" i="23"/>
  <c r="J1224" i="23"/>
  <c r="M1225" i="23"/>
  <c r="M1226" i="23"/>
  <c r="I1226" i="23"/>
  <c r="M1227" i="23"/>
  <c r="I1227" i="23"/>
  <c r="M1228" i="23"/>
  <c r="I1228" i="23"/>
  <c r="J1225" i="23"/>
  <c r="J1226" i="23"/>
  <c r="J1227" i="23"/>
  <c r="J1228" i="23"/>
  <c r="M1230" i="23"/>
  <c r="I1230" i="23"/>
  <c r="M1231" i="23"/>
  <c r="I1231" i="23"/>
  <c r="M1232" i="23"/>
  <c r="I1232" i="23"/>
  <c r="M1233" i="23"/>
  <c r="I1233" i="23"/>
  <c r="J1229" i="23"/>
  <c r="J1230" i="23"/>
  <c r="J1231" i="23"/>
  <c r="J1232" i="23"/>
  <c r="J1233" i="23"/>
  <c r="M1235" i="23"/>
  <c r="I1235" i="23"/>
  <c r="M1236" i="23"/>
  <c r="I1236" i="23"/>
  <c r="M1237" i="23"/>
  <c r="I1237" i="23"/>
  <c r="M1238" i="23"/>
  <c r="I1238" i="23"/>
  <c r="M1239" i="23"/>
  <c r="I1239" i="23"/>
  <c r="J1234" i="23"/>
  <c r="J1235" i="23"/>
  <c r="J1236" i="23"/>
  <c r="J1237" i="23"/>
  <c r="J1238" i="23"/>
  <c r="J1239" i="23"/>
  <c r="M1241" i="23"/>
  <c r="I1241" i="23"/>
  <c r="M1242" i="23"/>
  <c r="I1242" i="23"/>
  <c r="M1243" i="23"/>
  <c r="I1243" i="23"/>
  <c r="M1244" i="23"/>
  <c r="I1244" i="23"/>
  <c r="J1240" i="23"/>
  <c r="J1241" i="23"/>
  <c r="J1242" i="23"/>
  <c r="J1243" i="23"/>
  <c r="J1244" i="23"/>
  <c r="M1246" i="23"/>
  <c r="I1246" i="23"/>
  <c r="J1246" i="23"/>
  <c r="J1245" i="23"/>
  <c r="J1114" i="23"/>
  <c r="N733" i="12"/>
  <c r="J1252" i="23"/>
  <c r="U121" i="12"/>
  <c r="H648" i="12"/>
  <c r="H283" i="12"/>
  <c r="H173" i="12"/>
  <c r="H279" i="12"/>
  <c r="H257" i="12"/>
  <c r="H687" i="12"/>
  <c r="H449" i="12"/>
  <c r="H240" i="12"/>
  <c r="M1103" i="23"/>
  <c r="J1103" i="23"/>
  <c r="N723" i="12"/>
  <c r="H748" i="12"/>
  <c r="H280" i="12"/>
  <c r="H239" i="12"/>
  <c r="H753" i="12"/>
  <c r="H299" i="12"/>
  <c r="H295" i="12"/>
  <c r="H714" i="12"/>
  <c r="H258" i="12"/>
  <c r="H260" i="12"/>
  <c r="H115" i="12"/>
  <c r="H101" i="12"/>
  <c r="I223" i="12"/>
  <c r="I220" i="12"/>
  <c r="I298" i="12"/>
  <c r="I222" i="12"/>
  <c r="I225" i="12"/>
  <c r="I341" i="12"/>
  <c r="I256" i="12"/>
  <c r="I221" i="12"/>
  <c r="I245" i="12"/>
  <c r="I345" i="12"/>
  <c r="I448" i="12"/>
  <c r="I344" i="12"/>
  <c r="I238" i="12"/>
  <c r="I340" i="12"/>
  <c r="I246" i="12"/>
  <c r="I451" i="12"/>
  <c r="I244" i="12"/>
  <c r="I224" i="12"/>
  <c r="I293" i="12"/>
  <c r="I281" i="12"/>
  <c r="P892" i="23"/>
  <c r="U836" i="12"/>
  <c r="I836" i="12"/>
  <c r="P891" i="23"/>
  <c r="U835" i="12"/>
  <c r="I284" i="12"/>
  <c r="I343" i="12"/>
  <c r="I368" i="12"/>
  <c r="I367" i="12"/>
  <c r="I217" i="12"/>
  <c r="I275" i="12"/>
  <c r="I141" i="12"/>
  <c r="I601" i="12"/>
  <c r="I272" i="12"/>
  <c r="I241" i="12"/>
  <c r="I686" i="12"/>
  <c r="C192" i="9"/>
  <c r="I242" i="12"/>
  <c r="I219" i="12"/>
  <c r="I135" i="12"/>
  <c r="I168" i="12"/>
  <c r="Y205" i="9"/>
  <c r="C198" i="9"/>
  <c r="P184" i="9"/>
  <c r="P185" i="9"/>
  <c r="P186" i="9"/>
  <c r="AD182" i="9"/>
  <c r="AI182" i="9"/>
  <c r="AC182" i="9"/>
  <c r="AG182" i="9"/>
  <c r="K775" i="23"/>
  <c r="K778" i="23"/>
  <c r="AA205" i="9"/>
  <c r="E198" i="9"/>
  <c r="R184" i="9"/>
  <c r="R185" i="9"/>
  <c r="R186" i="9"/>
  <c r="E195" i="9"/>
  <c r="E192" i="9"/>
  <c r="AA206" i="9"/>
  <c r="P434" i="23"/>
  <c r="U320" i="12"/>
  <c r="AE176" i="9"/>
  <c r="AK176" i="9"/>
  <c r="J570" i="23"/>
  <c r="K570" i="23"/>
  <c r="AD148" i="9"/>
  <c r="AI148" i="9"/>
  <c r="AC148" i="9"/>
  <c r="AG148" i="9"/>
  <c r="C151" i="9"/>
  <c r="Y206" i="9"/>
  <c r="C195" i="9"/>
  <c r="O1000" i="23"/>
  <c r="P1000" i="23"/>
  <c r="C194" i="9"/>
  <c r="O472" i="23"/>
  <c r="P472" i="23"/>
  <c r="Z206" i="9"/>
  <c r="C188" i="9"/>
  <c r="D194" i="9"/>
  <c r="Y207" i="9"/>
  <c r="Z205" i="9"/>
  <c r="D198" i="9"/>
  <c r="Q184" i="9"/>
  <c r="Q185" i="9"/>
  <c r="Q186" i="9"/>
  <c r="AD154" i="9"/>
  <c r="AI154" i="9"/>
  <c r="AE148" i="9"/>
  <c r="AK148" i="9"/>
  <c r="P577" i="23"/>
  <c r="J571" i="23"/>
  <c r="K571" i="23"/>
  <c r="D188" i="9"/>
  <c r="D192" i="9"/>
  <c r="Z207" i="9"/>
  <c r="J670" i="23"/>
  <c r="K670" i="23"/>
  <c r="H437" i="23"/>
  <c r="O473" i="23"/>
  <c r="P473" i="23"/>
  <c r="D197" i="9"/>
  <c r="H594" i="23"/>
  <c r="D594" i="23"/>
  <c r="E594" i="23"/>
  <c r="F594" i="23"/>
  <c r="E194" i="9"/>
  <c r="M591" i="23"/>
  <c r="I591" i="23"/>
  <c r="J591" i="23"/>
  <c r="K591" i="23"/>
  <c r="E197" i="9"/>
  <c r="E189" i="9"/>
  <c r="P775" i="23"/>
  <c r="AD153" i="9"/>
  <c r="AI153" i="9"/>
  <c r="AE149" i="9"/>
  <c r="AK149" i="9"/>
  <c r="P778" i="23"/>
  <c r="J650" i="23"/>
  <c r="K650" i="23"/>
  <c r="AC153" i="9"/>
  <c r="AG153" i="9"/>
  <c r="AA207" i="9"/>
  <c r="AE178" i="9"/>
  <c r="AK178" i="9"/>
  <c r="E150" i="9"/>
  <c r="C160" i="9"/>
  <c r="AE182" i="9"/>
  <c r="AK182" i="9"/>
  <c r="AC178" i="9"/>
  <c r="AG178" i="9"/>
  <c r="M594" i="23"/>
  <c r="M601" i="23"/>
  <c r="I601" i="23"/>
  <c r="J601" i="23"/>
  <c r="K601" i="23"/>
  <c r="E651" i="23"/>
  <c r="F651" i="23"/>
  <c r="J471" i="23"/>
  <c r="K471" i="23"/>
  <c r="M607" i="23"/>
  <c r="I607" i="23"/>
  <c r="J607" i="23"/>
  <c r="K607" i="23"/>
  <c r="K616" i="23"/>
  <c r="M589" i="23"/>
  <c r="I589" i="23"/>
  <c r="J589" i="23"/>
  <c r="K589" i="23"/>
  <c r="K518" i="23"/>
  <c r="AD147" i="9"/>
  <c r="AI147" i="9"/>
  <c r="K577" i="23"/>
  <c r="AE181" i="9"/>
  <c r="AK181" i="9"/>
  <c r="J474" i="23"/>
  <c r="K474" i="23"/>
  <c r="M587" i="23"/>
  <c r="I587" i="23"/>
  <c r="J587" i="23"/>
  <c r="K587" i="23"/>
  <c r="D161" i="9"/>
  <c r="M603" i="23"/>
  <c r="I603" i="23"/>
  <c r="J603" i="23"/>
  <c r="K603" i="23"/>
  <c r="M605" i="23"/>
  <c r="I605" i="23"/>
  <c r="J605" i="23"/>
  <c r="K605" i="23"/>
  <c r="AD178" i="9"/>
  <c r="AI178" i="9"/>
  <c r="C150" i="9"/>
  <c r="J572" i="23"/>
  <c r="K572" i="23"/>
  <c r="J476" i="23"/>
  <c r="K476" i="23"/>
  <c r="O651" i="23"/>
  <c r="P651" i="23"/>
  <c r="AD175" i="9"/>
  <c r="AI175" i="9"/>
  <c r="AC186" i="9"/>
  <c r="AG186" i="9"/>
  <c r="R601" i="23"/>
  <c r="N601" i="23"/>
  <c r="O601" i="23"/>
  <c r="P601" i="23"/>
  <c r="J651" i="23"/>
  <c r="K651" i="23"/>
  <c r="AD181" i="9"/>
  <c r="AI181" i="9"/>
  <c r="O648" i="23"/>
  <c r="P648" i="23"/>
  <c r="D160" i="9"/>
  <c r="E650" i="23"/>
  <c r="F650" i="23"/>
  <c r="AI173" i="9"/>
  <c r="C161" i="9"/>
  <c r="AE147" i="9"/>
  <c r="AK147" i="9"/>
  <c r="J1000" i="23"/>
  <c r="K1000" i="23"/>
  <c r="O471" i="23"/>
  <c r="P471" i="23"/>
  <c r="AE153" i="9"/>
  <c r="AK153" i="9"/>
  <c r="C152" i="9"/>
  <c r="R607" i="23"/>
  <c r="N607" i="23"/>
  <c r="O607" i="23"/>
  <c r="P607" i="23"/>
  <c r="K631" i="23"/>
  <c r="K629" i="23"/>
  <c r="Q423" i="12"/>
  <c r="AC170" i="9"/>
  <c r="B420" i="9"/>
  <c r="AC147" i="9"/>
  <c r="AG147" i="9"/>
  <c r="AE154" i="9"/>
  <c r="AK154" i="9"/>
  <c r="AD183" i="9"/>
  <c r="AI183" i="9"/>
  <c r="R587" i="23"/>
  <c r="N587" i="23"/>
  <c r="O587" i="23"/>
  <c r="P587" i="23"/>
  <c r="AD186" i="9"/>
  <c r="AI186" i="9"/>
  <c r="C157" i="9"/>
  <c r="H603" i="23"/>
  <c r="D603" i="23"/>
  <c r="E603" i="23"/>
  <c r="F603" i="23"/>
  <c r="P616" i="23"/>
  <c r="R603" i="23"/>
  <c r="N603" i="23"/>
  <c r="O603" i="23"/>
  <c r="P603" i="23"/>
  <c r="O476" i="23"/>
  <c r="P476" i="23"/>
  <c r="D154" i="9"/>
  <c r="AC181" i="9"/>
  <c r="AG181" i="9"/>
  <c r="J473" i="23"/>
  <c r="K473" i="23"/>
  <c r="AE175" i="9"/>
  <c r="AK175" i="9"/>
  <c r="R591" i="23"/>
  <c r="N591" i="23"/>
  <c r="O591" i="23"/>
  <c r="P591" i="23"/>
  <c r="AC173" i="9"/>
  <c r="B403" i="9"/>
  <c r="H1002" i="23"/>
  <c r="D1002" i="23"/>
  <c r="E1002" i="23"/>
  <c r="F1002" i="23"/>
  <c r="H601" i="23"/>
  <c r="D601" i="23"/>
  <c r="E601" i="23"/>
  <c r="F601" i="23"/>
  <c r="E161" i="9"/>
  <c r="J475" i="23"/>
  <c r="K475" i="23"/>
  <c r="AE186" i="9"/>
  <c r="AK186" i="9"/>
  <c r="R605" i="23"/>
  <c r="N605" i="23"/>
  <c r="O605" i="23"/>
  <c r="P605" i="23"/>
  <c r="P436" i="23"/>
  <c r="U322" i="12"/>
  <c r="D152" i="9"/>
  <c r="H587" i="23"/>
  <c r="D587" i="23"/>
  <c r="E587" i="23"/>
  <c r="F587" i="23"/>
  <c r="R594" i="23"/>
  <c r="R597" i="23"/>
  <c r="N597" i="23"/>
  <c r="O597" i="23"/>
  <c r="P597" i="23"/>
  <c r="P631" i="23"/>
  <c r="P629" i="23"/>
  <c r="U423" i="12"/>
  <c r="H591" i="23"/>
  <c r="D591" i="23"/>
  <c r="E591" i="23"/>
  <c r="F591" i="23"/>
  <c r="H589" i="23"/>
  <c r="D589" i="23"/>
  <c r="E589" i="23"/>
  <c r="F589" i="23"/>
  <c r="E157" i="9"/>
  <c r="O999" i="23"/>
  <c r="P999" i="23"/>
  <c r="O475" i="23"/>
  <c r="P475" i="23"/>
  <c r="H607" i="23"/>
  <c r="D607" i="23"/>
  <c r="E607" i="23"/>
  <c r="F607" i="23"/>
  <c r="O474" i="23"/>
  <c r="P474" i="23"/>
  <c r="R589" i="23"/>
  <c r="N589" i="23"/>
  <c r="O589" i="23"/>
  <c r="P589" i="23"/>
  <c r="AE187" i="9"/>
  <c r="AK187" i="9"/>
  <c r="AD179" i="9"/>
  <c r="AI179" i="9"/>
  <c r="O1001" i="23"/>
  <c r="P1001" i="23"/>
  <c r="AE161" i="9"/>
  <c r="AK161" i="9"/>
  <c r="O570" i="23"/>
  <c r="P570" i="23"/>
  <c r="O572" i="23"/>
  <c r="P572" i="23"/>
  <c r="AK168" i="9"/>
  <c r="E151" i="9"/>
  <c r="AD177" i="9"/>
  <c r="AI177" i="9"/>
  <c r="E154" i="9"/>
  <c r="AD187" i="9"/>
  <c r="AI187" i="9"/>
  <c r="AC183" i="9"/>
  <c r="AG183" i="9"/>
  <c r="E646" i="23"/>
  <c r="F646" i="23"/>
  <c r="AE179" i="9"/>
  <c r="AK179" i="9"/>
  <c r="AE185" i="9"/>
  <c r="AK185" i="9"/>
  <c r="AC185" i="9"/>
  <c r="AG185" i="9"/>
  <c r="AK174" i="9"/>
  <c r="AD170" i="9"/>
  <c r="AI170" i="9"/>
  <c r="AE152" i="9"/>
  <c r="AK152" i="9"/>
  <c r="AK320" i="9"/>
  <c r="AC179" i="9"/>
  <c r="AG179" i="9"/>
  <c r="AE183" i="9"/>
  <c r="AK183" i="9"/>
  <c r="E160" i="9"/>
  <c r="AE142" i="9"/>
  <c r="AJ142" i="9"/>
  <c r="AK142" i="9"/>
  <c r="J472" i="23"/>
  <c r="K472" i="23"/>
  <c r="AC152" i="9"/>
  <c r="AG152" i="9"/>
  <c r="AC176" i="9"/>
  <c r="AG176" i="9"/>
  <c r="J646" i="23"/>
  <c r="K646" i="23"/>
  <c r="R151" i="9"/>
  <c r="R152" i="9"/>
  <c r="R153" i="9"/>
  <c r="J568" i="23"/>
  <c r="K568" i="23"/>
  <c r="D150" i="9"/>
  <c r="C154" i="9"/>
  <c r="O646" i="23"/>
  <c r="P646" i="23"/>
  <c r="P506" i="23"/>
  <c r="P505" i="23"/>
  <c r="U363" i="12"/>
  <c r="D151" i="9"/>
  <c r="AE170" i="9"/>
  <c r="AK170" i="9"/>
  <c r="J1002" i="23"/>
  <c r="K1002" i="23"/>
  <c r="AC177" i="9"/>
  <c r="AG177" i="9"/>
  <c r="AC187" i="9"/>
  <c r="AG187" i="9"/>
  <c r="Q151" i="9"/>
  <c r="Q152" i="9"/>
  <c r="Q153" i="9"/>
  <c r="AD176" i="9"/>
  <c r="AI176" i="9"/>
  <c r="AD152" i="9"/>
  <c r="AI152" i="9"/>
  <c r="AD185" i="9"/>
  <c r="AI185" i="9"/>
  <c r="E152" i="9"/>
  <c r="AD142" i="9"/>
  <c r="AH142" i="9"/>
  <c r="AI142" i="9"/>
  <c r="AD180" i="9"/>
  <c r="AI180" i="9"/>
  <c r="AE177" i="9"/>
  <c r="AK177" i="9"/>
  <c r="AC142" i="9"/>
  <c r="AG142" i="9"/>
  <c r="K462" i="23"/>
  <c r="AC175" i="9"/>
  <c r="AG175" i="9"/>
  <c r="AC180" i="9"/>
  <c r="AG180" i="9"/>
  <c r="AE184" i="9"/>
  <c r="AK184" i="9"/>
  <c r="O568" i="23"/>
  <c r="P568" i="23"/>
  <c r="AE180" i="9"/>
  <c r="AK180" i="9"/>
  <c r="AC174" i="9"/>
  <c r="AG174" i="9"/>
  <c r="AD184" i="9"/>
  <c r="AI184" i="9"/>
  <c r="AC184" i="9"/>
  <c r="AG184" i="9"/>
  <c r="K322" i="23"/>
  <c r="Q222" i="12"/>
  <c r="D996" i="23"/>
  <c r="E996" i="23"/>
  <c r="F996" i="23"/>
  <c r="I715" i="12"/>
  <c r="P1093" i="23"/>
  <c r="U715" i="12"/>
  <c r="I1097" i="23"/>
  <c r="J1097" i="23"/>
  <c r="K662" i="23"/>
  <c r="Q448" i="12"/>
  <c r="K463" i="23"/>
  <c r="F1142" i="23"/>
  <c r="K512" i="23"/>
  <c r="Q367" i="12"/>
  <c r="K466" i="23"/>
  <c r="Q345" i="12"/>
  <c r="K465" i="23"/>
  <c r="Q344" i="12"/>
  <c r="F1148" i="23"/>
  <c r="F1121" i="23"/>
  <c r="F1137" i="23"/>
  <c r="F1136" i="23"/>
  <c r="F1135" i="23"/>
  <c r="K389" i="23"/>
  <c r="Q284" i="12"/>
  <c r="P341" i="23"/>
  <c r="U241" i="12"/>
  <c r="F1125" i="23"/>
  <c r="K386" i="23"/>
  <c r="Q281" i="12"/>
  <c r="K376" i="23"/>
  <c r="K375" i="23"/>
  <c r="Q272" i="12"/>
  <c r="J872" i="23"/>
  <c r="K872" i="23"/>
  <c r="AG320" i="9"/>
  <c r="K346" i="23"/>
  <c r="Q246" i="12"/>
  <c r="P179" i="23"/>
  <c r="U135" i="12"/>
  <c r="K873" i="23"/>
  <c r="K342" i="23"/>
  <c r="Q242" i="12"/>
  <c r="AI320" i="9"/>
  <c r="K344" i="23"/>
  <c r="Q244" i="12"/>
  <c r="K917" i="23"/>
  <c r="Q601" i="12"/>
  <c r="P342" i="23"/>
  <c r="U242" i="12"/>
  <c r="K464" i="23"/>
  <c r="Q343" i="12"/>
  <c r="K197" i="23"/>
  <c r="Q141" i="12"/>
  <c r="K324" i="23"/>
  <c r="Q224" i="12"/>
  <c r="P1031" i="23"/>
  <c r="P1030" i="23"/>
  <c r="U686" i="12"/>
  <c r="K665" i="23"/>
  <c r="Q451" i="12"/>
  <c r="P376" i="23"/>
  <c r="P375" i="23"/>
  <c r="U272" i="12"/>
  <c r="K1036" i="23"/>
  <c r="Q687" i="12"/>
  <c r="K325" i="23"/>
  <c r="Q225" i="12"/>
  <c r="K513" i="23"/>
  <c r="Q368" i="12"/>
  <c r="P326" i="23"/>
  <c r="U226" i="12"/>
  <c r="J996" i="23"/>
  <c r="K996" i="23"/>
  <c r="K341" i="23"/>
  <c r="Q241" i="12"/>
  <c r="K317" i="23"/>
  <c r="Q217" i="12"/>
  <c r="K459" i="23"/>
  <c r="Q341" i="12"/>
  <c r="K458" i="23"/>
  <c r="Q340" i="12"/>
  <c r="K179" i="23"/>
  <c r="Q135" i="12"/>
  <c r="K1168" i="23"/>
  <c r="K1188" i="23"/>
  <c r="K1191" i="23"/>
  <c r="K1176" i="23"/>
  <c r="K1192" i="23"/>
  <c r="K1178" i="23"/>
  <c r="K1171" i="23"/>
  <c r="K1184" i="23"/>
  <c r="K1183" i="23"/>
  <c r="K1185" i="23"/>
  <c r="K1182" i="23"/>
  <c r="K1189" i="23"/>
  <c r="K1172" i="23"/>
  <c r="K1175" i="23"/>
  <c r="K1196" i="23"/>
  <c r="K1190" i="23"/>
  <c r="K1167" i="23"/>
  <c r="K1181" i="23"/>
  <c r="K1195" i="23"/>
  <c r="K1177" i="23"/>
  <c r="K1197" i="23"/>
  <c r="K1136" i="23"/>
  <c r="K1135" i="23"/>
  <c r="K1154" i="23"/>
  <c r="K1153" i="23"/>
  <c r="P1135" i="23"/>
  <c r="P1136" i="23"/>
  <c r="O872" i="23"/>
  <c r="P872" i="23"/>
  <c r="E440" i="23"/>
  <c r="F440" i="23"/>
  <c r="K321" i="23"/>
  <c r="Q221" i="12"/>
  <c r="M437" i="23"/>
  <c r="P707" i="23"/>
  <c r="U475" i="12"/>
  <c r="K345" i="23"/>
  <c r="Q245" i="12"/>
  <c r="P1122" i="23"/>
  <c r="P1121" i="23"/>
  <c r="P197" i="23"/>
  <c r="U141" i="12"/>
  <c r="P1179" i="23"/>
  <c r="P1180" i="23"/>
  <c r="P1126" i="23"/>
  <c r="P1125" i="23"/>
  <c r="K1143" i="23"/>
  <c r="K1142" i="23"/>
  <c r="P1138" i="23"/>
  <c r="P1137" i="23"/>
  <c r="P624" i="23"/>
  <c r="P623" i="23"/>
  <c r="U422" i="12"/>
  <c r="J174" i="23"/>
  <c r="K174" i="23"/>
  <c r="K1121" i="23"/>
  <c r="K1122" i="23"/>
  <c r="K1149" i="23"/>
  <c r="K1148" i="23"/>
  <c r="P1170" i="23"/>
  <c r="P1169" i="23"/>
  <c r="O996" i="23"/>
  <c r="P996" i="23"/>
  <c r="F1191" i="23"/>
  <c r="F1177" i="23"/>
  <c r="F1167" i="23"/>
  <c r="F1182" i="23"/>
  <c r="F1184" i="23"/>
  <c r="F1185" i="23"/>
  <c r="F1195" i="23"/>
  <c r="F1183" i="23"/>
  <c r="F1172" i="23"/>
  <c r="F1176" i="23"/>
  <c r="F1192" i="23"/>
  <c r="F1175" i="23"/>
  <c r="F1178" i="23"/>
  <c r="F1181" i="23"/>
  <c r="F1171" i="23"/>
  <c r="F1189" i="23"/>
  <c r="F1168" i="23"/>
  <c r="F1196" i="23"/>
  <c r="F1190" i="23"/>
  <c r="F1197" i="23"/>
  <c r="F1188" i="23"/>
  <c r="K380" i="23"/>
  <c r="Q275" i="12"/>
  <c r="P1142" i="23"/>
  <c r="P1143" i="23"/>
  <c r="K1138" i="23"/>
  <c r="K1137" i="23"/>
  <c r="P1165" i="23"/>
  <c r="P1166" i="23"/>
  <c r="K461" i="23"/>
  <c r="O438" i="23"/>
  <c r="P438" i="23"/>
  <c r="P437" i="23"/>
  <c r="U323" i="12"/>
  <c r="E186" i="23"/>
  <c r="F186" i="23"/>
  <c r="P1194" i="23"/>
  <c r="P1193" i="23"/>
  <c r="J870" i="23"/>
  <c r="K870" i="23"/>
  <c r="O174" i="23"/>
  <c r="P1187" i="23"/>
  <c r="P1186" i="23"/>
  <c r="F1154" i="23"/>
  <c r="F1153" i="23"/>
  <c r="P1153" i="23"/>
  <c r="P1154" i="23"/>
  <c r="K320" i="23"/>
  <c r="Q220" i="12"/>
  <c r="R437" i="23"/>
  <c r="P1148" i="23"/>
  <c r="P1149" i="23"/>
  <c r="K1126" i="23"/>
  <c r="K1125" i="23"/>
  <c r="P1173" i="23"/>
  <c r="P1174" i="23"/>
  <c r="P917" i="23"/>
  <c r="U601" i="12"/>
  <c r="K323" i="23"/>
  <c r="Q223" i="12"/>
  <c r="P730" i="23"/>
  <c r="U486" i="12"/>
  <c r="N734" i="12"/>
  <c r="K1252" i="23"/>
  <c r="Q734" i="12"/>
  <c r="D1014" i="23"/>
  <c r="E1014" i="23"/>
  <c r="J680" i="12"/>
  <c r="N717" i="12"/>
  <c r="I717" i="12"/>
  <c r="I750" i="12"/>
  <c r="J725" i="12"/>
  <c r="K1265" i="23"/>
  <c r="Q746" i="12"/>
  <c r="K1266" i="23"/>
  <c r="Q747" i="12"/>
  <c r="K1107" i="23"/>
  <c r="Q730" i="12"/>
  <c r="K1273" i="23"/>
  <c r="Q754" i="12"/>
  <c r="K1278" i="23"/>
  <c r="Q757" i="12"/>
  <c r="K1270" i="23"/>
  <c r="Q751" i="12"/>
  <c r="K1271" i="23"/>
  <c r="Q752" i="12"/>
  <c r="K1108" i="23"/>
  <c r="Q731" i="12"/>
  <c r="K1268" i="23"/>
  <c r="Q749" i="12"/>
  <c r="D493" i="9"/>
  <c r="K1269" i="23"/>
  <c r="Q750" i="12"/>
  <c r="E581" i="23"/>
  <c r="F581" i="23"/>
  <c r="O573" i="23"/>
  <c r="P573" i="23"/>
  <c r="R583" i="23"/>
  <c r="J583" i="23"/>
  <c r="K583" i="23"/>
  <c r="P174" i="23"/>
  <c r="I109" i="12"/>
  <c r="H256" i="12"/>
  <c r="H219" i="12"/>
  <c r="H340" i="12"/>
  <c r="H341" i="12"/>
  <c r="H242" i="12"/>
  <c r="H281" i="12"/>
  <c r="H238" i="12"/>
  <c r="H225" i="12"/>
  <c r="H168" i="12"/>
  <c r="H167" i="12"/>
  <c r="H451" i="12"/>
  <c r="H135" i="12"/>
  <c r="H836" i="12"/>
  <c r="H246" i="12"/>
  <c r="H217" i="12"/>
  <c r="H344" i="12"/>
  <c r="H222" i="12"/>
  <c r="H241" i="12"/>
  <c r="H368" i="12"/>
  <c r="H345" i="12"/>
  <c r="H220" i="12"/>
  <c r="H244" i="12"/>
  <c r="H221" i="12"/>
  <c r="H686" i="12"/>
  <c r="H367" i="12"/>
  <c r="H448" i="12"/>
  <c r="H298" i="12"/>
  <c r="H293" i="12"/>
  <c r="H717" i="12"/>
  <c r="H272" i="12"/>
  <c r="H343" i="12"/>
  <c r="H223" i="12"/>
  <c r="H601" i="12"/>
  <c r="H245" i="12"/>
  <c r="H84" i="12"/>
  <c r="H44" i="12"/>
  <c r="H141" i="12"/>
  <c r="H284" i="12"/>
  <c r="H275" i="12"/>
  <c r="H715" i="12"/>
  <c r="H224" i="12"/>
  <c r="K318" i="23"/>
  <c r="Q218" i="12"/>
  <c r="I486" i="12"/>
  <c r="I321" i="12"/>
  <c r="I226" i="12"/>
  <c r="I282" i="12"/>
  <c r="I835" i="12"/>
  <c r="I320" i="12"/>
  <c r="H671" i="12"/>
  <c r="H670" i="12"/>
  <c r="H647" i="12"/>
  <c r="H646" i="12"/>
  <c r="I422" i="12"/>
  <c r="I403" i="12"/>
  <c r="I136" i="12"/>
  <c r="I404" i="12"/>
  <c r="I353" i="12"/>
  <c r="I137" i="12"/>
  <c r="I363" i="12"/>
  <c r="I405" i="12"/>
  <c r="K554" i="23"/>
  <c r="Q405" i="12"/>
  <c r="K519" i="23"/>
  <c r="P493" i="23"/>
  <c r="U353" i="12"/>
  <c r="K552" i="23"/>
  <c r="Q403" i="12"/>
  <c r="K553" i="23"/>
  <c r="Q404" i="12"/>
  <c r="J648" i="23"/>
  <c r="K648" i="23"/>
  <c r="B400" i="9"/>
  <c r="H999" i="23"/>
  <c r="F1231" i="23"/>
  <c r="G184" i="9"/>
  <c r="R619" i="23"/>
  <c r="N619" i="23"/>
  <c r="O619" i="23"/>
  <c r="P619" i="23"/>
  <c r="F1235" i="23"/>
  <c r="AK173" i="9"/>
  <c r="AE206" i="9"/>
  <c r="AK206" i="9"/>
  <c r="P552" i="23"/>
  <c r="U403" i="12"/>
  <c r="O998" i="23"/>
  <c r="P998" i="23"/>
  <c r="H586" i="23"/>
  <c r="D586" i="23"/>
  <c r="E586" i="23"/>
  <c r="F586" i="23"/>
  <c r="E199" i="9"/>
  <c r="P463" i="23"/>
  <c r="P460" i="23"/>
  <c r="U342" i="12"/>
  <c r="AC205" i="9"/>
  <c r="AG205" i="9"/>
  <c r="C199" i="9"/>
  <c r="AC206" i="9"/>
  <c r="AG206" i="9"/>
  <c r="AD206" i="9"/>
  <c r="AI206" i="9"/>
  <c r="D199" i="9"/>
  <c r="F682" i="23"/>
  <c r="C189" i="9"/>
  <c r="E674" i="23"/>
  <c r="F674" i="23"/>
  <c r="K493" i="23"/>
  <c r="Q353" i="12"/>
  <c r="Z188" i="9"/>
  <c r="AG173" i="9"/>
  <c r="J470" i="23"/>
  <c r="K470" i="23"/>
  <c r="C190" i="9"/>
  <c r="P613" i="23"/>
  <c r="J490" i="23"/>
  <c r="K490" i="23"/>
  <c r="F1226" i="23"/>
  <c r="F1242" i="23"/>
  <c r="F1233" i="23"/>
  <c r="O487" i="23"/>
  <c r="P487" i="23"/>
  <c r="F1237" i="23"/>
  <c r="C380" i="9"/>
  <c r="Y208" i="9"/>
  <c r="O674" i="23"/>
  <c r="P674" i="23"/>
  <c r="H597" i="23"/>
  <c r="D597" i="23"/>
  <c r="E597" i="23"/>
  <c r="F597" i="23"/>
  <c r="B380" i="9"/>
  <c r="AC204" i="9"/>
  <c r="C191" i="9"/>
  <c r="AI204" i="9"/>
  <c r="AD205" i="9"/>
  <c r="AI205" i="9"/>
  <c r="D189" i="9"/>
  <c r="AE205" i="9"/>
  <c r="AK205" i="9"/>
  <c r="J674" i="23"/>
  <c r="K674" i="23"/>
  <c r="E648" i="23"/>
  <c r="F648" i="23"/>
  <c r="P553" i="23"/>
  <c r="U404" i="12"/>
  <c r="E645" i="23"/>
  <c r="F645" i="23"/>
  <c r="K782" i="23"/>
  <c r="E647" i="23"/>
  <c r="F647" i="23"/>
  <c r="D191" i="9"/>
  <c r="D190" i="9"/>
  <c r="O647" i="23"/>
  <c r="P647" i="23"/>
  <c r="J1001" i="23"/>
  <c r="K1001" i="23"/>
  <c r="P782" i="23"/>
  <c r="P780" i="23"/>
  <c r="U523" i="12"/>
  <c r="K173" i="23"/>
  <c r="Q134" i="12"/>
  <c r="E190" i="9"/>
  <c r="O668" i="23"/>
  <c r="P668" i="23"/>
  <c r="E668" i="23"/>
  <c r="F668" i="23"/>
  <c r="J668" i="23"/>
  <c r="K668" i="23"/>
  <c r="O571" i="23"/>
  <c r="P571" i="23"/>
  <c r="Z208" i="9"/>
  <c r="E675" i="23"/>
  <c r="F675" i="23"/>
  <c r="O675" i="23"/>
  <c r="P675" i="23"/>
  <c r="E188" i="9"/>
  <c r="J645" i="23"/>
  <c r="K645" i="23"/>
  <c r="M619" i="23"/>
  <c r="I619" i="23"/>
  <c r="J619" i="23"/>
  <c r="K619" i="23"/>
  <c r="Y303" i="9"/>
  <c r="E191" i="9"/>
  <c r="AC207" i="9"/>
  <c r="AG207" i="9"/>
  <c r="AD207" i="9"/>
  <c r="AI207" i="9"/>
  <c r="AE207" i="9"/>
  <c r="AK207" i="9"/>
  <c r="AA208" i="9"/>
  <c r="O650" i="23"/>
  <c r="P650" i="23"/>
  <c r="AG170" i="9"/>
  <c r="J647" i="23"/>
  <c r="K647" i="23"/>
  <c r="I613" i="23"/>
  <c r="J613" i="23"/>
  <c r="K613" i="23"/>
  <c r="M597" i="23"/>
  <c r="I597" i="23"/>
  <c r="J597" i="23"/>
  <c r="K597" i="23"/>
  <c r="I594" i="23"/>
  <c r="J594" i="23"/>
  <c r="K594" i="23"/>
  <c r="P469" i="23"/>
  <c r="O470" i="23"/>
  <c r="P470" i="23"/>
  <c r="O482" i="23"/>
  <c r="P482" i="23"/>
  <c r="AC155" i="9"/>
  <c r="AC188" i="9"/>
  <c r="K555" i="23"/>
  <c r="Q406" i="12"/>
  <c r="H1000" i="23"/>
  <c r="D1000" i="23"/>
  <c r="E1000" i="23"/>
  <c r="F1000" i="23"/>
  <c r="O645" i="23"/>
  <c r="P645" i="23"/>
  <c r="H1001" i="23"/>
  <c r="D1001" i="23"/>
  <c r="E1001" i="23"/>
  <c r="N594" i="23"/>
  <c r="O594" i="23"/>
  <c r="P594" i="23"/>
  <c r="D613" i="23"/>
  <c r="E613" i="23"/>
  <c r="F613" i="23"/>
  <c r="AG154" i="9"/>
  <c r="P554" i="23"/>
  <c r="U405" i="12"/>
  <c r="F1236" i="23"/>
  <c r="J999" i="23"/>
  <c r="K999" i="23"/>
  <c r="B404" i="9"/>
  <c r="H1003" i="23"/>
  <c r="D1003" i="23"/>
  <c r="E1003" i="23"/>
  <c r="F1003" i="23"/>
  <c r="M688" i="23"/>
  <c r="I688" i="23"/>
  <c r="J688" i="23"/>
  <c r="K688" i="23"/>
  <c r="D173" i="9"/>
  <c r="AI174" i="9"/>
  <c r="K469" i="23"/>
  <c r="C173" i="9"/>
  <c r="F1244" i="23"/>
  <c r="Y188" i="9"/>
  <c r="P518" i="23"/>
  <c r="O1002" i="23"/>
  <c r="P1002" i="23"/>
  <c r="E173" i="9"/>
  <c r="O483" i="23"/>
  <c r="P483" i="23"/>
  <c r="AK155" i="9"/>
  <c r="F145" i="9"/>
  <c r="J998" i="23"/>
  <c r="K998" i="23"/>
  <c r="K506" i="23"/>
  <c r="K505" i="23"/>
  <c r="Q363" i="12"/>
  <c r="AE155" i="9"/>
  <c r="AE188" i="9"/>
  <c r="F1230" i="23"/>
  <c r="AA303" i="9"/>
  <c r="Z255" i="9"/>
  <c r="Z253" i="9"/>
  <c r="Z254" i="9"/>
  <c r="F1228" i="23"/>
  <c r="F1239" i="23"/>
  <c r="AA254" i="9"/>
  <c r="AA253" i="9"/>
  <c r="AA255" i="9"/>
  <c r="F1243" i="23"/>
  <c r="Y238" i="9"/>
  <c r="AD155" i="9"/>
  <c r="AD188" i="9"/>
  <c r="F1238" i="23"/>
  <c r="Z303" i="9"/>
  <c r="P688" i="23"/>
  <c r="F1227" i="23"/>
  <c r="H1112" i="23"/>
  <c r="D1112" i="23"/>
  <c r="E1112" i="23"/>
  <c r="F1112" i="23"/>
  <c r="F1232" i="23"/>
  <c r="AA188" i="9"/>
  <c r="K624" i="23"/>
  <c r="K623" i="23"/>
  <c r="Q422" i="12"/>
  <c r="K1097" i="23"/>
  <c r="Q717" i="12"/>
  <c r="F994" i="23"/>
  <c r="M678" i="12"/>
  <c r="K185" i="23"/>
  <c r="Q136" i="12"/>
  <c r="K878" i="23"/>
  <c r="Q575" i="12"/>
  <c r="K887" i="23"/>
  <c r="Q578" i="12"/>
  <c r="K436" i="23"/>
  <c r="Q322" i="12"/>
  <c r="P902" i="23"/>
  <c r="U586" i="12"/>
  <c r="K326" i="23"/>
  <c r="Q226" i="12"/>
  <c r="P185" i="23"/>
  <c r="U136" i="12"/>
  <c r="K730" i="23"/>
  <c r="Q486" i="12"/>
  <c r="K387" i="23"/>
  <c r="Q282" i="12"/>
  <c r="I578" i="12"/>
  <c r="P887" i="23"/>
  <c r="U578" i="12"/>
  <c r="K434" i="23"/>
  <c r="Q320" i="12"/>
  <c r="K435" i="23"/>
  <c r="Q321" i="12"/>
  <c r="K1169" i="23"/>
  <c r="K1170" i="23"/>
  <c r="K1173" i="23"/>
  <c r="K1174" i="23"/>
  <c r="F1170" i="23"/>
  <c r="F1169" i="23"/>
  <c r="F1174" i="23"/>
  <c r="F1173" i="23"/>
  <c r="K1187" i="23"/>
  <c r="K1186" i="23"/>
  <c r="K1014" i="23"/>
  <c r="Q680" i="12"/>
  <c r="K460" i="23"/>
  <c r="Q342" i="12"/>
  <c r="P1209" i="23"/>
  <c r="P1210" i="23"/>
  <c r="P1201" i="23"/>
  <c r="P1224" i="23"/>
  <c r="P1203" i="23"/>
  <c r="P1223" i="23"/>
  <c r="P1208" i="23"/>
  <c r="P1222" i="23"/>
  <c r="P1214" i="23"/>
  <c r="P1221" i="23"/>
  <c r="P1216" i="23"/>
  <c r="P1202" i="23"/>
  <c r="P1218" i="23"/>
  <c r="P1205" i="23"/>
  <c r="P1200" i="23"/>
  <c r="P1211" i="23"/>
  <c r="P1215" i="23"/>
  <c r="P1204" i="23"/>
  <c r="P1217" i="23"/>
  <c r="K1016" i="23"/>
  <c r="K1166" i="23"/>
  <c r="K1165" i="23"/>
  <c r="F1241" i="23"/>
  <c r="P1236" i="23"/>
  <c r="P1239" i="23"/>
  <c r="P1238" i="23"/>
  <c r="P1227" i="23"/>
  <c r="P1237" i="23"/>
  <c r="P1232" i="23"/>
  <c r="R1112" i="23"/>
  <c r="N1112" i="23"/>
  <c r="O1112" i="23"/>
  <c r="P1112" i="23"/>
  <c r="P1244" i="23"/>
  <c r="P1243" i="23"/>
  <c r="P1242" i="23"/>
  <c r="P1231" i="23"/>
  <c r="P1233" i="23"/>
  <c r="P1228" i="23"/>
  <c r="F1179" i="23"/>
  <c r="F1180" i="23"/>
  <c r="F1193" i="23"/>
  <c r="F1194" i="23"/>
  <c r="P191" i="23"/>
  <c r="U137" i="12"/>
  <c r="J438" i="23"/>
  <c r="K438" i="23"/>
  <c r="K437" i="23"/>
  <c r="Q323" i="12"/>
  <c r="K1193" i="23"/>
  <c r="K1194" i="23"/>
  <c r="K1180" i="23"/>
  <c r="K1179" i="23"/>
  <c r="F1187" i="23"/>
  <c r="F1186" i="23"/>
  <c r="K1204" i="23"/>
  <c r="K1224" i="23"/>
  <c r="K1221" i="23"/>
  <c r="K1208" i="23"/>
  <c r="K1211" i="23"/>
  <c r="K1201" i="23"/>
  <c r="K1223" i="23"/>
  <c r="K1200" i="23"/>
  <c r="K1202" i="23"/>
  <c r="K1209" i="23"/>
  <c r="K1222" i="23"/>
  <c r="K1203" i="23"/>
  <c r="K1210" i="23"/>
  <c r="K1216" i="23"/>
  <c r="K1218" i="23"/>
  <c r="K1214" i="23"/>
  <c r="K1215" i="23"/>
  <c r="K1205" i="23"/>
  <c r="K1217" i="23"/>
  <c r="P860" i="23"/>
  <c r="U570" i="12"/>
  <c r="F1165" i="23"/>
  <c r="F1166" i="23"/>
  <c r="K191" i="23"/>
  <c r="Q137" i="12"/>
  <c r="P877" i="23"/>
  <c r="U574" i="12"/>
  <c r="K707" i="23"/>
  <c r="Q475" i="12"/>
  <c r="K1242" i="23"/>
  <c r="K1231" i="23"/>
  <c r="K1232" i="23"/>
  <c r="K1227" i="23"/>
  <c r="K1238" i="23"/>
  <c r="K1239" i="23"/>
  <c r="M1112" i="23"/>
  <c r="I1112" i="23"/>
  <c r="J1112" i="23"/>
  <c r="K1112" i="23"/>
  <c r="K1244" i="23"/>
  <c r="K1243" i="23"/>
  <c r="K1233" i="23"/>
  <c r="K1228" i="23"/>
  <c r="K1236" i="23"/>
  <c r="K1237" i="23"/>
  <c r="K381" i="23"/>
  <c r="Q276" i="12"/>
  <c r="P173" i="23"/>
  <c r="F1205" i="23"/>
  <c r="F1209" i="23"/>
  <c r="F1218" i="23"/>
  <c r="F1211" i="23"/>
  <c r="F1223" i="23"/>
  <c r="F1204" i="23"/>
  <c r="F1217" i="23"/>
  <c r="F1203" i="23"/>
  <c r="F1222" i="23"/>
  <c r="F1201" i="23"/>
  <c r="F1221" i="23"/>
  <c r="F1202" i="23"/>
  <c r="F1200" i="23"/>
  <c r="F1224" i="23"/>
  <c r="F1214" i="23"/>
  <c r="F1210" i="23"/>
  <c r="F1215" i="23"/>
  <c r="F1216" i="23"/>
  <c r="F1208" i="23"/>
  <c r="P519" i="23"/>
  <c r="P538" i="23"/>
  <c r="U389" i="12"/>
  <c r="E670" i="23"/>
  <c r="F670" i="23"/>
  <c r="J388" i="23"/>
  <c r="N283" i="12"/>
  <c r="N271" i="12"/>
  <c r="N214" i="12"/>
  <c r="D1016" i="23"/>
  <c r="E1016" i="23"/>
  <c r="F1016" i="23"/>
  <c r="N708" i="12"/>
  <c r="N725" i="12"/>
  <c r="F1014" i="23"/>
  <c r="M680" i="12"/>
  <c r="D999" i="23"/>
  <c r="E999" i="23"/>
  <c r="F999" i="23"/>
  <c r="F1001" i="23"/>
  <c r="J685" i="12"/>
  <c r="I574" i="12"/>
  <c r="J724" i="12"/>
  <c r="J707" i="12"/>
  <c r="I406" i="12"/>
  <c r="J487" i="23"/>
  <c r="K487" i="23"/>
  <c r="I134" i="12"/>
  <c r="I746" i="12"/>
  <c r="J482" i="23"/>
  <c r="K482" i="23"/>
  <c r="I747" i="12"/>
  <c r="I752" i="12"/>
  <c r="I751" i="12"/>
  <c r="I754" i="12"/>
  <c r="I757" i="12"/>
  <c r="I744" i="12"/>
  <c r="I731" i="12"/>
  <c r="H1272" i="23"/>
  <c r="I749" i="12"/>
  <c r="M1272" i="23"/>
  <c r="I745" i="12"/>
  <c r="M586" i="23"/>
  <c r="I586" i="23"/>
  <c r="J586" i="23"/>
  <c r="K586" i="23"/>
  <c r="J569" i="23"/>
  <c r="K569" i="23"/>
  <c r="J573" i="23"/>
  <c r="K573" i="23"/>
  <c r="R586" i="23"/>
  <c r="N586" i="23"/>
  <c r="O586" i="23"/>
  <c r="P586" i="23"/>
  <c r="N583" i="23"/>
  <c r="O583" i="23"/>
  <c r="P583" i="23"/>
  <c r="E582" i="23"/>
  <c r="F582" i="23"/>
  <c r="H585" i="23"/>
  <c r="D585" i="23"/>
  <c r="E585" i="23"/>
  <c r="F585" i="23"/>
  <c r="F584" i="23"/>
  <c r="O569" i="23"/>
  <c r="P569" i="23"/>
  <c r="R581" i="23"/>
  <c r="N581" i="23"/>
  <c r="R582" i="23"/>
  <c r="E583" i="23"/>
  <c r="F583" i="23"/>
  <c r="I108" i="12"/>
  <c r="U134" i="12"/>
  <c r="H121" i="12"/>
  <c r="H120" i="12"/>
  <c r="H100" i="12"/>
  <c r="H99" i="12"/>
  <c r="H134" i="12"/>
  <c r="H353" i="12"/>
  <c r="H406" i="12"/>
  <c r="H136" i="12"/>
  <c r="H320" i="12"/>
  <c r="H835" i="12"/>
  <c r="H363" i="12"/>
  <c r="H137" i="12"/>
  <c r="H578" i="12"/>
  <c r="H282" i="12"/>
  <c r="H321" i="12"/>
  <c r="H403" i="12"/>
  <c r="H574" i="12"/>
  <c r="H486" i="12"/>
  <c r="H765" i="12"/>
  <c r="H404" i="12"/>
  <c r="H226" i="12"/>
  <c r="H422" i="12"/>
  <c r="H405" i="12"/>
  <c r="K877" i="23"/>
  <c r="Q574" i="12"/>
  <c r="I401" i="12"/>
  <c r="I322" i="12"/>
  <c r="I276" i="12"/>
  <c r="I315" i="12"/>
  <c r="K649" i="23"/>
  <c r="Q437" i="12"/>
  <c r="I215" i="12"/>
  <c r="I475" i="12"/>
  <c r="I586" i="12"/>
  <c r="I570" i="12"/>
  <c r="P643" i="23"/>
  <c r="U435" i="12"/>
  <c r="H755" i="12"/>
  <c r="H210" i="12"/>
  <c r="H209" i="12"/>
  <c r="H166" i="12"/>
  <c r="I423" i="12"/>
  <c r="I680" i="12"/>
  <c r="I417" i="12"/>
  <c r="I323" i="12"/>
  <c r="I435" i="12"/>
  <c r="I416" i="12"/>
  <c r="P529" i="23"/>
  <c r="U380" i="12"/>
  <c r="I380" i="12"/>
  <c r="I342" i="12"/>
  <c r="I218" i="12"/>
  <c r="H333" i="23"/>
  <c r="K530" i="23"/>
  <c r="Q381" i="12"/>
  <c r="R622" i="23"/>
  <c r="N622" i="23"/>
  <c r="O622" i="23"/>
  <c r="P622" i="23"/>
  <c r="P565" i="23"/>
  <c r="U416" i="12"/>
  <c r="P343" i="23"/>
  <c r="U243" i="12"/>
  <c r="AK204" i="9"/>
  <c r="O490" i="23"/>
  <c r="P490" i="23"/>
  <c r="F681" i="23"/>
  <c r="K468" i="23"/>
  <c r="Q347" i="12"/>
  <c r="E671" i="23"/>
  <c r="F671" i="23"/>
  <c r="P530" i="23"/>
  <c r="U381" i="12"/>
  <c r="D380" i="9"/>
  <c r="M622" i="23"/>
  <c r="I622" i="23"/>
  <c r="J622" i="23"/>
  <c r="K622" i="23"/>
  <c r="K343" i="23"/>
  <c r="Q243" i="12"/>
  <c r="K565" i="23"/>
  <c r="Q416" i="12"/>
  <c r="J491" i="23"/>
  <c r="K491" i="23"/>
  <c r="C200" i="9"/>
  <c r="A200" i="9"/>
  <c r="D200" i="9"/>
  <c r="AG204" i="9"/>
  <c r="B421" i="9"/>
  <c r="C379" i="9"/>
  <c r="B379" i="9"/>
  <c r="D379" i="9"/>
  <c r="O491" i="23"/>
  <c r="P491" i="23"/>
  <c r="AC208" i="9"/>
  <c r="O670" i="23"/>
  <c r="P670" i="23"/>
  <c r="J675" i="23"/>
  <c r="K675" i="23"/>
  <c r="J492" i="23"/>
  <c r="K492" i="23"/>
  <c r="J1003" i="23"/>
  <c r="K1003" i="23"/>
  <c r="B405" i="9"/>
  <c r="H1004" i="23"/>
  <c r="D1004" i="23"/>
  <c r="E1004" i="23"/>
  <c r="F1004" i="23"/>
  <c r="O492" i="23"/>
  <c r="P492" i="23"/>
  <c r="O1003" i="23"/>
  <c r="P1003" i="23"/>
  <c r="E200" i="9"/>
  <c r="AD208" i="9"/>
  <c r="AE208" i="9"/>
  <c r="AK188" i="9"/>
  <c r="P468" i="23"/>
  <c r="U347" i="12"/>
  <c r="F1240" i="23"/>
  <c r="K643" i="23"/>
  <c r="Q435" i="12"/>
  <c r="P484" i="23"/>
  <c r="U350" i="12"/>
  <c r="K529" i="23"/>
  <c r="Q380" i="12"/>
  <c r="J671" i="23"/>
  <c r="K671" i="23"/>
  <c r="F1225" i="23"/>
  <c r="P303" i="9"/>
  <c r="P304" i="9"/>
  <c r="P305" i="9"/>
  <c r="J817" i="23"/>
  <c r="K817" i="23"/>
  <c r="F1234" i="23"/>
  <c r="Y304" i="9"/>
  <c r="AJ188" i="9"/>
  <c r="O671" i="23"/>
  <c r="P671" i="23"/>
  <c r="C256" i="9"/>
  <c r="AE242" i="9"/>
  <c r="AK242" i="9"/>
  <c r="E261" i="9"/>
  <c r="AK251" i="9"/>
  <c r="K721" i="23"/>
  <c r="AD252" i="9"/>
  <c r="AI252" i="9"/>
  <c r="AA238" i="9"/>
  <c r="AE243" i="9"/>
  <c r="AK243" i="9"/>
  <c r="E264" i="9"/>
  <c r="AE254" i="9"/>
  <c r="AK254" i="9"/>
  <c r="D264" i="9"/>
  <c r="AD254" i="9"/>
  <c r="AI254" i="9"/>
  <c r="P721" i="23"/>
  <c r="AE252" i="9"/>
  <c r="AK252" i="9"/>
  <c r="D260" i="9"/>
  <c r="AA256" i="9"/>
  <c r="E251" i="9"/>
  <c r="P566" i="23"/>
  <c r="U417" i="12"/>
  <c r="C258" i="9"/>
  <c r="AG251" i="9"/>
  <c r="E256" i="9"/>
  <c r="AE246" i="9"/>
  <c r="D261" i="9"/>
  <c r="AI251" i="9"/>
  <c r="AA258" i="9"/>
  <c r="AA266" i="9"/>
  <c r="AA263" i="9"/>
  <c r="AA275" i="9"/>
  <c r="AA276" i="9"/>
  <c r="AA274" i="9"/>
  <c r="Y258" i="9"/>
  <c r="Y263" i="9"/>
  <c r="O817" i="23"/>
  <c r="P817" i="23"/>
  <c r="D257" i="9"/>
  <c r="AD247" i="9"/>
  <c r="F721" i="23"/>
  <c r="AC252" i="9"/>
  <c r="AG252" i="9"/>
  <c r="C254" i="9"/>
  <c r="E260" i="9"/>
  <c r="D258" i="9"/>
  <c r="C255" i="9"/>
  <c r="E255" i="9"/>
  <c r="O821" i="23"/>
  <c r="P821" i="23"/>
  <c r="Z258" i="9"/>
  <c r="Z266" i="9"/>
  <c r="Z275" i="9"/>
  <c r="Z276" i="9"/>
  <c r="Z263" i="9"/>
  <c r="Z274" i="9"/>
  <c r="D251" i="9"/>
  <c r="AC253" i="9"/>
  <c r="AG253" i="9"/>
  <c r="F1229" i="23"/>
  <c r="C260" i="9"/>
  <c r="AC250" i="9"/>
  <c r="D256" i="9"/>
  <c r="AD246" i="9"/>
  <c r="AC242" i="9"/>
  <c r="AG242" i="9"/>
  <c r="C257" i="9"/>
  <c r="AC243" i="9"/>
  <c r="AG243" i="9"/>
  <c r="D263" i="9"/>
  <c r="AD253" i="9"/>
  <c r="AI253" i="9"/>
  <c r="AC255" i="9"/>
  <c r="AG255" i="9"/>
  <c r="E258" i="9"/>
  <c r="AD243" i="9"/>
  <c r="AI243" i="9"/>
  <c r="P682" i="23"/>
  <c r="P681" i="23"/>
  <c r="Y256" i="9"/>
  <c r="C251" i="9"/>
  <c r="E257" i="9"/>
  <c r="AE247" i="9"/>
  <c r="D254" i="9"/>
  <c r="J822" i="23"/>
  <c r="K822" i="23"/>
  <c r="D255" i="9"/>
  <c r="J821" i="23"/>
  <c r="K821" i="23"/>
  <c r="Z256" i="9"/>
  <c r="Z238" i="9"/>
  <c r="AC254" i="9"/>
  <c r="AG254" i="9"/>
  <c r="E265" i="9"/>
  <c r="AE255" i="9"/>
  <c r="AK255" i="9"/>
  <c r="E263" i="9"/>
  <c r="AE253" i="9"/>
  <c r="AK253" i="9"/>
  <c r="AD242" i="9"/>
  <c r="AI242" i="9"/>
  <c r="D265" i="9"/>
  <c r="AD255" i="9"/>
  <c r="AI255" i="9"/>
  <c r="K566" i="23"/>
  <c r="Q417" i="12"/>
  <c r="P1014" i="23"/>
  <c r="U680" i="12"/>
  <c r="K902" i="23"/>
  <c r="Q586" i="12"/>
  <c r="K860" i="23"/>
  <c r="Q570" i="12"/>
  <c r="P1213" i="23"/>
  <c r="P1212" i="23"/>
  <c r="F1198" i="23"/>
  <c r="F1199" i="23"/>
  <c r="P1229" i="23"/>
  <c r="P1230" i="23"/>
  <c r="I678" i="12"/>
  <c r="K1212" i="23"/>
  <c r="K1213" i="23"/>
  <c r="K1199" i="23"/>
  <c r="K1198" i="23"/>
  <c r="F1213" i="23"/>
  <c r="F1212" i="23"/>
  <c r="P1016" i="23"/>
  <c r="D1020" i="23"/>
  <c r="F1025" i="23"/>
  <c r="F1023" i="23"/>
  <c r="M683" i="12"/>
  <c r="P1199" i="23"/>
  <c r="P1234" i="23"/>
  <c r="P1235" i="23"/>
  <c r="K1207" i="23"/>
  <c r="K1206" i="23"/>
  <c r="P1206" i="23"/>
  <c r="P1207" i="23"/>
  <c r="K1241" i="23"/>
  <c r="K1240" i="23"/>
  <c r="P1219" i="23"/>
  <c r="P1220" i="23"/>
  <c r="F1207" i="23"/>
  <c r="F1206" i="23"/>
  <c r="K1230" i="23"/>
  <c r="K1229" i="23"/>
  <c r="P1226" i="23"/>
  <c r="P1225" i="23"/>
  <c r="K1020" i="23"/>
  <c r="K1225" i="23"/>
  <c r="K1226" i="23"/>
  <c r="F1220" i="23"/>
  <c r="F1219" i="23"/>
  <c r="K1234" i="23"/>
  <c r="K1235" i="23"/>
  <c r="K1219" i="23"/>
  <c r="K1220" i="23"/>
  <c r="P1240" i="23"/>
  <c r="P1241" i="23"/>
  <c r="K994" i="23"/>
  <c r="Q678" i="12"/>
  <c r="E673" i="23"/>
  <c r="F673" i="23"/>
  <c r="P541" i="23"/>
  <c r="U392" i="12"/>
  <c r="O673" i="23"/>
  <c r="P673" i="23"/>
  <c r="J673" i="23"/>
  <c r="K673" i="23"/>
  <c r="N333" i="12"/>
  <c r="N332" i="12"/>
  <c r="N213" i="12"/>
  <c r="I730" i="12"/>
  <c r="E388" i="23"/>
  <c r="J283" i="12"/>
  <c r="J271" i="12"/>
  <c r="J214" i="12"/>
  <c r="N724" i="12"/>
  <c r="N707" i="12"/>
  <c r="I708" i="12"/>
  <c r="K486" i="23"/>
  <c r="Q352" i="12"/>
  <c r="E1020" i="23"/>
  <c r="F1020" i="23"/>
  <c r="P1108" i="23"/>
  <c r="U731" i="12"/>
  <c r="AG188" i="9"/>
  <c r="AF188" i="9"/>
  <c r="J483" i="23"/>
  <c r="K483" i="23"/>
  <c r="P1263" i="23"/>
  <c r="U744" i="12"/>
  <c r="P1278" i="23"/>
  <c r="U757" i="12"/>
  <c r="P1268" i="23"/>
  <c r="U749" i="12"/>
  <c r="D1272" i="23"/>
  <c r="E1272" i="23"/>
  <c r="O1275" i="23"/>
  <c r="P1275" i="23"/>
  <c r="P1270" i="23"/>
  <c r="U751" i="12"/>
  <c r="P1264" i="23"/>
  <c r="U745" i="12"/>
  <c r="P1271" i="23"/>
  <c r="U752" i="12"/>
  <c r="P1266" i="23"/>
  <c r="U747" i="12"/>
  <c r="I1272" i="23"/>
  <c r="J1272" i="23"/>
  <c r="P1107" i="23"/>
  <c r="U730" i="12"/>
  <c r="P1273" i="23"/>
  <c r="U754" i="12"/>
  <c r="P1265" i="23"/>
  <c r="U746" i="12"/>
  <c r="O1276" i="23"/>
  <c r="P1276" i="23"/>
  <c r="E1276" i="23"/>
  <c r="F1276" i="23"/>
  <c r="J1276" i="23"/>
  <c r="K1276" i="23"/>
  <c r="O581" i="23"/>
  <c r="P581" i="23"/>
  <c r="E584" i="23"/>
  <c r="H588" i="23"/>
  <c r="D588" i="23"/>
  <c r="E588" i="23"/>
  <c r="F588" i="23"/>
  <c r="J582" i="23"/>
  <c r="K582" i="23"/>
  <c r="M585" i="23"/>
  <c r="N582" i="23"/>
  <c r="O582" i="23"/>
  <c r="P582" i="23"/>
  <c r="R585" i="23"/>
  <c r="J581" i="23"/>
  <c r="K581" i="23"/>
  <c r="I101" i="12"/>
  <c r="H401" i="12"/>
  <c r="H126" i="12"/>
  <c r="H322" i="12"/>
  <c r="H218" i="12"/>
  <c r="H215" i="12"/>
  <c r="H342" i="12"/>
  <c r="H680" i="12"/>
  <c r="H570" i="12"/>
  <c r="H423" i="12"/>
  <c r="H586" i="12"/>
  <c r="H276" i="12"/>
  <c r="H271" i="12"/>
  <c r="H678" i="12"/>
  <c r="H380" i="12"/>
  <c r="H323" i="12"/>
  <c r="H416" i="12"/>
  <c r="H743" i="12"/>
  <c r="H475" i="12"/>
  <c r="H435" i="12"/>
  <c r="H417" i="12"/>
  <c r="I389" i="12"/>
  <c r="I723" i="12"/>
  <c r="I381" i="12"/>
  <c r="H96" i="12"/>
  <c r="H95" i="12"/>
  <c r="I243" i="12"/>
  <c r="I347" i="12"/>
  <c r="P531" i="23"/>
  <c r="U382" i="12"/>
  <c r="P532" i="23"/>
  <c r="U383" i="12"/>
  <c r="P486" i="23"/>
  <c r="U352" i="12"/>
  <c r="O667" i="23"/>
  <c r="P667" i="23"/>
  <c r="P666" i="23"/>
  <c r="U452" i="12"/>
  <c r="J667" i="23"/>
  <c r="K667" i="23"/>
  <c r="K644" i="23"/>
  <c r="Q436" i="12"/>
  <c r="P649" i="23"/>
  <c r="U437" i="12"/>
  <c r="AI208" i="9"/>
  <c r="P644" i="23"/>
  <c r="U436" i="12"/>
  <c r="K666" i="23"/>
  <c r="Q452" i="12"/>
  <c r="AK208" i="9"/>
  <c r="P669" i="23"/>
  <c r="U453" i="12"/>
  <c r="AG208" i="9"/>
  <c r="K679" i="23"/>
  <c r="M687" i="23"/>
  <c r="E667" i="23"/>
  <c r="F667" i="23"/>
  <c r="E864" i="23"/>
  <c r="F864" i="23"/>
  <c r="E865" i="23"/>
  <c r="F865" i="23"/>
  <c r="K682" i="23"/>
  <c r="P725" i="23"/>
  <c r="K538" i="23"/>
  <c r="Q389" i="12"/>
  <c r="AD258" i="9"/>
  <c r="AI258" i="9"/>
  <c r="E866" i="23"/>
  <c r="F866" i="23"/>
  <c r="O799" i="23"/>
  <c r="P799" i="23"/>
  <c r="J825" i="23"/>
  <c r="K825" i="23"/>
  <c r="J815" i="23"/>
  <c r="K815" i="23"/>
  <c r="Y277" i="9"/>
  <c r="O800" i="23"/>
  <c r="P800" i="23"/>
  <c r="K724" i="23"/>
  <c r="AD230" i="9"/>
  <c r="AI230" i="9"/>
  <c r="AC237" i="9"/>
  <c r="AG237" i="9"/>
  <c r="AJ247" i="9"/>
  <c r="AK247" i="9"/>
  <c r="D383" i="9"/>
  <c r="AD260" i="9"/>
  <c r="AI260" i="9"/>
  <c r="D281" i="9"/>
  <c r="AI273" i="9"/>
  <c r="E883" i="23"/>
  <c r="F883" i="23"/>
  <c r="J883" i="23"/>
  <c r="K883" i="23"/>
  <c r="AC266" i="9"/>
  <c r="AG266" i="9"/>
  <c r="C274" i="9"/>
  <c r="AE275" i="9"/>
  <c r="AK275" i="9"/>
  <c r="E283" i="9"/>
  <c r="AJ246" i="9"/>
  <c r="AK246" i="9"/>
  <c r="D382" i="9"/>
  <c r="AE233" i="9"/>
  <c r="J816" i="23"/>
  <c r="K816" i="23"/>
  <c r="AG250" i="9"/>
  <c r="B423" i="9"/>
  <c r="D272" i="9"/>
  <c r="AD263" i="9"/>
  <c r="AH263" i="9"/>
  <c r="AI263" i="9"/>
  <c r="D270" i="9"/>
  <c r="J824" i="23"/>
  <c r="K824" i="23"/>
  <c r="Z304" i="9"/>
  <c r="C278" i="9"/>
  <c r="AC267" i="9"/>
  <c r="E272" i="9"/>
  <c r="AE263" i="9"/>
  <c r="AJ263" i="9"/>
  <c r="AK263" i="9"/>
  <c r="AE302" i="9"/>
  <c r="E236" i="9"/>
  <c r="AE225" i="9"/>
  <c r="AK225" i="9"/>
  <c r="AD224" i="9"/>
  <c r="AI224" i="9"/>
  <c r="D278" i="9"/>
  <c r="AC275" i="9"/>
  <c r="AG275" i="9"/>
  <c r="E274" i="9"/>
  <c r="E270" i="9"/>
  <c r="AE261" i="9"/>
  <c r="AJ261" i="9"/>
  <c r="AK261" i="9"/>
  <c r="AA239" i="9"/>
  <c r="AE237" i="9"/>
  <c r="AK237" i="9"/>
  <c r="K725" i="23"/>
  <c r="B383" i="9"/>
  <c r="D271" i="9"/>
  <c r="D277" i="9"/>
  <c r="E882" i="23"/>
  <c r="F882" i="23"/>
  <c r="J882" i="23"/>
  <c r="K882" i="23"/>
  <c r="E267" i="9"/>
  <c r="AK273" i="9"/>
  <c r="E281" i="9"/>
  <c r="AA304" i="9"/>
  <c r="O825" i="23"/>
  <c r="P825" i="23"/>
  <c r="AC230" i="9"/>
  <c r="AG230" i="9"/>
  <c r="AD237" i="9"/>
  <c r="AI237" i="9"/>
  <c r="AG273" i="9"/>
  <c r="E277" i="9"/>
  <c r="AE258" i="9"/>
  <c r="AK258" i="9"/>
  <c r="AD256" i="9"/>
  <c r="O881" i="23"/>
  <c r="P881" i="23"/>
  <c r="AE220" i="9"/>
  <c r="AK220" i="9"/>
  <c r="AC224" i="9"/>
  <c r="AG224" i="9"/>
  <c r="D284" i="9"/>
  <c r="AD276" i="9"/>
  <c r="AI276" i="9"/>
  <c r="AC256" i="9"/>
  <c r="D274" i="9"/>
  <c r="AE259" i="9"/>
  <c r="AK259" i="9"/>
  <c r="AE224" i="9"/>
  <c r="AK224" i="9"/>
  <c r="D273" i="9"/>
  <c r="AD264" i="9"/>
  <c r="J1005" i="23"/>
  <c r="K1005" i="23"/>
  <c r="AI248" i="9"/>
  <c r="M838" i="23"/>
  <c r="I838" i="23"/>
  <c r="J838" i="23"/>
  <c r="K838" i="23"/>
  <c r="C272" i="9"/>
  <c r="AC263" i="9"/>
  <c r="AF263" i="9"/>
  <c r="AG263" i="9"/>
  <c r="C277" i="9"/>
  <c r="AC268" i="9"/>
  <c r="AE260" i="9"/>
  <c r="AK260" i="9"/>
  <c r="AE229" i="9"/>
  <c r="AK229" i="9"/>
  <c r="Z239" i="9"/>
  <c r="AC274" i="9"/>
  <c r="AG274" i="9"/>
  <c r="AK250" i="9"/>
  <c r="AC260" i="9"/>
  <c r="AG260" i="9"/>
  <c r="AC258" i="9"/>
  <c r="AG258" i="9"/>
  <c r="E282" i="9"/>
  <c r="AE274" i="9"/>
  <c r="AK274" i="9"/>
  <c r="AE256" i="9"/>
  <c r="AD233" i="9"/>
  <c r="C271" i="9"/>
  <c r="E273" i="9"/>
  <c r="AE264" i="9"/>
  <c r="E276" i="9"/>
  <c r="AE266" i="9"/>
  <c r="AK266" i="9"/>
  <c r="O816" i="23"/>
  <c r="P816" i="23"/>
  <c r="J881" i="23"/>
  <c r="K881" i="23"/>
  <c r="E881" i="23"/>
  <c r="F881" i="23"/>
  <c r="AC276" i="9"/>
  <c r="AG276" i="9"/>
  <c r="B407" i="9"/>
  <c r="H1006" i="23"/>
  <c r="D1006" i="23"/>
  <c r="E1006" i="23"/>
  <c r="F1006" i="23"/>
  <c r="O882" i="23"/>
  <c r="P882" i="23"/>
  <c r="AE219" i="9"/>
  <c r="AK219" i="9"/>
  <c r="B408" i="9"/>
  <c r="H1007" i="23"/>
  <c r="D1007" i="23"/>
  <c r="E1007" i="23"/>
  <c r="F1007" i="23"/>
  <c r="AC229" i="9"/>
  <c r="AG229" i="9"/>
  <c r="Y239" i="9"/>
  <c r="Z277" i="9"/>
  <c r="E271" i="9"/>
  <c r="O883" i="23"/>
  <c r="P883" i="23"/>
  <c r="AH246" i="9"/>
  <c r="AI246" i="9"/>
  <c r="C382" i="9"/>
  <c r="AK248" i="9"/>
  <c r="R838" i="23"/>
  <c r="N838" i="23"/>
  <c r="O838" i="23"/>
  <c r="P838" i="23"/>
  <c r="O1005" i="23"/>
  <c r="P1005" i="23"/>
  <c r="D282" i="9"/>
  <c r="AD274" i="9"/>
  <c r="AI274" i="9"/>
  <c r="D276" i="9"/>
  <c r="AD266" i="9"/>
  <c r="AI266" i="9"/>
  <c r="AC302" i="9"/>
  <c r="AD302" i="9"/>
  <c r="C267" i="9"/>
  <c r="C273" i="9"/>
  <c r="E278" i="9"/>
  <c r="AA277" i="9"/>
  <c r="J799" i="23"/>
  <c r="K799" i="23"/>
  <c r="D236" i="9"/>
  <c r="AD225" i="9"/>
  <c r="AI225" i="9"/>
  <c r="C383" i="9"/>
  <c r="AH247" i="9"/>
  <c r="AI247" i="9"/>
  <c r="AC225" i="9"/>
  <c r="AG225" i="9"/>
  <c r="D283" i="9"/>
  <c r="AD275" i="9"/>
  <c r="AI275" i="9"/>
  <c r="AC301" i="9"/>
  <c r="B425" i="9"/>
  <c r="C270" i="9"/>
  <c r="J1006" i="23"/>
  <c r="K1006" i="23"/>
  <c r="AI249" i="9"/>
  <c r="M839" i="23"/>
  <c r="I839" i="23"/>
  <c r="J839" i="23"/>
  <c r="K839" i="23"/>
  <c r="AC235" i="9"/>
  <c r="D267" i="9"/>
  <c r="O822" i="23"/>
  <c r="P822" i="23"/>
  <c r="O1006" i="23"/>
  <c r="P1006" i="23"/>
  <c r="AK249" i="9"/>
  <c r="R839" i="23"/>
  <c r="N839" i="23"/>
  <c r="O839" i="23"/>
  <c r="P839" i="23"/>
  <c r="AD259" i="9"/>
  <c r="AI259" i="9"/>
  <c r="AC259" i="9"/>
  <c r="AG259" i="9"/>
  <c r="E284" i="9"/>
  <c r="AE276" i="9"/>
  <c r="AK276" i="9"/>
  <c r="AI250" i="9"/>
  <c r="AE230" i="9"/>
  <c r="AK230" i="9"/>
  <c r="B382" i="9"/>
  <c r="AD229" i="9"/>
  <c r="AI229" i="9"/>
  <c r="J800" i="23"/>
  <c r="K800" i="23"/>
  <c r="F1024" i="23"/>
  <c r="J683" i="12"/>
  <c r="B422" i="9"/>
  <c r="B424" i="9"/>
  <c r="B428" i="9"/>
  <c r="H1013" i="23"/>
  <c r="D1013" i="23"/>
  <c r="B406" i="9"/>
  <c r="H1005" i="23"/>
  <c r="D1005" i="23"/>
  <c r="B409" i="9"/>
  <c r="H1008" i="23"/>
  <c r="D1008" i="23"/>
  <c r="B410" i="9"/>
  <c r="H1009" i="23"/>
  <c r="D1009" i="23"/>
  <c r="B411" i="9"/>
  <c r="H1010" i="23"/>
  <c r="D1010" i="23"/>
  <c r="B412" i="9"/>
  <c r="H1011" i="23"/>
  <c r="D1011" i="23"/>
  <c r="E995" i="23"/>
  <c r="J679" i="12"/>
  <c r="H1017" i="23"/>
  <c r="D1017" i="23"/>
  <c r="E1017" i="23"/>
  <c r="H1018" i="23"/>
  <c r="D1018" i="23"/>
  <c r="E1018" i="23"/>
  <c r="E1015" i="23"/>
  <c r="J681" i="12"/>
  <c r="H1021" i="23"/>
  <c r="D1021" i="23"/>
  <c r="E1021" i="23"/>
  <c r="H1022" i="23"/>
  <c r="D1022" i="23"/>
  <c r="E1022" i="23"/>
  <c r="E1019" i="23"/>
  <c r="J682" i="12"/>
  <c r="H1028" i="23"/>
  <c r="D1028" i="23"/>
  <c r="E1028" i="23"/>
  <c r="J684" i="12"/>
  <c r="H1036" i="23"/>
  <c r="D1036" i="23"/>
  <c r="E1036" i="23"/>
  <c r="J687" i="12"/>
  <c r="E1039" i="23"/>
  <c r="K511" i="23"/>
  <c r="Q366" i="12"/>
  <c r="P994" i="23"/>
  <c r="U678" i="12"/>
  <c r="P1020" i="23"/>
  <c r="P1198" i="23"/>
  <c r="F1246" i="23"/>
  <c r="J481" i="23"/>
  <c r="K481" i="23"/>
  <c r="J333" i="12"/>
  <c r="J332" i="12"/>
  <c r="J213" i="12"/>
  <c r="P1252" i="23"/>
  <c r="U734" i="12"/>
  <c r="F1039" i="23"/>
  <c r="M690" i="12"/>
  <c r="J690" i="12"/>
  <c r="I437" i="12"/>
  <c r="E863" i="23"/>
  <c r="F863" i="23"/>
  <c r="J869" i="23"/>
  <c r="K869" i="23"/>
  <c r="P1272" i="23"/>
  <c r="U753" i="12"/>
  <c r="P1267" i="23"/>
  <c r="U748" i="12"/>
  <c r="K480" i="23"/>
  <c r="Q349" i="12"/>
  <c r="AI188" i="9"/>
  <c r="AH188" i="9"/>
  <c r="F1272" i="23"/>
  <c r="M753" i="12"/>
  <c r="F1267" i="23"/>
  <c r="M748" i="12"/>
  <c r="E1275" i="23"/>
  <c r="F1275" i="23"/>
  <c r="I748" i="12"/>
  <c r="K1267" i="23"/>
  <c r="Q748" i="12"/>
  <c r="J1275" i="23"/>
  <c r="K1275" i="23"/>
  <c r="K1272" i="23"/>
  <c r="Q753" i="12"/>
  <c r="I753" i="12"/>
  <c r="H590" i="23"/>
  <c r="H593" i="23"/>
  <c r="D593" i="23"/>
  <c r="E593" i="23"/>
  <c r="F593" i="23"/>
  <c r="N585" i="23"/>
  <c r="O585" i="23"/>
  <c r="R588" i="23"/>
  <c r="M588" i="23"/>
  <c r="I585" i="23"/>
  <c r="J585" i="23"/>
  <c r="O580" i="23"/>
  <c r="P580" i="23"/>
  <c r="H315" i="12"/>
  <c r="H723" i="12"/>
  <c r="H708" i="12"/>
  <c r="H725" i="12"/>
  <c r="H724" i="12"/>
  <c r="H243" i="12"/>
  <c r="H235" i="12"/>
  <c r="H437" i="12"/>
  <c r="H775" i="12"/>
  <c r="H774" i="12"/>
  <c r="H742" i="12"/>
  <c r="H352" i="12"/>
  <c r="H347" i="12"/>
  <c r="H381" i="12"/>
  <c r="H389" i="12"/>
  <c r="I350" i="12"/>
  <c r="I392" i="12"/>
  <c r="H43" i="12"/>
  <c r="H12" i="12"/>
  <c r="H162" i="12"/>
  <c r="H161" i="12"/>
  <c r="H125" i="12"/>
  <c r="H124" i="12"/>
  <c r="K531" i="23"/>
  <c r="Q382" i="12"/>
  <c r="I370" i="12"/>
  <c r="I366" i="12"/>
  <c r="I385" i="12"/>
  <c r="I436" i="12"/>
  <c r="I235" i="12"/>
  <c r="K532" i="23"/>
  <c r="Q383" i="12"/>
  <c r="P664" i="23"/>
  <c r="U450" i="12"/>
  <c r="I453" i="12"/>
  <c r="K534" i="23"/>
  <c r="Q385" i="12"/>
  <c r="K517" i="23"/>
  <c r="K515" i="23"/>
  <c r="Q370" i="12"/>
  <c r="P517" i="23"/>
  <c r="P515" i="23"/>
  <c r="U370" i="12"/>
  <c r="I687" i="23"/>
  <c r="J687" i="23"/>
  <c r="J686" i="23"/>
  <c r="K669" i="23"/>
  <c r="Q453" i="12"/>
  <c r="P720" i="23"/>
  <c r="J676" i="23"/>
  <c r="K676" i="23"/>
  <c r="K664" i="23"/>
  <c r="Q450" i="12"/>
  <c r="K720" i="23"/>
  <c r="I452" i="12"/>
  <c r="P676" i="23"/>
  <c r="E686" i="23"/>
  <c r="I458" i="12"/>
  <c r="E676" i="23"/>
  <c r="F676" i="23"/>
  <c r="K541" i="23"/>
  <c r="Q392" i="12"/>
  <c r="K484" i="23"/>
  <c r="Q350" i="12"/>
  <c r="P534" i="23"/>
  <c r="U385" i="12"/>
  <c r="J829" i="23"/>
  <c r="K829" i="23"/>
  <c r="M837" i="23"/>
  <c r="I837" i="23"/>
  <c r="J837" i="23"/>
  <c r="K837" i="23"/>
  <c r="K681" i="23"/>
  <c r="F715" i="23"/>
  <c r="R837" i="23"/>
  <c r="N837" i="23"/>
  <c r="O837" i="23"/>
  <c r="P837" i="23"/>
  <c r="J1010" i="23"/>
  <c r="K1010" i="23"/>
  <c r="J818" i="23"/>
  <c r="K818" i="23"/>
  <c r="E1011" i="23"/>
  <c r="F1011" i="23"/>
  <c r="AG235" i="9"/>
  <c r="B386" i="9"/>
  <c r="AH256" i="9"/>
  <c r="AG269" i="9"/>
  <c r="C385" i="9"/>
  <c r="AH264" i="9"/>
  <c r="AI264" i="9"/>
  <c r="AC277" i="9"/>
  <c r="D385" i="9"/>
  <c r="AJ264" i="9"/>
  <c r="AK264" i="9"/>
  <c r="AE304" i="9"/>
  <c r="C384" i="9"/>
  <c r="AF256" i="9"/>
  <c r="O828" i="23"/>
  <c r="P828" i="23"/>
  <c r="O814" i="23"/>
  <c r="P814" i="23"/>
  <c r="E1008" i="23"/>
  <c r="F1008" i="23"/>
  <c r="C386" i="9"/>
  <c r="AG267" i="9"/>
  <c r="AE277" i="9"/>
  <c r="P772" i="23"/>
  <c r="AK265" i="9"/>
  <c r="R841" i="23"/>
  <c r="N841" i="23"/>
  <c r="O841" i="23"/>
  <c r="P841" i="23"/>
  <c r="O1007" i="23"/>
  <c r="P1007" i="23"/>
  <c r="AD304" i="9"/>
  <c r="AK268" i="9"/>
  <c r="O1009" i="23"/>
  <c r="P1009" i="23"/>
  <c r="J1009" i="23"/>
  <c r="K1009" i="23"/>
  <c r="AI268" i="9"/>
  <c r="AJ256" i="9"/>
  <c r="B384" i="9"/>
  <c r="J1007" i="23"/>
  <c r="K1007" i="23"/>
  <c r="AI265" i="9"/>
  <c r="M841" i="23"/>
  <c r="I841" i="23"/>
  <c r="J841" i="23"/>
  <c r="K841" i="23"/>
  <c r="O1010" i="23"/>
  <c r="P1010" i="23"/>
  <c r="O798" i="23"/>
  <c r="P798" i="23"/>
  <c r="P797" i="23"/>
  <c r="U538" i="12"/>
  <c r="AG256" i="9"/>
  <c r="J826" i="23"/>
  <c r="K826" i="23"/>
  <c r="J832" i="23"/>
  <c r="K832" i="23"/>
  <c r="O820" i="23"/>
  <c r="P820" i="23"/>
  <c r="D384" i="9"/>
  <c r="J814" i="23"/>
  <c r="K814" i="23"/>
  <c r="J828" i="23"/>
  <c r="K828" i="23"/>
  <c r="AK256" i="9"/>
  <c r="AK234" i="9"/>
  <c r="R836" i="23"/>
  <c r="N836" i="23"/>
  <c r="O836" i="23"/>
  <c r="P836" i="23"/>
  <c r="E1010" i="23"/>
  <c r="F1010" i="23"/>
  <c r="AG268" i="9"/>
  <c r="AI235" i="9"/>
  <c r="AK235" i="9"/>
  <c r="D386" i="9"/>
  <c r="AK271" i="9"/>
  <c r="R842" i="23"/>
  <c r="N842" i="23"/>
  <c r="O842" i="23"/>
  <c r="P842" i="23"/>
  <c r="O1008" i="23"/>
  <c r="P1008" i="23"/>
  <c r="F720" i="23"/>
  <c r="B381" i="9"/>
  <c r="AC304" i="9"/>
  <c r="O826" i="23"/>
  <c r="P826" i="23"/>
  <c r="O832" i="23"/>
  <c r="P832" i="23"/>
  <c r="AG236" i="9"/>
  <c r="AI269" i="9"/>
  <c r="K715" i="23"/>
  <c r="P715" i="23"/>
  <c r="AI233" i="9"/>
  <c r="M835" i="23"/>
  <c r="I835" i="23"/>
  <c r="J835" i="23"/>
  <c r="K835" i="23"/>
  <c r="C381" i="9"/>
  <c r="AI236" i="9"/>
  <c r="J1008" i="23"/>
  <c r="K1008" i="23"/>
  <c r="AI271" i="9"/>
  <c r="M842" i="23"/>
  <c r="I842" i="23"/>
  <c r="J842" i="23"/>
  <c r="K842" i="23"/>
  <c r="AK236" i="9"/>
  <c r="AD277" i="9"/>
  <c r="Q303" i="9"/>
  <c r="Q304" i="9"/>
  <c r="Q305" i="9"/>
  <c r="D381" i="9"/>
  <c r="AK233" i="9"/>
  <c r="R835" i="23"/>
  <c r="N835" i="23"/>
  <c r="O835" i="23"/>
  <c r="P835" i="23"/>
  <c r="AK269" i="9"/>
  <c r="AC239" i="9"/>
  <c r="J798" i="23"/>
  <c r="K798" i="23"/>
  <c r="K797" i="23"/>
  <c r="Q538" i="12"/>
  <c r="K772" i="23"/>
  <c r="J819" i="23"/>
  <c r="K819" i="23"/>
  <c r="AI256" i="9"/>
  <c r="O829" i="23"/>
  <c r="P829" i="23"/>
  <c r="O815" i="23"/>
  <c r="P815" i="23"/>
  <c r="AK267" i="9"/>
  <c r="E1009" i="23"/>
  <c r="F1009" i="23"/>
  <c r="AI234" i="9"/>
  <c r="M836" i="23"/>
  <c r="I836" i="23"/>
  <c r="J836" i="23"/>
  <c r="K836" i="23"/>
  <c r="AE239" i="9"/>
  <c r="B385" i="9"/>
  <c r="AD239" i="9"/>
  <c r="AI267" i="9"/>
  <c r="K1023" i="23"/>
  <c r="Q683" i="12"/>
  <c r="P485" i="23"/>
  <c r="U351" i="12"/>
  <c r="I683" i="12"/>
  <c r="P511" i="23"/>
  <c r="U366" i="12"/>
  <c r="O481" i="23"/>
  <c r="P481" i="23"/>
  <c r="P480" i="23"/>
  <c r="U349" i="12"/>
  <c r="F1245" i="23"/>
  <c r="I690" i="12"/>
  <c r="C695" i="25"/>
  <c r="I734" i="12"/>
  <c r="E904" i="23"/>
  <c r="J588" i="12"/>
  <c r="J569" i="12"/>
  <c r="J568" i="12"/>
  <c r="I352" i="12"/>
  <c r="N832" i="12"/>
  <c r="J832" i="12"/>
  <c r="J728" i="12"/>
  <c r="J740" i="12"/>
  <c r="I725" i="12"/>
  <c r="I707" i="12"/>
  <c r="K868" i="23"/>
  <c r="Q573" i="12"/>
  <c r="K509" i="23"/>
  <c r="Q364" i="12"/>
  <c r="K580" i="23"/>
  <c r="Q420" i="12"/>
  <c r="K1274" i="23"/>
  <c r="Q755" i="12"/>
  <c r="K485" i="23"/>
  <c r="Q351" i="12"/>
  <c r="P1274" i="23"/>
  <c r="U755" i="12"/>
  <c r="F1274" i="23"/>
  <c r="M755" i="12"/>
  <c r="H596" i="23"/>
  <c r="D596" i="23"/>
  <c r="E596" i="23"/>
  <c r="F596" i="23"/>
  <c r="D590" i="23"/>
  <c r="E590" i="23"/>
  <c r="F590" i="23"/>
  <c r="K585" i="23"/>
  <c r="K584" i="23"/>
  <c r="J584" i="23"/>
  <c r="M590" i="23"/>
  <c r="I588" i="23"/>
  <c r="J588" i="23"/>
  <c r="K588" i="23"/>
  <c r="N588" i="23"/>
  <c r="O588" i="23"/>
  <c r="P588" i="23"/>
  <c r="R590" i="23"/>
  <c r="P585" i="23"/>
  <c r="P584" i="23"/>
  <c r="O584" i="23"/>
  <c r="H214" i="12"/>
  <c r="H707" i="12"/>
  <c r="H350" i="12"/>
  <c r="H370" i="12"/>
  <c r="H452" i="12"/>
  <c r="H436" i="12"/>
  <c r="H433" i="12"/>
  <c r="H392" i="12"/>
  <c r="H684" i="12"/>
  <c r="H385" i="12"/>
  <c r="H683" i="12"/>
  <c r="H366" i="12"/>
  <c r="H458" i="12"/>
  <c r="H453" i="12"/>
  <c r="I379" i="12"/>
  <c r="I383" i="12"/>
  <c r="I351" i="12"/>
  <c r="I382" i="12"/>
  <c r="F890" i="23"/>
  <c r="M834" i="12"/>
  <c r="K890" i="23"/>
  <c r="Q834" i="12"/>
  <c r="I349" i="12"/>
  <c r="I585" i="12"/>
  <c r="I450" i="12"/>
  <c r="I433" i="12"/>
  <c r="I523" i="12"/>
  <c r="I538" i="12"/>
  <c r="P687" i="23"/>
  <c r="P686" i="23"/>
  <c r="U458" i="12"/>
  <c r="K687" i="23"/>
  <c r="K686" i="23"/>
  <c r="Q458" i="12"/>
  <c r="K672" i="23"/>
  <c r="Q454" i="12"/>
  <c r="P672" i="23"/>
  <c r="U454" i="12"/>
  <c r="P679" i="23"/>
  <c r="K781" i="23"/>
  <c r="K780" i="23"/>
  <c r="Q523" i="12"/>
  <c r="K901" i="23"/>
  <c r="Q585" i="12"/>
  <c r="P1022" i="23"/>
  <c r="M837" i="12"/>
  <c r="AK277" i="9"/>
  <c r="K678" i="23"/>
  <c r="Q456" i="12"/>
  <c r="AJ277" i="9"/>
  <c r="P901" i="23"/>
  <c r="U585" i="12"/>
  <c r="K1018" i="23"/>
  <c r="AI277" i="9"/>
  <c r="M840" i="23"/>
  <c r="I840" i="23"/>
  <c r="J840" i="23"/>
  <c r="K840" i="23"/>
  <c r="J889" i="23"/>
  <c r="B391" i="9"/>
  <c r="C391" i="9"/>
  <c r="O823" i="23"/>
  <c r="P823" i="23"/>
  <c r="O831" i="23"/>
  <c r="P831" i="23"/>
  <c r="O890" i="23"/>
  <c r="P890" i="23"/>
  <c r="U834" i="12"/>
  <c r="F717" i="23"/>
  <c r="F716" i="23"/>
  <c r="E889" i="23"/>
  <c r="O819" i="23"/>
  <c r="P819" i="23"/>
  <c r="O830" i="23"/>
  <c r="P830" i="23"/>
  <c r="AF277" i="9"/>
  <c r="B415" i="9"/>
  <c r="AI239" i="9"/>
  <c r="K717" i="23"/>
  <c r="K716" i="23"/>
  <c r="R303" i="9"/>
  <c r="R304" i="9"/>
  <c r="R305" i="9"/>
  <c r="P865" i="23"/>
  <c r="P864" i="23"/>
  <c r="P866" i="23"/>
  <c r="P717" i="23"/>
  <c r="P716" i="23"/>
  <c r="K770" i="23"/>
  <c r="K769" i="23"/>
  <c r="Q519" i="12"/>
  <c r="D391" i="9"/>
  <c r="E869" i="23"/>
  <c r="F869" i="23"/>
  <c r="J830" i="23"/>
  <c r="K830" i="23"/>
  <c r="J820" i="23"/>
  <c r="K820" i="23"/>
  <c r="AK239" i="9"/>
  <c r="O574" i="23"/>
  <c r="P574" i="23"/>
  <c r="P567" i="23"/>
  <c r="U418" i="12"/>
  <c r="K713" i="23"/>
  <c r="M612" i="23"/>
  <c r="J574" i="23"/>
  <c r="K574" i="23"/>
  <c r="K567" i="23"/>
  <c r="Q418" i="12"/>
  <c r="O869" i="23"/>
  <c r="P869" i="23"/>
  <c r="J864" i="23"/>
  <c r="K864" i="23"/>
  <c r="J865" i="23"/>
  <c r="K865" i="23"/>
  <c r="J866" i="23"/>
  <c r="K866" i="23"/>
  <c r="C415" i="9"/>
  <c r="AG239" i="9"/>
  <c r="D415" i="9"/>
  <c r="AG277" i="9"/>
  <c r="H612" i="23"/>
  <c r="R840" i="23"/>
  <c r="N840" i="23"/>
  <c r="O840" i="23"/>
  <c r="P840" i="23"/>
  <c r="AH277" i="9"/>
  <c r="P1028" i="23"/>
  <c r="U684" i="12"/>
  <c r="P1023" i="23"/>
  <c r="U683" i="12"/>
  <c r="K1246" i="23"/>
  <c r="P509" i="23"/>
  <c r="U364" i="12"/>
  <c r="F1114" i="23"/>
  <c r="M733" i="12"/>
  <c r="J611" i="12"/>
  <c r="J610" i="12"/>
  <c r="J567" i="12"/>
  <c r="F904" i="23"/>
  <c r="M588" i="12"/>
  <c r="N743" i="12"/>
  <c r="N775" i="12"/>
  <c r="C597" i="25"/>
  <c r="K888" i="23"/>
  <c r="Q579" i="12"/>
  <c r="I755" i="12"/>
  <c r="H15" i="25"/>
  <c r="I687" i="12"/>
  <c r="I579" i="12"/>
  <c r="J739" i="12"/>
  <c r="J727" i="12"/>
  <c r="J743" i="12"/>
  <c r="J775" i="12"/>
  <c r="C596" i="25"/>
  <c r="I724" i="12"/>
  <c r="I765" i="12"/>
  <c r="H598" i="23"/>
  <c r="H600" i="23"/>
  <c r="D600" i="23"/>
  <c r="E600" i="23"/>
  <c r="F600" i="23"/>
  <c r="H599" i="23"/>
  <c r="D599" i="23"/>
  <c r="E599" i="23"/>
  <c r="F599" i="23"/>
  <c r="R593" i="23"/>
  <c r="N590" i="23"/>
  <c r="O590" i="23"/>
  <c r="P590" i="23"/>
  <c r="M593" i="23"/>
  <c r="I590" i="23"/>
  <c r="J590" i="23"/>
  <c r="K590" i="23"/>
  <c r="H349" i="12"/>
  <c r="H538" i="12"/>
  <c r="H523" i="12"/>
  <c r="H351" i="12"/>
  <c r="H382" i="12"/>
  <c r="H383" i="12"/>
  <c r="H450" i="12"/>
  <c r="H585" i="12"/>
  <c r="I364" i="12"/>
  <c r="I575" i="12"/>
  <c r="F889" i="23"/>
  <c r="M833" i="12"/>
  <c r="K889" i="23"/>
  <c r="Q833" i="12"/>
  <c r="I834" i="12"/>
  <c r="I520" i="12"/>
  <c r="I487" i="12"/>
  <c r="I454" i="12"/>
  <c r="I524" i="12"/>
  <c r="I419" i="12"/>
  <c r="I518" i="12"/>
  <c r="I521" i="12"/>
  <c r="I418" i="12"/>
  <c r="I519" i="12"/>
  <c r="I550" i="12"/>
  <c r="P1018" i="23"/>
  <c r="K1022" i="23"/>
  <c r="J1013" i="23"/>
  <c r="K1013" i="23"/>
  <c r="O1013" i="23"/>
  <c r="P1013" i="23"/>
  <c r="P576" i="23"/>
  <c r="P575" i="23"/>
  <c r="U419" i="12"/>
  <c r="P680" i="23"/>
  <c r="P678" i="23"/>
  <c r="U456" i="12"/>
  <c r="F679" i="23"/>
  <c r="K812" i="23"/>
  <c r="Q550" i="12"/>
  <c r="P777" i="23"/>
  <c r="P776" i="23"/>
  <c r="U521" i="12"/>
  <c r="K774" i="23"/>
  <c r="K773" i="23"/>
  <c r="Q520" i="12"/>
  <c r="P827" i="23"/>
  <c r="U552" i="12"/>
  <c r="P770" i="23"/>
  <c r="P769" i="23"/>
  <c r="U519" i="12"/>
  <c r="K576" i="23"/>
  <c r="K575" i="23"/>
  <c r="Q419" i="12"/>
  <c r="K783" i="23"/>
  <c r="Q524" i="12"/>
  <c r="P900" i="23"/>
  <c r="P812" i="23"/>
  <c r="U550" i="12"/>
  <c r="P731" i="23"/>
  <c r="U487" i="12"/>
  <c r="P878" i="23"/>
  <c r="U575" i="12"/>
  <c r="P868" i="23"/>
  <c r="U573" i="12"/>
  <c r="K898" i="23"/>
  <c r="K706" i="23"/>
  <c r="E880" i="23"/>
  <c r="F880" i="23"/>
  <c r="P898" i="23"/>
  <c r="E1005" i="23"/>
  <c r="F1005" i="23"/>
  <c r="P706" i="23"/>
  <c r="K768" i="23"/>
  <c r="Q518" i="12"/>
  <c r="K739" i="23"/>
  <c r="J880" i="23"/>
  <c r="K880" i="23"/>
  <c r="K879" i="23"/>
  <c r="Q576" i="12"/>
  <c r="O880" i="23"/>
  <c r="P880" i="23"/>
  <c r="P879" i="23"/>
  <c r="U576" i="12"/>
  <c r="P768" i="23"/>
  <c r="U518" i="12"/>
  <c r="K777" i="23"/>
  <c r="K776" i="23"/>
  <c r="Q521" i="12"/>
  <c r="O889" i="23"/>
  <c r="P889" i="23"/>
  <c r="U833" i="12"/>
  <c r="P713" i="23"/>
  <c r="D612" i="23"/>
  <c r="E612" i="23"/>
  <c r="E611" i="23"/>
  <c r="J1004" i="23"/>
  <c r="K1004" i="23"/>
  <c r="O818" i="23"/>
  <c r="P818" i="23"/>
  <c r="P813" i="23"/>
  <c r="U551" i="12"/>
  <c r="P795" i="23"/>
  <c r="U536" i="12"/>
  <c r="P774" i="23"/>
  <c r="P773" i="23"/>
  <c r="U520" i="12"/>
  <c r="K795" i="23"/>
  <c r="Q536" i="12"/>
  <c r="K731" i="23"/>
  <c r="Q487" i="12"/>
  <c r="O1004" i="23"/>
  <c r="P1004" i="23"/>
  <c r="I612" i="23"/>
  <c r="J612" i="23"/>
  <c r="J611" i="23"/>
  <c r="J831" i="23"/>
  <c r="K831" i="23"/>
  <c r="K827" i="23"/>
  <c r="Q552" i="12"/>
  <c r="R618" i="23"/>
  <c r="F1018" i="23"/>
  <c r="F1022" i="23"/>
  <c r="M618" i="23"/>
  <c r="F713" i="23"/>
  <c r="K1245" i="23"/>
  <c r="P1246" i="23"/>
  <c r="J904" i="23"/>
  <c r="N588" i="12"/>
  <c r="N569" i="12"/>
  <c r="N568" i="12"/>
  <c r="P888" i="23"/>
  <c r="U579" i="12"/>
  <c r="F1036" i="23"/>
  <c r="M687" i="12"/>
  <c r="I743" i="12"/>
  <c r="J514" i="23"/>
  <c r="N369" i="12"/>
  <c r="N728" i="12"/>
  <c r="N740" i="12"/>
  <c r="N774" i="12"/>
  <c r="N742" i="12"/>
  <c r="D598" i="23"/>
  <c r="E598" i="23"/>
  <c r="E595" i="23"/>
  <c r="H602" i="23"/>
  <c r="D602" i="23"/>
  <c r="E602" i="23"/>
  <c r="F602" i="23"/>
  <c r="R596" i="23"/>
  <c r="N593" i="23"/>
  <c r="O593" i="23"/>
  <c r="P593" i="23"/>
  <c r="M596" i="23"/>
  <c r="I593" i="23"/>
  <c r="J593" i="23"/>
  <c r="K593" i="23"/>
  <c r="H379" i="12"/>
  <c r="H550" i="12"/>
  <c r="H519" i="12"/>
  <c r="H418" i="12"/>
  <c r="H521" i="12"/>
  <c r="H364" i="12"/>
  <c r="H524" i="12"/>
  <c r="H454" i="12"/>
  <c r="H518" i="12"/>
  <c r="H487" i="12"/>
  <c r="H419" i="12"/>
  <c r="H575" i="12"/>
  <c r="H520" i="12"/>
  <c r="H834" i="12"/>
  <c r="I580" i="12"/>
  <c r="I833" i="12"/>
  <c r="H333" i="12"/>
  <c r="H332" i="12"/>
  <c r="I573" i="12"/>
  <c r="I599" i="12"/>
  <c r="I571" i="12"/>
  <c r="I421" i="12"/>
  <c r="I479" i="12"/>
  <c r="I491" i="12"/>
  <c r="I481" i="12"/>
  <c r="I589" i="12"/>
  <c r="I577" i="12"/>
  <c r="I478" i="12"/>
  <c r="I522" i="12"/>
  <c r="I420" i="12"/>
  <c r="I600" i="12"/>
  <c r="P916" i="23"/>
  <c r="U600" i="12"/>
  <c r="P886" i="23"/>
  <c r="U577" i="12"/>
  <c r="I456" i="12"/>
  <c r="K779" i="23"/>
  <c r="Q522" i="12"/>
  <c r="K886" i="23"/>
  <c r="Q577" i="12"/>
  <c r="K905" i="23"/>
  <c r="Q589" i="12"/>
  <c r="P612" i="23"/>
  <c r="P611" i="23"/>
  <c r="U420" i="12"/>
  <c r="P905" i="23"/>
  <c r="U589" i="12"/>
  <c r="P833" i="23"/>
  <c r="U553" i="12"/>
  <c r="K615" i="23"/>
  <c r="K614" i="23"/>
  <c r="Q421" i="12"/>
  <c r="K915" i="23"/>
  <c r="Q599" i="12"/>
  <c r="K861" i="23"/>
  <c r="Q571" i="12"/>
  <c r="K900" i="23"/>
  <c r="K897" i="23"/>
  <c r="Q584" i="12"/>
  <c r="K741" i="23"/>
  <c r="Q491" i="12"/>
  <c r="P893" i="23"/>
  <c r="P915" i="23"/>
  <c r="U599" i="12"/>
  <c r="P711" i="23"/>
  <c r="U479" i="12"/>
  <c r="K711" i="23"/>
  <c r="Q479" i="12"/>
  <c r="K893" i="23"/>
  <c r="Q837" i="12"/>
  <c r="P723" i="23"/>
  <c r="P722" i="23"/>
  <c r="U481" i="12"/>
  <c r="P779" i="23"/>
  <c r="U522" i="12"/>
  <c r="P741" i="23"/>
  <c r="U491" i="12"/>
  <c r="K710" i="23"/>
  <c r="Q478" i="12"/>
  <c r="P615" i="23"/>
  <c r="P614" i="23"/>
  <c r="U421" i="12"/>
  <c r="N862" i="23"/>
  <c r="J863" i="23"/>
  <c r="I862" i="23"/>
  <c r="P897" i="23"/>
  <c r="U584" i="12"/>
  <c r="I576" i="12"/>
  <c r="P738" i="23"/>
  <c r="E1013" i="23"/>
  <c r="F1013" i="23"/>
  <c r="J823" i="23"/>
  <c r="K823" i="23"/>
  <c r="K813" i="23"/>
  <c r="Q551" i="12"/>
  <c r="P739" i="23"/>
  <c r="K738" i="23"/>
  <c r="K737" i="23"/>
  <c r="Q489" i="12"/>
  <c r="P895" i="23"/>
  <c r="R621" i="23"/>
  <c r="N621" i="23"/>
  <c r="O621" i="23"/>
  <c r="P621" i="23"/>
  <c r="N618" i="23"/>
  <c r="O618" i="23"/>
  <c r="P618" i="23"/>
  <c r="F612" i="23"/>
  <c r="F611" i="23"/>
  <c r="K723" i="23"/>
  <c r="K722" i="23"/>
  <c r="Q481" i="12"/>
  <c r="I618" i="23"/>
  <c r="J618" i="23"/>
  <c r="K618" i="23"/>
  <c r="M621" i="23"/>
  <c r="I621" i="23"/>
  <c r="J621" i="23"/>
  <c r="K621" i="23"/>
  <c r="P861" i="23"/>
  <c r="U571" i="12"/>
  <c r="K612" i="23"/>
  <c r="K611" i="23"/>
  <c r="P710" i="23"/>
  <c r="U478" i="12"/>
  <c r="K916" i="23"/>
  <c r="Q600" i="12"/>
  <c r="H1029" i="23"/>
  <c r="P510" i="23"/>
  <c r="U365" i="12"/>
  <c r="P1245" i="23"/>
  <c r="C554" i="25"/>
  <c r="K1114" i="23"/>
  <c r="Q733" i="12"/>
  <c r="I365" i="12"/>
  <c r="K510" i="23"/>
  <c r="Q365" i="12"/>
  <c r="N338" i="12"/>
  <c r="N337" i="12"/>
  <c r="N468" i="12"/>
  <c r="C770" i="25"/>
  <c r="N611" i="12"/>
  <c r="N610" i="12"/>
  <c r="N567" i="12"/>
  <c r="C820" i="25"/>
  <c r="K904" i="23"/>
  <c r="Q588" i="12"/>
  <c r="P904" i="23"/>
  <c r="U588" i="12"/>
  <c r="E514" i="23"/>
  <c r="J369" i="12"/>
  <c r="K514" i="23"/>
  <c r="Q369" i="12"/>
  <c r="K1028" i="23"/>
  <c r="Q684" i="12"/>
  <c r="F1028" i="23"/>
  <c r="M684" i="12"/>
  <c r="I684" i="12"/>
  <c r="N838" i="12"/>
  <c r="N739" i="12"/>
  <c r="N727" i="12"/>
  <c r="Q580" i="12"/>
  <c r="J774" i="12"/>
  <c r="J742" i="12"/>
  <c r="I517" i="12"/>
  <c r="H604" i="23"/>
  <c r="H606" i="23"/>
  <c r="D606" i="23"/>
  <c r="E606" i="23"/>
  <c r="F606" i="23"/>
  <c r="I775" i="12"/>
  <c r="F598" i="23"/>
  <c r="F595" i="23"/>
  <c r="I596" i="23"/>
  <c r="J596" i="23"/>
  <c r="M598" i="23"/>
  <c r="M599" i="23"/>
  <c r="N596" i="23"/>
  <c r="O596" i="23"/>
  <c r="P596" i="23"/>
  <c r="R599" i="23"/>
  <c r="R598" i="23"/>
  <c r="H478" i="12"/>
  <c r="H577" i="12"/>
  <c r="H589" i="12"/>
  <c r="H18" i="25"/>
  <c r="H833" i="12"/>
  <c r="H832" i="12"/>
  <c r="H831" i="12"/>
  <c r="H830" i="12"/>
  <c r="H481" i="12"/>
  <c r="H456" i="12"/>
  <c r="H447" i="12"/>
  <c r="H491" i="12"/>
  <c r="H576" i="12"/>
  <c r="H479" i="12"/>
  <c r="H421" i="12"/>
  <c r="H580" i="12"/>
  <c r="H599" i="12"/>
  <c r="H600" i="12"/>
  <c r="H573" i="12"/>
  <c r="H571" i="12"/>
  <c r="H365" i="12"/>
  <c r="H338" i="12"/>
  <c r="H420" i="12"/>
  <c r="H522" i="12"/>
  <c r="H517" i="12"/>
  <c r="I553" i="12"/>
  <c r="I832" i="12"/>
  <c r="U580" i="12"/>
  <c r="U837" i="12"/>
  <c r="U582" i="12"/>
  <c r="U839" i="12"/>
  <c r="H213" i="12"/>
  <c r="I681" i="12"/>
  <c r="I482" i="12"/>
  <c r="I552" i="12"/>
  <c r="I507" i="12"/>
  <c r="I581" i="12"/>
  <c r="I477" i="12"/>
  <c r="I551" i="12"/>
  <c r="I483" i="12"/>
  <c r="I415" i="12"/>
  <c r="I598" i="12"/>
  <c r="I447" i="12"/>
  <c r="K833" i="23"/>
  <c r="Q553" i="12"/>
  <c r="K727" i="23"/>
  <c r="Q483" i="12"/>
  <c r="P1017" i="23"/>
  <c r="P1015" i="23"/>
  <c r="U681" i="12"/>
  <c r="P729" i="23"/>
  <c r="U485" i="12"/>
  <c r="I679" i="12"/>
  <c r="K995" i="23"/>
  <c r="Q679" i="12"/>
  <c r="F1021" i="23"/>
  <c r="F1019" i="23"/>
  <c r="M682" i="12"/>
  <c r="P995" i="23"/>
  <c r="U679" i="12"/>
  <c r="I485" i="12"/>
  <c r="K726" i="23"/>
  <c r="Q482" i="12"/>
  <c r="P737" i="23"/>
  <c r="U489" i="12"/>
  <c r="K1017" i="23"/>
  <c r="K1015" i="23"/>
  <c r="Q681" i="12"/>
  <c r="K709" i="23"/>
  <c r="Q477" i="12"/>
  <c r="F1017" i="23"/>
  <c r="F1015" i="23"/>
  <c r="M681" i="12"/>
  <c r="P726" i="23"/>
  <c r="U482" i="12"/>
  <c r="K757" i="23"/>
  <c r="Q507" i="12"/>
  <c r="R843" i="23"/>
  <c r="P719" i="23"/>
  <c r="M839" i="12"/>
  <c r="P894" i="23"/>
  <c r="U581" i="12"/>
  <c r="P863" i="23"/>
  <c r="D1029" i="23"/>
  <c r="E1029" i="23"/>
  <c r="J677" i="12"/>
  <c r="J693" i="12"/>
  <c r="C95" i="25"/>
  <c r="K1021" i="23"/>
  <c r="K1019" i="23"/>
  <c r="Q682" i="12"/>
  <c r="P705" i="23"/>
  <c r="P704" i="23"/>
  <c r="U474" i="12"/>
  <c r="F718" i="23"/>
  <c r="F719" i="23"/>
  <c r="P708" i="23"/>
  <c r="U476" i="12"/>
  <c r="P1021" i="23"/>
  <c r="P1019" i="23"/>
  <c r="U682" i="12"/>
  <c r="P709" i="23"/>
  <c r="U477" i="12"/>
  <c r="P727" i="23"/>
  <c r="U483" i="12"/>
  <c r="K719" i="23"/>
  <c r="M843" i="23"/>
  <c r="K718" i="23"/>
  <c r="K729" i="23"/>
  <c r="Q485" i="12"/>
  <c r="K708" i="23"/>
  <c r="Q476" i="12"/>
  <c r="K894" i="23"/>
  <c r="Q581" i="12"/>
  <c r="F995" i="23"/>
  <c r="M679" i="12"/>
  <c r="K895" i="23"/>
  <c r="Q839" i="12"/>
  <c r="P757" i="23"/>
  <c r="U507" i="12"/>
  <c r="K863" i="23"/>
  <c r="P1114" i="23"/>
  <c r="U733" i="12"/>
  <c r="N467" i="12"/>
  <c r="N336" i="12"/>
  <c r="C737" i="25"/>
  <c r="J338" i="12"/>
  <c r="J337" i="12"/>
  <c r="J468" i="12"/>
  <c r="J467" i="12"/>
  <c r="C769" i="25"/>
  <c r="N831" i="12"/>
  <c r="N830" i="12"/>
  <c r="C977" i="25"/>
  <c r="C582" i="25"/>
  <c r="C553" i="25"/>
  <c r="I588" i="12"/>
  <c r="P514" i="23"/>
  <c r="U369" i="12"/>
  <c r="F514" i="23"/>
  <c r="M369" i="12"/>
  <c r="J838" i="12"/>
  <c r="N677" i="12"/>
  <c r="N693" i="12"/>
  <c r="C96" i="25"/>
  <c r="J692" i="12"/>
  <c r="J676" i="12"/>
  <c r="J675" i="12"/>
  <c r="J674" i="12"/>
  <c r="C55" i="25"/>
  <c r="Q582" i="12"/>
  <c r="I774" i="12"/>
  <c r="I502" i="12"/>
  <c r="I489" i="12"/>
  <c r="C56" i="25"/>
  <c r="D604" i="23"/>
  <c r="E604" i="23"/>
  <c r="F604" i="23"/>
  <c r="I742" i="12"/>
  <c r="N599" i="23"/>
  <c r="O599" i="23"/>
  <c r="P599" i="23"/>
  <c r="N598" i="23"/>
  <c r="O598" i="23"/>
  <c r="O595" i="23"/>
  <c r="R600" i="23"/>
  <c r="N600" i="23"/>
  <c r="O600" i="23"/>
  <c r="P600" i="23"/>
  <c r="I599" i="23"/>
  <c r="J599" i="23"/>
  <c r="K599" i="23"/>
  <c r="M600" i="23"/>
  <c r="I600" i="23"/>
  <c r="J600" i="23"/>
  <c r="K600" i="23"/>
  <c r="I598" i="23"/>
  <c r="J598" i="23"/>
  <c r="K598" i="23"/>
  <c r="K596" i="23"/>
  <c r="H598" i="12"/>
  <c r="H415" i="12"/>
  <c r="H337" i="12"/>
  <c r="H507" i="12"/>
  <c r="H502" i="12"/>
  <c r="H552" i="12"/>
  <c r="H581" i="12"/>
  <c r="H482" i="12"/>
  <c r="H485" i="12"/>
  <c r="H681" i="12"/>
  <c r="H553" i="12"/>
  <c r="H679" i="12"/>
  <c r="H551" i="12"/>
  <c r="H489" i="12"/>
  <c r="H483" i="12"/>
  <c r="H477" i="12"/>
  <c r="I582" i="12"/>
  <c r="I839" i="12"/>
  <c r="I682" i="12"/>
  <c r="I572" i="12"/>
  <c r="I685" i="12"/>
  <c r="I733" i="12"/>
  <c r="I474" i="12"/>
  <c r="I584" i="12"/>
  <c r="I728" i="12"/>
  <c r="K705" i="23"/>
  <c r="K704" i="23"/>
  <c r="Q474" i="12"/>
  <c r="K862" i="23"/>
  <c r="Q572" i="12"/>
  <c r="F1029" i="23"/>
  <c r="M685" i="12"/>
  <c r="K1029" i="23"/>
  <c r="Q685" i="12"/>
  <c r="P1029" i="23"/>
  <c r="U685" i="12"/>
  <c r="Q242" i="9"/>
  <c r="Q243" i="9"/>
  <c r="L843" i="23"/>
  <c r="I843" i="23"/>
  <c r="J843" i="23"/>
  <c r="K843" i="23"/>
  <c r="M844" i="23"/>
  <c r="I844" i="23"/>
  <c r="J844" i="23"/>
  <c r="K844" i="23"/>
  <c r="P718" i="23"/>
  <c r="K714" i="23"/>
  <c r="R242" i="9"/>
  <c r="R243" i="9"/>
  <c r="P242" i="9"/>
  <c r="P243" i="9"/>
  <c r="P862" i="23"/>
  <c r="U572" i="12"/>
  <c r="Q843" i="23"/>
  <c r="N843" i="23"/>
  <c r="O843" i="23"/>
  <c r="P843" i="23"/>
  <c r="R844" i="23"/>
  <c r="N844" i="23"/>
  <c r="O844" i="23"/>
  <c r="P844" i="23"/>
  <c r="J336" i="12"/>
  <c r="C771" i="25"/>
  <c r="J831" i="12"/>
  <c r="J830" i="12"/>
  <c r="C552" i="25"/>
  <c r="C581" i="25"/>
  <c r="C54" i="25"/>
  <c r="C738" i="25"/>
  <c r="I369" i="12"/>
  <c r="N692" i="12"/>
  <c r="N676" i="12"/>
  <c r="N675" i="12"/>
  <c r="J595" i="23"/>
  <c r="M602" i="23"/>
  <c r="M604" i="23"/>
  <c r="P598" i="23"/>
  <c r="P595" i="23"/>
  <c r="K595" i="23"/>
  <c r="R602" i="23"/>
  <c r="H584" i="12"/>
  <c r="H582" i="12"/>
  <c r="H474" i="12"/>
  <c r="H733" i="12"/>
  <c r="H728" i="12"/>
  <c r="H685" i="12"/>
  <c r="H572" i="12"/>
  <c r="H682" i="12"/>
  <c r="I838" i="12"/>
  <c r="I476" i="12"/>
  <c r="I535" i="12"/>
  <c r="I549" i="12"/>
  <c r="I740" i="12"/>
  <c r="I568" i="12"/>
  <c r="I569" i="12"/>
  <c r="I677" i="12"/>
  <c r="K743" i="23"/>
  <c r="Q493" i="12"/>
  <c r="P794" i="23"/>
  <c r="U535" i="12"/>
  <c r="C97" i="25"/>
  <c r="P811" i="23"/>
  <c r="U549" i="12"/>
  <c r="K794" i="23"/>
  <c r="Q535" i="12"/>
  <c r="K811" i="23"/>
  <c r="Q549" i="12"/>
  <c r="K712" i="23"/>
  <c r="Q480" i="12"/>
  <c r="F229" i="9"/>
  <c r="P712" i="23"/>
  <c r="U480" i="12"/>
  <c r="F714" i="23"/>
  <c r="I739" i="12"/>
  <c r="I338" i="12"/>
  <c r="I831" i="12"/>
  <c r="I830" i="12"/>
  <c r="I602" i="23"/>
  <c r="J602" i="23"/>
  <c r="K602" i="23"/>
  <c r="N602" i="23"/>
  <c r="O602" i="23"/>
  <c r="P602" i="23"/>
  <c r="R604" i="23"/>
  <c r="I604" i="23"/>
  <c r="J604" i="23"/>
  <c r="K604" i="23"/>
  <c r="M606" i="23"/>
  <c r="I606" i="23"/>
  <c r="J606" i="23"/>
  <c r="K606" i="23"/>
  <c r="H677" i="12"/>
  <c r="H569" i="12"/>
  <c r="H568" i="12"/>
  <c r="H476" i="12"/>
  <c r="H535" i="12"/>
  <c r="H740" i="12"/>
  <c r="H739" i="12"/>
  <c r="H727" i="12"/>
  <c r="H549" i="12"/>
  <c r="H548" i="12"/>
  <c r="H13" i="25"/>
  <c r="I536" i="12"/>
  <c r="I493" i="12"/>
  <c r="I480" i="12"/>
  <c r="I488" i="12"/>
  <c r="I693" i="12"/>
  <c r="K740" i="23"/>
  <c r="Q490" i="12"/>
  <c r="P733" i="23"/>
  <c r="P732" i="23"/>
  <c r="U488" i="12"/>
  <c r="K733" i="23"/>
  <c r="K732" i="23"/>
  <c r="Q488" i="12"/>
  <c r="P743" i="23"/>
  <c r="U493" i="12"/>
  <c r="C736" i="25"/>
  <c r="I337" i="12"/>
  <c r="I675" i="12"/>
  <c r="I548" i="12"/>
  <c r="E742" i="23"/>
  <c r="I554" i="12"/>
  <c r="N604" i="23"/>
  <c r="O604" i="23"/>
  <c r="P604" i="23"/>
  <c r="R606" i="23"/>
  <c r="N606" i="23"/>
  <c r="O606" i="23"/>
  <c r="P606" i="23"/>
  <c r="H536" i="12"/>
  <c r="H693" i="12"/>
  <c r="H692" i="12"/>
  <c r="H676" i="12"/>
  <c r="H675" i="12"/>
  <c r="H674" i="12"/>
  <c r="H488" i="12"/>
  <c r="H468" i="12"/>
  <c r="H467" i="12"/>
  <c r="H336" i="12"/>
  <c r="H480" i="12"/>
  <c r="H493" i="12"/>
  <c r="I692" i="12"/>
  <c r="I727" i="12"/>
  <c r="I610" i="12"/>
  <c r="I490" i="12"/>
  <c r="I537" i="12"/>
  <c r="I539" i="12"/>
  <c r="I611" i="12"/>
  <c r="P740" i="23"/>
  <c r="U490" i="12"/>
  <c r="K801" i="23"/>
  <c r="Q539" i="12"/>
  <c r="P801" i="23"/>
  <c r="U539" i="12"/>
  <c r="P796" i="23"/>
  <c r="U537" i="12"/>
  <c r="K796" i="23"/>
  <c r="Q537" i="12"/>
  <c r="I676" i="12"/>
  <c r="J492" i="12"/>
  <c r="C894" i="25"/>
  <c r="P742" i="23"/>
  <c r="U492" i="12"/>
  <c r="C896" i="25"/>
  <c r="J742" i="23"/>
  <c r="N492" i="12"/>
  <c r="F742" i="23"/>
  <c r="M492" i="12"/>
  <c r="I468" i="12"/>
  <c r="H8" i="25"/>
  <c r="H539" i="12"/>
  <c r="H490" i="12"/>
  <c r="H473" i="12"/>
  <c r="H537" i="12"/>
  <c r="I567" i="12"/>
  <c r="H10" i="25"/>
  <c r="H611" i="12"/>
  <c r="H610" i="12"/>
  <c r="H567" i="12"/>
  <c r="I534" i="12"/>
  <c r="N674" i="12"/>
  <c r="N473" i="12"/>
  <c r="N472" i="12"/>
  <c r="N564" i="12"/>
  <c r="C918" i="25"/>
  <c r="C895" i="25"/>
  <c r="J473" i="12"/>
  <c r="J472" i="12"/>
  <c r="J564" i="12"/>
  <c r="J563" i="12"/>
  <c r="J471" i="12"/>
  <c r="J165" i="12"/>
  <c r="C917" i="25"/>
  <c r="K742" i="23"/>
  <c r="Q492" i="12"/>
  <c r="I336" i="12"/>
  <c r="I467" i="12"/>
  <c r="H534" i="12"/>
  <c r="H472" i="12"/>
  <c r="H10" i="12"/>
  <c r="I674" i="12"/>
  <c r="N563" i="12"/>
  <c r="N471" i="12"/>
  <c r="N165" i="12"/>
  <c r="C919" i="25"/>
  <c r="I492" i="12"/>
  <c r="I472" i="12"/>
  <c r="I473" i="12"/>
  <c r="I564" i="12"/>
  <c r="I2" i="25"/>
  <c r="I471" i="12"/>
  <c r="I563" i="12"/>
  <c r="H9" i="25"/>
  <c r="H564" i="12"/>
  <c r="H563" i="12"/>
  <c r="H11" i="12"/>
  <c r="H471" i="12"/>
  <c r="H165" i="12"/>
  <c r="U4" i="12"/>
  <c r="H9" i="12"/>
  <c r="U1" i="12"/>
  <c r="I120" i="12"/>
  <c r="I121" i="12"/>
  <c r="H17" i="25"/>
  <c r="I99" i="12"/>
  <c r="W3" i="12"/>
  <c r="I100" i="12"/>
  <c r="F110" i="23"/>
  <c r="M84" i="12"/>
  <c r="J12" i="12"/>
  <c r="K110" i="23"/>
  <c r="Q84" i="12"/>
  <c r="N12" i="12"/>
  <c r="P110" i="23"/>
  <c r="U84" i="12"/>
  <c r="I84" i="12"/>
  <c r="C248" i="25"/>
  <c r="I44" i="12"/>
  <c r="I96" i="12"/>
  <c r="H3" i="25"/>
  <c r="I95" i="12"/>
  <c r="I12" i="12"/>
  <c r="I43" i="12"/>
  <c r="F207" i="23"/>
  <c r="M151" i="12"/>
  <c r="K207" i="23"/>
  <c r="Q151" i="12"/>
  <c r="C448" i="25"/>
  <c r="P207" i="23"/>
  <c r="U151" i="12"/>
  <c r="I126" i="12"/>
  <c r="C449" i="25"/>
  <c r="I151" i="12"/>
  <c r="I162" i="12"/>
  <c r="H4" i="25"/>
  <c r="I161" i="12"/>
  <c r="I124" i="12"/>
  <c r="I125" i="12"/>
  <c r="F285" i="23"/>
  <c r="M185" i="12"/>
  <c r="C349" i="25"/>
  <c r="K285" i="23"/>
  <c r="Q185" i="12"/>
  <c r="C350" i="25"/>
  <c r="P285" i="23"/>
  <c r="U185" i="12"/>
  <c r="I167" i="12"/>
  <c r="C351" i="25"/>
  <c r="I185" i="12"/>
  <c r="I210" i="12"/>
  <c r="H7" i="25"/>
  <c r="I209" i="12"/>
  <c r="I166" i="12"/>
  <c r="F388" i="23"/>
  <c r="M283" i="12"/>
  <c r="C171" i="25"/>
  <c r="K388" i="23"/>
  <c r="Q283" i="12"/>
  <c r="C172" i="25"/>
  <c r="P388" i="23"/>
  <c r="U283" i="12"/>
  <c r="I283" i="12"/>
  <c r="I271" i="12"/>
  <c r="I214" i="12"/>
  <c r="I333" i="12"/>
  <c r="H5" i="25"/>
  <c r="C173" i="25"/>
  <c r="I332" i="12"/>
  <c r="I165" i="12"/>
  <c r="M633" i="12"/>
  <c r="U633" i="12"/>
  <c r="Q633" i="12"/>
  <c r="N633" i="12"/>
  <c r="I213" i="12"/>
  <c r="I633" i="12"/>
  <c r="F947" i="23"/>
  <c r="M631" i="12"/>
  <c r="C119" i="25"/>
  <c r="K947" i="23"/>
  <c r="Q631" i="12"/>
  <c r="N631" i="12"/>
  <c r="C126" i="25"/>
  <c r="N616" i="12"/>
  <c r="N643" i="12"/>
  <c r="C120" i="25"/>
  <c r="P947" i="23"/>
  <c r="U631" i="12"/>
  <c r="I631" i="12"/>
  <c r="C127" i="25"/>
  <c r="N642" i="12"/>
  <c r="N615" i="12"/>
  <c r="N614" i="12"/>
  <c r="I616" i="12"/>
  <c r="C121" i="25"/>
  <c r="I643" i="12"/>
  <c r="H11" i="25"/>
  <c r="I642" i="12"/>
  <c r="I615" i="12"/>
  <c r="I614" i="12"/>
  <c r="F976" i="23"/>
  <c r="M660" i="12"/>
  <c r="C522" i="25"/>
  <c r="J10" i="12"/>
  <c r="J11" i="12"/>
  <c r="J9" i="12"/>
  <c r="K976" i="23"/>
  <c r="Q660" i="12"/>
  <c r="N660" i="12"/>
  <c r="C511" i="25"/>
  <c r="N648" i="12"/>
  <c r="N10" i="12"/>
  <c r="N671" i="12"/>
  <c r="C523" i="25"/>
  <c r="N670" i="12"/>
  <c r="N11" i="12"/>
  <c r="N647" i="12"/>
  <c r="N646" i="12"/>
  <c r="N9" i="12"/>
  <c r="P976" i="23"/>
  <c r="U660" i="12"/>
  <c r="C512" i="25"/>
  <c r="C524" i="25"/>
  <c r="I648" i="12"/>
  <c r="I660" i="12"/>
  <c r="I10" i="12"/>
  <c r="I671" i="12"/>
  <c r="H12" i="25"/>
  <c r="H2" i="25"/>
  <c r="C2" i="25"/>
  <c r="J2" i="25"/>
  <c r="I670" i="12"/>
  <c r="I647" i="12"/>
  <c r="I646" i="12"/>
  <c r="I11" i="12"/>
  <c r="I9" i="12"/>
  <c r="U2" i="12"/>
  <c r="F2" i="25"/>
  <c r="AC2" i="12"/>
  <c r="U3" i="12"/>
  <c r="W2" i="12"/>
  <c r="X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Ives Siminio Fernandes</author>
    <author>Diogo Benatti</author>
  </authors>
  <commentList>
    <comment ref="B191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Alterado proejto otmiza Seara</t>
        </r>
      </text>
    </comment>
    <comment ref="B199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alterado proejto otmiza Seara</t>
        </r>
      </text>
    </comment>
    <comment ref="B323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Alterado proejto otmiza</t>
        </r>
      </text>
    </comment>
    <comment ref="B378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Alterado produtividade proejto otmiza</t>
        </r>
      </text>
    </comment>
    <comment ref="B418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Redução projeto otimiza</t>
        </r>
      </text>
    </comment>
    <comment ref="B569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Rebaixar meio peito 6,6s/pç
Cortar Cubos 7,3s/pç
Calibrar cubos 6,5s/pç
Classificar tiras 4,8 s/pç</t>
        </r>
      </text>
    </comment>
    <comment ref="B572" authorId="0" shapeId="0" xr:uid="{00000000-0006-0000-0600-000007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Rebaixar meio peito 6,8s/pç
Cortar tiras 7s/pç
Calibrar tiras 6,5/pç
Classificar tiras 4,8spç</t>
        </r>
      </text>
    </comment>
    <comment ref="B573" authorId="0" shapeId="0" xr:uid="{00000000-0006-0000-0600-000008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Cortar 1/2 peito 6,7s/pç
Calibrar/Classificar 7,9 s/ pç</t>
        </r>
      </text>
    </comment>
    <comment ref="B814" authorId="1" shapeId="0" xr:uid="{00000000-0006-0000-0600-000009000000}">
      <text>
        <r>
          <rPr>
            <b/>
            <sz val="9"/>
            <color indexed="81"/>
            <rFont val="Segoe UI"/>
            <family val="2"/>
          </rPr>
          <t>Diogo Benatti:</t>
        </r>
        <r>
          <rPr>
            <sz val="9"/>
            <color indexed="81"/>
            <rFont val="Segoe UI"/>
            <family val="2"/>
          </rPr>
          <t xml:space="preserve">
CIEX 81,7s
M.T.E 85s</t>
        </r>
      </text>
    </comment>
    <comment ref="B833" authorId="0" shapeId="0" xr:uid="{00000000-0006-0000-0600-00000A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Projeto otmiza</t>
        </r>
      </text>
    </comment>
    <comment ref="B1016" authorId="0" shapeId="0" xr:uid="{00000000-0006-0000-0600-00000B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Alteração proejto otmiza</t>
        </r>
      </text>
    </comment>
    <comment ref="B1109" authorId="0" shapeId="0" xr:uid="{00000000-0006-0000-0600-00000C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alteração proejto otmiza Seara</t>
        </r>
      </text>
    </comment>
    <comment ref="B1268" authorId="0" shapeId="0" xr:uid="{00000000-0006-0000-0600-00000D000000}">
      <text>
        <r>
          <rPr>
            <b/>
            <sz val="9"/>
            <color indexed="81"/>
            <rFont val="Segoe UI"/>
            <family val="2"/>
          </rPr>
          <t>Ives Siminio Fernandes:</t>
        </r>
        <r>
          <rPr>
            <sz val="9"/>
            <color indexed="81"/>
            <rFont val="Segoe UI"/>
            <family val="2"/>
          </rPr>
          <t xml:space="preserve">
Projeto otmiza Seara</t>
        </r>
      </text>
    </comment>
  </commentList>
</comments>
</file>

<file path=xl/sharedStrings.xml><?xml version="1.0" encoding="utf-8"?>
<sst xmlns="http://schemas.openxmlformats.org/spreadsheetml/2006/main" count="19264" uniqueCount="5401">
  <si>
    <t>ITO</t>
  </si>
  <si>
    <t>SIF</t>
  </si>
  <si>
    <t>CMS</t>
  </si>
  <si>
    <t>Pendura/ Sangria</t>
  </si>
  <si>
    <t>Descarregar Aves - Manual</t>
  </si>
  <si>
    <t>Operador Descarga Automática</t>
  </si>
  <si>
    <t>Abrir Gaiolas</t>
  </si>
  <si>
    <t>Pendurar Aves</t>
  </si>
  <si>
    <t>Empilhar Gaiolas</t>
  </si>
  <si>
    <t>Carregar Caminhão</t>
  </si>
  <si>
    <t>Sangrar Aves</t>
  </si>
  <si>
    <t>Repassar Sangria</t>
  </si>
  <si>
    <t>Transportar Aves Mortas</t>
  </si>
  <si>
    <t>Limpar Setor</t>
  </si>
  <si>
    <t>Líder</t>
  </si>
  <si>
    <t>Controle/Monitor</t>
  </si>
  <si>
    <t>Revezamento De Pausas</t>
  </si>
  <si>
    <t>Absenteísmo/Turnover</t>
  </si>
  <si>
    <t>Férias</t>
  </si>
  <si>
    <t>Operador Escalda/ Depenadeira</t>
  </si>
  <si>
    <t>Rependurar Frango (Transferidor)</t>
  </si>
  <si>
    <t>Rependurar Aves</t>
  </si>
  <si>
    <t>Cortar Traquéia</t>
  </si>
  <si>
    <t>Soltar Cabeça Dos Ganchos</t>
  </si>
  <si>
    <t>Extrair Cloaca</t>
  </si>
  <si>
    <t>Corte Abdominal</t>
  </si>
  <si>
    <t>Retirar Pacote De Vísceras</t>
  </si>
  <si>
    <t>Operador Linha De Evisceração</t>
  </si>
  <si>
    <t>Repassar Evisceração</t>
  </si>
  <si>
    <t>Rependurar Carcaça</t>
  </si>
  <si>
    <t>Separar Miúdos</t>
  </si>
  <si>
    <t>Separar Fígado</t>
  </si>
  <si>
    <t>Separar Coracão</t>
  </si>
  <si>
    <t>Separar Moela</t>
  </si>
  <si>
    <t>Extrair Pulmão</t>
  </si>
  <si>
    <t>Arrancar Cabeça</t>
  </si>
  <si>
    <t>Retirar Gordura</t>
  </si>
  <si>
    <t>Retirar Pulmão</t>
  </si>
  <si>
    <t>Retirar Pescoço - Manual</t>
  </si>
  <si>
    <t>Transporte Cortes/Miúdos</t>
  </si>
  <si>
    <t>Operador Chiller</t>
  </si>
  <si>
    <t>Pesar/Triturar Condenas</t>
  </si>
  <si>
    <t>Chairador</t>
  </si>
  <si>
    <t>Inspeção Ante Mortem</t>
  </si>
  <si>
    <t>Pré Inspeção</t>
  </si>
  <si>
    <t>Classificar Pés</t>
  </si>
  <si>
    <t>Embalar Pés</t>
  </si>
  <si>
    <t>Limpar/Revisar Fígado</t>
  </si>
  <si>
    <t>Revisar Coração</t>
  </si>
  <si>
    <t>Limpar Moela Rolos</t>
  </si>
  <si>
    <t>Revisar Moelas</t>
  </si>
  <si>
    <t>Embalar/Pesar Coração</t>
  </si>
  <si>
    <t>Embalar/Pesar Moela</t>
  </si>
  <si>
    <t>Embalar/Pesar Fígado</t>
  </si>
  <si>
    <t>Selar Miúdos</t>
  </si>
  <si>
    <t>Classificação De Sambiquira</t>
  </si>
  <si>
    <t>Embalar/Pesar Sambiquira</t>
  </si>
  <si>
    <t>Embalar/Pesar Pescoço</t>
  </si>
  <si>
    <t>Transportar Produtos</t>
  </si>
  <si>
    <t>Embalar Coração-Temp</t>
  </si>
  <si>
    <t>Frango Inteiro</t>
  </si>
  <si>
    <t>Revisar Carcaça</t>
  </si>
  <si>
    <t>Abastecer Classificadora</t>
  </si>
  <si>
    <t>Embalar Frango</t>
  </si>
  <si>
    <t>Selar Frango</t>
  </si>
  <si>
    <t>Pesar/Conferir</t>
  </si>
  <si>
    <t>Retirar Glândula</t>
  </si>
  <si>
    <t>Colocar Rede</t>
  </si>
  <si>
    <t>Preparar Carcaça 9 Partes</t>
  </si>
  <si>
    <t>Abastecer Seladora Grade B</t>
  </si>
  <si>
    <t>Arrumar Pacotes Na Caixa</t>
  </si>
  <si>
    <t>Abastecer Embalagens</t>
  </si>
  <si>
    <t>Abastecer Encaixotadora</t>
  </si>
  <si>
    <t>Abastecer Injetora</t>
  </si>
  <si>
    <t>Ensacar Temperado</t>
  </si>
  <si>
    <t>Rependura Norea Automática</t>
  </si>
  <si>
    <t>Abastecer Máquina Desossa Peito</t>
  </si>
  <si>
    <t>Desossar Carcaças Quebradas</t>
  </si>
  <si>
    <t>Peito</t>
  </si>
  <si>
    <t>Abastecer Esteira</t>
  </si>
  <si>
    <t>Abastecer Skinner</t>
  </si>
  <si>
    <t>Refilar Peito</t>
  </si>
  <si>
    <t>Revisar/Classificar Peito Refilado</t>
  </si>
  <si>
    <t>Abastecer Sensor Raio X</t>
  </si>
  <si>
    <t>Revisar Peito Após Raio X</t>
  </si>
  <si>
    <t>Embalar Peito Bloco</t>
  </si>
  <si>
    <t>Pesar Peito Bloco</t>
  </si>
  <si>
    <t>Embalar Peito</t>
  </si>
  <si>
    <t>Pesar Peito</t>
  </si>
  <si>
    <t>Selar Peito</t>
  </si>
  <si>
    <t>Classificar Sassami</t>
  </si>
  <si>
    <t>Embalar Sassami Bloco</t>
  </si>
  <si>
    <t>Pesar Sassami Bloco</t>
  </si>
  <si>
    <t>Embalar Sassami</t>
  </si>
  <si>
    <t>Pesar Sassami</t>
  </si>
  <si>
    <t>Selar Sassami</t>
  </si>
  <si>
    <t>Alimentar Classificadora De Sassami</t>
  </si>
  <si>
    <t>Abastecer Máquina Embaladora Continua</t>
  </si>
  <si>
    <t>Preparar Condimentos</t>
  </si>
  <si>
    <t>Salgar Cortes</t>
  </si>
  <si>
    <t>Embalar - Temp</t>
  </si>
  <si>
    <t>Pesar - Temp</t>
  </si>
  <si>
    <t>Selar - Temp</t>
  </si>
  <si>
    <t>Classificar E Embalar Cartilagem</t>
  </si>
  <si>
    <t>Limpar Medalhão</t>
  </si>
  <si>
    <t xml:space="preserve">Selar Recortes </t>
  </si>
  <si>
    <t>Classificar / Embalar Pele</t>
  </si>
  <si>
    <t>Perna</t>
  </si>
  <si>
    <t>Abastecer Mesa</t>
  </si>
  <si>
    <t>Riscar Perna</t>
  </si>
  <si>
    <t>Desossar Perna</t>
  </si>
  <si>
    <t>Revisar Desossa Perna</t>
  </si>
  <si>
    <t>Calibrar Manual</t>
  </si>
  <si>
    <t>Embalar Perna Pct</t>
  </si>
  <si>
    <t>Pesar Pacotes</t>
  </si>
  <si>
    <t>Selar Pacotes</t>
  </si>
  <si>
    <t>Separar Coxa/Sobrecoxa</t>
  </si>
  <si>
    <t>Classificar Coxa/Sobrecoxa</t>
  </si>
  <si>
    <t>Retirar Pele Da Perna</t>
  </si>
  <si>
    <t>Abastecer Modulo 1(B-36)</t>
  </si>
  <si>
    <t>Abastecer Modulo 2(B-22)</t>
  </si>
  <si>
    <t>Asa</t>
  </si>
  <si>
    <t>Abastecer Classificadora (Asa)</t>
  </si>
  <si>
    <t>Classificar Asas</t>
  </si>
  <si>
    <t>Embalar Asa Pacote</t>
  </si>
  <si>
    <t>Pesar Asa Pacote</t>
  </si>
  <si>
    <t>Selar Asa Pacote</t>
  </si>
  <si>
    <t>Interfolhar Asa Bloco</t>
  </si>
  <si>
    <t>Pesar Asa Bloco</t>
  </si>
  <si>
    <t>Cortar Asas Manual</t>
  </si>
  <si>
    <t>Repouso Térmico</t>
  </si>
  <si>
    <t>Abastecer Máquina De Montar Caixas</t>
  </si>
  <si>
    <t>Montar Caixas Manual</t>
  </si>
  <si>
    <t>Carimbar Embalagens</t>
  </si>
  <si>
    <t>Carimbar Etiquetas</t>
  </si>
  <si>
    <t>Etiquetar Caixas</t>
  </si>
  <si>
    <t>Abastecer Caixas</t>
  </si>
  <si>
    <t>Operador De Empilhadeira/Paleteira</t>
  </si>
  <si>
    <t>Descarga De Caminhões</t>
  </si>
  <si>
    <t>Etiquetar Bandejas</t>
  </si>
  <si>
    <t>Encaixotar Bandejas</t>
  </si>
  <si>
    <t>Controlar Câmara</t>
  </si>
  <si>
    <t>Abastecer Envelopadora</t>
  </si>
  <si>
    <t>Abastecer Cortes</t>
  </si>
  <si>
    <t>Revisar Pacotes</t>
  </si>
  <si>
    <t>Abastecer Seladora</t>
  </si>
  <si>
    <t>Posicionar Caixas Máquina Plastificadora</t>
  </si>
  <si>
    <t>Paletizar Produtos</t>
  </si>
  <si>
    <t>Abastecer Arqueadeira</t>
  </si>
  <si>
    <t>Transportar Palete</t>
  </si>
  <si>
    <t>Strechar Palete</t>
  </si>
  <si>
    <t>Pendurar Caixa Vazia Na Nórea</t>
  </si>
  <si>
    <t>Consertar Pallets</t>
  </si>
  <si>
    <t>Congelamento</t>
  </si>
  <si>
    <t>Colocar/Retirar Gaiolas Túnel Estatico</t>
  </si>
  <si>
    <t>Abastecer/Descarregar Congelador</t>
  </si>
  <si>
    <t>Expedição/ Logistica</t>
  </si>
  <si>
    <t>Operar Empilhadeira/ Paleteira</t>
  </si>
  <si>
    <t>Conferente</t>
  </si>
  <si>
    <t>Assistente De Logística</t>
  </si>
  <si>
    <t>Assistente De Transporte</t>
  </si>
  <si>
    <t>Endereçador</t>
  </si>
  <si>
    <t>Supervisor De Transporte</t>
  </si>
  <si>
    <t>Coordenador De Logística</t>
  </si>
  <si>
    <t>Cortes DIF</t>
  </si>
  <si>
    <t>Classicação Visual BLK</t>
  </si>
  <si>
    <t>Abastecer Classificadora De BLK</t>
  </si>
  <si>
    <t>Embalar BLK</t>
  </si>
  <si>
    <t>Pesar BLK</t>
  </si>
  <si>
    <t>Abastecer Seladora a Vácuo</t>
  </si>
  <si>
    <t>Arrumar Pacotes na Caixa</t>
  </si>
  <si>
    <t>Abastecer Máquina de Cortar Asas</t>
  </si>
  <si>
    <t>Abastecer Máquina de Cortar Meio Da Asa</t>
  </si>
  <si>
    <t>Operador CMS/CMR</t>
  </si>
  <si>
    <t>Abastecer Congelador de Placas</t>
  </si>
  <si>
    <t>Ensacar e Pesagem do CMS</t>
  </si>
  <si>
    <t>Embalar CMS</t>
  </si>
  <si>
    <t>Pesar CMS</t>
  </si>
  <si>
    <t>Selar CMS</t>
  </si>
  <si>
    <t>Ensacar e Pesagem do CMR</t>
  </si>
  <si>
    <t>Embalar CMR</t>
  </si>
  <si>
    <t>Pesar CMR</t>
  </si>
  <si>
    <t>Selar CMR</t>
  </si>
  <si>
    <t>Lavar Caminhão, Recolher Aves e Consertar Gaiolas</t>
  </si>
  <si>
    <t>Revezamento de Pausas</t>
  </si>
  <si>
    <t>Abastecer Máquina de Separar Miúdos</t>
  </si>
  <si>
    <t>Retirada de Miúdos</t>
  </si>
  <si>
    <t>Repassar Traqueia e Esofago</t>
  </si>
  <si>
    <t>Repassar Retirada de Pescoço</t>
  </si>
  <si>
    <t>Revisar Frango PCC 2</t>
  </si>
  <si>
    <t>Cortes Condicionais DIF</t>
  </si>
  <si>
    <t>Operador Máquina de Gelo</t>
  </si>
  <si>
    <t>Abastecer Chiller com Gelo</t>
  </si>
  <si>
    <t>Pesar e Selar Pés</t>
  </si>
  <si>
    <t>Embalar, Pesar e Selar Gordura</t>
  </si>
  <si>
    <t>Miúdos</t>
  </si>
  <si>
    <t>Revisão Corte Ponta do Peito</t>
  </si>
  <si>
    <t>Revisão Corte Peito e Costela</t>
  </si>
  <si>
    <t>Revisão Corte da Asa</t>
  </si>
  <si>
    <t>Revisão da Coxa</t>
  </si>
  <si>
    <t>Revisão da Sobrecoxa</t>
  </si>
  <si>
    <t>Conferir Peso e Arrumar Pacotes na Caixa</t>
  </si>
  <si>
    <t>Embalar e Pesar Grade B</t>
  </si>
  <si>
    <t>Operador de Injetora</t>
  </si>
  <si>
    <t>Selar Pacotes de Temperados</t>
  </si>
  <si>
    <t>Repasse Desossa do Peito</t>
  </si>
  <si>
    <t>Recolher e Transportar Recortes</t>
  </si>
  <si>
    <t>Embalar e Pesar Dorso</t>
  </si>
  <si>
    <t>Cortar Frango a Passarinho</t>
  </si>
  <si>
    <t>Abastecer Máquina De Frango a Passarinho</t>
  </si>
  <si>
    <t>Classificar Frango a Passarinho</t>
  </si>
  <si>
    <t>Transportar Bacias, Caixas Plasticas e Embalagens</t>
  </si>
  <si>
    <t>Retirar Pele da Norea</t>
  </si>
  <si>
    <t>Afiação de Facas</t>
  </si>
  <si>
    <t>Lavar Caixas e Utensílios</t>
  </si>
  <si>
    <t>Revisar Peito após Desossa</t>
  </si>
  <si>
    <t>Cortar Tendão do Sassami</t>
  </si>
  <si>
    <t>Classificar e Embalar Cartilagem</t>
  </si>
  <si>
    <t xml:space="preserve">Embalar e Pesar Recortes </t>
  </si>
  <si>
    <t>Revisar Retirada de Perna</t>
  </si>
  <si>
    <t>Embalar Perna Bloco c/Osso</t>
  </si>
  <si>
    <t>Pesar Perna Bloco c/Osso</t>
  </si>
  <si>
    <t>Classificar Perna s/Pele</t>
  </si>
  <si>
    <t>Embalar/Pesar Perna s/Pele</t>
  </si>
  <si>
    <t>Finalização de Processo</t>
  </si>
  <si>
    <t>Abastecer Achatadora de Pacotes</t>
  </si>
  <si>
    <t>Acondicionar Pacotes em Caixas</t>
  </si>
  <si>
    <t>Checar Peso da Caixa</t>
  </si>
  <si>
    <t>Retirar Divisórias das Caixas</t>
  </si>
  <si>
    <t>Virar Produto Congelado na Esteira</t>
  </si>
  <si>
    <t>Virar Produtos na Caixa</t>
  </si>
  <si>
    <t>Tampar Caixas de Papelão</t>
  </si>
  <si>
    <t>Colar Etiqueta na Caixa</t>
  </si>
  <si>
    <t>Operador Detector de Metais</t>
  </si>
  <si>
    <t>Indiretos</t>
  </si>
  <si>
    <t>AFF</t>
  </si>
  <si>
    <t>Evisceração</t>
  </si>
  <si>
    <t>Revisar Aves após Depenagem</t>
  </si>
  <si>
    <t>Shawarma</t>
  </si>
  <si>
    <t>Embalar e Pesar Frango a Passarinho</t>
  </si>
  <si>
    <t>Sassami</t>
  </si>
  <si>
    <t>Abate de Aves</t>
  </si>
  <si>
    <t>Sala de Miúdos</t>
  </si>
  <si>
    <t>Sala de Cortes Aves</t>
  </si>
  <si>
    <t>Frango 9 Cortes</t>
  </si>
  <si>
    <t>Peito Filetado</t>
  </si>
  <si>
    <t>Peito in Natura</t>
  </si>
  <si>
    <t>Peito temperado</t>
  </si>
  <si>
    <t>Peito Chunck</t>
  </si>
  <si>
    <t>BL</t>
  </si>
  <si>
    <t>BL Automático</t>
  </si>
  <si>
    <t>Abastecer Classificadora (Perna s/O)</t>
  </si>
  <si>
    <t>MP s/Pele</t>
  </si>
  <si>
    <t>Kakugiri</t>
  </si>
  <si>
    <t>Asa MJ</t>
  </si>
  <si>
    <t>Padronização e Embalagem</t>
  </si>
  <si>
    <t>Linha de Bandeja</t>
  </si>
  <si>
    <t>Alimentar Esteira do Túnel</t>
  </si>
  <si>
    <t>Arrumar Pacotes na Caixa/Forma</t>
  </si>
  <si>
    <t>Embaladora de Caneca</t>
  </si>
  <si>
    <t>IQF</t>
  </si>
  <si>
    <t>Embalagem secundária</t>
  </si>
  <si>
    <t>Paletização</t>
  </si>
  <si>
    <t>Operador Túnel de Congelamento</t>
  </si>
  <si>
    <t>Organizar Caixas Entrada/Saída do Túnel</t>
  </si>
  <si>
    <t>Embandejar Produtos - Asa</t>
  </si>
  <si>
    <t>Pesar Produtos em Bandejas</t>
  </si>
  <si>
    <t>Colocar Bandejas em Grades</t>
  </si>
  <si>
    <t>Limpeza e Higienização</t>
  </si>
  <si>
    <t>Fábrica de Farinhas - Aves</t>
  </si>
  <si>
    <t>Subprodutos</t>
  </si>
  <si>
    <t>Fábrica de Farinha</t>
  </si>
  <si>
    <t>Tempo Padrão (s)</t>
  </si>
  <si>
    <t>Carga de Trabalho</t>
  </si>
  <si>
    <t>Peças/hora</t>
  </si>
  <si>
    <t>Abate de aves</t>
  </si>
  <si>
    <t>Recepção/sangria</t>
  </si>
  <si>
    <t>Não</t>
  </si>
  <si>
    <t>Horas trabalhadas</t>
  </si>
  <si>
    <t>Descarregamento automático de gaiolas</t>
  </si>
  <si>
    <t>Eficiência meta</t>
  </si>
  <si>
    <t>Abridor automático de gaiolas</t>
  </si>
  <si>
    <t>Carregamento automático de gaiolas</t>
  </si>
  <si>
    <t>Funcionário Halal faz o repasse da sangria</t>
  </si>
  <si>
    <t>Tipo de frango</t>
  </si>
  <si>
    <t>Stork</t>
  </si>
  <si>
    <t>Número de funcionários DIF</t>
  </si>
  <si>
    <t>Sala de miúdos</t>
  </si>
  <si>
    <t>Sala de cortes</t>
  </si>
  <si>
    <t>Embalagem frango inteiro</t>
  </si>
  <si>
    <t>Velocidade da linha (fr/hr)</t>
  </si>
  <si>
    <t xml:space="preserve">Número de linhas </t>
  </si>
  <si>
    <t>Frango 9 cortes</t>
  </si>
  <si>
    <t>Grandes cortes</t>
  </si>
  <si>
    <t>Tipo de linha</t>
  </si>
  <si>
    <t>Automático</t>
  </si>
  <si>
    <t>Núm. de máq. Grandes Cortes</t>
  </si>
  <si>
    <t>Núm. de máq. Peito</t>
  </si>
  <si>
    <t>Núm. de linhas de cone</t>
  </si>
  <si>
    <t>Núm. De linhas de nórea</t>
  </si>
  <si>
    <t>Velocidade da linha Shawarma</t>
  </si>
  <si>
    <t>Número de linhas Shawarma</t>
  </si>
  <si>
    <t>Sim</t>
  </si>
  <si>
    <t>Número de Mesas</t>
  </si>
  <si>
    <t>Número de máquinas Raio X</t>
  </si>
  <si>
    <t>Alim. Classif. Automático</t>
  </si>
  <si>
    <t xml:space="preserve">Padronização/embalagem </t>
  </si>
  <si>
    <t>Embaladora Ulma</t>
  </si>
  <si>
    <t>Caixaria</t>
  </si>
  <si>
    <t>Núm. de máq montar caixa</t>
  </si>
  <si>
    <t>% de caixa manual</t>
  </si>
  <si>
    <t>% de caixa automática</t>
  </si>
  <si>
    <t>Carimbar etiqueta</t>
  </si>
  <si>
    <t>Congelamento aves</t>
  </si>
  <si>
    <t>Núm de caixas/hora</t>
  </si>
  <si>
    <t>Número de blocos/hora</t>
  </si>
  <si>
    <t>Núm de lacres/hora</t>
  </si>
  <si>
    <t>Núm de paletes/hora</t>
  </si>
  <si>
    <t>Núm de plastificadoras</t>
  </si>
  <si>
    <t>Núm de esteiras túnel</t>
  </si>
  <si>
    <t>Núm de túneis</t>
  </si>
  <si>
    <t>Utiliza divisórias</t>
  </si>
  <si>
    <t>Griller</t>
  </si>
  <si>
    <t>Possui máquina de Evisceração</t>
  </si>
  <si>
    <t>Chiller</t>
  </si>
  <si>
    <t>Embalar/Pesar Fígado 0,5 kg</t>
  </si>
  <si>
    <t>Embalar/Pesar Fígado 1 kg</t>
  </si>
  <si>
    <t>Rependurar na Máquina de Corte 9 Partes</t>
  </si>
  <si>
    <t>Cortes Primários</t>
  </si>
  <si>
    <t>Linha de Cone</t>
  </si>
  <si>
    <t>Linha de Nórea</t>
  </si>
  <si>
    <t>Linha Automática</t>
  </si>
  <si>
    <t>Alinhar Peito</t>
  </si>
  <si>
    <t>Opções</t>
  </si>
  <si>
    <t>Cortes</t>
  </si>
  <si>
    <t>Tipo de evisceração</t>
  </si>
  <si>
    <t>Manual</t>
  </si>
  <si>
    <t>Pancover</t>
  </si>
  <si>
    <t>Cone</t>
  </si>
  <si>
    <t>Nórea</t>
  </si>
  <si>
    <t>Retirar pele MP s/p</t>
  </si>
  <si>
    <t>Embalar ponta da asa</t>
  </si>
  <si>
    <t>Abastecer/Inspecionar MP CMS/CMR</t>
  </si>
  <si>
    <t>Imprimir Etiquetas</t>
  </si>
  <si>
    <t>Recolher frangos caídos</t>
  </si>
  <si>
    <t>DESCARREGAR AVES - MANUAL</t>
  </si>
  <si>
    <t>OPERADOR DESCARGA AUTOMÁTICA</t>
  </si>
  <si>
    <t>ABRIR GAIOLAS</t>
  </si>
  <si>
    <t>PENDURAR AVES</t>
  </si>
  <si>
    <t>EMPILHAR GAIOLAS</t>
  </si>
  <si>
    <t>CARREGAR CAMINHÃO</t>
  </si>
  <si>
    <t>LAVAR CAMINHÃO, RECOLHER AVES E CONSERTAR GAIOLAS</t>
  </si>
  <si>
    <t>SANGRAR AVES</t>
  </si>
  <si>
    <t>REPASSAR SANGRIA</t>
  </si>
  <si>
    <t>TRANSPORTAR AVES MORTAS</t>
  </si>
  <si>
    <t>LIMPAR SETOR</t>
  </si>
  <si>
    <t>LÍDER</t>
  </si>
  <si>
    <t>CONTROLE/MONITOR</t>
  </si>
  <si>
    <t>REVEZAMENTO DE PAUSAS</t>
  </si>
  <si>
    <t>ABSENTEÍSMO/TURNOVER</t>
  </si>
  <si>
    <t>FÉRIAS</t>
  </si>
  <si>
    <t>OPERADOR ESCALDA/ DEPENADEIRA</t>
  </si>
  <si>
    <t>REVISAR AVES APÓS DEPENAGEM</t>
  </si>
  <si>
    <t>RECOLHER FRANGOS CAÍDOS</t>
  </si>
  <si>
    <t>REPENDURAR FRANGO (TRANSFERIDOR)</t>
  </si>
  <si>
    <t>REPENDURAR AVES</t>
  </si>
  <si>
    <t>CORTAR TRAQUÉIA</t>
  </si>
  <si>
    <t>EXTRAIR CLOACA</t>
  </si>
  <si>
    <t>CORTE ABDOMINAL</t>
  </si>
  <si>
    <t>RETIRAR PACOTE DE VÍSCERAS</t>
  </si>
  <si>
    <t>OPERADOR LINHA DE EVISCERAÇÃO</t>
  </si>
  <si>
    <t>REPASSAR EVISCERAÇÃO</t>
  </si>
  <si>
    <t>REPENDURAR CARCAÇA</t>
  </si>
  <si>
    <t>RETIRADA DE MIÚDOS</t>
  </si>
  <si>
    <t>SEPARAR MIÚDOS</t>
  </si>
  <si>
    <t>ABASTECER MÁQUINA DE SEPARAR MIÚDOS</t>
  </si>
  <si>
    <t>SEPARAR FÍGADO</t>
  </si>
  <si>
    <t>SEPARAR CORACÃO</t>
  </si>
  <si>
    <t>RETIRAR GORDURA</t>
  </si>
  <si>
    <t>SEPARAR MOELA</t>
  </si>
  <si>
    <t>EXTRAIR PULMÃO</t>
  </si>
  <si>
    <t>ARRANCAR CABEÇA</t>
  </si>
  <si>
    <t>RETIRAR PULMÃO</t>
  </si>
  <si>
    <t>REPASSAR TRAQUEIA E ESOFAGO</t>
  </si>
  <si>
    <t>REPASSAR RETIRADA DE PESCOÇO</t>
  </si>
  <si>
    <t>REVISAR FRANGO PCC 2</t>
  </si>
  <si>
    <t>TOALETE CARCAÇAS PCC2</t>
  </si>
  <si>
    <t>RETIRAR PESCOÇO - MANUAL</t>
  </si>
  <si>
    <t>CORTES CONDICIONAIS DIF</t>
  </si>
  <si>
    <t>TRANSPORTE CORTES/MIÚDOS</t>
  </si>
  <si>
    <t>OPERADOR CHILLER</t>
  </si>
  <si>
    <t>OPERADOR MÁQUINA DE GELO</t>
  </si>
  <si>
    <t>ABASTECER CHILLER COM GELO</t>
  </si>
  <si>
    <t>PESAR/TRITURAR CONDENAS</t>
  </si>
  <si>
    <t>CHAIRADOR</t>
  </si>
  <si>
    <t>CLASSIFICAR PÉS</t>
  </si>
  <si>
    <t>EMBALAR PÉS</t>
  </si>
  <si>
    <t>PESAR E SELAR PÉS</t>
  </si>
  <si>
    <t>LIMPAR/REVISAR FÍGADO</t>
  </si>
  <si>
    <t>REVISAR CORAÇÃO</t>
  </si>
  <si>
    <t>LIMPAR MOELA ROLOS</t>
  </si>
  <si>
    <t>REVISAR MOELAS</t>
  </si>
  <si>
    <t>EMBALAR/PESAR CORAÇÃO</t>
  </si>
  <si>
    <t>EMBALAR/PESAR MOELA</t>
  </si>
  <si>
    <t>EMBALAR/PESAR FÍGADO</t>
  </si>
  <si>
    <t>SELAR MIÚDOS</t>
  </si>
  <si>
    <t>CLASSIFICAÇÃO DE SAMBIQUIRA</t>
  </si>
  <si>
    <t>EMBALAR/PESAR SAMBIQUIRA</t>
  </si>
  <si>
    <t>EMBALAR/PESAR PESCOÇO</t>
  </si>
  <si>
    <t>EMBALAR, PESAR E SELAR GORDURA</t>
  </si>
  <si>
    <t>TRANSPORTAR PRODUTOS</t>
  </si>
  <si>
    <t>ABASTECER TAMBLER</t>
  </si>
  <si>
    <t>EMBALAR CORAÇÃO-TEMP</t>
  </si>
  <si>
    <t>REVISAR CARCAÇA</t>
  </si>
  <si>
    <t>ABASTECER CLASSIFICADORA</t>
  </si>
  <si>
    <t>EMBALAR FRANGO</t>
  </si>
  <si>
    <t>SELAR FRANGO</t>
  </si>
  <si>
    <t>COLOCAR FRANGO NA CAIXA</t>
  </si>
  <si>
    <t>PESAR/CONFERIR</t>
  </si>
  <si>
    <t>ABASTECER MÁQUINA DE PACOTINHOS DE MIÚDOS</t>
  </si>
  <si>
    <t>INSERIR PACOTES DE MIÚDOS</t>
  </si>
  <si>
    <t>RETIRAR GLÂNDULA</t>
  </si>
  <si>
    <t>COLOCAR REDE</t>
  </si>
  <si>
    <t>PREPARAR CARCAÇA 9 PARTES</t>
  </si>
  <si>
    <t>REPENDURAR NA MÁQUINA DE CORTE 9 PARTES</t>
  </si>
  <si>
    <t>REVISÃO CORTE PONTA DO PEITO</t>
  </si>
  <si>
    <t>REVISÃO CORTE PEITO E COSTELA</t>
  </si>
  <si>
    <t>REVISÃO CORTE DA ASA</t>
  </si>
  <si>
    <t>REVISÃO DA COXA</t>
  </si>
  <si>
    <t>REVISÃO DA SOBRECOXA</t>
  </si>
  <si>
    <t>CONFERIR PESO E ARRUMAR PACOTES NA CAIXA</t>
  </si>
  <si>
    <t>EMBALAR E PESAR GRADE B</t>
  </si>
  <si>
    <t>ABASTECER SELADORA GRADE B</t>
  </si>
  <si>
    <t>ARRUMAR PACOTES NA CAIXA</t>
  </si>
  <si>
    <t>OPERADOR DE INJETORA</t>
  </si>
  <si>
    <t>ABASTECER EMBALAGENS</t>
  </si>
  <si>
    <t>ABASTECER ENCAIXOTADORA</t>
  </si>
  <si>
    <t>ABASTECER INJETORA</t>
  </si>
  <si>
    <t>ENSACAR TEMPERADO</t>
  </si>
  <si>
    <t>SELAR PACOTES DE TEMPERADOS</t>
  </si>
  <si>
    <t>REPENDURA NOREA AUTOMÁTICA</t>
  </si>
  <si>
    <t>ABASTECER MÁQUINA DESOSSA PEITO</t>
  </si>
  <si>
    <t>REPASSE DESOSSA DO PEITO</t>
  </si>
  <si>
    <t>DESOSSAR CARCAÇAS QUEBRADAS</t>
  </si>
  <si>
    <t>RECOLHER E TRANSPORTAR RECORTES</t>
  </si>
  <si>
    <t>EMBALAR E PESAR DORSO</t>
  </si>
  <si>
    <t>CORTAR FRANGO A PASSARINHO</t>
  </si>
  <si>
    <t>ABASTECER MÁQUINA DE FRANGO A PASSARINHO</t>
  </si>
  <si>
    <t>CLASSIFICAR FRANGO A PASSARINHO</t>
  </si>
  <si>
    <t>EMBALAR E PESAR FRANGO A PASSARINHO</t>
  </si>
  <si>
    <t>TRANSPORTAR BACIAS, CAIXAS PLASTICAS E EMBALAGENS</t>
  </si>
  <si>
    <t>CORTES DIF</t>
  </si>
  <si>
    <t>RETIRAR PELE DA NOREA</t>
  </si>
  <si>
    <t>AFIAÇÃO DE FACAS</t>
  </si>
  <si>
    <t>LAVAR CAIXAS E UTENSÍLIOS</t>
  </si>
  <si>
    <t>REVISAR PEITO APÓS DESOSSA</t>
  </si>
  <si>
    <t>ABASTECER ESTEIRA</t>
  </si>
  <si>
    <t>ABASTECER SKINNER</t>
  </si>
  <si>
    <t>REFILAR PEITO</t>
  </si>
  <si>
    <t>REVISAR/CLASSIFICAR PEITO REFILADO</t>
  </si>
  <si>
    <t>ABASTECER SENSOR RAIO X</t>
  </si>
  <si>
    <t>REVISAR PEITO APÓS RAIO X</t>
  </si>
  <si>
    <t>EMBALAR PEITO BLOCO</t>
  </si>
  <si>
    <t>PESAR PEITO BLOCO</t>
  </si>
  <si>
    <t>EMBALAR PEITO</t>
  </si>
  <si>
    <t>PESAR PEITO</t>
  </si>
  <si>
    <t>SELAR PEITO</t>
  </si>
  <si>
    <t>CLASSIFICAR SASSAMI</t>
  </si>
  <si>
    <t>CORTAR TENDÃO DO SASSAMI</t>
  </si>
  <si>
    <t>EMBALAR SASSAMI BLOCO</t>
  </si>
  <si>
    <t>PESAR SASSAMI BLOCO</t>
  </si>
  <si>
    <t>EMBALAR SASSAMI</t>
  </si>
  <si>
    <t>PESAR SASSAMI</t>
  </si>
  <si>
    <t>SELAR SASSAMI</t>
  </si>
  <si>
    <t>ALIMENTAR CLASSIFICADORA DE SASSAMI</t>
  </si>
  <si>
    <t>ABASTECER MÁQUINA EMBALADORA CONTINUA</t>
  </si>
  <si>
    <t>ABASTECER SELADORA A VÁCUO</t>
  </si>
  <si>
    <t>PREPARAR CONDIMENTOS</t>
  </si>
  <si>
    <t>CARREGAR E DESCARREGAR TAMBLER</t>
  </si>
  <si>
    <t>SALGAR CORTES</t>
  </si>
  <si>
    <t>EMBALAR - TEMP</t>
  </si>
  <si>
    <t>PESAR - TEMP</t>
  </si>
  <si>
    <t>SELAR - TEMP</t>
  </si>
  <si>
    <t>CLASSIFICAR E EMBALAR CARTILAGEM</t>
  </si>
  <si>
    <t>LIMPAR MEDALHÃO</t>
  </si>
  <si>
    <t xml:space="preserve">EMBALAR E PESAR RECORTES </t>
  </si>
  <si>
    <t xml:space="preserve">SELAR RECORTES </t>
  </si>
  <si>
    <t>CLASSIFICAR / EMBALAR PELE</t>
  </si>
  <si>
    <t>FINALIZAÇÃO DE PROCESSO</t>
  </si>
  <si>
    <t>ABASTECER MESA</t>
  </si>
  <si>
    <t>REVISAR RETIRADA DE PERNA</t>
  </si>
  <si>
    <t>RISCAR PERNA</t>
  </si>
  <si>
    <t>ABASTECER MÁQUINA DE DESOSSA</t>
  </si>
  <si>
    <t>CALIBRAR MANUAL</t>
  </si>
  <si>
    <t>DESOSSAR PERNA</t>
  </si>
  <si>
    <t>REVISAR DESOSSA PERNA</t>
  </si>
  <si>
    <t>ABASTECER CLASSIFICADORA (PERNA S/O)</t>
  </si>
  <si>
    <t>EMBALAR PERNA PCT</t>
  </si>
  <si>
    <t>PESAR PACOTES</t>
  </si>
  <si>
    <t>SELAR PACOTES</t>
  </si>
  <si>
    <t>SEPARAR COXA/SOBRECOXA</t>
  </si>
  <si>
    <t>CLASSIFICAR COXA/SOBRECOXA</t>
  </si>
  <si>
    <t>EMBALAR PERNA BLOCO C/OSSO</t>
  </si>
  <si>
    <t>PESAR PERNA BLOCO C/OSSO</t>
  </si>
  <si>
    <t>RETIRAR PELE DA PERNA</t>
  </si>
  <si>
    <t>CLASSIFICAR PERNA S/PELE</t>
  </si>
  <si>
    <t>EMBALAR/PESAR PERNA S/PELE</t>
  </si>
  <si>
    <t>ABASTECER ESTEIRA DE CONTATO</t>
  </si>
  <si>
    <t>ABASTECER MODULO 1(B-36)</t>
  </si>
  <si>
    <t>ABASTECER MODULO 2(B-22)</t>
  </si>
  <si>
    <t>CLASSICAÇÃO VISUAL BLK</t>
  </si>
  <si>
    <t>ABASTECER CLASSIFICADORA DE BLK</t>
  </si>
  <si>
    <t>EMBALAR BLK</t>
  </si>
  <si>
    <t>PESAR BLK</t>
  </si>
  <si>
    <t>ABASTECER CLASSIFICADORA (ASA)</t>
  </si>
  <si>
    <t>ABASTECER MÁQUINA DE CORTAR ASAS</t>
  </si>
  <si>
    <t>ABASTECER MÁQUINA DE CORTAR MEIO DA ASA</t>
  </si>
  <si>
    <t>CLASSIFICAR ASAS</t>
  </si>
  <si>
    <t>EMBALAR ASA PACOTE</t>
  </si>
  <si>
    <t>PESAR ASA PACOTE</t>
  </si>
  <si>
    <t>SELAR ASA PACOTE</t>
  </si>
  <si>
    <t>INTERFOLHAR ASA BLOCO</t>
  </si>
  <si>
    <t>PESAR ASA BLOCO</t>
  </si>
  <si>
    <t>CORTAR ASAS MANUAL</t>
  </si>
  <si>
    <t>OPERADOR CMS/CMR</t>
  </si>
  <si>
    <t>ABASTECER/INSPECIONAR MP CMS/CMR</t>
  </si>
  <si>
    <t>ABASTECER CONGELADOR DE PLACAS</t>
  </si>
  <si>
    <t>ENSACAR E PESAGEM DO CMS</t>
  </si>
  <si>
    <t>EMBALAR CMS</t>
  </si>
  <si>
    <t>PESAR CMS</t>
  </si>
  <si>
    <t>SELAR CMS</t>
  </si>
  <si>
    <t>ENSACAR E PESAGEM DO CMR</t>
  </si>
  <si>
    <t>EMBALAR CMR</t>
  </si>
  <si>
    <t>PESAR CMR</t>
  </si>
  <si>
    <t>SELAR CMR</t>
  </si>
  <si>
    <t>REPOUSO TÉRMICO</t>
  </si>
  <si>
    <t>ABASTECER MÁQUINA DE MONTAR CAIXAS</t>
  </si>
  <si>
    <t>MONTAR CAIXAS MANUAL</t>
  </si>
  <si>
    <t>CARIMBAR EMBALAGENS</t>
  </si>
  <si>
    <t>CARIMBAR ETIQUETAS</t>
  </si>
  <si>
    <t>ETIQUETAR CAIXAS</t>
  </si>
  <si>
    <t>ABASTECER CAIXAS</t>
  </si>
  <si>
    <t>OPERADOR DE EMPILHADEIRA/PALETEIRA</t>
  </si>
  <si>
    <t>EMBANDEJAR PRODUTOS</t>
  </si>
  <si>
    <t>PESAR PRODUTOS EM BANDEJAS</t>
  </si>
  <si>
    <t>ABASTECER MÁQUINA DE BANDEJA</t>
  </si>
  <si>
    <t>ETIQUETAR BANDEJAS</t>
  </si>
  <si>
    <t>ENCAIXOTAR BANDEJAS</t>
  </si>
  <si>
    <t>COLOCAR BANDEJAS EM GRADES</t>
  </si>
  <si>
    <t>CONTROLAR CÂMARA</t>
  </si>
  <si>
    <t>ABASTECER ENVELOPADORA</t>
  </si>
  <si>
    <t>ABASTECER CORTES</t>
  </si>
  <si>
    <t>REVISAR PACOTES</t>
  </si>
  <si>
    <t>ABASTECER SELADORA</t>
  </si>
  <si>
    <t>ALIMENTAR ESTEIRA DO TÚNEL</t>
  </si>
  <si>
    <t>ARRUMAR PACOTES NA CAIXA/FORMA</t>
  </si>
  <si>
    <t>ACONDICIONAR PACOTES EM CAIXAS</t>
  </si>
  <si>
    <t>REPROCESSO DE PRODUTOS</t>
  </si>
  <si>
    <t>CHECAR PESO DA CAIXA</t>
  </si>
  <si>
    <t>RETIRAR DIVISÓRIAS DAS CAIXAS</t>
  </si>
  <si>
    <t>VIRAR PRODUTO CONGELADO NA ESTEIRA</t>
  </si>
  <si>
    <t>VIRAR PRODUTOS NA CAIXA</t>
  </si>
  <si>
    <t>TAMPAR CAIXAS DE PAPELÃO</t>
  </si>
  <si>
    <t>COLAR ETIQUETA NA CAIXA</t>
  </si>
  <si>
    <t>POSICIONAR CAIXAS MÁQUINA PLASTIFICADORA</t>
  </si>
  <si>
    <t>PALETIZAR PRODUTOS</t>
  </si>
  <si>
    <t>OPERADOR DETECTOR DE METAIS</t>
  </si>
  <si>
    <t>ENCAIXOTAR MINIPALET</t>
  </si>
  <si>
    <t>ABASTECER ARQUEADEIRA</t>
  </si>
  <si>
    <t>TRANSPORTAR PALETE</t>
  </si>
  <si>
    <t>STRECHAR PALETE</t>
  </si>
  <si>
    <t>PENDURAR CAIXA VAZIA NA NÓREA</t>
  </si>
  <si>
    <t>CONSERTAR PALLETS</t>
  </si>
  <si>
    <t>OPERADOR TÚNEL DE CONGELAMENTO</t>
  </si>
  <si>
    <t>COLOCAR/RETIRAR GAIOLAS TÚNEL ESTATICO</t>
  </si>
  <si>
    <t>ABASTECER/DESCARREGAR CONGELADOR</t>
  </si>
  <si>
    <t>ORGANIZAR CAIXAS ENTRADA/SAÍDA DO TÚNEL</t>
  </si>
  <si>
    <t>OPERAR EMPILHADEIRA/ PALETEIRA</t>
  </si>
  <si>
    <t>CONFERENTE</t>
  </si>
  <si>
    <t>ASSISTENTE DE LOGÍSTICA</t>
  </si>
  <si>
    <t>ASSISTENTE DE TRANSPORTE</t>
  </si>
  <si>
    <t>ENDEREÇADOR</t>
  </si>
  <si>
    <t>SUPERVISOR DE TRANSPORTE</t>
  </si>
  <si>
    <t>COORDENADOR DE LOGÍSTICA</t>
  </si>
  <si>
    <t>Operador Empilhamento Automático de Gaiolas</t>
  </si>
  <si>
    <t>Limpar Setor Pendura/Sangria</t>
  </si>
  <si>
    <t>Controle/Monitor/AWO</t>
  </si>
  <si>
    <t>Toalete Carcaças PCC2</t>
  </si>
  <si>
    <t>Limpar setor Escaldagem/Depenagem</t>
  </si>
  <si>
    <t>Limpar Setor Evisceração</t>
  </si>
  <si>
    <t>Controle/Monitor Evisceração</t>
  </si>
  <si>
    <t>Controle/Monitor Pré-resfriamento</t>
  </si>
  <si>
    <t>Abastecer Tambler</t>
  </si>
  <si>
    <t>Alimentar Máquina de Bandejas</t>
  </si>
  <si>
    <t>Operador Máquina de Bandejas</t>
  </si>
  <si>
    <t>Colocar Frango na Caixa</t>
  </si>
  <si>
    <t>Abastecer Máquina de Pacotinhos de Miúdos</t>
  </si>
  <si>
    <t>Inserir Pacotes de Miúdos</t>
  </si>
  <si>
    <t>Operador de Máquina 9 Partes</t>
  </si>
  <si>
    <t>Limpar Setor - Frango Inteiro</t>
  </si>
  <si>
    <t>Abastecer - Cone</t>
  </si>
  <si>
    <t>Revisar Carcaça - Cone</t>
  </si>
  <si>
    <t>Riscar e Dobrar Perna - Cone</t>
  </si>
  <si>
    <t>Retirar Pernas - Cone</t>
  </si>
  <si>
    <t>Deslocar Peito e Retirar Asas - Cone</t>
  </si>
  <si>
    <t>Retirar Asas - Cone</t>
  </si>
  <si>
    <t>Retirar Peito - Cone</t>
  </si>
  <si>
    <t>Retirar Pele do Peito - Cone</t>
  </si>
  <si>
    <t>Riscar/Retirar Sassami - Cone</t>
  </si>
  <si>
    <t>Retirar Cartilagem do Peito - Cone</t>
  </si>
  <si>
    <t>Repasse Desossa da Carcaça - Cone</t>
  </si>
  <si>
    <t>Rependurar Carcaça - Norea</t>
  </si>
  <si>
    <t>Revisar Carcaça - Norea</t>
  </si>
  <si>
    <t>Riscar Dorso - Norea</t>
  </si>
  <si>
    <t>Riscar e Dobrar Perna - Norea</t>
  </si>
  <si>
    <t>Retirar Pernas - Norea</t>
  </si>
  <si>
    <t>Deslocar Peito e Retirar Asas - Norea</t>
  </si>
  <si>
    <t>Retirar Asas - Norea</t>
  </si>
  <si>
    <t>Retirar peito - Norea</t>
  </si>
  <si>
    <t>Retirar Pele do Peito - Norea</t>
  </si>
  <si>
    <t>Retirar Cartilagem do Peito - Norea</t>
  </si>
  <si>
    <t>Repasse Desossa da Carcaça - Norea</t>
  </si>
  <si>
    <t>Riscar/Retirar Sassami - Norea</t>
  </si>
  <si>
    <t>Abastecer Linha - Shawarma</t>
  </si>
  <si>
    <t>Retirar Asa - Shawarma</t>
  </si>
  <si>
    <t>Deslocar Perna - Shawarma</t>
  </si>
  <si>
    <t>Retirar Manta - Shawarma</t>
  </si>
  <si>
    <t>Retirar Cartilagem - Shawarma</t>
  </si>
  <si>
    <t>Abastecer Linha com Mantas - Shawarma</t>
  </si>
  <si>
    <t>Desossar Perna - Shawarma</t>
  </si>
  <si>
    <t>Pesar - Shawarma</t>
  </si>
  <si>
    <t>Embalar - Shawarma</t>
  </si>
  <si>
    <t>Operador de Máquina - Norea Automática</t>
  </si>
  <si>
    <t>Operador de Máquina - Filetadoras de Peito</t>
  </si>
  <si>
    <t>Operador de Máquina - Raio X</t>
  </si>
  <si>
    <t>Transportar Produtos - Peito</t>
  </si>
  <si>
    <t>Transportar Produtos - Sassami</t>
  </si>
  <si>
    <t>Revisar Sassami após Filetadora</t>
  </si>
  <si>
    <t>Carregar e Descarregar Tambler</t>
  </si>
  <si>
    <t>Embalar Pele</t>
  </si>
  <si>
    <t>Selar Pele</t>
  </si>
  <si>
    <t>Operador De Máquina - Multicabeçal</t>
  </si>
  <si>
    <t>Operador De Máquina - Embaladora</t>
  </si>
  <si>
    <t>Transportar Produtos - Porcionados</t>
  </si>
  <si>
    <t>Alimentar Máquina de Cortar Produto - Porcionados</t>
  </si>
  <si>
    <t>Classificar Cortes - Porcionados</t>
  </si>
  <si>
    <t>Transportar Produtos - Cortes Especiais</t>
  </si>
  <si>
    <t>Abastecer esteira - Cortes Especiais</t>
  </si>
  <si>
    <t>Cortar Peito - Cortes Especiais</t>
  </si>
  <si>
    <t>Calibrar/Padronizar Peito - Cortes Especiais</t>
  </si>
  <si>
    <t>Pesar Peito e Recortes - Cortes Especiais</t>
  </si>
  <si>
    <t>Cortar Sassami - Cortes Especiais</t>
  </si>
  <si>
    <t>Embalar Sassami - Cortes Especiais</t>
  </si>
  <si>
    <t>Selar Sassami - Cortes Especiais</t>
  </si>
  <si>
    <t>Cortes Especiais (TH, Habib´s ...)</t>
  </si>
  <si>
    <t>Operador de Máquina - Filetados</t>
  </si>
  <si>
    <t>Transportar Produtos - Filetados</t>
  </si>
  <si>
    <t>Abastecer Máquina - Filetados</t>
  </si>
  <si>
    <t>Revisar Peito - Filetados</t>
  </si>
  <si>
    <t>Pesar/Calibrar Peito - Filetados</t>
  </si>
  <si>
    <t>Refilar Peito - Filetados</t>
  </si>
  <si>
    <t>Embalar - Filetados</t>
  </si>
  <si>
    <t>Pesar - Filetados</t>
  </si>
  <si>
    <t>Selar - Filetados</t>
  </si>
  <si>
    <t>Revisar Recortes - Filetados</t>
  </si>
  <si>
    <t>Embalar Recortes - Filetados</t>
  </si>
  <si>
    <t>Pesar Recortes - Filetados</t>
  </si>
  <si>
    <t>Selar Recortes - Filetados</t>
  </si>
  <si>
    <t>Limpar Setor - Peito</t>
  </si>
  <si>
    <t>Abastecer Máquina de Desossa</t>
  </si>
  <si>
    <t>Abastecer Esteira de Desossa - Coxa</t>
  </si>
  <si>
    <t>Abastecer Esteira de Desossa - Sobrecoxa</t>
  </si>
  <si>
    <t>Refilar Perna - Desossa Manual</t>
  </si>
  <si>
    <t>Refilar Perna - Desossa Automática</t>
  </si>
  <si>
    <t>Operador de Máquina - Classificadora</t>
  </si>
  <si>
    <t>Abastecer Esteira de Contato</t>
  </si>
  <si>
    <t>Operador de Máquina - BLK</t>
  </si>
  <si>
    <t>Limpar Setor - Perna</t>
  </si>
  <si>
    <t>Embalar Asa - MJ</t>
  </si>
  <si>
    <t>Limpar Setor - CMS</t>
  </si>
  <si>
    <t>Limpar Setor - Montagem de Caixas</t>
  </si>
  <si>
    <t>Embandejar Peito/Sassami</t>
  </si>
  <si>
    <t>Pesar bandejas</t>
  </si>
  <si>
    <t>Embandejar Perna</t>
  </si>
  <si>
    <t>Embandejar Produtos</t>
  </si>
  <si>
    <t>Abastecer Máquina de Bandeja</t>
  </si>
  <si>
    <t>Operador de Máquina - Bandejas</t>
  </si>
  <si>
    <t>Padronizar Produto - IQF</t>
  </si>
  <si>
    <t>Transportar Produto - IQF</t>
  </si>
  <si>
    <t>Embalar - IQF</t>
  </si>
  <si>
    <t>Pesar - IQF</t>
  </si>
  <si>
    <t>Selar - IQF</t>
  </si>
  <si>
    <t>Colocar Produtos nas Caixas - IQF</t>
  </si>
  <si>
    <t>Operador Tambler - IQF</t>
  </si>
  <si>
    <t>Operador - IQF</t>
  </si>
  <si>
    <t>Operador - Balança e Embaladora - IQF</t>
  </si>
  <si>
    <t>Encaixotar Minipalet</t>
  </si>
  <si>
    <t>Limpar Setor - IQF</t>
  </si>
  <si>
    <t>Supervisor de Expedição</t>
  </si>
  <si>
    <t>Qtde de carcaças a serem rependuradas/hora</t>
  </si>
  <si>
    <t>% de frangos sem glândula</t>
  </si>
  <si>
    <t>Porcionados/Temperados</t>
  </si>
  <si>
    <t>Possui Skinner</t>
  </si>
  <si>
    <t>Capacidade total do Raio X (aves/hora)</t>
  </si>
  <si>
    <t>MI</t>
  </si>
  <si>
    <t>Preparar Caixas</t>
  </si>
  <si>
    <t>Tipo de classificação</t>
  </si>
  <si>
    <t>Alimentar classificadora automática</t>
  </si>
  <si>
    <t>Perna com Osso</t>
  </si>
  <si>
    <t>QL ideal</t>
  </si>
  <si>
    <t>1° turno</t>
  </si>
  <si>
    <t>2° turno</t>
  </si>
  <si>
    <t>3° turno</t>
  </si>
  <si>
    <t>Total QL ideal</t>
  </si>
  <si>
    <t>Total de postos de trabalho</t>
  </si>
  <si>
    <t>Total Geral</t>
  </si>
  <si>
    <t>Observações</t>
  </si>
  <si>
    <r>
      <t>DIRETORIA INDUSTRIAL</t>
    </r>
    <r>
      <rPr>
        <sz val="10"/>
        <color indexed="8"/>
        <rFont val="Calibri"/>
        <family val="2"/>
      </rPr>
      <t xml:space="preserve"> - JBS FOODS</t>
    </r>
  </si>
  <si>
    <t>CIEX INDUSTRIAL</t>
  </si>
  <si>
    <t>SIMULADOR DE QUADRO DE LOTAÇÃO - AVES</t>
  </si>
  <si>
    <t>Desvio</t>
  </si>
  <si>
    <t>Escaldagem/Depenagem/ Evisceração e Chiller</t>
  </si>
  <si>
    <t>Total de postos de Trabalho</t>
  </si>
  <si>
    <t>Outros</t>
  </si>
  <si>
    <t>Montagem de Caixas</t>
  </si>
  <si>
    <t>1° TURNO</t>
  </si>
  <si>
    <t>2° TURNO</t>
  </si>
  <si>
    <t>3° TURNO</t>
  </si>
  <si>
    <t>OPERADOR EMPILHAMENTO AUTOMÁTICO DE GAIOLAS</t>
  </si>
  <si>
    <t>LIMPAR SETOR PENDURA/SANGRIA</t>
  </si>
  <si>
    <t>CONTROLE/MONITOR/AWO</t>
  </si>
  <si>
    <t>SOLTAR CABEÇA DOS GANCHOS</t>
  </si>
  <si>
    <t>LIMPAR SETOR ESCALDAGEM/DEPENAGEM</t>
  </si>
  <si>
    <t>LIMPAR SETOR EVISCERAÇÃO</t>
  </si>
  <si>
    <t>CONTROLE/MONITOR EVISCERAÇÃO</t>
  </si>
  <si>
    <t>CONTROLE/MONITOR PRÉ-RESFRIAMENTO</t>
  </si>
  <si>
    <t>ALIMENTAR MÁQUINA DE BANDEJAS</t>
  </si>
  <si>
    <t>OPERADOR MÁQUINA DE BANDEJAS</t>
  </si>
  <si>
    <t>Rependurar carcaça</t>
  </si>
  <si>
    <t>OPERADOR DE MÁQUINA 9 PARTES</t>
  </si>
  <si>
    <t>LIMPAR SETOR - FRANGO INTEIRO</t>
  </si>
  <si>
    <t>REPENDURAR CARCAÇA - NOREA</t>
  </si>
  <si>
    <t>REVISAR CARCAÇA - NOREA</t>
  </si>
  <si>
    <t>RISCAR DORSO - NOREA</t>
  </si>
  <si>
    <t>RISCAR E DOBRAR PERNA - NOREA</t>
  </si>
  <si>
    <t>RETIRAR PERNAS - NOREA</t>
  </si>
  <si>
    <t>DESLOCAR PEITO E RETIRAR ASAS - NOREA</t>
  </si>
  <si>
    <t>RETIRAR ASAS - NOREA</t>
  </si>
  <si>
    <t>RETIRAR PEITO - NOREA</t>
  </si>
  <si>
    <t>RETIRAR PELE DO PEITO - NOREA</t>
  </si>
  <si>
    <t>RISCAR/RETIRAR SASSAMI - NOREA</t>
  </si>
  <si>
    <t>RETIRAR CARTILAGEM DO PEITO - NOREA</t>
  </si>
  <si>
    <t>REPASSE DESOSSA DA CARCAÇA - NOREA</t>
  </si>
  <si>
    <t>ABASTECER - CONE</t>
  </si>
  <si>
    <t>REVISAR CARCAÇA - CONE</t>
  </si>
  <si>
    <t>RISCAR E DOBRAR PERNA - CONE</t>
  </si>
  <si>
    <t>RETIRAR PERNAS - CONE</t>
  </si>
  <si>
    <t>DESLOCAR PEITO E RETIRAR ASAS - CONE</t>
  </si>
  <si>
    <t>RETIRAR ASAS - CONE</t>
  </si>
  <si>
    <t>RETIRAR PEITO - CONE</t>
  </si>
  <si>
    <t>RETIRAR PELE DO PEITO - CONE</t>
  </si>
  <si>
    <t>RISCAR/RETIRAR SASSAMI - CONE</t>
  </si>
  <si>
    <t>RETIRAR CARTILAGEM DO PEITO - CONE</t>
  </si>
  <si>
    <t>REPASSE DESOSSA DA CARCAÇA - CONE</t>
  </si>
  <si>
    <t>ABASTECER LINHA - SHAWARMA</t>
  </si>
  <si>
    <t>RISCAR DORSO E BAIXAR PEITO/ASA - SHAWARMA</t>
  </si>
  <si>
    <t>RETIRAR ASA - SHAWARMA</t>
  </si>
  <si>
    <t>DESLOCAR PERNA - SHAWARMA</t>
  </si>
  <si>
    <t>RETIRAR MANTA - SHAWARMA</t>
  </si>
  <si>
    <t>RISCAR SASSAMI - SHAWARMA</t>
  </si>
  <si>
    <t>RETIRAR SASSAMI - SHAWARMA</t>
  </si>
  <si>
    <t>RETIRAR CARTILAGEM - SHAWARMA</t>
  </si>
  <si>
    <t>ABASTECER LINHA COM MANTAS - SHAWARMA</t>
  </si>
  <si>
    <t>DESOSSAR PERNA - SHAWARMA</t>
  </si>
  <si>
    <t>INSPECIONAR MANTA - SHAWARMA</t>
  </si>
  <si>
    <t>PESAR - SHAWARMA</t>
  </si>
  <si>
    <t>EMBALAR - SHAWARMA</t>
  </si>
  <si>
    <t>OPERADOR DE MÁQUINA - NOREA AUTOMÁTICA</t>
  </si>
  <si>
    <t>OPERADOR DE MÁQUINA - FILETADORAS DE PEITO</t>
  </si>
  <si>
    <t>LIMPAR SETOR - CORTES PRIMARIOS</t>
  </si>
  <si>
    <t>Inspecionar Manta - Shawarma</t>
  </si>
  <si>
    <t>Limpar Setor - Cortes Primarios</t>
  </si>
  <si>
    <t>OPERADOR DE MÁQUINA - RAIO X</t>
  </si>
  <si>
    <t>EMBANDEJAR PEITO/SASSAMI</t>
  </si>
  <si>
    <t>PESAR BANDEJAS</t>
  </si>
  <si>
    <t>REVISAR SASSAMI APÓS FILETADORA</t>
  </si>
  <si>
    <t>TRANSPORTAR PRODUTOS - SASSAMI</t>
  </si>
  <si>
    <t>TRANSPORTAR PRODUTOS - PEITO</t>
  </si>
  <si>
    <t>CLASSIFICAR RECORTES</t>
  </si>
  <si>
    <t>EMBALAR PELE</t>
  </si>
  <si>
    <t>SELAR PELE</t>
  </si>
  <si>
    <t>OPERADOR DE MÁQUINA - MUTICABEÇAL</t>
  </si>
  <si>
    <t>OPERADOR DE MÁQUINA - EMBALADORA</t>
  </si>
  <si>
    <t>TRANSPORTAR PRODUTOS - PORCIONADOS</t>
  </si>
  <si>
    <t>ALIMENTAR MÁQUINA DE CORTAR PRODUTO - PORCIONADOS</t>
  </si>
  <si>
    <t>CLASSIFICAR CORTES - PORCIONADOS</t>
  </si>
  <si>
    <t>EMBALAR/PESAR - PORCIONADOS</t>
  </si>
  <si>
    <t>TRANSPORTAR PRODUTOS - CORTES ESPECIAIS</t>
  </si>
  <si>
    <t>ABASTECER ESTEIRA - CORTES ESPECIAIS</t>
  </si>
  <si>
    <t>CORTAR PEITO - CORTES ESPECIAIS</t>
  </si>
  <si>
    <t>CALIBRAR/PADRONIZAR PEITO - CORTES ESPECIAIS</t>
  </si>
  <si>
    <t>PESAR PEITO E RECORTES - CORTES ESPECIAIS</t>
  </si>
  <si>
    <t>OPERADOR TAMBLER - CORTES ESPECIAIS</t>
  </si>
  <si>
    <t>CORTAR SASSAMI - CORTES ESPECIAIS</t>
  </si>
  <si>
    <t>EMBALAR SASSAMI - CORTES ESPECIAIS</t>
  </si>
  <si>
    <t>SELAR SASSAMI - CORTES ESPECIAIS</t>
  </si>
  <si>
    <t>OPERADOR DE MÁQUINA - FILETADOS</t>
  </si>
  <si>
    <t>TRANSPORTAR PRODUTOS - FILETADOS</t>
  </si>
  <si>
    <t>ABASTECER MÁQUINA - FILETADOS</t>
  </si>
  <si>
    <t>REVISAR PEITO - FILETADOS</t>
  </si>
  <si>
    <t>PESAR/CALIBRAR PEITO - FILETADOS</t>
  </si>
  <si>
    <t>REFILAR PEITO - FILETADOS</t>
  </si>
  <si>
    <t>EMBALAR - FILETADOS</t>
  </si>
  <si>
    <t>PESAR - FILETADOS</t>
  </si>
  <si>
    <t>SELAR - FILETADOS</t>
  </si>
  <si>
    <t>REVISAR RECORTES - FILETADOS</t>
  </si>
  <si>
    <t>EMBALAR RECORTES - FILETADOS</t>
  </si>
  <si>
    <t>PESAR RECORTES - FILETADOS</t>
  </si>
  <si>
    <t>SELAR RECORTES - FILETADOS</t>
  </si>
  <si>
    <t>LIMPAR SETOR - PEITO</t>
  </si>
  <si>
    <t>Operador Tambler - Cortes Especiais</t>
  </si>
  <si>
    <t>Embalar/Pesar - Porcionados</t>
  </si>
  <si>
    <t>ABASTECER ESTEIRA DE DESOSSA - COXA</t>
  </si>
  <si>
    <t>ABASTECER ESTEIRA DE DESOSSA - SOBRECOXA</t>
  </si>
  <si>
    <t>REFILAR PERNA - DESOSSA MANUAL</t>
  </si>
  <si>
    <t>REFILAR PERNA - DESOSSA AUTOMÁTICA</t>
  </si>
  <si>
    <t>OPERADOR DE MÁQUINA - DESOSADORA AUTOMÁTICA</t>
  </si>
  <si>
    <t>RETIRAR MÚSCULO DA PERNA  DESOSSADA</t>
  </si>
  <si>
    <t>EMBANDEJAR PERNA</t>
  </si>
  <si>
    <t>OPERADOR DE MÁQUINA - CLASSIFICADORA</t>
  </si>
  <si>
    <t>OPERADOR DE MÁQUINA - BLK</t>
  </si>
  <si>
    <t>LIMPAR SETOR - PERNA</t>
  </si>
  <si>
    <t>Operador de Máquina - Desosadora Automática</t>
  </si>
  <si>
    <t>CLASSIFICAR ASA  - MJ</t>
  </si>
  <si>
    <t>EMBALAR ASA - MJ</t>
  </si>
  <si>
    <t>OPERADOR DE MÁQUINA - PORCIONADORA</t>
  </si>
  <si>
    <t>Classificar Asa  - MJ</t>
  </si>
  <si>
    <t>LIMPAR SETOR - CMS</t>
  </si>
  <si>
    <t>IMPRIMIR ETIQUETAS</t>
  </si>
  <si>
    <t>DESCARGA DE CAMINHÕES</t>
  </si>
  <si>
    <t>LIMPAR SETOR - MONTAGEM DE CAIXAS</t>
  </si>
  <si>
    <t>OPERADOR DE MÁQUINA - BANDEJAS</t>
  </si>
  <si>
    <t>PADRONIZAR PRODUTO - IQF</t>
  </si>
  <si>
    <t>TRANSPORTAR PRODUTO - IQF</t>
  </si>
  <si>
    <t>ABASTECER ESTEIRA CONTATO - IQF</t>
  </si>
  <si>
    <t>EMBALAR - IQF</t>
  </si>
  <si>
    <t>PESAR - IQF</t>
  </si>
  <si>
    <t>SELAR - IQF</t>
  </si>
  <si>
    <t>COLOCAR PRODUTOS NAS CAIXAS - IQF</t>
  </si>
  <si>
    <t>OPERADOR TAMBLER - IQF</t>
  </si>
  <si>
    <t>OPERADOR - IQF</t>
  </si>
  <si>
    <t>OPERADOR - BALANÇA E EMBALADORA - IQF</t>
  </si>
  <si>
    <t>ABASTECER ACHATADORA DE PACOTES</t>
  </si>
  <si>
    <t>LIMPAR SETOR - PADRONIZAÇÃO EMBALAGEM</t>
  </si>
  <si>
    <t>LIMPAR SETOR - IQF</t>
  </si>
  <si>
    <t>LIMPAR SETOR -BANDEJAS</t>
  </si>
  <si>
    <t>Abastecer Esteira Contato - IQF</t>
  </si>
  <si>
    <t>Limpar Setor - Padronização Embalagem</t>
  </si>
  <si>
    <t>Limpar Setor -Bandejas</t>
  </si>
  <si>
    <t>LIMPAR SETOR - EXEPDIÇÃO LOGÍSTICA</t>
  </si>
  <si>
    <t>SUPERVISOR DE EXPEDIÇÃO</t>
  </si>
  <si>
    <t>Limpar Setor - Exepdição Logística</t>
  </si>
  <si>
    <t>RECEPÇÃO E SANGRIA</t>
  </si>
  <si>
    <t>DEPENAGEM, ESCALDAGEM E CHILLER</t>
  </si>
  <si>
    <t>SALA DE MIÚDOS</t>
  </si>
  <si>
    <t>FRANGO INTEIRO</t>
  </si>
  <si>
    <t>SALA DE CORTES</t>
  </si>
  <si>
    <t>PEITO</t>
  </si>
  <si>
    <t>PERNA</t>
  </si>
  <si>
    <t>ASA</t>
  </si>
  <si>
    <t>CAIXARIA</t>
  </si>
  <si>
    <t>PADRNIZAÇÃO E EMBALAGEM</t>
  </si>
  <si>
    <t>CONGELAMENTO</t>
  </si>
  <si>
    <t>EXPEDIÇÃO E LOGÍSTICA</t>
  </si>
  <si>
    <t>AFF ideal</t>
  </si>
  <si>
    <t>Linco/Meyn</t>
  </si>
  <si>
    <t>Linco/Stork</t>
  </si>
  <si>
    <t>Stork/Stork</t>
  </si>
  <si>
    <t>Stork/Meyn</t>
  </si>
  <si>
    <t>Velocidade da linha Cone/Nórea (fr/hr)</t>
  </si>
  <si>
    <t>Abastecer mesa de refile</t>
  </si>
  <si>
    <t>Tipo de alimentação/esteira</t>
  </si>
  <si>
    <t>Numerada</t>
  </si>
  <si>
    <t>% Kakugiri Normal</t>
  </si>
  <si>
    <t>Embaladora de caneca (Produtos Diversos)</t>
  </si>
  <si>
    <t>Velocidade da linha manual Pesado (fr/hr)</t>
  </si>
  <si>
    <t>Balança check way</t>
  </si>
  <si>
    <t>ATUALIZADO EM:</t>
  </si>
  <si>
    <t>Dias disponíveis</t>
  </si>
  <si>
    <t>Turnos de produção</t>
  </si>
  <si>
    <t>Tipo de congelamento</t>
  </si>
  <si>
    <t>Cx Papelão</t>
  </si>
  <si>
    <t>Sassami KFC</t>
  </si>
  <si>
    <t>Turno sem pausas e com intervalo</t>
  </si>
  <si>
    <t>Turno sem pausas e sem intervalo</t>
  </si>
  <si>
    <t>Turno com pausas e intervalo</t>
  </si>
  <si>
    <t>OUTROS</t>
  </si>
  <si>
    <t>CMR VERMELHA</t>
  </si>
  <si>
    <t>CMR BRANCA</t>
  </si>
  <si>
    <t>CMR BRANCA CONGELADA</t>
  </si>
  <si>
    <t>CMR-13</t>
  </si>
  <si>
    <t>CMR VER P/ IN NATURA CG</t>
  </si>
  <si>
    <t>Nº pct/cx</t>
  </si>
  <si>
    <t>Peso pacote</t>
  </si>
  <si>
    <t>% frangos desviados</t>
  </si>
  <si>
    <t>Plano de Produção (kg/mês)</t>
  </si>
  <si>
    <t>Sub Família</t>
  </si>
  <si>
    <t>Família</t>
  </si>
  <si>
    <t>Nm Item</t>
  </si>
  <si>
    <t>Sigla</t>
  </si>
  <si>
    <t>Item</t>
  </si>
  <si>
    <t>Recorte Peito</t>
  </si>
  <si>
    <t>Cartilagem Perna</t>
  </si>
  <si>
    <t>Cartilagem Peito</t>
  </si>
  <si>
    <t>Pele</t>
  </si>
  <si>
    <t>CMR Branca</t>
  </si>
  <si>
    <t>CMR Vermelha</t>
  </si>
  <si>
    <t>DIAS TRABALHADOS</t>
  </si>
  <si>
    <t>PESO MÉDIO FRANGO (KG)</t>
  </si>
  <si>
    <t>HORAS TRABALHADAS</t>
  </si>
  <si>
    <t>VELOCIDADE PADRÃO (FR/HORA)</t>
  </si>
  <si>
    <t>TOTAL PLANO DE PRODUÇÃO</t>
  </si>
  <si>
    <t>COXA DA ASA</t>
  </si>
  <si>
    <t>Asa Inteira INTERF</t>
  </si>
  <si>
    <t>Perna C/O WIP</t>
  </si>
  <si>
    <t>Perna KG</t>
  </si>
  <si>
    <t>SASSAMI IQF</t>
  </si>
  <si>
    <t>SASSAMI</t>
  </si>
  <si>
    <t>SASSAMI KFC</t>
  </si>
  <si>
    <t>FILE C/TENDAO</t>
  </si>
  <si>
    <t>FIL-70</t>
  </si>
  <si>
    <t>SASSAMI S/TENDÃO REF</t>
  </si>
  <si>
    <t>SAS-PC</t>
  </si>
  <si>
    <t>Sassami IQF</t>
  </si>
  <si>
    <t>PEITO IQF</t>
  </si>
  <si>
    <t>PEITO BDJ</t>
  </si>
  <si>
    <t>Peito IQF</t>
  </si>
  <si>
    <t>Peito BDJ</t>
  </si>
  <si>
    <t>Peito INTERF</t>
  </si>
  <si>
    <t>INTEIROS</t>
  </si>
  <si>
    <t>CARC C/GORD C/P PESC S/PESC C/SAMB</t>
  </si>
  <si>
    <t>MIUDOS</t>
  </si>
  <si>
    <t>FIGADO FRANGO CG BL PF</t>
  </si>
  <si>
    <t>CORAÇÃO FGO CG ALM SE</t>
  </si>
  <si>
    <t>MOELA FRANGO CG PB</t>
  </si>
  <si>
    <t>PÉS</t>
  </si>
  <si>
    <t>CORAÇÃO</t>
  </si>
  <si>
    <t>MOELA</t>
  </si>
  <si>
    <t>FÍGADO</t>
  </si>
  <si>
    <t>TOTAL PLANO DO SIMULADOR</t>
  </si>
  <si>
    <t>Plano Mensal Alterado</t>
  </si>
  <si>
    <t>Asa Cingapura</t>
  </si>
  <si>
    <t>SHAWARMA</t>
  </si>
  <si>
    <t>Operador de area suja</t>
  </si>
  <si>
    <t>Supervisor</t>
  </si>
  <si>
    <t>Operadores</t>
  </si>
  <si>
    <t>Manutentores</t>
  </si>
  <si>
    <t>LINHA INTEIROS</t>
  </si>
  <si>
    <t>LINHA MIUDOS</t>
  </si>
  <si>
    <t>LINHA DA PERNA</t>
  </si>
  <si>
    <t>LINHA DA ASA</t>
  </si>
  <si>
    <t>CMS/CMR/CART/REC</t>
  </si>
  <si>
    <t>pct/hr</t>
  </si>
  <si>
    <t>Pct/hr</t>
  </si>
  <si>
    <t>Cx/hr</t>
  </si>
  <si>
    <t>Plano/Dia</t>
  </si>
  <si>
    <t>Cx/Manual</t>
  </si>
  <si>
    <t>Cx/Autom.</t>
  </si>
  <si>
    <t>Turnos de Produção</t>
  </si>
  <si>
    <t>Número de funcionários PCC</t>
  </si>
  <si>
    <t>Controlar acumulo esteira</t>
  </si>
  <si>
    <t>Passar na plastificadora</t>
  </si>
  <si>
    <t>Paletizar IQF</t>
  </si>
  <si>
    <t>Cap. /hr</t>
  </si>
  <si>
    <t>DORSO</t>
  </si>
  <si>
    <t>Plano/Mês</t>
  </si>
  <si>
    <t>Peito BDJ RF</t>
  </si>
  <si>
    <t>Rodar pausas e intervalos</t>
  </si>
  <si>
    <t>PARA RODÍZIO DE PAUSAS RECEPÇÃO E EVISCERAÇÃO</t>
  </si>
  <si>
    <t>RESUMO DOS VOLUMES DO PLANO DE PRODUÇÃO</t>
  </si>
  <si>
    <t>CÓD. ITEM</t>
  </si>
  <si>
    <t>NOME DO ITEM</t>
  </si>
  <si>
    <t>Produção Tigh</t>
  </si>
  <si>
    <t>Embalar Pés 7,5 kg</t>
  </si>
  <si>
    <t>Embalar Pés 5 kg</t>
  </si>
  <si>
    <t>Maquina Multicabeçal</t>
  </si>
  <si>
    <t>Maquina Marel</t>
  </si>
  <si>
    <t>Selar - Shawarma</t>
  </si>
  <si>
    <t>PERNA C/O WIP</t>
  </si>
  <si>
    <t>Riscar Dorso - Shawarma</t>
  </si>
  <si>
    <t>Riscar/Retirar Sassami - Shawarma</t>
  </si>
  <si>
    <t>Baixar Peito - Shawarma</t>
  </si>
  <si>
    <t>Cortar Vazio - Shawarma</t>
  </si>
  <si>
    <t>Baixar Perna - Shawarma</t>
  </si>
  <si>
    <t>Peito WIP</t>
  </si>
  <si>
    <t>Frango Passarinho</t>
  </si>
  <si>
    <t>Pele 15kg</t>
  </si>
  <si>
    <t>Pele 4kg</t>
  </si>
  <si>
    <t>FGO-03</t>
  </si>
  <si>
    <t>PEITO SOPF 1/2 SLG MPL GF</t>
  </si>
  <si>
    <t>Moela BDJ RF</t>
  </si>
  <si>
    <t>Coração BDJ RF</t>
  </si>
  <si>
    <t>CORAÇÃO BDJ RF</t>
  </si>
  <si>
    <t>ASA INTEIRA</t>
  </si>
  <si>
    <t>Asa Inteira WIP</t>
  </si>
  <si>
    <t>MEIO DA ASA</t>
  </si>
  <si>
    <t>Meio da asa KFC</t>
  </si>
  <si>
    <t>Meio da asa BDJ</t>
  </si>
  <si>
    <t>Meio da asa BDJ RF</t>
  </si>
  <si>
    <t>Meio da asa IQF</t>
  </si>
  <si>
    <t>Meio da asa MJ</t>
  </si>
  <si>
    <t>Meio da asa INTERF</t>
  </si>
  <si>
    <t>Meio da asa WIP</t>
  </si>
  <si>
    <t>Coxa da asa KFC</t>
  </si>
  <si>
    <t>Coxa da asa BDJ</t>
  </si>
  <si>
    <t>Coxa da asa BDJ RF</t>
  </si>
  <si>
    <t>Coxa da asa IQF</t>
  </si>
  <si>
    <t>Coxa da asa WIP</t>
  </si>
  <si>
    <t>Coxa da asa INTERF</t>
  </si>
  <si>
    <t>Embandejar Peito RF</t>
  </si>
  <si>
    <t>Recorte Peito Medalion</t>
  </si>
  <si>
    <t>Forma de Abastecimento</t>
  </si>
  <si>
    <t xml:space="preserve"> </t>
  </si>
  <si>
    <t>Misto</t>
  </si>
  <si>
    <t>Retirada de Míudos</t>
  </si>
  <si>
    <t>Retirada de Gordura</t>
  </si>
  <si>
    <t>Automática</t>
  </si>
  <si>
    <t>Pesadora de Peito</t>
  </si>
  <si>
    <t>Mesa de Refile</t>
  </si>
  <si>
    <t>Modo de Salga</t>
  </si>
  <si>
    <t>Cortar Tendão?</t>
  </si>
  <si>
    <t>Simples S/N</t>
  </si>
  <si>
    <t>% de asa inteira WIP</t>
  </si>
  <si>
    <t>Tipo de porcionamento de asa</t>
  </si>
  <si>
    <t>% de asas porcionada LINCO</t>
  </si>
  <si>
    <t>% de asas porcionada PRIME</t>
  </si>
  <si>
    <t>2 Turnos com pausas e intervalos</t>
  </si>
  <si>
    <t>2 Turnos sem pausas e com intervalos</t>
  </si>
  <si>
    <t>2 Turnos sem pausas e sem intervalo em 1 turno</t>
  </si>
  <si>
    <t>2 Turnos sem pausas e sem intervalo</t>
  </si>
  <si>
    <t>Plano/dia</t>
  </si>
  <si>
    <t>Hrs ocupação</t>
  </si>
  <si>
    <t>HORAS</t>
  </si>
  <si>
    <t>TURNOS</t>
  </si>
  <si>
    <t>3 Turnos sem pausas em 2 turnos</t>
  </si>
  <si>
    <t>2 Turnos sem pausas em 1 turno</t>
  </si>
  <si>
    <t>3 Turnos sem pausas</t>
  </si>
  <si>
    <t>3 Turnos sem pausas e 1 turno sem intervalo</t>
  </si>
  <si>
    <t>3 Turnos sem pausas e sem intervalo</t>
  </si>
  <si>
    <t>BD Para Rodízio de pausas IQF</t>
  </si>
  <si>
    <t>BD Para Rodízio de pausas BDJ CG</t>
  </si>
  <si>
    <t>BD Para Rodízio de pausas BDJ RF</t>
  </si>
  <si>
    <t>Total de caixas/hr</t>
  </si>
  <si>
    <t>Total de embalagens carimbadas/hr</t>
  </si>
  <si>
    <t>Total de etiquetas/hr</t>
  </si>
  <si>
    <t>Tobogã</t>
  </si>
  <si>
    <t>Bacias</t>
  </si>
  <si>
    <t>ME</t>
  </si>
  <si>
    <t>cx/hr Manual</t>
  </si>
  <si>
    <t>cx/hr Autom.</t>
  </si>
  <si>
    <t>Bloc/hr CG</t>
  </si>
  <si>
    <t>Bloc/hr RF</t>
  </si>
  <si>
    <t>Lacr/hr</t>
  </si>
  <si>
    <t>Rend. Prod. acabado</t>
  </si>
  <si>
    <t>Plano de produção (kg/hora)</t>
  </si>
  <si>
    <t>Frangos/h</t>
  </si>
  <si>
    <t>INTEIROS PESADO</t>
  </si>
  <si>
    <t>INTEIROS LEVE</t>
  </si>
  <si>
    <t>MOELA BDJ CG</t>
  </si>
  <si>
    <t>CORAÇÃO BDJ CG</t>
  </si>
  <si>
    <t>Peso
Caxia</t>
  </si>
  <si>
    <t>Bloco CG</t>
  </si>
  <si>
    <t>Bloco RF</t>
  </si>
  <si>
    <t xml:space="preserve">Lacre </t>
  </si>
  <si>
    <t>Peito IQF Temp.</t>
  </si>
  <si>
    <t/>
  </si>
  <si>
    <t>Perna S/O PCT</t>
  </si>
  <si>
    <t>Perna S/O INTERF</t>
  </si>
  <si>
    <t>Perna S/OP 2 kg</t>
  </si>
  <si>
    <t>Perna S/OP 7,5 kg</t>
  </si>
  <si>
    <t>Perna S/OP 15 kg</t>
  </si>
  <si>
    <t>Perna C/O IQF</t>
  </si>
  <si>
    <t>Perna IQF Temp.</t>
  </si>
  <si>
    <t>PERNA S/O PCT</t>
  </si>
  <si>
    <t>PERNA S/O INTERF</t>
  </si>
  <si>
    <t>Velocidade (h)</t>
  </si>
  <si>
    <t>Horas extras</t>
  </si>
  <si>
    <t>FIGADO FGO CG BL SE MP</t>
  </si>
  <si>
    <t>GORDURA FRANGO CG BL SE</t>
  </si>
  <si>
    <t>1/2 PEITO S/OPF FG PB</t>
  </si>
  <si>
    <t>PALMA FG 25g UP GR A PB</t>
  </si>
  <si>
    <t>PALMA FG 25g DOWN GR A PB</t>
  </si>
  <si>
    <t>PALMA FG 25g DOWN GR B PB</t>
  </si>
  <si>
    <t>PALMA FG 25g UP GR B PB</t>
  </si>
  <si>
    <t>FILE PEITO MET CG BDJ SE</t>
  </si>
  <si>
    <t>x</t>
  </si>
  <si>
    <t>xx</t>
  </si>
  <si>
    <t>xxx</t>
  </si>
  <si>
    <t>xxxx</t>
  </si>
  <si>
    <t>xxxxxx</t>
  </si>
  <si>
    <t>Moela BDJ CG</t>
  </si>
  <si>
    <t>Coração BDJ CG</t>
  </si>
  <si>
    <t>Volume aves/dia (Grande)</t>
  </si>
  <si>
    <t>Volume aves/dia (Pequeno)</t>
  </si>
  <si>
    <t>Velocidade de linha (Grande)</t>
  </si>
  <si>
    <t>Velocidade de linha (Pequeno)</t>
  </si>
  <si>
    <t>Peso médio Linha 1 (Grande)</t>
  </si>
  <si>
    <t>Peso médio Linha 2 (Pequeno)</t>
  </si>
  <si>
    <t>Descarregar Aves - Manual Pequeno</t>
  </si>
  <si>
    <t>Pendurar Aves Grande</t>
  </si>
  <si>
    <t>Pendurar Aves Pequeno</t>
  </si>
  <si>
    <t>Número de linhas (Grande)</t>
  </si>
  <si>
    <t>Número de linhas (Pequeno)</t>
  </si>
  <si>
    <t>Empilhar Gaiolas Aves Grande</t>
  </si>
  <si>
    <t>Empilhar Gaiolas Aves Pequeno</t>
  </si>
  <si>
    <t>Carregar Caminhão Aves Grande</t>
  </si>
  <si>
    <t>Carregar Caminhão Aves Pequeno</t>
  </si>
  <si>
    <t>Repassar Sangria Aves Grande</t>
  </si>
  <si>
    <t>Repassar Sangria Aves Pequeno</t>
  </si>
  <si>
    <t>Revisar Aves após Depenagem Aves Grande</t>
  </si>
  <si>
    <t>Revisar Aves após Depenagem Aves Pequeno</t>
  </si>
  <si>
    <t>Rependurar Frango (Transferidor) Aves Grande</t>
  </si>
  <si>
    <t>Rependurar Frango (Transferidor) Aves Pequeno</t>
  </si>
  <si>
    <t>Separar Fígado Aves Grande</t>
  </si>
  <si>
    <t>Separar Fígado Aves Pequeno</t>
  </si>
  <si>
    <t>Separar Coracão Aves Grande</t>
  </si>
  <si>
    <t>Separar Coracão Aves Pequeno</t>
  </si>
  <si>
    <t>Separar Miúdos Aves Grande</t>
  </si>
  <si>
    <t>Separar Miúdos Aves Pequeno</t>
  </si>
  <si>
    <t>Gordura Abdominal</t>
  </si>
  <si>
    <t>GOR-BV</t>
  </si>
  <si>
    <t>GORDURA ABDOMINAL</t>
  </si>
  <si>
    <t>Operador Linha De Evisceração Aves Grande</t>
  </si>
  <si>
    <t>Operador Linha De Evisceração Aves Pequeno</t>
  </si>
  <si>
    <t>Repassar Evisceração Aves Grande</t>
  </si>
  <si>
    <t>Repassar Evisceração Aves Pequeno</t>
  </si>
  <si>
    <t>Limpar Setor Evisceração Aves Grande</t>
  </si>
  <si>
    <t>Limpar Setor Evisceração Aves Pequeno</t>
  </si>
  <si>
    <t>Operador Chiller Aves Grande</t>
  </si>
  <si>
    <t>Operador Chiller Aves Pequeno</t>
  </si>
  <si>
    <t>Classificar Pés Aves Grande</t>
  </si>
  <si>
    <t>Classificar Pés Aves Pequeno</t>
  </si>
  <si>
    <t>Embalar Pés 10 kg</t>
  </si>
  <si>
    <t>Embalar Pés 13 kg</t>
  </si>
  <si>
    <t>PE 7,5 KG</t>
  </si>
  <si>
    <t>PE 10 KG</t>
  </si>
  <si>
    <t>PE 13 KG</t>
  </si>
  <si>
    <t>Pe 5 kg</t>
  </si>
  <si>
    <t>Pe 7,5 kg</t>
  </si>
  <si>
    <t>Pe 10 kg</t>
  </si>
  <si>
    <t>Pe 13 kg</t>
  </si>
  <si>
    <t>Limpar/Revisar Fígado Aves Grande</t>
  </si>
  <si>
    <t>Limpar/Revisar Fígado Aves Pequeno</t>
  </si>
  <si>
    <t>Limpar Moela Rolos Aves Grande</t>
  </si>
  <si>
    <t>Limpar Moela Rolos Aves Pequeno</t>
  </si>
  <si>
    <t>Embalar/Pesar Fígado BDJ CG</t>
  </si>
  <si>
    <t>Embalar/Pesar Fígado BDJ RF</t>
  </si>
  <si>
    <t>Embalar/Pesar Fígado BLOCO</t>
  </si>
  <si>
    <t>Selagem de BDJ Manual?</t>
  </si>
  <si>
    <t>Embalar/Pesar Sambiquira 1 kg</t>
  </si>
  <si>
    <t>Embalar/Pesar Sambiquira BDJ CG</t>
  </si>
  <si>
    <t>Sambiquira</t>
  </si>
  <si>
    <t>Sambiquira 1 kg</t>
  </si>
  <si>
    <t>Sambiquira BDJ CG</t>
  </si>
  <si>
    <t>TL-04</t>
  </si>
  <si>
    <t>SAMBIQUIRA FG PB</t>
  </si>
  <si>
    <t>SAMBIQUIRA 1 KG</t>
  </si>
  <si>
    <t>Transporte de Produtos Automatizado?</t>
  </si>
  <si>
    <t>Transporte de Gelo Automatizado?</t>
  </si>
  <si>
    <t>Tipo de Embalagem</t>
  </si>
  <si>
    <t>Número de Cubas Embal. Manual</t>
  </si>
  <si>
    <t>Vel. da Linha Automática (fr/hr)</t>
  </si>
  <si>
    <t>Vel. da Linha Manual (fr/hr)</t>
  </si>
  <si>
    <t xml:space="preserve">Número de Linhas </t>
  </si>
  <si>
    <t>Número de Embaladoras Automáticas</t>
  </si>
  <si>
    <t>FGO GALETO 500/700 CG PCT SE</t>
  </si>
  <si>
    <t>FRANGO GRILLER 700 CG PB GF</t>
  </si>
  <si>
    <t>FRANGO GRILLER 800 CG PB GF</t>
  </si>
  <si>
    <t>FRANGO GRILLER 900 CG PB GF</t>
  </si>
  <si>
    <t>FRANGO GRILLER 1000 CG PB GF</t>
  </si>
  <si>
    <t>FRANGO GRILLER 1100 CG PB GF</t>
  </si>
  <si>
    <t>FRANGO GRILLER 1200 CG PB GF</t>
  </si>
  <si>
    <t>FRANGO GRILLER 1300 CG PB GF</t>
  </si>
  <si>
    <t>FRANGO GRILLER 1400 CG PB GF</t>
  </si>
  <si>
    <t>FRANGO GRILLER 700 CG PB</t>
  </si>
  <si>
    <t>FRANGO GRILLER 800 CG PB</t>
  </si>
  <si>
    <t>FRANGO GRILLER 900 CG PB</t>
  </si>
  <si>
    <t>FRANGO GRILLER 1000 CG PB</t>
  </si>
  <si>
    <t>FRANGO GRILLER 1100 CG PB</t>
  </si>
  <si>
    <t>FRANGO CONG S/MIUDOS 1300</t>
  </si>
  <si>
    <t>FRANGO CONG S/MIUDOS 1200</t>
  </si>
  <si>
    <t>FGO CARC 1200 CG PCT SE</t>
  </si>
  <si>
    <t>FGO CARC 1300 CG PCT SE</t>
  </si>
  <si>
    <t>FGO CARC 1100 CG PCT SE</t>
  </si>
  <si>
    <t>GR-855</t>
  </si>
  <si>
    <t>FRANGO GRILLER 1200 CG PB</t>
  </si>
  <si>
    <t>GRILLER</t>
  </si>
  <si>
    <t>GR-227</t>
  </si>
  <si>
    <t>GR-228</t>
  </si>
  <si>
    <t>GR-229</t>
  </si>
  <si>
    <t>GR-230</t>
  </si>
  <si>
    <t>GR-231</t>
  </si>
  <si>
    <t>GR-232</t>
  </si>
  <si>
    <t>GR-233</t>
  </si>
  <si>
    <t>GR-234</t>
  </si>
  <si>
    <t>GR-235</t>
  </si>
  <si>
    <t>FRANGO GRILLER 1500 CG PB GF</t>
  </si>
  <si>
    <t>GR-507</t>
  </si>
  <si>
    <t>FRANGO GRILLER 700G CG</t>
  </si>
  <si>
    <t>GR-508</t>
  </si>
  <si>
    <t>FG GRILLER 0800 10 PC</t>
  </si>
  <si>
    <t>GR-509</t>
  </si>
  <si>
    <t>FG GRILLER 0900 10 PC</t>
  </si>
  <si>
    <t>GR-510</t>
  </si>
  <si>
    <t>GR-511</t>
  </si>
  <si>
    <t>FG GRILLER 1100 10 PC</t>
  </si>
  <si>
    <t>GR-512</t>
  </si>
  <si>
    <t>FG GRILLER 1200 10 PC</t>
  </si>
  <si>
    <t>GR-513</t>
  </si>
  <si>
    <t>FG GRILLER 1300 10 PC</t>
  </si>
  <si>
    <t>GR-514</t>
  </si>
  <si>
    <t>FR GRILLER 1400 10 PC</t>
  </si>
  <si>
    <t>GR-853</t>
  </si>
  <si>
    <t>GR-854</t>
  </si>
  <si>
    <t>GR-856</t>
  </si>
  <si>
    <t>FRANGO GRILLER 1300 CG PB</t>
  </si>
  <si>
    <t>GAL-IC</t>
  </si>
  <si>
    <t>GRC-PC</t>
  </si>
  <si>
    <t>GR-21</t>
  </si>
  <si>
    <t>FRANGO GRILLER 1600 CG PB</t>
  </si>
  <si>
    <t>GR-403</t>
  </si>
  <si>
    <t>GR-404</t>
  </si>
  <si>
    <t>GR-405</t>
  </si>
  <si>
    <t>GR-841</t>
  </si>
  <si>
    <t>FRANGO GRILLER 900 CG</t>
  </si>
  <si>
    <t>GR-842</t>
  </si>
  <si>
    <t>FRANGO GRILLER 1000 CG</t>
  </si>
  <si>
    <t>GR-843</t>
  </si>
  <si>
    <t>FRANGO GRILLER 1100 CG</t>
  </si>
  <si>
    <t>GR-844</t>
  </si>
  <si>
    <t>FRANGO GRILLER 1200 CG</t>
  </si>
  <si>
    <t>GR-845</t>
  </si>
  <si>
    <t>FRANGO GRILLER 1300 CG</t>
  </si>
  <si>
    <t>GR-846</t>
  </si>
  <si>
    <t>FRANGO GRILLER 1400 CG</t>
  </si>
  <si>
    <t>GR-847</t>
  </si>
  <si>
    <t>FRANGO GRILLER 1500 CG</t>
  </si>
  <si>
    <t>GR-852</t>
  </si>
  <si>
    <t>FRANGO CONG S/MIUDOS 900</t>
  </si>
  <si>
    <t>FRANGO CONG S/MIUDOS 800G</t>
  </si>
  <si>
    <t>FRANGO CONG S/MIUDOS 1000G</t>
  </si>
  <si>
    <t>FRANGO CONG S/MIUDOS 1200G</t>
  </si>
  <si>
    <t>FRANGO CONG S/MIUDOS 1300G</t>
  </si>
  <si>
    <t>GALETO CONGELADO 550-650G</t>
  </si>
  <si>
    <t>FRANGO CONG S/MIUDOS 900G</t>
  </si>
  <si>
    <t>FRANGO CONG S/MIUDOS 1100G</t>
  </si>
  <si>
    <t>GR 618</t>
  </si>
  <si>
    <t>FRANGO GRILLER 700G</t>
  </si>
  <si>
    <t>GR 619</t>
  </si>
  <si>
    <t>FRANGO GRILLER 800G</t>
  </si>
  <si>
    <t>GR 620</t>
  </si>
  <si>
    <t>FRANGO GRILLER 900G</t>
  </si>
  <si>
    <t>GR 621</t>
  </si>
  <si>
    <t>FRANGO GRILLER 1000G</t>
  </si>
  <si>
    <t>GR 622</t>
  </si>
  <si>
    <t>FRANGO GRILLER 1100G</t>
  </si>
  <si>
    <t>GR 623</t>
  </si>
  <si>
    <t>FRANGO GRILLER 1200G</t>
  </si>
  <si>
    <t>GR 624</t>
  </si>
  <si>
    <t>FRANGO GRILLER 1300G</t>
  </si>
  <si>
    <t>GR 625</t>
  </si>
  <si>
    <t>FRANGO GRILLER 1400G</t>
  </si>
  <si>
    <t>FRANGO CONG S/MIUDOS 1500</t>
  </si>
  <si>
    <t>FRANGO CONG S/MIUDOS 700G</t>
  </si>
  <si>
    <t>FRANGO CONG S/MIUDOS 0800</t>
  </si>
  <si>
    <t>FRANGO CONG S/MIUDOS 0900</t>
  </si>
  <si>
    <t>FRANGO CONG S/MIUDOS 1000</t>
  </si>
  <si>
    <t>FRANGO CONG S/MIUDOS 1100</t>
  </si>
  <si>
    <t>FRANGO CONG S/MIUDOS 600G</t>
  </si>
  <si>
    <t>FRANGO CONG S/MIUDOS 1400G</t>
  </si>
  <si>
    <t>FRANGO CONG S/MIUDOS 800</t>
  </si>
  <si>
    <t>FRANGO CONG S/MIUDOS 1400</t>
  </si>
  <si>
    <t>FRANGO CONGELADO (SEM MIUDOS</t>
  </si>
  <si>
    <t>GALETO CONGELADO 650-750G</t>
  </si>
  <si>
    <t>GR-151</t>
  </si>
  <si>
    <t>GR-152</t>
  </si>
  <si>
    <t>GR-153</t>
  </si>
  <si>
    <t>GR-154</t>
  </si>
  <si>
    <t>GR-155</t>
  </si>
  <si>
    <t>GR-156</t>
  </si>
  <si>
    <t>GR-136</t>
  </si>
  <si>
    <t>GR-135</t>
  </si>
  <si>
    <t>GR-134</t>
  </si>
  <si>
    <t>GR-142</t>
  </si>
  <si>
    <t>GR-141</t>
  </si>
  <si>
    <t>GR-140</t>
  </si>
  <si>
    <t>GR-181</t>
  </si>
  <si>
    <t>GR-182</t>
  </si>
  <si>
    <t>GR-183</t>
  </si>
  <si>
    <t>GR-184</t>
  </si>
  <si>
    <t>GR-185</t>
  </si>
  <si>
    <t>GR-186</t>
  </si>
  <si>
    <t>GR-799</t>
  </si>
  <si>
    <t>GR-798</t>
  </si>
  <si>
    <t>GR-797</t>
  </si>
  <si>
    <t>GR-796</t>
  </si>
  <si>
    <t>GR-795</t>
  </si>
  <si>
    <t>GR-794</t>
  </si>
  <si>
    <t>GR-793</t>
  </si>
  <si>
    <t>GR-792</t>
  </si>
  <si>
    <t>FRANGO GRILLER 1400 CG PB</t>
  </si>
  <si>
    <t>GR-850</t>
  </si>
  <si>
    <t>GR-857</t>
  </si>
  <si>
    <t>GR-416</t>
  </si>
  <si>
    <t>GR 640</t>
  </si>
  <si>
    <t>GR 644</t>
  </si>
  <si>
    <t>GR 647</t>
  </si>
  <si>
    <t>GR 651</t>
  </si>
  <si>
    <t>GR-851</t>
  </si>
  <si>
    <t>FRANGO CONG S/MIUDOS 700</t>
  </si>
  <si>
    <t>GR 636</t>
  </si>
  <si>
    <t>FRANGO CONG S/MIUDOS 0700</t>
  </si>
  <si>
    <t>GR-893</t>
  </si>
  <si>
    <t>FRANGO GRILLER 1500 CG PB</t>
  </si>
  <si>
    <t>GRB-PC</t>
  </si>
  <si>
    <t>GR-187</t>
  </si>
  <si>
    <t>GRI-PC</t>
  </si>
  <si>
    <t>Grande</t>
  </si>
  <si>
    <t>Pequeno</t>
  </si>
  <si>
    <t>FGO-01</t>
  </si>
  <si>
    <t>Aves Embaladas</t>
  </si>
  <si>
    <t>Rependurar carcaça Aves Pequeno</t>
  </si>
  <si>
    <t>Embalar Frango Aves Pequeno</t>
  </si>
  <si>
    <t>Operador Máquina de Pacotinhos de Miúdos</t>
  </si>
  <si>
    <t>Quantos Tipos de Miudos no Pacotinho?</t>
  </si>
  <si>
    <t>Nº de embaladora de caneca de miúdos</t>
  </si>
  <si>
    <t>Capacidade</t>
  </si>
  <si>
    <t>Plano dia</t>
  </si>
  <si>
    <t>BROILER MI</t>
  </si>
  <si>
    <t>Broiler MI</t>
  </si>
  <si>
    <t>Broiler ME</t>
  </si>
  <si>
    <t>Frango S/ miudos</t>
  </si>
  <si>
    <t>Hrs/Disponivel</t>
  </si>
  <si>
    <t>Hrs/embalagem</t>
  </si>
  <si>
    <t>Ocupção</t>
  </si>
  <si>
    <t>Vel. Turno 1</t>
  </si>
  <si>
    <t>Vel. Turno 2</t>
  </si>
  <si>
    <t>Vel. Turno 3</t>
  </si>
  <si>
    <t>Stork/Cone</t>
  </si>
  <si>
    <t>Stork/Nórea</t>
  </si>
  <si>
    <t>Frg/min</t>
  </si>
  <si>
    <t>CARTILAGEM PEITO</t>
  </si>
  <si>
    <t>Refile Cone</t>
  </si>
  <si>
    <t>Repasse Desossa do Peito - Meyn</t>
  </si>
  <si>
    <t>Arrancar sassami - Stork</t>
  </si>
  <si>
    <t>Arrancar Peito - Stork</t>
  </si>
  <si>
    <t>RECORTE PEITO RESF BL SE MP</t>
  </si>
  <si>
    <t>RECORTE</t>
  </si>
  <si>
    <t>RECORTE PEITO MEDALION</t>
  </si>
  <si>
    <t>Recorte de Peito</t>
  </si>
  <si>
    <t>Cap. frg/hr</t>
  </si>
  <si>
    <t>Abate</t>
  </si>
  <si>
    <t>S.Corte</t>
  </si>
  <si>
    <t>SCHAWARMA C/P S/SAMB S/GORD</t>
  </si>
  <si>
    <t>BC-96</t>
  </si>
  <si>
    <t>BC-46</t>
  </si>
  <si>
    <t>BC-32</t>
  </si>
  <si>
    <t>CARC C/M S/COR C/ PESC C/CAB C/PES</t>
  </si>
  <si>
    <t>CARC C/M S/COR S/PESC S/CAB C/PES</t>
  </si>
  <si>
    <t>BRI-04</t>
  </si>
  <si>
    <t>CARC C/M S/COR C/PESC S/CAB S/PES</t>
  </si>
  <si>
    <t>BR-130</t>
  </si>
  <si>
    <t>BR-125</t>
  </si>
  <si>
    <t>FS-03</t>
  </si>
  <si>
    <t>GR-265</t>
  </si>
  <si>
    <t>GR-266</t>
  </si>
  <si>
    <t>GR-267</t>
  </si>
  <si>
    <t>GR-286</t>
  </si>
  <si>
    <t>GR-287</t>
  </si>
  <si>
    <t>GR-288</t>
  </si>
  <si>
    <t>GR-289</t>
  </si>
  <si>
    <t>GR-290</t>
  </si>
  <si>
    <t>GR 652</t>
  </si>
  <si>
    <t>GR-262</t>
  </si>
  <si>
    <t>GR-264</t>
  </si>
  <si>
    <t>FIC-27</t>
  </si>
  <si>
    <t>CARC S/GORD C/P PESC S/PESC C/SAMB</t>
  </si>
  <si>
    <t>GR-694</t>
  </si>
  <si>
    <t>GR-695</t>
  </si>
  <si>
    <t>GR-696</t>
  </si>
  <si>
    <t>GR-871</t>
  </si>
  <si>
    <t>GR-697</t>
  </si>
  <si>
    <t>GR-698</t>
  </si>
  <si>
    <t>GR-699</t>
  </si>
  <si>
    <t>GR-700</t>
  </si>
  <si>
    <t>GR-967</t>
  </si>
  <si>
    <t>FGO-IC</t>
  </si>
  <si>
    <t>GR-257</t>
  </si>
  <si>
    <t>GR-259</t>
  </si>
  <si>
    <t>GR-260</t>
  </si>
  <si>
    <t>GR-261</t>
  </si>
  <si>
    <t>GR-263</t>
  </si>
  <si>
    <t>GR-703</t>
  </si>
  <si>
    <t>OB-250</t>
  </si>
  <si>
    <t>FPA-14</t>
  </si>
  <si>
    <t>FRANGO PASSARINHO BDJ CG 1KG</t>
  </si>
  <si>
    <t>CT CG FG PASSARINHO COX/SOBR</t>
  </si>
  <si>
    <t>FG PASSARINHO RT CG FG COXA/</t>
  </si>
  <si>
    <t>Riscar Dorso - Shawarma - Pele Pescoço</t>
  </si>
  <si>
    <t>Riscar Dorso - Shawarma - Pele Dorso</t>
  </si>
  <si>
    <t>Cortar Vazio - Shawarma Inteiro</t>
  </si>
  <si>
    <t>Cortar Vazio - Shawarma Lateral</t>
  </si>
  <si>
    <t>FRANGO A PASSARINHO RESFRIAD</t>
  </si>
  <si>
    <t>FRANGO A PASSARINHO CG. 18KG</t>
  </si>
  <si>
    <t>FRANGO A PASSARINHO TP.RF.PP</t>
  </si>
  <si>
    <t>FRANGO A PASSARINHO TP.CG.1K</t>
  </si>
  <si>
    <t>FRANGO A PASSARINHO TP CG 18</t>
  </si>
  <si>
    <t>FRANGO A PASSARINHO TPRF PP</t>
  </si>
  <si>
    <t>FRANGO A PASSARINHO TPCGPP 1</t>
  </si>
  <si>
    <t>FRG PASS IQF</t>
  </si>
  <si>
    <t>FRG PASS TEMP PCT RF</t>
  </si>
  <si>
    <t>FRG PASS TEMP PCT CG</t>
  </si>
  <si>
    <t>FRG PASS TEMP BL CG</t>
  </si>
  <si>
    <t>FRANGO A PASSARINHO RF PP 18</t>
  </si>
  <si>
    <t>FG PASSARINHO CG 1KG PP 18KG</t>
  </si>
  <si>
    <t>FRANGO A PASSARINHO PCT CG</t>
  </si>
  <si>
    <t>FRANGO A PASSARINHO CONGELAD</t>
  </si>
  <si>
    <t>FIP-02</t>
  </si>
  <si>
    <t>FGO CAIPIRA A PASSARINHO RF</t>
  </si>
  <si>
    <t>FRG PASS BDJ RF</t>
  </si>
  <si>
    <t>FIP-03</t>
  </si>
  <si>
    <t>FG CAIPIRA PASSARINHO RF 15K</t>
  </si>
  <si>
    <t>FRG PASS PCT RF</t>
  </si>
  <si>
    <t>FRG PASS BL RF</t>
  </si>
  <si>
    <t>Cx/hr RF</t>
  </si>
  <si>
    <t>FRANGO A PASSARINHO RF MP</t>
  </si>
  <si>
    <t>Caixa RF</t>
  </si>
  <si>
    <t>Frg Pass BDJ RF</t>
  </si>
  <si>
    <t>Frg Pass BDJ CG</t>
  </si>
  <si>
    <t>FRG PASS BDJ CG</t>
  </si>
  <si>
    <t>Frg Pass IQF</t>
  </si>
  <si>
    <t>Frg Pass BL RF</t>
  </si>
  <si>
    <t>Frg Pass TEMP PCT RF</t>
  </si>
  <si>
    <t>Frg Pass TEMP PCT CG</t>
  </si>
  <si>
    <t>Frg Pass TEMP BL CG</t>
  </si>
  <si>
    <t>Sassami WIP</t>
  </si>
  <si>
    <t>Cortar Frg Passarinho</t>
  </si>
  <si>
    <t xml:space="preserve">Frg Pass BDJ CG </t>
  </si>
  <si>
    <t>kg/turno</t>
  </si>
  <si>
    <t>Embalar e Pesar Frg Passarinho Caixa/Bloco</t>
  </si>
  <si>
    <t>Embalar e Pesar Frg Passarinho Pacote 1kg</t>
  </si>
  <si>
    <t>Embalagem Frg Passarinho</t>
  </si>
  <si>
    <t>Embalar e Pesar Frg Passarinho BDJ CG</t>
  </si>
  <si>
    <t>Embalar e Pesar Frg Passarinho BDJ RF</t>
  </si>
  <si>
    <t>MEIO PEITO S/OPF CG MCD</t>
  </si>
  <si>
    <t>MP-PT</t>
  </si>
  <si>
    <t>MEIO PEITO SOPF  P/SALG TEMP</t>
  </si>
  <si>
    <t>MEIO PEITO S/OP S/SASSAMI MP</t>
  </si>
  <si>
    <t>MEIO PEITO S/OPF RF MP</t>
  </si>
  <si>
    <t>MEIO PEITO  SOPF 135-145 MP</t>
  </si>
  <si>
    <t>PEITO SOPF P/EMPANAR(CHUNKS)</t>
  </si>
  <si>
    <t>MEIO PEITO SOPF FL 130-150</t>
  </si>
  <si>
    <t>MEIO PEITO SOPF S/CAL MP PCS</t>
  </si>
  <si>
    <t>PEITO SOPF - MP TERMOPROCESS</t>
  </si>
  <si>
    <t>MEIO PEITO SOPF - TESCO</t>
  </si>
  <si>
    <t>MEIO PEITO SOPF 3-4 PC MPGF</t>
  </si>
  <si>
    <t>MEIO PEITO MT FL 95-105 PCS</t>
  </si>
  <si>
    <t>CHUNKS DE PEITO 10-20GR</t>
  </si>
  <si>
    <t>MEIO PEITO S/OPF 2 PC MP</t>
  </si>
  <si>
    <t>MEIO PEITO S/OPF 100-125G MP</t>
  </si>
  <si>
    <t>TB-195</t>
  </si>
  <si>
    <t>1/2 PEITO S/OPF FG SG PB</t>
  </si>
  <si>
    <t>PSO-89</t>
  </si>
  <si>
    <t>FILE PEITO  CG IQF</t>
  </si>
  <si>
    <t>PEITO S/OPF 1/2 120-140 SALG</t>
  </si>
  <si>
    <t>PEITO S/OPF 1/2 140-160 SALG</t>
  </si>
  <si>
    <t>PEITO S/OPF 1/2 160-180G SAL</t>
  </si>
  <si>
    <t>CT CG FG FILE DE PEITO SACO</t>
  </si>
  <si>
    <t>PEITO 1 KG CG</t>
  </si>
  <si>
    <t>FILÉ DE PEITO (C) ALMOFADA - 20X1KG (CX 20KG)</t>
  </si>
  <si>
    <t>OB-121</t>
  </si>
  <si>
    <t>PEITO 2 KG CG</t>
  </si>
  <si>
    <t>PEITO 2,5 KG CG</t>
  </si>
  <si>
    <t>PEITO S/OPF 1/2 15KG RD</t>
  </si>
  <si>
    <t>PEITO 7,5 KG CG</t>
  </si>
  <si>
    <t>1/2 PEITO S/O S/P S/F S/MED</t>
  </si>
  <si>
    <t>MEIO PEITO S/OPF MPL GF MCD</t>
  </si>
  <si>
    <t>PEITO 10 KG CG</t>
  </si>
  <si>
    <t>PEITO 15 KG CG</t>
  </si>
  <si>
    <t>PEITO SALGADO 7,5 KG CG</t>
  </si>
  <si>
    <t>MEIO PEITO S/OPF SALG MPL GF</t>
  </si>
  <si>
    <t>PEITO SOPF 1/2 SLG MPLGF MCD</t>
  </si>
  <si>
    <t>PEITO SALGADO 10 KG CG</t>
  </si>
  <si>
    <t>PEITO MP CHUNKS</t>
  </si>
  <si>
    <t>MEIO PEITO SOPF 3-4 PÇ MP</t>
  </si>
  <si>
    <t>PEITO MP 20 KG RF</t>
  </si>
  <si>
    <t>PEITO S/OPF 1/2 100-120</t>
  </si>
  <si>
    <t>Refilar Peito (Meio peito)</t>
  </si>
  <si>
    <t>Refilar Peito (Peito Inteiro)</t>
  </si>
  <si>
    <t>Embalar Peito Bloco 7,5 kg</t>
  </si>
  <si>
    <t>Embalar Peito Bloco 10 kg</t>
  </si>
  <si>
    <t>Embalar Peito Bloco 15 kg</t>
  </si>
  <si>
    <t>Embalar Peito Bloco 20 kg</t>
  </si>
  <si>
    <t>Embalar Peito Bloco INTERF</t>
  </si>
  <si>
    <t>Embalar Peito Bloco Hony Comb</t>
  </si>
  <si>
    <t>Peito INTERF HC</t>
  </si>
  <si>
    <t>Peito 1 Kg CG</t>
  </si>
  <si>
    <t>Peito 2 Kg CG</t>
  </si>
  <si>
    <t>Peito 2,5 Kg CG</t>
  </si>
  <si>
    <t>Peito 7,5 Kg CG</t>
  </si>
  <si>
    <t>Peito 10 Kg CG</t>
  </si>
  <si>
    <t>Peito 15 Kg CG</t>
  </si>
  <si>
    <t>Peito Salgado 7,5 Kg CG</t>
  </si>
  <si>
    <t>Peito Salgado 2,5 Kg CG</t>
  </si>
  <si>
    <t>Peito Salgado 2 Kg CG</t>
  </si>
  <si>
    <t>Peito Salgado INTERF CG</t>
  </si>
  <si>
    <t>Peito Salgado 10 Kg CG</t>
  </si>
  <si>
    <t>Peito 20 Kg CG</t>
  </si>
  <si>
    <t>Peito MP 20 Kg RF</t>
  </si>
  <si>
    <t>Peito Filet In Natura</t>
  </si>
  <si>
    <t>Peito Filet Outback</t>
  </si>
  <si>
    <t>Peito Filet Temp</t>
  </si>
  <si>
    <t>Peito Filet Temp IQF</t>
  </si>
  <si>
    <t>Peito Filet IQF</t>
  </si>
  <si>
    <t>PEITO FILET IN NATURA</t>
  </si>
  <si>
    <t>Peito MP MCD 20 Kg RF</t>
  </si>
  <si>
    <t>PEITO FILET TEMP IQF</t>
  </si>
  <si>
    <t>Peito MP Chunks</t>
  </si>
  <si>
    <t>PEITO FILET MANUAL TEMP IQF</t>
  </si>
  <si>
    <t>Peito Filet Manual Temp IQF</t>
  </si>
  <si>
    <t>Peito BDJ CG</t>
  </si>
  <si>
    <t>Peito IQF TEMP</t>
  </si>
  <si>
    <t>Peito INTERF/ INTERF HC</t>
  </si>
  <si>
    <t>Peito Salgado 2 Kg/ 2,5 kg CG</t>
  </si>
  <si>
    <t>Peito Salgado Tambler</t>
  </si>
  <si>
    <t>Peito Salgado Manual</t>
  </si>
  <si>
    <t>% do PO a ser Realizado por Turno</t>
  </si>
  <si>
    <t>Prod. Nº T</t>
  </si>
  <si>
    <t>BD 1</t>
  </si>
  <si>
    <t>BD 2</t>
  </si>
  <si>
    <t>BD 3</t>
  </si>
  <si>
    <t>1_2_3</t>
  </si>
  <si>
    <t>1_2</t>
  </si>
  <si>
    <t>1_3</t>
  </si>
  <si>
    <t>2_3</t>
  </si>
  <si>
    <t>% T 1</t>
  </si>
  <si>
    <t>% T 2</t>
  </si>
  <si>
    <t>% T 3</t>
  </si>
  <si>
    <t>Peito TH</t>
  </si>
  <si>
    <t>Embalar Peito Bloco 7,5 kg Automático</t>
  </si>
  <si>
    <t>Pesar Peito Bloco INTERF</t>
  </si>
  <si>
    <t>Pesar Peito Bloco 15_20 kg</t>
  </si>
  <si>
    <t>Embalar Peito 1 kg</t>
  </si>
  <si>
    <t>Embalar Peito 2 kg</t>
  </si>
  <si>
    <t>Embalar Peito 2,5 kg</t>
  </si>
  <si>
    <t>Núm de Embaladoras Automáticas</t>
  </si>
  <si>
    <t>Núm de Máquina de Peito Filetado</t>
  </si>
  <si>
    <t>Núm de Seladoras</t>
  </si>
  <si>
    <t>Embandejar Sassami CG</t>
  </si>
  <si>
    <t>Embandejar Sassami RF</t>
  </si>
  <si>
    <t>Embandejar Peito CG 1 kg</t>
  </si>
  <si>
    <t>Embandejar Peito CG 0,9 kg</t>
  </si>
  <si>
    <t>Embandejar Peito CG 0,7 kg</t>
  </si>
  <si>
    <t>Classificar / Embalar Pele 15 kg</t>
  </si>
  <si>
    <t>Classificar / Embalar Pele 04 kg</t>
  </si>
  <si>
    <t>Revisar Produto</t>
  </si>
  <si>
    <t>Operar Máquina Embaladora Continua</t>
  </si>
  <si>
    <t>Núm de Máquina Embaladora Contínua</t>
  </si>
  <si>
    <t>Cap/Maq</t>
  </si>
  <si>
    <t>Cap T1</t>
  </si>
  <si>
    <t>Cap T2</t>
  </si>
  <si>
    <t>Cap T3</t>
  </si>
  <si>
    <t>_</t>
  </si>
  <si>
    <t>:</t>
  </si>
  <si>
    <t>Refilar Perna MCD</t>
  </si>
  <si>
    <t>Embalar Peito/Perna MCD</t>
  </si>
  <si>
    <t>Abstecer Cortadora B11</t>
  </si>
  <si>
    <t>Posicionar Diagonal Filetadora B11</t>
  </si>
  <si>
    <t>Selecionar Sassami Após Corte B11</t>
  </si>
  <si>
    <t>Cortar Sassami Manual</t>
  </si>
  <si>
    <t>Embalar Sassami B11 e Manual</t>
  </si>
  <si>
    <t>Núm de Máq. Classificadora KFC</t>
  </si>
  <si>
    <t>Retirar Tendão Manual</t>
  </si>
  <si>
    <t>% de Sassami S/Tendão</t>
  </si>
  <si>
    <t>Sassami 1 Kg CG</t>
  </si>
  <si>
    <t>Sassami 2 Kg/ 2,5 kg CG</t>
  </si>
  <si>
    <t>Sassami 6 kg/ 7,5 Kg/ 10 kg CG</t>
  </si>
  <si>
    <t>% de Sassami Cortado Manual</t>
  </si>
  <si>
    <t>% de Sassami Cortado Máquina</t>
  </si>
  <si>
    <t>Sassami BDJ RF</t>
  </si>
  <si>
    <t>Sassami BDJ CG</t>
  </si>
  <si>
    <t>Sassami Salgado</t>
  </si>
  <si>
    <t>Sassami 2 Kg</t>
  </si>
  <si>
    <t>Sassami 1 Kg</t>
  </si>
  <si>
    <t>Sassami 2,5 kg</t>
  </si>
  <si>
    <t>Sassami 6 kg</t>
  </si>
  <si>
    <t>Sassami 7,5 Kg</t>
  </si>
  <si>
    <t>Sassami 15 Kg</t>
  </si>
  <si>
    <t>Sassami 20kg</t>
  </si>
  <si>
    <t>SASSAMI 1 KG</t>
  </si>
  <si>
    <t>SASSAMI 6 KG</t>
  </si>
  <si>
    <t>Sassami 12 kg</t>
  </si>
  <si>
    <t>Sassami IQF TEMP</t>
  </si>
  <si>
    <t>SASSAMI C/ T</t>
  </si>
  <si>
    <t>SASSAMI S/ T</t>
  </si>
  <si>
    <t>SASSAMI C/ T CORTADO</t>
  </si>
  <si>
    <t>SASSAMI S/ T CORTADO</t>
  </si>
  <si>
    <t>% de Sassami Cortado</t>
  </si>
  <si>
    <t>Aut.</t>
  </si>
  <si>
    <t>Núm de Máquina Cortar Sassami</t>
  </si>
  <si>
    <t>Produção</t>
  </si>
  <si>
    <t>S/T T1</t>
  </si>
  <si>
    <t>S/T T3</t>
  </si>
  <si>
    <t>S/T T2</t>
  </si>
  <si>
    <t>Embalar Sassami 1 Kg</t>
  </si>
  <si>
    <t>Embalar Sassami 2 Kg</t>
  </si>
  <si>
    <t>Embalar Sassami 2,5 kg</t>
  </si>
  <si>
    <t>Embalar Sassami KFC</t>
  </si>
  <si>
    <t>Desossa de Perna DEFEITO ZERO?</t>
  </si>
  <si>
    <t>Alim. Classif. Perna Automático</t>
  </si>
  <si>
    <t>Numero de Classif. Perna Desossada</t>
  </si>
  <si>
    <t>Numero de Classif. Perna Kakugiri</t>
  </si>
  <si>
    <t>Numero de Maq. Perna S/P</t>
  </si>
  <si>
    <t>Número de Maq. Desossadora MayeKawa</t>
  </si>
  <si>
    <t>Retirar pele da Perna</t>
  </si>
  <si>
    <t>Porcion. de Pernas para IQF/BDJ/Assa Fácil</t>
  </si>
  <si>
    <t>% Kakugiri 100% calibrado</t>
  </si>
  <si>
    <t>% BL Gramaturado Manual</t>
  </si>
  <si>
    <t>% BL Gramaturado Automático</t>
  </si>
  <si>
    <t>% BL Não Gramaturado</t>
  </si>
  <si>
    <t>% BL Automático</t>
  </si>
  <si>
    <t>PERNA INTEIRA</t>
  </si>
  <si>
    <t>PERNA - COXA</t>
  </si>
  <si>
    <t>PERNA - SOBRECOXA</t>
  </si>
  <si>
    <t>Perna C/O PCT P</t>
  </si>
  <si>
    <t>Perna C/O PCT G</t>
  </si>
  <si>
    <t>Sobrecoxa C/O INTERF</t>
  </si>
  <si>
    <t>Sobrecoxa C/O WIP</t>
  </si>
  <si>
    <t>Sobrecoxa C/O WIP TEMP</t>
  </si>
  <si>
    <t>Sobrecoxa C/O PCT P</t>
  </si>
  <si>
    <t>Sobrecoxa C/O PCT G</t>
  </si>
  <si>
    <t>Sobrecoxa C/O BDJ CG</t>
  </si>
  <si>
    <t>Sobrecoxa C/O BDJ RF</t>
  </si>
  <si>
    <t>Sobrecoxa C/O IQF</t>
  </si>
  <si>
    <t>Sobrecoxa C/O IQF Temp.</t>
  </si>
  <si>
    <t>Sobrecoxa C/O Assa Facil</t>
  </si>
  <si>
    <t>Coxa C/O Assa Facil</t>
  </si>
  <si>
    <t>Coxa C/O IQF Temp.</t>
  </si>
  <si>
    <t>Coxa C/O INTERF</t>
  </si>
  <si>
    <t>Coxa C/O WIP</t>
  </si>
  <si>
    <t>Coxa C/O WIP TEMP</t>
  </si>
  <si>
    <t>Coxa C/O PCT P</t>
  </si>
  <si>
    <t>Coxa C/O PCT G</t>
  </si>
  <si>
    <t>Coxa C/O BDJ CG</t>
  </si>
  <si>
    <t>Coxa C/O BDJ RF</t>
  </si>
  <si>
    <t>Coxa C/O IQF</t>
  </si>
  <si>
    <t>SOBRECOXAS CG. FGO. QUALITA</t>
  </si>
  <si>
    <t>COXAS/SOBR. CG.FGO. QUALITA</t>
  </si>
  <si>
    <t>SOBRECOXAS CG. FGO. 18KG - I</t>
  </si>
  <si>
    <t>SOBRECOXAS CG. FGO. 18KG -</t>
  </si>
  <si>
    <t>SOBRECOXAS RF.FGO. PP 18KG -</t>
  </si>
  <si>
    <t>MEIO DAS ASAS TP.RF.FGO. PP</t>
  </si>
  <si>
    <t>SOBRECOXAS TP.RF.FGO. PP 18K</t>
  </si>
  <si>
    <t>COXINHA DAS ASAS TP.RF.FGO.P</t>
  </si>
  <si>
    <t>CORTES CG. FGO COXAS INTERFO</t>
  </si>
  <si>
    <t>CORTES RF FGO COXA/SOBRE BDJ</t>
  </si>
  <si>
    <t>CORTES RF FGO COXAS BDJS/P 1</t>
  </si>
  <si>
    <t>CORTES RF FGO ASAS BDJS/P 12</t>
  </si>
  <si>
    <t>CORTES RF FGO DRUMETTE BDJS/</t>
  </si>
  <si>
    <t>CORTES CG FGO COXAS/SOBRE IN</t>
  </si>
  <si>
    <t>CARTILAGEM JOELHO CG PB</t>
  </si>
  <si>
    <t>COXINHA DA ASA  50-60 CG</t>
  </si>
  <si>
    <t>CORTES RF FGO MEIO DAS ASAS</t>
  </si>
  <si>
    <t>COXAS TPRFFGO PP 18KG</t>
  </si>
  <si>
    <t>COXINHA DAS ASAS TPRFFGO PP</t>
  </si>
  <si>
    <t>MEIO DAS ASAS TPRFFGO PP 18K</t>
  </si>
  <si>
    <t>COXAS TPCGFGO PP 18KG</t>
  </si>
  <si>
    <t>COXINHA DA ASA TPCGFGOPP 18</t>
  </si>
  <si>
    <t>MEIO DAS ASAS TPCGFGO PP 18K</t>
  </si>
  <si>
    <t>SOBRECOXAS RFFGO PP 18KG</t>
  </si>
  <si>
    <t>COXAS/SOBR RFFGO PP 18KG</t>
  </si>
  <si>
    <t>COXINHA DAS ASAS RFFGO PP 18</t>
  </si>
  <si>
    <t>COXAS/SOBR. CG.FGO. S/O PP 1</t>
  </si>
  <si>
    <t>COXINHA DAS ASAS CG.FGO. PP</t>
  </si>
  <si>
    <t>SOBRECOXAS CG.FGO. BDJ PP 12</t>
  </si>
  <si>
    <t>SOBRECOXAS CG.FGO. PP 18KG</t>
  </si>
  <si>
    <t>CORTES TP.CG.FGO. SOBRECOXAS</t>
  </si>
  <si>
    <t>CORTES CG. FGO. COXAS 18KG -</t>
  </si>
  <si>
    <t>COXAS TP.RF.FGO. PP 18KG - C</t>
  </si>
  <si>
    <t>COXAS/SOBR CG FGO S/O LP 15K</t>
  </si>
  <si>
    <t>SOBRECOXA C/O BDJ CG</t>
  </si>
  <si>
    <t>PERNA C/O BDJ RF</t>
  </si>
  <si>
    <t>SOBRECOXA C/O BDJ RF</t>
  </si>
  <si>
    <t>COXA C/O BDJ RF</t>
  </si>
  <si>
    <t>SOBRECOXA C/O IQF</t>
  </si>
  <si>
    <t>COXA C/O IQF</t>
  </si>
  <si>
    <t>COXA C/O INTERF</t>
  </si>
  <si>
    <t>SOBRECOXA C/O WIP</t>
  </si>
  <si>
    <t>SOBRECOXA C/O WIP TEMP</t>
  </si>
  <si>
    <t>COXA C/O WIP TEMP</t>
  </si>
  <si>
    <t>Perna C/O BDJ CG</t>
  </si>
  <si>
    <t>Perna C/O BDJ RF</t>
  </si>
  <si>
    <t>Perna C/O WIP TEMP</t>
  </si>
  <si>
    <t>Cap/Maq
Aves/hr</t>
  </si>
  <si>
    <t>Perna Desossada</t>
  </si>
  <si>
    <t>kg/dia</t>
  </si>
  <si>
    <t>% vol. p/t</t>
  </si>
  <si>
    <t>aves/hr/t</t>
  </si>
  <si>
    <t>aves/hr manual</t>
  </si>
  <si>
    <t>aves/hr Aut.</t>
  </si>
  <si>
    <t>Otran</t>
  </si>
  <si>
    <t>Abastecer Mesa - Desossa Autom.</t>
  </si>
  <si>
    <t>Abastecer Mesa - Desossa Manual</t>
  </si>
  <si>
    <t>Número de Mesas de Desossa Manual</t>
  </si>
  <si>
    <t>Número de Mesas de Desossa Automatica</t>
  </si>
  <si>
    <t>Embalar Perna INTERF</t>
  </si>
  <si>
    <t>CARTILAGEM PERNA</t>
  </si>
  <si>
    <t>Numero Maq. Corte Kakugiri</t>
  </si>
  <si>
    <t>Limpar Setor - Perna Desossada</t>
  </si>
  <si>
    <t>Limpar Setor - Perna C/O</t>
  </si>
  <si>
    <t>Abastecer Modulo 1(B-36) KG</t>
  </si>
  <si>
    <t>Abastecer Modulo 2(B-22) KG</t>
  </si>
  <si>
    <t>Abastecer Modulo 2(B-22) CHUNK</t>
  </si>
  <si>
    <t>Abastecer Modulo 1(B-36) CHUNK</t>
  </si>
  <si>
    <t>Classicação Visual CHUNK</t>
  </si>
  <si>
    <t>Embalar CHUNK</t>
  </si>
  <si>
    <t>Abastecer Modulo Raio X</t>
  </si>
  <si>
    <t>Numero Maq. Raio X Kakugiri</t>
  </si>
  <si>
    <t>Embalar/Pesar Perna s/Pele 2 kg</t>
  </si>
  <si>
    <t>Embalar/Pesar Perna s/Pele 7,5 kg</t>
  </si>
  <si>
    <t>Embalar/Pesar Perna s/Pele 15 kg</t>
  </si>
  <si>
    <t>Pct/Dia</t>
  </si>
  <si>
    <t>Perna C/O INTERF 15 kg</t>
  </si>
  <si>
    <t>Perna C/O INTERF 10 kg</t>
  </si>
  <si>
    <t>PERNA C/O INTERF 15 KG</t>
  </si>
  <si>
    <t>Embalar Perna Bloco c/Osso - Pacote P</t>
  </si>
  <si>
    <t>Pesar Perna Bloco c/Osso - Iteira 15 e 18 kg</t>
  </si>
  <si>
    <t>Pesar Perna Bloco c/Osso - Iteira 10 kg</t>
  </si>
  <si>
    <t>Pesar Perna Bloco c/Osso - Coxa/Sobre 15 e 18 kg</t>
  </si>
  <si>
    <t>Pesar Perna Bloco c/Osso - Pacote G</t>
  </si>
  <si>
    <t>Pesar Perna Bloco c/Osso - Pacote P</t>
  </si>
  <si>
    <t>Embandejar Perna Inteira CG</t>
  </si>
  <si>
    <t>Embandejar Perna Inteira RF</t>
  </si>
  <si>
    <t>Embandejar Perna Coxa C_O S_P RF</t>
  </si>
  <si>
    <t>Embandejar Perna SobreCoxa C_O S_P RF</t>
  </si>
  <si>
    <t>Embalar Perna Bloco Coxa C/Osso - Pacote G</t>
  </si>
  <si>
    <t>Embalar Perna Bloco SobreCoxa C/Osso - Pacote G</t>
  </si>
  <si>
    <t>Sobrecoxa S/OP BDJ RF</t>
  </si>
  <si>
    <t>Embandejar Perna SobreCoxa S_OP RF</t>
  </si>
  <si>
    <t>Embandejar Perna Coxa C_OP CG</t>
  </si>
  <si>
    <t>Embandejar Perna SobreCoxa C_OP CG</t>
  </si>
  <si>
    <t>Asa Inteira BDJ</t>
  </si>
  <si>
    <t>Meio da asa Pacote 1 kg</t>
  </si>
  <si>
    <t>Meio da asa Pacote 2 kg</t>
  </si>
  <si>
    <t>Coxa da asa Pacote 1 kg</t>
  </si>
  <si>
    <t>Coxa da asa Pacote 2 kg</t>
  </si>
  <si>
    <t>Meio da asa WIP TEMP</t>
  </si>
  <si>
    <t>Coxa da asa WIP TEMP</t>
  </si>
  <si>
    <t>COXA DA ASA IQF</t>
  </si>
  <si>
    <t>COXA DA ASA KFC</t>
  </si>
  <si>
    <t>COXA DA ASA WIP TEMP</t>
  </si>
  <si>
    <t>ASA INTEIRA BDJ RF</t>
  </si>
  <si>
    <t>COXA DA ASA BDJ RF</t>
  </si>
  <si>
    <t>MEIO DA ASA IQF</t>
  </si>
  <si>
    <t>MEIO DA ASA KFC</t>
  </si>
  <si>
    <t>MEIO DA ASA BDJ RF</t>
  </si>
  <si>
    <t>MEIO DA ASA WIP TEMP</t>
  </si>
  <si>
    <t>MEIO DA ASA INTERF</t>
  </si>
  <si>
    <t>Asa Inteira BDJ RF</t>
  </si>
  <si>
    <t>ASAS INTEIRAS</t>
  </si>
  <si>
    <t>MEIO + PONTA DA ASA</t>
  </si>
  <si>
    <t>Alimentar classificadora</t>
  </si>
  <si>
    <t>% de asa Inteira INTERF Bloco</t>
  </si>
  <si>
    <t>% de asa Inteira INTERF Pacote</t>
  </si>
  <si>
    <t>% de asa Inteira BDJ CG</t>
  </si>
  <si>
    <t>% de asa Inteira BDJ RF</t>
  </si>
  <si>
    <t>Núm de Maquina Multicabeçal</t>
  </si>
  <si>
    <t>Núm de Maquina Classificadora</t>
  </si>
  <si>
    <t>Núm de embaladoras Automáticas</t>
  </si>
  <si>
    <t>Separar por turno</t>
  </si>
  <si>
    <t>% por turno base 100%</t>
  </si>
  <si>
    <t>separar pacote bae 100%</t>
  </si>
  <si>
    <t>Pacote dia</t>
  </si>
  <si>
    <t>Manual/Automático</t>
  </si>
  <si>
    <t>Manual 1T</t>
  </si>
  <si>
    <t>Auto 1T</t>
  </si>
  <si>
    <t>Manual 2T</t>
  </si>
  <si>
    <t>Auto 2T</t>
  </si>
  <si>
    <t>Manual 3T</t>
  </si>
  <si>
    <t>Auto 3T</t>
  </si>
  <si>
    <t>TOTAL =</t>
  </si>
  <si>
    <t>% Perna Porcionada</t>
  </si>
  <si>
    <t>Coxa C/O S/P BDJ RF</t>
  </si>
  <si>
    <t>Perna S/OP 02 / 7,5 / 15 kg</t>
  </si>
  <si>
    <t>Perna C/O INTERF 10 / 15 kg</t>
  </si>
  <si>
    <t>Perna C/O WIP / WIP TEMP</t>
  </si>
  <si>
    <t>Perna C/O PCT P / G</t>
  </si>
  <si>
    <t>Perna C/O IQF / IQF TEMP</t>
  </si>
  <si>
    <t>Sobrecoxa C/O S/P BDJ RF</t>
  </si>
  <si>
    <t>Numero de Balança Multicabeça</t>
  </si>
  <si>
    <t>Numero de Embaladoras Automáticas</t>
  </si>
  <si>
    <t>Embandejar Perna Coxa C_OP RF</t>
  </si>
  <si>
    <t>Cortar Peito - Cubos</t>
  </si>
  <si>
    <t>Peito C/ Osso BDJ RF</t>
  </si>
  <si>
    <t>Peito Cubos BDJ RF</t>
  </si>
  <si>
    <t>Peito Cubo IQF</t>
  </si>
  <si>
    <t>Peito Cubo Molho do Chef</t>
  </si>
  <si>
    <t>Peito Tiras BDJ RF</t>
  </si>
  <si>
    <t>Peito Tiras Molho do Chef</t>
  </si>
  <si>
    <t>Peito Tiras IQF</t>
  </si>
  <si>
    <t>Peito Cubo MP</t>
  </si>
  <si>
    <t>Peito Tiras MP</t>
  </si>
  <si>
    <t>Peito 7,5 Kg</t>
  </si>
  <si>
    <t>Peito 10/ 15/ 20 kg CG_RF</t>
  </si>
  <si>
    <t>Peito 02/ 2,5 kg CG</t>
  </si>
  <si>
    <t>Peito Salgado 7,5 Kg</t>
  </si>
  <si>
    <t>Peito Salgado 10 kg/ INTERF CG</t>
  </si>
  <si>
    <t>Peito Tiras BDJ RF/ MP/ IQF/ Molho chef</t>
  </si>
  <si>
    <t>Peito Cubos BDJ RF/ MP/ IQF/ Molho chef</t>
  </si>
  <si>
    <t>Peso do BL</t>
  </si>
  <si>
    <t>Núm de Maquina Porcionadora</t>
  </si>
  <si>
    <t>PEITO BDJ RF</t>
  </si>
  <si>
    <t>Classificar Asas - Meio MI</t>
  </si>
  <si>
    <t>Classificar Asas - Coxa MI</t>
  </si>
  <si>
    <t>Classificar Asas - Meio ME</t>
  </si>
  <si>
    <t>Classificar Asas - Coxa ME</t>
  </si>
  <si>
    <t>Meio e Coxa da asa Canadá</t>
  </si>
  <si>
    <t>Embalar Asa Pacote - INTERF Pacote</t>
  </si>
  <si>
    <t>Embalar Asa Pacote 1kg</t>
  </si>
  <si>
    <t>Embalar Asa Pacote 2kg</t>
  </si>
  <si>
    <t>Embalar Asa Pacote - Canadá</t>
  </si>
  <si>
    <t>Embalar Asa Pacote - Meio C/ Ponta KFC</t>
  </si>
  <si>
    <t>Embalar Asa Pacote - Coxa KFC</t>
  </si>
  <si>
    <t>Interfolhar Meio e Coxa da Asa Bloco</t>
  </si>
  <si>
    <t>Interfolhar Meio e Coxa da Asa Bloco IF</t>
  </si>
  <si>
    <t>Interfolhar Asa Inteira Bloco</t>
  </si>
  <si>
    <t>Asa Inteira INTERF IF</t>
  </si>
  <si>
    <t>% de asa Inteira INTERF Bloco IF</t>
  </si>
  <si>
    <t>Meio da asa INTERF IF</t>
  </si>
  <si>
    <t>Coxa da asa INTERF IF</t>
  </si>
  <si>
    <t>Interfolhar Asa Inteira Bloco IF</t>
  </si>
  <si>
    <t>Interfolhar Asa Inteira Bloco Griller</t>
  </si>
  <si>
    <t>Asa Inteira INTERF Griller</t>
  </si>
  <si>
    <t>% de asa Inteira INTERF Bloco Griller</t>
  </si>
  <si>
    <t>Embalar Asa Pacote Ponta</t>
  </si>
  <si>
    <t>Ponta da Asa</t>
  </si>
  <si>
    <t>Meio da asa Pacote Ponta</t>
  </si>
  <si>
    <t>Embandejar Produtos - Asa CG</t>
  </si>
  <si>
    <t>Embandejar Produtos - Asa RF</t>
  </si>
  <si>
    <t>Embandejar Produtos - Asa Inteira RF</t>
  </si>
  <si>
    <t>Embandejar Produtos - Asa Inteira CG</t>
  </si>
  <si>
    <t>Revisar Produtos Embaladora</t>
  </si>
  <si>
    <t>Perna C/O INTERF GRILLER</t>
  </si>
  <si>
    <t>Embalar Perna Bloco c/Osso - Iteira 15 e 18 kg</t>
  </si>
  <si>
    <t>Embalar Perna Bloco c/Osso - Iteira 10 kg</t>
  </si>
  <si>
    <t>Embalar Perna Bloco c/Osso - Coxa 15 e 18 kg</t>
  </si>
  <si>
    <t>Embalar Perna Bloco c/Osso - SobreCoxa 15 e 18 kg</t>
  </si>
  <si>
    <t>Embalar Perna Bloco c/Osso - Iteira Griller</t>
  </si>
  <si>
    <t>Setor de Embalagem de PEITO Separado?</t>
  </si>
  <si>
    <t>Setor de Embalagem de ASA Separado?</t>
  </si>
  <si>
    <t>Sala de Embaladoras</t>
  </si>
  <si>
    <t>Kg/dia CMS</t>
  </si>
  <si>
    <t>Kg/dia CMR Vermelha</t>
  </si>
  <si>
    <t>Kg/dia CMR Branca</t>
  </si>
  <si>
    <t>Cx/Dia</t>
  </si>
  <si>
    <t>Pesar BDJ CG nas Linhas?</t>
  </si>
  <si>
    <t>Pesar BDJ RF nas Linhas?</t>
  </si>
  <si>
    <t>Pesar BDJ TM nas Linhas?</t>
  </si>
  <si>
    <t>Núm de Maq. BDJ RF</t>
  </si>
  <si>
    <t>Núm de Maq. BDJ TMF</t>
  </si>
  <si>
    <t>Núm de Maq. BDJ CG</t>
  </si>
  <si>
    <t>Núm de Maquina Multicabeçal RF</t>
  </si>
  <si>
    <t>Núm de Maquina Multicabeçal CG</t>
  </si>
  <si>
    <t>Peito BDJ TMF</t>
  </si>
  <si>
    <t>Sassami BDJ TMF</t>
  </si>
  <si>
    <t>Perna C/O BDJ TMF</t>
  </si>
  <si>
    <t>Coxa C/O TMF</t>
  </si>
  <si>
    <t>Coxa C/O BDJ TMF</t>
  </si>
  <si>
    <t>Sobrecoxa C/O BDJ TMF</t>
  </si>
  <si>
    <t>Asa Inteira BDJ TMF</t>
  </si>
  <si>
    <t>% de asa Inteira BDJ TMF</t>
  </si>
  <si>
    <t>Meio da asa BDJ TMF</t>
  </si>
  <si>
    <t>Coxa da asa BDJ TMF</t>
  </si>
  <si>
    <t>Setor de Embalagem de PERNA Separado?</t>
  </si>
  <si>
    <t>Linha de Bandeja Congelada</t>
  </si>
  <si>
    <t>Fígado</t>
  </si>
  <si>
    <t>Linha de Bandeja Resfriada</t>
  </si>
  <si>
    <t>Asa Inteira BDJ CG</t>
  </si>
  <si>
    <t>Fígado BDJ RF</t>
  </si>
  <si>
    <t>Fígado BDJ CG</t>
  </si>
  <si>
    <t>Pacote 0,45 Kg</t>
  </si>
  <si>
    <t>Pacote 1 Kg</t>
  </si>
  <si>
    <t>Bandeja RF</t>
  </si>
  <si>
    <t>Bandeja CG</t>
  </si>
  <si>
    <t>Bloco; Pacote</t>
  </si>
  <si>
    <t>Coração</t>
  </si>
  <si>
    <t>Moela</t>
  </si>
  <si>
    <t>Coração Bloco</t>
  </si>
  <si>
    <t>C oração Bandeja RF</t>
  </si>
  <si>
    <t>Coração Bandeja CG</t>
  </si>
  <si>
    <t>Coração Pacote 0,45 Kg</t>
  </si>
  <si>
    <t>Coração Pacote 1 Kg</t>
  </si>
  <si>
    <t>Coração Bloco; Pacote</t>
  </si>
  <si>
    <t>Moela Bandeja RF</t>
  </si>
  <si>
    <t>Moela Bandeja CG</t>
  </si>
  <si>
    <t>Moela Pacote 0,45 Kg</t>
  </si>
  <si>
    <t>Moela Pacote 1 Kg</t>
  </si>
  <si>
    <t>Moela Bloco; Pacote</t>
  </si>
  <si>
    <t>C oração BDJ RF</t>
  </si>
  <si>
    <t>Moela Bloco</t>
  </si>
  <si>
    <t>Fígado Bandeja RF</t>
  </si>
  <si>
    <t>Fígado Bandeja CG</t>
  </si>
  <si>
    <t>Fígado Pacote 0,45 Kg</t>
  </si>
  <si>
    <t>Fígado Pacote 1 Kg</t>
  </si>
  <si>
    <t>Fígado Bloco; Pacote</t>
  </si>
  <si>
    <t>Fígado Bloco</t>
  </si>
  <si>
    <t>BDJ/Hr</t>
  </si>
  <si>
    <t>Peito Filet BDJ RF</t>
  </si>
  <si>
    <t>Peito C/Osso BDJ RF</t>
  </si>
  <si>
    <t>BDJ/dia</t>
  </si>
  <si>
    <t>3 Turnos sem pausas e 2 turnos sem intervalo</t>
  </si>
  <si>
    <t>3 Turnos sem pausas em 1 turno</t>
  </si>
  <si>
    <t>1 Turno sem pausa e intervalo</t>
  </si>
  <si>
    <t>1 Turno sem pausa e com intervalo</t>
  </si>
  <si>
    <t>1 Turno com pausa e intervalo</t>
  </si>
  <si>
    <t>QL ADICIONAL</t>
  </si>
  <si>
    <t>1 turno</t>
  </si>
  <si>
    <t>2 turno</t>
  </si>
  <si>
    <t>3 turno</t>
  </si>
  <si>
    <t>Hrs</t>
  </si>
  <si>
    <t>Turnos</t>
  </si>
  <si>
    <t>BDJ CG</t>
  </si>
  <si>
    <t>BDJ RF</t>
  </si>
  <si>
    <t>Vel. Turno BDJ CG</t>
  </si>
  <si>
    <t>Vel. Turno BDJ RF</t>
  </si>
  <si>
    <t>BD Para Rodízio de pausas BDJ TMF</t>
  </si>
  <si>
    <t>BDJ TMF</t>
  </si>
  <si>
    <t>Vel. Turno BDJ TMF</t>
  </si>
  <si>
    <t>Embandejar Produtos - CG</t>
  </si>
  <si>
    <t>Embandejar Produtos - TMF</t>
  </si>
  <si>
    <t>Abastecer Máquina de Bandeja - CG</t>
  </si>
  <si>
    <t>Abastecer Máquina de Bandeja - RF</t>
  </si>
  <si>
    <t>Abastecer Máquina de Bandeja - TMF</t>
  </si>
  <si>
    <t>Etiquetar Bandejas - CG</t>
  </si>
  <si>
    <t>Etiquetar Bandejas - TMF</t>
  </si>
  <si>
    <t>Etiquetar Bandejas - RF</t>
  </si>
  <si>
    <t>Encaixotar Bandejas - CG</t>
  </si>
  <si>
    <t>Encaixotar Bandejas - RF</t>
  </si>
  <si>
    <t>Encaixotar Bandejas - TMF</t>
  </si>
  <si>
    <t>Operador de Máquina - Bandejas - CG</t>
  </si>
  <si>
    <t>Operador de Máquina - Bandejas - RF</t>
  </si>
  <si>
    <t>Operador de Máquina - Bandejas - TMF</t>
  </si>
  <si>
    <t>Linha de Bandeja Termoformada</t>
  </si>
  <si>
    <t>IQF IN Natura</t>
  </si>
  <si>
    <t>IQF Temperado</t>
  </si>
  <si>
    <t>IQF SWIFT</t>
  </si>
  <si>
    <t>Pct/dia</t>
  </si>
  <si>
    <t>BDJ</t>
  </si>
  <si>
    <t>Linha IQF In Natura</t>
  </si>
  <si>
    <t>Linha IQF Temperado</t>
  </si>
  <si>
    <t>3 Turnos com pausas e intervalos</t>
  </si>
  <si>
    <t>Plano/dia kg</t>
  </si>
  <si>
    <t>Selar - IQF - Manual</t>
  </si>
  <si>
    <t>Selar - IQF - Reprocesso</t>
  </si>
  <si>
    <t>Encaixotamento na Linha?</t>
  </si>
  <si>
    <t>Encaixotar</t>
  </si>
  <si>
    <t>Pct/Hr</t>
  </si>
  <si>
    <t>Embalar - IQF IN NATURA</t>
  </si>
  <si>
    <t>Embalar - IQF TEMPERADO</t>
  </si>
  <si>
    <t>r</t>
  </si>
  <si>
    <t>rr</t>
  </si>
  <si>
    <t>d</t>
  </si>
  <si>
    <t>dd</t>
  </si>
  <si>
    <t>ddd</t>
  </si>
  <si>
    <t>F1</t>
  </si>
  <si>
    <t>F2</t>
  </si>
  <si>
    <t>F3</t>
  </si>
  <si>
    <t>F4</t>
  </si>
  <si>
    <t>F5</t>
  </si>
  <si>
    <t>F6</t>
  </si>
  <si>
    <t>F7</t>
  </si>
  <si>
    <t>F8</t>
  </si>
  <si>
    <t>CC</t>
  </si>
  <si>
    <t>Descrição Seção (60 caracteres)</t>
  </si>
  <si>
    <t>Cod Seção (33 caracteres)</t>
  </si>
  <si>
    <t>Riscar Dorso e Baixar Peito/Asa - Shawarma</t>
  </si>
  <si>
    <t>Riscar Sassami - Shawarma</t>
  </si>
  <si>
    <t>Gr Perna - Refilar Perna</t>
  </si>
  <si>
    <t>Gr Perna - Transportar</t>
  </si>
  <si>
    <t>Operador de Máquina - Porcionadora</t>
  </si>
  <si>
    <t>Operar plastificadora</t>
  </si>
  <si>
    <t>Recebimento de Materia Prima</t>
  </si>
  <si>
    <t>Operar Máquinas e Equipamentos</t>
  </si>
  <si>
    <t>Expedição de Farinha</t>
  </si>
  <si>
    <t>Cod Seção (35 caracteres)</t>
  </si>
  <si>
    <t>T1</t>
  </si>
  <si>
    <t>.1</t>
  </si>
  <si>
    <t>T2</t>
  </si>
  <si>
    <t>.2</t>
  </si>
  <si>
    <t>T3</t>
  </si>
  <si>
    <t>.3</t>
  </si>
  <si>
    <t>Centro de Custos</t>
  </si>
  <si>
    <t>3481 - ABATE DE AVES</t>
  </si>
  <si>
    <t>3491 - SALA DE MIUDOS</t>
  </si>
  <si>
    <t>3482 - SALA DE CORTES AVES</t>
  </si>
  <si>
    <t>3488 - TEMPERADOS AVES</t>
  </si>
  <si>
    <t>3453 - PRODUÇÃO DE INTEIROS</t>
  </si>
  <si>
    <t>3451 - PRODUÇÃO DE PEITO</t>
  </si>
  <si>
    <t>3450 - PRODUÇÃO DE PERNA</t>
  </si>
  <si>
    <t>3452 - PRODUÇÃO DE ASA</t>
  </si>
  <si>
    <t>3486 - CMS</t>
  </si>
  <si>
    <t>3473 - MONTAGEM DE CAIXAS AVES</t>
  </si>
  <si>
    <t>3483 - PADRONIZACAO/EMBALAGEM AVES</t>
  </si>
  <si>
    <t>3104 - IQF</t>
  </si>
  <si>
    <t>3485 - CONGELAMENTO AVES</t>
  </si>
  <si>
    <t>3487 - FABRICA DE FARINHAS - AVES</t>
  </si>
  <si>
    <t>PSO-58</t>
  </si>
  <si>
    <t>FILEPEITO CG BL PB 8OZ FOOD</t>
  </si>
  <si>
    <t>BM-18</t>
  </si>
  <si>
    <t>OB-290</t>
  </si>
  <si>
    <t>OB-410</t>
  </si>
  <si>
    <t>PSO-06</t>
  </si>
  <si>
    <t>FILE PEITO M RESF BDJ SE</t>
  </si>
  <si>
    <t>PSO-59</t>
  </si>
  <si>
    <t>FILEPEITO CG BL PB 5OZ FOOD</t>
  </si>
  <si>
    <t>PSO-83</t>
  </si>
  <si>
    <t>FILE PEITO FGO 150/350G FS</t>
  </si>
  <si>
    <t>TH-26</t>
  </si>
  <si>
    <t>PCO-02</t>
  </si>
  <si>
    <t>PEITO RESF BDJ SE</t>
  </si>
  <si>
    <t>PSO-88</t>
  </si>
  <si>
    <t>FILE PEITO  TEMPERADO IQF</t>
  </si>
  <si>
    <t>TB-120</t>
  </si>
  <si>
    <t>1/2 PEITO S/OPF SG 140GUP PB</t>
  </si>
  <si>
    <t>TB-20</t>
  </si>
  <si>
    <t>TH-28</t>
  </si>
  <si>
    <t>1/2 PEITO S/OPF FG MR PB</t>
  </si>
  <si>
    <t>TH-43</t>
  </si>
  <si>
    <t>COX PC</t>
  </si>
  <si>
    <t>COXINHA ASA CG ALM SE</t>
  </si>
  <si>
    <t>CXA-12</t>
  </si>
  <si>
    <t>COXINHA ASA RESF BDJ SE</t>
  </si>
  <si>
    <t>CXA-41</t>
  </si>
  <si>
    <t>COXINHA ASA TEMPERADA IQF</t>
  </si>
  <si>
    <t>CXA-50</t>
  </si>
  <si>
    <t>COXINHA ASA IQF ALM SE</t>
  </si>
  <si>
    <t>COX-05</t>
  </si>
  <si>
    <t>COXA RESF BDJ SE</t>
  </si>
  <si>
    <t>COX-40</t>
  </si>
  <si>
    <t>COXA TEMPERADA IQF</t>
  </si>
  <si>
    <t>COX-50</t>
  </si>
  <si>
    <t>COXA IQF ALM SE</t>
  </si>
  <si>
    <t>P-07</t>
  </si>
  <si>
    <t>PES FRANGO B CG PB</t>
  </si>
  <si>
    <t>P-41</t>
  </si>
  <si>
    <t>P-78</t>
  </si>
  <si>
    <t>GI-13</t>
  </si>
  <si>
    <t>MOELA FG PB</t>
  </si>
  <si>
    <t>GI-32</t>
  </si>
  <si>
    <t>MOE PC</t>
  </si>
  <si>
    <t>MOELA FRANGO CG ALM SE</t>
  </si>
  <si>
    <t>CSP-BL</t>
  </si>
  <si>
    <t>COXA SBCX  S/OP CG MP BL</t>
  </si>
  <si>
    <t>BL-06</t>
  </si>
  <si>
    <t>COXA SBCX S/O FG 160-180g PB</t>
  </si>
  <si>
    <t>BL-07</t>
  </si>
  <si>
    <t>COXA SBCX S/O FG 180-200g PB</t>
  </si>
  <si>
    <t>BL-08</t>
  </si>
  <si>
    <t>COXA SBCX S/O FG 200-220g PB</t>
  </si>
  <si>
    <t>BL-09</t>
  </si>
  <si>
    <t>COXA SBCX S/O FG 220-240g PB</t>
  </si>
  <si>
    <t>BL-10</t>
  </si>
  <si>
    <t>COXA SBCX S/O FG 240-260g PB</t>
  </si>
  <si>
    <t>BL-11</t>
  </si>
  <si>
    <t>COXA SBCX S/O FG 260-280g PB</t>
  </si>
  <si>
    <t>BL-12</t>
  </si>
  <si>
    <t>COXA SBCX S/O FG 280-300g PB</t>
  </si>
  <si>
    <t>BL-90</t>
  </si>
  <si>
    <t>COXA SBCX S/O FG 200g UP PB</t>
  </si>
  <si>
    <t>CSS-BL</t>
  </si>
  <si>
    <t>COXA SBCX S/O CG MP PB</t>
  </si>
  <si>
    <t>CARTILAGEM JOELHO FG PB</t>
  </si>
  <si>
    <t>FIGADO FG PF PB</t>
  </si>
  <si>
    <t>CARNE MS AVES DORSO CG BL</t>
  </si>
  <si>
    <t>CMR VER P/ IN NATURA RF</t>
  </si>
  <si>
    <t>MEA-12</t>
  </si>
  <si>
    <t>MEIO ASA RESF BDJ SE</t>
  </si>
  <si>
    <t>JW-08</t>
  </si>
  <si>
    <t>MEIO ASA C/PTA FG 50g UP PB</t>
  </si>
  <si>
    <t>MW-110</t>
  </si>
  <si>
    <t>MEIO ASA C/ PTA FG PB</t>
  </si>
  <si>
    <t>HOB-01</t>
  </si>
  <si>
    <t>CANELA FG PB</t>
  </si>
  <si>
    <t>SK-19</t>
  </si>
  <si>
    <t>PELE DE FRANGO CG BL</t>
  </si>
  <si>
    <t>SOB-41</t>
  </si>
  <si>
    <t>SOBRECOXA TEMPERADA IQF</t>
  </si>
  <si>
    <t>SOB-50</t>
  </si>
  <si>
    <t>SOBRECOXA IQF ALM SE</t>
  </si>
  <si>
    <t>ST-13</t>
  </si>
  <si>
    <t>SOBRECOXA S/OP FG PB</t>
  </si>
  <si>
    <t>BM-05</t>
  </si>
  <si>
    <t>KFC-CG</t>
  </si>
  <si>
    <t>REC PEITO FG CG BL (KFC) MP</t>
  </si>
  <si>
    <t>KFC-RF</t>
  </si>
  <si>
    <t>REC PEITO FG RF MPL (KFC) MP</t>
  </si>
  <si>
    <t>CSC-03</t>
  </si>
  <si>
    <t>COXA C/SBCX RESF BDJ SE</t>
  </si>
  <si>
    <t>ASA-25</t>
  </si>
  <si>
    <t>ASA INT RESF BDJ SE</t>
  </si>
  <si>
    <t>W-124</t>
  </si>
  <si>
    <t>ASAS FG 80-100g LP</t>
  </si>
  <si>
    <t>W-125</t>
  </si>
  <si>
    <t>ASAS FG 100g UP LP</t>
  </si>
  <si>
    <t>PW-11</t>
  </si>
  <si>
    <t>PONTA ASA FG PB</t>
  </si>
  <si>
    <t>PEITO FILET OUTBACK</t>
  </si>
  <si>
    <t>PEITO C/O BDJ RF</t>
  </si>
  <si>
    <t>Peito C/O BDJ RF</t>
  </si>
  <si>
    <t>PEITO IQF TEMP</t>
  </si>
  <si>
    <t>Peito IQF Temp</t>
  </si>
  <si>
    <t>PEITO SALGADO INTERF CG</t>
  </si>
  <si>
    <t>PEITO FILET TEMP</t>
  </si>
  <si>
    <t>COXA DA ASA PACOTE 1 KG</t>
  </si>
  <si>
    <t>Coxa da asa IQF Temp</t>
  </si>
  <si>
    <t>COXA DA ASA IQF TEMP</t>
  </si>
  <si>
    <t>Coxa C/O IQF Temp</t>
  </si>
  <si>
    <t>COXA C/O IQF TEMP</t>
  </si>
  <si>
    <t>PERNA S/OP 15 KG</t>
  </si>
  <si>
    <t>Sobrecoxa S/OP TIGH</t>
  </si>
  <si>
    <t>Padronizar peças TIGH</t>
  </si>
  <si>
    <t>Transportar Sobrecoxa TIGH</t>
  </si>
  <si>
    <t>Pesar/Embalar produto TIGH</t>
  </si>
  <si>
    <t>Controle KPI Produto TIGH</t>
  </si>
  <si>
    <t>MEIO DA ASA PACOTE 1 KG</t>
  </si>
  <si>
    <t>PELE 15KG</t>
  </si>
  <si>
    <t>SOBRECOXA C/O IQF TEMP.</t>
  </si>
  <si>
    <t>Sobrecoxa S/OP ST13</t>
  </si>
  <si>
    <t>SOBRECOXA S/OP ST13</t>
  </si>
  <si>
    <t>PEITO REC TSM</t>
  </si>
  <si>
    <t>Peito Rec TSM</t>
  </si>
  <si>
    <t>ASA INTEIRA INTERF</t>
  </si>
  <si>
    <t>PONTA DA ASA</t>
  </si>
  <si>
    <t>MOELA PACOTE 1 KG</t>
  </si>
  <si>
    <t>CORAÇÃO PACOTE 1 KG</t>
  </si>
  <si>
    <t>FÍGADO BLOCO</t>
  </si>
  <si>
    <t>FÍGADO BDJ RF</t>
  </si>
  <si>
    <t>FÍGADO BDJ CG</t>
  </si>
  <si>
    <t>FÍGADO PACOTE 1 KG</t>
  </si>
  <si>
    <t>INSPEÇÃO ANTE MORTEM</t>
  </si>
  <si>
    <t>PRÉ INSPEÇÃO</t>
  </si>
  <si>
    <t>INSPEÇÃO DE LINHA</t>
  </si>
  <si>
    <t>INSPEÇÃO DIF</t>
  </si>
  <si>
    <t>AGENTES DE INSPEÇÃO</t>
  </si>
  <si>
    <t>AUXILIAR ADMINISTRATIVO</t>
  </si>
  <si>
    <t>HIGIENIZAÇÃO</t>
  </si>
  <si>
    <t>RECEBIMENTO DE MATERIA PRIMA</t>
  </si>
  <si>
    <t>OPERAR MÁQUINAS E EQUIPAMENTOS</t>
  </si>
  <si>
    <t>MANUTENTORES</t>
  </si>
  <si>
    <t>EXPEDIÇÃO DE FARINHA</t>
  </si>
  <si>
    <t>SUPERVISOR</t>
  </si>
  <si>
    <t>Retirada de Sambiquira na Evisceração?</t>
  </si>
  <si>
    <t>Recolher e Transportar Recortes - Refile</t>
  </si>
  <si>
    <t>Recolher e Transportar Recortes - Máquinas</t>
  </si>
  <si>
    <t>Embalar Peito Bloco 20 kg RF</t>
  </si>
  <si>
    <t>Controle/Monitor - IC e Rendimentos</t>
  </si>
  <si>
    <t>Controle/Monitor - KPI Sassami KFC</t>
  </si>
  <si>
    <t>Controle/Monitor - KPI TH 26</t>
  </si>
  <si>
    <t>Controle/Monitor - KPI TH 28</t>
  </si>
  <si>
    <t>Cortar Peito - Filetado OUTBACK</t>
  </si>
  <si>
    <t>Embalar Recorte - Filetado OUTBACK</t>
  </si>
  <si>
    <t>Operador Filetadora - Filetado OUTBACK</t>
  </si>
  <si>
    <t>Embalar - Filetado OUTBACK</t>
  </si>
  <si>
    <t>Embalar TH 28</t>
  </si>
  <si>
    <t>Carregar e Descarregar Tambler - SASS KFC</t>
  </si>
  <si>
    <t>Carregar e Descarregar Tambler - TH 28</t>
  </si>
  <si>
    <t>Selar Sassami KFC</t>
  </si>
  <si>
    <t>Selar TH28</t>
  </si>
  <si>
    <t>Abastecer amassador de Pacote SASS KFC</t>
  </si>
  <si>
    <t>Classificar Perna S/P ST 13</t>
  </si>
  <si>
    <t>Refilar ST 13</t>
  </si>
  <si>
    <t>Embalar/Pesar/Trasnportar ST 13</t>
  </si>
  <si>
    <t>Colcar Coxa/SobreCoxa Porcionada em Bacias</t>
  </si>
  <si>
    <t>Transportar Paletes Coca/Sobrecoxa Porcionada</t>
  </si>
  <si>
    <t>MEIO DA ASA PACOTE 2 KG</t>
  </si>
  <si>
    <t>Transportar Produto - IQF In Natura</t>
  </si>
  <si>
    <t>Transportar Produto - IQF Temperado</t>
  </si>
  <si>
    <t>Núm de Maq. Embaladora</t>
  </si>
  <si>
    <t>Núm de Maq. GiroFreezer</t>
  </si>
  <si>
    <t>Encaixota BDJ na Linha?</t>
  </si>
  <si>
    <t>Cx/Hr</t>
  </si>
  <si>
    <t>Localidade</t>
  </si>
  <si>
    <t>Atividade</t>
  </si>
  <si>
    <t>Unidade de Medida</t>
  </si>
  <si>
    <t>Referência</t>
  </si>
  <si>
    <t>Descrição</t>
  </si>
  <si>
    <t>Linha Virtual</t>
  </si>
  <si>
    <t>Recurso</t>
  </si>
  <si>
    <t>Equipamento</t>
  </si>
  <si>
    <t>Data De</t>
  </si>
  <si>
    <t>Data Até</t>
  </si>
  <si>
    <t>IncPeriodosCapacidades</t>
  </si>
  <si>
    <t>Capacidade Nominal</t>
  </si>
  <si>
    <t>Capacidade Real</t>
  </si>
  <si>
    <t>Capacidade Instalada</t>
  </si>
  <si>
    <t>Capacidade Revisada Nominal</t>
  </si>
  <si>
    <t>Capacidade Revisada Real</t>
  </si>
  <si>
    <t>ID da Atividade</t>
  </si>
  <si>
    <t>Quantidade</t>
  </si>
  <si>
    <t>Tipo</t>
  </si>
  <si>
    <t>% Ef.Op.</t>
  </si>
  <si>
    <t>ID da Linha Virtual</t>
  </si>
  <si>
    <t>ID do Recurso</t>
  </si>
  <si>
    <t>ID do Equipamento</t>
  </si>
  <si>
    <t>Descrição do Equipamento</t>
  </si>
  <si>
    <t>Exportar Equipamento</t>
  </si>
  <si>
    <t>Frangos</t>
  </si>
  <si>
    <t>T/H</t>
  </si>
  <si>
    <t>CMS BLOCO CG</t>
  </si>
  <si>
    <t>100,00</t>
  </si>
  <si>
    <t>MQ.TUNEL DE CG (CONTINUO) (1)</t>
  </si>
  <si>
    <t>MQ.TUNEL DE CG (CONTINUO) (2)</t>
  </si>
  <si>
    <t>PERNA INTEIRA B/I/H CG (WL)</t>
  </si>
  <si>
    <t>PES/PATA CG</t>
  </si>
  <si>
    <t>RECORTE PEITO FG S/OPF BL CG</t>
  </si>
  <si>
    <t>SOBRECOXA IQF</t>
  </si>
  <si>
    <t>PES FRANGO 35UP CG PB</t>
  </si>
  <si>
    <t>COXA SBCX S/O 260-280 CG</t>
  </si>
  <si>
    <t>COXA SBCX S/O FG 200g UP IF</t>
  </si>
  <si>
    <t>MQ.TUNEL DE CG (CONTINUO)</t>
  </si>
  <si>
    <t>COXINHA ASA CG BDJ SE</t>
  </si>
  <si>
    <t>FILEZINHO PEITO CG BDJ SE</t>
  </si>
  <si>
    <t>COXINHA DA ASA 40G UP PB</t>
  </si>
  <si>
    <t>MEIO ASA CG BDJ SE</t>
  </si>
  <si>
    <t>CARNE MS AVES RF CST MP ZG</t>
  </si>
  <si>
    <t>1/2 PEITO FG S/OPF PB</t>
  </si>
  <si>
    <t>CMR VERMELHA RESFRIADA</t>
  </si>
  <si>
    <t>SOBRECOXA CG BDJ SE</t>
  </si>
  <si>
    <t>COXA CG BDJ SE</t>
  </si>
  <si>
    <t>COXINHA ASA TEMP RF MOLHO</t>
  </si>
  <si>
    <t>FILE TIRAS TEMP RF MOLHO</t>
  </si>
  <si>
    <t>FILE CUBOS TEMP RF MOLHO</t>
  </si>
  <si>
    <t>FILE AO MOLHO PESTO DAGRANJA</t>
  </si>
  <si>
    <t>COXA PIMENTAS DAGRANJA</t>
  </si>
  <si>
    <t>MEIO PEITO S/OP CG INTERF SR</t>
  </si>
  <si>
    <t>CARNE MOIDA DE AVES CG SR</t>
  </si>
  <si>
    <t>COXA SBCX C/O 15KG CG</t>
  </si>
  <si>
    <t>FILE DE PEITO EM TIRAS IQF</t>
  </si>
  <si>
    <t>MQ.GIROFREEZER REV04</t>
  </si>
  <si>
    <t>CORACAO FGO CG BDJ SE</t>
  </si>
  <si>
    <t>FILE PEITO RESF PB AMERICA</t>
  </si>
  <si>
    <t>PEITO S/OPF CUBO 15-25 RF BL</t>
  </si>
  <si>
    <t>FILEZINHO PEITO 40-60 RF SC</t>
  </si>
  <si>
    <t>MQ.GIROFREEZER (2)</t>
  </si>
  <si>
    <t>MQ.GIROFREEZER (1)</t>
  </si>
  <si>
    <t>MEIO PEITO S/OPF MP</t>
  </si>
  <si>
    <t>CMS AVES RF TQ MP</t>
  </si>
  <si>
    <t>COXINHA DA ASA IQF 1KG</t>
  </si>
  <si>
    <t>FILE DE PEITO IQF 1KG</t>
  </si>
  <si>
    <t>FILEZINHO DE PEITO IQF 1KG</t>
  </si>
  <si>
    <t>SOBRECOXA IQF 1KG</t>
  </si>
  <si>
    <t>COXA S/P RESF BDJ  SE</t>
  </si>
  <si>
    <t>PEITO S/P RESF BDJ SE</t>
  </si>
  <si>
    <t>CUBOS FILE PEITO RF BDJ</t>
  </si>
  <si>
    <t>CORACAO FGO RESF BDJ SE</t>
  </si>
  <si>
    <t>FILE PEITO STROGN BDJ SE</t>
  </si>
  <si>
    <t>BIFE FILE PEITO RF BDJ</t>
  </si>
  <si>
    <t>FILEZINHO PEITO 25-35 RF SC</t>
  </si>
  <si>
    <t>COXA SBCX FRANGO RF ALM</t>
  </si>
  <si>
    <t>FILEZINHO PEITO FG 30/65G FS</t>
  </si>
  <si>
    <t>COXINHA ASA DE FGO 40/70G FS</t>
  </si>
  <si>
    <t>COXINHA ASA BDJ DAGRANJA</t>
  </si>
  <si>
    <t>FILE DE PEITO EM BIFE IQF</t>
  </si>
  <si>
    <t>FILE DE PEITO EM CUBOS IQF</t>
  </si>
  <si>
    <t>FILE DE SOBRECOXA IQF</t>
  </si>
  <si>
    <t>COXA SEM PELE IQF</t>
  </si>
  <si>
    <t>SOBRECOXA SEM PELE IQF</t>
  </si>
  <si>
    <t>MQ.TUNEL DE CG (ESTATICO)</t>
  </si>
  <si>
    <t>MQ.TUNEL DE CG (ESTATICO) (1)</t>
  </si>
  <si>
    <t>FILEZINHO S/TDAO FG PB</t>
  </si>
  <si>
    <t>MQ.TUNEL DE CG (CONTINUO) (3)</t>
  </si>
  <si>
    <t>COXINHA DA ASA IQF LEBON 1KG</t>
  </si>
  <si>
    <t>MQ.TUNEL DE CG (ESTATICO) (2)</t>
  </si>
  <si>
    <t>MQ.GIROFREEZER (3)</t>
  </si>
  <si>
    <t>BD PARA SIMUL.</t>
  </si>
  <si>
    <t>UNIDADE:</t>
  </si>
  <si>
    <t>NOME DA UNIDADE</t>
  </si>
  <si>
    <t>CÓDIGO DA FILIAL</t>
  </si>
  <si>
    <t>-</t>
  </si>
  <si>
    <t>FRG</t>
  </si>
  <si>
    <t>Capacidade Tunel</t>
  </si>
  <si>
    <t>Capacidade Giro</t>
  </si>
  <si>
    <t>Horas de tunel</t>
  </si>
  <si>
    <t>Horas de giro</t>
  </si>
  <si>
    <t>Eficiencia</t>
  </si>
  <si>
    <t>Linha de Paletização</t>
  </si>
  <si>
    <t>Plano/cx/dia</t>
  </si>
  <si>
    <t>Vel. Tunel</t>
  </si>
  <si>
    <t>kg/hr cap.</t>
  </si>
  <si>
    <t>Fechar Caixote</t>
  </si>
  <si>
    <t>xxxxxxx</t>
  </si>
  <si>
    <t>xxxxxxxx</t>
  </si>
  <si>
    <t>xxxxxxxxx</t>
  </si>
  <si>
    <t>xxxxxxxxxx</t>
  </si>
  <si>
    <t>xxxxxxxxxxx</t>
  </si>
  <si>
    <t>xxxxxxxxxxxx</t>
  </si>
  <si>
    <t>xxxxxxxxxxxxx</t>
  </si>
  <si>
    <t>xxxxxxxxxxxxxx</t>
  </si>
  <si>
    <t>Vel. Turno kg/H</t>
  </si>
  <si>
    <t>OB-25</t>
  </si>
  <si>
    <t>OB-489</t>
  </si>
  <si>
    <t>OB-67</t>
  </si>
  <si>
    <t>PEITO S/OPF FG 1/2 6X2KG PB</t>
  </si>
  <si>
    <t>OB-684</t>
  </si>
  <si>
    <t>PSO-01</t>
  </si>
  <si>
    <t>PSO-02</t>
  </si>
  <si>
    <t>PSO-03</t>
  </si>
  <si>
    <t>PSO-10</t>
  </si>
  <si>
    <t>PSO-46</t>
  </si>
  <si>
    <t>PSO-75</t>
  </si>
  <si>
    <t>PSP-05</t>
  </si>
  <si>
    <t>PSP-06</t>
  </si>
  <si>
    <t>PSP-07</t>
  </si>
  <si>
    <t>TIRA DE PEITO IQF TM</t>
  </si>
  <si>
    <t>FILE DE PEITO EM TIRAS CG</t>
  </si>
  <si>
    <t>PCO-01</t>
  </si>
  <si>
    <t>CXA-30</t>
  </si>
  <si>
    <t>CXA-31</t>
  </si>
  <si>
    <t>CXA-81</t>
  </si>
  <si>
    <t>DW-12</t>
  </si>
  <si>
    <t>DW-120</t>
  </si>
  <si>
    <t>DW-205</t>
  </si>
  <si>
    <t>COXINHA DA ASA C/OP FG PB</t>
  </si>
  <si>
    <t>DW-27</t>
  </si>
  <si>
    <t>COXINHA DA ASA 45G UP PB</t>
  </si>
  <si>
    <t>DW-79</t>
  </si>
  <si>
    <t>COXINHA ASA FG PB</t>
  </si>
  <si>
    <t>COXINHA DA ASA IQF TM</t>
  </si>
  <si>
    <t>COX-04</t>
  </si>
  <si>
    <t>COX-60</t>
  </si>
  <si>
    <t>D-91</t>
  </si>
  <si>
    <t>COXA FG IF LP</t>
  </si>
  <si>
    <t>COR-01</t>
  </si>
  <si>
    <t>COR-BJ</t>
  </si>
  <si>
    <t>FILEZINHO S/PTDAO FG PB</t>
  </si>
  <si>
    <t>F-71</t>
  </si>
  <si>
    <t>F-90</t>
  </si>
  <si>
    <t>FILEZINHO S/PTA FG IF LP</t>
  </si>
  <si>
    <t>FIL-30</t>
  </si>
  <si>
    <t>FIL-71</t>
  </si>
  <si>
    <t>FIL-82</t>
  </si>
  <si>
    <t>BL-178</t>
  </si>
  <si>
    <t>CX SBCX S/O C/P 200-220G PB</t>
  </si>
  <si>
    <t>BL-179</t>
  </si>
  <si>
    <t>CX SBCX S/O C/P 220-240G PB</t>
  </si>
  <si>
    <t>BL-180</t>
  </si>
  <si>
    <t>CX SBCX S/O C/P 240-260G PB</t>
  </si>
  <si>
    <t>BL-181</t>
  </si>
  <si>
    <t>BL-213</t>
  </si>
  <si>
    <t>BL-75</t>
  </si>
  <si>
    <t>CX SBCX S/O C/P FG 200GUP PB</t>
  </si>
  <si>
    <t>BL-77</t>
  </si>
  <si>
    <t>COXA SBCX S/O FG 200g UP LP</t>
  </si>
  <si>
    <t>FIG-01</t>
  </si>
  <si>
    <t>FIGADO FGO RESF BDJ SEARA</t>
  </si>
  <si>
    <t>LI-68</t>
  </si>
  <si>
    <t>CMR-14</t>
  </si>
  <si>
    <t>CMS-14</t>
  </si>
  <si>
    <t>MB-06</t>
  </si>
  <si>
    <t>CMS FRANGO PB</t>
  </si>
  <si>
    <t>MEA-14</t>
  </si>
  <si>
    <t>MW-52</t>
  </si>
  <si>
    <t>MEIO ASA FG 30G UP IF LP</t>
  </si>
  <si>
    <t>PSP-08</t>
  </si>
  <si>
    <t>SC-03</t>
  </si>
  <si>
    <t>SOB-34</t>
  </si>
  <si>
    <t>SOB-51</t>
  </si>
  <si>
    <t>CSC-97</t>
  </si>
  <si>
    <t>W-26</t>
  </si>
  <si>
    <t>ASAS FG 100-120g LP</t>
  </si>
  <si>
    <t>W-27</t>
  </si>
  <si>
    <t>ASAS FG 120-140g LP</t>
  </si>
  <si>
    <t>PW-04</t>
  </si>
  <si>
    <t>PEITO CUBOS BDJ RF</t>
  </si>
  <si>
    <t>PEITO FILET BDJ RF</t>
  </si>
  <si>
    <t>PEITO CUBO MP</t>
  </si>
  <si>
    <t>Peito Filet IQF SWIFT</t>
  </si>
  <si>
    <t>Peito Cubo IQF SWIFT</t>
  </si>
  <si>
    <t>Peito Tiras IQF SWIFT</t>
  </si>
  <si>
    <t>PEITO 20 KG CG</t>
  </si>
  <si>
    <t>PEITO TIRAS IQF</t>
  </si>
  <si>
    <t>COXA DA ASA PACOTE 2 KG</t>
  </si>
  <si>
    <t>COXA C/O S/P BDJ RF</t>
  </si>
  <si>
    <t>COXA C/O BDJ CG</t>
  </si>
  <si>
    <t>SASSAMI 7,5 KG</t>
  </si>
  <si>
    <t>BB-110</t>
  </si>
  <si>
    <t>PEITO S/OP FG IF LP</t>
  </si>
  <si>
    <t>D-29</t>
  </si>
  <si>
    <t>COXA FG PB</t>
  </si>
  <si>
    <t>Perna S/OP IQF</t>
  </si>
  <si>
    <t>Sobrecoxa C/O S/P IQF</t>
  </si>
  <si>
    <t>Sobrecoxa S/O C/P IQF</t>
  </si>
  <si>
    <t>Sassami INTERF IF</t>
  </si>
  <si>
    <t>Sassami 15 Kg/ 20kg CG/ 20kg RF / INTERF IF</t>
  </si>
  <si>
    <t>Embalar Sassami INTERF IF</t>
  </si>
  <si>
    <t>Embalar Sassami Bloco 15Kg e 20Kg</t>
  </si>
  <si>
    <t>Perna S/O INTERF IF</t>
  </si>
  <si>
    <t>PERNA S/O INTERF IF</t>
  </si>
  <si>
    <t>Embalar Perna INTERF IF</t>
  </si>
  <si>
    <t>Coxa C/O INTERF IF</t>
  </si>
  <si>
    <t>Sobrecoxa C/O INTERF IF</t>
  </si>
  <si>
    <t>COXA C/O INTERF IF</t>
  </si>
  <si>
    <t>Coxa C/O INTERF / INTERF IF</t>
  </si>
  <si>
    <t>Sobrecoxa C/O INTERF/ INTERF IF</t>
  </si>
  <si>
    <t>Embalar Perna Bloco c/Osso - Coxa IF</t>
  </si>
  <si>
    <t>Embalar Perna Bloco c/Osso - SobreCoxa IF</t>
  </si>
  <si>
    <t>Griiler</t>
  </si>
  <si>
    <t>Linha IQF SWIF</t>
  </si>
  <si>
    <t>Embalar - IQF SWIFT</t>
  </si>
  <si>
    <t>Tipo de Embalagem IN NATURA</t>
  </si>
  <si>
    <t>Tipo de Embalagem TEMPERADO</t>
  </si>
  <si>
    <t>Tipo de Embalagem SWIFT</t>
  </si>
  <si>
    <t>Cortar Sassami GPA</t>
  </si>
  <si>
    <t>% Turn Over Desossa de Perna</t>
  </si>
  <si>
    <t>Embalar Perna Bloco c/Osso - Pacote G</t>
  </si>
  <si>
    <t>Embalar Perna Bloco Coxa C/Osso - Pacote P</t>
  </si>
  <si>
    <t>Embalar Perna Bloco SobreCoxa C/Osso - Pacote P</t>
  </si>
  <si>
    <t xml:space="preserve"> FILE DE PEITO FG CG PCT   </t>
  </si>
  <si>
    <t xml:space="preserve"> PEITO FG CG PCT  </t>
  </si>
  <si>
    <t>GB-11</t>
  </si>
  <si>
    <t>CARTILAGEM CG DE AVE YAGEN</t>
  </si>
  <si>
    <t>P-27</t>
  </si>
  <si>
    <t>LQ-04</t>
  </si>
  <si>
    <t>COXA SBCX LQ FG LP</t>
  </si>
  <si>
    <t>MEI-CG</t>
  </si>
  <si>
    <t>MW-01</t>
  </si>
  <si>
    <t>MEIO ASA FG PB</t>
  </si>
  <si>
    <t>TRI-CG</t>
  </si>
  <si>
    <t>CS-01</t>
  </si>
  <si>
    <t>W-06</t>
  </si>
  <si>
    <t>OB-408</t>
  </si>
  <si>
    <t>OB-421</t>
  </si>
  <si>
    <t xml:space="preserve"> FILE DE PEITO FG RF PCT   </t>
  </si>
  <si>
    <t xml:space="preserve"> PEITO FG RF PCT   </t>
  </si>
  <si>
    <t>TH-49</t>
  </si>
  <si>
    <t>1/2 PEITO S/OPF FG MR LP</t>
  </si>
  <si>
    <t>FGO TEMP ASSA MAIS FACIL</t>
  </si>
  <si>
    <t>DW-158</t>
  </si>
  <si>
    <t>COXINHA DA ASA FG PB</t>
  </si>
  <si>
    <t>D-90</t>
  </si>
  <si>
    <t>GI-105</t>
  </si>
  <si>
    <t xml:space="preserve"> FILEZINHO FG IQF   </t>
  </si>
  <si>
    <t>CMS-58</t>
  </si>
  <si>
    <t>MW-51</t>
  </si>
  <si>
    <t>T-03</t>
  </si>
  <si>
    <t>SOBRECOXA FG PB</t>
  </si>
  <si>
    <t>W-20</t>
  </si>
  <si>
    <t>ASAS FG 80g UP PB</t>
  </si>
  <si>
    <t>Peito Molho Pesto</t>
  </si>
  <si>
    <t>Frango Assa Mais Facil</t>
  </si>
  <si>
    <t>Coxa C/O Pimenta</t>
  </si>
  <si>
    <t>SobreCoxa C/O Alho</t>
  </si>
  <si>
    <t>Coxa da asa Molho Barbecue</t>
  </si>
  <si>
    <t>Assa Mais Facil</t>
  </si>
  <si>
    <t>Velocidade da linha Assa Mais Facil(fr/hr)</t>
  </si>
  <si>
    <t>Transportar produtos</t>
  </si>
  <si>
    <t>Operar tambler - Peito Cubo Molho do Chef</t>
  </si>
  <si>
    <t>Operar tambler - Peito Tiras Molho do Chef</t>
  </si>
  <si>
    <t>Operar tambler - Peito Molho Pesto</t>
  </si>
  <si>
    <t>Operar tambler - Coxa da asa Molho Barbecue</t>
  </si>
  <si>
    <t>Pesar produtos</t>
  </si>
  <si>
    <t>Operar tambler - Coxa C/O Pimenta</t>
  </si>
  <si>
    <t>Operar tambler - SobreCoxa C/O Alho</t>
  </si>
  <si>
    <t>Preparar salmora e operar tambler</t>
  </si>
  <si>
    <t xml:space="preserve">Molhos do Chefe (Cubos e tiras molho do chefe e coxinha da asa barbecue) </t>
  </si>
  <si>
    <t>Embalar produtos</t>
  </si>
  <si>
    <t>Pesar produtos - cubos molhos do chefe</t>
  </si>
  <si>
    <t>Pesar produtos - tiras molhos do chefe</t>
  </si>
  <si>
    <t>Pesar produtos - coxinha barbecue</t>
  </si>
  <si>
    <t>Dosar molhos</t>
  </si>
  <si>
    <t>Selar pacotes</t>
  </si>
  <si>
    <t>Encaixotar pacotes, colar etiqueta e platizar caixas</t>
  </si>
  <si>
    <t>Transportar produtos p/ paletização</t>
  </si>
  <si>
    <t xml:space="preserve">Da granja (Molho Pesto, coxa c/ pimenta e sobrecoxa c/cebola e alho) </t>
  </si>
  <si>
    <t>Abastecer insumos e bandejas</t>
  </si>
  <si>
    <t>Embandejar - Molho Pesto</t>
  </si>
  <si>
    <t>Embandejar - Coxa c/ pimenta</t>
  </si>
  <si>
    <t>Embandejar - Sobrecoxa c/ cebola e alho</t>
  </si>
  <si>
    <t>Embandejar produtos</t>
  </si>
  <si>
    <t>Adicionar chimichuri</t>
  </si>
  <si>
    <t>Adicionar pimenta em grãos</t>
  </si>
  <si>
    <t>Adicionar e pesar cebola</t>
  </si>
  <si>
    <t>Adicionar e pesar pimenta biquinho</t>
  </si>
  <si>
    <t>Montar e encartuchar</t>
  </si>
  <si>
    <t>Encaixotar e abstecer fechadora de caixa</t>
  </si>
  <si>
    <t>Colar etiqueta e paletizar</t>
  </si>
  <si>
    <t>Preparar salmora e abstecer tambler (Frango Assa Mais Facil)</t>
  </si>
  <si>
    <t>Inserir manteiga (Frango Assa Mais Facil)</t>
  </si>
  <si>
    <t>Passar caramelo (Frango Assa Mais Facil)</t>
  </si>
  <si>
    <t>Passar farofa (Frango Assa Mais Facil)</t>
  </si>
  <si>
    <t>Abastecer e operar termoformadora (Frango Assa Mais Facil)</t>
  </si>
  <si>
    <t>Etiquetar termoformado (Frango Assa Mais Facil)</t>
  </si>
  <si>
    <t>Encaixotar e bater na esteira (Frango Assa Mais Facil)</t>
  </si>
  <si>
    <t>OB-132</t>
  </si>
  <si>
    <t>CT CG FG FILE DE PEITO</t>
  </si>
  <si>
    <t>CT CG FG FILE DE PEITO BDJ 1</t>
  </si>
  <si>
    <t>CT CG FG FILE DE PEITO INT</t>
  </si>
  <si>
    <t>FILE PEITO FGO CG BDJ 16X1K</t>
  </si>
  <si>
    <t>CT RESF FG FILE DE PEITO BDJ</t>
  </si>
  <si>
    <t>CT CG FG PEITO BDJ 1KG</t>
  </si>
  <si>
    <t>CT RESF FG PEITO BDJ1KG</t>
  </si>
  <si>
    <t>TB-103</t>
  </si>
  <si>
    <t>1/2 PEITO S/OPF FG SG HC</t>
  </si>
  <si>
    <t>TH-47</t>
  </si>
  <si>
    <t xml:space="preserve"> FILE DE PEITO FG MR PB</t>
  </si>
  <si>
    <t>CT CG FG TEMP FILE DE PEITO</t>
  </si>
  <si>
    <t>CT TEMP RESF FG FILE DE PEIT</t>
  </si>
  <si>
    <t>FG TEMP RESF S/ MIUDOS</t>
  </si>
  <si>
    <t>FRANGO DESSOSSADO TEMP</t>
  </si>
  <si>
    <t>FRANGO RF S/ MIUDOS</t>
  </si>
  <si>
    <t>CT CG FG TP PASSARINHO COX/S</t>
  </si>
  <si>
    <t>CT CG FG COXINHAS DAS ASAS B</t>
  </si>
  <si>
    <t>CT RESF FG COXINHAS DAS ASAS</t>
  </si>
  <si>
    <t>CT CG FG TEMP COXINHAS DAS A</t>
  </si>
  <si>
    <t>CT TEMP RESF FG COXINHAS DAS</t>
  </si>
  <si>
    <t>D-130</t>
  </si>
  <si>
    <t>CT CG FG COXAS</t>
  </si>
  <si>
    <t>D-269</t>
  </si>
  <si>
    <t>COXA S/OP FG BDJ</t>
  </si>
  <si>
    <t>CT CG FG COXAS BDJ 1KG</t>
  </si>
  <si>
    <t>CORACAO FGO (C) BDJ 12X1KG</t>
  </si>
  <si>
    <t>MIUDOS CG FG TEMP CORACAO BD</t>
  </si>
  <si>
    <t>MIUDOS TEMP RESF FG CORACAO</t>
  </si>
  <si>
    <t>MIUDOS CG FG CORACAO BDJ 1KG</t>
  </si>
  <si>
    <t>CT CG FG FILEZINHO (SASSAMI)</t>
  </si>
  <si>
    <t>CT CG FG TEMP FILEZINHO (SAS</t>
  </si>
  <si>
    <t>CT TEMP RESF FG FILEZINHO</t>
  </si>
  <si>
    <t>LI-83</t>
  </si>
  <si>
    <t xml:space="preserve"> FIGADO FG PB</t>
  </si>
  <si>
    <t>CMS-89</t>
  </si>
  <si>
    <t>CARNE MECANICAMENTE SEPARADA</t>
  </si>
  <si>
    <t>MW-56</t>
  </si>
  <si>
    <t>CT CG FG MEIO DAS ASAS</t>
  </si>
  <si>
    <t>CT CG FG SOBRECOXAS BDJ 1KG</t>
  </si>
  <si>
    <t>CT CG FG SOBRECOXAS BDJ1KG</t>
  </si>
  <si>
    <t>CT RESF FG SOBRECOXAS BDJ1KG</t>
  </si>
  <si>
    <t>CT CG FG TEMP SOBRECOXAS BDJ</t>
  </si>
  <si>
    <t>CT TEMP RESF FG SOBRECOXAS</t>
  </si>
  <si>
    <t>CT CG FG SOBRECOXAS IQF 1KG</t>
  </si>
  <si>
    <t>RECORTES CG FRANGO FILE DE P</t>
  </si>
  <si>
    <t>COXA SOBRECOXA C/O C/P(C)SAC</t>
  </si>
  <si>
    <t>CT CG FG COXAS SOBRECOXAS BD</t>
  </si>
  <si>
    <t>CT RESF FG COXAS SOBRECOXAS</t>
  </si>
  <si>
    <t>Peito C/O BDJ</t>
  </si>
  <si>
    <t>Peito C/ Osso BDJ</t>
  </si>
  <si>
    <t>Frango Temp  S/ miudos</t>
  </si>
  <si>
    <t xml:space="preserve">INTEIROS </t>
  </si>
  <si>
    <t>Velocidade da linha Frango Desossado</t>
  </si>
  <si>
    <t>FRG PASS TEMP BDJ</t>
  </si>
  <si>
    <t>Embandejar e Pesar Frg Passarinho BDJ CG</t>
  </si>
  <si>
    <t>tmf</t>
  </si>
  <si>
    <t>FRG Pass TEMP BDJ</t>
  </si>
  <si>
    <t>Coxa da asa BDJ Temp</t>
  </si>
  <si>
    <t>Meio da asa BDJ Temp</t>
  </si>
  <si>
    <t>Sobrecoxa C/O BDJ CG TEMP</t>
  </si>
  <si>
    <t>Coxa C/O BDJ CG TEMP</t>
  </si>
  <si>
    <t>PERNA C/O BDJ</t>
  </si>
  <si>
    <t>Sassami BDJ CG TEMP</t>
  </si>
  <si>
    <t>Frango Desossado Injetado</t>
  </si>
  <si>
    <t>FRANGO DESOSSADO INJETADO</t>
  </si>
  <si>
    <t>Exigencia de MPT:</t>
  </si>
  <si>
    <t>Separar miudos</t>
  </si>
  <si>
    <t>Total OL Ultimo Aprov.</t>
  </si>
  <si>
    <t>AFF Ultimo Aprov.</t>
  </si>
  <si>
    <t>TOTAL</t>
  </si>
  <si>
    <t>Rependurar carcaça Broeler MI</t>
  </si>
  <si>
    <t>Rependurar carcaça Broeler ME</t>
  </si>
  <si>
    <t>Rependurar carcaça Frango Temp  S/ miudos</t>
  </si>
  <si>
    <t>Rependurar carcaça Broeler Frango Assa Mais Facil</t>
  </si>
  <si>
    <t>Frango S/ miudos RF</t>
  </si>
  <si>
    <t>Embalar Broeler MI</t>
  </si>
  <si>
    <t>Embalar Broeler ME</t>
  </si>
  <si>
    <t>Embalar Broeler Frango Assa Mais Facil</t>
  </si>
  <si>
    <t>Embalar  Frango Temp  S/ miudos</t>
  </si>
  <si>
    <t>Broiler</t>
  </si>
  <si>
    <t>Frango c/ miudos RF</t>
  </si>
  <si>
    <t>Frango s/ miudos RF</t>
  </si>
  <si>
    <t>Frango Temp  s/ miudos RF</t>
  </si>
  <si>
    <t>Frango s/ miudos</t>
  </si>
  <si>
    <t>Frango C/ miudos RF</t>
  </si>
  <si>
    <t>Total de Frangos/hora</t>
  </si>
  <si>
    <t>Total de Frangos/mim</t>
  </si>
  <si>
    <t>Embalar Frango c/ miudos RF</t>
  </si>
  <si>
    <t>Embalar Frango s/ miudos RF</t>
  </si>
  <si>
    <t>Embalar Frango s/ miudos</t>
  </si>
  <si>
    <t>Bandeja RF peso Fixo</t>
  </si>
  <si>
    <t>D-162</t>
  </si>
  <si>
    <t>CT CG FG COXAS (CX 10,8 KG)</t>
  </si>
  <si>
    <t>Refilar peito</t>
  </si>
  <si>
    <t>Número de linhas  Frango Desossado</t>
  </si>
  <si>
    <t>FILE IQF</t>
  </si>
  <si>
    <t>PES FRANGO PALMA 25G UP</t>
  </si>
  <si>
    <t>COXINHA IQF</t>
  </si>
  <si>
    <t>Operador de Máquina - Bandejas RF - Pesadora</t>
  </si>
  <si>
    <t>Operador de Máquina - Bandejas CG - Pesadora</t>
  </si>
  <si>
    <t>PES-BC</t>
  </si>
  <si>
    <t>PES FRANGO CG</t>
  </si>
  <si>
    <t>CSC-LP</t>
  </si>
  <si>
    <t>COXA C/SBCX CG ITF SE PQ</t>
  </si>
  <si>
    <t>CSC P/REFEITORIO</t>
  </si>
  <si>
    <t>FIG-PF</t>
  </si>
  <si>
    <t>FIGADO FGO CG BL SE PET-FOOD</t>
  </si>
  <si>
    <t>PONTA ASA V/P 3X5 MI</t>
  </si>
  <si>
    <t>FILEZINHO FRANGO IQF ALM SE</t>
  </si>
  <si>
    <t>SOBRECOXA ULTRA LIMPA DE FG</t>
  </si>
  <si>
    <t>SOBRECOXA RF PC 1 KG</t>
  </si>
  <si>
    <t>COX-57</t>
  </si>
  <si>
    <t>COXA DO CHEFF CG 1KG</t>
  </si>
  <si>
    <t>CORTES TEMP CG DE FRANGO</t>
  </si>
  <si>
    <t>Sobrecoxa S/OP Ultra Limpa</t>
  </si>
  <si>
    <t>Sobrecoxa S/OP ST13 / Ultra Limpa</t>
  </si>
  <si>
    <t>TURcO 1</t>
  </si>
  <si>
    <t>TURcO 2</t>
  </si>
  <si>
    <t>TURcO 3</t>
  </si>
  <si>
    <t>Fucc. 100%</t>
  </si>
  <si>
    <t>Fucc.</t>
  </si>
  <si>
    <t>Licha Aux.</t>
  </si>
  <si>
    <t>Pecdura/ Sacgria</t>
  </si>
  <si>
    <t>Descarregar Aves - Macual</t>
  </si>
  <si>
    <t>Descarregar Aves - Macual Gracde</t>
  </si>
  <si>
    <t>Pesa e conferir caixas Broeler MI</t>
  </si>
  <si>
    <t>Pesa e conferir caixas Broeler ME</t>
  </si>
  <si>
    <t>Pesa e conferir caixas  Frango Temp  S/ miudos</t>
  </si>
  <si>
    <t>Pesa e conferir caixas Frango s/ miudos</t>
  </si>
  <si>
    <t>Pesa e conferir caixas Frango s/ miudos RF</t>
  </si>
  <si>
    <t>Pesa e conferir caixas Frango c/ miudos RF</t>
  </si>
  <si>
    <t>Pesa e conferir caixas Broeler Frango Assa Mais Facil</t>
  </si>
  <si>
    <t>Pesa e conferir caixas Frango Aves Pequeno</t>
  </si>
  <si>
    <t>Rependurar Frango s/ miudos</t>
  </si>
  <si>
    <t>Rependurar Frango s/ miudos RF</t>
  </si>
  <si>
    <t>Efeito OUTBACK / TH</t>
  </si>
  <si>
    <t>PERNA DESOSSADA SBL CG (BL)</t>
  </si>
  <si>
    <t>MEIO DA ASA PACOTE CG</t>
  </si>
  <si>
    <t>40843</t>
  </si>
  <si>
    <t>42811</t>
  </si>
  <si>
    <t>COXA SBCX S/O 180-200 CG PB</t>
  </si>
  <si>
    <t>42820</t>
  </si>
  <si>
    <t>COXA SBCX S/O 200-220 CG PB</t>
  </si>
  <si>
    <t>42838</t>
  </si>
  <si>
    <t>COXA SBCX S/O 220-240 CG PB</t>
  </si>
  <si>
    <t>42846</t>
  </si>
  <si>
    <t>COXA SBCX S/O 240-260 CG PB</t>
  </si>
  <si>
    <t>42854</t>
  </si>
  <si>
    <t>COXA SBCX S/O 260-280 CG PB</t>
  </si>
  <si>
    <t>42862</t>
  </si>
  <si>
    <t>COXA SBCX S/O 280-300 CG PB</t>
  </si>
  <si>
    <t>RECORTE PEITO MPL RD</t>
  </si>
  <si>
    <t>47813</t>
  </si>
  <si>
    <t>50580</t>
  </si>
  <si>
    <t>COXA SBCX S/O 200UP CG PB</t>
  </si>
  <si>
    <t>54950</t>
  </si>
  <si>
    <t>55638</t>
  </si>
  <si>
    <t>55646</t>
  </si>
  <si>
    <t>197718</t>
  </si>
  <si>
    <t>197726</t>
  </si>
  <si>
    <t>COXA IQF</t>
  </si>
  <si>
    <t>197734</t>
  </si>
  <si>
    <t>197742</t>
  </si>
  <si>
    <t>790729</t>
  </si>
  <si>
    <t>792306</t>
  </si>
  <si>
    <t>COXINHA DA ASA  50-60 CG PB</t>
  </si>
  <si>
    <t>Coxa C/O do Chef IQF Temp</t>
  </si>
  <si>
    <t>Cortar Coxa C/O do Chef IQF Temp</t>
  </si>
  <si>
    <t>BM-10</t>
  </si>
  <si>
    <t>1/2 PEITO S/OP FG PB</t>
  </si>
  <si>
    <t>MP-PCS</t>
  </si>
  <si>
    <t>MEIO PEITO MT FL 98-108 PCS</t>
  </si>
  <si>
    <t>TH-51</t>
  </si>
  <si>
    <t>1/2PTO S/OPF MR 140-160G  PB</t>
  </si>
  <si>
    <t>COX-FS</t>
  </si>
  <si>
    <t>COXINHA ASA CG KA</t>
  </si>
  <si>
    <t>CXA-27</t>
  </si>
  <si>
    <t>COXINHA DAS ASAS RF MP</t>
  </si>
  <si>
    <t>DW-101</t>
  </si>
  <si>
    <t>DW-105</t>
  </si>
  <si>
    <t>COXINHA DA ASA 50-60G PB</t>
  </si>
  <si>
    <t>DW-151</t>
  </si>
  <si>
    <t>COXINHA ASA FG IF LP</t>
  </si>
  <si>
    <t>P-44</t>
  </si>
  <si>
    <t>PES FG 35g UP GR A PB</t>
  </si>
  <si>
    <t>P-70</t>
  </si>
  <si>
    <t>PES FG 35g UP GR B PB</t>
  </si>
  <si>
    <t>P-62</t>
  </si>
  <si>
    <t>MOELA P/ REFEITORIO</t>
  </si>
  <si>
    <t>F-06</t>
  </si>
  <si>
    <t>FLZ-MP</t>
  </si>
  <si>
    <t>FILEZINHO FRANGO SPTA CT1020</t>
  </si>
  <si>
    <t>PCS13</t>
  </si>
  <si>
    <t>FILEZINHO INT. S/ CAL PCS</t>
  </si>
  <si>
    <t>PCS8</t>
  </si>
  <si>
    <t>FILEZINHO FRANGO SPTA CT 6</t>
  </si>
  <si>
    <t>FILEZINHO FRANGO SPTA CT 3 P</t>
  </si>
  <si>
    <t>SF-10</t>
  </si>
  <si>
    <t>FILEZINHO TIRAS S/TDAO GF PB</t>
  </si>
  <si>
    <t>FILEZINHO CAL 30 A 40 GR</t>
  </si>
  <si>
    <t>FM-09</t>
  </si>
  <si>
    <t>FILEZINHO FG TEMP 30-40G CKE</t>
  </si>
  <si>
    <t>BLK-01</t>
  </si>
  <si>
    <t>COXA SBCX KAK FG 15-20g PB</t>
  </si>
  <si>
    <t>BLK-03</t>
  </si>
  <si>
    <t>COXA SBCX KAK FG 30-40g PB</t>
  </si>
  <si>
    <t>BLK-08</t>
  </si>
  <si>
    <t>COXA SBCX KAK 25-30G PB</t>
  </si>
  <si>
    <t>BLK-10</t>
  </si>
  <si>
    <t>COXA SBCX KAK FG 20-25g PB</t>
  </si>
  <si>
    <t>BLK103</t>
  </si>
  <si>
    <t>COXA SBCX KAK FG 10-15g PB</t>
  </si>
  <si>
    <t>BLK-65</t>
  </si>
  <si>
    <t>COXA SBCX KAK  FG 25-30G PB</t>
  </si>
  <si>
    <t>PCS14</t>
  </si>
  <si>
    <t>COXA SBCX KAK 25-30G RF MP</t>
  </si>
  <si>
    <t>CSC-64</t>
  </si>
  <si>
    <t>COXA SBCX S/OP RF MP PB</t>
  </si>
  <si>
    <t>SL-157</t>
  </si>
  <si>
    <t>COXA SBCX S/OP FG LP</t>
  </si>
  <si>
    <t>SL-16</t>
  </si>
  <si>
    <t>COXA SBCX S/OP FG PB</t>
  </si>
  <si>
    <t>SL-35</t>
  </si>
  <si>
    <t>BL-73</t>
  </si>
  <si>
    <t>CX SBCX S/O C/P FG 280UP PB</t>
  </si>
  <si>
    <t>CMS-IT</t>
  </si>
  <si>
    <t>CARNE MS AVES RESF BL SE MP</t>
  </si>
  <si>
    <t>CMS-RF</t>
  </si>
  <si>
    <t>MB-07</t>
  </si>
  <si>
    <t>MB-08</t>
  </si>
  <si>
    <t>MW-105</t>
  </si>
  <si>
    <t>MW-101</t>
  </si>
  <si>
    <t>MEIO DA ASA COM PONTA CG PB</t>
  </si>
  <si>
    <t>SK-15</t>
  </si>
  <si>
    <t>PELE DE FRANGO PB</t>
  </si>
  <si>
    <t>SKI-MQ</t>
  </si>
  <si>
    <t>PELE FRANGO MQ RF MP</t>
  </si>
  <si>
    <t>PELE DE FRANGO CG MP</t>
  </si>
  <si>
    <t>CT-06</t>
  </si>
  <si>
    <t>REC-A</t>
  </si>
  <si>
    <t>REC PEITO FG SOPF GF CG TSM</t>
  </si>
  <si>
    <t>REC PEITO FG SOPF GF RF TSM</t>
  </si>
  <si>
    <t>REC-BL</t>
  </si>
  <si>
    <t>REC COXA SBCX CG MP PB</t>
  </si>
  <si>
    <t>W-127</t>
  </si>
  <si>
    <t>W-84</t>
  </si>
  <si>
    <t>ASAS FG 110-140G LP</t>
  </si>
  <si>
    <t>Perna S/OP MP MDC 20 Kg</t>
  </si>
  <si>
    <t>PERNA DESOSSADA PCTE CG (BL)</t>
  </si>
  <si>
    <t>MQ.GIROFREEZER</t>
  </si>
  <si>
    <t>958611</t>
  </si>
  <si>
    <t>Reprocesso de embalagens</t>
  </si>
  <si>
    <t>ASAS INTEIRAS - MCD</t>
  </si>
  <si>
    <t>ASA INTEIRA INTERF - MCD</t>
  </si>
  <si>
    <t xml:space="preserve">ASAS INTEIRAS </t>
  </si>
  <si>
    <t>Asa Inteira INTERF - MCD</t>
  </si>
  <si>
    <t>% de asa Inteira INTERF - MCD</t>
  </si>
  <si>
    <t>Interfolhar Asa Inteira MCD</t>
  </si>
  <si>
    <t xml:space="preserve">% de asa Inteira INTERF </t>
  </si>
  <si>
    <t>% de asa Inteira INTERF IF</t>
  </si>
  <si>
    <t>OB-367</t>
  </si>
  <si>
    <t>CT CG FG FILE DE PEITO SC 2,</t>
  </si>
  <si>
    <t>OB-456</t>
  </si>
  <si>
    <t>FILE PEITO MET CG ALM SE</t>
  </si>
  <si>
    <t>TH-48</t>
  </si>
  <si>
    <t>1/2 PEITO S/OP FG 90-110G PB</t>
  </si>
  <si>
    <t>P-38</t>
  </si>
  <si>
    <t>P-71</t>
  </si>
  <si>
    <t>F-83</t>
  </si>
  <si>
    <t>FILEZINHO C/TDAO FG GR A PB</t>
  </si>
  <si>
    <t>COXA SBCX S/OP IQF</t>
  </si>
  <si>
    <t>SL-90</t>
  </si>
  <si>
    <t>CT CG FG COXAS SOBRECOXAS SO</t>
  </si>
  <si>
    <t>MIUDOS CG FG FIGADO PET FOOD</t>
  </si>
  <si>
    <t>MJ-03</t>
  </si>
  <si>
    <t>MEIO ASA FG 1/2 PB</t>
  </si>
  <si>
    <t>MEIO DA ASA MJ</t>
  </si>
  <si>
    <t>13188</t>
  </si>
  <si>
    <t>SOBRECOXA BANDEJA CG</t>
  </si>
  <si>
    <t>15067</t>
  </si>
  <si>
    <t>ASA INT CG BDJ SE</t>
  </si>
  <si>
    <t>ASA INTEIRA BANDEJA CG</t>
  </si>
  <si>
    <t>15091</t>
  </si>
  <si>
    <t>COXINHA ASA CG BDJ</t>
  </si>
  <si>
    <t>15105</t>
  </si>
  <si>
    <t>PEITO BANDEJA CG</t>
  </si>
  <si>
    <t>15199</t>
  </si>
  <si>
    <t>FILEZINHO PEITO CG ALM SE</t>
  </si>
  <si>
    <t>FILE BLOCO CG</t>
  </si>
  <si>
    <t>15229</t>
  </si>
  <si>
    <t>COXA BANDEJA CG</t>
  </si>
  <si>
    <t>15423</t>
  </si>
  <si>
    <t>CORACAO BANDEJA CG</t>
  </si>
  <si>
    <t>15849</t>
  </si>
  <si>
    <t>FILE BANDEJA</t>
  </si>
  <si>
    <t>18406</t>
  </si>
  <si>
    <t>PEITO BLOCO CG</t>
  </si>
  <si>
    <t>MOELA SACO CG</t>
  </si>
  <si>
    <t>44199</t>
  </si>
  <si>
    <t>MEIO DA ASA 1/2 CG PB</t>
  </si>
  <si>
    <t>CARTILAGEM JOELHO</t>
  </si>
  <si>
    <t>FIGADO BLOCO CG</t>
  </si>
  <si>
    <t>124014</t>
  </si>
  <si>
    <t>FIGADO PACOTE CG</t>
  </si>
  <si>
    <t>124130</t>
  </si>
  <si>
    <t>MEIO DA ASA INTERFOLHADO CG</t>
  </si>
  <si>
    <t>124139</t>
  </si>
  <si>
    <t>PEITO INTERFOLHADO/LAYERPACK</t>
  </si>
  <si>
    <t>124196</t>
  </si>
  <si>
    <t>CT CG FG COXAS SOBRECOXAS</t>
  </si>
  <si>
    <t>124261</t>
  </si>
  <si>
    <t>CT CG FG PES (GRADE A)</t>
  </si>
  <si>
    <t>124312</t>
  </si>
  <si>
    <t>CARTILAGENS CG DE FRANGO</t>
  </si>
  <si>
    <t>CARTILAGEM DE PEITO CG</t>
  </si>
  <si>
    <t>100,03</t>
  </si>
  <si>
    <t>124395</t>
  </si>
  <si>
    <t>124500</t>
  </si>
  <si>
    <t>FRANGO DESOSSADO CONGELADO</t>
  </si>
  <si>
    <t>INTEIRO DES CG</t>
  </si>
  <si>
    <t>124502</t>
  </si>
  <si>
    <t>124504</t>
  </si>
  <si>
    <t>124509</t>
  </si>
  <si>
    <t>124523</t>
  </si>
  <si>
    <t>124529</t>
  </si>
  <si>
    <t>124546</t>
  </si>
  <si>
    <t>124563</t>
  </si>
  <si>
    <t>124695</t>
  </si>
  <si>
    <t>MIUDOS CG FG FIGADO</t>
  </si>
  <si>
    <t>124732</t>
  </si>
  <si>
    <t>CT CG FG COXAS 1KG</t>
  </si>
  <si>
    <t>GIROFREEZER</t>
  </si>
  <si>
    <t>124735</t>
  </si>
  <si>
    <t>CT CG FG COXINHAS DAS ASAS 1</t>
  </si>
  <si>
    <t>124736</t>
  </si>
  <si>
    <t>CT CG FG FILE DE PEITO 1KG</t>
  </si>
  <si>
    <t>124739</t>
  </si>
  <si>
    <t>124740</t>
  </si>
  <si>
    <t>FRANGO A PASSARINHO IQF</t>
  </si>
  <si>
    <t>124741</t>
  </si>
  <si>
    <t>792314</t>
  </si>
  <si>
    <t>PERNA DESOSSADA SBL IQF (BL)</t>
  </si>
  <si>
    <t>795259</t>
  </si>
  <si>
    <t>868965</t>
  </si>
  <si>
    <t>PEITO SOPF 1/2 MPL DSC RD</t>
  </si>
  <si>
    <t>RECORTE DE PEITO CG</t>
  </si>
  <si>
    <t>951552</t>
  </si>
  <si>
    <t>FILE PEITO 90-110G ELETROEST</t>
  </si>
  <si>
    <t>PEITO BLOCO A VACUO</t>
  </si>
  <si>
    <t>956830</t>
  </si>
  <si>
    <t>958115</t>
  </si>
  <si>
    <t>CT CG FG SOBRECOXAS 1KG</t>
  </si>
  <si>
    <t>958557</t>
  </si>
  <si>
    <t>958565</t>
  </si>
  <si>
    <t>958573</t>
  </si>
  <si>
    <t>958581</t>
  </si>
  <si>
    <t>FILE DE SOBRECOXA</t>
  </si>
  <si>
    <t>958603</t>
  </si>
  <si>
    <t>959154</t>
  </si>
  <si>
    <t>FRANGO DESOSSADO CG 600-1300</t>
  </si>
  <si>
    <t>981443</t>
  </si>
  <si>
    <t>COXINHA DA ASA IQF</t>
  </si>
  <si>
    <t>983667</t>
  </si>
  <si>
    <t>FILEZINHO IQF SC ZIP</t>
  </si>
  <si>
    <t>983829</t>
  </si>
  <si>
    <t>FILE PEITO IQF SC ZIP</t>
  </si>
  <si>
    <t>983837</t>
  </si>
  <si>
    <t>COXAS IQF SC ZIP</t>
  </si>
  <si>
    <t>983845</t>
  </si>
  <si>
    <t>SOBRECOXAS IQF SC ZIP</t>
  </si>
  <si>
    <t>976-FRG</t>
  </si>
  <si>
    <t>Devem fazer a desossa dos carcaças quebradas</t>
  </si>
  <si>
    <t>Chaira as facas para linha de cone</t>
  </si>
  <si>
    <t>Produção do BL KFC</t>
  </si>
  <si>
    <t>Auxilia a buscar as bandejas e embalar  quando necessario</t>
  </si>
  <si>
    <t>Também buscam as bandejas</t>
  </si>
  <si>
    <t>Penduram caixas na norea</t>
  </si>
  <si>
    <t>PEITO FILET IQF</t>
  </si>
  <si>
    <t>Auxilia na paletização dos blocos</t>
  </si>
  <si>
    <t>Gr Aves - Pendura/ Sangria - Lavar Caminhão</t>
  </si>
  <si>
    <t xml:space="preserve">Gr Aves - </t>
  </si>
  <si>
    <t>Gr Aves - Pendura/ Sangria - ITO</t>
  </si>
  <si>
    <t>Gr Aves - Escald/Depen/Evisc - Limpar Setor</t>
  </si>
  <si>
    <t>Gr Aves - Escald/Depen/Evisc - Operar Chiller</t>
  </si>
  <si>
    <t>Gr Aves - Escald/Depen/Evisc - ITO</t>
  </si>
  <si>
    <t>Gr Aves - Miúdos - Limpar Setor</t>
  </si>
  <si>
    <t>Gr Aves - Miúdos - ITO</t>
  </si>
  <si>
    <t>Gr Aves - Frango Inteiro - Rependurar Carcaça</t>
  </si>
  <si>
    <t>Gr Aves - Frango Inteiro - Revisão de Carcaça</t>
  </si>
  <si>
    <t>Gr Aves - Frango Inteiro - Operar Classificadora</t>
  </si>
  <si>
    <t>Gr Aves - Frango Inteiro - Embalar Frango</t>
  </si>
  <si>
    <t>Gr Aves - Frango Inteiro - Colocar Frango na Caixa</t>
  </si>
  <si>
    <t>Gr Aves - Frango Inteiro - Alimentar Máq Pacotinhos Miúdos</t>
  </si>
  <si>
    <t>Gr Aves - Frango Inteiro - Inserir Pacotes de Miúdos</t>
  </si>
  <si>
    <t>Gr Aves - Frango Inteiro - Retirar Glândula</t>
  </si>
  <si>
    <t>Gr Aves - Frango Inteiro - Colocar Rede</t>
  </si>
  <si>
    <t>Gr Aves - Frango Inteiro - Transportar</t>
  </si>
  <si>
    <t>Gr Aves - Frango Inteiro - Limpar Setor</t>
  </si>
  <si>
    <t>Gr Aves - Frango Inteiro - ITO</t>
  </si>
  <si>
    <t>Gr Aves - Frango Inteiro - Controle/Monitor</t>
  </si>
  <si>
    <t>Gr Aves - Frango Inteiro - Prepara Carcaça 9 Partes</t>
  </si>
  <si>
    <t>Gr Aves - Frango Inteiro - Rependurar Máquina de Corte</t>
  </si>
  <si>
    <t>Gr Aves - Frango Inteiro - Revisão Corte Ponta do Peito</t>
  </si>
  <si>
    <t>Gr Aves - Frango Inteiro - Revisão Corte Peito e Costela</t>
  </si>
  <si>
    <t>Gr Aves - Frango Inteiro - Revisão Corte da Asa</t>
  </si>
  <si>
    <t>Gr Aves - Frango Inteiro - Revisão da Coxa</t>
  </si>
  <si>
    <t>Gr Aves - Frango Inteiro - Revisão da Sobrecoxa</t>
  </si>
  <si>
    <t>Gr Aves - Frango Inteiro - Conferir Peso e Arrumar Pct Cx</t>
  </si>
  <si>
    <t>Gr Aves - Frango Inteiro - Embalar e Pesar Grade B</t>
  </si>
  <si>
    <t>Gr Aves - Frango Inteiro - Abastecer Seladora Grade B</t>
  </si>
  <si>
    <t>Gr Aves - Frango Inteiro - Arrumar Pacotes na Caixa</t>
  </si>
  <si>
    <t>Gr Aves - Frango Inteiro - Operar Máquina Corte</t>
  </si>
  <si>
    <t>Gr Aves - Cortes Primários - Operar Máquina Corte</t>
  </si>
  <si>
    <t>Gr Aves - Peito - Afiação Facas</t>
  </si>
  <si>
    <t>Gr Aves - Peito - Lavar Caixas/ Utensílios</t>
  </si>
  <si>
    <t>Gr Aves - Cortes Primários - Limpar Setor</t>
  </si>
  <si>
    <t>Gr Aves - Cortes Primários - Controle/Monitor</t>
  </si>
  <si>
    <t>Gr Aves - Perna - Revisar Desossa Perna</t>
  </si>
  <si>
    <t>Gr Aves - Cortes Primários - Temperados</t>
  </si>
  <si>
    <t>Gr Aves - Peito - Refilar Peito</t>
  </si>
  <si>
    <t>Gr Aves - Peito - Revisar/Classificar Peito Refilado</t>
  </si>
  <si>
    <t>Gr Aves - Peito - Operar Máquina Corte</t>
  </si>
  <si>
    <t>Gr Aves - Peito - Transportar</t>
  </si>
  <si>
    <t>Gr Aves - Peito - Abastecer Máquina Embaladora Continua</t>
  </si>
  <si>
    <t>Gr Aves - Peito - Arrumar Pacotes na Caixa</t>
  </si>
  <si>
    <t>Gr Aves - Peito - Chairador</t>
  </si>
  <si>
    <t>Gr Aves - Peito - Limpar Setor</t>
  </si>
  <si>
    <t>Gr Aves - Peito - Controle/Monitor</t>
  </si>
  <si>
    <t>Gr Aves - Peito - Classificar Cortes</t>
  </si>
  <si>
    <t>Gr Aves - Peito - Embalar/Pesar Cortes</t>
  </si>
  <si>
    <t>Gr Aves - Peito - Alimentar Máquina de Cortar Produto</t>
  </si>
  <si>
    <t>Gr Aves - Peito - Operar Tumbler</t>
  </si>
  <si>
    <t>Gr Aves - Peito - Cortar Sassami</t>
  </si>
  <si>
    <t>Gr Aves - Peito - Embalar Sassami Pct</t>
  </si>
  <si>
    <t>Gr Aves - Peito - Selar Sassami</t>
  </si>
  <si>
    <t>Gr Aves - Peito - Carregar e descarregar Tambler</t>
  </si>
  <si>
    <t>Gr Aves - Peito - Salgar Cortes</t>
  </si>
  <si>
    <t>Gr Aves - Peito - Embalar - Temp</t>
  </si>
  <si>
    <t>Gr Aves - Peito - Pesar - Temp</t>
  </si>
  <si>
    <t>Gr Aves - Peito - Selar - Temp</t>
  </si>
  <si>
    <t>Gr Aves - Perna - Refilar Perna</t>
  </si>
  <si>
    <t>Gr Aves - Perna - Controle/Monitor</t>
  </si>
  <si>
    <t>Gr Aves - Perna - Abastecer Máquina Desossa</t>
  </si>
  <si>
    <t>Gr Aves - Perna - Operar Máquina Perna</t>
  </si>
  <si>
    <t>Gr Aves - Perna - Alimentar Esteira de Contato</t>
  </si>
  <si>
    <t>Gr Aves - Perna - Alimentar Modulo 1 (B-36)</t>
  </si>
  <si>
    <t>Gr Aves - Perna - Alimentar Modulo 2 (B-22)</t>
  </si>
  <si>
    <t>Gr Aves - Perna - Classificação Visual BLK</t>
  </si>
  <si>
    <t>Gr Aves - Perna - Alimentar Classificadora de BLK</t>
  </si>
  <si>
    <t>Gr Aves - Perna - Embalar BLK</t>
  </si>
  <si>
    <t>Gr Aves - Perna - Pesar BLK</t>
  </si>
  <si>
    <t>Gr Aves - Asa - Classificar Asas</t>
  </si>
  <si>
    <t>Gr Aves - Asa - Transportar</t>
  </si>
  <si>
    <t>Gr Aves - Asa - Alimentar Máquina de Bandeja</t>
  </si>
  <si>
    <t>Gr Aves - Asa - Limpar Setor</t>
  </si>
  <si>
    <t>Gr Aves - CMS - Operar CMS</t>
  </si>
  <si>
    <t>Gr Aves - CMS - Inspecionar MP CMS/CMR</t>
  </si>
  <si>
    <t>Gr Aves - CMS - Embalar CMS</t>
  </si>
  <si>
    <t>Gr Aves - CMS - Limpar Setor</t>
  </si>
  <si>
    <t>Gr Aves - Montagem de Cxas - Abastecer Máq Montar Cxas</t>
  </si>
  <si>
    <t>Gr Aves - Montagem de Caixas - Montar Caixas Manual</t>
  </si>
  <si>
    <t>Gr Aves - Montagem de Caixas - Carimbar Embalagens</t>
  </si>
  <si>
    <t>Gr Aves - Montagem de Caixas - Abastecer Caixas</t>
  </si>
  <si>
    <t>Gr Aves - Montagem de Caixas - Operar Paleteira</t>
  </si>
  <si>
    <t>Gr Aves - Montagem de Caixas - Limpar Setor</t>
  </si>
  <si>
    <t>Gr Aves - Montagem de Caixas - Operar Máquina Montar Caixas</t>
  </si>
  <si>
    <t>Gr Aves - Peito - Operar Máquina Bandeja</t>
  </si>
  <si>
    <t>Gr Aves - Padroniz/Embalagem - Op.IQF(Giro/MultiCabeça/Emp)</t>
  </si>
  <si>
    <t>Gr Aves - Padroniz/Embalagem - Embalar IQF</t>
  </si>
  <si>
    <t>Gr Aves - Padroniz/Embalagem - Acondicionar Pacotes em Cxas</t>
  </si>
  <si>
    <t>Gr Aves - Padroniz/Embalagem - Paletizar Produtos</t>
  </si>
  <si>
    <t>Gr Aves - Padroniz/Embalagem - Detector de Metais</t>
  </si>
  <si>
    <t>Gr Aves - Padroniz/Embalagem - Limpar Setor</t>
  </si>
  <si>
    <t>Gr Aves - Padroniz/Embalagem - Controle/Monitor</t>
  </si>
  <si>
    <t>Gr Aves - Congelamento - Operar Túnel Congelamento</t>
  </si>
  <si>
    <t>Gr Aves - Congelamento - Abastecer Gaiolas no Túnel</t>
  </si>
  <si>
    <t>Gr Aves - Congelamento - Abastecer Esteira de Contato</t>
  </si>
  <si>
    <t>01 higieniza a linha de peito</t>
  </si>
  <si>
    <t>Deve fazer do setor e recolher os frangos mortos</t>
  </si>
  <si>
    <t>GB-10</t>
  </si>
  <si>
    <t>CARTILAGENS FG PB</t>
  </si>
  <si>
    <t>S/V</t>
  </si>
  <si>
    <t>ASA-BC</t>
  </si>
  <si>
    <t>MUSCULO COXA SO/SP</t>
  </si>
  <si>
    <t>LGH-BL</t>
  </si>
  <si>
    <t>PEITO 1/2 FRANGO LIGHT CG MP</t>
  </si>
  <si>
    <t>GK-03</t>
  </si>
  <si>
    <t>(vazio)</t>
  </si>
  <si>
    <t>BC-36</t>
  </si>
  <si>
    <t>FRANGO S/OSSO 600-1300G PB</t>
  </si>
  <si>
    <t>OB-373</t>
  </si>
  <si>
    <t>SBL-57</t>
  </si>
  <si>
    <t>COXA SBCX S/OP CG</t>
  </si>
  <si>
    <t>OB-281</t>
  </si>
  <si>
    <t>1/2 PEITO S/OPF FG 2.5KG</t>
  </si>
  <si>
    <t>SBL-24</t>
  </si>
  <si>
    <t>COXA SBCX S/OPFG PB</t>
  </si>
  <si>
    <t>FRANGO S/OSSO 2.5 KG PB</t>
  </si>
  <si>
    <t>SK-06</t>
  </si>
  <si>
    <t>CBK-01</t>
  </si>
  <si>
    <t>DORSO DE FRANGO BACK</t>
  </si>
  <si>
    <t>Classificar asa Inteira</t>
  </si>
  <si>
    <t>T-35</t>
  </si>
  <si>
    <t>SOBRECOXA C/OP FG IF 15KG</t>
  </si>
  <si>
    <t>Aprovação Extra Diretoria</t>
  </si>
  <si>
    <t>QL Extra</t>
  </si>
  <si>
    <t>OB-422</t>
  </si>
  <si>
    <t>1/2 PEITO S/OPF FG PB IQF</t>
  </si>
  <si>
    <t>F-82</t>
  </si>
  <si>
    <t>FILEZINHO C/TDAO FG PB IQF</t>
  </si>
  <si>
    <t>T-102</t>
  </si>
  <si>
    <t>SOBRECOXA C/OP FG PB IQF</t>
  </si>
  <si>
    <t>OSSFV</t>
  </si>
  <si>
    <t>RES. OSSO CARCAÇA - CMS</t>
  </si>
  <si>
    <t>PELE CONGELADA DE AVE SACO 2</t>
  </si>
  <si>
    <t>CSC-87</t>
  </si>
  <si>
    <t>FILE CXSBCX C/P S/O 260/300G</t>
  </si>
  <si>
    <t>COXAS SOBRECOXAS CONG ENVELO</t>
  </si>
  <si>
    <t>Cod Ativ.</t>
  </si>
  <si>
    <t>Descrição Seção (30 caracteres)</t>
  </si>
  <si>
    <t>Cod Seção (30 caracteres)</t>
  </si>
  <si>
    <t>Total QL ultimo aprov.</t>
  </si>
  <si>
    <t>Oportunidades</t>
  </si>
  <si>
    <t>Sem investimento</t>
  </si>
  <si>
    <t>Com investimento</t>
  </si>
  <si>
    <t>Absenteísmo/Turnover/Férias</t>
  </si>
  <si>
    <t>Inspecionam selagem do pacote</t>
  </si>
  <si>
    <t>Operador  das balanças multicabeçal</t>
  </si>
  <si>
    <t>auxiliam no abastecimento da esteira</t>
  </si>
  <si>
    <t>Verifica a selagem dos pacotes</t>
  </si>
  <si>
    <t>Transportar Produto</t>
  </si>
  <si>
    <t>3 pausas de 25 mim e 15 troca de uniforme</t>
  </si>
  <si>
    <t>PEITO CUBO IQF</t>
  </si>
  <si>
    <t>Meio da asa ME int</t>
  </si>
  <si>
    <t>1/2 PEITO S/OPF FG PB GF</t>
  </si>
  <si>
    <t>1/2 PEITO S/OPF 15KG GF</t>
  </si>
  <si>
    <t>COXA SBCX S/OP FG PB GF</t>
  </si>
  <si>
    <t>MEIO DA ASA 30G UP-IQF 2,5KG</t>
  </si>
  <si>
    <t>ASAS P/REFEITORIO</t>
  </si>
  <si>
    <t>FG INT S/O 600-1300G PB GF</t>
  </si>
  <si>
    <t>FRANGO S/OSSO PB GF</t>
  </si>
  <si>
    <t>Peito Extra Limpo</t>
  </si>
  <si>
    <t>COXINHA ASA DE FG IQF15KG</t>
  </si>
  <si>
    <t>FIGADO FG CG BL PET FOOD</t>
  </si>
  <si>
    <t>COXA FRANGO IQF 15KG</t>
  </si>
  <si>
    <t>PELE DE FRANGO PB GF</t>
  </si>
  <si>
    <t xml:space="preserve">Gr Aves - Pendura/ Sangria - Limpar Setor </t>
  </si>
  <si>
    <t>Gr Aves - Escald/Depen/Evisc - Escaldagem</t>
  </si>
  <si>
    <t>Gr Aves - Escald/Depen/Evisc - Operar Escalda/Depenadeira</t>
  </si>
  <si>
    <t>Gr Aves - Escald/Depen/Evisc - Evisceração</t>
  </si>
  <si>
    <t xml:space="preserve">Gr Aves - Escald/Depen/Evisc - Limpar Setor </t>
  </si>
  <si>
    <t>Gr Aves - Pendura/ Sangria - Pendurar Aves -</t>
  </si>
  <si>
    <t xml:space="preserve">Gr Aves - Escald/Depen/Evisc - Controlador </t>
  </si>
  <si>
    <t xml:space="preserve">Gr Aves - Miúdos - Embalar Miúdos </t>
  </si>
  <si>
    <t xml:space="preserve">Gr Aves - Miúdos - Operar Chiller </t>
  </si>
  <si>
    <t xml:space="preserve">Gr Aves - Cortes Primários - Dessosar Frango em Cone </t>
  </si>
  <si>
    <t xml:space="preserve">Gr Aves - Perna - Revisar Desossa Perna </t>
  </si>
  <si>
    <t xml:space="preserve">Gr Aves - Perna - Embalar Produto </t>
  </si>
  <si>
    <t xml:space="preserve">Gr Aves - Peito - Revisar/Classificar Peito Refilado </t>
  </si>
  <si>
    <t xml:space="preserve">Gr Aves - Peito - Embalar Produtos </t>
  </si>
  <si>
    <t xml:space="preserve">Gr Aves - Perna - Desossar Perna </t>
  </si>
  <si>
    <t xml:space="preserve">Gr Aves - Perna - Operar Máquinas e Equipamentos </t>
  </si>
  <si>
    <t xml:space="preserve">Gr Aves - Perna - Limpar Setor </t>
  </si>
  <si>
    <t xml:space="preserve">Gr Aves - Perna - Chairador </t>
  </si>
  <si>
    <t xml:space="preserve">Gr Aves - Asa - Embalar Produto </t>
  </si>
  <si>
    <t>MOELA FG BDJ GF</t>
  </si>
  <si>
    <t>Gr Aves - Peito - Embalar Produtos</t>
  </si>
  <si>
    <t>Gr Aves - Peito - Operar Máquinas e Equipamentos</t>
  </si>
  <si>
    <t>Gr Aves - Cortes Primários - Embalar Produtos</t>
  </si>
  <si>
    <t>FIGADO FG BDJ GF</t>
  </si>
  <si>
    <t>Refilar Peito (Extra Limpo)</t>
  </si>
  <si>
    <t>02 acomodam peito em BDJs na linha automatica</t>
  </si>
  <si>
    <t>Covid-19</t>
  </si>
  <si>
    <t>01 transporte peito + recorte (peito fora padrão)</t>
  </si>
  <si>
    <t>COXA SBCX S/O 200g FG UP PB</t>
  </si>
  <si>
    <t>PELE DE FRANGO CG BL SE MP</t>
  </si>
  <si>
    <t>BL-184</t>
  </si>
  <si>
    <t>IWP</t>
  </si>
  <si>
    <t>Pct/h</t>
  </si>
  <si>
    <t>Qnt Maq</t>
  </si>
  <si>
    <t>02 encaixta; 01 puxa caixa e cola etiqueta</t>
  </si>
  <si>
    <t>01 paletiza caixas 01 movimenta e strecha</t>
  </si>
  <si>
    <t>Pso sala de cortes</t>
  </si>
  <si>
    <t>Faz reprocesso de caixas + Caxias plasticas</t>
  </si>
  <si>
    <t>1/2 PEITO S/OPF FG</t>
  </si>
  <si>
    <t>FRANGO DESOSSADO CG 15KG GF</t>
  </si>
  <si>
    <t>Riscar dorso para retirar asa</t>
  </si>
  <si>
    <t>CARNE MS AVES CG VENDA MI</t>
  </si>
  <si>
    <t>SAMBIQUIRA CG PCT</t>
  </si>
  <si>
    <t>ASA INTEIRA INTERFOLIADA</t>
  </si>
  <si>
    <t>CARNE MS AVES CG BL SE MP</t>
  </si>
  <si>
    <t>CMS FRANGO PB NGF</t>
  </si>
  <si>
    <t>1/2 PEITO S/OPF FG PB NGF</t>
  </si>
  <si>
    <t>MEIO DA ASA FG PB</t>
  </si>
  <si>
    <t>PES FG 35G UP GR A PB</t>
  </si>
  <si>
    <t>PELE DE FRANGO PB NGF</t>
  </si>
  <si>
    <t>MOELA FG BDJ NGF</t>
  </si>
  <si>
    <t>FIGADO FG BDJ NGF</t>
  </si>
  <si>
    <t>REC PEITO FGO CO  MPL MP</t>
  </si>
  <si>
    <t>COXA SBCX S/O BDJ CG</t>
  </si>
  <si>
    <t>ASAS FG 100G UP LP</t>
  </si>
  <si>
    <t>MIUDOS CONGELADOS DE FRANGO</t>
  </si>
  <si>
    <t>Gr Aves - Abate - Monitoramento de IC's - 1º Turno</t>
  </si>
  <si>
    <t>Gr Aves - Sala de Cortes - Monitoramento de IC's - 1º Turno</t>
  </si>
  <si>
    <t>FILEZINHO S/PTDAO GF</t>
  </si>
  <si>
    <t>Sobrecoxa S/OP BDJ</t>
  </si>
  <si>
    <t>Pesar Sassami manual</t>
  </si>
  <si>
    <t>FILE DE PEITO EM BIFE IQF 1K</t>
  </si>
  <si>
    <t>SBCOXA SEM PELE IQF 1KG</t>
  </si>
  <si>
    <t>OSTRINHA IQF SWIFT 1KG</t>
  </si>
  <si>
    <t>Monitor de processo - Recepção</t>
  </si>
  <si>
    <t>Monitor de processo - Miudos</t>
  </si>
  <si>
    <t>Monitor de processo - Grandes Cortes</t>
  </si>
  <si>
    <t>Gr Aves - Sala de Cortes - Monitoramento de IC's</t>
  </si>
  <si>
    <t>Monitor de processo - Peito</t>
  </si>
  <si>
    <t>Monitor de processo - Perna</t>
  </si>
  <si>
    <t>Monitor de processo - Paletização</t>
  </si>
  <si>
    <t>Monitor de processo - IQF</t>
  </si>
  <si>
    <t>FG INT S/O 600-1300G PB NGF</t>
  </si>
  <si>
    <t>COXA SBCX FG 230g UP LP</t>
  </si>
  <si>
    <t>CORACAO CONG 18KG MP</t>
  </si>
  <si>
    <t>FILE PEITO CUBOS CG POPEYES</t>
  </si>
  <si>
    <t>FILE PEITO TIRAS CG POPEYES</t>
  </si>
  <si>
    <t>MEIO PEITO S/OP CG POPEYES</t>
  </si>
  <si>
    <t>PEITO CALIBRADO 50 A 70G</t>
  </si>
  <si>
    <t>Peito Popeyes</t>
  </si>
  <si>
    <t>Peito Tiras Popeyes</t>
  </si>
  <si>
    <t>Peito cubos Popayes</t>
  </si>
  <si>
    <t>Revisar Peito/Perna MCD + Calibrado</t>
  </si>
  <si>
    <t>Monitor de processo - Evisceração</t>
  </si>
  <si>
    <t>Codigo da Seção</t>
  </si>
  <si>
    <t>Descrição da Seção</t>
  </si>
  <si>
    <t>Simulador</t>
  </si>
  <si>
    <t>Gr Aves - Cortes Primários - Desossar Perna - Schawarma</t>
  </si>
  <si>
    <t>MP COXINHA DA ASA 65G DOWN</t>
  </si>
  <si>
    <t>ASA INT CG ITF SE</t>
  </si>
  <si>
    <t>FRANGO INTEIRO S/O PB GF</t>
  </si>
  <si>
    <t>Total Base Zero</t>
  </si>
  <si>
    <t>Total QL Extra</t>
  </si>
  <si>
    <t>COXA SEM PELE IQF 1KG</t>
  </si>
  <si>
    <t>Coxa da asa Pacote 18 kg</t>
  </si>
  <si>
    <t>Cortar medalão + pesar coxinha + Classificar e embalar (Coxinha Mp rod)</t>
  </si>
  <si>
    <t>Embalar Asa Pacote - Mp Termoprocessados</t>
  </si>
  <si>
    <t>Pesar coxinha mp</t>
  </si>
  <si>
    <t>QL Total</t>
  </si>
  <si>
    <t>DORSO UPPER BACK</t>
  </si>
  <si>
    <t>CMS SUPERIOR</t>
  </si>
  <si>
    <t>COXA SBCX  S/OP CG MP</t>
  </si>
  <si>
    <t>Gr Aves - Sif - Inspeção de Linha - 1° Turno</t>
  </si>
  <si>
    <t>Gr Aves - Sif - Agentes de Inspeção - 1° Turno</t>
  </si>
  <si>
    <t>3031 - INSPEÇÃO FEDERAL</t>
  </si>
  <si>
    <t>3035 - HIGIENIZAÇÃO</t>
  </si>
  <si>
    <t xml:space="preserve">Higienização Geral </t>
  </si>
  <si>
    <t>Operar Equip. de Higienização</t>
  </si>
  <si>
    <t>Preparação Produtos Quimicos</t>
  </si>
  <si>
    <t>Monitor de processo - Higienização</t>
  </si>
  <si>
    <t>Supervisor de processo - Higienização</t>
  </si>
  <si>
    <t>01 coleta e guarda produtos na camara + Pso de camara; 01 abastece a esteira com produtos</t>
  </si>
  <si>
    <t>MEIO PEITO FGO S/OP 110G CG</t>
  </si>
  <si>
    <t>PEITO DE FRANGO 70G</t>
  </si>
  <si>
    <t>Abastecer Sensor Raio X- Shawarma</t>
  </si>
  <si>
    <t>Revisar Peito Após Raio X- Shawarma</t>
  </si>
  <si>
    <t>Operador de Máquina - Raio X- Shawarma</t>
  </si>
  <si>
    <t>Dif</t>
  </si>
  <si>
    <t>Inspeção/Abaco</t>
  </si>
  <si>
    <t>Desossa dos cortes</t>
  </si>
  <si>
    <t>Agentes de Inspeção / Lider</t>
  </si>
  <si>
    <t>Auxiliar Administrativo / Secretario</t>
  </si>
  <si>
    <t>Cortar Peito - Tiras + Popeyes tiras</t>
  </si>
  <si>
    <t>Cortar Peito - Cubos Calibrado + Popeyes Cubos</t>
  </si>
  <si>
    <t>Refilar Peito MCD + Popeyes Peito 70g manual</t>
  </si>
  <si>
    <t>Embalar produtos - cubos molhos do chefe + Tiras Popeyes</t>
  </si>
  <si>
    <t>Embalar produtos - tiras molhos do chefe + Cubos  Popeyes</t>
  </si>
  <si>
    <t>Embalar produtos - coxinha barbecue +  Peito 70g Popeyes</t>
  </si>
  <si>
    <t>PSM-BC</t>
  </si>
  <si>
    <t>FILE DE PEITO FG CG TP PCT</t>
  </si>
  <si>
    <t>FILE DE PEITO FG RF TP PCT</t>
  </si>
  <si>
    <t>FILEZINHO  FG CG PCT</t>
  </si>
  <si>
    <t>ASA INTEIRA FG RF PCT</t>
  </si>
  <si>
    <t>ASAS INTEIRA FG CG PCT</t>
  </si>
  <si>
    <t>COXA SBCX  FG CG PCT</t>
  </si>
  <si>
    <t>COXA FG  CG PCT</t>
  </si>
  <si>
    <t>COXA FG  RF PCT</t>
  </si>
  <si>
    <t>MOELA FG CG PCT</t>
  </si>
  <si>
    <t>FIGADO FG CG PCT</t>
  </si>
  <si>
    <t>PES DE FRANGO</t>
  </si>
  <si>
    <t>JARINU</t>
  </si>
  <si>
    <t>COXA C/O WIP</t>
  </si>
  <si>
    <t>47.0284.1.2.17.00.01.039.01.15.09.1</t>
  </si>
  <si>
    <t>Gr Aves FFO-Garantia da Qualidade Administrativo-1°T</t>
  </si>
  <si>
    <t>47.0284.1.2.17.00.01.039.01.15.09.2</t>
  </si>
  <si>
    <t>Gr Aves FFO-Garantia da Qualidade Administrativo-2°T</t>
  </si>
  <si>
    <t>47.0284.1.2.17.00.01.039.01.15.09.3</t>
  </si>
  <si>
    <t>Gr Aves FFO-Garantia da Qualidade Administrativo-3°T</t>
  </si>
  <si>
    <t>47.0284.1.2.17.00.01.039.02.05.01.1</t>
  </si>
  <si>
    <t>Gr Aves FFO-Manutenção-1°T</t>
  </si>
  <si>
    <t>47.0284.1.2.17.00.01.039.02.05.01.2</t>
  </si>
  <si>
    <t>Gr Aves FFO-Manutenção-2°T</t>
  </si>
  <si>
    <t>47.0284.1.2.17.00.01.039.02.05.01.3</t>
  </si>
  <si>
    <t>Gr Aves FFO-Manutenção-3°T</t>
  </si>
  <si>
    <t>47.0284.1.2.17.00.01.039.02.05.02.1</t>
  </si>
  <si>
    <t>Gr Aves FFO-Manutenção-Administrativo-1°T</t>
  </si>
  <si>
    <t>47.0284.1.2.17.00.01.039.02.05.02.2</t>
  </si>
  <si>
    <t>Gr Aves FFO-Manutenção-Administrativo-2°T</t>
  </si>
  <si>
    <t>47.0284.1.2.17.00.01.039.02.05.02.3</t>
  </si>
  <si>
    <t>Gr Aves FFO-Manutenção-Administrativo-3°T</t>
  </si>
  <si>
    <t>47.0284.1.2.17.00.01.039.02.05.05.1</t>
  </si>
  <si>
    <t>Gr Aves FFO-Manutenção-Calibração-1°T</t>
  </si>
  <si>
    <t>47.0284.1.2.17.00.01.039.02.05.05.2</t>
  </si>
  <si>
    <t>Gr Aves FFO-Manutenção-Calibração-2°T</t>
  </si>
  <si>
    <t>47.0284.1.2.17.00.01.039.02.05.05.3</t>
  </si>
  <si>
    <t>Gr Aves FFO-Manutenção-Calibração-3°T</t>
  </si>
  <si>
    <t>47.0284.1.2.17.00.01.039.02.10.01.1</t>
  </si>
  <si>
    <t>Gr Aves FFO-Manutenção-Elétrica-1°T</t>
  </si>
  <si>
    <t>47.0284.1.2.17.00.01.039.02.10.01.2</t>
  </si>
  <si>
    <t>Gr Aves FFO-Manutenção-Elétrica-2°T</t>
  </si>
  <si>
    <t>47.0284.1.2.17.00.01.039.02.10.01.3</t>
  </si>
  <si>
    <t>Gr Aves FFO-Manutenção-Elétrica-3°T</t>
  </si>
  <si>
    <t>47.0284.1.2.17.00.01.039.02.05.03.1</t>
  </si>
  <si>
    <t>Gr Aves FFO-Manutenção-Lubrificação-1°T</t>
  </si>
  <si>
    <t>47.0284.1.2.17.00.01.039.02.05.03.2</t>
  </si>
  <si>
    <t>Gr Aves FFO-Manutenção-Lubrificação-2°T</t>
  </si>
  <si>
    <t>47.0284.1.2.17.00.01.039.02.05.03.3</t>
  </si>
  <si>
    <t>Gr Aves FFO-Manutenção-Lubrificação-3°T</t>
  </si>
  <si>
    <t>47.0284.1.2.17.00.01.039.02.11.01.1</t>
  </si>
  <si>
    <t>Gr Aves FFO-Manutenção-Mecânica-1°T</t>
  </si>
  <si>
    <t>47.0284.1.2.17.00.01.039.02.11.01.2</t>
  </si>
  <si>
    <t>Gr Aves FFO-Manutenção-Mecânica-2°T</t>
  </si>
  <si>
    <t>47.0284.1.2.17.00.01.039.02.11.01.3</t>
  </si>
  <si>
    <t>Gr Aves FFO-Manutenção-Mecânica-3°T</t>
  </si>
  <si>
    <t>47.0284.1.2.17.00.01.039.02.05.04.1</t>
  </si>
  <si>
    <t>Gr Aves FFO-Manutenção-Serviços Gerais-1°T</t>
  </si>
  <si>
    <t>47.0284.1.2.17.00.01.039.02.05.04.2</t>
  </si>
  <si>
    <t>Gr Aves FFO-Manutenção-Serviços Gerais-2°T</t>
  </si>
  <si>
    <t>47.0284.1.2.17.00.01.039.02.05.04.3</t>
  </si>
  <si>
    <t>Gr Aves FFO-Manutenção-Serviços Gerais-3°T</t>
  </si>
  <si>
    <t>47.0284.1.2.17.00.01.039.01.34.02.1</t>
  </si>
  <si>
    <t>Gr Aves-Abate-Monitoramento de IC's-1°T</t>
  </si>
  <si>
    <t>47.0284.1.2.17.00.01.039.01.34.02.2</t>
  </si>
  <si>
    <t>Gr Aves-Abate-Monitoramento de IC's-2°T</t>
  </si>
  <si>
    <t>47.0284.1.2.17.00.01.039.01.34.02.3</t>
  </si>
  <si>
    <t>Gr Aves-Abate-Monitoramento de IC's-3°T</t>
  </si>
  <si>
    <t>47.0284.1.2.17.00.01.039.01.09.01.1</t>
  </si>
  <si>
    <t>Gr Aves-Asa-Abastecer Classificadora (Asa)-1°T</t>
  </si>
  <si>
    <t>47.0284.1.2.17.00.01.039.01.09.01.2</t>
  </si>
  <si>
    <t>Gr Aves-Asa-Abastecer Classificadora (Asa)-2°T</t>
  </si>
  <si>
    <t>47.0284.1.2.17.00.01.039.01.09.01.3</t>
  </si>
  <si>
    <t>Gr Aves-Asa-Abastecer Classificadora (Asa)-3°T</t>
  </si>
  <si>
    <t>47.0284.1.2.17.00.01.039.01.09.07.1</t>
  </si>
  <si>
    <t>Gr Aves-Asa-Abastecer Elevadora a Vácuo-1°T</t>
  </si>
  <si>
    <t>47.0284.1.2.17.00.01.039.01.09.07.2</t>
  </si>
  <si>
    <t>Gr Aves-Asa-Abastecer Elevadora a Vácuo-2°T</t>
  </si>
  <si>
    <t>47.0284.1.2.17.00.01.039.01.09.07.3</t>
  </si>
  <si>
    <t>Gr Aves-Asa-Abastecer Elevadora a Vácuo-3°T</t>
  </si>
  <si>
    <t>47.0284.1.2.17.00.01.039.01.09.02.1</t>
  </si>
  <si>
    <t>Gr Aves-Asa-Alimentar Máquina Cortar Asas-1°T</t>
  </si>
  <si>
    <t>47.0284.1.2.17.00.01.039.01.09.02.2</t>
  </si>
  <si>
    <t>Gr Aves-Asa-Alimentar Máquina Cortar Asas-2°T</t>
  </si>
  <si>
    <t>47.0284.1.2.17.00.01.039.01.09.02.3</t>
  </si>
  <si>
    <t>Gr Aves-Asa-Alimentar Máquina Cortar Asas-3°T</t>
  </si>
  <si>
    <t>47.0284.1.2.17.00.01.039.01.09.13.1</t>
  </si>
  <si>
    <t>Gr Aves-Asa-Alimentar Máquina de Bandeja-1°T</t>
  </si>
  <si>
    <t>47.0284.1.2.17.00.01.039.01.09.13.2</t>
  </si>
  <si>
    <t>Gr Aves-Asa-Alimentar Máquina de Bandeja-2°T</t>
  </si>
  <si>
    <t>47.0284.1.2.17.00.01.039.01.09.13.3</t>
  </si>
  <si>
    <t>Gr Aves-Asa-Alimentar Máquina de Bandeja-3°T</t>
  </si>
  <si>
    <t>47.0284.1.2.17.00.01.039.01.09.08.1</t>
  </si>
  <si>
    <t>Gr Aves-Asa-Arrumar Pacotes na Caixa-1°T</t>
  </si>
  <si>
    <t>47.0284.1.2.17.00.01.039.01.09.08.2</t>
  </si>
  <si>
    <t>Gr Aves-Asa-Arrumar Pacotes na Caixa-2°T</t>
  </si>
  <si>
    <t>47.0284.1.2.17.00.01.039.01.09.08.3</t>
  </si>
  <si>
    <t>Gr Aves-Asa-Arrumar Pacotes na Caixa-3°T</t>
  </si>
  <si>
    <t>47.0284.1.2.17.00.01.039.01.09.04.1</t>
  </si>
  <si>
    <t>Gr Aves-Asa-Classificar Asas-1°T</t>
  </si>
  <si>
    <t>47.0284.1.2.17.00.01.039.01.09.04.2</t>
  </si>
  <si>
    <t>Gr Aves-Asa-Classificar Asas-2°T</t>
  </si>
  <si>
    <t>47.0284.1.2.17.00.01.039.01.09.04.3</t>
  </si>
  <si>
    <t>Gr Aves-Asa-Classificar Asas-3°T</t>
  </si>
  <si>
    <t>47.0284.1.2.17.00.01.039.01.09.03.1</t>
  </si>
  <si>
    <t>Gr Aves-Asa-Cortar Asas Manual-1°T</t>
  </si>
  <si>
    <t>47.0284.1.2.17.00.01.039.01.09.03.2</t>
  </si>
  <si>
    <t>Gr Aves-Asa-Cortar Asas Manual-2°T</t>
  </si>
  <si>
    <t>47.0284.1.2.17.00.01.039.01.09.03.3</t>
  </si>
  <si>
    <t>Gr Aves-Asa-Cortar Asas Manual-3°T</t>
  </si>
  <si>
    <t>47.0284.1.2.17.00.01.039.01.09.11.1</t>
  </si>
  <si>
    <t>Gr Aves-Asa-Embalar Cortes em Bandejas-1°T</t>
  </si>
  <si>
    <t>47.0284.1.2.17.00.01.039.01.09.11.2</t>
  </si>
  <si>
    <t>Gr Aves-Asa-Embalar Cortes em Bandejas-2°T</t>
  </si>
  <si>
    <t>47.0284.1.2.17.00.01.039.01.09.11.3</t>
  </si>
  <si>
    <t>Gr Aves-Asa-Embalar Cortes em Bandejas-3°T</t>
  </si>
  <si>
    <t>47.0284.1.2.17.00.01.039.01.09.05.1</t>
  </si>
  <si>
    <t>Gr Aves-Asa-Embalar Produto-1°T</t>
  </si>
  <si>
    <t>47.0284.1.2.17.00.01.039.01.09.05.2</t>
  </si>
  <si>
    <t>Gr Aves-Asa-Embalar Produto-2°T</t>
  </si>
  <si>
    <t>47.0284.1.2.17.00.01.039.01.09.05.3</t>
  </si>
  <si>
    <t>Gr Aves-Asa-Embalar Produto-3°T</t>
  </si>
  <si>
    <t>47.0284.1.2.17.00.01.039.01.09.15.1</t>
  </si>
  <si>
    <t>Gr Aves-Asa-Encaixotar Bandejas-1°T</t>
  </si>
  <si>
    <t>47.0284.1.2.17.00.01.039.01.09.15.2</t>
  </si>
  <si>
    <t>Gr Aves-Asa-Encaixotar Bandejas-2°T</t>
  </si>
  <si>
    <t>47.0284.1.2.17.00.01.039.01.09.15.3</t>
  </si>
  <si>
    <t>Gr Aves-Asa-Encaixotar Bandejas-3°T</t>
  </si>
  <si>
    <t>47.0284.1.2.17.00.01.039.01.09.09.1</t>
  </si>
  <si>
    <t>Gr Aves-Asa-Entrefolhar Asa Bloco-1°T</t>
  </si>
  <si>
    <t>47.0284.1.2.17.00.01.039.01.09.09.2</t>
  </si>
  <si>
    <t>Gr Aves-Asa-Entrefolhar Asa Bloco-2°T</t>
  </si>
  <si>
    <t>47.0284.1.2.17.00.01.039.01.09.09.3</t>
  </si>
  <si>
    <t>Gr Aves-Asa-Entrefolhar Asa Bloco-3°T</t>
  </si>
  <si>
    <t>47.0284.1.2.17.00.01.039.01.09.14.1</t>
  </si>
  <si>
    <t>Gr Aves-Asa-Etiquetar Bandejas-1°T</t>
  </si>
  <si>
    <t>47.0284.1.2.17.00.01.039.01.09.14.2</t>
  </si>
  <si>
    <t>Gr Aves-Asa-Etiquetar Bandejas-2°T</t>
  </si>
  <si>
    <t>47.0284.1.2.17.00.01.039.01.09.14.3</t>
  </si>
  <si>
    <t>Gr Aves-Asa-Etiquetar Bandejas-3°T</t>
  </si>
  <si>
    <t>47.0284.1.2.17.00.01.039.01.09.20.1</t>
  </si>
  <si>
    <t>Gr Aves-Asa-Limpeza de Setor-1°T</t>
  </si>
  <si>
    <t>47.0284.1.2.17.00.01.039.01.09.20.2</t>
  </si>
  <si>
    <t>Gr Aves-Asa-Limpeza de Setor-2°T</t>
  </si>
  <si>
    <t>47.0284.1.2.17.00.01.039.01.09.20.3</t>
  </si>
  <si>
    <t>Gr Aves-Asa-Limpeza de Setor-3°T</t>
  </si>
  <si>
    <t>47.0284.1.2.17.00.01.039.01.09.18.1</t>
  </si>
  <si>
    <t>Gr Aves-Asa-Monitor-1°T</t>
  </si>
  <si>
    <t>47.0284.1.2.17.00.01.039.01.09.18.2</t>
  </si>
  <si>
    <t>Gr Aves-Asa-Monitor-2°T</t>
  </si>
  <si>
    <t>47.0284.1.2.17.00.01.039.01.09.16.1</t>
  </si>
  <si>
    <t>Gr Aves-Asa-Operar Máquinas e Equipamentos-1°T</t>
  </si>
  <si>
    <t>47.0284.1.2.17.00.01.039.01.09.16.2</t>
  </si>
  <si>
    <t>Gr Aves-Asa-Operar Máquinas e Equipamentos-2°T</t>
  </si>
  <si>
    <t>47.0284.1.2.17.00.01.039.01.09.16.3</t>
  </si>
  <si>
    <t>Gr Aves-Asa-Operar Máquinas e Equipamentos-3°T</t>
  </si>
  <si>
    <t>47.0284.1.2.17.00.01.039.01.09.17.1</t>
  </si>
  <si>
    <t>Gr Aves-Asa-Operar Paleteira-1°T</t>
  </si>
  <si>
    <t>47.0284.1.2.17.00.01.039.01.09.17.2</t>
  </si>
  <si>
    <t>Gr Aves-Asa-Operar Paleteira-2°T</t>
  </si>
  <si>
    <t>47.0284.1.2.17.00.01.039.01.09.17.3</t>
  </si>
  <si>
    <t>Gr Aves-Asa-Operar Paleteira-3°T</t>
  </si>
  <si>
    <t>47.0284.1.2.17.00.01.039.01.09.10.1</t>
  </si>
  <si>
    <t>Gr Aves-Asa-Pesar Asa Bloco-1°T</t>
  </si>
  <si>
    <t>47.0284.1.2.17.00.01.039.01.09.10.2</t>
  </si>
  <si>
    <t>Gr Aves-Asa-Pesar Asa Bloco-2°T</t>
  </si>
  <si>
    <t>47.0284.1.2.17.00.01.039.01.09.10.3</t>
  </si>
  <si>
    <t>Gr Aves-Asa-Pesar Asa Bloco-3°T</t>
  </si>
  <si>
    <t>47.0284.1.2.17.00.01.039.01.09.06.1</t>
  </si>
  <si>
    <t>Gr Aves-Asa-Pesar Asa Pct-1°T</t>
  </si>
  <si>
    <t>47.0284.1.2.17.00.01.039.01.09.06.2</t>
  </si>
  <si>
    <t>Gr Aves-Asa-Pesar Asa Pct-2°T</t>
  </si>
  <si>
    <t>47.0284.1.2.17.00.01.039.01.09.06.3</t>
  </si>
  <si>
    <t>Gr Aves-Asa-Pesar Asa Pct-3°T</t>
  </si>
  <si>
    <t>47.0284.1.2.17.00.01.039.01.09.12.1</t>
  </si>
  <si>
    <t>Gr Aves-Asa-Pesar Produtos Bandejas-1°T</t>
  </si>
  <si>
    <t>47.0284.1.2.17.00.01.039.01.09.12.2</t>
  </si>
  <si>
    <t>Gr Aves-Asa-Pesar Produtos Bandejas-2°T</t>
  </si>
  <si>
    <t>47.0284.1.2.17.00.01.039.01.09.12.3</t>
  </si>
  <si>
    <t>Gr Aves-Asa-Pesar Produtos Bandejas-3°T</t>
  </si>
  <si>
    <t>47.0284.1.2.17.00.01.039.01.09.19.1</t>
  </si>
  <si>
    <t>Gr Aves-Asa-Transportar-1°T</t>
  </si>
  <si>
    <t>47.0284.1.2.17.00.01.039.01.09.19.2</t>
  </si>
  <si>
    <t>Gr Aves-Asa-Transportar-2°T</t>
  </si>
  <si>
    <t>47.0284.1.2.17.00.01.039.01.09.19.3</t>
  </si>
  <si>
    <t>Gr Aves-Asa-Transportar-3°T</t>
  </si>
  <si>
    <t>47.0284.1.2.17.00.01.039.01.20.01.1</t>
  </si>
  <si>
    <t>Gr Aves-Bandeja-Embalar Produtos-1°T</t>
  </si>
  <si>
    <t>47.0284.1.2.17.00.01.039.01.20.01.2</t>
  </si>
  <si>
    <t>Gr Aves-Bandeja-Embalar Produtos-2°T</t>
  </si>
  <si>
    <t>47.0284.1.2.17.00.01.039.01.20.01.3</t>
  </si>
  <si>
    <t>Gr Aves-Bandeja-Embalar Produtos-3°T</t>
  </si>
  <si>
    <t>47.0284.1.2.17.00.01.039.01.20.02.1</t>
  </si>
  <si>
    <t>Gr Aves-Bandeja-Encaixotar Bandejas-1°T</t>
  </si>
  <si>
    <t>47.0284.1.2.17.00.01.039.01.20.02.2</t>
  </si>
  <si>
    <t>Gr Aves-Bandeja-Encaixotar Bandejas-2°T</t>
  </si>
  <si>
    <t>47.0284.1.2.17.00.01.039.01.20.02.3</t>
  </si>
  <si>
    <t>Gr Aves-Bandeja-Encaixotar Bandejas-3°T</t>
  </si>
  <si>
    <t>47.0284.1.2.17.00.01.039.01.20.03.1</t>
  </si>
  <si>
    <t>Gr Aves-Bandeja-Operar Máquinas e Equipamentos-1°T</t>
  </si>
  <si>
    <t>47.0284.1.2.17.00.01.039.01.20.03.2</t>
  </si>
  <si>
    <t>Gr Aves-Bandeja-Operar Máquinas e Equipamentos-2°T</t>
  </si>
  <si>
    <t>47.0284.1.2.17.00.01.039.01.20.03.3</t>
  </si>
  <si>
    <t>Gr Aves-Bandeja-Operar Máquinas e Equipamentos-3°T</t>
  </si>
  <si>
    <t>47.0284.1.2.17.00.01.039.01.10.03.1</t>
  </si>
  <si>
    <t>Gr Aves-CMS-Abastecer Congelador de Placas-1°T</t>
  </si>
  <si>
    <t>47.0284.1.2.17.00.01.039.01.10.03.2</t>
  </si>
  <si>
    <t>Gr Aves-CMS-Abastecer Congelador de Placas-2°T</t>
  </si>
  <si>
    <t>47.0284.1.2.17.00.01.039.01.10.03.3</t>
  </si>
  <si>
    <t>Gr Aves-CMS-Abastecer Congelador de Placas-3°T</t>
  </si>
  <si>
    <t>47.0284.1.2.17.00.01.039.01.10.07.1</t>
  </si>
  <si>
    <t>Gr Aves-CMS-Embalar CMR-1°T</t>
  </si>
  <si>
    <t>47.0284.1.2.17.00.01.039.01.10.07.2</t>
  </si>
  <si>
    <t>Gr Aves-CMS-Embalar CMR-2°T</t>
  </si>
  <si>
    <t>47.0284.1.2.17.00.01.039.01.10.07.3</t>
  </si>
  <si>
    <t>Gr Aves-CMS-Embalar CMR-3°T</t>
  </si>
  <si>
    <t>47.0284.1.2.17.00.01.039.01.10.02.1</t>
  </si>
  <si>
    <t>Gr Aves-CMS-Inspecionar MP CMS/CMR-1°T</t>
  </si>
  <si>
    <t>47.0284.1.2.17.00.01.039.01.10.02.2</t>
  </si>
  <si>
    <t>Gr Aves-CMS-Inspecionar MP CMS/CMR-2°T</t>
  </si>
  <si>
    <t>47.0284.1.2.17.00.01.039.01.10.02.3</t>
  </si>
  <si>
    <t>Gr Aves-CMS-Inspecionar MP CMS/CMR-3°T</t>
  </si>
  <si>
    <t>47.0284.1.2.17.00.01.039.01.10.08.1</t>
  </si>
  <si>
    <t>Gr Aves-CMS-Pesar CMR-1°T</t>
  </si>
  <si>
    <t>47.0284.1.2.17.00.01.039.01.10.08.2</t>
  </si>
  <si>
    <t>Gr Aves-CMS-Pesar CMR-2°T</t>
  </si>
  <si>
    <t>47.0284.1.2.17.00.01.039.01.10.08.3</t>
  </si>
  <si>
    <t>Gr Aves-CMS-Pesar CMR-3°T</t>
  </si>
  <si>
    <t>47.0284.1.2.17.00.01.039.01.10.05.1</t>
  </si>
  <si>
    <t>Gr Aves-CMS-Pesar CMS-1°T</t>
  </si>
  <si>
    <t>47.0284.1.2.17.00.01.039.01.10.05.2</t>
  </si>
  <si>
    <t>Gr Aves-CMS-Pesar CMS-2°T</t>
  </si>
  <si>
    <t>47.0284.1.2.17.00.01.039.01.10.05.3</t>
  </si>
  <si>
    <t>Gr Aves-CMS-Pesar CMS-3°T</t>
  </si>
  <si>
    <t>47.0284.1.2.17.00.01.039.01.10.09.1</t>
  </si>
  <si>
    <t>Gr Aves-CMS-Selar CMR-1°T</t>
  </si>
  <si>
    <t>47.0284.1.2.17.00.01.039.01.10.09.2</t>
  </si>
  <si>
    <t>Gr Aves-CMS-Selar CMR-2°T</t>
  </si>
  <si>
    <t>47.0284.1.2.17.00.01.039.01.10.09.3</t>
  </si>
  <si>
    <t>Gr Aves-CMS-Selar CMR-3°T</t>
  </si>
  <si>
    <t>47.0284.1.2.17.00.01.039.01.10.06.1</t>
  </si>
  <si>
    <t>Gr Aves-CMS-Selar CMS-1°T</t>
  </si>
  <si>
    <t>47.0284.1.2.17.00.01.039.01.10.06.2</t>
  </si>
  <si>
    <t>Gr Aves-CMS-Selar CMS-2°T</t>
  </si>
  <si>
    <t>47.0284.1.2.17.00.01.039.01.10.06.3</t>
  </si>
  <si>
    <t>Gr Aves-CMS-Selar CMS-3°T</t>
  </si>
  <si>
    <t>47.0284.1.2.17.00.01.039.01.10.04.1</t>
  </si>
  <si>
    <t>Gr Aves-CMS/CMR-Embalar Produto-1°T</t>
  </si>
  <si>
    <t>47.0284.1.2.17.00.01.039.01.10.04.2</t>
  </si>
  <si>
    <t>Gr Aves-CMS/CMR-Embalar Produto-2°T</t>
  </si>
  <si>
    <t>47.0284.1.2.17.00.01.039.01.10.04.3</t>
  </si>
  <si>
    <t>Gr Aves-CMS/CMR-Embalar Produto-3°T</t>
  </si>
  <si>
    <t>47.0284.1.2.17.00.01.039.01.10.12.3</t>
  </si>
  <si>
    <t>Gr Aves-CMS/CMR-Limpar Setor-3°T</t>
  </si>
  <si>
    <t>47.0284.1.2.17.00.01.039.01.10.12.1</t>
  </si>
  <si>
    <t>Gr Aves-CMS/CMR-Limpeza de Setor-1°T</t>
  </si>
  <si>
    <t>47.0284.1.2.17.00.01.039.01.10.12.2</t>
  </si>
  <si>
    <t>Gr Aves-CMS/CMR-Limpeza de Setor-2°T</t>
  </si>
  <si>
    <t>47.0284.1.2.17.00.01.039.01.10.01.1</t>
  </si>
  <si>
    <t>Gr Aves-CMS/CMR-Operar Máquinas e Equipamentos-1°T</t>
  </si>
  <si>
    <t>47.0284.1.2.17.00.01.039.01.10.01.2</t>
  </si>
  <si>
    <t>Gr Aves-CMS/CMR-Operar Máquinas e Equipamentos-2°T</t>
  </si>
  <si>
    <t>47.0284.1.2.17.00.01.039.01.10.01.3</t>
  </si>
  <si>
    <t>Gr Aves-CMS/CMR-Operar Máquinas e Equipamentos-3°T</t>
  </si>
  <si>
    <t>47.0284.1.2.17.00.01.039.01.10.10.1</t>
  </si>
  <si>
    <t>Gr Aves-CMS/CMR-Operar Paleteira-1°T</t>
  </si>
  <si>
    <t>47.0284.1.2.17.00.01.039.01.10.10.2</t>
  </si>
  <si>
    <t>Gr Aves-CMS/CMR-Operar Paleteira-2°T</t>
  </si>
  <si>
    <t>47.0284.1.2.17.00.01.039.01.10.10.3</t>
  </si>
  <si>
    <t>Gr Aves-CMS/CMR-Operar Paleteira-3°T</t>
  </si>
  <si>
    <t>47.0284.1.2.17.00.01.039.01.10.11.1</t>
  </si>
  <si>
    <t>Gr Aves-CMS/CMR-Transportar-1°T</t>
  </si>
  <si>
    <t>47.0284.1.2.17.00.01.039.01.10.11.2</t>
  </si>
  <si>
    <t>Gr Aves-CMS/CMR-Transportar-2°T</t>
  </si>
  <si>
    <t>47.0284.1.2.17.00.01.039.01.10.11.3</t>
  </si>
  <si>
    <t>Gr Aves-CMS/CMR-Transportar-3°T</t>
  </si>
  <si>
    <t>47.0284.1.2.17.00.01.039.01.13.04.1</t>
  </si>
  <si>
    <t>Gr Aves-Congelamento-Abastecer Esteira de Contato-1°T</t>
  </si>
  <si>
    <t>47.0284.1.2.17.00.01.039.01.13.04.2</t>
  </si>
  <si>
    <t>Gr Aves-Congelamento-Abastecer Esteira de Contato-2°T</t>
  </si>
  <si>
    <t>47.0284.1.2.17.00.01.039.01.13.04.3</t>
  </si>
  <si>
    <t>Gr Aves-Congelamento-Abastecer Esteira de Contato-3°T</t>
  </si>
  <si>
    <t>47.0284.1.2.17.00.01.039.01.13.02.1</t>
  </si>
  <si>
    <t>Gr Aves-Congelamento-Abastecer Gaiolas no Túnel-1°T</t>
  </si>
  <si>
    <t>47.0284.1.2.17.00.01.039.01.13.02.2</t>
  </si>
  <si>
    <t>Gr Aves-Congelamento-Abastecer Gaiolas no Túnel-2°T</t>
  </si>
  <si>
    <t>47.0284.1.2.17.00.01.039.01.13.02.3</t>
  </si>
  <si>
    <t>Gr Aves-Congelamento-Abastecer Gaiolas no Túnel-3°T</t>
  </si>
  <si>
    <t>47.0284.1.2.17.00.01.039.01.13.03.1</t>
  </si>
  <si>
    <t>Gr Aves-Congelamento-Operar IQF-1°T</t>
  </si>
  <si>
    <t>47.0284.1.2.17.00.01.039.01.13.03.2</t>
  </si>
  <si>
    <t>Gr Aves-Congelamento-Operar IQF-2°T</t>
  </si>
  <si>
    <t>47.0284.1.2.17.00.01.039.01.13.03.3</t>
  </si>
  <si>
    <t>Gr Aves-Congelamento-Operar IQF-3°T</t>
  </si>
  <si>
    <t>47.0284.1.2.17.00.01.039.01.13.01.1</t>
  </si>
  <si>
    <t>Gr Aves-Congelamento-Operar Túnel Congelamento-1°T</t>
  </si>
  <si>
    <t>47.0284.1.2.17.00.01.039.01.13.01.2</t>
  </si>
  <si>
    <t>Gr Aves-Congelamento-Operar Túnel Congelamento-2°T</t>
  </si>
  <si>
    <t>47.0284.1.2.17.00.01.039.01.13.01.3</t>
  </si>
  <si>
    <t>Gr Aves-Congelamento-Operar Túnel Congelamento-3°T</t>
  </si>
  <si>
    <t>47.0284.1.2.17.00.01.039.01.06.01.1</t>
  </si>
  <si>
    <t>Gr Aves-Cortes Primários-Abastecer Chiller com Gelo-1°T</t>
  </si>
  <si>
    <t>47.0284.1.2.17.00.01.039.01.06.01.2</t>
  </si>
  <si>
    <t>Gr Aves-Cortes Primários-Abastecer Chiller com Gelo-2°T</t>
  </si>
  <si>
    <t>47.0284.1.2.17.00.01.039.01.06.01.3</t>
  </si>
  <si>
    <t>Gr Aves-Cortes Primários-Abastecer Chiller com Gelo-3°T</t>
  </si>
  <si>
    <t>47.0284.1.2.17.00.01.039.01.06.02.1</t>
  </si>
  <si>
    <t>Gr Aves-Cortes Primários-Abastecer Cone/Nórea-1°T</t>
  </si>
  <si>
    <t>47.0284.1.2.17.00.01.039.01.06.02.2</t>
  </si>
  <si>
    <t>Gr Aves-Cortes Primários-Abastecer Cone/Nórea-2°T</t>
  </si>
  <si>
    <t>47.0284.1.2.17.00.01.039.01.06.02.3</t>
  </si>
  <si>
    <t>Gr Aves-Cortes Primários-Abastecer Cone/Nórea-3°T</t>
  </si>
  <si>
    <t>47.0284.1.2.17.00.01.039.01.06.16.1</t>
  </si>
  <si>
    <t>Gr Aves-Cortes Primários-Alimentar Máq Desossa Peito-1°T</t>
  </si>
  <si>
    <t>47.0284.1.2.17.00.01.039.01.06.16.2</t>
  </si>
  <si>
    <t>Gr Aves-Cortes Primários-Alimentar Máq Desossa Peito-2°T</t>
  </si>
  <si>
    <t>47.0284.1.2.17.00.01.039.01.06.16.3</t>
  </si>
  <si>
    <t>Gr Aves-Cortes Primários-Alimentar Máq Desossa Peito-3°T</t>
  </si>
  <si>
    <t>47.0284.1.2.17.00.01.039.01.06.24.3</t>
  </si>
  <si>
    <t>Gr Aves-Cortes Primários-Controlador-3°T</t>
  </si>
  <si>
    <t>47.0284.1.2.17.00.01.039.01.06.22.1</t>
  </si>
  <si>
    <t>Gr Aves-Cortes Primários-Cortes Dif-1°T</t>
  </si>
  <si>
    <t>47.0284.1.2.17.00.01.039.01.06.22.2</t>
  </si>
  <si>
    <t>Gr Aves-Cortes Primários-Cortes Dif-2°T</t>
  </si>
  <si>
    <t>47.0284.1.2.17.00.01.039.01.06.22.3</t>
  </si>
  <si>
    <t>Gr Aves-Cortes Primários-Cortes Dif-3°T</t>
  </si>
  <si>
    <t>47.0284.1.2.17.00.01.039.01.06.05.1</t>
  </si>
  <si>
    <t>Gr Aves-Cortes Primários-Deslocar Peito e Ret Asas-1°T</t>
  </si>
  <si>
    <t>47.0284.1.2.17.00.01.039.01.06.05.2</t>
  </si>
  <si>
    <t>Gr Aves-Cortes Primários-Deslocar Peito e Ret Asas-2°T</t>
  </si>
  <si>
    <t>47.0284.1.2.17.00.01.039.01.06.05.3</t>
  </si>
  <si>
    <t>Gr Aves-Cortes Primários-Deslocar Peito e Ret Asas-3°T</t>
  </si>
  <si>
    <t>47.0284.1.2.17.00.01.039.01.06.12.1</t>
  </si>
  <si>
    <t>Gr Aves-Cortes Primários-Deslocar Peito Schawarma-1°T</t>
  </si>
  <si>
    <t>47.0284.1.2.17.00.01.039.01.06.12.2</t>
  </si>
  <si>
    <t>Gr Aves-Cortes Primários-Deslocar Peito Schawarma-2°T</t>
  </si>
  <si>
    <t>47.0284.1.2.17.00.01.039.01.06.12.3</t>
  </si>
  <si>
    <t>Gr Aves-Cortes Primários-Deslocar Peito Schawarma-3°T</t>
  </si>
  <si>
    <t>47.0284.1.2.17.00.01.039.01.06.13.1</t>
  </si>
  <si>
    <t>Gr Aves-Cortes Primários-Deslocar Perna Schawarma-1°T</t>
  </si>
  <si>
    <t>47.0284.1.2.17.00.01.039.01.06.13.2</t>
  </si>
  <si>
    <t>Gr Aves-Cortes Primários-Deslocar Perna Schawarma-2°T</t>
  </si>
  <si>
    <t>47.0284.1.2.17.00.01.039.01.06.13.3</t>
  </si>
  <si>
    <t>Gr Aves-Cortes Primários-Deslocar Perna Schawarma-3°T</t>
  </si>
  <si>
    <t>47.0284.1.2.17.00.01.039.01.06.19.1</t>
  </si>
  <si>
    <t>Gr Aves-Cortes Primários-Desossar Carcaças Quebradas-1°T</t>
  </si>
  <si>
    <t>47.0284.1.2.17.00.01.039.01.06.19.2</t>
  </si>
  <si>
    <t>Gr Aves-Cortes Primários-Desossar Carcaças Quebradas-2°T</t>
  </si>
  <si>
    <t>47.0284.1.2.17.00.01.039.01.06.19.3</t>
  </si>
  <si>
    <t>Gr Aves-Cortes Primários-Desossar Carcaças Quebradas-3°T</t>
  </si>
  <si>
    <t>47.0284.1.2.17.00.01.039.01.06.29.1</t>
  </si>
  <si>
    <t>Gr Aves-Cortes Primários-Desossar Frango em Cone-1°T</t>
  </si>
  <si>
    <t>47.0284.1.2.17.00.01.039.01.06.29.2</t>
  </si>
  <si>
    <t>Gr Aves-Cortes Primários-Desossar Frango em Cone-2°T</t>
  </si>
  <si>
    <t>47.0284.1.2.17.00.01.039.01.06.29.3</t>
  </si>
  <si>
    <t>Gr Aves-Cortes Primários-Desossar Frango em Cone-3°T</t>
  </si>
  <si>
    <t>47.0284.1.2.17.00.01.039.01.06.30.1</t>
  </si>
  <si>
    <t>Gr Aves-Cortes Primários-Desossar Frango Schawarma-1°T</t>
  </si>
  <si>
    <t>47.0284.1.2.17.00.01.039.01.06.30.2</t>
  </si>
  <si>
    <t>Gr Aves-Cortes Primários-Desossar Frango Schawarma-2°T</t>
  </si>
  <si>
    <t>47.0284.1.2.17.00.01.039.01.06.30.3</t>
  </si>
  <si>
    <t>Gr Aves-Cortes Primários-Dessosar Frango Schawarma-3°T</t>
  </si>
  <si>
    <t>47.0284.1.2.17.00.01.039.01.06.21.1</t>
  </si>
  <si>
    <t>Gr Aves-Cortes Primários-Embalar e Pesar Dorso-1°T</t>
  </si>
  <si>
    <t>47.0284.1.2.17.00.01.039.01.06.21.2</t>
  </si>
  <si>
    <t>Gr Aves-Cortes Primários-Embalar e Pesar Dorso-2°T</t>
  </si>
  <si>
    <t>47.0284.1.2.17.00.01.039.01.06.21.3</t>
  </si>
  <si>
    <t>Gr Aves-Cortes Primários-Embalar e Pesar Dorso-3°T</t>
  </si>
  <si>
    <t>47.0284.1.2.17.00.01.039.01.06.31.1</t>
  </si>
  <si>
    <t>Gr Aves-Cortes Primários-Embalar Produtos-1°T</t>
  </si>
  <si>
    <t>47.0284.1.2.17.00.01.039.01.06.31.2</t>
  </si>
  <si>
    <t>Gr Aves-Cortes Primários-Embalar Produtos-2°T</t>
  </si>
  <si>
    <t>47.0284.1.2.17.00.01.039.01.06.31.3</t>
  </si>
  <si>
    <t>Gr Aves-Cortes Primários-Embalar Produtos-3°T</t>
  </si>
  <si>
    <t>47.0284.1.2.17.00.01.039.01.06.18.1</t>
  </si>
  <si>
    <t>Gr Aves-Cortes Primários-Inspeção de Ossos-1°T</t>
  </si>
  <si>
    <t>47.0284.1.2.17.00.01.039.01.06.18.2</t>
  </si>
  <si>
    <t>Gr Aves-Cortes Primários-Inspeção de Ossos-2°T</t>
  </si>
  <si>
    <t>47.0284.1.2.17.00.01.039.01.06.18.3</t>
  </si>
  <si>
    <t>Gr Aves-Cortes Primários-Inspeção de Ossos-3°T</t>
  </si>
  <si>
    <t>47.0284.1.2.17.00.01.039.01.06.26.3</t>
  </si>
  <si>
    <t>Gr Aves-Cortes Primários-Limpar Setor-3°T</t>
  </si>
  <si>
    <t>47.0284.1.2.17.00.01.039.01.06.26.1</t>
  </si>
  <si>
    <t>Gr Aves-Cortes Primários-Limpeza de Setor-1°T</t>
  </si>
  <si>
    <t>47.0284.1.2.17.00.01.039.01.06.26.2</t>
  </si>
  <si>
    <t>Gr Aves-Cortes Primários-Limpeza de Setor-2°T</t>
  </si>
  <si>
    <t>47.0284.1.2.17.00.01.039.01.06.24.1</t>
  </si>
  <si>
    <t>Gr Aves-Cortes Primários-Monitor-1°T</t>
  </si>
  <si>
    <t>47.0284.1.2.17.00.01.039.01.06.24.2</t>
  </si>
  <si>
    <t>Gr Aves-Cortes Primários-Monitor-2°T</t>
  </si>
  <si>
    <t>47.0284.1.2.17.00.01.039.01.06.17.1</t>
  </si>
  <si>
    <t>Gr Aves-Cortes Primários-Operar Máquina Corte-1°T</t>
  </si>
  <si>
    <t>47.0284.1.2.17.00.01.039.01.06.17.2</t>
  </si>
  <si>
    <t>Gr Aves-Cortes Primários-Operar Máquina Corte-2°T</t>
  </si>
  <si>
    <t>47.0284.1.2.17.00.01.039.01.06.17.3</t>
  </si>
  <si>
    <t>Gr Aves-Cortes Primários-Operar Máquina Corte-3°T</t>
  </si>
  <si>
    <t>47.0284.1.2.17.00.01.039.01.06.23.1</t>
  </si>
  <si>
    <t>Gr Aves-Cortes Primários-Operar Paleteira-1°T</t>
  </si>
  <si>
    <t>47.0284.1.2.17.00.01.039.01.06.23.2</t>
  </si>
  <si>
    <t>Gr Aves-Cortes Primários-Operar Paleteira-2°T</t>
  </si>
  <si>
    <t>47.0284.1.2.17.00.01.039.01.06.23.3</t>
  </si>
  <si>
    <t>Gr Aves-Cortes Primários-Operar Paleteira-3°T</t>
  </si>
  <si>
    <t>47.0284.1.2.17.00.01.039.01.06.20.1</t>
  </si>
  <si>
    <t>Gr Aves-Cortes Primários-Recolher/Transp Recortes-1°T</t>
  </si>
  <si>
    <t>47.0284.1.2.17.00.01.039.01.06.20.2</t>
  </si>
  <si>
    <t>Gr Aves-Cortes Primários-Recolher/Transp Recortes-2°T</t>
  </si>
  <si>
    <t>47.0284.1.2.17.00.01.039.01.06.20.3</t>
  </si>
  <si>
    <t>Gr Aves-Cortes Primários-Recolher/Transp Recortes-3°T</t>
  </si>
  <si>
    <t>47.0284.1.2.17.00.01.039.01.06.14.1</t>
  </si>
  <si>
    <t>Gr Aves-Cortes Primários-Rependura Nórea Automática-1°T</t>
  </si>
  <si>
    <t>47.0284.1.2.17.00.01.039.01.06.14.2</t>
  </si>
  <si>
    <t>Gr Aves-Cortes Primários-Rependura Nórea Automática-2°T</t>
  </si>
  <si>
    <t>47.0284.1.2.17.00.01.039.01.06.14.3</t>
  </si>
  <si>
    <t>Gr Aves-Cortes Primários-Rependura Nórea Automática-3°T</t>
  </si>
  <si>
    <t>47.0284.1.2.17.00.01.039.01.06.11.1</t>
  </si>
  <si>
    <t>Gr Aves-Cortes Primários-Retirar Asa Schawarma-1°T</t>
  </si>
  <si>
    <t>47.0284.1.2.17.00.01.039.01.06.11.2</t>
  </si>
  <si>
    <t>Gr Aves-Cortes Primários-Retirar Asa Schawarma-2°T</t>
  </si>
  <si>
    <t>47.0284.1.2.17.00.01.039.01.06.11.3</t>
  </si>
  <si>
    <t>Gr Aves-Cortes Primários-Retirar Asa Schawarma-3°T</t>
  </si>
  <si>
    <t>47.0284.1.2.17.00.01.039.01.06.06.1</t>
  </si>
  <si>
    <t>Gr Aves-Cortes Primários-Retirar Asas-1°T</t>
  </si>
  <si>
    <t>47.0284.1.2.17.00.01.039.01.06.06.2</t>
  </si>
  <si>
    <t>Gr Aves-Cortes Primários-Retirar Asas-2°T</t>
  </si>
  <si>
    <t>47.0284.1.2.17.00.01.039.01.06.06.3</t>
  </si>
  <si>
    <t>Gr Aves-Cortes Primários-Retirar Asas-3°T</t>
  </si>
  <si>
    <t>47.0284.1.2.17.00.01.039.01.06.09.1</t>
  </si>
  <si>
    <t>Gr Aves-Cortes Primários-Retirar Cartilagem do Peito-1°T</t>
  </si>
  <si>
    <t>47.0284.1.2.17.00.01.039.01.06.09.2</t>
  </si>
  <si>
    <t>Gr Aves-Cortes Primários-Retirar Cartilagem do Peito-2°T</t>
  </si>
  <si>
    <t>47.0284.1.2.17.00.01.039.01.06.09.3</t>
  </si>
  <si>
    <t>Gr Aves-Cortes Primários-Retirar Cartilagem do Peito-3°T</t>
  </si>
  <si>
    <t>47.0284.1.2.17.00.01.039.01.06.15.1</t>
  </si>
  <si>
    <t>Gr Aves-Cortes Primários-Retirar Gordura-1°T</t>
  </si>
  <si>
    <t>47.0284.1.2.17.00.01.039.01.06.15.2</t>
  </si>
  <si>
    <t>Gr Aves-Cortes Primários-Retirar Gordura-2°T</t>
  </si>
  <si>
    <t>47.0284.1.2.17.00.01.039.01.06.15.3</t>
  </si>
  <si>
    <t>Gr Aves-Cortes Primários-Retirar Gordura-3°T</t>
  </si>
  <si>
    <t>47.0284.1.2.17.00.01.039.01.06.07.1</t>
  </si>
  <si>
    <t>Gr Aves-Cortes Primários-Retirar Peito-1°T</t>
  </si>
  <si>
    <t>47.0284.1.2.17.00.01.039.01.06.07.2</t>
  </si>
  <si>
    <t>Gr Aves-Cortes Primários-Retirar Peito-2°T</t>
  </si>
  <si>
    <t>47.0284.1.2.17.00.01.039.01.06.07.3</t>
  </si>
  <si>
    <t>Gr Aves-Cortes Primários-Retirar Peito-3°T</t>
  </si>
  <si>
    <t>47.0284.1.2.17.00.01.039.01.06.10.1</t>
  </si>
  <si>
    <t>Gr Aves-Cortes Primários-Retirar Pele do Peito-1°T</t>
  </si>
  <si>
    <t>47.0284.1.2.17.00.01.039.01.06.10.2</t>
  </si>
  <si>
    <t>Gr Aves-Cortes Primários-Retirar Pele do Peito-2°T</t>
  </si>
  <si>
    <t>47.0284.1.2.17.00.01.039.01.06.10.3</t>
  </si>
  <si>
    <t>Gr Aves-Cortes Primários-Retirar Pele do Peito-3°T</t>
  </si>
  <si>
    <t>47.0284.1.2.17.00.01.039.01.06.04.1</t>
  </si>
  <si>
    <t>Gr Aves-Cortes Primários-Retirar Pernas-1°T</t>
  </si>
  <si>
    <t>47.0284.1.2.17.00.01.039.01.06.04.2</t>
  </si>
  <si>
    <t>Gr Aves-Cortes Primários-Retirar Pernas-2°T</t>
  </si>
  <si>
    <t>47.0284.1.2.17.00.01.039.01.06.04.3</t>
  </si>
  <si>
    <t>Gr Aves-Cortes Primários-Retirar Pernas-3°T</t>
  </si>
  <si>
    <t>47.0284.1.2.17.00.01.039.01.06.03.1</t>
  </si>
  <si>
    <t>Gr Aves-Cortes Primários-Riscar e Dobrar Pernas-1°T</t>
  </si>
  <si>
    <t>47.0284.1.2.17.00.01.039.01.06.03.2</t>
  </si>
  <si>
    <t>Gr Aves-Cortes Primários-Riscar e Dobrar Pernas-2°T</t>
  </si>
  <si>
    <t>47.0284.1.2.17.00.01.039.01.06.03.3</t>
  </si>
  <si>
    <t>Gr Aves-Cortes Primários-Riscar e Dobrar Pernas-3°T</t>
  </si>
  <si>
    <t>47.0284.1.2.17.00.01.039.01.06.08.1</t>
  </si>
  <si>
    <t>Gr Aves-Cortes Primários-Riscar/Retirar Sassami-1°T</t>
  </si>
  <si>
    <t>47.0284.1.2.17.00.01.039.01.06.08.2</t>
  </si>
  <si>
    <t>Gr Aves-Cortes Primários-Riscar/Retirar Sassami-2°T</t>
  </si>
  <si>
    <t>47.0284.1.2.17.00.01.039.01.06.08.3</t>
  </si>
  <si>
    <t>Gr Aves-Cortes Primários-Riscar/Retirar Sassami-3°T</t>
  </si>
  <si>
    <t>47.0284.1.2.17.00.01.039.01.06.28.1</t>
  </si>
  <si>
    <t>Gr Aves-Cortes Primários-Temperados-1°T</t>
  </si>
  <si>
    <t>47.0284.1.2.17.00.01.039.01.06.28.2</t>
  </si>
  <si>
    <t>Gr Aves-Cortes Primários-Temperados-2°T</t>
  </si>
  <si>
    <t>47.0284.1.2.17.00.01.039.01.06.28.3</t>
  </si>
  <si>
    <t>Gr Aves-Cortes Primários-Temperados-3°T</t>
  </si>
  <si>
    <t>47.0284.1.2.17.00.01.039.01.06.25.1</t>
  </si>
  <si>
    <t>Gr Aves-Cortes Primários-Transportar-1°T</t>
  </si>
  <si>
    <t>47.0284.1.2.17.00.01.039.01.06.25.2</t>
  </si>
  <si>
    <t>Gr Aves-Cortes Primários-Transportar-2°T</t>
  </si>
  <si>
    <t>47.0284.1.2.17.00.01.039.01.06.25.3</t>
  </si>
  <si>
    <t>Gr Aves-Cortes Primários-Transportar-3°T</t>
  </si>
  <si>
    <t>47.0284.1.2.17.00.01.039.01.02.08.1</t>
  </si>
  <si>
    <t>Gr Aves-Escald/Depen/Evisc-Abastecer Máq Sep Miúdos-1°T</t>
  </si>
  <si>
    <t>47.0284.1.2.17.00.01.039.01.02.08.2</t>
  </si>
  <si>
    <t>Gr Aves-Escald/Depen/Evisc-Abastecer Máq Sep Miúdos-2°T</t>
  </si>
  <si>
    <t>47.0284.1.2.17.00.01.039.01.02.08.3</t>
  </si>
  <si>
    <t>Gr Aves-Escald/Depen/Evisc-Abastecer Máq Sep Miúdos-3°T</t>
  </si>
  <si>
    <t>47.0284.1.2.17.00.01.039.01.02.21.3</t>
  </si>
  <si>
    <t>Gr Aves-Escald/Depen/Evisc-Controlador-3°T</t>
  </si>
  <si>
    <t>47.0284.1.2.17.00.01.039.01.02.19.1</t>
  </si>
  <si>
    <t>Gr Aves-Escald/Depen/Evisc-Cortes Condicionais Dif-1°T</t>
  </si>
  <si>
    <t>47.0284.1.2.17.00.01.039.01.02.19.2</t>
  </si>
  <si>
    <t>Gr Aves-Escald/Depen/Evisc-Cortes Condicionais Dif-2°T</t>
  </si>
  <si>
    <t>47.0284.1.2.17.00.01.039.01.02.19.3</t>
  </si>
  <si>
    <t>Gr Aves-Escald/Depen/Evisc-Cortes Condicionais Dif-3°T</t>
  </si>
  <si>
    <t>47.0284.1.2.17.00.01.039.01.02.25.1</t>
  </si>
  <si>
    <t>Gr Aves-Escald/Depen/Evisc-Escaldagem-1°T</t>
  </si>
  <si>
    <t>47.0284.1.2.17.00.01.039.01.02.25.2</t>
  </si>
  <si>
    <t>Gr Aves-Escald/Depen/Evisc-Escaldagem-2°T</t>
  </si>
  <si>
    <t>47.0284.1.2.17.00.01.039.01.02.25.3</t>
  </si>
  <si>
    <t>Gr Aves-Escald/Depen/Evisc-Escaldagem-3°T</t>
  </si>
  <si>
    <t>47.0284.1.2.17.00.01.039.01.02.26.1</t>
  </si>
  <si>
    <t>Gr Aves-Escald/Depen/Evisc-Evisceração-1°T</t>
  </si>
  <si>
    <t>47.0284.1.2.17.00.01.039.01.02.26.2</t>
  </si>
  <si>
    <t>Gr Aves-Escald/Depen/Evisc-Evisceração-2°T</t>
  </si>
  <si>
    <t>47.0284.1.2.17.00.01.039.01.02.26.3</t>
  </si>
  <si>
    <t>Gr Aves-Escald/Depen/Evisc-Evisceração-3°T</t>
  </si>
  <si>
    <t>47.0284.1.2.17.00.01.039.01.02.11.1</t>
  </si>
  <si>
    <t>Gr Aves-Escald/Depen/Evisc-Limpar Moela Rolos-1°T</t>
  </si>
  <si>
    <t>47.0284.1.2.17.00.01.039.01.02.11.2</t>
  </si>
  <si>
    <t>Gr Aves-Escald/Depen/Evisc-Limpar Moela Rolos-2°T</t>
  </si>
  <si>
    <t>47.0284.1.2.17.00.01.039.01.02.11.3</t>
  </si>
  <si>
    <t>Gr Aves-Escald/Depen/Evisc-Limpar Moela Rolos-3°T</t>
  </si>
  <si>
    <t>47.0284.1.2.17.00.01.039.01.02.23.3</t>
  </si>
  <si>
    <t>Gr Aves-Escald/Depen/Evisc-Limpar Setor-3°T</t>
  </si>
  <si>
    <t>47.0284.1.2.17.00.01.039.01.02.23.1</t>
  </si>
  <si>
    <t>Gr Aves-Escald/Depen/Evisc-Limpeza de Setor-1°T</t>
  </si>
  <si>
    <t>47.0284.1.2.17.00.01.039.01.02.23.2</t>
  </si>
  <si>
    <t>Gr Aves-Escald/Depen/Evisc-Limpeza de Setor-2°T</t>
  </si>
  <si>
    <t>47.0284.1.2.17.00.01.039.01.02.21.1</t>
  </si>
  <si>
    <t>Gr Aves-Escald/Depen/Evisc-Monitor-1°T</t>
  </si>
  <si>
    <t>47.0284.1.2.17.00.01.039.01.02.21.2</t>
  </si>
  <si>
    <t>Gr Aves-Escald/Depen/Evisc-Monitor-2°T</t>
  </si>
  <si>
    <t>47.0284.1.2.17.00.01.039.01.02.30.1</t>
  </si>
  <si>
    <t>Gr Aves-Escald/Depen/Evisc-Operador Autônomo-1°T</t>
  </si>
  <si>
    <t>47.0284.1.2.17.00.01.039.01.02.30.2</t>
  </si>
  <si>
    <t>Gr Aves-Escald/Depen/Evisc-Operador Autônomo-2°T</t>
  </si>
  <si>
    <t>47.0284.1.2.17.00.01.039.01.02.30.3</t>
  </si>
  <si>
    <t>Gr Aves-Escald/Depen/Evisc-Operador Autônomo-3°T</t>
  </si>
  <si>
    <t>47.0284.1.2.17.00.01.039.01.02.20.1</t>
  </si>
  <si>
    <t>Gr Aves-Escald/Depen/Evisc-Operar Chiller-1°T</t>
  </si>
  <si>
    <t>47.0284.1.2.17.00.01.039.01.02.20.2</t>
  </si>
  <si>
    <t>Gr Aves-Escald/Depen/Evisc-Operar Chiller-2°T</t>
  </si>
  <si>
    <t>47.0284.1.2.17.00.01.039.01.02.20.3</t>
  </si>
  <si>
    <t>Gr Aves-Escald/Depen/Evisc-Operar Chiller-3°T</t>
  </si>
  <si>
    <t>47.0284.1.2.17.00.01.039.01.02.01.1</t>
  </si>
  <si>
    <t>Gr Aves-Escald/Depen/Evisc-Operar Escalda/Depenadeira-1°T</t>
  </si>
  <si>
    <t>47.0284.1.2.17.00.01.039.01.02.01.2</t>
  </si>
  <si>
    <t>Gr Aves-Escald/Depen/Evisc-Operar Escalda/Depenadeira-2°T</t>
  </si>
  <si>
    <t>47.0284.1.2.17.00.01.039.01.02.01.3</t>
  </si>
  <si>
    <t>Gr Aves-Escald/Depen/Evisc-Operar Escalda/Depenadeira-3°T</t>
  </si>
  <si>
    <t>47.0284.1.2.17.00.01.039.01.02.04.2</t>
  </si>
  <si>
    <t>Gr Aves-Escald/Depen/Evisc-Operar Linha Evisceração-2°T</t>
  </si>
  <si>
    <t>47.0284.1.2.17.00.01.039.01.02.04.3</t>
  </si>
  <si>
    <t>Gr Aves-Escald/Depen/Evisc-Operar Linha Evisceração-3°T</t>
  </si>
  <si>
    <t>47.0284.1.2.17.00.01.039.01.02.13.1</t>
  </si>
  <si>
    <t>Gr Aves-Escald/Depen/Evisc-Operar Máquina Moela-1°T</t>
  </si>
  <si>
    <t>47.0284.1.2.17.00.01.039.01.02.13.2</t>
  </si>
  <si>
    <t>Gr Aves-Escald/Depen/Evisc-Operar Máquina Moela-2°T</t>
  </si>
  <si>
    <t>47.0284.1.2.17.00.01.039.01.02.13.3</t>
  </si>
  <si>
    <t>Gr Aves-Escald/Depen/Evisc-Operar Máquina Moela-3°T</t>
  </si>
  <si>
    <t>47.0284.1.2.17.00.01.039.01.02.05.1</t>
  </si>
  <si>
    <t>Gr Aves-Escald/Depen/Evisc-Repassar Evisceração-1°T</t>
  </si>
  <si>
    <t>47.0284.1.2.17.00.01.039.01.02.05.2</t>
  </si>
  <si>
    <t>Gr Aves-Escald/Depen/Evisc-Repassar Evisceração-2°T</t>
  </si>
  <si>
    <t>47.0284.1.2.17.00.01.039.01.02.05.3</t>
  </si>
  <si>
    <t>Gr Aves-Escald/Depen/Evisc-Repassar Evisceração-3°T</t>
  </si>
  <si>
    <t>47.0284.1.2.17.00.01.039.01.02.16.1</t>
  </si>
  <si>
    <t>Gr Aves-Escald/Depen/Evisc-RepassarTraqueia e Esofago-1°T</t>
  </si>
  <si>
    <t>47.0284.1.2.17.00.01.039.01.02.16.2</t>
  </si>
  <si>
    <t>Gr Aves-Escald/Depen/Evisc-RepassarTraqueia e Esofago-2°T</t>
  </si>
  <si>
    <t>47.0284.1.2.17.00.01.039.01.02.16.3</t>
  </si>
  <si>
    <t>Gr Aves-Escald/Depen/Evisc-RepassarTraqueia e Esofago-3°T</t>
  </si>
  <si>
    <t>47.0284.1.2.17.00.01.039.01.02.06.1</t>
  </si>
  <si>
    <t>Gr Aves-Escald/Depen/Evisc-Rependurar Carcaça-1°T</t>
  </si>
  <si>
    <t>47.0284.1.2.17.00.01.039.01.02.06.2</t>
  </si>
  <si>
    <t>Gr Aves-Escald/Depen/Evisc-Rependurar Carcaça-2°T</t>
  </si>
  <si>
    <t>47.0284.1.2.17.00.01.039.01.02.06.3</t>
  </si>
  <si>
    <t>Gr Aves-Escald/Depen/Evisc-Rependurar Carcaça-3°T</t>
  </si>
  <si>
    <t>47.0284.1.2.17.00.01.039.01.02.03.1</t>
  </si>
  <si>
    <t>Gr Aves-Escald/Depen/Evisc-RependurarFrangoTransferid-1°T</t>
  </si>
  <si>
    <t>47.0284.1.2.17.00.01.039.01.02.03.2</t>
  </si>
  <si>
    <t>Gr Aves-Escald/Depen/Evisc-RependurarFrangoTransferid-2°T</t>
  </si>
  <si>
    <t>47.0284.1.2.17.00.01.039.01.02.03.3</t>
  </si>
  <si>
    <t>Gr Aves-Escald/Depen/Evisc-RependurarFrangoTransferid-3°T</t>
  </si>
  <si>
    <t>47.0284.1.2.17.00.01.039.01.02.15.1</t>
  </si>
  <si>
    <t>Gr Aves-Escald/Depen/Evisc-Ret/Classificar Pescoço-1°T</t>
  </si>
  <si>
    <t>47.0284.1.2.17.00.01.039.01.02.15.3</t>
  </si>
  <si>
    <t>Gr Aves-Escald/Depen/Evisc-Ret/Classificar Pescoço-3°T</t>
  </si>
  <si>
    <t>47.0284.1.2.17.00.01.039.01.02.07.1</t>
  </si>
  <si>
    <t>Gr Aves-Escald/Depen/Evisc-Retirada de Miúdos-1°T</t>
  </si>
  <si>
    <t>47.0284.1.2.17.00.01.039.01.02.07.2</t>
  </si>
  <si>
    <t>Gr Aves-Escald/Depen/Evisc-Retirada de Miúdos-2°T</t>
  </si>
  <si>
    <t>47.0284.1.2.17.00.01.039.01.02.07.3</t>
  </si>
  <si>
    <t>Gr Aves-Escald/Depen/Evisc-Retirada de Miúdos-3°T</t>
  </si>
  <si>
    <t>47.0284.1.2.17.00.01.039.01.02.14.1</t>
  </si>
  <si>
    <t>Gr Aves-Escald/Depen/Evisc-Retirar Gordura-1°T</t>
  </si>
  <si>
    <t>47.0284.1.2.17.00.01.039.01.02.14.2</t>
  </si>
  <si>
    <t>Gr Aves-Escald/Depen/Evisc-Retirar Gordura-2°T</t>
  </si>
  <si>
    <t>47.0284.1.2.17.00.01.039.01.02.14.3</t>
  </si>
  <si>
    <t>Gr Aves-Escald/Depen/Evisc-Retirar Gordura-3°T</t>
  </si>
  <si>
    <t>47.0284.1.2.17.00.01.039.01.02.02.1</t>
  </si>
  <si>
    <t>Gr Aves-Escald/Depen/Evisc-Revisar Aves apóspenagem-1°T</t>
  </si>
  <si>
    <t>47.0284.1.2.17.00.01.039.01.02.02.2</t>
  </si>
  <si>
    <t>Gr Aves-Escald/Depen/Evisc-Revisar Aves apóspenagem-2°T</t>
  </si>
  <si>
    <t>47.0284.1.2.17.00.01.039.01.02.02.3</t>
  </si>
  <si>
    <t>Gr Aves-Escald/Depen/Evisc-Revisar Aves apóspenagem-3°T</t>
  </si>
  <si>
    <t>47.0284.1.2.17.00.01.039.01.02.17.1</t>
  </si>
  <si>
    <t>Gr Aves-Escald/Depen/Evisc-Revisar Frango PCC 2-1°T</t>
  </si>
  <si>
    <t>47.0284.1.2.17.00.01.039.01.02.17.2</t>
  </si>
  <si>
    <t>Gr Aves-Escald/Depen/Evisc-Revisar Frango PCC 2-2°T</t>
  </si>
  <si>
    <t>47.0284.1.2.17.00.01.039.01.02.17.3</t>
  </si>
  <si>
    <t>Gr Aves-Escald/Depen/Evisc-Revisar Frango PCC 2-3°T</t>
  </si>
  <si>
    <t>47.0284.1.2.17.00.01.039.01.02.12.1</t>
  </si>
  <si>
    <t>Gr Aves-Escald/Depen/Evisc-Revisar Moelas-1°T</t>
  </si>
  <si>
    <t>47.0284.1.2.17.00.01.039.01.02.12.2</t>
  </si>
  <si>
    <t>Gr Aves-Escald/Depen/Evisc-Revisar Moelas-2°T</t>
  </si>
  <si>
    <t>47.0284.1.2.17.00.01.039.01.02.12.3</t>
  </si>
  <si>
    <t>Gr Aves-Escald/Depen/Evisc-Revisar Moelas-3°T</t>
  </si>
  <si>
    <t>47.0284.1.2.17.00.01.039.01.02.10.1</t>
  </si>
  <si>
    <t>Gr Aves-Escald/Depen/Evisc-Separar Coracão-1°T</t>
  </si>
  <si>
    <t>47.0284.1.2.17.00.01.039.01.02.10.2</t>
  </si>
  <si>
    <t>Gr Aves-Escald/Depen/Evisc-Separar Coracão-2°T</t>
  </si>
  <si>
    <t>47.0284.1.2.17.00.01.039.01.02.10.3</t>
  </si>
  <si>
    <t>Gr Aves-Escald/Depen/Evisc-Separar Coracão-3°T</t>
  </si>
  <si>
    <t>47.0284.1.2.17.00.01.039.01.02.09.1</t>
  </si>
  <si>
    <t>Gr Aves-Escald/Depen/Evisc-Separar Fígado-1°T</t>
  </si>
  <si>
    <t>47.0284.1.2.17.00.01.039.01.02.09.2</t>
  </si>
  <si>
    <t>Gr Aves-Escald/Depen/Evisc-Separar Fígado-2°T</t>
  </si>
  <si>
    <t>47.0284.1.2.17.00.01.039.01.02.09.3</t>
  </si>
  <si>
    <t>Gr Aves-Escald/Depen/Evisc-Separar Fígado-3°T</t>
  </si>
  <si>
    <t>47.0284.1.2.17.00.01.039.01.02.18.1</t>
  </si>
  <si>
    <t>Gr Aves-Escald/Depen/Evisc-Toalete Carcaças PCC2-1°T</t>
  </si>
  <si>
    <t>47.0284.1.2.17.00.01.039.01.02.18.2</t>
  </si>
  <si>
    <t>Gr Aves-Escald/Depen/Evisc-Toalete Carcaças PCC2-2°T</t>
  </si>
  <si>
    <t>47.0284.1.2.17.00.01.039.01.02.18.3</t>
  </si>
  <si>
    <t>Gr Aves-Escald/Depen/Evisc-Toalete Carcaças PCC2-3°T</t>
  </si>
  <si>
    <t>47.0284.1.2.17.00.01.039.01.02.22.1</t>
  </si>
  <si>
    <t>Gr Aves-Escald/Depen/Evisc-Transportar-1°T</t>
  </si>
  <si>
    <t>47.0284.1.2.17.00.01.039.01.02.22.2</t>
  </si>
  <si>
    <t>Gr Aves-Escald/Depen/Evisc-Transportar-2°T</t>
  </si>
  <si>
    <t>47.0284.1.2.17.00.01.039.01.02.22.3</t>
  </si>
  <si>
    <t>Gr Aves-Escald/Depen/Evisc-Transportar-3°T</t>
  </si>
  <si>
    <t>47.0284.1.2.17.00.01.039.01.15.05.3</t>
  </si>
  <si>
    <t>Gr Aves-FFO-Controlador-3°T</t>
  </si>
  <si>
    <t>47.0284.1.2.17.00.01.039.01.15.03.1</t>
  </si>
  <si>
    <t>Gr Aves-FFO-Expedição de Farinha-1°T</t>
  </si>
  <si>
    <t>47.0284.1.2.17.00.01.039.01.15.03.2</t>
  </si>
  <si>
    <t>Gr Aves-FFO-Expedição de Farinha-2°T</t>
  </si>
  <si>
    <t>47.0284.1.2.17.00.01.039.01.15.03.3</t>
  </si>
  <si>
    <t>Gr Aves-FFO-Expedição de Farinha-3°T</t>
  </si>
  <si>
    <t>47.0284.1.2.17.00.01.039.01.15.04.1</t>
  </si>
  <si>
    <t>Gr Aves-FFO-ITO-1°T</t>
  </si>
  <si>
    <t>47.0284.1.2.17.00.01.039.01.15.04.2</t>
  </si>
  <si>
    <t>Gr Aves-FFO-ITO-2°T</t>
  </si>
  <si>
    <t>47.0284.1.2.17.00.01.039.01.15.04.3</t>
  </si>
  <si>
    <t>Gr Aves-FFO-ITO-3°T</t>
  </si>
  <si>
    <t>47.0284.1.2.17.00.01.039.01.15.05.1</t>
  </si>
  <si>
    <t>Gr Aves-FFO-Monitor-1°T</t>
  </si>
  <si>
    <t>47.0284.1.2.17.00.01.039.01.15.05.2</t>
  </si>
  <si>
    <t>Gr Aves-FFO-Monitor-2°T</t>
  </si>
  <si>
    <t>47.0284.1.2.17.00.01.039.01.15.02.1</t>
  </si>
  <si>
    <t>Gr Aves-FFO-Pós Processo-Operar Máq e Equipamentos-1°T</t>
  </si>
  <si>
    <t>47.0284.1.2.17.00.01.039.01.15.02.2</t>
  </si>
  <si>
    <t>Gr Aves-FFO-Pós Processo-Operar Máq e Equipamentos-2°T</t>
  </si>
  <si>
    <t>47.0284.1.2.17.00.01.039.01.15.02.3</t>
  </si>
  <si>
    <t>Gr Aves-FFO-Pós Processo-Operar Máq e Equipamentos-3°T</t>
  </si>
  <si>
    <t>47.0284.1.2.17.00.01.039.01.15.01.1</t>
  </si>
  <si>
    <t>Gr Aves-FFO-Pré Processo-Recebimento Matéria Prima-1°T</t>
  </si>
  <si>
    <t>47.0284.1.2.17.00.01.039.01.15.01.2</t>
  </si>
  <si>
    <t>Gr Aves-FFO-Pré Processo-Recebimento Matéria Prima-2°T</t>
  </si>
  <si>
    <t>47.0284.1.2.17.00.01.039.01.15.01.3</t>
  </si>
  <si>
    <t>Gr Aves-FFO-Pré Processo-Recebimento Matéria Prima-3°T</t>
  </si>
  <si>
    <t>47.0284.1.2.17.00.01.039.01.05.21.1</t>
  </si>
  <si>
    <t>Gr Aves-Frango Inteiro-Abastecer Seladora Grade B-1°T</t>
  </si>
  <si>
    <t>47.0284.1.2.17.00.01.039.01.05.21.2</t>
  </si>
  <si>
    <t>Gr Aves-Frango Inteiro-Abastecer Seladora Grade B-2°T</t>
  </si>
  <si>
    <t>47.0284.1.2.17.00.01.039.01.05.21.3</t>
  </si>
  <si>
    <t>Gr Aves-Frango Inteiro-Abastecer Seladora Grade B-3°T</t>
  </si>
  <si>
    <t>47.0284.1.2.17.00.01.039.01.05.08.1</t>
  </si>
  <si>
    <t>Gr Aves-Frango Inteiro-Alimentar Máq Pacotinho Miúdos-1°T</t>
  </si>
  <si>
    <t>47.0284.1.2.17.00.01.039.01.05.08.2</t>
  </si>
  <si>
    <t>Gr Aves-Frango Inteiro-Alimentar Máq Pacotinho Miúdos-2°T</t>
  </si>
  <si>
    <t>47.0284.1.2.17.00.01.039.01.05.08.3</t>
  </si>
  <si>
    <t>Gr Aves-Frango Inteiro-Alimentar Máq Pacotinho Miúdos-3°T</t>
  </si>
  <si>
    <t>47.0284.1.2.17.00.01.039.01.05.22.1</t>
  </si>
  <si>
    <t>Gr Aves-Frango Inteiro-Arrumar Pacotes na Caixa-1°T</t>
  </si>
  <si>
    <t>47.0284.1.2.17.00.01.039.01.05.22.2</t>
  </si>
  <si>
    <t>Gr Aves-Frango Inteiro-Arrumar Pacotes na Caixa-2°T</t>
  </si>
  <si>
    <t>47.0284.1.2.17.00.01.039.01.05.22.3</t>
  </si>
  <si>
    <t>Gr Aves-Frango Inteiro-Arrumar Pacotes na Caixa-3°T</t>
  </si>
  <si>
    <t>47.0284.1.2.17.00.01.039.01.05.04.1</t>
  </si>
  <si>
    <t>Gr Aves-Frango Inteiro-Colocar Frango na Caixa-1°T</t>
  </si>
  <si>
    <t>47.0284.1.2.17.00.01.039.01.05.04.2</t>
  </si>
  <si>
    <t>Gr Aves-Frango Inteiro-Colocar Frango na Caixa-2°T</t>
  </si>
  <si>
    <t>47.0284.1.2.17.00.01.039.01.05.04.3</t>
  </si>
  <si>
    <t>Gr Aves-Frango Inteiro-Colocar Frango na Caixa-3°T</t>
  </si>
  <si>
    <t>47.0284.1.2.17.00.01.039.01.05.11.1</t>
  </si>
  <si>
    <t>Gr Aves-Frango Inteiro-Colocar Rede-1°T</t>
  </si>
  <si>
    <t>47.0284.1.2.17.00.01.039.01.05.11.2</t>
  </si>
  <si>
    <t>Gr Aves-Frango Inteiro-Colocar Rede-2°T</t>
  </si>
  <si>
    <t>47.0284.1.2.17.00.01.039.01.05.11.3</t>
  </si>
  <si>
    <t>Gr Aves-Frango Inteiro-Colocar Rede-3°T</t>
  </si>
  <si>
    <t>47.0284.1.2.17.00.01.039.01.05.19.1</t>
  </si>
  <si>
    <t>Gr Aves-Frango Inteiro-Conferir Peso e Arrumar Pct Cx-1°T</t>
  </si>
  <si>
    <t>47.0284.1.2.17.00.01.039.01.05.19.2</t>
  </si>
  <si>
    <t>Gr Aves-Frango Inteiro-Conferir Peso e Arrumar Pct Cx-2°T</t>
  </si>
  <si>
    <t>47.0284.1.2.17.00.01.039.01.05.19.3</t>
  </si>
  <si>
    <t>Gr Aves-Frango Inteiro-Conferir Peso e Arrumar Pct Cx-3°T</t>
  </si>
  <si>
    <t>47.0284.1.2.17.00.01.039.01.05.25.3</t>
  </si>
  <si>
    <t>Gr Aves-Frango Inteiro-Controlador-3°T</t>
  </si>
  <si>
    <t>47.0284.1.2.17.00.01.039.01.05.20.1</t>
  </si>
  <si>
    <t>Gr Aves-Frango Inteiro-Embalar e Pesar Grade B-1°T</t>
  </si>
  <si>
    <t>47.0284.1.2.17.00.01.039.01.05.20.2</t>
  </si>
  <si>
    <t>Gr Aves-Frango Inteiro-Embalar e Pesar Grade B-2°T</t>
  </si>
  <si>
    <t>47.0284.1.2.17.00.01.039.01.05.20.3</t>
  </si>
  <si>
    <t>Gr Aves-Frango Inteiro-Embalar e Pesar Grade B-3°T</t>
  </si>
  <si>
    <t>47.0284.1.2.17.00.01.039.01.05.02.1</t>
  </si>
  <si>
    <t>Gr Aves-Frango Inteiro-Embalar Frango-1°T</t>
  </si>
  <si>
    <t>47.0284.1.2.17.00.01.039.01.05.02.2</t>
  </si>
  <si>
    <t>Gr Aves-Frango Inteiro-Embalar Frango-2°T</t>
  </si>
  <si>
    <t>47.0284.1.2.17.00.01.039.01.05.02.3</t>
  </si>
  <si>
    <t>Gr Aves-Frango Inteiro-Embalar Frango-3°T</t>
  </si>
  <si>
    <t>47.0284.1.2.17.00.01.039.01.05.09.1</t>
  </si>
  <si>
    <t>Gr Aves-Frango Inteiro-Inserir Pacotes de Miúdos-1°T</t>
  </si>
  <si>
    <t>47.0284.1.2.17.00.01.039.01.05.09.2</t>
  </si>
  <si>
    <t>Gr Aves-Frango Inteiro-Inserir Pacotes de Miúdos-2°T</t>
  </si>
  <si>
    <t>47.0284.1.2.17.00.01.039.01.05.09.3</t>
  </si>
  <si>
    <t>Gr Aves-Frango Inteiro-Inserir Pacotes de Miúdos-3°T</t>
  </si>
  <si>
    <t>47.0284.1.2.17.00.01.039.01.05.27.3</t>
  </si>
  <si>
    <t>Gr Aves-Frango Inteiro-Limpar Setor-3°T</t>
  </si>
  <si>
    <t>47.0284.1.2.17.00.01.039.01.05.27.1</t>
  </si>
  <si>
    <t>Gr Aves-Frango Inteiro-Limpeza de Setor-1°T</t>
  </si>
  <si>
    <t>47.0284.1.2.17.00.01.039.01.05.27.2</t>
  </si>
  <si>
    <t>Gr Aves-Frango Inteiro-Limpeza de Setor-2°T</t>
  </si>
  <si>
    <t>47.0284.1.2.17.00.01.039.01.05.25.1</t>
  </si>
  <si>
    <t>Gr Aves-Frango Inteiro-Monitor-1°T</t>
  </si>
  <si>
    <t>47.0284.1.2.17.00.01.039.01.05.25.2</t>
  </si>
  <si>
    <t>Gr Aves-Frango Inteiro-Monitor-2°T</t>
  </si>
  <si>
    <t>47.0284.1.2.17.00.01.039.01.05.07.1</t>
  </si>
  <si>
    <t>Gr Aves-Frango Inteiro-Operar Classificadora-1°T</t>
  </si>
  <si>
    <t>47.0284.1.2.17.00.01.039.01.05.07.2</t>
  </si>
  <si>
    <t>Gr Aves-Frango Inteiro-Operar Classificadora-2°T</t>
  </si>
  <si>
    <t>47.0284.1.2.17.00.01.039.01.05.07.3</t>
  </si>
  <si>
    <t>Gr Aves-Frango Inteiro-Operar Classificadora-3°T</t>
  </si>
  <si>
    <t>47.0284.1.2.17.00.01.039.01.05.24.1</t>
  </si>
  <si>
    <t>Gr Aves-Frango Inteiro-Operar Máquina Corte-1°T</t>
  </si>
  <si>
    <t>47.0284.1.2.17.00.01.039.01.05.24.2</t>
  </si>
  <si>
    <t>Gr Aves-Frango Inteiro-Operar Máquina Corte-2°T</t>
  </si>
  <si>
    <t>47.0284.1.2.17.00.01.039.01.05.24.3</t>
  </si>
  <si>
    <t>Gr Aves-Frango Inteiro-Operar Máquina Corte-3°T</t>
  </si>
  <si>
    <t>47.0284.1.2.17.00.01.039.01.05.23.1</t>
  </si>
  <si>
    <t>Gr Aves-Frango Inteiro-Operar Paleteira-1°T</t>
  </si>
  <si>
    <t>47.0284.1.2.17.00.01.039.01.05.23.2</t>
  </si>
  <si>
    <t>Gr Aves-Frango Inteiro-Operar Paleteira-2°T</t>
  </si>
  <si>
    <t>47.0284.1.2.17.00.01.039.01.05.23.3</t>
  </si>
  <si>
    <t>Gr Aves-Frango Inteiro-Operar Paleteira-3°T</t>
  </si>
  <si>
    <t>47.0284.1.2.17.00.01.039.01.05.05.1</t>
  </si>
  <si>
    <t>Gr Aves-Frango Inteiro-Pesar/Conferir-1°T</t>
  </si>
  <si>
    <t>47.0284.1.2.17.00.01.039.01.05.05.2</t>
  </si>
  <si>
    <t>Gr Aves-Frango Inteiro-Pesar/Conferir-2°T</t>
  </si>
  <si>
    <t>47.0284.1.2.17.00.01.039.01.05.05.3</t>
  </si>
  <si>
    <t>Gr Aves-Frango Inteiro-Pesar/Conferir-3°T</t>
  </si>
  <si>
    <t>47.0284.1.2.17.00.01.039.01.05.12.1</t>
  </si>
  <si>
    <t>Gr Aves-Frango Inteiro-Prepara Carcaça 9 Partes-1°T</t>
  </si>
  <si>
    <t>47.0284.1.2.17.00.01.039.01.05.12.2</t>
  </si>
  <si>
    <t>Gr Aves-Frango Inteiro-Prepara Carcaça 9 Partes-2°T</t>
  </si>
  <si>
    <t>47.0284.1.2.17.00.01.039.01.05.12.3</t>
  </si>
  <si>
    <t>Gr Aves-Frango Inteiro-Prepara Carcaça 9 Partes-3°T</t>
  </si>
  <si>
    <t>47.0284.1.2.17.00.01.039.01.05.01.1</t>
  </si>
  <si>
    <t>Gr Aves-Frango Inteiro-Rependurar Carcaça-1°T</t>
  </si>
  <si>
    <t>47.0284.1.2.17.00.01.039.01.05.01.2</t>
  </si>
  <si>
    <t>Gr Aves-Frango Inteiro-Rependurar Carcaça-2°T</t>
  </si>
  <si>
    <t>47.0284.1.2.17.00.01.039.01.05.01.3</t>
  </si>
  <si>
    <t>Gr Aves-Frango Inteiro-Rependurar Carcaça-3°T</t>
  </si>
  <si>
    <t>47.0284.1.2.17.00.01.039.01.05.13.1</t>
  </si>
  <si>
    <t>Gr Aves-Frango Inteiro-Rependurar Máquina de Corte-1°T</t>
  </si>
  <si>
    <t>47.0284.1.2.17.00.01.039.01.05.13.2</t>
  </si>
  <si>
    <t>Gr Aves-Frango Inteiro-Rependurar Máquina de Corte-2°T</t>
  </si>
  <si>
    <t>47.0284.1.2.17.00.01.039.01.05.13.3</t>
  </si>
  <si>
    <t>Gr Aves-Frango Inteiro-Rependurar Máquina de Corte-3°T</t>
  </si>
  <si>
    <t>47.0284.1.2.17.00.01.039.01.05.10.1</t>
  </si>
  <si>
    <t>Gr Aves-Frango Inteiro-Retirar Glândula-1°T</t>
  </si>
  <si>
    <t>47.0284.1.2.17.00.01.039.01.05.10.2</t>
  </si>
  <si>
    <t>Gr Aves-Frango Inteiro-Retirar Glândula-2°T</t>
  </si>
  <si>
    <t>47.0284.1.2.17.00.01.039.01.05.10.3</t>
  </si>
  <si>
    <t>Gr Aves-Frango Inteiro-Retirar Glândula-3°T</t>
  </si>
  <si>
    <t>47.0284.1.2.17.00.01.039.01.05.16.1</t>
  </si>
  <si>
    <t>Gr Aves-Frango Inteiro-Revisão Corte da Asa-1°T</t>
  </si>
  <si>
    <t>47.0284.1.2.17.00.01.039.01.05.16.2</t>
  </si>
  <si>
    <t>Gr Aves-Frango Inteiro-Revisão Corte da Asa-2°T</t>
  </si>
  <si>
    <t>47.0284.1.2.17.00.01.039.01.05.16.3</t>
  </si>
  <si>
    <t>Gr Aves-Frango Inteiro-Revisão Corte da Asa-3°T</t>
  </si>
  <si>
    <t>47.0284.1.2.17.00.01.039.01.05.15.1</t>
  </si>
  <si>
    <t>Gr Aves-Frango Inteiro-Revisão Corte Peito e Costela-1°T</t>
  </si>
  <si>
    <t>47.0284.1.2.17.00.01.039.01.05.15.2</t>
  </si>
  <si>
    <t>Gr Aves-Frango Inteiro-Revisão Corte Peito e Costela-2°T</t>
  </si>
  <si>
    <t>47.0284.1.2.17.00.01.039.01.05.15.3</t>
  </si>
  <si>
    <t>Gr Aves-Frango Inteiro-Revisão Corte Peito e Costela-3°T</t>
  </si>
  <si>
    <t>47.0284.1.2.17.00.01.039.01.05.14.1</t>
  </si>
  <si>
    <t>Gr Aves-Frango Inteiro-Revisão Corte Ponta do Peito-1°T</t>
  </si>
  <si>
    <t>47.0284.1.2.17.00.01.039.01.05.14.2</t>
  </si>
  <si>
    <t>Gr Aves-Frango Inteiro-Revisão Corte Ponta do Peito-2°T</t>
  </si>
  <si>
    <t>47.0284.1.2.17.00.01.039.01.05.14.3</t>
  </si>
  <si>
    <t>Gr Aves-Frango Inteiro-Revisão Corte Ponta do Peito-3°T</t>
  </si>
  <si>
    <t>47.0284.1.2.17.00.01.039.01.05.17.1</t>
  </si>
  <si>
    <t>Gr Aves-Frango Inteiro-Revisão da Coxa-1°T</t>
  </si>
  <si>
    <t>47.0284.1.2.17.00.01.039.01.05.17.2</t>
  </si>
  <si>
    <t>Gr Aves-Frango Inteiro-Revisão da Coxa-2°T</t>
  </si>
  <si>
    <t>47.0284.1.2.17.00.01.039.01.05.17.3</t>
  </si>
  <si>
    <t>Gr Aves-Frango Inteiro-Revisão da Coxa-3°T</t>
  </si>
  <si>
    <t>47.0284.1.2.17.00.01.039.01.05.18.1</t>
  </si>
  <si>
    <t>Gr Aves-Frango Inteiro-Revisão da Sobrecoxa-1°T</t>
  </si>
  <si>
    <t>47.0284.1.2.17.00.01.039.01.05.18.2</t>
  </si>
  <si>
    <t>Gr Aves-Frango Inteiro-Revisão da Sobrecoxa-2°T</t>
  </si>
  <si>
    <t>47.0284.1.2.17.00.01.039.01.05.18.3</t>
  </si>
  <si>
    <t>Gr Aves-Frango Inteiro-Revisão da Sobrecoxa-3°T</t>
  </si>
  <si>
    <t>47.0284.1.2.17.00.01.039.01.05.06.1</t>
  </si>
  <si>
    <t>Gr Aves-Frango Inteiro-Revisão de Carcaça-1°T</t>
  </si>
  <si>
    <t>47.0284.1.2.17.00.01.039.01.05.06.2</t>
  </si>
  <si>
    <t>Gr Aves-Frango Inteiro-Revisão de Carcaça-2°T</t>
  </si>
  <si>
    <t>47.0284.1.2.17.00.01.039.01.05.06.3</t>
  </si>
  <si>
    <t>Gr Aves-Frango Inteiro-Revisão de Carcaça-3°T</t>
  </si>
  <si>
    <t>47.0284.1.2.17.00.01.039.01.05.03.1</t>
  </si>
  <si>
    <t>Gr Aves-Frango Inteiro-Selar Frango-1°T</t>
  </si>
  <si>
    <t>47.0284.1.2.17.00.01.039.01.05.03.2</t>
  </si>
  <si>
    <t>Gr Aves-Frango Inteiro-Selar Frango-2°T</t>
  </si>
  <si>
    <t>47.0284.1.2.17.00.01.039.01.05.03.3</t>
  </si>
  <si>
    <t>Gr Aves-Frango Inteiro-Selar Frango-3°T</t>
  </si>
  <si>
    <t>47.0284.1.2.17.00.01.039.01.05.29.1</t>
  </si>
  <si>
    <t>Gr Aves-Frango Inteiro-Temperados-1°T</t>
  </si>
  <si>
    <t>47.0284.1.2.17.00.01.039.01.05.29.2</t>
  </si>
  <si>
    <t>Gr Aves-Frango Inteiro-Temperados-2°T</t>
  </si>
  <si>
    <t>47.0284.1.2.17.00.01.039.01.05.29.3</t>
  </si>
  <si>
    <t>Gr Aves-Frango Inteiro-Temperados-3°T</t>
  </si>
  <si>
    <t>47.0284.1.2.17.00.01.039.01.05.26.1</t>
  </si>
  <si>
    <t>Gr Aves-Frango Inteiro-Transportar-1°T</t>
  </si>
  <si>
    <t>47.0284.1.2.17.00.01.039.01.05.26.2</t>
  </si>
  <si>
    <t>Gr Aves-Frango Inteiro-Transportar-2°T</t>
  </si>
  <si>
    <t>47.0284.1.2.17.00.01.039.01.05.26.3</t>
  </si>
  <si>
    <t>Gr Aves-Frango Inteiro-Transportar-3°T</t>
  </si>
  <si>
    <t>47.0284.1.2.17.00.01.039.01.14.03.1</t>
  </si>
  <si>
    <t>Gr Aves-Higienização-Higienização Geral-1°T</t>
  </si>
  <si>
    <t>47.0284.1.2.17.00.01.039.01.14.03.2</t>
  </si>
  <si>
    <t>Gr Aves-Higienização-Higienização Geral-2°T</t>
  </si>
  <si>
    <t>47.0284.1.2.17.00.01.039.01.14.03.3</t>
  </si>
  <si>
    <t>Gr Aves-Higienização-Higienização Geral-3°T</t>
  </si>
  <si>
    <t>47.0284.1.2.17.00.01.039.01.14.04.1</t>
  </si>
  <si>
    <t>Gr Aves-Higienização-ITO-1°T</t>
  </si>
  <si>
    <t>47.0284.1.2.17.00.01.039.01.14.04.2</t>
  </si>
  <si>
    <t>Gr Aves-Higienização-ITO-2°T</t>
  </si>
  <si>
    <t>47.0284.1.2.17.00.01.039.01.14.04.3</t>
  </si>
  <si>
    <t>Gr Aves-Higienização-ITO-3°T</t>
  </si>
  <si>
    <t>47.0284.1.2.17.00.01.039.01.14.06.1</t>
  </si>
  <si>
    <t>Gr Aves-Higienização-Monitor-1°T</t>
  </si>
  <si>
    <t>47.0284.1.2.17.00.01.039.01.14.06.2</t>
  </si>
  <si>
    <t>Gr Aves-Higienização-Monitor-2°T</t>
  </si>
  <si>
    <t>47.0284.1.2.17.00.01.039.01.14.06.3</t>
  </si>
  <si>
    <t>Gr Aves-Higienização-Monitor-3°T</t>
  </si>
  <si>
    <t>47.0284.1.2.17.00.01.039.01.14.02.1</t>
  </si>
  <si>
    <t>Gr Aves-Higienização-Operar Equip. de Higienização-1°T</t>
  </si>
  <si>
    <t>47.0284.1.2.17.00.01.039.01.14.02.2</t>
  </si>
  <si>
    <t>Gr Aves-Higienização-Operar Equip. de Higienização-2°T</t>
  </si>
  <si>
    <t>47.0284.1.2.17.00.01.039.01.14.02.3</t>
  </si>
  <si>
    <t>Gr Aves-Higienização-Operar Equip. de Higienização-3°T</t>
  </si>
  <si>
    <t>47.0284.1.2.17.00.01.039.01.14.05.1</t>
  </si>
  <si>
    <t>Gr Aves-Higienização-Pré Operacional-1°T</t>
  </si>
  <si>
    <t>47.0284.1.2.17.00.01.039.01.14.05.2</t>
  </si>
  <si>
    <t>Gr Aves-Higienização-Pré Operacional-2°T</t>
  </si>
  <si>
    <t>47.0284.1.2.17.00.01.039.01.14.05.3</t>
  </si>
  <si>
    <t>Gr Aves-Higienização-Pré Operacional-3°T</t>
  </si>
  <si>
    <t>47.0284.1.2.17.00.01.039.01.14.01.1</t>
  </si>
  <si>
    <t>Gr Aves-Higienização-Preparação Produtos Quimicos-1°T</t>
  </si>
  <si>
    <t>47.0284.1.2.17.00.01.039.01.14.01.2</t>
  </si>
  <si>
    <t>Gr Aves-Higienização-Preparação Produtos Quimicos-2°T</t>
  </si>
  <si>
    <t>47.0284.1.2.17.00.01.039.01.14.01.3</t>
  </si>
  <si>
    <t>Gr Aves-Higienização-Preparação Produtos Quimicos-3°T</t>
  </si>
  <si>
    <t>47.0284.1.2.17.00.01.039.01.04.15.1</t>
  </si>
  <si>
    <t>Gr Aves-Miúdos-Classificação de Sambiquira-1°T</t>
  </si>
  <si>
    <t>47.0284.1.2.17.00.01.039.01.04.15.2</t>
  </si>
  <si>
    <t>Gr Aves-Miúdos-Classificação de Sambiquira-2°T</t>
  </si>
  <si>
    <t>47.0284.1.2.17.00.01.039.01.04.15.3</t>
  </si>
  <si>
    <t>Gr Aves-Miúdos-Classificação de Sambiquira-3°T</t>
  </si>
  <si>
    <t>47.0284.1.2.17.00.01.039.01.04.03.1</t>
  </si>
  <si>
    <t>Gr Aves-Miúdos-Classificar Canela-1°T</t>
  </si>
  <si>
    <t>47.0284.1.2.17.00.01.039.01.04.03.2</t>
  </si>
  <si>
    <t>Gr Aves-Miúdos-Classificar Canela-2°T</t>
  </si>
  <si>
    <t>47.0284.1.2.17.00.01.039.01.04.03.3</t>
  </si>
  <si>
    <t>Gr Aves-Miúdos-Classificar Canela-3°T</t>
  </si>
  <si>
    <t>47.0284.1.2.17.00.01.039.01.04.05.1</t>
  </si>
  <si>
    <t>Gr Aves-Miúdos-Classificar Miúdos-1°T</t>
  </si>
  <si>
    <t>47.0284.1.2.17.00.01.039.01.04.05.2</t>
  </si>
  <si>
    <t>Gr Aves-Miúdos-Classificar Miúdos-2°T</t>
  </si>
  <si>
    <t>47.0284.1.2.17.00.01.039.01.04.05.3</t>
  </si>
  <si>
    <t>Gr Aves-Miúdos-Classificar Miúdos-3°T</t>
  </si>
  <si>
    <t>47.0284.1.2.17.00.01.039.01.04.01.1</t>
  </si>
  <si>
    <t>Gr Aves-Miúdos-Classificar Pés-1°T</t>
  </si>
  <si>
    <t>47.0284.1.2.17.00.01.039.01.04.01.2</t>
  </si>
  <si>
    <t>Gr Aves-Miúdos-Classificar Pés-2°T</t>
  </si>
  <si>
    <t>47.0284.1.2.17.00.01.039.01.04.01.3</t>
  </si>
  <si>
    <t>Gr Aves-Miúdos-Classificar Pés-3°T</t>
  </si>
  <si>
    <t>47.0284.1.2.17.00.01.039.01.04.04.1</t>
  </si>
  <si>
    <t>Gr Aves-Miúdos-Embalar Canela-1°T</t>
  </si>
  <si>
    <t>47.0284.1.2.17.00.01.039.01.04.04.2</t>
  </si>
  <si>
    <t>Gr Aves-Miúdos-Embalar Canela-2°T</t>
  </si>
  <si>
    <t>47.0284.1.2.17.00.01.039.01.04.04.3</t>
  </si>
  <si>
    <t>Gr Aves-Miúdos-Embalar Canela-3°T</t>
  </si>
  <si>
    <t>47.0284.1.2.17.00.01.039.01.04.26.1</t>
  </si>
  <si>
    <t>Gr Aves-Miúdos-Embalar Miúdos-1°T</t>
  </si>
  <si>
    <t>47.0284.1.2.17.00.01.039.01.04.26.2</t>
  </si>
  <si>
    <t>Gr Aves-Miúdos-Embalar Miúdos-2°T</t>
  </si>
  <si>
    <t>47.0284.1.2.17.00.01.039.01.04.26.3</t>
  </si>
  <si>
    <t>Gr Aves-Miúdos-Embalar Miúdos-3°T</t>
  </si>
  <si>
    <t>47.0284.1.2.17.00.01.039.01.04.02.1</t>
  </si>
  <si>
    <t>Gr Aves-Miúdos-Embalar Pés-1°T</t>
  </si>
  <si>
    <t>47.0284.1.2.17.00.01.039.01.04.02.2</t>
  </si>
  <si>
    <t>Gr Aves-Miúdos-Embalar Pés-2°T</t>
  </si>
  <si>
    <t>47.0284.1.2.17.00.01.039.01.04.02.3</t>
  </si>
  <si>
    <t>Gr Aves-Miúdos-Embalar Pés-3°T</t>
  </si>
  <si>
    <t>47.0284.1.2.17.00.01.039.01.04.08.1</t>
  </si>
  <si>
    <t>Gr Aves-Miúdos-Embalar/Pesar Coração-1°T</t>
  </si>
  <si>
    <t>47.0284.1.2.17.00.01.039.01.04.08.2</t>
  </si>
  <si>
    <t>Gr Aves-Miúdos-Embalar/Pesar Coração-2°T</t>
  </si>
  <si>
    <t>47.0284.1.2.17.00.01.039.01.04.08.3</t>
  </si>
  <si>
    <t>Gr Aves-Miúdos-Embalar/Pesar Coração-3°T</t>
  </si>
  <si>
    <t>47.0284.1.2.17.00.01.039.01.04.12.1</t>
  </si>
  <si>
    <t>Gr Aves-Miúdos-Embalar/Pesar Fígado-1°T</t>
  </si>
  <si>
    <t>47.0284.1.2.17.00.01.039.01.04.12.2</t>
  </si>
  <si>
    <t>Gr Aves-Miúdos-Embalar/Pesar Fígado-2°T</t>
  </si>
  <si>
    <t>47.0284.1.2.17.00.01.039.01.04.12.3</t>
  </si>
  <si>
    <t>Gr Aves-Miúdos-Embalar/Pesar Fígado-3°T</t>
  </si>
  <si>
    <t>47.0284.1.2.17.00.01.039.01.04.14.1</t>
  </si>
  <si>
    <t>Gr Aves-Miúdos-Embalar/Pesar Gordura-1°T</t>
  </si>
  <si>
    <t>47.0284.1.2.17.00.01.039.01.04.14.2</t>
  </si>
  <si>
    <t>Gr Aves-Miúdos-Embalar/Pesar Gordura-2°T</t>
  </si>
  <si>
    <t>47.0284.1.2.17.00.01.039.01.04.14.3</t>
  </si>
  <si>
    <t>Gr Aves-Miúdos-Embalar/Pesar Gordura-3°T</t>
  </si>
  <si>
    <t>47.0284.1.2.17.00.01.039.01.04.10.1</t>
  </si>
  <si>
    <t>Gr Aves-Miúdos-Embalar/Pesar Moela-1°T</t>
  </si>
  <si>
    <t>47.0284.1.2.17.00.01.039.01.04.10.2</t>
  </si>
  <si>
    <t>Gr Aves-Miúdos-Embalar/Pesar Moela-2°T</t>
  </si>
  <si>
    <t>47.0284.1.2.17.00.01.039.01.04.10.3</t>
  </si>
  <si>
    <t>Gr Aves-Miúdos-Embalar/Pesar Moela-3°T</t>
  </si>
  <si>
    <t>47.0284.1.2.17.00.01.039.01.04.17.1</t>
  </si>
  <si>
    <t>Gr Aves-Miúdos-Embalar/Pesar Pescoço-1°T</t>
  </si>
  <si>
    <t>47.0284.1.2.17.00.01.039.01.04.17.2</t>
  </si>
  <si>
    <t>Gr Aves-Miúdos-Embalar/Pesar Pescoço-2°T</t>
  </si>
  <si>
    <t>47.0284.1.2.17.00.01.039.01.04.17.3</t>
  </si>
  <si>
    <t>Gr Aves-Miúdos-Embalar/Pesar Pescoço-3°T</t>
  </si>
  <si>
    <t>47.0284.1.2.17.00.01.039.01.04.16.1</t>
  </si>
  <si>
    <t>Gr Aves-Miúdos-Embalar/Pesar Sambiquira-1°T</t>
  </si>
  <si>
    <t>47.0284.1.2.17.00.01.039.01.04.16.2</t>
  </si>
  <si>
    <t>Gr Aves-Miúdos-Embalar/Pesar Sambiquira-2°T</t>
  </si>
  <si>
    <t>47.0284.1.2.17.00.01.039.01.04.16.3</t>
  </si>
  <si>
    <t>Gr Aves-Miúdos-Embalar/Pesar Sambiquira-3°T</t>
  </si>
  <si>
    <t>47.0284.1.2.17.00.01.039.01.04.24.3</t>
  </si>
  <si>
    <t>Gr Aves-Miúdos-Limpar Setor-3°T</t>
  </si>
  <si>
    <t>47.0284.1.2.17.00.01.039.01.04.24.1</t>
  </si>
  <si>
    <t>Gr Aves-Miúdos-Limpeza de Setor-1°T</t>
  </si>
  <si>
    <t>47.0284.1.2.17.00.01.039.01.04.24.2</t>
  </si>
  <si>
    <t>Gr Aves-Miúdos-Limpeza de Setor-2°T</t>
  </si>
  <si>
    <t>47.0284.1.2.17.00.01.039.01.04.22.1</t>
  </si>
  <si>
    <t>Gr Aves-Miúdos-Monitor-1°T</t>
  </si>
  <si>
    <t>47.0284.1.2.17.00.01.039.01.04.22.2</t>
  </si>
  <si>
    <t>Gr Aves-Miúdos-Monitor-2°T</t>
  </si>
  <si>
    <t>47.0284.1.2.17.00.01.039.01.04.22.3</t>
  </si>
  <si>
    <t>Gr Aves-Miúdos-Monitor-3°T</t>
  </si>
  <si>
    <t>47.0284.1.2.17.00.01.039.01.04.21.1</t>
  </si>
  <si>
    <t>Gr Aves-Miúdos-Operar Chiller-1°T</t>
  </si>
  <si>
    <t>47.0284.1.2.17.00.01.039.01.04.21.2</t>
  </si>
  <si>
    <t>Gr Aves-Miúdos-Operar Chiller-2°T</t>
  </si>
  <si>
    <t>47.0284.1.2.17.00.01.039.01.04.21.3</t>
  </si>
  <si>
    <t>Gr Aves-Miúdos-Operar Chiller-3°T</t>
  </si>
  <si>
    <t>47.0284.1.2.17.00.01.039.01.04.20.1</t>
  </si>
  <si>
    <t>Gr Aves-Miúdos-Operar Máquina Bandeja-1°T</t>
  </si>
  <si>
    <t>47.0284.1.2.17.00.01.039.01.04.20.2</t>
  </si>
  <si>
    <t>Gr Aves-Miúdos-Operar Máquina Bandeja-2°T</t>
  </si>
  <si>
    <t>47.0284.1.2.17.00.01.039.01.04.20.3</t>
  </si>
  <si>
    <t>Gr Aves-Miúdos-Operar Máquina Bandeja-3°T</t>
  </si>
  <si>
    <t>47.0284.1.2.17.00.01.039.01.04.19.1</t>
  </si>
  <si>
    <t>Gr Aves-Miúdos-Operar Paleteira-1°T</t>
  </si>
  <si>
    <t>47.0284.1.2.17.00.01.039.01.04.19.2</t>
  </si>
  <si>
    <t>Gr Aves-Miúdos-Operar Paleteira-2°T</t>
  </si>
  <si>
    <t>47.0284.1.2.17.00.01.039.01.04.19.3</t>
  </si>
  <si>
    <t>Gr Aves-Miúdos-Operar Paleteira-3°T</t>
  </si>
  <si>
    <t>47.0284.1.2.17.00.01.039.01.04.07.1</t>
  </si>
  <si>
    <t>Gr Aves-Miúdos-Pesar e Selar Pés-1°T</t>
  </si>
  <si>
    <t>47.0284.1.2.17.00.01.039.01.04.07.2</t>
  </si>
  <si>
    <t>Gr Aves-Miúdos-Pesar e Selar Pés-2°T</t>
  </si>
  <si>
    <t>47.0284.1.2.17.00.01.039.01.04.07.3</t>
  </si>
  <si>
    <t>Gr Aves-Miúdos-Pesar e Selar Pés-3°T</t>
  </si>
  <si>
    <t>47.0284.1.2.17.00.01.039.01.04.06.1</t>
  </si>
  <si>
    <t>Gr Aves-Miúdos-Revisar Fígado-1°T</t>
  </si>
  <si>
    <t>47.0284.1.2.17.00.01.039.01.04.06.2</t>
  </si>
  <si>
    <t>Gr Aves-Miúdos-Revisar Fígado-2°T</t>
  </si>
  <si>
    <t>47.0284.1.2.17.00.01.039.01.04.06.3</t>
  </si>
  <si>
    <t>Gr Aves-Miúdos-Revisar Fígado-3°T</t>
  </si>
  <si>
    <t>47.0284.1.2.17.00.01.039.01.04.09.1</t>
  </si>
  <si>
    <t>Gr Aves-Miúdos-Selar Coração-1°T</t>
  </si>
  <si>
    <t>47.0284.1.2.17.00.01.039.01.04.09.2</t>
  </si>
  <si>
    <t>Gr Aves-Miúdos-Selar Coração-2°T</t>
  </si>
  <si>
    <t>47.0284.1.2.17.00.01.039.01.04.09.3</t>
  </si>
  <si>
    <t>Gr Aves-Miúdos-Selar Coração-3°T</t>
  </si>
  <si>
    <t>47.0284.1.2.17.00.01.039.01.04.13.1</t>
  </si>
  <si>
    <t>Gr Aves-Miúdos-Selar Fígado-1°T</t>
  </si>
  <si>
    <t>47.0284.1.2.17.00.01.039.01.04.13.2</t>
  </si>
  <si>
    <t>Gr Aves-Miúdos-Selar Fígado-2°T</t>
  </si>
  <si>
    <t>47.0284.1.2.17.00.01.039.01.04.13.3</t>
  </si>
  <si>
    <t>Gr Aves-Miúdos-Selar Fígado-3°T</t>
  </si>
  <si>
    <t>47.0284.1.2.17.00.01.039.01.04.11.1</t>
  </si>
  <si>
    <t>Gr Aves-Miúdos-Selar Moela-1°T</t>
  </si>
  <si>
    <t>47.0284.1.2.17.00.01.039.01.04.11.2</t>
  </si>
  <si>
    <t>Gr Aves-Miúdos-Selar Moela-2°T</t>
  </si>
  <si>
    <t>47.0284.1.2.17.00.01.039.01.04.11.3</t>
  </si>
  <si>
    <t>Gr Aves-Miúdos-Selar Moela-3°T</t>
  </si>
  <si>
    <t>47.0284.1.2.17.00.01.039.01.04.23.1</t>
  </si>
  <si>
    <t>Gr Aves-Miúdos-Transportar-1°T</t>
  </si>
  <si>
    <t>47.0284.1.2.17.00.01.039.01.04.23.2</t>
  </si>
  <si>
    <t>Gr Aves-Miúdos-Transportar-2°T</t>
  </si>
  <si>
    <t>47.0284.1.2.17.00.01.039.01.04.23.3</t>
  </si>
  <si>
    <t>Gr Aves-Miúdos-Transportar-3°T</t>
  </si>
  <si>
    <t>47.0284.1.2.17.00.01.039.01.04.18.1</t>
  </si>
  <si>
    <t>Gr Aves-Miúdos-Virar Produtos na Caixa-1°T</t>
  </si>
  <si>
    <t>47.0284.1.2.17.00.01.039.01.04.18.2</t>
  </si>
  <si>
    <t>Gr Aves-Miúdos-Virar Produtos na Caixa-2°T</t>
  </si>
  <si>
    <t>47.0284.1.2.17.00.01.039.01.04.18.3</t>
  </si>
  <si>
    <t>Gr Aves-Miúdos-Virar Produtos na Caixa-3°T</t>
  </si>
  <si>
    <t>47.0284.1.2.17.00.01.039.01.11.06.1</t>
  </si>
  <si>
    <t>Gr Aves-Montagem de Caixas-Abastecer Caixas-1°T</t>
  </si>
  <si>
    <t>47.0284.1.2.17.00.01.039.01.11.06.2</t>
  </si>
  <si>
    <t>Gr Aves-Montagem de Caixas-Abastecer Caixas-2°T</t>
  </si>
  <si>
    <t>47.0284.1.2.17.00.01.039.01.11.06.3</t>
  </si>
  <si>
    <t>Gr Aves-Montagem de Caixas-Abastecer Caixas-3°T</t>
  </si>
  <si>
    <t>47.0284.1.2.17.00.01.039.01.11.03.1</t>
  </si>
  <si>
    <t>Gr Aves-Montagem de Caixas-Carimbar Embalagens-1°T</t>
  </si>
  <si>
    <t>47.0284.1.2.17.00.01.039.01.11.03.2</t>
  </si>
  <si>
    <t>Gr Aves-Montagem de Caixas-Carimbar Embalagens-2°T</t>
  </si>
  <si>
    <t>47.0284.1.2.17.00.01.039.01.11.03.3</t>
  </si>
  <si>
    <t>Gr Aves-Montagem de Caixas-Carimbar Embalagens-3°T</t>
  </si>
  <si>
    <t>47.0284.1.2.17.00.01.039.01.11.04.1</t>
  </si>
  <si>
    <t>Gr Aves-Montagem de Caixas-Carimbar Etiquetas-1°T</t>
  </si>
  <si>
    <t>47.0284.1.2.17.00.01.039.01.11.04.2</t>
  </si>
  <si>
    <t>Gr Aves-Montagem de Caixas-Carimbar Etiquetas-2°T</t>
  </si>
  <si>
    <t>47.0284.1.2.17.00.01.039.01.11.04.3</t>
  </si>
  <si>
    <t>Gr Aves-Montagem de Caixas-Carimbar Etiquetas-3°T</t>
  </si>
  <si>
    <t>47.0284.1.2.17.00.01.039.01.11.05.1</t>
  </si>
  <si>
    <t>Gr Aves-Montagem de Caixas-Etiquetar Caixas-1°T</t>
  </si>
  <si>
    <t>47.0284.1.2.17.00.01.039.01.11.05.2</t>
  </si>
  <si>
    <t>Gr Aves-Montagem de Caixas-Etiquetar Caixas-2°T</t>
  </si>
  <si>
    <t>47.0284.1.2.17.00.01.039.01.11.05.3</t>
  </si>
  <si>
    <t>Gr Aves-Montagem de Caixas-Etiquetar Caixas-3°T</t>
  </si>
  <si>
    <t>47.0284.1.2.17.00.01.039.01.11.09.3</t>
  </si>
  <si>
    <t>Gr Aves-Montagem de Caixas-Limpar Setor-3°T</t>
  </si>
  <si>
    <t>47.0284.1.2.17.00.01.039.01.11.09.1</t>
  </si>
  <si>
    <t>Gr Aves-Montagem de Caixas-Limpeza de Setor-1°T</t>
  </si>
  <si>
    <t>47.0284.1.2.17.00.01.039.01.11.09.2</t>
  </si>
  <si>
    <t>Gr Aves-Montagem de Caixas-Limpeza de Setor-2°T</t>
  </si>
  <si>
    <t>47.0284.1.2.17.00.01.039.01.11.02.1</t>
  </si>
  <si>
    <t>Gr Aves-Montagem de Caixas-Montar Caixas Manual-1°T</t>
  </si>
  <si>
    <t>47.0284.1.2.17.00.01.039.01.11.02.2</t>
  </si>
  <si>
    <t>Gr Aves-Montagem de Caixas-Montar Caixas Manual-2°T</t>
  </si>
  <si>
    <t>47.0284.1.2.17.00.01.039.01.11.02.3</t>
  </si>
  <si>
    <t>Gr Aves-Montagem de Caixas-Montar Caixas Manual-3°T</t>
  </si>
  <si>
    <t>47.0284.1.2.17.00.01.039.01.11.07.1</t>
  </si>
  <si>
    <t>Gr Aves-Montagem de Caixas-Operar Máq Montar Caixas-1°T</t>
  </si>
  <si>
    <t>47.0284.1.2.17.00.01.039.01.11.07.2</t>
  </si>
  <si>
    <t>Gr Aves-Montagem de Caixas-Operar Máq Montar Caixas-2°T</t>
  </si>
  <si>
    <t>47.0284.1.2.17.00.01.039.01.11.07.3</t>
  </si>
  <si>
    <t>Gr Aves-Montagem de Caixas-Operar Máq Montar Caixas-3°T</t>
  </si>
  <si>
    <t>47.0284.1.2.17.00.01.039.01.11.08.1</t>
  </si>
  <si>
    <t>Gr Aves-Montagem de Caixas-Operar Paleteira-1°T</t>
  </si>
  <si>
    <t>47.0284.1.2.17.00.01.039.01.11.08.2</t>
  </si>
  <si>
    <t>Gr Aves-Montagem de Caixas-Operar Paleteira-2°T</t>
  </si>
  <si>
    <t>47.0284.1.2.17.00.01.039.01.11.08.3</t>
  </si>
  <si>
    <t>Gr Aves-Montagem de Caixas-Operar Paleteira-3°T</t>
  </si>
  <si>
    <t>47.0284.1.2.17.00.01.039.01.11.01.1</t>
  </si>
  <si>
    <t>Gr Aves-Montagem de Cxas-Abastecer Máq Montar Cxas-1°T</t>
  </si>
  <si>
    <t>47.0284.1.2.17.00.01.039.01.11.01.2</t>
  </si>
  <si>
    <t>Gr Aves-Montagem de Cxas-Abastecer Máq Montar Cxas-2°T</t>
  </si>
  <si>
    <t>47.0284.1.2.17.00.01.039.01.11.01.3</t>
  </si>
  <si>
    <t>Gr Aves-Montagem de Cxas-Abastecer Máq Montar Cxas-3°T</t>
  </si>
  <si>
    <t>47.0284.1.2.17.00.01.039.01.12.11.1</t>
  </si>
  <si>
    <t>Gr Aves-Padroniz/Emb-Alimentar Túnel Congelamento-1°T</t>
  </si>
  <si>
    <t>47.0284.1.2.17.00.01.039.01.12.11.2</t>
  </si>
  <si>
    <t>Gr Aves-Padroniz/Emb-Alimentar Túnel Congelamento-2°T</t>
  </si>
  <si>
    <t>47.0284.1.2.17.00.01.039.01.12.11.3</t>
  </si>
  <si>
    <t>Gr Aves-Padroniz/Emb-Alimentar Túnel Congelamento-3°T</t>
  </si>
  <si>
    <t>47.0284.1.2.17.00.01.039.01.12.01.1</t>
  </si>
  <si>
    <t>Gr Aves-Padroniz/Emb-Op.IQF(Giro/MultiCabeça/Emp)-1°T</t>
  </si>
  <si>
    <t>47.0284.1.2.17.00.01.039.01.12.01.2</t>
  </si>
  <si>
    <t>Gr Aves-Padroniz/Emb-Op.IQF(Giro/MultiCabeça/Emp)-2°T</t>
  </si>
  <si>
    <t>47.0284.1.2.17.00.01.039.01.12.01.3</t>
  </si>
  <si>
    <t>Gr Aves-Padroniz/Emb-Op.IQF(Giro/MultiCabeça/Emp)-3°T</t>
  </si>
  <si>
    <t>47.0284.1.2.17.00.01.039.01.12.18.1</t>
  </si>
  <si>
    <t>Gr Aves-Padroniz/Emb-Posicionar Cxs Máq. Plastif-1°T</t>
  </si>
  <si>
    <t>47.0284.1.2.17.00.01.039.01.12.18.2</t>
  </si>
  <si>
    <t>Gr Aves-Padroniz/Emb-Posicionar Cxs Máq. Plastif-2°T</t>
  </si>
  <si>
    <t>47.0284.1.2.17.00.01.039.01.12.18.3</t>
  </si>
  <si>
    <t>Gr Aves-Padroniz/Emb-Posicionar Cxs Máq. Plastif-3°T</t>
  </si>
  <si>
    <t>47.0284.1.2.17.00.01.039.01.12.13.1</t>
  </si>
  <si>
    <t>Gr Aves-Padroniz/Emb-Virar Prod Congelado Esteira-1°T</t>
  </si>
  <si>
    <t>47.0284.1.2.17.00.01.039.01.12.13.2</t>
  </si>
  <si>
    <t>Gr Aves-Padroniz/Emb-Virar Prod Congelado Esteira-2°T</t>
  </si>
  <si>
    <t>47.0284.1.2.17.00.01.039.01.12.13.3</t>
  </si>
  <si>
    <t>Gr Aves-Padroniz/Emb-Virar Prod Congelado Esteira-3°T</t>
  </si>
  <si>
    <t>47.0284.1.2.17.00.01.039.01.12.04.1</t>
  </si>
  <si>
    <t>Gr Aves-Padroniz/Embalagem-Abastecer  Esteira Contato-1°T</t>
  </si>
  <si>
    <t>47.0284.1.2.17.00.01.039.01.12.04.2</t>
  </si>
  <si>
    <t>Gr Aves-Padroniz/Embalagem-Abastecer  Esteira Contato-2°T</t>
  </si>
  <si>
    <t>47.0284.1.2.17.00.01.039.01.12.04.3</t>
  </si>
  <si>
    <t>Gr Aves-Padroniz/Embalagem-Abastecer  Esteira Contato-3°T</t>
  </si>
  <si>
    <t>47.0284.1.2.17.00.01.039.01.12.22.1</t>
  </si>
  <si>
    <t>Gr Aves-Padroniz/Embalagem-Abastecer Arqueadeira-1°T</t>
  </si>
  <si>
    <t>47.0284.1.2.17.00.01.039.01.12.22.2</t>
  </si>
  <si>
    <t>Gr Aves-Padroniz/Embalagem-Abastecer Arqueadeira-2°T</t>
  </si>
  <si>
    <t>47.0284.1.2.17.00.01.039.01.12.22.3</t>
  </si>
  <si>
    <t>Gr Aves-Padroniz/Embalagem-Abastecer Arqueadeira-3°T</t>
  </si>
  <si>
    <t>47.0284.1.2.17.00.01.039.01.12.09.1</t>
  </si>
  <si>
    <t>Gr Aves-Padroniz/Embalagem-Acondicionar Pcts em Cxs-1°T</t>
  </si>
  <si>
    <t>47.0284.1.2.17.00.01.039.01.12.09.2</t>
  </si>
  <si>
    <t>Gr Aves-Padroniz/Embalagem-Acondicionar Pcts em Cxs-2°T</t>
  </si>
  <si>
    <t>47.0284.1.2.17.00.01.039.01.12.09.3</t>
  </si>
  <si>
    <t>Gr Aves-Padroniz/Embalagem-Acondicionar Pcts em Cxs-3°T</t>
  </si>
  <si>
    <t>47.0284.1.2.17.00.01.039.01.12.10.1</t>
  </si>
  <si>
    <t>Gr Aves-Padroniz/Embalagem-Checar Peso da Caixa-1°T</t>
  </si>
  <si>
    <t>47.0284.1.2.17.00.01.039.01.12.10.2</t>
  </si>
  <si>
    <t>Gr Aves-Padroniz/Embalagem-Checar Peso da Caixa-2°T</t>
  </si>
  <si>
    <t>47.0284.1.2.17.00.01.039.01.12.10.3</t>
  </si>
  <si>
    <t>Gr Aves-Padroniz/Embalagem-Checar Peso da Caixa-3°T</t>
  </si>
  <si>
    <t>47.0284.1.2.17.00.01.039.01.12.03.1</t>
  </si>
  <si>
    <t>Gr Aves-Padroniz/Embalagem-Classif Frango Passarinho-1°T</t>
  </si>
  <si>
    <t>47.0284.1.2.17.00.01.039.01.12.03.2</t>
  </si>
  <si>
    <t>Gr Aves-Padroniz/Embalagem-Classif Frango Passarinho-2°T</t>
  </si>
  <si>
    <t>47.0284.1.2.17.00.01.039.01.12.03.3</t>
  </si>
  <si>
    <t>Gr Aves-Padroniz/Embalagem-Classif Frango Passarinho-3°T</t>
  </si>
  <si>
    <t>47.0284.1.2.17.00.01.039.01.12.16.1</t>
  </si>
  <si>
    <t>Gr Aves-Padroniz/Embalagem-Colar Etiqueta na Caixa-1°T</t>
  </si>
  <si>
    <t>47.0284.1.2.17.00.01.039.01.12.16.2</t>
  </si>
  <si>
    <t>Gr Aves-Padroniz/Embalagem-Colar Etiqueta na Caixa-2°T</t>
  </si>
  <si>
    <t>47.0284.1.2.17.00.01.039.01.12.16.3</t>
  </si>
  <si>
    <t>Gr Aves-Padroniz/Embalagem-Colar Etiqueta na Caixa-3°T</t>
  </si>
  <si>
    <t>47.0284.1.2.17.00.01.039.01.12.24.1</t>
  </si>
  <si>
    <t>Gr Aves-Padroniz/Embalagem-Colar Etiqueta no Palete-1°T</t>
  </si>
  <si>
    <t>47.0284.1.2.17.00.01.039.01.12.24.2</t>
  </si>
  <si>
    <t>Gr Aves-Padroniz/Embalagem-Colar Etiqueta no Palete-2°T</t>
  </si>
  <si>
    <t>47.0284.1.2.17.00.01.039.01.12.24.3</t>
  </si>
  <si>
    <t>Gr Aves-Padroniz/Embalagem-Colar Etiqueta no Palete-3°T</t>
  </si>
  <si>
    <t>47.0284.1.2.17.00.01.039.01.12.08.1</t>
  </si>
  <si>
    <t>Gr Aves-Padroniz/Embalagem-Colocar Produtos Cxas IQF-1°T</t>
  </si>
  <si>
    <t>47.0284.1.2.17.00.01.039.01.12.08.2</t>
  </si>
  <si>
    <t>Gr Aves-Padroniz/Embalagem-Colocar Produtos Cxas IQF-2°T</t>
  </si>
  <si>
    <t>47.0284.1.2.17.00.01.039.01.12.08.3</t>
  </si>
  <si>
    <t>Gr Aves-Padroniz/Embalagem-Colocar Produtos Cxas IQF-3°T</t>
  </si>
  <si>
    <t>47.0284.1.2.17.00.01.039.01.12.25.1</t>
  </si>
  <si>
    <t>Gr Aves-Padroniz/Embalagem-Conferente-1°T</t>
  </si>
  <si>
    <t>47.0284.1.2.17.00.01.039.01.12.25.2</t>
  </si>
  <si>
    <t>Gr Aves-Padroniz/Embalagem-Conferente-2°T</t>
  </si>
  <si>
    <t>47.0284.1.2.17.00.01.039.01.12.25.3</t>
  </si>
  <si>
    <t>Gr Aves-Padroniz/Embalagem-Conferente-3°T</t>
  </si>
  <si>
    <t>47.0284.1.2.17.00.01.039.01.12.27.1</t>
  </si>
  <si>
    <t>Gr Aves-Padroniz/Embalagem-Consertar Paletes-1°T</t>
  </si>
  <si>
    <t>47.0284.1.2.17.00.01.039.01.12.27.2</t>
  </si>
  <si>
    <t>Gr Aves-Padroniz/Embalagem-Consertar Paletes-2°T</t>
  </si>
  <si>
    <t>47.0284.1.2.17.00.01.039.01.12.27.3</t>
  </si>
  <si>
    <t>Gr Aves-Padroniz/Embalagem-Consertar Paletes-3°T</t>
  </si>
  <si>
    <t>47.0284.1.2.17.00.01.039.01.12.02.1</t>
  </si>
  <si>
    <t>Gr Aves-Padroniz/Embalagem-Cortar Frango Passarinho-1°T</t>
  </si>
  <si>
    <t>47.0284.1.2.17.00.01.039.01.12.02.2</t>
  </si>
  <si>
    <t>Gr Aves-Padroniz/Embalagem-Cortar Frango Passarinho-2°T</t>
  </si>
  <si>
    <t>47.0284.1.2.17.00.01.039.01.12.02.3</t>
  </si>
  <si>
    <t>Gr Aves-Padroniz/Embalagem-Cortar Frango Passarinho-3°T</t>
  </si>
  <si>
    <t>47.0284.1.2.17.00.01.039.01.12.19.1</t>
  </si>
  <si>
    <t>Gr Aves-Padroniz/Embalagem-Detector de Metais-1°T</t>
  </si>
  <si>
    <t>47.0284.1.2.17.00.01.039.01.12.19.2</t>
  </si>
  <si>
    <t>Gr Aves-Padroniz/Embalagem-Detector de Metais-2°T</t>
  </si>
  <si>
    <t>47.0284.1.2.17.00.01.039.01.12.05.1</t>
  </si>
  <si>
    <t>Gr Aves-Padroniz/Embalagem-Embalar IQF-1°T</t>
  </si>
  <si>
    <t>47.0284.1.2.17.00.01.039.01.12.05.2</t>
  </si>
  <si>
    <t>Gr Aves-Padroniz/Embalagem-Embalar IQF-2°T</t>
  </si>
  <si>
    <t>47.0284.1.2.17.00.01.039.01.12.05.3</t>
  </si>
  <si>
    <t>Gr Aves-Padroniz/Embalagem-Embalar IQF-3°T</t>
  </si>
  <si>
    <t>47.0284.1.2.17.00.01.039.01.12.21.1</t>
  </si>
  <si>
    <t>Gr Aves-Padroniz/Embalagem-Encaixotar Minipalet-1°T</t>
  </si>
  <si>
    <t>47.0284.1.2.17.00.01.039.01.12.21.2</t>
  </si>
  <si>
    <t>Gr Aves-Padroniz/Embalagem-Encaixotar Minipalet-2°T</t>
  </si>
  <si>
    <t>47.0284.1.2.17.00.01.039.01.12.21.3</t>
  </si>
  <si>
    <t>Gr Aves-Padroniz/Embalagem-Encaixotar Minipalet-3°T</t>
  </si>
  <si>
    <t>47.0284.1.2.17.00.01.039.01.12.31.1</t>
  </si>
  <si>
    <t>Gr Aves-Padroniz/Embalagem-Limpar Setor-1°T</t>
  </si>
  <si>
    <t>47.0284.1.2.17.00.01.039.01.12.31.2</t>
  </si>
  <si>
    <t>Gr Aves-Padroniz/Embalagem-Limpar Setor-2°T</t>
  </si>
  <si>
    <t>47.0284.1.2.17.00.01.039.01.12.31.3</t>
  </si>
  <si>
    <t>Gr Aves-Padroniz/Embalagem-Limpar Setor-3°T</t>
  </si>
  <si>
    <t>47.0284.1.2.17.00.01.039.01.12.29.1</t>
  </si>
  <si>
    <t>Gr Aves-Padroniz/Embalagem-Monitor-1°T</t>
  </si>
  <si>
    <t>47.0284.1.2.17.00.01.039.01.12.29.2</t>
  </si>
  <si>
    <t>Gr Aves-Padroniz/Embalagem-Monitor-2°T</t>
  </si>
  <si>
    <t>47.0284.1.2.17.00.01.039.01.12.28.1</t>
  </si>
  <si>
    <t>Gr Aves-Padroniz/Embalagem-Operar Paleteira-1°T</t>
  </si>
  <si>
    <t>47.0284.1.2.17.00.01.039.01.12.28.2</t>
  </si>
  <si>
    <t>Gr Aves-Padroniz/Embalagem-Operar Paleteira-2°T</t>
  </si>
  <si>
    <t>47.0284.1.2.17.00.01.039.01.12.17.1</t>
  </si>
  <si>
    <t>Gr Aves-Padroniz/Embalagem-Operar Plastificadora-1°T</t>
  </si>
  <si>
    <t>47.0284.1.2.17.00.01.039.01.12.17.2</t>
  </si>
  <si>
    <t>Gr Aves-Padroniz/Embalagem-Operar Plastificadora-2°T</t>
  </si>
  <si>
    <t>47.0284.1.2.17.00.01.039.01.12.20.1</t>
  </si>
  <si>
    <t>Gr Aves-Padroniz/Embalagem-Paletizar Produtos-1°T</t>
  </si>
  <si>
    <t>47.0284.1.2.17.00.01.039.01.12.20.2</t>
  </si>
  <si>
    <t>Gr Aves-Padroniz/Embalagem-Paletizar Produtos-2°T</t>
  </si>
  <si>
    <t>47.0284.1.2.17.00.01.039.01.12.06.1</t>
  </si>
  <si>
    <t>Gr Aves-Padroniz/Embalagem-Pesar IQF-1°T</t>
  </si>
  <si>
    <t>47.0284.1.2.17.00.01.039.01.12.06.2</t>
  </si>
  <si>
    <t>Gr Aves-Padroniz/Embalagem-Pesar IQF-2°T</t>
  </si>
  <si>
    <t>47.0284.1.2.17.00.01.039.01.12.06.3</t>
  </si>
  <si>
    <t>Gr Aves-Padroniz/Embalagem-Pesar IQF-3°T</t>
  </si>
  <si>
    <t>47.0284.1.2.17.00.01.039.01.12.26.1</t>
  </si>
  <si>
    <t>Gr Aves-Padroniz/Embalagem-Reprocesso Produtos (Cxas)-1°T</t>
  </si>
  <si>
    <t>47.0284.1.2.17.00.01.039.01.12.26.2</t>
  </si>
  <si>
    <t>Gr Aves-Padroniz/Embalagem-Reprocesso Produtos (Cxas)-2°T</t>
  </si>
  <si>
    <t>47.0284.1.2.17.00.01.039.01.12.26.3</t>
  </si>
  <si>
    <t>Gr Aves-Padroniz/Embalagem-Reprocesso Produtos (Cxas)-3°T</t>
  </si>
  <si>
    <t>47.0284.1.2.17.00.01.039.01.12.12.1</t>
  </si>
  <si>
    <t>Gr Aves-Padroniz/Embalagem-Retirar Divisórias das Cxs-1°T</t>
  </si>
  <si>
    <t>47.0284.1.2.17.00.01.039.01.12.12.2</t>
  </si>
  <si>
    <t>Gr Aves-Padroniz/Embalagem-Retirar Divisórias das Cxs-2°T</t>
  </si>
  <si>
    <t>47.0284.1.2.17.00.01.039.01.12.12.3</t>
  </si>
  <si>
    <t>Gr Aves-Padroniz/Embalagem-Retirar Divisórias das Cxs-3°T</t>
  </si>
  <si>
    <t>47.0284.1.2.17.00.01.039.01.12.07.1</t>
  </si>
  <si>
    <t>Gr Aves-Padroniz/Embalagem-Selar IQF-1°T</t>
  </si>
  <si>
    <t>47.0284.1.2.17.00.01.039.01.12.07.2</t>
  </si>
  <si>
    <t>Gr Aves-Padroniz/Embalagem-Selar IQF-2°T</t>
  </si>
  <si>
    <t>47.0284.1.2.17.00.01.039.01.12.07.3</t>
  </si>
  <si>
    <t>Gr Aves-Padroniz/Embalagem-Selar IQF-3°T</t>
  </si>
  <si>
    <t>47.0284.1.2.17.00.01.039.01.12.23.1</t>
  </si>
  <si>
    <t>Gr Aves-Padroniz/Embalagem-Strechar Palete-1°T</t>
  </si>
  <si>
    <t>47.0284.1.2.17.00.01.039.01.12.23.2</t>
  </si>
  <si>
    <t>Gr Aves-Padroniz/Embalagem-Strechar Palete-2°T</t>
  </si>
  <si>
    <t>47.0284.1.2.17.00.01.039.01.12.23.3</t>
  </si>
  <si>
    <t>Gr Aves-Padroniz/Embalagem-Strechar Palete-3°T</t>
  </si>
  <si>
    <t>47.0284.1.2.17.00.01.039.01.12.15.1</t>
  </si>
  <si>
    <t>Gr Aves-Padroniz/Embalagem-Tampar Caixas de Papelão-1°T</t>
  </si>
  <si>
    <t>47.0284.1.2.17.00.01.039.01.12.15.2</t>
  </si>
  <si>
    <t>Gr Aves-Padroniz/Embalagem-Tampar Caixas de Papelão-2°T</t>
  </si>
  <si>
    <t>47.0284.1.2.17.00.01.039.01.12.15.3</t>
  </si>
  <si>
    <t>Gr Aves-Padroniz/Embalagem-Tampar Caixas de Papelão-3°T</t>
  </si>
  <si>
    <t>47.0284.1.2.17.00.01.039.01.12.30.1</t>
  </si>
  <si>
    <t>Gr Aves-Padroniz/Embalagem-Transportar-1°T</t>
  </si>
  <si>
    <t>47.0284.1.2.17.00.01.039.01.12.30.2</t>
  </si>
  <si>
    <t>Gr Aves-Padroniz/Embalagem-Transportar-2°T</t>
  </si>
  <si>
    <t>47.0284.1.2.17.00.01.039.01.12.30.3</t>
  </si>
  <si>
    <t>Gr Aves-Padroniz/Embalagem-Transportar-3°T</t>
  </si>
  <si>
    <t>47.0284.1.2.17.00.01.039.01.12.14.1</t>
  </si>
  <si>
    <t>Gr Aves-Padroniz/Embalagem-Virar Produtos na Caixa-1°T</t>
  </si>
  <si>
    <t>47.0284.1.2.17.00.01.039.01.12.14.2</t>
  </si>
  <si>
    <t>Gr Aves-Padroniz/Embalagem-Virar Produtos na Caixa-2°T</t>
  </si>
  <si>
    <t>47.0284.1.2.17.00.01.039.01.12.14.3</t>
  </si>
  <si>
    <t>Gr Aves-Padroniz/Embalagem-Virar Produtos na Caixa-3°T</t>
  </si>
  <si>
    <t>47.0284.1.2.17.00.01.039.01.07.33.1</t>
  </si>
  <si>
    <t>Gr Aves-Peito-Abastecer Eladora a Vácuo-1°T</t>
  </si>
  <si>
    <t>47.0284.1.2.17.00.01.039.01.07.33.2</t>
  </si>
  <si>
    <t>Gr Aves-Peito-Abastecer Eladora a Vácuo-2°T</t>
  </si>
  <si>
    <t>47.0284.1.2.17.00.01.039.01.07.33.3</t>
  </si>
  <si>
    <t>Gr Aves-Peito-Abastecer Eladora a Vácuo-3°T</t>
  </si>
  <si>
    <t>47.0284.1.2.17.00.01.039.01.07.02.1</t>
  </si>
  <si>
    <t>Gr Aves-Peito-Abastecer Esteira-1°T</t>
  </si>
  <si>
    <t>47.0284.1.2.17.00.01.039.01.07.02.2</t>
  </si>
  <si>
    <t>Gr Aves-Peito-Abastecer Esteira-2°T</t>
  </si>
  <si>
    <t>47.0284.1.2.17.00.01.039.01.07.02.3</t>
  </si>
  <si>
    <t>Gr Aves-Peito-Abastecer Esteira-3°T</t>
  </si>
  <si>
    <t>47.0284.1.2.17.00.01.039.01.07.32.1</t>
  </si>
  <si>
    <t>Gr Aves-Peito-Abastecer Máquina Embaladora Continua-1°T</t>
  </si>
  <si>
    <t>47.0284.1.2.17.00.01.039.01.07.32.2</t>
  </si>
  <si>
    <t>Gr Aves-Peito-Abastecer Máquina Embaladora Continua-2°T</t>
  </si>
  <si>
    <t>47.0284.1.2.17.00.01.039.01.07.32.3</t>
  </si>
  <si>
    <t>Gr Aves-Peito-Abastecer Máquina Embaladora Continua-3°T</t>
  </si>
  <si>
    <t>47.0284.1.2.17.00.01.039.01.07.45.1</t>
  </si>
  <si>
    <t>Gr Aves-Peito-Afiação Facas-1°T</t>
  </si>
  <si>
    <t>47.0284.1.2.17.00.01.039.01.07.45.2</t>
  </si>
  <si>
    <t>Gr Aves-Peito-Afiação Facas-2°T</t>
  </si>
  <si>
    <t>47.0284.1.2.17.00.01.039.01.07.45.3</t>
  </si>
  <si>
    <t>Gr Aves-Peito-Afiação Facas-3°T</t>
  </si>
  <si>
    <t>47.0284.1.2.17.00.01.039.01.07.19.1</t>
  </si>
  <si>
    <t>Gr Aves-Peito-Alimentar Classificadora de Sassami-1°T</t>
  </si>
  <si>
    <t>47.0284.1.2.17.00.01.039.01.07.19.2</t>
  </si>
  <si>
    <t>Gr Aves-Peito-Alimentar Classificadora de Sassami-2°T</t>
  </si>
  <si>
    <t>47.0284.1.2.17.00.01.039.01.07.19.3</t>
  </si>
  <si>
    <t>Gr Aves-Peito-Alimentar Classificadora de Sassami-3°T</t>
  </si>
  <si>
    <t>47.0284.1.2.17.00.01.039.01.07.23.1</t>
  </si>
  <si>
    <t>Gr Aves-Peito-Alimentar Corte-Marel-1°T</t>
  </si>
  <si>
    <t>47.0284.1.2.17.00.01.039.01.07.23.2</t>
  </si>
  <si>
    <t>Gr Aves-Peito-Alimentar Corte-Marel-2°T</t>
  </si>
  <si>
    <t>47.0284.1.2.17.00.01.039.01.07.23.3</t>
  </si>
  <si>
    <t>Gr Aves-Peito-Alimentar Corte-Marel-3°T</t>
  </si>
  <si>
    <t>47.0284.1.2.17.00.01.039.01.07.29.1</t>
  </si>
  <si>
    <t>Gr Aves-Peito-Alimentar Máquina de Bandeja-1°T</t>
  </si>
  <si>
    <t>47.0284.1.2.17.00.01.039.01.07.29.2</t>
  </si>
  <si>
    <t>Gr Aves-Peito-Alimentar Máquina de Bandeja-2°T</t>
  </si>
  <si>
    <t>47.0284.1.2.17.00.01.039.01.07.29.3</t>
  </si>
  <si>
    <t>Gr Aves-Peito-Alimentar Máquina de Bandeja-3°T</t>
  </si>
  <si>
    <t>47.0284.1.2.17.00.01.039.01.07.20.1</t>
  </si>
  <si>
    <t>Gr Aves-Peito-Alimentar Máquina de Cortar Produto-1°T</t>
  </si>
  <si>
    <t>47.0284.1.2.17.00.01.039.01.07.20.2</t>
  </si>
  <si>
    <t>Gr Aves-Peito-Alimentar Máquina de Cortar Produto-2°T</t>
  </si>
  <si>
    <t>47.0284.1.2.17.00.01.039.01.07.20.3</t>
  </si>
  <si>
    <t>Gr Aves-Peito-Alimentar Máquina de Cortar Produto-3°T</t>
  </si>
  <si>
    <t>47.0284.1.2.17.00.01.039.01.07.34.1</t>
  </si>
  <si>
    <t>Gr Aves-Peito-Arrumar Pacotes na Caixa-1°T</t>
  </si>
  <si>
    <t>47.0284.1.2.17.00.01.039.01.07.34.2</t>
  </si>
  <si>
    <t>Gr Aves-Peito-Arrumar Pacotes na Caixa-2°T</t>
  </si>
  <si>
    <t>47.0284.1.2.17.00.01.039.01.07.34.3</t>
  </si>
  <si>
    <t>Gr Aves-Peito-Arrumar Pacotes na Caixa-3°T</t>
  </si>
  <si>
    <t>47.0284.1.2.17.00.01.039.01.07.35.1</t>
  </si>
  <si>
    <t>Gr Aves-Peito-Carregar e descarregar Tambler-1°T</t>
  </si>
  <si>
    <t>47.0284.1.2.17.00.01.039.01.07.35.2</t>
  </si>
  <si>
    <t>Gr Aves-Peito-Carregar e descarregar Tambler-2°T</t>
  </si>
  <si>
    <t>47.0284.1.2.17.00.01.039.01.07.35.3</t>
  </si>
  <si>
    <t>Gr Aves-Peito-Carregar e descarregar Tambler-3°T</t>
  </si>
  <si>
    <t>47.0284.1.2.17.00.01.039.01.07.46.1</t>
  </si>
  <si>
    <t>Gr Aves-Peito-Chairador-1°T</t>
  </si>
  <si>
    <t>47.0284.1.2.17.00.01.039.01.07.46.2</t>
  </si>
  <si>
    <t>Gr Aves-Peito-Chairador-2°T</t>
  </si>
  <si>
    <t>47.0284.1.2.17.00.01.039.01.07.46.3</t>
  </si>
  <si>
    <t>Gr Aves-Peito-Chairador-3°T</t>
  </si>
  <si>
    <t>47.0284.1.2.17.00.01.039.01.07.21.1</t>
  </si>
  <si>
    <t>Gr Aves-Peito-Classificar Cortes-1°T</t>
  </si>
  <si>
    <t>47.0284.1.2.17.00.01.039.01.07.21.2</t>
  </si>
  <si>
    <t>Gr Aves-Peito-Classificar Cortes-2°T</t>
  </si>
  <si>
    <t>47.0284.1.2.17.00.01.039.01.07.21.3</t>
  </si>
  <si>
    <t>Gr Aves-Peito-Classificar Cortes-3°T</t>
  </si>
  <si>
    <t>47.0284.1.2.17.00.01.039.01.07.40.1</t>
  </si>
  <si>
    <t>Gr Aves-Peito-Classificar e Embalar Cartilagem-1°T</t>
  </si>
  <si>
    <t>47.0284.1.2.17.00.01.039.01.07.40.2</t>
  </si>
  <si>
    <t>Gr Aves-Peito-Classificar e Embalar Cartilagem-2°T</t>
  </si>
  <si>
    <t>47.0284.1.2.17.00.01.039.01.07.40.3</t>
  </si>
  <si>
    <t>Gr Aves-Peito-Classificar e Embalar Cartilagem-3°T</t>
  </si>
  <si>
    <t>47.0284.1.2.17.00.01.039.01.07.10.1</t>
  </si>
  <si>
    <t>Gr Aves-Peito-Classificar Sassami-1°T</t>
  </si>
  <si>
    <t>47.0284.1.2.17.00.01.039.01.07.10.2</t>
  </si>
  <si>
    <t>Gr Aves-Peito-Classificar Sassami-2°T</t>
  </si>
  <si>
    <t>47.0284.1.2.17.00.01.039.01.07.10.3</t>
  </si>
  <si>
    <t>Gr Aves-Peito-Classificar Sassami-3°T</t>
  </si>
  <si>
    <t>47.0284.1.2.17.00.01.039.01.07.44.1</t>
  </si>
  <si>
    <t>Gr Aves-Peito-Classificar/ Embalar Pele-1°T</t>
  </si>
  <si>
    <t>47.0284.1.2.17.00.01.039.01.07.44.2</t>
  </si>
  <si>
    <t>Gr Aves-Peito-Classificar/ Embalar Pele-2°T</t>
  </si>
  <si>
    <t>47.0284.1.2.17.00.01.039.01.07.44.3</t>
  </si>
  <si>
    <t>Gr Aves-Peito-Classificar/ Embalar Pele-3°T</t>
  </si>
  <si>
    <t>47.0284.1.2.17.00.01.039.01.07.54.3</t>
  </si>
  <si>
    <t>Gr Aves-Peito-Controlador-3°T</t>
  </si>
  <si>
    <t>47.0284.1.2.17.00.01.039.01.07.12.1</t>
  </si>
  <si>
    <t>Gr Aves-Peito-Cortar Peito-1°T</t>
  </si>
  <si>
    <t>47.0284.1.2.17.00.01.039.01.07.12.2</t>
  </si>
  <si>
    <t>Gr Aves-Peito-Cortar Peito-2°T</t>
  </si>
  <si>
    <t>47.0284.1.2.17.00.01.039.01.07.12.3</t>
  </si>
  <si>
    <t>Gr Aves-Peito-Cortar Peito-3°T</t>
  </si>
  <si>
    <t>47.0284.1.2.17.00.01.039.01.07.13.1</t>
  </si>
  <si>
    <t>Gr Aves-Peito-Cortar Sassami-1°T</t>
  </si>
  <si>
    <t>47.0284.1.2.17.00.01.039.01.07.13.2</t>
  </si>
  <si>
    <t>Gr Aves-Peito-Cortar Sassami-2°T</t>
  </si>
  <si>
    <t>47.0284.1.2.17.00.01.039.01.07.13.3</t>
  </si>
  <si>
    <t>Gr Aves-Peito-Cortar Sassami-3°T</t>
  </si>
  <si>
    <t>47.0284.1.2.17.00.01.039.01.07.11.1</t>
  </si>
  <si>
    <t>Gr Aves-Peito-Cortar Tendão do Sassami-1°T</t>
  </si>
  <si>
    <t>47.0284.1.2.17.00.01.039.01.07.11.2</t>
  </si>
  <si>
    <t>Gr Aves-Peito-Cortar Tendão do Sassami-2°T</t>
  </si>
  <si>
    <t>47.0284.1.2.17.00.01.039.01.07.11.3</t>
  </si>
  <si>
    <t>Gr Aves-Peito-Cortar Tendão do Sassami-3°T</t>
  </si>
  <si>
    <t>47.0284.1.2.17.00.01.039.01.07.27.1</t>
  </si>
  <si>
    <t>Gr Aves-Peito-Embalar Cortes em Bandejas-1°T</t>
  </si>
  <si>
    <t>47.0284.1.2.17.00.01.039.01.07.27.2</t>
  </si>
  <si>
    <t>Gr Aves-Peito-Embalar Cortes em Bandejas-2°T</t>
  </si>
  <si>
    <t>47.0284.1.2.17.00.01.039.01.07.27.3</t>
  </si>
  <si>
    <t>Gr Aves-Peito-Embalar Cortes em Bandejas-3°T</t>
  </si>
  <si>
    <t>47.0284.1.2.17.00.01.039.01.07.42.1</t>
  </si>
  <si>
    <t>Gr Aves-Peito-Embalar e Pesar Recortes-1°T</t>
  </si>
  <si>
    <t>47.0284.1.2.17.00.01.039.01.07.42.2</t>
  </si>
  <si>
    <t>Gr Aves-Peito-Embalar e Pesar Recortes-2°T</t>
  </si>
  <si>
    <t>47.0284.1.2.17.00.01.039.01.07.42.3</t>
  </si>
  <si>
    <t>Gr Aves-Peito-Embalar e Pesar Recortes-3°T</t>
  </si>
  <si>
    <t>47.0284.1.2.17.00.01.039.01.07.26.1</t>
  </si>
  <si>
    <t>Gr Aves-Peito-Embalar Filetados Pct-1°T</t>
  </si>
  <si>
    <t>47.0284.1.2.17.00.01.039.01.07.26.2</t>
  </si>
  <si>
    <t>Gr Aves-Peito-Embalar Filetados Pct-2°T</t>
  </si>
  <si>
    <t>47.0284.1.2.17.00.01.039.01.07.26.3</t>
  </si>
  <si>
    <t>Gr Aves-Peito-Embalar Filetados Pct-3°T</t>
  </si>
  <si>
    <t>47.0284.1.2.17.00.01.039.01.07.05.1</t>
  </si>
  <si>
    <t>Gr Aves-Peito-Embalar Peito Bloco-1°T</t>
  </si>
  <si>
    <t>47.0284.1.2.17.00.01.039.01.07.05.2</t>
  </si>
  <si>
    <t>Gr Aves-Peito-Embalar Peito Bloco-2°T</t>
  </si>
  <si>
    <t>47.0284.1.2.17.00.01.039.01.07.05.3</t>
  </si>
  <si>
    <t>Gr Aves-Peito-Embalar Peito Bloco-3°T</t>
  </si>
  <si>
    <t>47.0284.1.2.17.00.01.039.01.07.07.1</t>
  </si>
  <si>
    <t>Gr Aves-Peito-Embalar Peito Pct-1°T</t>
  </si>
  <si>
    <t>47.0284.1.2.17.00.01.039.01.07.07.2</t>
  </si>
  <si>
    <t>Gr Aves-Peito-Embalar Peito Pct-2°T</t>
  </si>
  <si>
    <t>47.0284.1.2.17.00.01.039.01.07.07.3</t>
  </si>
  <si>
    <t>Gr Aves-Peito-Embalar Peito Pct-3°T</t>
  </si>
  <si>
    <t>47.0284.1.2.17.00.01.039.01.07.37.1</t>
  </si>
  <si>
    <t>Gr Aves-Peito-Embalar Produtos Temperado-1°T</t>
  </si>
  <si>
    <t>47.0284.1.2.17.00.01.039.01.07.37.2</t>
  </si>
  <si>
    <t>Gr Aves-Peito-Embalar Produtos Temperado-2°T</t>
  </si>
  <si>
    <t>47.0284.1.2.17.00.01.039.01.07.37.3</t>
  </si>
  <si>
    <t>Gr Aves-Peito-Embalar Produtos Temperado-3°T</t>
  </si>
  <si>
    <t>47.0284.1.2.17.00.01.039.01.07.58.1</t>
  </si>
  <si>
    <t>Gr Aves-Peito-Embalar Produtos-1°T</t>
  </si>
  <si>
    <t>47.0284.1.2.17.00.01.039.01.07.58.2</t>
  </si>
  <si>
    <t>Gr Aves-Peito-Embalar Produtos-2°T</t>
  </si>
  <si>
    <t>47.0284.1.2.17.00.01.039.01.07.58.3</t>
  </si>
  <si>
    <t>Gr Aves-Peito-Embalar Produtos-3°T</t>
  </si>
  <si>
    <t>47.0284.1.2.17.00.01.039.01.07.14.1</t>
  </si>
  <si>
    <t>Gr Aves-Peito-Embalar Sassami Bloco-1°T</t>
  </si>
  <si>
    <t>47.0284.1.2.17.00.01.039.01.07.14.2</t>
  </si>
  <si>
    <t>Gr Aves-Peito-Embalar Sassami Bloco-2°T</t>
  </si>
  <si>
    <t>47.0284.1.2.17.00.01.039.01.07.14.3</t>
  </si>
  <si>
    <t>Gr Aves-Peito-Embalar Sassami Bloco-3°T</t>
  </si>
  <si>
    <t>47.0284.1.2.17.00.01.039.01.07.16.1</t>
  </si>
  <si>
    <t>Gr Aves-Peito-Embalar Sassami Pct-1°T</t>
  </si>
  <si>
    <t>47.0284.1.2.17.00.01.039.01.07.16.2</t>
  </si>
  <si>
    <t>Gr Aves-Peito-Embalar Sassami Pct-2°T</t>
  </si>
  <si>
    <t>47.0284.1.2.17.00.01.039.01.07.16.3</t>
  </si>
  <si>
    <t>Gr Aves-Peito-Embalar Sassami Pct-3°T</t>
  </si>
  <si>
    <t>47.0284.1.2.17.00.01.039.01.07.22.1</t>
  </si>
  <si>
    <t>Gr Aves-Peito-Embalar/Pesar Cortes-1°T</t>
  </si>
  <si>
    <t>47.0284.1.2.17.00.01.039.01.07.22.2</t>
  </si>
  <si>
    <t>Gr Aves-Peito-Embalar/Pesar Cortes-2°T</t>
  </si>
  <si>
    <t>47.0284.1.2.17.00.01.039.01.07.22.3</t>
  </si>
  <si>
    <t>Gr Aves-Peito-Embalar/Pesar Cortes-3°T</t>
  </si>
  <si>
    <t>47.0284.1.2.17.00.01.039.01.07.31.1</t>
  </si>
  <si>
    <t>Gr Aves-Peito-Encaixotar Bandejas-1°T</t>
  </si>
  <si>
    <t>47.0284.1.2.17.00.01.039.01.07.31.2</t>
  </si>
  <si>
    <t>Gr Aves-Peito-Encaixotar Bandejas-2°T</t>
  </si>
  <si>
    <t>47.0284.1.2.17.00.01.039.01.07.31.3</t>
  </si>
  <si>
    <t>Gr Aves-Peito-Encaixotar Bandejas-3°T</t>
  </si>
  <si>
    <t>47.0284.1.2.17.00.01.039.01.07.30.1</t>
  </si>
  <si>
    <t>Gr Aves-Peito-Etiquetar Bandejas-1°T</t>
  </si>
  <si>
    <t>47.0284.1.2.17.00.01.039.01.07.30.2</t>
  </si>
  <si>
    <t>Gr Aves-Peito-Etiquetar Bandejas-2°T</t>
  </si>
  <si>
    <t>47.0284.1.2.17.00.01.039.01.07.30.3</t>
  </si>
  <si>
    <t>Gr Aves-Peito-Etiquetar Bandejas-3°T</t>
  </si>
  <si>
    <t>47.0284.1.2.17.00.01.039.01.07.47.1</t>
  </si>
  <si>
    <t>Gr Aves-Peito-Lavar Caixas/ Utensílios-1°T</t>
  </si>
  <si>
    <t>47.0284.1.2.17.00.01.039.01.07.47.2</t>
  </si>
  <si>
    <t>Gr Aves-Peito-Lavar Caixas/ Utensílios-2°T</t>
  </si>
  <si>
    <t>47.0284.1.2.17.00.01.039.01.07.47.3</t>
  </si>
  <si>
    <t>Gr Aves-Peito-Lavar Caixas/ Utensílios-3°T</t>
  </si>
  <si>
    <t>47.0284.1.2.17.00.01.039.01.07.41.1</t>
  </si>
  <si>
    <t>Gr Aves-Peito-Limpar Medalhão-1°T</t>
  </si>
  <si>
    <t>47.0284.1.2.17.00.01.039.01.07.41.2</t>
  </si>
  <si>
    <t>Gr Aves-Peito-Limpar Medalhão-2°T</t>
  </si>
  <si>
    <t>47.0284.1.2.17.00.01.039.01.07.41.3</t>
  </si>
  <si>
    <t>Gr Aves-Peito-Limpar Medalhão-3°T</t>
  </si>
  <si>
    <t>47.0284.1.2.17.00.01.039.01.07.56.3</t>
  </si>
  <si>
    <t>Gr Aves-Peito-Limpar Setor-3°T</t>
  </si>
  <si>
    <t>47.0284.1.2.17.00.01.039.01.07.56.1</t>
  </si>
  <si>
    <t>Gr Aves-Peito-Limpeza de Setor-1°T</t>
  </si>
  <si>
    <t>47.0284.1.2.17.00.01.039.01.07.56.2</t>
  </si>
  <si>
    <t>Gr Aves-Peito-Limpeza de Setor-2°T</t>
  </si>
  <si>
    <t>47.0284.1.2.17.00.01.039.01.07.54.1</t>
  </si>
  <si>
    <t>Gr Aves-Peito-Monitor-1°T</t>
  </si>
  <si>
    <t>47.0284.1.2.17.00.01.039.01.07.54.2</t>
  </si>
  <si>
    <t>Gr Aves-Peito-Monitor-2°T</t>
  </si>
  <si>
    <t>47.0284.1.2.17.00.01.039.01.07.48.1</t>
  </si>
  <si>
    <t>Gr Aves-Peito-Operar Classificadora-1°T</t>
  </si>
  <si>
    <t>47.0284.1.2.17.00.01.039.01.07.48.2</t>
  </si>
  <si>
    <t>Gr Aves-Peito-Operar Classificadora-2°T</t>
  </si>
  <si>
    <t>47.0284.1.2.17.00.01.039.01.07.48.3</t>
  </si>
  <si>
    <t>Gr Aves-Peito-Operar Classificadora-3°T</t>
  </si>
  <si>
    <t>47.0284.1.2.17.00.01.039.01.07.49.1</t>
  </si>
  <si>
    <t>Gr Aves-Peito-Operar Embaladora-1°T</t>
  </si>
  <si>
    <t>47.0284.1.2.17.00.01.039.01.07.49.2</t>
  </si>
  <si>
    <t>Gr Aves-Peito-Operar Embaladora-2°T</t>
  </si>
  <si>
    <t>47.0284.1.2.17.00.01.039.01.07.49.3</t>
  </si>
  <si>
    <t>Gr Aves-Peito-Operar Embaladora-3°T</t>
  </si>
  <si>
    <t>47.0284.1.2.17.00.01.039.01.07.51.1</t>
  </si>
  <si>
    <t>Gr Aves-Peito-Operar Máquina Bandeja-1°T</t>
  </si>
  <si>
    <t>47.0284.1.2.17.00.01.039.01.07.51.2</t>
  </si>
  <si>
    <t>Gr Aves-Peito-Operar Máquina Bandeja-2°T</t>
  </si>
  <si>
    <t>47.0284.1.2.17.00.01.039.01.07.51.3</t>
  </si>
  <si>
    <t>Gr Aves-Peito-Operar Máquina Bandeja-3°T</t>
  </si>
  <si>
    <t>47.0284.1.2.17.00.01.039.01.07.52.1</t>
  </si>
  <si>
    <t>Gr Aves-Peito-Operar Máquina Corte-1°T</t>
  </si>
  <si>
    <t>47.0284.1.2.17.00.01.039.01.07.52.2</t>
  </si>
  <si>
    <t>Gr Aves-Peito-Operar Máquina Corte-2°T</t>
  </si>
  <si>
    <t>47.0284.1.2.17.00.01.039.01.07.52.3</t>
  </si>
  <si>
    <t>Gr Aves-Peito-Operar Máquina Corte-3°T</t>
  </si>
  <si>
    <t>47.0284.1.2.17.00.01.039.01.07.59.1</t>
  </si>
  <si>
    <t>Gr Aves-Peito-Operar Máquinas e Equipamentos-1°T</t>
  </si>
  <si>
    <t>47.0284.1.2.17.00.01.039.01.07.59.2</t>
  </si>
  <si>
    <t>Gr Aves-Peito-Operar Máquinas e Equipamentos-2°T</t>
  </si>
  <si>
    <t>47.0284.1.2.17.00.01.039.01.07.59.3</t>
  </si>
  <si>
    <t>Gr Aves-Peito-Operar Máquinas e Equipamentos-3°T</t>
  </si>
  <si>
    <t>47.0284.1.2.17.00.01.039.01.07.53.1</t>
  </si>
  <si>
    <t>Gr Aves-Peito-Operar Paleteira-1°T</t>
  </si>
  <si>
    <t>47.0284.1.2.17.00.01.039.01.07.53.2</t>
  </si>
  <si>
    <t>Gr Aves-Peito-Operar Paleteira-2°T</t>
  </si>
  <si>
    <t>47.0284.1.2.17.00.01.039.01.07.53.3</t>
  </si>
  <si>
    <t>Gr Aves-Peito-Operar Paleteira-3°T</t>
  </si>
  <si>
    <t>47.0284.1.2.17.00.01.039.01.07.50.1</t>
  </si>
  <si>
    <t>Gr Aves-Peito-Operar Tumbler-1°T</t>
  </si>
  <si>
    <t>47.0284.1.2.17.00.01.039.01.07.50.2</t>
  </si>
  <si>
    <t>Gr Aves-Peito-Operar Tumbler-2°T</t>
  </si>
  <si>
    <t>47.0284.1.2.17.00.01.039.01.07.50.3</t>
  </si>
  <si>
    <t>Gr Aves-Peito-Operar Tumbler-3°T</t>
  </si>
  <si>
    <t>47.0284.1.2.17.00.01.039.01.07.25.1</t>
  </si>
  <si>
    <t>Gr Aves-Peito-Pesar Filetados Pct-1°T</t>
  </si>
  <si>
    <t>47.0284.1.2.17.00.01.039.01.07.25.2</t>
  </si>
  <si>
    <t>Gr Aves-Peito-Pesar Filetados Pct-2°T</t>
  </si>
  <si>
    <t>47.0284.1.2.17.00.01.039.01.07.25.3</t>
  </si>
  <si>
    <t>Gr Aves-Peito-Pesar Filetados Pct-3°T</t>
  </si>
  <si>
    <t>47.0284.1.2.17.00.01.039.01.07.06.1</t>
  </si>
  <si>
    <t>Gr Aves-Peito-Pesar Peito Bloco-1°T</t>
  </si>
  <si>
    <t>47.0284.1.2.17.00.01.039.01.07.06.2</t>
  </si>
  <si>
    <t>Gr Aves-Peito-Pesar Peito Bloco-2°T</t>
  </si>
  <si>
    <t>47.0284.1.2.17.00.01.039.01.07.06.3</t>
  </si>
  <si>
    <t>Gr Aves-Peito-Pesar Peito Bloco-3°T</t>
  </si>
  <si>
    <t>47.0284.1.2.17.00.01.039.01.07.08.1</t>
  </si>
  <si>
    <t>Gr Aves-Peito-Pesar Peito Pct-1°T</t>
  </si>
  <si>
    <t>47.0284.1.2.17.00.01.039.01.07.08.2</t>
  </si>
  <si>
    <t>Gr Aves-Peito-Pesar Peito Pct-2°T</t>
  </si>
  <si>
    <t>47.0284.1.2.17.00.01.039.01.07.08.3</t>
  </si>
  <si>
    <t>Gr Aves-Peito-Pesar Peito Pct-3°T</t>
  </si>
  <si>
    <t>47.0284.1.2.17.00.01.039.01.07.28.1</t>
  </si>
  <si>
    <t>Gr Aves-Peito-Pesar Produtos Bandejas-1°T</t>
  </si>
  <si>
    <t>47.0284.1.2.17.00.01.039.01.07.28.2</t>
  </si>
  <si>
    <t>Gr Aves-Peito-Pesar Produtos Bandejas-2°T</t>
  </si>
  <si>
    <t>47.0284.1.2.17.00.01.039.01.07.28.3</t>
  </si>
  <si>
    <t>Gr Aves-Peito-Pesar Produtos Bandejas-3°T</t>
  </si>
  <si>
    <t>47.0284.1.2.17.00.01.039.01.07.15.1</t>
  </si>
  <si>
    <t>Gr Aves-Peito-Pesar Sassami Bloco-1°T</t>
  </si>
  <si>
    <t>47.0284.1.2.17.00.01.039.01.07.15.2</t>
  </si>
  <si>
    <t>Gr Aves-Peito-Pesar Sassami Bloco-2°T</t>
  </si>
  <si>
    <t>47.0284.1.2.17.00.01.039.01.07.15.3</t>
  </si>
  <si>
    <t>Gr Aves-Peito-Pesar Sassami Bloco-3°T</t>
  </si>
  <si>
    <t>47.0284.1.2.17.00.01.039.01.07.17.1</t>
  </si>
  <si>
    <t>Gr Aves-Peito-Pesar Sassami Pct-1°T</t>
  </si>
  <si>
    <t>47.0284.1.2.17.00.01.039.01.07.17.2</t>
  </si>
  <si>
    <t>Gr Aves-Peito-Pesar Sassami Pct-2°T</t>
  </si>
  <si>
    <t>47.0284.1.2.17.00.01.039.01.07.17.3</t>
  </si>
  <si>
    <t>Gr Aves-Peito-Pesar Sassami Pct-3°T</t>
  </si>
  <si>
    <t>47.0284.1.2.17.00.01.039.01.07.38.1</t>
  </si>
  <si>
    <t>Gr Aves-Peito-Pesar-Temp-1°T</t>
  </si>
  <si>
    <t>47.0284.1.2.17.00.01.039.01.07.38.2</t>
  </si>
  <si>
    <t>Gr Aves-Peito-Pesar-Temp-2°T</t>
  </si>
  <si>
    <t>47.0284.1.2.17.00.01.039.01.07.38.3</t>
  </si>
  <si>
    <t>Gr Aves-Peito-Pesar-Temp-3°T</t>
  </si>
  <si>
    <t>47.0284.1.2.17.00.01.039.01.07.24.1</t>
  </si>
  <si>
    <t>Gr Aves-Peito-Refilar Peito Filetado-1°T</t>
  </si>
  <si>
    <t>47.0284.1.2.17.00.01.039.01.07.24.2</t>
  </si>
  <si>
    <t>Gr Aves-Peito-Refilar Peito Filetado-2°T</t>
  </si>
  <si>
    <t>47.0284.1.2.17.00.01.039.01.07.24.3</t>
  </si>
  <si>
    <t>Gr Aves-Peito-Refilar Peito Filetado-3°T</t>
  </si>
  <si>
    <t>47.0284.1.2.17.00.01.039.01.07.03.1</t>
  </si>
  <si>
    <t>Gr Aves-Peito-Refilar Peito-1°T</t>
  </si>
  <si>
    <t>47.0284.1.2.17.00.01.039.01.07.03.2</t>
  </si>
  <si>
    <t>Gr Aves-Peito-Refilar Peito-2°T</t>
  </si>
  <si>
    <t>47.0284.1.2.17.00.01.039.01.07.03.3</t>
  </si>
  <si>
    <t>Gr Aves-Peito-Refilar Peito-3°T</t>
  </si>
  <si>
    <t>47.0284.1.2.17.00.01.039.01.07.01.1</t>
  </si>
  <si>
    <t>Gr Aves-Peito-Revisar Peito após desossa-1°T</t>
  </si>
  <si>
    <t>47.0284.1.2.17.00.01.039.01.07.01.2</t>
  </si>
  <si>
    <t>Gr Aves-Peito-Revisar Peito após desossa-2°T</t>
  </si>
  <si>
    <t>47.0284.1.2.17.00.01.039.01.07.01.3</t>
  </si>
  <si>
    <t>Gr Aves-Peito-Revisar Peito após desossa-3°T</t>
  </si>
  <si>
    <t>47.0284.1.2.17.00.01.039.01.07.04.1</t>
  </si>
  <si>
    <t>Gr Aves-Peito-Revisar/Classificar Peito Refilado-1°T</t>
  </si>
  <si>
    <t>47.0284.1.2.17.00.01.039.01.07.04.2</t>
  </si>
  <si>
    <t>Gr Aves-Peito-Revisar/Classificar Peito Refilado-2°T</t>
  </si>
  <si>
    <t>47.0284.1.2.17.00.01.039.01.07.04.3</t>
  </si>
  <si>
    <t>Gr Aves-Peito-Revisar/Classificar Peito Refilado-3°T</t>
  </si>
  <si>
    <t>47.0284.1.2.17.00.01.039.01.07.36.1</t>
  </si>
  <si>
    <t>Gr Aves-Peito-Salgar Cortes-1°T</t>
  </si>
  <si>
    <t>47.0284.1.2.17.00.01.039.01.07.36.2</t>
  </si>
  <si>
    <t>Gr Aves-Peito-Salgar Cortes-2°T</t>
  </si>
  <si>
    <t>47.0284.1.2.17.00.01.039.01.07.36.3</t>
  </si>
  <si>
    <t>Gr Aves-Peito-Salgar Cortes-3°T</t>
  </si>
  <si>
    <t>47.0284.1.2.17.00.01.039.01.07.09.1</t>
  </si>
  <si>
    <t>Gr Aves-Peito-Selar Peito-1°T</t>
  </si>
  <si>
    <t>47.0284.1.2.17.00.01.039.01.07.09.2</t>
  </si>
  <si>
    <t>Gr Aves-Peito-Selar Peito-2°T</t>
  </si>
  <si>
    <t>47.0284.1.2.17.00.01.039.01.07.09.3</t>
  </si>
  <si>
    <t>Gr Aves-Peito-Selar Peito-3°T</t>
  </si>
  <si>
    <t>47.0284.1.2.17.00.01.039.01.07.43.1</t>
  </si>
  <si>
    <t>Gr Aves-Peito-Selar Recortes-1°T</t>
  </si>
  <si>
    <t>47.0284.1.2.17.00.01.039.01.07.43.2</t>
  </si>
  <si>
    <t>Gr Aves-Peito-Selar Recortes-2°T</t>
  </si>
  <si>
    <t>47.0284.1.2.17.00.01.039.01.07.43.3</t>
  </si>
  <si>
    <t>Gr Aves-Peito-Selar Recortes-3°T</t>
  </si>
  <si>
    <t>47.0284.1.2.17.00.01.039.01.07.18.1</t>
  </si>
  <si>
    <t>Gr Aves-Peito-Selar Sassami-1°T</t>
  </si>
  <si>
    <t>47.0284.1.2.17.00.01.039.01.07.18.2</t>
  </si>
  <si>
    <t>Gr Aves-Peito-Selar Sassami-2°T</t>
  </si>
  <si>
    <t>47.0284.1.2.17.00.01.039.01.07.18.3</t>
  </si>
  <si>
    <t>Gr Aves-Peito-Selar Sassami-3°T</t>
  </si>
  <si>
    <t>47.0284.1.2.17.00.01.039.01.07.39.1</t>
  </si>
  <si>
    <t>Gr Aves-Peito-Selar-Temp-1°T</t>
  </si>
  <si>
    <t>47.0284.1.2.17.00.01.039.01.07.39.2</t>
  </si>
  <si>
    <t>Gr Aves-Peito-Selar-Temp-2°T</t>
  </si>
  <si>
    <t>47.0284.1.2.17.00.01.039.01.07.39.3</t>
  </si>
  <si>
    <t>Gr Aves-Peito-Selar-Temp-3°T</t>
  </si>
  <si>
    <t>47.0284.1.2.17.00.01.039.01.07.55.1</t>
  </si>
  <si>
    <t>Gr Aves-Peito-Transportar-1°T</t>
  </si>
  <si>
    <t>47.0284.1.2.17.00.01.039.01.07.55.2</t>
  </si>
  <si>
    <t>Gr Aves-Peito-Transportar-2°T</t>
  </si>
  <si>
    <t>47.0284.1.2.17.00.01.039.01.07.55.3</t>
  </si>
  <si>
    <t>Gr Aves-Peito-Transportar-3°T</t>
  </si>
  <si>
    <t>47.0284.1.2.17.00.01.039.01.01.03.1</t>
  </si>
  <si>
    <t>Gr Aves-Pendura/ Sangria-Abrir Gaiolas-1°T</t>
  </si>
  <si>
    <t>47.0284.1.2.17.00.01.039.01.01.03.2</t>
  </si>
  <si>
    <t>Gr Aves-Pendura/ Sangria-Abrir Gaiolas-2°T</t>
  </si>
  <si>
    <t>47.0284.1.2.17.00.01.039.01.01.03.3</t>
  </si>
  <si>
    <t>Gr Aves-Pendura/ Sangria-Abrir Gaiolas-3°T</t>
  </si>
  <si>
    <t>47.0284.1.2.17.00.01.039.01.01.01.1</t>
  </si>
  <si>
    <t>Gr Aves-Pendura/ Sangria-Bem Estar Animal-1°T</t>
  </si>
  <si>
    <t>47.0284.1.2.17.00.01.039.01.01.01.2</t>
  </si>
  <si>
    <t>Gr Aves-Pendura/ Sangria-Bem Estar Animal-2°T</t>
  </si>
  <si>
    <t>47.0284.1.2.17.00.01.039.01.01.01.3</t>
  </si>
  <si>
    <t>Gr Aves-Pendura/ Sangria-Bem Estar Animal-3°T</t>
  </si>
  <si>
    <t>47.0284.1.2.17.00.01.039.01.01.07.1</t>
  </si>
  <si>
    <t>Gr Aves-Pendura/ Sangria-Carregar Caminhão-1°T</t>
  </si>
  <si>
    <t>47.0284.1.2.17.00.01.039.01.01.07.2</t>
  </si>
  <si>
    <t>Gr Aves-Pendura/ Sangria-Carregar Caminhão-2°T</t>
  </si>
  <si>
    <t>47.0284.1.2.17.00.01.039.01.01.07.3</t>
  </si>
  <si>
    <t>Gr Aves-Pendura/ Sangria-Carregar Caminhão-3°T</t>
  </si>
  <si>
    <t>47.0284.1.2.17.00.01.039.01.01.02.1</t>
  </si>
  <si>
    <t>Gr Aves-Pendura/ Sangria-Descarregar Aves Manual-1°T</t>
  </si>
  <si>
    <t>47.0284.1.2.17.00.01.039.01.01.02.2</t>
  </si>
  <si>
    <t>Gr Aves-Pendura/ Sangria-Descarregar Aves Manual-2°T</t>
  </si>
  <si>
    <t>47.0284.1.2.17.00.01.039.01.01.02.3</t>
  </si>
  <si>
    <t>Gr Aves-Pendura/ Sangria-Descarregar Aves Manual-3°T</t>
  </si>
  <si>
    <t>47.0284.1.2.17.00.01.039.01.01.05.1</t>
  </si>
  <si>
    <t>Gr Aves-Pendura/ Sangria-Empilhar Gaiolas-1°T</t>
  </si>
  <si>
    <t>47.0284.1.2.17.00.01.039.01.01.05.2</t>
  </si>
  <si>
    <t>Gr Aves-Pendura/ Sangria-Empilhar Gaiolas-2°T</t>
  </si>
  <si>
    <t>47.0284.1.2.17.00.01.039.01.01.05.3</t>
  </si>
  <si>
    <t>Gr Aves-Pendura/ Sangria-Empilhar Gaiolas-3°T</t>
  </si>
  <si>
    <t>47.0284.1.2.17.00.01.039.01.01.08.1</t>
  </si>
  <si>
    <t>Gr Aves-Pendura/ Sangria-Lavar Caminhão-1°T</t>
  </si>
  <si>
    <t>47.0284.1.2.17.00.01.039.01.01.08.2</t>
  </si>
  <si>
    <t>Gr Aves-Pendura/ Sangria-Lavar Caminhão-2°T</t>
  </si>
  <si>
    <t>47.0284.1.2.17.00.01.039.01.01.08.3</t>
  </si>
  <si>
    <t>Gr Aves-Pendura/ Sangria-Lavar Caminhão-3°T</t>
  </si>
  <si>
    <t>47.0284.1.2.17.00.01.039.01.01.11.1</t>
  </si>
  <si>
    <t>Gr Aves-Pendura/ Sangria-Limpeza de Setor-1°T</t>
  </si>
  <si>
    <t>47.0284.1.2.17.00.01.039.01.01.06.1</t>
  </si>
  <si>
    <t>Gr Aves-Pendura/ Sangria-Máquina Empilhador-1°T</t>
  </si>
  <si>
    <t>47.0284.1.2.17.00.01.039.01.01.06.2</t>
  </si>
  <si>
    <t>Gr Aves-Pendura/ Sangria-Máquina Empilhador-2°T</t>
  </si>
  <si>
    <t>47.0284.1.2.17.00.01.039.01.01.06.3</t>
  </si>
  <si>
    <t>Gr Aves-Pendura/ Sangria-Máquina Empilhador-3°T</t>
  </si>
  <si>
    <t>47.0284.1.2.17.00.01.039.01.01.04.1</t>
  </si>
  <si>
    <t>Gr Aves-Pendura/ Sangria-Pendurar Aves-1°T</t>
  </si>
  <si>
    <t>47.0284.1.2.17.00.01.039.01.01.04.2</t>
  </si>
  <si>
    <t>Gr Aves-Pendura/ Sangria-Pendurar Aves-2°T</t>
  </si>
  <si>
    <t>47.0284.1.2.17.00.01.039.01.01.04.3</t>
  </si>
  <si>
    <t>Gr Aves-Pendura/ Sangria-Pendurar Aves-3°T</t>
  </si>
  <si>
    <t>47.0284.1.2.17.00.01.039.01.01.10.1</t>
  </si>
  <si>
    <t>Gr Aves-Pendura/ Sangria-Repassar Sangria-1°T</t>
  </si>
  <si>
    <t>47.0284.1.2.17.00.01.039.01.01.10.2</t>
  </si>
  <si>
    <t>Gr Aves-Pendura/ Sangria-Repassar Sangria-2°T</t>
  </si>
  <si>
    <t>47.0284.1.2.17.00.01.039.01.01.10.3</t>
  </si>
  <si>
    <t>Gr Aves-Pendura/ Sangria-Repassar Sangria-3°T</t>
  </si>
  <si>
    <t>47.0284.1.2.17.00.01.039.01.01.09.1</t>
  </si>
  <si>
    <t>Gr Aves-Pendura/ Sangria-Sangrar Aves-1°T</t>
  </si>
  <si>
    <t>47.0284.1.2.17.00.01.039.01.01.09.2</t>
  </si>
  <si>
    <t>Gr Aves-Pendura/ Sangria-Sangrar Aves-2°T</t>
  </si>
  <si>
    <t>47.0284.1.2.17.00.01.039.01.01.09.3</t>
  </si>
  <si>
    <t>Gr Aves-Pendura/ Sangria-Sangrar Aves-3°T</t>
  </si>
  <si>
    <t>47.0284.1.2.17.00.01.039.01.08.07.1</t>
  </si>
  <si>
    <t>Gr Aves-Perna-Abastecer Classificadora (Perna S/O)-1°T</t>
  </si>
  <si>
    <t>47.0284.1.2.17.00.01.039.01.08.07.2</t>
  </si>
  <si>
    <t>Gr Aves-Perna-Abastecer Classificadora (Perna S/O)-2°T</t>
  </si>
  <si>
    <t>47.0284.1.2.17.00.01.039.01.08.07.3</t>
  </si>
  <si>
    <t>Gr Aves-Perna-Abastecer Classificadora (Perna S/O)-3°T</t>
  </si>
  <si>
    <t>47.0284.1.2.17.00.01.039.01.08.02.1</t>
  </si>
  <si>
    <t>Gr Aves-Perna-Abastecer Máquina Desossa-1°T</t>
  </si>
  <si>
    <t>47.0284.1.2.17.00.01.039.01.08.02.2</t>
  </si>
  <si>
    <t>Gr Aves-Perna-Abastecer Máquina Desossa-2°T</t>
  </si>
  <si>
    <t>47.0284.1.2.17.00.01.039.01.08.02.3</t>
  </si>
  <si>
    <t>Gr Aves-Perna-Abastecer Máquina Desossa-3°T</t>
  </si>
  <si>
    <t>47.0284.1.2.17.00.01.039.01.08.30.1</t>
  </si>
  <si>
    <t>Gr Aves-Perna-Abastecer Máquina Embaladora Continua-1°T</t>
  </si>
  <si>
    <t>47.0284.1.2.17.00.01.039.01.08.30.2</t>
  </si>
  <si>
    <t>Gr Aves-Perna-Abastecer Máquina Embaladora Continua-2°T</t>
  </si>
  <si>
    <t>47.0284.1.2.17.00.01.039.01.08.30.3</t>
  </si>
  <si>
    <t>Gr Aves-Perna-Abastecer Máquina Embaladora Continua-3°T</t>
  </si>
  <si>
    <t>47.0284.1.2.17.00.01.039.01.08.01.1</t>
  </si>
  <si>
    <t>Gr Aves-Perna-Abastecer Mesa-1°T</t>
  </si>
  <si>
    <t>47.0284.1.2.17.00.01.039.01.08.01.2</t>
  </si>
  <si>
    <t>Gr Aves-Perna-Abastecer Mesa-2°T</t>
  </si>
  <si>
    <t>47.0284.1.2.17.00.01.039.01.08.01.3</t>
  </si>
  <si>
    <t>Gr Aves-Perna-Abastecer Mesa-3°T</t>
  </si>
  <si>
    <t>47.0284.1.2.17.00.01.039.01.08.31.1</t>
  </si>
  <si>
    <t>Gr Aves-Perna-Abastecer Seladora a Vácuo-1°T</t>
  </si>
  <si>
    <t>47.0284.1.2.17.00.01.039.01.08.31.2</t>
  </si>
  <si>
    <t>Gr Aves-Perna-Abastecer Seladora a Vácuo-2°T</t>
  </si>
  <si>
    <t>47.0284.1.2.17.00.01.039.01.08.31.3</t>
  </si>
  <si>
    <t>Gr Aves-Perna-Abastecer Seladora a Vácuo-3°T</t>
  </si>
  <si>
    <t>47.0284.1.2.17.00.01.039.01.08.17.1</t>
  </si>
  <si>
    <t>Gr Aves-Perna-Abastecer Skinner-1°T</t>
  </si>
  <si>
    <t>47.0284.1.2.17.00.01.039.01.08.17.2</t>
  </si>
  <si>
    <t>Gr Aves-Perna-Abastecer Skinner-2°T</t>
  </si>
  <si>
    <t>47.0284.1.2.17.00.01.039.01.08.17.3</t>
  </si>
  <si>
    <t>Gr Aves-Perna-Abastecer Skinner-3°T</t>
  </si>
  <si>
    <t>47.0284.1.2.17.00.01.039.01.08.14.1</t>
  </si>
  <si>
    <t>Gr Aves-Perna-Alimentar Classificadora de BLK-1°T</t>
  </si>
  <si>
    <t>47.0284.1.2.17.00.01.039.01.08.14.2</t>
  </si>
  <si>
    <t>Gr Aves-Perna-Alimentar Classificadora de BLK-2°T</t>
  </si>
  <si>
    <t>47.0284.1.2.17.00.01.039.01.08.14.3</t>
  </si>
  <si>
    <t>Gr Aves-Perna-Alimentar Classificadora de BLK-3°T</t>
  </si>
  <si>
    <t>47.0284.1.2.17.00.01.039.01.08.10.1</t>
  </si>
  <si>
    <t>Gr Aves-Perna-Alimentar Esteira de Contato-1°T</t>
  </si>
  <si>
    <t>47.0284.1.2.17.00.01.039.01.08.10.2</t>
  </si>
  <si>
    <t>Gr Aves-Perna-Alimentar Esteira de Contato-2°T</t>
  </si>
  <si>
    <t>47.0284.1.2.17.00.01.039.01.08.10.3</t>
  </si>
  <si>
    <t>Gr Aves-Perna-Alimentar Esteira de Contato-3°T</t>
  </si>
  <si>
    <t>47.0284.1.2.17.00.01.039.01.08.27.1</t>
  </si>
  <si>
    <t>Gr Aves-Perna-Alimentar Máquina de Bandeja-1°T</t>
  </si>
  <si>
    <t>47.0284.1.2.17.00.01.039.01.08.27.2</t>
  </si>
  <si>
    <t>Gr Aves-Perna-Alimentar Máquina de Bandeja-2°T</t>
  </si>
  <si>
    <t>47.0284.1.2.17.00.01.039.01.08.27.3</t>
  </si>
  <si>
    <t>Gr Aves-Perna-Alimentar Máquina de Bandeja-3°T</t>
  </si>
  <si>
    <t>47.0284.1.2.17.00.01.039.01.08.11.1</t>
  </si>
  <si>
    <t>Gr Aves-Perna-Alimentar Modulo 1 (B-36)-1°T</t>
  </si>
  <si>
    <t>47.0284.1.2.17.00.01.039.01.08.11.2</t>
  </si>
  <si>
    <t>Gr Aves-Perna-Alimentar Modulo 1 (B-36)-2°T</t>
  </si>
  <si>
    <t>47.0284.1.2.17.00.01.039.01.08.11.3</t>
  </si>
  <si>
    <t>Gr Aves-Perna-Alimentar Modulo 1 (B-36)-3°T</t>
  </si>
  <si>
    <t>47.0284.1.2.17.00.01.039.01.08.12.1</t>
  </si>
  <si>
    <t>Gr Aves-Perna-Alimentar Modulo 2 (B-22)-1°T</t>
  </si>
  <si>
    <t>47.0284.1.2.17.00.01.039.01.08.12.2</t>
  </si>
  <si>
    <t>Gr Aves-Perna-Alimentar Modulo 2 (B-22)-2°T</t>
  </si>
  <si>
    <t>47.0284.1.2.17.00.01.039.01.08.12.3</t>
  </si>
  <si>
    <t>Gr Aves-Perna-Alimentar Modulo 2 (B-22)-3°T</t>
  </si>
  <si>
    <t>47.0284.1.2.17.00.01.039.01.08.32.1</t>
  </si>
  <si>
    <t>Gr Aves-Perna-Arrumar Pacotes na Caixa-1°T</t>
  </si>
  <si>
    <t>47.0284.1.2.17.00.01.039.01.08.32.2</t>
  </si>
  <si>
    <t>Gr Aves-Perna-Arrumar Pacotes na Caixa-2°T</t>
  </si>
  <si>
    <t>47.0284.1.2.17.00.01.039.01.08.32.3</t>
  </si>
  <si>
    <t>Gr Aves-Perna-Arrumar Pacotes na Caixa-3°T</t>
  </si>
  <si>
    <t>47.0284.1.2.17.00.01.039.01.08.34.1</t>
  </si>
  <si>
    <t>Gr Aves-Perna-Chairador-1°T</t>
  </si>
  <si>
    <t>47.0284.1.2.17.00.01.039.01.08.34.2</t>
  </si>
  <si>
    <t>Gr Aves-Perna-Chairador-2°T</t>
  </si>
  <si>
    <t>47.0284.1.2.17.00.01.039.01.08.34.3</t>
  </si>
  <si>
    <t>Gr Aves-Perna-Chairador-3°T</t>
  </si>
  <si>
    <t>47.0284.1.2.17.00.01.039.01.08.13.1</t>
  </si>
  <si>
    <t>Gr Aves-Perna-Classificação Visual BLK-1°T</t>
  </si>
  <si>
    <t>47.0284.1.2.17.00.01.039.01.08.13.2</t>
  </si>
  <si>
    <t>Gr Aves-Perna-Classificação Visual BLK-2°T</t>
  </si>
  <si>
    <t>47.0284.1.2.17.00.01.039.01.08.13.3</t>
  </si>
  <si>
    <t>Gr Aves-Perna-Classificação Visual BLK-3°T</t>
  </si>
  <si>
    <t>47.0284.1.2.17.00.01.039.01.08.33.1</t>
  </si>
  <si>
    <t>Gr Aves-Perna-Classificar e Embalar Cartilagem-1°T</t>
  </si>
  <si>
    <t>47.0284.1.2.17.00.01.039.01.08.33.2</t>
  </si>
  <si>
    <t>Gr Aves-Perna-Classificar e Embalar Cartilagem-2°T</t>
  </si>
  <si>
    <t>47.0284.1.2.17.00.01.039.01.08.33.3</t>
  </si>
  <si>
    <t>Gr Aves-Perna-Classificar e Embalar Cartilagem-3°T</t>
  </si>
  <si>
    <t>47.0284.1.2.17.00.01.039.01.08.18.1</t>
  </si>
  <si>
    <t>Gr Aves-Perna-Classificar Perna s/ Pele-1°T</t>
  </si>
  <si>
    <t>47.0284.1.2.17.00.01.039.01.08.18.2</t>
  </si>
  <si>
    <t>Gr Aves-Perna-Classificar Perna s/ Pele-2°T</t>
  </si>
  <si>
    <t>47.0284.1.2.17.00.01.039.01.08.18.3</t>
  </si>
  <si>
    <t>Gr Aves-Perna-Classificar Perna s/ Pele-3°T</t>
  </si>
  <si>
    <t>47.0284.1.2.17.00.01.039.01.08.06.1</t>
  </si>
  <si>
    <t>Gr Aves-Perna-Classificar Perna-1°T</t>
  </si>
  <si>
    <t>47.0284.1.2.17.00.01.039.01.08.06.2</t>
  </si>
  <si>
    <t>Gr Aves-Perna-Classificar Perna-2°T</t>
  </si>
  <si>
    <t>47.0284.1.2.17.00.01.039.01.08.06.3</t>
  </si>
  <si>
    <t>Gr Aves-Perna-Classificar Perna-3°T</t>
  </si>
  <si>
    <t>47.0284.1.2.17.00.01.039.01.08.40.3</t>
  </si>
  <si>
    <t>Gr Aves-Perna-Controlador-3°T</t>
  </si>
  <si>
    <t>47.0284.1.2.17.00.01.039.01.08.03.1</t>
  </si>
  <si>
    <t>Gr Aves-Perna-Desossar Perna-1°T</t>
  </si>
  <si>
    <t>47.0284.1.2.17.00.01.039.01.08.03.2</t>
  </si>
  <si>
    <t>Gr Aves-Perna-Desossar Perna-2°T</t>
  </si>
  <si>
    <t>47.0284.1.2.17.00.01.039.01.08.03.3</t>
  </si>
  <si>
    <t>Gr Aves-Perna-Desossar Perna-3°T</t>
  </si>
  <si>
    <t>47.0284.1.2.17.00.01.039.01.08.15.1</t>
  </si>
  <si>
    <t>Gr Aves-Perna-Embalar BLK-1°T</t>
  </si>
  <si>
    <t>47.0284.1.2.17.00.01.039.01.08.15.2</t>
  </si>
  <si>
    <t>Gr Aves-Perna-Embalar BLK-2°T</t>
  </si>
  <si>
    <t>47.0284.1.2.17.00.01.039.01.08.15.3</t>
  </si>
  <si>
    <t>Gr Aves-Perna-Embalar BLK-3°T</t>
  </si>
  <si>
    <t>47.0284.1.2.17.00.01.039.01.08.25.1</t>
  </si>
  <si>
    <t>Gr Aves-Perna-Embalar Cortes em Bandejas-1°T</t>
  </si>
  <si>
    <t>47.0284.1.2.17.00.01.039.01.08.25.2</t>
  </si>
  <si>
    <t>Gr Aves-Perna-Embalar Cortes em Bandejas-2°T</t>
  </si>
  <si>
    <t>47.0284.1.2.17.00.01.039.01.08.25.3</t>
  </si>
  <si>
    <t>Gr Aves-Perna-Embalar Cortes em Bandejas-3°T</t>
  </si>
  <si>
    <t>47.0284.1.2.17.00.01.039.01.08.21.1</t>
  </si>
  <si>
    <t>Gr Aves-Perna-Embalar e Pesar Schawarma-1°T</t>
  </si>
  <si>
    <t>47.0284.1.2.17.00.01.039.01.08.21.2</t>
  </si>
  <si>
    <t>Gr Aves-Perna-Embalar e Pesar Schawarma-2°T</t>
  </si>
  <si>
    <t>47.0284.1.2.17.00.01.039.01.08.21.3</t>
  </si>
  <si>
    <t>Gr Aves-Perna-Embalar e Pesar Schawarma-3°T</t>
  </si>
  <si>
    <t>47.0284.1.2.17.00.01.039.01.08.23.1</t>
  </si>
  <si>
    <t>Gr Aves-Perna-Embalar Perna Bloco c/ Osso-1°T</t>
  </si>
  <si>
    <t>47.0284.1.2.17.00.01.039.01.08.23.2</t>
  </si>
  <si>
    <t>Gr Aves-Perna-Embalar Perna Bloco c/ Osso-2°T</t>
  </si>
  <si>
    <t>47.0284.1.2.17.00.01.039.01.08.23.3</t>
  </si>
  <si>
    <t>Gr Aves-Perna-Embalar Perna Bloco c/ Osso-3°T</t>
  </si>
  <si>
    <t>47.0284.1.2.17.00.01.039.01.08.08.1</t>
  </si>
  <si>
    <t>Gr Aves-Perna-Embalar Produto-1°T</t>
  </si>
  <si>
    <t>47.0284.1.2.17.00.01.039.01.08.08.2</t>
  </si>
  <si>
    <t>Gr Aves-Perna-Embalar Produto-2°T</t>
  </si>
  <si>
    <t>47.0284.1.2.17.00.01.039.01.08.08.3</t>
  </si>
  <si>
    <t>Gr Aves-Perna-Embalar Produto-3°T</t>
  </si>
  <si>
    <t>47.0284.1.2.17.00.01.039.01.08.19.1</t>
  </si>
  <si>
    <t>Gr Aves-Perna-Embalar/Pesar Perna s/ Pele-1°T</t>
  </si>
  <si>
    <t>47.0284.1.2.17.00.01.039.01.08.19.2</t>
  </si>
  <si>
    <t>Gr Aves-Perna-Embalar/Pesar Perna s/ Pele-2°T</t>
  </si>
  <si>
    <t>47.0284.1.2.17.00.01.039.01.08.19.3</t>
  </si>
  <si>
    <t>Gr Aves-Perna-Embalar/Pesar Perna s/ Pele-3°T</t>
  </si>
  <si>
    <t>47.0284.1.2.17.00.01.039.01.08.29.1</t>
  </si>
  <si>
    <t>Gr Aves-Perna-Encaixotar Bandejas-1°T</t>
  </si>
  <si>
    <t>47.0284.1.2.17.00.01.039.01.08.29.2</t>
  </si>
  <si>
    <t>Gr Aves-Perna-Encaixotar Bandejas-2°T</t>
  </si>
  <si>
    <t>47.0284.1.2.17.00.01.039.01.08.29.3</t>
  </si>
  <si>
    <t>Gr Aves-Perna-Encaixotar Bandejas-3°T</t>
  </si>
  <si>
    <t>47.0284.1.2.17.00.01.039.01.08.28.1</t>
  </si>
  <si>
    <t>Gr Aves-Perna-Etiquetar Bandejas-1°T</t>
  </si>
  <si>
    <t>47.0284.1.2.17.00.01.039.01.08.28.2</t>
  </si>
  <si>
    <t>Gr Aves-Perna-Etiquetar Bandejas-2°T</t>
  </si>
  <si>
    <t>47.0284.1.2.17.00.01.039.01.08.28.3</t>
  </si>
  <si>
    <t>Gr Aves-Perna-Etiquetar Bandejas-3°T</t>
  </si>
  <si>
    <t>47.0284.1.2.17.00.01.039.01.08.42.3</t>
  </si>
  <si>
    <t>Gr Aves-Perna-Limpar Setor-3°T</t>
  </si>
  <si>
    <t>47.0284.1.2.17.00.01.039.01.08.42.1</t>
  </si>
  <si>
    <t>Gr Aves-Perna-Limpeza de Setor-1°T</t>
  </si>
  <si>
    <t>47.0284.1.2.17.00.01.039.01.08.42.2</t>
  </si>
  <si>
    <t>Gr Aves-Perna-Limpeza de Setor-2°T</t>
  </si>
  <si>
    <t>47.0284.1.2.17.00.01.039.01.08.40.1</t>
  </si>
  <si>
    <t>Gr Aves-Perna-Monitor-1°T</t>
  </si>
  <si>
    <t>47.0284.1.2.17.00.01.039.01.08.40.2</t>
  </si>
  <si>
    <t>Gr Aves-Perna-Monitor-2°T</t>
  </si>
  <si>
    <t>47.0284.1.2.17.00.01.039.01.08.36.1</t>
  </si>
  <si>
    <t>Gr Aves-Perna-Operar Classificadora-1°T</t>
  </si>
  <si>
    <t>47.0284.1.2.17.00.01.039.01.08.36.2</t>
  </si>
  <si>
    <t>Gr Aves-Perna-Operar Classificadora-2°T</t>
  </si>
  <si>
    <t>47.0284.1.2.17.00.01.039.01.08.36.3</t>
  </si>
  <si>
    <t>Gr Aves-Perna-Operar Classificadora-3°T</t>
  </si>
  <si>
    <t>47.0284.1.2.17.00.01.039.01.08.38.1</t>
  </si>
  <si>
    <t>Gr Aves-Perna-Operar Máquina Bandeja-1°T</t>
  </si>
  <si>
    <t>47.0284.1.2.17.00.01.039.01.08.38.2</t>
  </si>
  <si>
    <t>Gr Aves-Perna-Operar Máquina Bandeja-2°T</t>
  </si>
  <si>
    <t>47.0284.1.2.17.00.01.039.01.08.38.3</t>
  </si>
  <si>
    <t>Gr Aves-Perna-Operar Máquina Bandeja-3°T</t>
  </si>
  <si>
    <t>47.0284.1.2.17.00.01.039.01.08.35.1</t>
  </si>
  <si>
    <t>Gr Aves-Perna-Operar Máquinas e Equipamentos-1°T</t>
  </si>
  <si>
    <t>47.0284.1.2.17.00.01.039.01.08.35.2</t>
  </si>
  <si>
    <t>Gr Aves-Perna-Operar Máquinas e Equipamentos-2°T</t>
  </si>
  <si>
    <t>47.0284.1.2.17.00.01.039.01.08.35.3</t>
  </si>
  <si>
    <t>Gr Aves-Perna-Operar Máquinas e Equipamentos-3°T</t>
  </si>
  <si>
    <t>47.0284.1.2.17.00.01.039.01.08.39.1</t>
  </si>
  <si>
    <t>Gr Aves-Perna-Operar Paleteira-1°T</t>
  </si>
  <si>
    <t>47.0284.1.2.17.00.01.039.01.08.39.2</t>
  </si>
  <si>
    <t>Gr Aves-Perna-Operar Paleteira-2°T</t>
  </si>
  <si>
    <t>47.0284.1.2.17.00.01.039.01.08.39.3</t>
  </si>
  <si>
    <t>Gr Aves-Perna-Operar Paleteira-3°T</t>
  </si>
  <si>
    <t>47.0284.1.2.17.00.01.039.01.08.37.1</t>
  </si>
  <si>
    <t>Gr Aves-Perna-Operar Tumbler-1°T</t>
  </si>
  <si>
    <t>47.0284.1.2.17.00.01.039.01.08.37.2</t>
  </si>
  <si>
    <t>Gr Aves-Perna-Operar Tumbler-2°T</t>
  </si>
  <si>
    <t>47.0284.1.2.17.00.01.039.01.08.37.3</t>
  </si>
  <si>
    <t>Gr Aves-Perna-Operar Tumbler-3°T</t>
  </si>
  <si>
    <t>47.0284.1.2.17.00.01.039.01.08.16.1</t>
  </si>
  <si>
    <t>Gr Aves-Perna-Pesar BLK-1°T</t>
  </si>
  <si>
    <t>47.0284.1.2.17.00.01.039.01.08.16.2</t>
  </si>
  <si>
    <t>Gr Aves-Perna-Pesar BLK-2°T</t>
  </si>
  <si>
    <t>47.0284.1.2.17.00.01.039.01.08.16.3</t>
  </si>
  <si>
    <t>Gr Aves-Perna-Pesar BLK-3°T</t>
  </si>
  <si>
    <t>47.0284.1.2.17.00.01.039.01.08.09.1</t>
  </si>
  <si>
    <t>Gr Aves-Perna-Pesar Pacotes-1°T</t>
  </si>
  <si>
    <t>47.0284.1.2.17.00.01.039.01.08.09.2</t>
  </si>
  <si>
    <t>Gr Aves-Perna-Pesar Pacotes-2°T</t>
  </si>
  <si>
    <t>47.0284.1.2.17.00.01.039.01.08.09.3</t>
  </si>
  <si>
    <t>Gr Aves-Perna-Pesar Pacotes-3°T</t>
  </si>
  <si>
    <t>47.0284.1.2.17.00.01.039.01.08.24.1</t>
  </si>
  <si>
    <t>Gr Aves-Perna-Pesar Perna Bloco c/ Osso-1°T</t>
  </si>
  <si>
    <t>47.0284.1.2.17.00.01.039.01.08.24.2</t>
  </si>
  <si>
    <t>Gr Aves-Perna-Pesar Perna Bloco c/ Osso-2°T</t>
  </si>
  <si>
    <t>47.0284.1.2.17.00.01.039.01.08.24.3</t>
  </si>
  <si>
    <t>Gr Aves-Perna-Pesar Perna Bloco c/ Osso-3°T</t>
  </si>
  <si>
    <t>47.0284.1.2.17.00.01.039.01.08.26.1</t>
  </si>
  <si>
    <t>Gr Aves-Perna-Pesar Produtos Bandejas-1°T</t>
  </si>
  <si>
    <t>47.0284.1.2.17.00.01.039.01.08.26.2</t>
  </si>
  <si>
    <t>Gr Aves-Perna-Pesar Produtos Bandejas-2°T</t>
  </si>
  <si>
    <t>47.0284.1.2.17.00.01.039.01.08.26.3</t>
  </si>
  <si>
    <t>Gr Aves-Perna-Pesar Produtos Bandejas-3°T</t>
  </si>
  <si>
    <t>47.0284.1.2.17.00.01.039.01.08.20.1</t>
  </si>
  <si>
    <t>Gr Aves-Perna-Refilar Peito e Desossar PernaSchawarma-1°T</t>
  </si>
  <si>
    <t>47.0284.1.2.17.00.01.039.01.08.20.2</t>
  </si>
  <si>
    <t>Gr Aves-Perna-Refilar Peito e Desossar PernaSchawarma-2°T</t>
  </si>
  <si>
    <t>47.0284.1.2.17.00.01.039.01.08.20.3</t>
  </si>
  <si>
    <t>Gr Aves-Perna-Refilar Peito e Desossar PernaSchawarma-3°T</t>
  </si>
  <si>
    <t>47.0284.1.2.17.00.01.039.01.08.04.1</t>
  </si>
  <si>
    <t>Gr Aves-Perna-Refilar Perna-1°T</t>
  </si>
  <si>
    <t>47.0284.1.2.17.00.01.039.01.08.04.2</t>
  </si>
  <si>
    <t>Gr Aves-Perna-Refilar Perna-2°T</t>
  </si>
  <si>
    <t>47.0284.1.2.17.00.01.039.01.08.04.3</t>
  </si>
  <si>
    <t>Gr Aves-Perna-Refilar Perna-3°T</t>
  </si>
  <si>
    <t>47.0284.1.2.17.00.01.039.01.08.05.2</t>
  </si>
  <si>
    <t>Gr Aves-Perna-Revisar Desossa Perna-2°T</t>
  </si>
  <si>
    <t>47.0284.1.2.17.00.01.039.01.08.05.3</t>
  </si>
  <si>
    <t>Gr Aves-Perna-Revisar Desossa Perna-3°T</t>
  </si>
  <si>
    <t>47.0284.1.2.17.00.01.039.01.08.22.1</t>
  </si>
  <si>
    <t>Gr Aves-Perna-Separar Coxa e Sobrecoxa-1°T</t>
  </si>
  <si>
    <t>47.0284.1.2.17.00.01.039.01.08.22.2</t>
  </si>
  <si>
    <t>Gr Aves-Perna-Separar Coxa e Sobrecoxa-2°T</t>
  </si>
  <si>
    <t>47.0284.1.2.17.00.01.039.01.08.22.3</t>
  </si>
  <si>
    <t>Gr Aves-Perna-Separar Coxa e Sobrecoxa-3°T</t>
  </si>
  <si>
    <t>47.0284.1.2.17.00.01.039.01.08.41.1</t>
  </si>
  <si>
    <t>Gr Aves-Perna-Transportar-1°T</t>
  </si>
  <si>
    <t>47.0284.1.2.17.00.01.039.01.08.41.2</t>
  </si>
  <si>
    <t>Gr Aves-Perna-Transportar-2°T</t>
  </si>
  <si>
    <t>47.0284.1.2.17.00.01.039.01.08.41.3</t>
  </si>
  <si>
    <t>Gr Aves-Perna-Transportar-3°T</t>
  </si>
  <si>
    <t>47.0284.1.2.17.00.01.039.01.35.02.1</t>
  </si>
  <si>
    <t>Gr Aves-Sala de Cortes-Monitoramento de IC's-1°T</t>
  </si>
  <si>
    <t>47.0284.1.2.17.00.01.039.01.35.02.2</t>
  </si>
  <si>
    <t>Gr Aves-Sala de Cortes-Monitoramento de IC's-2°T</t>
  </si>
  <si>
    <t>47.0284.1.2.17.00.01.039.01.35.02.3</t>
  </si>
  <si>
    <t>Gr Aves-Sala de Cortes-Monitoramento de IC's-3°T</t>
  </si>
  <si>
    <t>47.0284.1.2.17.00.01.039.02.05.00.1</t>
  </si>
  <si>
    <t>St Aves FFO-Manutenção-1°T</t>
  </si>
  <si>
    <t>47.0284.1.2.17.00.01.039.02.05.00.2</t>
  </si>
  <si>
    <t>St Aves FFO-Manutenção-2°T</t>
  </si>
  <si>
    <t>47.0284.1.2.17.00.01.039.02.05.00.3</t>
  </si>
  <si>
    <t>St Aves FFO-Manutenção-3°T</t>
  </si>
  <si>
    <t>47.0284.1.2.17.00.01.039.02.10.00.3</t>
  </si>
  <si>
    <t>St Aves FFO-Manutenção-Elétrica-3°T</t>
  </si>
  <si>
    <t>47.0284.1.2.17.00.01.039.02.11.00.3</t>
  </si>
  <si>
    <t>St Aves FFO-Manutenção-Mecânica-3°T</t>
  </si>
  <si>
    <t>47.0284.1.2.17.00.01.039.02.09.00.3</t>
  </si>
  <si>
    <t>St Aves FFO-Manutenção-Sala de Máquinas-3°T</t>
  </si>
  <si>
    <t>47.0284.1.2.17.00.01.039.02.08.00.3</t>
  </si>
  <si>
    <t>St Aves FFO-Manutenção-Utilidades e Áreas Externas-3°T</t>
  </si>
  <si>
    <t>47.0284.1.2.17.00.01.039.01.15.00.1</t>
  </si>
  <si>
    <t>St Aves-FFO (Subprodutos)-1°T</t>
  </si>
  <si>
    <t>47.0284.1.2.17.00.01.039.01.15.00.2</t>
  </si>
  <si>
    <t>St Aves-FFO (Subprodutos)-2°T</t>
  </si>
  <si>
    <t>47.0284.1.2.17.00.01.039.01.15.00.3</t>
  </si>
  <si>
    <t>St Aves-FFO (Subprodutos)-3°T</t>
  </si>
  <si>
    <t>47.0284.1.2.17.00.01.039.01.14.00.1</t>
  </si>
  <si>
    <t>47.0284.1.2.17.00.01.039.01.14.00.2</t>
  </si>
  <si>
    <t>47.0284.1.2.17.00.01.039.01.14.00.3</t>
  </si>
  <si>
    <t>47.0284.1.2.17.00.01.280.01.07.04</t>
  </si>
  <si>
    <t>47.0284.1.2.17.00.01.976.01.08.03.2</t>
  </si>
  <si>
    <t>47.0284.1.2.17.00.01.039.01.01.04</t>
  </si>
  <si>
    <t>47.0284.1.2.17.00.01.039.01.01.08</t>
  </si>
  <si>
    <t>47.0284.1.2.17.00.01.039.01.01.11</t>
  </si>
  <si>
    <t>47.0284.1.2.17.00.01.039.01.02.21</t>
  </si>
  <si>
    <t>47.0284.1.2.17.00.01.039.01.01.12</t>
  </si>
  <si>
    <t>47.0284.1.2.17.00.01.039.01.02.25</t>
  </si>
  <si>
    <t>47.0284.1.2.17.00.01.039.01.02.01</t>
  </si>
  <si>
    <t>47.0284.1.2.17.00.01.039.01.02.23</t>
  </si>
  <si>
    <t>47.0284.1.2.17.00.01.039.01.02.26</t>
  </si>
  <si>
    <t>47.0284.1.2.17.00.01.039.01.34.02</t>
  </si>
  <si>
    <t>47.0284.1.2.17.00.01.039.01.02.20</t>
  </si>
  <si>
    <t>47.0284.1.2.17.00.01.039.01.03.03</t>
  </si>
  <si>
    <t>47.0284.1.2.17.00.01.039.01.03.04</t>
  </si>
  <si>
    <t>47.0284.1.2.17.00.01.039.01.04.26</t>
  </si>
  <si>
    <t>47.0284.1.2.17.00.01.039.01.04.21</t>
  </si>
  <si>
    <t>47.0284.1.2.17.00.01.039.01.04.24</t>
  </si>
  <si>
    <t>47.0284.1.2.17.00.01.039.01.04.25</t>
  </si>
  <si>
    <t>47.0284.1.2.17.00.01.039.01.05.01</t>
  </si>
  <si>
    <t>47.0284.1.2.17.00.01.039.01.05.06</t>
  </si>
  <si>
    <t>47.0284.1.2.17.00.01.039.01.05.07</t>
  </si>
  <si>
    <t>47.0284.1.2.17.00.01.039.01.05.02</t>
  </si>
  <si>
    <t>47.0284.1.2.17.00.01.039.01.05.04</t>
  </si>
  <si>
    <t>47.0284.1.2.17.00.01.039.01.05.09</t>
  </si>
  <si>
    <t>47.0284.1.2.17.00.01.039.01.05.10</t>
  </si>
  <si>
    <t>47.0284.1.2.17.00.01.039.01.05.11</t>
  </si>
  <si>
    <t>47.0284.1.2.17.00.01.039.01.05.26</t>
  </si>
  <si>
    <t>47.0284.1.2.17.00.01.039.01.05.27</t>
  </si>
  <si>
    <t>47.0284.1.2.17.00.01.039.01.05.28</t>
  </si>
  <si>
    <t>47.0284.1.2.17.00.01.039.01.05.25</t>
  </si>
  <si>
    <t>47.0284.1.2.17.00.01.039.01.05.12</t>
  </si>
  <si>
    <t>47.0284.1.2.17.00.01.039.01.05.13</t>
  </si>
  <si>
    <t>47.0284.1.2.17.00.01.039.01.05.14</t>
  </si>
  <si>
    <t>47.0284.1.2.17.00.01.039.01.05.15</t>
  </si>
  <si>
    <t>47.0284.1.2.17.00.01.039.01.05.16</t>
  </si>
  <si>
    <t>47.0284.1.2.17.00.01.039.01.05.17</t>
  </si>
  <si>
    <t>47.0284.1.2.17.00.01.039.01.05.18</t>
  </si>
  <si>
    <t>47.0284.1.2.17.00.01.039.01.05.19</t>
  </si>
  <si>
    <t>47.0284.1.2.17.00.01.039.01.05.20</t>
  </si>
  <si>
    <t>47.0284.1.2.17.00.01.039.01.05.21</t>
  </si>
  <si>
    <t>47.0284.1.2.17.00.01.039.01.05.22</t>
  </si>
  <si>
    <t>47.0284.1.2.17.00.01.039.01.05.24</t>
  </si>
  <si>
    <t>47.0284.1.2.17.00.01.039.01.06.29</t>
  </si>
  <si>
    <t>47.0284.1.2.17.00.01.039.01.06.17</t>
  </si>
  <si>
    <t>47.0284.1.2.17.00.01.039.01.07.45</t>
  </si>
  <si>
    <t>47.0284.1.2.17.00.01.039.01.07.47</t>
  </si>
  <si>
    <t>47.0284.1.2.17.00.01.039.01.06.26</t>
  </si>
  <si>
    <t>47.0284.1.2.17.00.01.039.01.06.24</t>
  </si>
  <si>
    <t>47.0284.1.2.17.00.01.039.01.35.02</t>
  </si>
  <si>
    <t>47.0284.1.2.17.00.01.039.01.08.05</t>
  </si>
  <si>
    <t>47.0284.1.2.17.00.01.039.01.06.50</t>
  </si>
  <si>
    <t>47.0284.1.2.17.00.01.039.01.08.08</t>
  </si>
  <si>
    <t>47.0284.1.2.17.00.01.039.01.06.28</t>
  </si>
  <si>
    <t>47.0284.1.2.17.00.01.039.01.06.31</t>
  </si>
  <si>
    <t>47.0284.1.2.17.00.01.039.01.07.03</t>
  </si>
  <si>
    <t>47.0284.1.2.17.00.01.039.01.07.04</t>
  </si>
  <si>
    <t>47.0284.1.2.17.00.01.039.01.07.59</t>
  </si>
  <si>
    <t>47.0284.1.2.17.00.01.039.01.07.58</t>
  </si>
  <si>
    <t>47.0284.1.2.17.00.01.039.01.07.46</t>
  </si>
  <si>
    <t>47.0284.1.2.17.00.01.039.01.07.56</t>
  </si>
  <si>
    <t>47.0284.1.2.17.00.01.039.01.07.54</t>
  </si>
  <si>
    <t>47.0284.1.2.17.00.01.039.01.07.55</t>
  </si>
  <si>
    <t>47.0284.1.2.17.00.01.039.01.07.20</t>
  </si>
  <si>
    <t>47.0284.1.2.17.00.01.039.01.07.21</t>
  </si>
  <si>
    <t>47.0284.1.2.17.00.01.039.01.07.22</t>
  </si>
  <si>
    <t>47.0284.1.2.17.00.01.039.01.07.50</t>
  </si>
  <si>
    <t>47.0284.1.2.17.00.01.039.01.07.13</t>
  </si>
  <si>
    <t>47.0284.1.2.17.00.01.039.01.07.16</t>
  </si>
  <si>
    <t>47.0284.1.2.17.00.01.039.01.07.18</t>
  </si>
  <si>
    <t>47.0284.1.2.17.00.01.039.01.07.35</t>
  </si>
  <si>
    <t>47.0284.1.2.17.00.01.039.01.07.36</t>
  </si>
  <si>
    <t>47.0284.1.2.17.00.01.039.01.07.37</t>
  </si>
  <si>
    <t>47.0284.1.2.17.00.01.039.01.07.38</t>
  </si>
  <si>
    <t>47.0284.1.2.17.00.01.039.01.07.39</t>
  </si>
  <si>
    <t>47.0284.1.2.17.00.01.039.01.08.03</t>
  </si>
  <si>
    <t>47.0284.1.2.17.00.01.039.01.08.35</t>
  </si>
  <si>
    <t>47.0284.1.2.17.00.01.039.01.08.42</t>
  </si>
  <si>
    <t>47.0284.1.2.17.00.01.039.01.08.34</t>
  </si>
  <si>
    <t>47.0284.1.2.17.00.01.039.01.08.40</t>
  </si>
  <si>
    <t>47.0284.1.2.17.00.01.039.01.08.04</t>
  </si>
  <si>
    <t>47.0284.1.2.17.00.01.039.01.08.02</t>
  </si>
  <si>
    <t>47.0284.1.2.17.00.01.039.01.08.10</t>
  </si>
  <si>
    <t>47.0284.1.2.17.00.01.039.01.08.11</t>
  </si>
  <si>
    <t>47.0284.1.2.17.00.01.039.01.08.12</t>
  </si>
  <si>
    <t>47.0284.1.2.17.00.01.039.01.08.13</t>
  </si>
  <si>
    <t>47.0284.1.2.17.00.01.039.01.08.14</t>
  </si>
  <si>
    <t>47.0284.1.2.17.00.01.039.01.08.15</t>
  </si>
  <si>
    <t>47.0284.1.2.17.00.01.039.01.08.16</t>
  </si>
  <si>
    <t>47.0284.1.2.17.00.01.039.01.09.04</t>
  </si>
  <si>
    <t>47.0284.1.2.17.00.01.039.01.09.05</t>
  </si>
  <si>
    <t>47.0284.1.2.17.00.01.039.01.09.19</t>
  </si>
  <si>
    <t>47.0284.1.2.17.00.01.039.01.09.16</t>
  </si>
  <si>
    <t>47.0284.1.2.17.00.01.039.01.09.20</t>
  </si>
  <si>
    <t>47.0284.1.2.17.00.01.039.01.10.01</t>
  </si>
  <si>
    <t>47.0284.1.2.17.00.01.039.01.10.04</t>
  </si>
  <si>
    <t>47.0284.1.2.17.00.01.039.01.10.12</t>
  </si>
  <si>
    <t>47.0284.1.2.17.00.01.039.01.10.02</t>
  </si>
  <si>
    <t>47.0284.1.2.17.00.01.039.01.11.07</t>
  </si>
  <si>
    <t>47.0284.1.2.17.00.01.039.01.11.02</t>
  </si>
  <si>
    <t>47.0284.1.2.17.00.01.039.01.11.03</t>
  </si>
  <si>
    <t>47.0284.1.2.17.00.01.039.01.11.06</t>
  </si>
  <si>
    <t>47.0284.1.2.17.00.01.039.01.11.08</t>
  </si>
  <si>
    <t>47.0284.1.2.17.00.01.039.01.11.09</t>
  </si>
  <si>
    <t>47.0284.1.2.17.00.01.039.01.07.32</t>
  </si>
  <si>
    <t>47.0284.1.2.17.00.01.039.01.07.34</t>
  </si>
  <si>
    <t>47.0284.1.2.17.00.01.039.01.12.05</t>
  </si>
  <si>
    <t>47.0284.1.2.17.00.01.039.01.12.01</t>
  </si>
  <si>
    <t>47.0284.1.2.17.00.01.039.01.12.09</t>
  </si>
  <si>
    <t>47.0284.1.2.17.00.01.039.01.12.20</t>
  </si>
  <si>
    <t>47.0284.1.2.17.00.01.039.01.12.19</t>
  </si>
  <si>
    <t>47.0284.1.2.17.00.01.039.01.12.31</t>
  </si>
  <si>
    <t>47.0284.1.2.17.00.01.039.01.12.29</t>
  </si>
  <si>
    <t>47.0284.1.2.17.00.01.039.01.13.01</t>
  </si>
  <si>
    <t>47.0284.1.2.17.00.01.039.01.13.02</t>
  </si>
  <si>
    <t>47.0284.1.2.17.00.01.039.01.13.04</t>
  </si>
  <si>
    <t>47.0284.1.2.17.00.01.039.01.14.03</t>
  </si>
  <si>
    <t>47.0284.1.2.17.00.01.039.01.14.02</t>
  </si>
  <si>
    <t>47.0284.1.2.17.00.01.039.01.14.00</t>
  </si>
  <si>
    <t>47.0284.1.2.17.00.01.039.01.15.02</t>
  </si>
  <si>
    <t>Inspeção De Linha (Abc)</t>
  </si>
  <si>
    <t>Papeleta</t>
  </si>
  <si>
    <t>Coletas/Reaproveitamentos/Revisão</t>
  </si>
  <si>
    <t>Transpasse de norea - Entrada</t>
  </si>
  <si>
    <t>Transpasse de norea - Saída</t>
  </si>
  <si>
    <t>Manutenção Mecânica</t>
  </si>
  <si>
    <t>Manutenção Elétrica</t>
  </si>
  <si>
    <t>Garantia da Qualidade Administrativo</t>
  </si>
  <si>
    <t>Administração  - FFO</t>
  </si>
  <si>
    <t>Monitor de Processi - FFO</t>
  </si>
  <si>
    <t>Gr Aves-Higienização-Monitor</t>
  </si>
  <si>
    <t>47.0284.1.2.17.00.01.039.01.14.06</t>
  </si>
  <si>
    <t>Gr Aves-Higienização-Operar Equip. de Higienização</t>
  </si>
  <si>
    <t>47.0284.1.2.17.00.01.039.01.14.01</t>
  </si>
  <si>
    <t>Gr Aves-Higienização-Preparação Produtos Quimicos</t>
  </si>
  <si>
    <t>St Aves-Higienização</t>
  </si>
  <si>
    <t>Gr Aves-Higienização-Higienização Geral</t>
  </si>
  <si>
    <t>St Aves-FFO (Subprodutos)</t>
  </si>
  <si>
    <t>47.0284.1.2.17.00.01.039.01.15.00</t>
  </si>
  <si>
    <t>Gr Aves FFO-Garantia da Qualidade Administrativo</t>
  </si>
  <si>
    <t>47.0284.1.2.17.00.01.039.01.15.09</t>
  </si>
  <si>
    <t>Gr Aves FFO-Manutenção-Elétrica</t>
  </si>
  <si>
    <t>47.0284.1.2.17.00.01.039.02.10.01</t>
  </si>
  <si>
    <t>Gr Aves FFO-Manutenção-Mecânica</t>
  </si>
  <si>
    <t>47.0284.1.2.17.00.01.039.02.11.01</t>
  </si>
  <si>
    <t>Gr Aves-FFO-Expedição de Farinha</t>
  </si>
  <si>
    <t>47.0284.1.2.17.00.01.039.01.15.03</t>
  </si>
  <si>
    <t>Gr Aves-FFO-Monitor</t>
  </si>
  <si>
    <t>47.0284.1.2.17.00.01.039.01.15.05</t>
  </si>
  <si>
    <t>Gr Aves-FFO-Pós Processo-Operar Máq e Equipamentos</t>
  </si>
  <si>
    <t>Gr Aves-FFO-Pré Processo-Recebimento Matéria Prima</t>
  </si>
  <si>
    <t>47.0284.1.2.17.00.01.039.01.15.01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</si>
  <si>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</si>
  <si>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</si>
  <si>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</si>
  <si>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</si>
  <si>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</si>
  <si>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</si>
  <si>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</si>
  <si>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</si>
  <si>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</si>
  <si>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47.0284.1.2.17.00.01.039.01.03.05.1</t>
  </si>
  <si>
    <t>Gr Aves-Sif-Administrativo-1°T</t>
  </si>
  <si>
    <t>47.0284.1.2.17.00.01.039.01.03.05.2</t>
  </si>
  <si>
    <t>Gr Aves-Sif-Administrativo-2°T</t>
  </si>
  <si>
    <t>47.0284.1.2.17.00.01.039.01.03.05.3</t>
  </si>
  <si>
    <t>Gr Aves-Sif-Administrativo-3°T</t>
  </si>
  <si>
    <t>47.0284.1.2.17.00.01.039.01.03.04.1</t>
  </si>
  <si>
    <t>Gr Aves-Sif-Agentes de Inspeção-1°T</t>
  </si>
  <si>
    <t>47.0284.1.2.17.00.01.039.01.03.04.2</t>
  </si>
  <si>
    <t>Gr Aves-Sif-Agentes de Inspeção-2°T</t>
  </si>
  <si>
    <t>47.0284.1.2.17.00.01.039.01.03.04.3</t>
  </si>
  <si>
    <t>Gr Aves-Sif-Agentes de Inspeção-3°T</t>
  </si>
  <si>
    <t>47.0284.1.2.17.00.01.039.01.03.01.1</t>
  </si>
  <si>
    <t>Gr Aves-Sif-Inspeção Ante Mortem-1°T</t>
  </si>
  <si>
    <t>47.0284.1.2.17.00.01.039.01.03.01.2</t>
  </si>
  <si>
    <t>Gr Aves-Sif-Inspeção Ante Mortem-2°T</t>
  </si>
  <si>
    <t>47.0284.1.2.17.00.01.039.01.03.01.3</t>
  </si>
  <si>
    <t>Gr Aves-Sif-Inspeção Ante Mortem-3°T</t>
  </si>
  <si>
    <t>47.0284.1.2.17.00.01.039.01.03.03.1</t>
  </si>
  <si>
    <t>Gr Aves-Sif-Inspeção de Linha-1°T</t>
  </si>
  <si>
    <t>47.0284.1.2.17.00.01.039.01.03.03.2</t>
  </si>
  <si>
    <t>Gr Aves-Sif-Inspeção de Linha-2°T</t>
  </si>
  <si>
    <t>47.0284.1.2.17.00.01.039.01.03.03.3</t>
  </si>
  <si>
    <t>Gr Aves-Sif-Inspeção de Linha-3°T</t>
  </si>
  <si>
    <t>47.0284.1.2.17.00.01.039.01.03.02.1</t>
  </si>
  <si>
    <t>Gr Aves-Sif-Pré Inspeção-1°T</t>
  </si>
  <si>
    <t>47.0284.1.2.17.00.01.039.01.03.02.2</t>
  </si>
  <si>
    <t>Gr Aves-Sif-Pré Inspeção-2°T</t>
  </si>
  <si>
    <t>47.0284.1.2.17.00.01.039.01.03.02.3</t>
  </si>
  <si>
    <t>Gr Aves-Sif-Pré Inspeção-3°T</t>
  </si>
  <si>
    <t>47.0284.1.2.17.00.01.039.01.03.00.1</t>
  </si>
  <si>
    <t>St Aves-SIF-1°T</t>
  </si>
  <si>
    <t>47.0284.1.2.17.00.01.039.01.03.00.2</t>
  </si>
  <si>
    <t>St Aves-SIF-2°T</t>
  </si>
  <si>
    <t>47.0284.1.2.17.00.01.039.01.03.00.3</t>
  </si>
  <si>
    <t>St Aves-SIF-3°T</t>
  </si>
  <si>
    <t>QL Direto</t>
  </si>
  <si>
    <t>QL Indireto</t>
  </si>
  <si>
    <t>Operar Empilhadeira</t>
  </si>
  <si>
    <t>Operar Transpaleteira</t>
  </si>
  <si>
    <t>Controlador de Movimentação / Estoque</t>
  </si>
  <si>
    <t>Supervisor de Logística</t>
  </si>
  <si>
    <t>Monitor - Logistica</t>
  </si>
  <si>
    <t>Analista/Assistente De Logística</t>
  </si>
  <si>
    <t>47.0284.1.3.03.00.01.039.08.01.01.1</t>
  </si>
  <si>
    <t>Gr Logística-Expedição Armazenagem-CarregarCaminhão-1°T</t>
  </si>
  <si>
    <t>47.0284.1.3.03.00.01.039.08.01.02.1</t>
  </si>
  <si>
    <t>Gr Logística-Expedição Armazenagem-Conferente-1°T</t>
  </si>
  <si>
    <t>47.0284.1.2.03.00.01.039.08.01.06.1</t>
  </si>
  <si>
    <t>Gr Logística-Expedição-Controlador-1°T</t>
  </si>
  <si>
    <t>47.0284.1.3.03.00.01.039.08.01.04.1</t>
  </si>
  <si>
    <t>Gr Logística-Expedição-Operar Empilhadeira-1°T</t>
  </si>
  <si>
    <t>47.0284.1.3.03.00.01.039.08.01.05.1</t>
  </si>
  <si>
    <t>Gr Logística-Expedição-Operar Transpaleteira-1°T</t>
  </si>
  <si>
    <t>47.0284.1.3.03.00.01.039.08.03.01.1</t>
  </si>
  <si>
    <t>Gr Logística-Suporte Logístico</t>
  </si>
  <si>
    <t>47.0284.1.3.03.00.01.039.08.01.01</t>
  </si>
  <si>
    <t>47.0284.1.3.03.00.01.039.08.01.02</t>
  </si>
  <si>
    <t>47.0284.1.2.03.00.01.039.08.01.06</t>
  </si>
  <si>
    <t>47.0284.1.3.03.00.01.039.08.01.04</t>
  </si>
  <si>
    <t>47.0284.1.3.03.00.01.039.08.01.05</t>
  </si>
  <si>
    <t>47.0284.1.3.03.00.01.039.08.03.01</t>
  </si>
  <si>
    <t>St Logística-Operação-Filiais-1°T</t>
  </si>
  <si>
    <t>47.0284.1.3.03.00.01.039.08.01.00</t>
  </si>
  <si>
    <t>Cr Logística</t>
  </si>
  <si>
    <t>47.0284.1.3.03.00.01.039.00.47.01</t>
  </si>
  <si>
    <t>14290 - MEI-PC - MEIO ASA CG ALM SE</t>
  </si>
  <si>
    <t>14141 - CSC-LC - COXA C/SBCX CG ITF SE</t>
  </si>
  <si>
    <t>44412 -  - FILEZINHO BDJ RF</t>
  </si>
  <si>
    <t>220359 -  - MEIO PEITO S/OPF INTERF</t>
  </si>
  <si>
    <t>PERNA C/O INTERF 10 KG</t>
  </si>
  <si>
    <t>Gr Aves-Miúdos-Operar Máquina Bandeja</t>
  </si>
  <si>
    <t>47.0284.1.2.17.00.01.039.01.04.20</t>
  </si>
  <si>
    <t>47.0284.1.2.17.00.01.039.01.12.28</t>
  </si>
  <si>
    <t>47.0284.1.2.17.00.01.039.01.12.17</t>
  </si>
  <si>
    <t>47.0284.1.2.17.00.01.039.01.20.03</t>
  </si>
  <si>
    <t>47.0284.1.3.03.00.01.039.08.01.00.1</t>
  </si>
  <si>
    <t>FILE PTO FG RF BDJ PRM 600G</t>
  </si>
  <si>
    <t>FILEZINHO FG BDJ RF PRM 700G</t>
  </si>
  <si>
    <t>COXINHA DA ASA BDJ RF PRM</t>
  </si>
  <si>
    <t>SOBRECOXA FG BDJ RF PRM 600G</t>
  </si>
  <si>
    <t>47.0284.1.3.03.00.01.039.00.47.01.1</t>
  </si>
  <si>
    <t>Gr Aves-Escald/Depen/Evisc-SubProdutos-1°T</t>
  </si>
  <si>
    <t>47.0284.1.2.17.00.01.039.01.02.27.1</t>
  </si>
  <si>
    <t>47.0284.1.2.17.00.01.039.01.02.27</t>
  </si>
  <si>
    <t>47.0284.1.2.17.00.01.039.01.02.27.2</t>
  </si>
  <si>
    <t>FILE DE SBCX FG BDJ RF PRM</t>
  </si>
  <si>
    <t>Apoio a Gerencia</t>
  </si>
  <si>
    <t>Escaldagem + sangria</t>
  </si>
  <si>
    <t xml:space="preserve">01 separa e tranporta </t>
  </si>
  <si>
    <t>03 pcc 02 Dif do pcc</t>
  </si>
  <si>
    <t>Organiza cuba de recebimento de Frg Inteiro</t>
  </si>
  <si>
    <t>Retira sassami c/ Garfo</t>
  </si>
  <si>
    <t>lavam caixas brancas</t>
  </si>
  <si>
    <t>chairam facas para o refile de peito e cone</t>
  </si>
  <si>
    <t>01 abastece esteira do tunel e 01 vira cxs na curva</t>
  </si>
  <si>
    <t xml:space="preserve">Encaixotar: 01 miudos, 01 perna bloco e asa, 03 perna Iwp, 01 peito bloco e sassmi; 01 peito Iwp </t>
  </si>
  <si>
    <t>01 abastece mqauina de emplatificar, operador de detector e reprocesso</t>
  </si>
  <si>
    <t>Retira caixas branacas e paletiza cms</t>
  </si>
  <si>
    <t>Saída do chiller</t>
  </si>
  <si>
    <t>Limpa setor de miudos e auxilia na lavagem de caixas</t>
  </si>
  <si>
    <t>alocar a Amanda, Thiago + 1 vaga</t>
  </si>
  <si>
    <t>02 higieniza as linhas de cone e limpar Rependura de chiller e stork</t>
  </si>
  <si>
    <t>1 classifica e 3 embala</t>
  </si>
  <si>
    <t>FRANGO CARC S/ MIUDOS CG</t>
  </si>
  <si>
    <t>FRANGO INTEIRO CG PCT</t>
  </si>
  <si>
    <t>MEIO ASA CG ALM</t>
  </si>
  <si>
    <t>CARNE MS AVES CG CST MP ZG</t>
  </si>
  <si>
    <t>CORACAO FGO CG ALM SE</t>
  </si>
  <si>
    <t>FILEZINHO PEITO CG BL SE</t>
  </si>
  <si>
    <t>MOELA FRANGO RESF BDJ SE</t>
  </si>
  <si>
    <t>FILE DE FRANGO INTERFOLIADO</t>
  </si>
  <si>
    <t>MEIO PEITO S/OPF INTERF</t>
  </si>
  <si>
    <t>FILE PEITO BDJ SE</t>
  </si>
  <si>
    <t>FILE DE PEITO FG CG PCT</t>
  </si>
  <si>
    <t>FILÉ DE SBCX FG BDJ RF PRM</t>
  </si>
  <si>
    <t>COXA SBCX C/O CG</t>
  </si>
  <si>
    <t>REC PEITO FGO CO MPL MP</t>
  </si>
  <si>
    <t>Revezamento de pausas</t>
  </si>
  <si>
    <t>47.0284.1.2.17.00.01.039.01.06.14</t>
  </si>
  <si>
    <t>47.0284.1.2.17.00.01.039.01.02.19</t>
  </si>
  <si>
    <t>47.0284.1.2.17.00.01.039.01.02.03</t>
  </si>
  <si>
    <t>47.0284.1.2.17.00.01.039.01.07.10</t>
  </si>
  <si>
    <t>47.0284.1.2.17.00.01.039.01.01.09</t>
  </si>
  <si>
    <t>47.0284.1.2.17.00.01.039.01.09.09</t>
  </si>
  <si>
    <t>cortar 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</si>
</sst>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41" formatCode="_-* #,##0_-;\-* #,##0_-;_-* &quot;-&quot;_-;_-@_-"/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0.000"/>
    <numFmt numFmtId="167" formatCode="0.0%"/>
    <numFmt numFmtId="168" formatCode="0.0_)\%;\(0.0\)\%;0.0_)\%;@_)_%"/>
    <numFmt numFmtId="169" formatCode="#,##0.0_)_%;\(#,##0.0\)_%;0.0_)_%;@_)_%"/>
    <numFmt numFmtId="170" formatCode="General_)"/>
    <numFmt numFmtId="171" formatCode="#,##0.0_);\(#,##0.0\)"/>
    <numFmt numFmtId="172" formatCode="#,##0.0_);\(#,##0.0\);#,##0.0_);@_)"/>
    <numFmt numFmtId="173" formatCode="&quot;$&quot;_(#,##0.00_);&quot;$&quot;\(#,##0.00\)"/>
    <numFmt numFmtId="174" formatCode="&quot;$&quot;_(#,##0.00_);&quot;$&quot;\(#,##0.00\);&quot;$&quot;_(0.00_);@_)"/>
    <numFmt numFmtId="175" formatCode="#,##0.00_);\(#,##0.00\);0.00_);@_)"/>
    <numFmt numFmtId="176" formatCode="\€_(#,##0.00_);\€\(#,##0.00\);\€_(0.00_);@_)"/>
    <numFmt numFmtId="177" formatCode="#,##0.0_)\x;\(#,##0.0\)\x"/>
    <numFmt numFmtId="178" formatCode="#,##0_)\x;\(#,##0\)\x;0_)\x;@_)_x"/>
    <numFmt numFmtId="179" formatCode="#,##0.0_)_x;\(#,##0.0\)_x"/>
    <numFmt numFmtId="180" formatCode="#,##0_)_x;\(#,##0\)_x;0_)_x;@_)_x"/>
    <numFmt numFmtId="181" formatCode="0.0_)\%;\(0.0\)\%"/>
    <numFmt numFmtId="182" formatCode="#,##0.0_)_%;\(#,##0.0\)_%"/>
    <numFmt numFmtId="183" formatCode="yyyy"/>
    <numFmt numFmtId="184" formatCode="_-* #,##0.00\ _P_t_s_-;\-* #,##0.00\ _P_t_s_-;_-* &quot;-&quot;??\ _P_t_s_-;_-@_-"/>
    <numFmt numFmtId="185" formatCode="&quot;R$ &quot;#,##0_);[Red]\(&quot;R$ &quot;#,##0\)"/>
    <numFmt numFmtId="186" formatCode="&quot;$&quot;#,##0_);[Red]\(&quot;$&quot;#,##0\)"/>
    <numFmt numFmtId="187" formatCode="_(&quot;R$&quot;* #,##0.00_);\(&quot;R$&quot;* #,##0.00\);_(&quot;R$&quot;* &quot;-&quot;??_);_(@_)"/>
    <numFmt numFmtId="188" formatCode="\$#,##0\ ;\(\$#,##0\)"/>
    <numFmt numFmtId="189" formatCode="mm/dd/yy"/>
    <numFmt numFmtId="190" formatCode="0.0_)"/>
    <numFmt numFmtId="191" formatCode="0.0000000"/>
    <numFmt numFmtId="192" formatCode="mm/dd/yyyy"/>
    <numFmt numFmtId="193" formatCode="[Red]* #,##0.0000\e;;[Red]* &quot;-&quot;??\e;_(@_)"/>
    <numFmt numFmtId="194" formatCode="_([$€]* #,##0.00_);_([$€]* \(#,##0.00\);_([$€]* &quot;-&quot;??_);_(@_)"/>
    <numFmt numFmtId="195" formatCode="_([$€-2]* #,##0.00_);_([$€-2]* \(#,##0.00\);_([$€-2]* &quot;-&quot;??_)"/>
    <numFmt numFmtId="196" formatCode="#,##0.000_);[Red]\(#,##0.000\)"/>
    <numFmt numFmtId="197" formatCode="#,#00"/>
    <numFmt numFmtId="198" formatCode="0.000%"/>
    <numFmt numFmtId="199" formatCode="&quot;   &quot;@"/>
    <numFmt numFmtId="200" formatCode="* #,##0.0000_e;;* &quot;-&quot;??_e;_(@_)"/>
    <numFmt numFmtId="201" formatCode="_-* #,##0_-;_-* #,##0\-;_-* &quot;-&quot;_-;_-@_-"/>
    <numFmt numFmtId="202" formatCode="_-* #,##0.00_-;_-* #,##0.00\-;_-* &quot;-&quot;??_-;_-@_-"/>
    <numFmt numFmtId="203" formatCode="_(* #,##0,_)\K;_(* \(#,##0,_)\K;_(* &quot;-&quot;??_);@_)"/>
    <numFmt numFmtId="204" formatCode="_(&quot;R$&quot;* #,##0.00_);_(&quot;R$&quot;* \(#,##0.00\);_(&quot;R$&quot;* &quot;-&quot;??_);_(@_)"/>
    <numFmt numFmtId="205" formatCode="_-&quot;$&quot;\ * #,##0_-;\-&quot;$&quot;\ * #,##0_-;_-&quot;$&quot;\ * &quot;-&quot;_-;_-@_-"/>
    <numFmt numFmtId="206" formatCode="_ &quot;$&quot;\ * #,##0.00_ ;_ &quot;$&quot;\ * \-#,##0.00_ ;_ &quot;$&quot;\ * &quot;-&quot;??_ ;_ @_ "/>
    <numFmt numFmtId="207" formatCode="&quot;$&quot;#,##0.00_);[Red]\(&quot;$&quot;#,##0.00\)"/>
    <numFmt numFmtId="208" formatCode="&quot;$&quot;#,##0.00_);\(&quot;$&quot;#,##0.00\)"/>
    <numFmt numFmtId="209" formatCode="&quot;$&quot;#,##0_);\(&quot;$&quot;#,##0\)"/>
    <numFmt numFmtId="210" formatCode="mmmm\-yy"/>
    <numFmt numFmtId="211" formatCode="_(* #,##0.0_)&quot;MR$&quot;;_(* \(#,##0.0\);_(* &quot;-&quot;??_);_(@_)"/>
    <numFmt numFmtId="212" formatCode="_(* #,##0.0_)&quot;MUS$&quot;;_(* \(#,##0.0\);_(* &quot;-&quot;??_);_(@_)"/>
    <numFmt numFmtId="213" formatCode=";;_(* &quot;ND&quot;??_);_(@_)"/>
    <numFmt numFmtId="214" formatCode="0.00_)"/>
    <numFmt numFmtId="215" formatCode="&quot;R$&quot;#,##0_);[Red]\(&quot;R$&quot;#,##0\)"/>
    <numFmt numFmtId="216" formatCode="#,##0.00000000_);[Red]\(#,##0.00000000\)"/>
    <numFmt numFmtId="217" formatCode="%#,#00"/>
    <numFmt numFmtId="218" formatCode="#,##0_);\(#,##0\);0_)"/>
    <numFmt numFmtId="219" formatCode="#,##0_);\(#,##0\);0_);@"/>
    <numFmt numFmtId="220" formatCode="#.##000"/>
    <numFmt numFmtId="221" formatCode="#,##0.0"/>
    <numFmt numFmtId="222" formatCode="#,##0.0000&quot; R$/Kg&quot;"/>
    <numFmt numFmtId="223" formatCode="[Blue]* #,##0.0000_.\r;;[Blue]* &quot;-&quot;??_.\r;_(@_)"/>
    <numFmt numFmtId="224" formatCode="#,"/>
    <numFmt numFmtId="225" formatCode="_(* #,##0_);_(* \(#,##0\);_(* &quot;-&quot;??_);_(@_)"/>
    <numFmt numFmtId="226" formatCode="_ &quot;R$&quot;\ * #,##0_ ;_ &quot;R$&quot;\ * \-#,##0_ ;_ &quot;R$&quot;\ * &quot;-&quot;??_ ;_ @_ "/>
    <numFmt numFmtId="227" formatCode="_-&quot;F&quot;\ * #,##0_-;_-&quot;F&quot;\ * #,##0\-;_-&quot;F&quot;\ * &quot;-&quot;_-;_-@_-"/>
    <numFmt numFmtId="228" formatCode="_ * #,##0.0_ ;_ * \-#,##0.0_ ;_ * &quot;-&quot;??_ ;_ @_ "/>
    <numFmt numFmtId="229" formatCode="[&gt;0.001]_(* #,##0_);[&lt;-0.001]_(* \(#,##0\);_(* &quot;-&quot;??_)"/>
    <numFmt numFmtId="230" formatCode="_-* #,##0\ _P_t_s_-;\-* #,##0\ _P_t_s_-;_-* &quot;-&quot;\ _P_t_s_-;_-@_-"/>
    <numFmt numFmtId="231" formatCode="_(&quot;R$&quot;* #,##0_);\(&quot;R$&quot;* #,##0\);_(&quot;R$&quot;* &quot;-&quot;_);_(@_)"/>
    <numFmt numFmtId="232" formatCode="_-* #,##0_-;\-* #,##0_-;_-* &quot;-&quot;??_-;_-@_-"/>
    <numFmt numFmtId="233" formatCode="0.0"/>
    <numFmt numFmtId="234" formatCode="#,##0.000"/>
    <numFmt numFmtId="235" formatCode="_-* #,##0.0_-;\-* #,##0.0_-;_-* &quot;-&quot;??_-;_-@_-"/>
    <numFmt numFmtId="236" formatCode="#,##0.0000"/>
  </numFmts>
  <fonts count="1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  <charset val="238"/>
    </font>
    <font>
      <sz val="11"/>
      <color indexed="9"/>
      <name val="Calibri"/>
      <family val="2"/>
    </font>
    <font>
      <sz val="9"/>
      <name val="MS Serif"/>
      <family val="1"/>
    </font>
    <font>
      <sz val="11"/>
      <color indexed="20"/>
      <name val="Calibri"/>
      <family val="2"/>
      <charset val="238"/>
    </font>
    <font>
      <sz val="8"/>
      <color indexed="12"/>
      <name val="Arial MT"/>
      <family val="2"/>
    </font>
    <font>
      <sz val="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8"/>
      <name val="Arial"/>
      <family val="2"/>
    </font>
    <font>
      <b/>
      <sz val="11"/>
      <color indexed="52"/>
      <name val="Calibri"/>
      <family val="2"/>
      <charset val="238"/>
    </font>
    <font>
      <sz val="9"/>
      <color indexed="10"/>
      <name val="Geneva"/>
    </font>
    <font>
      <sz val="11"/>
      <color indexed="52"/>
      <name val="Calibri"/>
      <family val="2"/>
    </font>
    <font>
      <sz val="8"/>
      <color indexed="8"/>
      <name val="Arial MT"/>
    </font>
    <font>
      <b/>
      <sz val="11"/>
      <color indexed="9"/>
      <name val="Calibri"/>
      <family val="2"/>
      <charset val="238"/>
    </font>
    <font>
      <b/>
      <sz val="14"/>
      <name val="CG Times (WN)"/>
      <family val="1"/>
    </font>
    <font>
      <sz val="8"/>
      <color indexed="8"/>
      <name val="Arial MT"/>
      <family val="2"/>
    </font>
    <font>
      <sz val="10"/>
      <color indexed="24"/>
      <name val="Arial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sz val="1"/>
      <color indexed="8"/>
      <name val="Courier"/>
      <family val="3"/>
    </font>
    <font>
      <sz val="10"/>
      <name val="Times New Roman"/>
      <family val="1"/>
    </font>
    <font>
      <b/>
      <sz val="11"/>
      <color indexed="8"/>
      <name val="Calibri"/>
      <family val="2"/>
    </font>
    <font>
      <b/>
      <sz val="10"/>
      <color indexed="16"/>
      <name val="Tms Rmn"/>
    </font>
    <font>
      <sz val="9"/>
      <color indexed="10"/>
      <name val="Times New Roman"/>
      <family val="1"/>
    </font>
    <font>
      <i/>
      <sz val="11"/>
      <color indexed="23"/>
      <name val="Calibri"/>
      <family val="2"/>
      <charset val="238"/>
    </font>
    <font>
      <sz val="12"/>
      <color indexed="12"/>
      <name val="Book Antiqua"/>
      <family val="1"/>
    </font>
    <font>
      <u/>
      <sz val="10"/>
      <color indexed="36"/>
      <name val="Arial"/>
      <family val="2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u/>
      <sz val="8.5"/>
      <color indexed="36"/>
      <name val="Arial"/>
      <family val="2"/>
    </font>
    <font>
      <u/>
      <sz val="8.5"/>
      <color indexed="12"/>
      <name val="Arial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  <charset val="238"/>
    </font>
    <font>
      <b/>
      <sz val="9"/>
      <name val="Arial"/>
      <family val="2"/>
    </font>
    <font>
      <sz val="11"/>
      <color indexed="52"/>
      <name val="Calibri"/>
      <family val="2"/>
      <charset val="238"/>
    </font>
    <font>
      <sz val="10"/>
      <color indexed="59"/>
      <name val="Arial"/>
      <family val="2"/>
    </font>
    <font>
      <sz val="9"/>
      <name val="Times New Roman"/>
      <family val="1"/>
    </font>
    <font>
      <b/>
      <i/>
      <sz val="10"/>
      <color indexed="9"/>
      <name val="Arial"/>
      <family val="2"/>
    </font>
    <font>
      <sz val="11"/>
      <color indexed="60"/>
      <name val="Calibri"/>
      <family val="2"/>
      <charset val="238"/>
    </font>
    <font>
      <sz val="11"/>
      <color indexed="60"/>
      <name val="Calibri"/>
      <family val="2"/>
    </font>
    <font>
      <b/>
      <i/>
      <sz val="16"/>
      <name val="Helv"/>
    </font>
    <font>
      <sz val="10"/>
      <color indexed="64"/>
      <name val="Arial"/>
      <family val="2"/>
    </font>
    <font>
      <sz val="8"/>
      <color indexed="29"/>
      <name val="Arial MT"/>
      <family val="2"/>
    </font>
    <font>
      <b/>
      <sz val="11"/>
      <color indexed="63"/>
      <name val="Calibri"/>
      <family val="2"/>
      <charset val="238"/>
    </font>
    <font>
      <b/>
      <sz val="8"/>
      <color indexed="14"/>
      <name val="Arial MT"/>
      <family val="2"/>
    </font>
    <font>
      <b/>
      <sz val="10"/>
      <name val="MS Sans Serif"/>
      <family val="2"/>
    </font>
    <font>
      <sz val="8"/>
      <color indexed="10"/>
      <name val="Arial MT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2"/>
      <color indexed="8"/>
      <name val="Arial"/>
      <family val="2"/>
    </font>
    <font>
      <sz val="10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b/>
      <sz val="16"/>
      <color indexed="23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"/>
      <color indexed="18"/>
      <name val="Courier"/>
      <family val="3"/>
    </font>
    <font>
      <b/>
      <sz val="18"/>
      <color indexed="62"/>
      <name val="Cambria"/>
      <family val="2"/>
    </font>
    <font>
      <sz val="10"/>
      <name val="Terminal"/>
      <family val="3"/>
      <charset val="255"/>
    </font>
    <font>
      <b/>
      <sz val="9"/>
      <color indexed="17"/>
      <name val="Times New Roman"/>
      <family val="1"/>
    </font>
    <font>
      <b/>
      <sz val="1"/>
      <color indexed="8"/>
      <name val="Courier"/>
      <family val="3"/>
    </font>
    <font>
      <sz val="8"/>
      <color indexed="15"/>
      <name val="Arial MT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  <charset val="23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04"/>
      <scheme val="minor"/>
    </font>
    <font>
      <sz val="10"/>
      <name val="Book Antiqu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u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8.25"/>
      <color rgb="FF000000"/>
      <name val="Tahoma"/>
      <family val="2"/>
    </font>
    <font>
      <sz val="10"/>
      <color theme="4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</fonts>
  <fills count="1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31"/>
      </patternFill>
    </fill>
    <fill>
      <patternFill patternType="solid">
        <fgColor indexed="56"/>
        <bgColor indexed="64"/>
      </patternFill>
    </fill>
    <fill>
      <patternFill patternType="mediumGray">
        <fgColor indexed="8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23"/>
        <bgColor indexed="9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</patternFill>
    </fill>
    <fill>
      <patternFill patternType="solid">
        <fgColor indexed="1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6FB"/>
      </patternFill>
    </fill>
    <fill>
      <patternFill patternType="solid">
        <fgColor rgb="FFF2F6F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319">
    <xf numFmtId="0" fontId="0" fillId="0" borderId="0"/>
    <xf numFmtId="0" fontId="14" fillId="0" borderId="0"/>
    <xf numFmtId="0" fontId="18" fillId="0" borderId="0" applyNumberFormat="0" applyFill="0" applyBorder="0" applyAlignment="0">
      <protection locked="0"/>
    </xf>
    <xf numFmtId="0" fontId="19" fillId="0" borderId="0"/>
    <xf numFmtId="0" fontId="15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170" fontId="19" fillId="0" borderId="0"/>
    <xf numFmtId="170" fontId="19" fillId="0" borderId="0"/>
    <xf numFmtId="0" fontId="19" fillId="0" borderId="0"/>
    <xf numFmtId="171" fontId="15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173" fontId="15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39" fontId="15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0" fontId="19" fillId="0" borderId="0"/>
    <xf numFmtId="176" fontId="20" fillId="0" borderId="0" applyFont="0" applyFill="0" applyBorder="0" applyAlignment="0" applyProtection="0"/>
    <xf numFmtId="170" fontId="19" fillId="0" borderId="0"/>
    <xf numFmtId="0" fontId="19" fillId="0" borderId="0"/>
    <xf numFmtId="170" fontId="19" fillId="0" borderId="0"/>
    <xf numFmtId="170" fontId="19" fillId="0" borderId="0"/>
    <xf numFmtId="0" fontId="21" fillId="0" borderId="0" applyNumberFormat="0" applyFill="0" applyBorder="0" applyAlignment="0" applyProtection="0"/>
    <xf numFmtId="0" fontId="20" fillId="35" borderId="0" applyNumberFormat="0" applyFont="0" applyAlignment="0" applyProtection="0"/>
    <xf numFmtId="170" fontId="19" fillId="0" borderId="0"/>
    <xf numFmtId="0" fontId="19" fillId="0" borderId="0"/>
    <xf numFmtId="170" fontId="19" fillId="0" borderId="0"/>
    <xf numFmtId="170" fontId="19" fillId="0" borderId="0"/>
    <xf numFmtId="0" fontId="19" fillId="0" borderId="0"/>
    <xf numFmtId="177" fontId="15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15" fillId="0" borderId="0" applyFont="0" applyFill="0" applyBorder="0" applyAlignment="0" applyProtection="0"/>
    <xf numFmtId="180" fontId="20" fillId="0" borderId="0" applyFont="0" applyFill="0" applyBorder="0" applyProtection="0">
      <alignment horizontal="right"/>
    </xf>
    <xf numFmtId="180" fontId="20" fillId="0" borderId="0" applyFont="0" applyFill="0" applyBorder="0" applyProtection="0">
      <alignment horizontal="right"/>
    </xf>
    <xf numFmtId="0" fontId="19" fillId="0" borderId="0"/>
    <xf numFmtId="170" fontId="19" fillId="0" borderId="0"/>
    <xf numFmtId="181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22" fillId="0" borderId="0" applyNumberFormat="0" applyFill="0" applyBorder="0" applyProtection="0">
      <alignment vertical="top"/>
    </xf>
    <xf numFmtId="0" fontId="23" fillId="0" borderId="11" applyNumberFormat="0" applyFill="0" applyAlignment="0" applyProtection="0"/>
    <xf numFmtId="0" fontId="24" fillId="0" borderId="12" applyNumberFormat="0" applyFill="0" applyProtection="0">
      <alignment horizontal="center"/>
    </xf>
    <xf numFmtId="0" fontId="24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centerContinuous"/>
    </xf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170" fontId="19" fillId="0" borderId="0"/>
    <xf numFmtId="0" fontId="19" fillId="0" borderId="0"/>
    <xf numFmtId="170" fontId="19" fillId="0" borderId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36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9" fillId="46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8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8" fillId="54" borderId="0" applyNumberFormat="0" applyBorder="0" applyAlignment="0" applyProtection="0"/>
    <xf numFmtId="0" fontId="27" fillId="55" borderId="0" applyNumberFormat="0" applyBorder="0" applyAlignment="0" applyProtection="0"/>
    <xf numFmtId="0" fontId="27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8" fillId="59" borderId="0" applyNumberFormat="0" applyBorder="0" applyAlignment="0" applyProtection="0"/>
    <xf numFmtId="0" fontId="27" fillId="55" borderId="0" applyNumberFormat="0" applyBorder="0" applyAlignment="0" applyProtection="0"/>
    <xf numFmtId="0" fontId="27" fillId="60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8" fillId="47" borderId="0" applyNumberFormat="0" applyBorder="0" applyAlignment="0" applyProtection="0"/>
    <xf numFmtId="0" fontId="27" fillId="51" borderId="0" applyNumberFormat="0" applyBorder="0" applyAlignment="0" applyProtection="0"/>
    <xf numFmtId="0" fontId="27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3" borderId="0" applyNumberFormat="0" applyBorder="0" applyAlignment="0" applyProtection="0"/>
    <xf numFmtId="0" fontId="28" fillId="48" borderId="0" applyNumberFormat="0" applyBorder="0" applyAlignment="0" applyProtection="0"/>
    <xf numFmtId="0" fontId="27" fillId="61" borderId="0" applyNumberFormat="0" applyBorder="0" applyAlignment="0" applyProtection="0"/>
    <xf numFmtId="0" fontId="27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62" borderId="0" applyNumberFormat="0" applyBorder="0" applyAlignment="0" applyProtection="0"/>
    <xf numFmtId="0" fontId="28" fillId="63" borderId="0" applyNumberFormat="0" applyBorder="0" applyAlignment="0" applyProtection="0"/>
    <xf numFmtId="0" fontId="27" fillId="55" borderId="0" applyNumberFormat="0" applyBorder="0" applyAlignment="0" applyProtection="0"/>
    <xf numFmtId="0" fontId="27" fillId="64" borderId="0" applyNumberFormat="0" applyBorder="0" applyAlignment="0" applyProtection="0"/>
    <xf numFmtId="0" fontId="29" fillId="64" borderId="0" applyNumberFormat="0" applyBorder="0" applyAlignment="0" applyProtection="0"/>
    <xf numFmtId="0" fontId="29" fillId="65" borderId="0" applyNumberFormat="0" applyBorder="0" applyAlignment="0" applyProtection="0"/>
    <xf numFmtId="183" fontId="30" fillId="0" borderId="0" applyFont="0" applyFill="0" applyBorder="0" applyAlignment="0" applyProtection="0"/>
    <xf numFmtId="0" fontId="31" fillId="37" borderId="0" applyNumberFormat="0" applyBorder="0" applyAlignment="0" applyProtection="0"/>
    <xf numFmtId="0" fontId="32" fillId="0" borderId="0"/>
    <xf numFmtId="0" fontId="33" fillId="0" borderId="13" applyNumberFormat="0" applyFon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6" fillId="0" borderId="16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66" borderId="17" applyNumberFormat="0" applyAlignment="0" applyProtection="0"/>
    <xf numFmtId="0" fontId="38" fillId="66" borderId="17" applyNumberFormat="0" applyAlignment="0" applyProtection="0"/>
    <xf numFmtId="0" fontId="39" fillId="0" borderId="0"/>
    <xf numFmtId="0" fontId="40" fillId="0" borderId="18" applyNumberFormat="0" applyFill="0" applyAlignment="0" applyProtection="0"/>
    <xf numFmtId="0" fontId="41" fillId="67" borderId="0">
      <alignment horizontal="centerContinuous"/>
    </xf>
    <xf numFmtId="0" fontId="42" fillId="68" borderId="19" applyNumberFormat="0" applyAlignment="0" applyProtection="0"/>
    <xf numFmtId="0" fontId="42" fillId="68" borderId="19" applyNumberFormat="0" applyAlignment="0" applyProtection="0"/>
    <xf numFmtId="0" fontId="19" fillId="0" borderId="0"/>
    <xf numFmtId="37" fontId="19" fillId="69" borderId="0"/>
    <xf numFmtId="0" fontId="19" fillId="0" borderId="0"/>
    <xf numFmtId="0" fontId="43" fillId="0" borderId="0">
      <alignment horizontal="centerContinuous"/>
    </xf>
    <xf numFmtId="0" fontId="44" fillId="55" borderId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3" fontId="45" fillId="0" borderId="0" applyFont="0" applyFill="0" applyBorder="0" applyAlignment="0" applyProtection="0"/>
    <xf numFmtId="0" fontId="29" fillId="50" borderId="0" applyNumberFormat="0" applyBorder="0" applyAlignment="0" applyProtection="0"/>
    <xf numFmtId="0" fontId="29" fillId="54" borderId="0" applyNumberFormat="0" applyBorder="0" applyAlignment="0" applyProtection="0"/>
    <xf numFmtId="0" fontId="29" fillId="59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63" borderId="0" applyNumberFormat="0" applyBorder="0" applyAlignment="0" applyProtection="0"/>
    <xf numFmtId="0" fontId="46" fillId="38" borderId="0" applyNumberFormat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7" fontId="47" fillId="0" borderId="0" applyFont="0" applyFill="0" applyBorder="0" applyAlignment="0" applyProtection="0"/>
    <xf numFmtId="188" fontId="45" fillId="0" borderId="0" applyFont="0" applyFill="0" applyBorder="0" applyAlignment="0" applyProtection="0"/>
    <xf numFmtId="0" fontId="48" fillId="0" borderId="0">
      <protection locked="0"/>
    </xf>
    <xf numFmtId="189" fontId="15" fillId="0" borderId="0"/>
    <xf numFmtId="0" fontId="19" fillId="0" borderId="20"/>
    <xf numFmtId="190" fontId="19" fillId="56" borderId="0">
      <alignment horizontal="right"/>
    </xf>
    <xf numFmtId="167" fontId="49" fillId="0" borderId="21" applyFill="0" applyBorder="0" applyAlignment="0">
      <alignment horizontal="centerContinuous"/>
    </xf>
    <xf numFmtId="166" fontId="15" fillId="0" borderId="0">
      <alignment horizontal="right"/>
    </xf>
    <xf numFmtId="1" fontId="15" fillId="0" borderId="0">
      <alignment horizontal="right"/>
    </xf>
    <xf numFmtId="1" fontId="15" fillId="0" borderId="0">
      <alignment horizontal="right"/>
    </xf>
    <xf numFmtId="191" fontId="15" fillId="0" borderId="0">
      <alignment horizontal="right"/>
    </xf>
    <xf numFmtId="49" fontId="15" fillId="0" borderId="0">
      <alignment horizontal="left"/>
    </xf>
    <xf numFmtId="49" fontId="15" fillId="0" borderId="0">
      <alignment horizontal="right"/>
    </xf>
    <xf numFmtId="192" fontId="15" fillId="0" borderId="0">
      <alignment horizontal="left"/>
    </xf>
    <xf numFmtId="0" fontId="50" fillId="70" borderId="0" applyNumberFormat="0" applyBorder="0" applyAlignment="0" applyProtection="0"/>
    <xf numFmtId="0" fontId="50" fillId="71" borderId="0" applyNumberFormat="0" applyBorder="0" applyAlignment="0" applyProtection="0"/>
    <xf numFmtId="0" fontId="50" fillId="72" borderId="0" applyNumberFormat="0" applyBorder="0" applyAlignment="0" applyProtection="0"/>
    <xf numFmtId="49" fontId="51" fillId="0" borderId="10" applyFont="0" applyFill="0" applyBorder="0" applyAlignment="0" applyProtection="0"/>
    <xf numFmtId="49" fontId="51" fillId="0" borderId="10" applyFont="0" applyFill="0" applyBorder="0" applyAlignment="0" applyProtection="0"/>
    <xf numFmtId="49" fontId="51" fillId="0" borderId="10" applyFont="0" applyFill="0" applyBorder="0" applyAlignment="0" applyProtection="0"/>
    <xf numFmtId="49" fontId="51" fillId="0" borderId="10" applyFont="0" applyFill="0" applyBorder="0" applyAlignment="0" applyProtection="0"/>
    <xf numFmtId="0" fontId="15" fillId="0" borderId="0"/>
    <xf numFmtId="193" fontId="52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40" fontId="54" fillId="0" borderId="0"/>
    <xf numFmtId="0" fontId="15" fillId="0" borderId="0" applyNumberFormat="0" applyFill="0" applyBorder="0" applyAlignment="0" applyProtection="0"/>
    <xf numFmtId="2" fontId="15" fillId="0" borderId="0" applyFill="0" applyBorder="0" applyAlignment="0" applyProtection="0"/>
    <xf numFmtId="0" fontId="19" fillId="0" borderId="22"/>
    <xf numFmtId="0" fontId="19" fillId="0" borderId="22"/>
    <xf numFmtId="0" fontId="19" fillId="0" borderId="22"/>
    <xf numFmtId="196" fontId="15" fillId="0" borderId="0">
      <protection locked="0"/>
    </xf>
    <xf numFmtId="197" fontId="48" fillId="0" borderId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38" borderId="0" applyNumberFormat="0" applyBorder="0" applyAlignment="0" applyProtection="0"/>
    <xf numFmtId="38" fontId="17" fillId="73" borderId="0" applyNumberFormat="0" applyBorder="0" applyAlignment="0" applyProtection="0"/>
    <xf numFmtId="0" fontId="43" fillId="0" borderId="0">
      <alignment horizontal="centerContinuous"/>
    </xf>
    <xf numFmtId="0" fontId="57" fillId="0" borderId="14" applyNumberFormat="0" applyFill="0" applyAlignment="0" applyProtection="0"/>
    <xf numFmtId="0" fontId="58" fillId="0" borderId="15" applyNumberFormat="0" applyFill="0" applyAlignment="0" applyProtection="0"/>
    <xf numFmtId="0" fontId="59" fillId="0" borderId="16" applyNumberFormat="0" applyFill="0" applyAlignment="0" applyProtection="0"/>
    <xf numFmtId="0" fontId="59" fillId="0" borderId="0" applyNumberFormat="0" applyFill="0" applyBorder="0" applyAlignment="0" applyProtection="0"/>
    <xf numFmtId="198" fontId="15" fillId="0" borderId="0">
      <protection locked="0"/>
    </xf>
    <xf numFmtId="198" fontId="15" fillId="0" borderId="0"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37" borderId="0" applyNumberFormat="0" applyBorder="0" applyAlignment="0" applyProtection="0"/>
    <xf numFmtId="199" fontId="51" fillId="0" borderId="10" applyFont="0" applyFill="0" applyBorder="0" applyAlignment="0" applyProtection="0"/>
    <xf numFmtId="199" fontId="51" fillId="0" borderId="10" applyFont="0" applyFill="0" applyBorder="0" applyAlignment="0" applyProtection="0"/>
    <xf numFmtId="199" fontId="51" fillId="0" borderId="10" applyFont="0" applyFill="0" applyBorder="0" applyAlignment="0" applyProtection="0"/>
    <xf numFmtId="199" fontId="51" fillId="0" borderId="10" applyFont="0" applyFill="0" applyBorder="0" applyAlignment="0" applyProtection="0"/>
    <xf numFmtId="0" fontId="63" fillId="41" borderId="17" applyNumberFormat="0" applyAlignment="0" applyProtection="0"/>
    <xf numFmtId="10" fontId="17" fillId="32" borderId="7" applyNumberFormat="0" applyBorder="0" applyAlignment="0" applyProtection="0"/>
    <xf numFmtId="0" fontId="63" fillId="41" borderId="17" applyNumberFormat="0" applyAlignment="0" applyProtection="0"/>
    <xf numFmtId="0" fontId="63" fillId="41" borderId="17" applyNumberFormat="0" applyAlignment="0" applyProtection="0"/>
    <xf numFmtId="0" fontId="63" fillId="41" borderId="17" applyNumberFormat="0" applyAlignment="0" applyProtection="0"/>
    <xf numFmtId="200" fontId="64" fillId="74" borderId="0" applyFont="0" applyFill="0" applyBorder="0" applyAlignment="0" applyProtection="0">
      <alignment horizontal="center"/>
    </xf>
    <xf numFmtId="201" fontId="15" fillId="0" borderId="0" applyFont="0" applyFill="0" applyBorder="0" applyAlignment="0" applyProtection="0"/>
    <xf numFmtId="202" fontId="15" fillId="0" borderId="0" applyFont="0" applyFill="0" applyBorder="0" applyAlignment="0" applyProtection="0"/>
    <xf numFmtId="49" fontId="17" fillId="0" borderId="7">
      <alignment horizontal="left" vertical="center" wrapText="1"/>
      <protection locked="0"/>
    </xf>
    <xf numFmtId="0" fontId="65" fillId="0" borderId="18" applyNumberFormat="0" applyFill="0" applyAlignment="0" applyProtection="0"/>
    <xf numFmtId="0" fontId="66" fillId="75" borderId="0">
      <protection locked="0"/>
    </xf>
    <xf numFmtId="17" fontId="67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203" fontId="67" fillId="0" borderId="0" applyFont="0" applyFill="0" applyBorder="0" applyAlignment="0" applyProtection="0"/>
    <xf numFmtId="41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204" fontId="1" fillId="0" borderId="0" applyFont="0" applyFill="0" applyBorder="0" applyAlignment="0" applyProtection="0"/>
    <xf numFmtId="205" fontId="15" fillId="0" borderId="0" applyFont="0" applyFill="0" applyBorder="0" applyAlignment="0" applyProtection="0"/>
    <xf numFmtId="206" fontId="15" fillId="0" borderId="0" applyFont="0" applyFill="0" applyBorder="0" applyAlignment="0" applyProtection="0"/>
    <xf numFmtId="186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5" fillId="0" borderId="0" applyFill="0" applyBorder="0" applyAlignment="0" applyProtection="0"/>
    <xf numFmtId="209" fontId="15" fillId="0" borderId="0" applyFill="0" applyBorder="0" applyAlignment="0" applyProtection="0"/>
    <xf numFmtId="210" fontId="68" fillId="76" borderId="10">
      <alignment vertical="center"/>
    </xf>
    <xf numFmtId="210" fontId="68" fillId="76" borderId="10">
      <alignment vertical="center"/>
    </xf>
    <xf numFmtId="210" fontId="68" fillId="76" borderId="10">
      <alignment vertical="center"/>
    </xf>
    <xf numFmtId="210" fontId="68" fillId="76" borderId="10">
      <alignment vertical="center"/>
    </xf>
    <xf numFmtId="210" fontId="68" fillId="76" borderId="10">
      <alignment vertical="center"/>
    </xf>
    <xf numFmtId="210" fontId="68" fillId="76" borderId="10">
      <alignment vertical="center"/>
    </xf>
    <xf numFmtId="211" fontId="67" fillId="0" borderId="0"/>
    <xf numFmtId="212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0" fontId="69" fillId="35" borderId="0" applyNumberFormat="0" applyBorder="0" applyAlignment="0" applyProtection="0"/>
    <xf numFmtId="0" fontId="70" fillId="35" borderId="0" applyNumberFormat="0" applyBorder="0" applyAlignment="0" applyProtection="0"/>
    <xf numFmtId="214" fontId="7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72" fillId="0" borderId="0"/>
    <xf numFmtId="0" fontId="15" fillId="0" borderId="0"/>
    <xf numFmtId="0" fontId="15" fillId="0" borderId="0"/>
    <xf numFmtId="0" fontId="72" fillId="0" borderId="0"/>
    <xf numFmtId="0" fontId="15" fillId="0" borderId="0"/>
    <xf numFmtId="0" fontId="7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27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185" fontId="15" fillId="77" borderId="8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6" borderId="6" applyNumberFormat="0" applyFont="0" applyAlignment="0" applyProtection="0"/>
    <xf numFmtId="0" fontId="27" fillId="78" borderId="23" applyNumberFormat="0" applyFont="0" applyAlignment="0" applyProtection="0"/>
    <xf numFmtId="0" fontId="27" fillId="78" borderId="23" applyNumberFormat="0" applyFont="0" applyAlignment="0" applyProtection="0"/>
    <xf numFmtId="39" fontId="19" fillId="55" borderId="0"/>
    <xf numFmtId="0" fontId="26" fillId="78" borderId="23" applyNumberFormat="0" applyFont="0" applyAlignment="0" applyProtection="0"/>
    <xf numFmtId="0" fontId="26" fillId="78" borderId="23" applyNumberFormat="0" applyFont="0" applyAlignment="0" applyProtection="0"/>
    <xf numFmtId="215" fontId="16" fillId="0" borderId="0" applyFont="0" applyFill="0" applyBorder="0" applyAlignment="0" applyProtection="0"/>
    <xf numFmtId="0" fontId="73" fillId="0" borderId="0">
      <alignment vertical="center"/>
    </xf>
    <xf numFmtId="0" fontId="74" fillId="66" borderId="24" applyNumberFormat="0" applyAlignment="0" applyProtection="0"/>
    <xf numFmtId="0" fontId="74" fillId="66" borderId="24" applyNumberFormat="0" applyAlignment="0" applyProtection="0"/>
    <xf numFmtId="10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216" fontId="15" fillId="0" borderId="0" applyFont="0" applyFill="0" applyBorder="0" applyProtection="0">
      <alignment horizontal="right"/>
    </xf>
    <xf numFmtId="9" fontId="16" fillId="0" borderId="9" applyNumberFormat="0" applyBorder="0"/>
    <xf numFmtId="217" fontId="48" fillId="0" borderId="0">
      <protection locked="0"/>
    </xf>
    <xf numFmtId="0" fontId="75" fillId="0" borderId="0"/>
    <xf numFmtId="218" fontId="67" fillId="0" borderId="0" applyFill="0" applyBorder="0" applyAlignment="0">
      <alignment horizontal="left"/>
    </xf>
    <xf numFmtId="219" fontId="67" fillId="0" borderId="0" applyBorder="0" applyAlignment="0">
      <alignment horizontal="right"/>
    </xf>
    <xf numFmtId="220" fontId="48" fillId="0" borderId="0">
      <protection locked="0"/>
    </xf>
    <xf numFmtId="9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0" fontId="15" fillId="0" borderId="0" applyFill="0" applyBorder="0" applyAlignment="0" applyProtection="0"/>
    <xf numFmtId="0" fontId="16" fillId="0" borderId="0" applyNumberFormat="0" applyFont="0" applyFill="0" applyBorder="0" applyAlignment="0" applyProtection="0">
      <alignment horizontal="left"/>
    </xf>
    <xf numFmtId="1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0" fontId="76" fillId="0" borderId="13">
      <alignment horizontal="center"/>
    </xf>
    <xf numFmtId="3" fontId="16" fillId="0" borderId="0" applyFont="0" applyFill="0" applyBorder="0" applyAlignment="0" applyProtection="0"/>
    <xf numFmtId="0" fontId="16" fillId="79" borderId="0" applyNumberFormat="0" applyFont="0" applyBorder="0" applyAlignment="0" applyProtection="0"/>
    <xf numFmtId="221" fontId="15" fillId="0" borderId="0" applyFill="0" applyBorder="0" applyAlignment="0" applyProtection="0"/>
    <xf numFmtId="3" fontId="15" fillId="0" borderId="0" applyFill="0" applyBorder="0" applyAlignment="0" applyProtection="0"/>
    <xf numFmtId="0" fontId="15" fillId="80" borderId="7"/>
    <xf numFmtId="222" fontId="67" fillId="0" borderId="0" applyFont="0" applyFill="0" applyBorder="0" applyAlignment="0" applyProtection="0"/>
    <xf numFmtId="0" fontId="77" fillId="0" borderId="0"/>
    <xf numFmtId="0" fontId="77" fillId="0" borderId="0"/>
    <xf numFmtId="223" fontId="67" fillId="0" borderId="0" applyFont="0" applyFill="0" applyBorder="0" applyAlignment="0" applyProtection="0"/>
    <xf numFmtId="190" fontId="19" fillId="0" borderId="25">
      <alignment horizontal="right"/>
    </xf>
    <xf numFmtId="4" fontId="78" fillId="34" borderId="24" applyNumberFormat="0" applyProtection="0">
      <alignment vertical="center"/>
    </xf>
    <xf numFmtId="4" fontId="78" fillId="34" borderId="24" applyNumberFormat="0" applyProtection="0">
      <alignment vertical="center"/>
    </xf>
    <xf numFmtId="4" fontId="79" fillId="34" borderId="24" applyNumberFormat="0" applyProtection="0">
      <alignment vertical="center"/>
    </xf>
    <xf numFmtId="4" fontId="79" fillId="34" borderId="24" applyNumberFormat="0" applyProtection="0">
      <alignment vertical="center"/>
    </xf>
    <xf numFmtId="4" fontId="78" fillId="34" borderId="24" applyNumberFormat="0" applyProtection="0">
      <alignment horizontal="left" vertical="center" indent="1"/>
    </xf>
    <xf numFmtId="4" fontId="78" fillId="34" borderId="24" applyNumberFormat="0" applyProtection="0">
      <alignment horizontal="left" vertical="center" indent="1"/>
    </xf>
    <xf numFmtId="4" fontId="78" fillId="34" borderId="24" applyNumberFormat="0" applyProtection="0">
      <alignment horizontal="left" vertical="center" indent="1"/>
    </xf>
    <xf numFmtId="4" fontId="78" fillId="34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4" fontId="81" fillId="82" borderId="26" applyNumberFormat="0" applyProtection="0">
      <alignment vertical="center"/>
    </xf>
    <xf numFmtId="4" fontId="78" fillId="83" borderId="24" applyNumberFormat="0" applyProtection="0">
      <alignment horizontal="right" vertical="center"/>
    </xf>
    <xf numFmtId="4" fontId="78" fillId="83" borderId="24" applyNumberFormat="0" applyProtection="0">
      <alignment horizontal="right" vertical="center"/>
    </xf>
    <xf numFmtId="4" fontId="78" fillId="84" borderId="24" applyNumberFormat="0" applyProtection="0">
      <alignment horizontal="right" vertical="center"/>
    </xf>
    <xf numFmtId="4" fontId="78" fillId="84" borderId="24" applyNumberFormat="0" applyProtection="0">
      <alignment horizontal="right" vertical="center"/>
    </xf>
    <xf numFmtId="4" fontId="78" fillId="82" borderId="24" applyNumberFormat="0" applyProtection="0">
      <alignment horizontal="right" vertical="center"/>
    </xf>
    <xf numFmtId="4" fontId="78" fillId="82" borderId="24" applyNumberFormat="0" applyProtection="0">
      <alignment horizontal="right" vertical="center"/>
    </xf>
    <xf numFmtId="4" fontId="20" fillId="85" borderId="26" applyNumberFormat="0" applyProtection="0">
      <alignment vertical="center"/>
    </xf>
    <xf numFmtId="4" fontId="78" fillId="86" borderId="24" applyNumberFormat="0" applyProtection="0">
      <alignment horizontal="right" vertical="center"/>
    </xf>
    <xf numFmtId="4" fontId="78" fillId="86" borderId="24" applyNumberFormat="0" applyProtection="0">
      <alignment horizontal="right" vertical="center"/>
    </xf>
    <xf numFmtId="4" fontId="78" fillId="87" borderId="24" applyNumberFormat="0" applyProtection="0">
      <alignment horizontal="right" vertical="center"/>
    </xf>
    <xf numFmtId="4" fontId="78" fillId="87" borderId="24" applyNumberFormat="0" applyProtection="0">
      <alignment horizontal="right" vertical="center"/>
    </xf>
    <xf numFmtId="4" fontId="78" fillId="88" borderId="24" applyNumberFormat="0" applyProtection="0">
      <alignment horizontal="right" vertical="center"/>
    </xf>
    <xf numFmtId="4" fontId="78" fillId="88" borderId="24" applyNumberFormat="0" applyProtection="0">
      <alignment horizontal="right" vertical="center"/>
    </xf>
    <xf numFmtId="4" fontId="81" fillId="89" borderId="26" applyNumberFormat="0" applyProtection="0">
      <alignment vertical="center"/>
    </xf>
    <xf numFmtId="4" fontId="78" fillId="90" borderId="24" applyNumberFormat="0" applyProtection="0">
      <alignment horizontal="right" vertical="center"/>
    </xf>
    <xf numFmtId="4" fontId="78" fillId="90" borderId="24" applyNumberFormat="0" applyProtection="0">
      <alignment horizontal="right" vertical="center"/>
    </xf>
    <xf numFmtId="4" fontId="78" fillId="91" borderId="24" applyNumberFormat="0" applyProtection="0">
      <alignment horizontal="right" vertical="center"/>
    </xf>
    <xf numFmtId="4" fontId="78" fillId="91" borderId="24" applyNumberFormat="0" applyProtection="0">
      <alignment horizontal="right" vertical="center"/>
    </xf>
    <xf numFmtId="4" fontId="78" fillId="92" borderId="24" applyNumberFormat="0" applyProtection="0">
      <alignment horizontal="right" vertical="center"/>
    </xf>
    <xf numFmtId="4" fontId="78" fillId="92" borderId="24" applyNumberFormat="0" applyProtection="0">
      <alignment horizontal="right" vertical="center"/>
    </xf>
    <xf numFmtId="4" fontId="82" fillId="82" borderId="26" applyNumberFormat="0" applyProtection="0">
      <alignment vertical="center"/>
    </xf>
    <xf numFmtId="4" fontId="80" fillId="93" borderId="24" applyNumberFormat="0" applyProtection="0">
      <alignment horizontal="left" vertical="center" indent="1"/>
    </xf>
    <xf numFmtId="4" fontId="80" fillId="93" borderId="24" applyNumberFormat="0" applyProtection="0">
      <alignment horizontal="left" vertical="center" indent="1"/>
    </xf>
    <xf numFmtId="4" fontId="78" fillId="94" borderId="27" applyNumberFormat="0" applyProtection="0">
      <alignment horizontal="left" vertical="center" indent="1"/>
    </xf>
    <xf numFmtId="4" fontId="83" fillId="95" borderId="0" applyNumberFormat="0" applyProtection="0">
      <alignment horizontal="left" vertical="center" indent="1"/>
    </xf>
    <xf numFmtId="4" fontId="83" fillId="95" borderId="0" applyNumberFormat="0" applyProtection="0">
      <alignment horizontal="left" vertical="center" indent="1"/>
    </xf>
    <xf numFmtId="4" fontId="83" fillId="95" borderId="0" applyNumberFormat="0" applyProtection="0">
      <alignment horizontal="left" vertical="center" indent="1"/>
    </xf>
    <xf numFmtId="4" fontId="83" fillId="95" borderId="0" applyNumberFormat="0" applyProtection="0">
      <alignment horizontal="left" vertical="center" indent="1"/>
    </xf>
    <xf numFmtId="4" fontId="83" fillId="95" borderId="0" applyNumberFormat="0" applyProtection="0">
      <alignment horizontal="left" vertical="center" indent="1"/>
    </xf>
    <xf numFmtId="4" fontId="83" fillId="95" borderId="0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4" fontId="84" fillId="96" borderId="26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4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4" fontId="78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7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98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73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4" fontId="78" fillId="32" borderId="24" applyNumberFormat="0" applyProtection="0">
      <alignment vertical="center"/>
    </xf>
    <xf numFmtId="4" fontId="78" fillId="32" borderId="24" applyNumberFormat="0" applyProtection="0">
      <alignment vertical="center"/>
    </xf>
    <xf numFmtId="4" fontId="79" fillId="32" borderId="24" applyNumberFormat="0" applyProtection="0">
      <alignment vertical="center"/>
    </xf>
    <xf numFmtId="4" fontId="79" fillId="32" borderId="24" applyNumberFormat="0" applyProtection="0">
      <alignment vertical="center"/>
    </xf>
    <xf numFmtId="4" fontId="78" fillId="32" borderId="24" applyNumberFormat="0" applyProtection="0">
      <alignment horizontal="left" vertical="center" indent="1"/>
    </xf>
    <xf numFmtId="4" fontId="78" fillId="32" borderId="24" applyNumberFormat="0" applyProtection="0">
      <alignment horizontal="left" vertical="center" indent="1"/>
    </xf>
    <xf numFmtId="4" fontId="78" fillId="32" borderId="24" applyNumberFormat="0" applyProtection="0">
      <alignment horizontal="left" vertical="center" indent="1"/>
    </xf>
    <xf numFmtId="4" fontId="78" fillId="32" borderId="24" applyNumberFormat="0" applyProtection="0">
      <alignment horizontal="left" vertical="center" indent="1"/>
    </xf>
    <xf numFmtId="4" fontId="78" fillId="94" borderId="24" applyNumberFormat="0" applyProtection="0">
      <alignment horizontal="right" vertical="center"/>
    </xf>
    <xf numFmtId="4" fontId="78" fillId="94" borderId="24" applyNumberFormat="0" applyProtection="0">
      <alignment horizontal="right" vertical="center"/>
    </xf>
    <xf numFmtId="4" fontId="79" fillId="94" borderId="24" applyNumberFormat="0" applyProtection="0">
      <alignment horizontal="right" vertical="center"/>
    </xf>
    <xf numFmtId="4" fontId="79" fillId="94" borderId="24" applyNumberFormat="0" applyProtection="0">
      <alignment horizontal="right" vertical="center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0" fontId="15" fillId="81" borderId="24" applyNumberFormat="0" applyProtection="0">
      <alignment horizontal="left" vertical="center" indent="1"/>
    </xf>
    <xf numFmtId="4" fontId="85" fillId="96" borderId="26" applyNumberFormat="0" applyProtection="0">
      <alignment vertical="center"/>
    </xf>
    <xf numFmtId="4" fontId="86" fillId="96" borderId="26" applyNumberFormat="0" applyProtection="0">
      <alignment vertical="center"/>
    </xf>
    <xf numFmtId="4" fontId="87" fillId="32" borderId="26" applyNumberFormat="0" applyProtection="0">
      <alignment horizontal="left" vertical="center" indent="1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4" fontId="89" fillId="99" borderId="0" applyNumberFormat="0" applyProtection="0">
      <alignment horizontal="left" vertical="center" indent="1"/>
    </xf>
    <xf numFmtId="4" fontId="90" fillId="94" borderId="24" applyNumberFormat="0" applyProtection="0">
      <alignment horizontal="right" vertical="center"/>
    </xf>
    <xf numFmtId="4" fontId="90" fillId="94" borderId="24" applyNumberFormat="0" applyProtection="0">
      <alignment horizontal="right" vertical="center"/>
    </xf>
    <xf numFmtId="0" fontId="91" fillId="100" borderId="0"/>
    <xf numFmtId="49" fontId="92" fillId="100" borderId="0"/>
    <xf numFmtId="49" fontId="93" fillId="100" borderId="28"/>
    <xf numFmtId="49" fontId="93" fillId="100" borderId="0"/>
    <xf numFmtId="0" fontId="91" fillId="96" borderId="28">
      <protection locked="0"/>
    </xf>
    <xf numFmtId="0" fontId="91" fillId="100" borderId="0"/>
    <xf numFmtId="0" fontId="94" fillId="33" borderId="0"/>
    <xf numFmtId="0" fontId="94" fillId="92" borderId="0"/>
    <xf numFmtId="0" fontId="94" fillId="86" borderId="0"/>
    <xf numFmtId="38" fontId="16" fillId="0" borderId="0" applyFont="0" applyFill="0" applyBorder="0" applyAlignment="0" applyProtection="0"/>
    <xf numFmtId="224" fontId="95" fillId="0" borderId="0">
      <protection locked="0"/>
    </xf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15" fillId="0" borderId="0"/>
    <xf numFmtId="0" fontId="15" fillId="0" borderId="0">
      <alignment horizontal="left" wrapText="1"/>
    </xf>
    <xf numFmtId="0" fontId="64" fillId="0" borderId="0" applyFill="0" applyBorder="0" applyProtection="0">
      <alignment horizontal="center" vertical="center"/>
    </xf>
    <xf numFmtId="0" fontId="47" fillId="0" borderId="0" applyFill="0" applyBorder="0" applyProtection="0">
      <alignment horizontal="left"/>
    </xf>
    <xf numFmtId="0" fontId="97" fillId="0" borderId="0"/>
    <xf numFmtId="0" fontId="43" fillId="0" borderId="0">
      <alignment horizontal="centerContinuous"/>
    </xf>
    <xf numFmtId="0" fontId="19" fillId="0" borderId="0">
      <alignment horizontal="centerContinuous"/>
    </xf>
    <xf numFmtId="0" fontId="43" fillId="0" borderId="0">
      <alignment horizontal="centerContinuous"/>
    </xf>
    <xf numFmtId="225" fontId="98" fillId="31" borderId="29" applyNumberFormat="0" applyProtection="0">
      <alignment horizontal="left" vertical="center"/>
    </xf>
    <xf numFmtId="225" fontId="98" fillId="31" borderId="29" applyNumberFormat="0" applyProtection="0">
      <alignment horizontal="left" vertical="center"/>
    </xf>
    <xf numFmtId="0" fontId="99" fillId="0" borderId="0">
      <protection locked="0"/>
    </xf>
    <xf numFmtId="0" fontId="99" fillId="0" borderId="0">
      <protection locked="0"/>
    </xf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100" fillId="0" borderId="0">
      <alignment horizontal="right"/>
    </xf>
    <xf numFmtId="0" fontId="19" fillId="0" borderId="0">
      <alignment horizontal="centerContinuous"/>
    </xf>
    <xf numFmtId="39" fontId="19" fillId="51" borderId="0"/>
    <xf numFmtId="226" fontId="16" fillId="0" borderId="0" applyFont="0" applyFill="0" applyBorder="0" applyAlignment="0" applyProtection="0"/>
    <xf numFmtId="227" fontId="15" fillId="0" borderId="0" applyFont="0" applyFill="0" applyBorder="0" applyAlignment="0" applyProtection="0"/>
    <xf numFmtId="228" fontId="16" fillId="0" borderId="0" applyFont="0" applyFill="0" applyBorder="0" applyAlignment="0" applyProtection="0"/>
    <xf numFmtId="0" fontId="101" fillId="68" borderId="19" applyNumberFormat="0" applyAlignment="0" applyProtection="0"/>
    <xf numFmtId="0" fontId="101" fillId="68" borderId="19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229" fontId="67" fillId="0" borderId="0" applyFont="0" applyFill="0" applyBorder="0" applyAlignment="0" applyProtection="0"/>
    <xf numFmtId="0" fontId="38" fillId="66" borderId="31" applyNumberFormat="0" applyAlignment="0" applyProtection="0"/>
    <xf numFmtId="0" fontId="103" fillId="0" borderId="0" applyNumberFormat="0" applyFill="0" applyBorder="0" applyAlignment="0" applyProtection="0"/>
    <xf numFmtId="0" fontId="63" fillId="41" borderId="3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78" borderId="32" applyNumberFormat="0" applyFont="0" applyAlignment="0" applyProtection="0"/>
    <xf numFmtId="0" fontId="27" fillId="78" borderId="32" applyNumberFormat="0" applyFont="0" applyAlignment="0" applyProtection="0"/>
    <xf numFmtId="0" fontId="27" fillId="78" borderId="32" applyNumberFormat="0" applyFont="0" applyAlignment="0" applyProtection="0"/>
    <xf numFmtId="0" fontId="27" fillId="78" borderId="32" applyNumberFormat="0" applyFont="0" applyAlignment="0" applyProtection="0"/>
    <xf numFmtId="0" fontId="26" fillId="78" borderId="32" applyNumberFormat="0" applyFont="0" applyAlignment="0" applyProtection="0"/>
    <xf numFmtId="0" fontId="74" fillId="66" borderId="33" applyNumberFormat="0" applyAlignment="0" applyProtection="0"/>
    <xf numFmtId="4" fontId="78" fillId="34" borderId="33" applyNumberFormat="0" applyProtection="0">
      <alignment vertical="center"/>
    </xf>
    <xf numFmtId="4" fontId="79" fillId="34" borderId="33" applyNumberFormat="0" applyProtection="0">
      <alignment vertical="center"/>
    </xf>
    <xf numFmtId="4" fontId="78" fillId="34" borderId="33" applyNumberFormat="0" applyProtection="0">
      <alignment horizontal="left" vertical="center" indent="1"/>
    </xf>
    <xf numFmtId="4" fontId="78" fillId="34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4" fontId="78" fillId="83" borderId="33" applyNumberFormat="0" applyProtection="0">
      <alignment horizontal="right" vertical="center"/>
    </xf>
    <xf numFmtId="4" fontId="78" fillId="84" borderId="33" applyNumberFormat="0" applyProtection="0">
      <alignment horizontal="right" vertical="center"/>
    </xf>
    <xf numFmtId="4" fontId="78" fillId="82" borderId="33" applyNumberFormat="0" applyProtection="0">
      <alignment horizontal="right" vertical="center"/>
    </xf>
    <xf numFmtId="4" fontId="78" fillId="86" borderId="33" applyNumberFormat="0" applyProtection="0">
      <alignment horizontal="right" vertical="center"/>
    </xf>
    <xf numFmtId="4" fontId="78" fillId="87" borderId="33" applyNumberFormat="0" applyProtection="0">
      <alignment horizontal="right" vertical="center"/>
    </xf>
    <xf numFmtId="4" fontId="78" fillId="88" borderId="33" applyNumberFormat="0" applyProtection="0">
      <alignment horizontal="right" vertical="center"/>
    </xf>
    <xf numFmtId="4" fontId="78" fillId="90" borderId="33" applyNumberFormat="0" applyProtection="0">
      <alignment horizontal="right" vertical="center"/>
    </xf>
    <xf numFmtId="4" fontId="78" fillId="91" borderId="33" applyNumberFormat="0" applyProtection="0">
      <alignment horizontal="right" vertical="center"/>
    </xf>
    <xf numFmtId="4" fontId="78" fillId="92" borderId="33" applyNumberFormat="0" applyProtection="0">
      <alignment horizontal="right" vertical="center"/>
    </xf>
    <xf numFmtId="4" fontId="80" fillId="93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4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4" fontId="78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7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98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73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4" fontId="78" fillId="32" borderId="33" applyNumberFormat="0" applyProtection="0">
      <alignment vertical="center"/>
    </xf>
    <xf numFmtId="4" fontId="79" fillId="32" borderId="33" applyNumberFormat="0" applyProtection="0">
      <alignment vertical="center"/>
    </xf>
    <xf numFmtId="4" fontId="78" fillId="32" borderId="33" applyNumberFormat="0" applyProtection="0">
      <alignment horizontal="left" vertical="center" indent="1"/>
    </xf>
    <xf numFmtId="4" fontId="78" fillId="32" borderId="33" applyNumberFormat="0" applyProtection="0">
      <alignment horizontal="left" vertical="center" indent="1"/>
    </xf>
    <xf numFmtId="4" fontId="78" fillId="94" borderId="33" applyNumberFormat="0" applyProtection="0">
      <alignment horizontal="right" vertical="center"/>
    </xf>
    <xf numFmtId="4" fontId="79" fillId="94" borderId="33" applyNumberFormat="0" applyProtection="0">
      <alignment horizontal="right" vertical="center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0" fontId="15" fillId="81" borderId="33" applyNumberFormat="0" applyProtection="0">
      <alignment horizontal="left" vertical="center" indent="1"/>
    </xf>
    <xf numFmtId="4" fontId="90" fillId="94" borderId="33" applyNumberFormat="0" applyProtection="0">
      <alignment horizontal="right" vertical="center"/>
    </xf>
    <xf numFmtId="225" fontId="98" fillId="31" borderId="34" applyNumberFormat="0" applyProtection="0">
      <alignment horizontal="left" vertical="center"/>
    </xf>
    <xf numFmtId="225" fontId="98" fillId="31" borderId="34" applyNumberFormat="0" applyProtection="0">
      <alignment horizontal="left" vertical="center"/>
    </xf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15" fillId="0" borderId="0"/>
    <xf numFmtId="43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7" fillId="3" borderId="0" applyNumberFormat="0" applyBorder="0" applyAlignment="0" applyProtection="0"/>
    <xf numFmtId="0" fontId="10" fillId="5" borderId="5" applyNumberFormat="0" applyAlignment="0" applyProtection="0"/>
    <xf numFmtId="230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0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231" fontId="4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65" fillId="0" borderId="18" applyNumberFormat="0" applyFill="0" applyAlignment="0" applyProtection="0"/>
    <xf numFmtId="0" fontId="8" fillId="4" borderId="0" applyNumberFormat="0" applyBorder="0" applyAlignment="0" applyProtection="0"/>
    <xf numFmtId="0" fontId="72" fillId="0" borderId="0"/>
    <xf numFmtId="0" fontId="72" fillId="0" borderId="0"/>
    <xf numFmtId="0" fontId="1" fillId="0" borderId="0"/>
    <xf numFmtId="0" fontId="10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6" fillId="0" borderId="0"/>
    <xf numFmtId="0" fontId="27" fillId="0" borderId="0"/>
    <xf numFmtId="0" fontId="27" fillId="0" borderId="0"/>
    <xf numFmtId="0" fontId="27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0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1">
    <xf numFmtId="0" fontId="0" fillId="0" borderId="0" xfId="0"/>
    <xf numFmtId="0" fontId="0" fillId="0" borderId="0" xfId="0" applyFont="1"/>
    <xf numFmtId="0" fontId="108" fillId="101" borderId="38" xfId="0" applyFont="1" applyFill="1" applyBorder="1"/>
    <xf numFmtId="0" fontId="108" fillId="104" borderId="38" xfId="0" applyFont="1" applyFill="1" applyBorder="1"/>
    <xf numFmtId="0" fontId="108" fillId="0" borderId="0" xfId="0" applyFont="1"/>
    <xf numFmtId="0" fontId="108" fillId="0" borderId="36" xfId="0" applyFont="1" applyBorder="1"/>
    <xf numFmtId="10" fontId="108" fillId="0" borderId="36" xfId="0" applyNumberFormat="1" applyFont="1" applyBorder="1" applyAlignment="1">
      <alignment horizontal="center"/>
    </xf>
    <xf numFmtId="1" fontId="108" fillId="0" borderId="36" xfId="0" applyNumberFormat="1" applyFont="1" applyBorder="1" applyAlignment="1">
      <alignment horizontal="center"/>
    </xf>
    <xf numFmtId="0" fontId="108" fillId="105" borderId="36" xfId="0" applyFont="1" applyFill="1" applyBorder="1" applyAlignment="1">
      <alignment horizontal="center"/>
    </xf>
    <xf numFmtId="0" fontId="108" fillId="0" borderId="0" xfId="0" applyFont="1" applyBorder="1"/>
    <xf numFmtId="0" fontId="108" fillId="104" borderId="46" xfId="0" applyFont="1" applyFill="1" applyBorder="1"/>
    <xf numFmtId="0" fontId="108" fillId="104" borderId="45" xfId="0" applyFont="1" applyFill="1" applyBorder="1"/>
    <xf numFmtId="3" fontId="108" fillId="105" borderId="36" xfId="2317" applyNumberFormat="1" applyFont="1" applyFill="1" applyBorder="1" applyAlignment="1">
      <alignment horizontal="center"/>
    </xf>
    <xf numFmtId="0" fontId="108" fillId="0" borderId="37" xfId="0" applyFont="1" applyBorder="1"/>
    <xf numFmtId="9" fontId="108" fillId="105" borderId="36" xfId="0" applyNumberFormat="1" applyFont="1" applyFill="1" applyBorder="1" applyAlignment="1">
      <alignment horizontal="center"/>
    </xf>
    <xf numFmtId="3" fontId="108" fillId="0" borderId="36" xfId="2317" applyNumberFormat="1" applyFont="1" applyBorder="1" applyAlignment="1">
      <alignment horizontal="center"/>
    </xf>
    <xf numFmtId="166" fontId="108" fillId="105" borderId="36" xfId="0" applyNumberFormat="1" applyFont="1" applyFill="1" applyBorder="1" applyAlignment="1">
      <alignment horizontal="center"/>
    </xf>
    <xf numFmtId="0" fontId="108" fillId="104" borderId="37" xfId="0" applyFont="1" applyFill="1" applyBorder="1"/>
    <xf numFmtId="0" fontId="108" fillId="106" borderId="36" xfId="0" applyFont="1" applyFill="1" applyBorder="1" applyAlignment="1">
      <alignment horizontal="left"/>
    </xf>
    <xf numFmtId="0" fontId="108" fillId="106" borderId="40" xfId="0" applyFont="1" applyFill="1" applyBorder="1" applyAlignment="1">
      <alignment horizontal="left"/>
    </xf>
    <xf numFmtId="1" fontId="108" fillId="105" borderId="36" xfId="0" applyNumberFormat="1" applyFont="1" applyFill="1" applyBorder="1" applyAlignment="1">
      <alignment horizontal="center"/>
    </xf>
    <xf numFmtId="0" fontId="108" fillId="106" borderId="42" xfId="0" applyFont="1" applyFill="1" applyBorder="1" applyAlignment="1">
      <alignment horizontal="left"/>
    </xf>
    <xf numFmtId="0" fontId="108" fillId="106" borderId="0" xfId="0" applyFont="1" applyFill="1" applyBorder="1" applyAlignment="1">
      <alignment horizontal="left"/>
    </xf>
    <xf numFmtId="0" fontId="108" fillId="106" borderId="36" xfId="0" applyFont="1" applyFill="1" applyBorder="1" applyAlignment="1">
      <alignment vertical="center"/>
    </xf>
    <xf numFmtId="0" fontId="107" fillId="0" borderId="47" xfId="0" applyFont="1" applyBorder="1" applyAlignment="1">
      <alignment horizontal="center"/>
    </xf>
    <xf numFmtId="0" fontId="17" fillId="0" borderId="0" xfId="0" applyFont="1"/>
    <xf numFmtId="0" fontId="0" fillId="0" borderId="0" xfId="0" applyFill="1"/>
    <xf numFmtId="0" fontId="108" fillId="0" borderId="36" xfId="0" applyFont="1" applyFill="1" applyBorder="1" applyAlignment="1">
      <alignment horizontal="center"/>
    </xf>
    <xf numFmtId="0" fontId="108" fillId="101" borderId="39" xfId="0" applyFont="1" applyFill="1" applyBorder="1"/>
    <xf numFmtId="0" fontId="108" fillId="104" borderId="48" xfId="0" applyFont="1" applyFill="1" applyBorder="1"/>
    <xf numFmtId="0" fontId="108" fillId="104" borderId="39" xfId="0" applyFont="1" applyFill="1" applyBorder="1"/>
    <xf numFmtId="0" fontId="0" fillId="0" borderId="0" xfId="0" applyBorder="1"/>
    <xf numFmtId="0" fontId="108" fillId="0" borderId="49" xfId="0" applyFont="1" applyBorder="1" applyAlignment="1">
      <alignment horizontal="center" vertical="center" wrapText="1"/>
    </xf>
    <xf numFmtId="0" fontId="108" fillId="0" borderId="40" xfId="0" applyFont="1" applyBorder="1" applyAlignment="1">
      <alignment horizontal="center" vertical="center" wrapText="1"/>
    </xf>
    <xf numFmtId="0" fontId="111" fillId="101" borderId="37" xfId="0" applyFont="1" applyFill="1" applyBorder="1"/>
    <xf numFmtId="0" fontId="108" fillId="102" borderId="37" xfId="0" applyFont="1" applyFill="1" applyBorder="1"/>
    <xf numFmtId="0" fontId="112" fillId="0" borderId="37" xfId="0" applyFont="1" applyBorder="1"/>
    <xf numFmtId="0" fontId="108" fillId="0" borderId="37" xfId="0" applyFont="1" applyFill="1" applyBorder="1"/>
    <xf numFmtId="0" fontId="107" fillId="0" borderId="37" xfId="0" applyFont="1" applyFill="1" applyBorder="1"/>
    <xf numFmtId="0" fontId="112" fillId="0" borderId="37" xfId="0" applyFont="1" applyFill="1" applyBorder="1"/>
    <xf numFmtId="0" fontId="108" fillId="103" borderId="37" xfId="0" applyFont="1" applyFill="1" applyBorder="1"/>
    <xf numFmtId="0" fontId="107" fillId="0" borderId="37" xfId="0" applyFont="1" applyBorder="1"/>
    <xf numFmtId="0" fontId="107" fillId="103" borderId="37" xfId="0" applyFont="1" applyFill="1" applyBorder="1"/>
    <xf numFmtId="0" fontId="108" fillId="0" borderId="0" xfId="0" applyFont="1" applyAlignment="1">
      <alignment horizontal="center" vertical="center"/>
    </xf>
    <xf numFmtId="0" fontId="109" fillId="0" borderId="0" xfId="0" applyFont="1"/>
    <xf numFmtId="0" fontId="109" fillId="0" borderId="0" xfId="0" applyFont="1" applyProtection="1">
      <protection locked="0"/>
    </xf>
    <xf numFmtId="0" fontId="114" fillId="0" borderId="37" xfId="0" applyFont="1" applyFill="1" applyBorder="1"/>
    <xf numFmtId="0" fontId="114" fillId="0" borderId="37" xfId="0" applyFont="1" applyBorder="1"/>
    <xf numFmtId="1" fontId="108" fillId="0" borderId="39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1" fontId="111" fillId="101" borderId="49" xfId="0" applyNumberFormat="1" applyFont="1" applyFill="1" applyBorder="1" applyAlignment="1">
      <alignment horizontal="center" vertical="center" wrapText="1"/>
    </xf>
    <xf numFmtId="1" fontId="111" fillId="101" borderId="40" xfId="0" applyNumberFormat="1" applyFont="1" applyFill="1" applyBorder="1" applyAlignment="1">
      <alignment horizontal="center" vertical="center" wrapText="1"/>
    </xf>
    <xf numFmtId="1" fontId="108" fillId="104" borderId="39" xfId="0" applyNumberFormat="1" applyFont="1" applyFill="1" applyBorder="1" applyAlignment="1">
      <alignment horizontal="center" vertical="center"/>
    </xf>
    <xf numFmtId="1" fontId="108" fillId="104" borderId="36" xfId="0" applyNumberFormat="1" applyFont="1" applyFill="1" applyBorder="1" applyAlignment="1">
      <alignment horizontal="center" vertical="center"/>
    </xf>
    <xf numFmtId="1" fontId="108" fillId="102" borderId="39" xfId="0" applyNumberFormat="1" applyFont="1" applyFill="1" applyBorder="1" applyAlignment="1">
      <alignment horizontal="center" vertical="center"/>
    </xf>
    <xf numFmtId="1" fontId="108" fillId="103" borderId="39" xfId="0" applyNumberFormat="1" applyFont="1" applyFill="1" applyBorder="1" applyAlignment="1">
      <alignment horizontal="center" vertical="center"/>
    </xf>
    <xf numFmtId="1" fontId="108" fillId="103" borderId="36" xfId="0" applyNumberFormat="1" applyFont="1" applyFill="1" applyBorder="1" applyAlignment="1">
      <alignment horizontal="center" vertical="center"/>
    </xf>
    <xf numFmtId="1" fontId="108" fillId="0" borderId="39" xfId="0" applyNumberFormat="1" applyFont="1" applyFill="1" applyBorder="1" applyAlignment="1">
      <alignment horizontal="center" vertical="center"/>
    </xf>
    <xf numFmtId="1" fontId="108" fillId="0" borderId="36" xfId="0" applyNumberFormat="1" applyFont="1" applyFill="1" applyBorder="1" applyAlignment="1">
      <alignment horizontal="center" vertical="center"/>
    </xf>
    <xf numFmtId="1" fontId="107" fillId="0" borderId="39" xfId="0" applyNumberFormat="1" applyFont="1" applyBorder="1" applyAlignment="1">
      <alignment horizontal="center" vertical="center"/>
    </xf>
    <xf numFmtId="1" fontId="107" fillId="0" borderId="36" xfId="0" applyNumberFormat="1" applyFont="1" applyBorder="1" applyAlignment="1">
      <alignment horizontal="center" vertical="center"/>
    </xf>
    <xf numFmtId="1" fontId="107" fillId="103" borderId="39" xfId="0" applyNumberFormat="1" applyFont="1" applyFill="1" applyBorder="1" applyAlignment="1">
      <alignment horizontal="center" vertical="center"/>
    </xf>
    <xf numFmtId="0" fontId="108" fillId="0" borderId="51" xfId="0" applyFont="1" applyBorder="1" applyAlignment="1">
      <alignment horizontal="center" wrapText="1"/>
    </xf>
    <xf numFmtId="1" fontId="111" fillId="101" borderId="52" xfId="0" applyNumberFormat="1" applyFont="1" applyFill="1" applyBorder="1" applyAlignment="1">
      <alignment horizontal="center" wrapText="1"/>
    </xf>
    <xf numFmtId="1" fontId="108" fillId="104" borderId="52" xfId="0" applyNumberFormat="1" applyFont="1" applyFill="1" applyBorder="1" applyAlignment="1">
      <alignment horizontal="center"/>
    </xf>
    <xf numFmtId="0" fontId="108" fillId="102" borderId="39" xfId="0" applyFont="1" applyFill="1" applyBorder="1"/>
    <xf numFmtId="9" fontId="108" fillId="0" borderId="36" xfId="0" applyNumberFormat="1" applyFont="1" applyBorder="1" applyAlignment="1">
      <alignment horizontal="center"/>
    </xf>
    <xf numFmtId="1" fontId="108" fillId="102" borderId="52" xfId="0" applyNumberFormat="1" applyFont="1" applyFill="1" applyBorder="1" applyAlignment="1">
      <alignment horizontal="center"/>
    </xf>
    <xf numFmtId="1" fontId="108" fillId="103" borderId="52" xfId="0" applyNumberFormat="1" applyFont="1" applyFill="1" applyBorder="1" applyAlignment="1">
      <alignment horizontal="center"/>
    </xf>
    <xf numFmtId="1" fontId="108" fillId="0" borderId="52" xfId="0" applyNumberFormat="1" applyFont="1" applyFill="1" applyBorder="1" applyAlignment="1">
      <alignment horizontal="center"/>
    </xf>
    <xf numFmtId="1" fontId="107" fillId="0" borderId="52" xfId="0" applyNumberFormat="1" applyFont="1" applyFill="1" applyBorder="1" applyAlignment="1">
      <alignment horizontal="center"/>
    </xf>
    <xf numFmtId="1" fontId="108" fillId="0" borderId="52" xfId="0" applyNumberFormat="1" applyFont="1" applyBorder="1" applyAlignment="1">
      <alignment horizontal="center"/>
    </xf>
    <xf numFmtId="1" fontId="107" fillId="0" borderId="52" xfId="0" applyNumberFormat="1" applyFont="1" applyBorder="1" applyAlignment="1">
      <alignment horizontal="center"/>
    </xf>
    <xf numFmtId="1" fontId="107" fillId="103" borderId="52" xfId="0" applyNumberFormat="1" applyFont="1" applyFill="1" applyBorder="1" applyAlignment="1">
      <alignment horizont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Fill="1" applyBorder="1"/>
    <xf numFmtId="1" fontId="108" fillId="104" borderId="52" xfId="0" applyNumberFormat="1" applyFont="1" applyFill="1" applyBorder="1" applyAlignment="1">
      <alignment horizontal="center" vertical="center"/>
    </xf>
    <xf numFmtId="1" fontId="108" fillId="102" borderId="52" xfId="0" applyNumberFormat="1" applyFont="1" applyFill="1" applyBorder="1" applyAlignment="1">
      <alignment horizontal="center" vertical="center"/>
    </xf>
    <xf numFmtId="1" fontId="108" fillId="103" borderId="52" xfId="0" applyNumberFormat="1" applyFont="1" applyFill="1" applyBorder="1" applyAlignment="1">
      <alignment horizontal="center" vertical="center"/>
    </xf>
    <xf numFmtId="1" fontId="108" fillId="0" borderId="52" xfId="0" applyNumberFormat="1" applyFont="1" applyFill="1" applyBorder="1" applyAlignment="1">
      <alignment horizontal="center" vertical="center"/>
    </xf>
    <xf numFmtId="1" fontId="107" fillId="0" borderId="52" xfId="0" applyNumberFormat="1" applyFont="1" applyFill="1" applyBorder="1" applyAlignment="1">
      <alignment horizontal="center" vertical="center"/>
    </xf>
    <xf numFmtId="1" fontId="108" fillId="0" borderId="52" xfId="0" applyNumberFormat="1" applyFont="1" applyBorder="1" applyAlignment="1">
      <alignment horizontal="center" vertical="center"/>
    </xf>
    <xf numFmtId="1" fontId="107" fillId="0" borderId="52" xfId="0" applyNumberFormat="1" applyFont="1" applyBorder="1" applyAlignment="1">
      <alignment horizontal="center" vertical="center"/>
    </xf>
    <xf numFmtId="1" fontId="107" fillId="103" borderId="52" xfId="0" applyNumberFormat="1" applyFont="1" applyFill="1" applyBorder="1" applyAlignment="1">
      <alignment horizontal="center" vertical="center"/>
    </xf>
    <xf numFmtId="9" fontId="108" fillId="103" borderId="36" xfId="0" applyNumberFormat="1" applyFont="1" applyFill="1" applyBorder="1" applyAlignment="1">
      <alignment horizontal="center" vertical="center"/>
    </xf>
    <xf numFmtId="9" fontId="108" fillId="102" borderId="36" xfId="0" applyNumberFormat="1" applyFont="1" applyFill="1" applyBorder="1" applyAlignment="1">
      <alignment horizontal="center" vertical="center"/>
    </xf>
    <xf numFmtId="9" fontId="108" fillId="104" borderId="36" xfId="0" applyNumberFormat="1" applyFont="1" applyFill="1" applyBorder="1" applyAlignment="1">
      <alignment horizontal="center" vertical="center"/>
    </xf>
    <xf numFmtId="9" fontId="108" fillId="0" borderId="36" xfId="0" applyNumberFormat="1" applyFont="1" applyFill="1" applyBorder="1" applyAlignment="1">
      <alignment horizontal="center" vertical="center"/>
    </xf>
    <xf numFmtId="9" fontId="107" fillId="0" borderId="36" xfId="0" applyNumberFormat="1" applyFont="1" applyBorder="1" applyAlignment="1">
      <alignment horizontal="center" vertical="center"/>
    </xf>
    <xf numFmtId="9" fontId="107" fillId="103" borderId="36" xfId="0" applyNumberFormat="1" applyFont="1" applyFill="1" applyBorder="1" applyAlignment="1">
      <alignment horizontal="center" vertical="center"/>
    </xf>
    <xf numFmtId="9" fontId="108" fillId="102" borderId="39" xfId="0" applyNumberFormat="1" applyFont="1" applyFill="1" applyBorder="1" applyAlignment="1">
      <alignment horizontal="center" vertical="center"/>
    </xf>
    <xf numFmtId="9" fontId="108" fillId="103" borderId="39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08" fillId="0" borderId="37" xfId="0" applyFont="1" applyFill="1" applyBorder="1" applyAlignment="1">
      <alignment horizontal="center"/>
    </xf>
    <xf numFmtId="0" fontId="107" fillId="0" borderId="37" xfId="0" applyFont="1" applyFill="1" applyBorder="1" applyAlignment="1">
      <alignment horizontal="center"/>
    </xf>
    <xf numFmtId="0" fontId="108" fillId="0" borderId="37" xfId="0" applyFont="1" applyBorder="1" applyAlignment="1">
      <alignment horizontal="center"/>
    </xf>
    <xf numFmtId="0" fontId="112" fillId="0" borderId="37" xfId="0" applyFont="1" applyBorder="1" applyAlignment="1">
      <alignment horizontal="center"/>
    </xf>
    <xf numFmtId="0" fontId="108" fillId="103" borderId="37" xfId="0" applyFont="1" applyFill="1" applyBorder="1" applyAlignment="1">
      <alignment horizontal="center"/>
    </xf>
    <xf numFmtId="0" fontId="108" fillId="102" borderId="37" xfId="0" applyFont="1" applyFill="1" applyBorder="1" applyAlignment="1">
      <alignment horizontal="center"/>
    </xf>
    <xf numFmtId="0" fontId="112" fillId="0" borderId="37" xfId="0" applyFont="1" applyFill="1" applyBorder="1" applyAlignment="1">
      <alignment horizontal="center"/>
    </xf>
    <xf numFmtId="0" fontId="108" fillId="104" borderId="37" xfId="0" applyFont="1" applyFill="1" applyBorder="1" applyAlignment="1">
      <alignment horizontal="center"/>
    </xf>
    <xf numFmtId="0" fontId="114" fillId="0" borderId="37" xfId="0" applyFont="1" applyFill="1" applyBorder="1" applyAlignment="1">
      <alignment horizontal="center"/>
    </xf>
    <xf numFmtId="0" fontId="107" fillId="0" borderId="37" xfId="0" applyFont="1" applyBorder="1" applyAlignment="1">
      <alignment horizontal="center"/>
    </xf>
    <xf numFmtId="0" fontId="114" fillId="0" borderId="37" xfId="0" applyFont="1" applyBorder="1" applyAlignment="1">
      <alignment horizontal="center"/>
    </xf>
    <xf numFmtId="0" fontId="107" fillId="103" borderId="37" xfId="0" applyFont="1" applyFill="1" applyBorder="1" applyAlignment="1">
      <alignment horizontal="center"/>
    </xf>
    <xf numFmtId="0" fontId="115" fillId="0" borderId="0" xfId="0" applyFont="1"/>
    <xf numFmtId="0" fontId="107" fillId="0" borderId="0" xfId="0" applyFont="1"/>
    <xf numFmtId="0" fontId="107" fillId="0" borderId="0" xfId="0" applyFont="1" applyAlignment="1">
      <alignment horizontal="center"/>
    </xf>
    <xf numFmtId="0" fontId="116" fillId="0" borderId="0" xfId="0" applyFont="1"/>
    <xf numFmtId="0" fontId="116" fillId="0" borderId="0" xfId="0" applyFont="1" applyBorder="1"/>
    <xf numFmtId="232" fontId="17" fillId="0" borderId="0" xfId="2317" applyNumberFormat="1" applyFont="1"/>
    <xf numFmtId="1" fontId="108" fillId="0" borderId="36" xfId="0" applyNumberFormat="1" applyFont="1" applyFill="1" applyBorder="1" applyAlignment="1">
      <alignment horizontal="center"/>
    </xf>
    <xf numFmtId="9" fontId="108" fillId="0" borderId="0" xfId="0" applyNumberFormat="1" applyFont="1" applyBorder="1" applyAlignment="1">
      <alignment horizontal="center"/>
    </xf>
    <xf numFmtId="0" fontId="108" fillId="0" borderId="54" xfId="0" applyFont="1" applyBorder="1"/>
    <xf numFmtId="3" fontId="108" fillId="105" borderId="36" xfId="0" applyNumberFormat="1" applyFont="1" applyFill="1" applyBorder="1" applyAlignment="1">
      <alignment horizontal="center"/>
    </xf>
    <xf numFmtId="0" fontId="0" fillId="105" borderId="0" xfId="0" applyFill="1"/>
    <xf numFmtId="233" fontId="108" fillId="0" borderId="36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right"/>
    </xf>
    <xf numFmtId="0" fontId="117" fillId="0" borderId="0" xfId="0" applyFont="1"/>
    <xf numFmtId="0" fontId="108" fillId="0" borderId="36" xfId="0" applyFont="1" applyBorder="1" applyAlignment="1">
      <alignment horizontal="center" vertical="center"/>
    </xf>
    <xf numFmtId="167" fontId="118" fillId="0" borderId="0" xfId="2318" applyNumberFormat="1" applyFont="1" applyAlignment="1">
      <alignment horizontal="center"/>
    </xf>
    <xf numFmtId="0" fontId="108" fillId="108" borderId="37" xfId="0" applyFont="1" applyFill="1" applyBorder="1"/>
    <xf numFmtId="0" fontId="108" fillId="106" borderId="36" xfId="0" applyFont="1" applyFill="1" applyBorder="1" applyAlignment="1">
      <alignment horizontal="center"/>
    </xf>
    <xf numFmtId="0" fontId="0" fillId="106" borderId="0" xfId="0" applyFill="1"/>
    <xf numFmtId="1" fontId="108" fillId="0" borderId="39" xfId="0" applyNumberFormat="1" applyFont="1" applyBorder="1" applyAlignment="1">
      <alignment horizontal="center" vertical="center"/>
    </xf>
    <xf numFmtId="3" fontId="108" fillId="105" borderId="36" xfId="2317" applyNumberFormat="1" applyFont="1" applyFill="1" applyBorder="1" applyAlignment="1">
      <alignment horizontal="left"/>
    </xf>
    <xf numFmtId="1" fontId="108" fillId="0" borderId="36" xfId="0" applyNumberFormat="1" applyFont="1" applyBorder="1" applyAlignment="1">
      <alignment horizontal="center" vertical="center"/>
    </xf>
    <xf numFmtId="1" fontId="108" fillId="0" borderId="39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0" fillId="0" borderId="0" xfId="0" applyNumberFormat="1"/>
    <xf numFmtId="167" fontId="108" fillId="0" borderId="36" xfId="0" applyNumberFormat="1" applyFont="1" applyBorder="1" applyAlignment="1">
      <alignment horizontal="center"/>
    </xf>
    <xf numFmtId="232" fontId="108" fillId="0" borderId="36" xfId="0" applyNumberFormat="1" applyFont="1" applyBorder="1" applyAlignment="1">
      <alignment horizontal="center"/>
    </xf>
    <xf numFmtId="232" fontId="108" fillId="0" borderId="36" xfId="2317" applyNumberFormat="1" applyFont="1" applyBorder="1"/>
    <xf numFmtId="0" fontId="108" fillId="102" borderId="36" xfId="0" applyFont="1" applyFill="1" applyBorder="1" applyAlignment="1">
      <alignment horizontal="center" vertical="center" wrapText="1"/>
    </xf>
    <xf numFmtId="0" fontId="108" fillId="106" borderId="0" xfId="0" applyFont="1" applyFill="1"/>
    <xf numFmtId="10" fontId="108" fillId="106" borderId="0" xfId="2318" applyNumberFormat="1" applyFont="1" applyFill="1"/>
    <xf numFmtId="3" fontId="108" fillId="109" borderId="36" xfId="2317" applyNumberFormat="1" applyFont="1" applyFill="1" applyBorder="1" applyAlignment="1">
      <alignment horizontal="center"/>
    </xf>
    <xf numFmtId="0" fontId="108" fillId="102" borderId="36" xfId="0" applyFont="1" applyFill="1" applyBorder="1" applyAlignment="1">
      <alignment horizontal="center" wrapText="1"/>
    </xf>
    <xf numFmtId="0" fontId="111" fillId="110" borderId="0" xfId="0" applyFont="1" applyFill="1"/>
    <xf numFmtId="0" fontId="108" fillId="106" borderId="0" xfId="0" applyFont="1" applyFill="1" applyBorder="1" applyAlignment="1">
      <alignment horizontal="center"/>
    </xf>
    <xf numFmtId="1" fontId="108" fillId="106" borderId="0" xfId="0" applyNumberFormat="1" applyFont="1" applyFill="1" applyBorder="1" applyAlignment="1">
      <alignment horizontal="center"/>
    </xf>
    <xf numFmtId="167" fontId="108" fillId="106" borderId="0" xfId="0" applyNumberFormat="1" applyFont="1" applyFill="1" applyBorder="1" applyAlignment="1">
      <alignment horizontal="center"/>
    </xf>
    <xf numFmtId="10" fontId="108" fillId="106" borderId="0" xfId="0" applyNumberFormat="1" applyFont="1" applyFill="1" applyBorder="1" applyAlignment="1">
      <alignment horizontal="center"/>
    </xf>
    <xf numFmtId="232" fontId="108" fillId="106" borderId="0" xfId="0" applyNumberFormat="1" applyFont="1" applyFill="1" applyBorder="1" applyAlignment="1">
      <alignment horizontal="center"/>
    </xf>
    <xf numFmtId="232" fontId="108" fillId="106" borderId="0" xfId="2317" applyNumberFormat="1" applyFont="1" applyFill="1" applyBorder="1"/>
    <xf numFmtId="0" fontId="108" fillId="106" borderId="0" xfId="0" applyFont="1" applyFill="1" applyBorder="1"/>
    <xf numFmtId="0" fontId="108" fillId="0" borderId="0" xfId="0" applyFont="1" applyBorder="1" applyAlignment="1">
      <alignment horizontal="center"/>
    </xf>
    <xf numFmtId="1" fontId="108" fillId="0" borderId="0" xfId="0" applyNumberFormat="1" applyFont="1" applyBorder="1" applyAlignment="1">
      <alignment horizontal="center"/>
    </xf>
    <xf numFmtId="167" fontId="108" fillId="0" borderId="0" xfId="0" applyNumberFormat="1" applyFont="1" applyBorder="1" applyAlignment="1">
      <alignment horizontal="center"/>
    </xf>
    <xf numFmtId="10" fontId="108" fillId="0" borderId="0" xfId="0" applyNumberFormat="1" applyFont="1" applyBorder="1" applyAlignment="1">
      <alignment horizontal="center"/>
    </xf>
    <xf numFmtId="232" fontId="108" fillId="0" borderId="0" xfId="0" applyNumberFormat="1" applyFont="1" applyBorder="1" applyAlignment="1">
      <alignment horizontal="center"/>
    </xf>
    <xf numFmtId="232" fontId="108" fillId="0" borderId="0" xfId="2317" applyNumberFormat="1" applyFont="1" applyBorder="1"/>
    <xf numFmtId="3" fontId="108" fillId="109" borderId="36" xfId="0" applyNumberFormat="1" applyFont="1" applyFill="1" applyBorder="1" applyAlignment="1">
      <alignment horizontal="center"/>
    </xf>
    <xf numFmtId="0" fontId="108" fillId="106" borderId="37" xfId="0" applyFont="1" applyFill="1" applyBorder="1" applyAlignment="1">
      <alignment horizontal="center"/>
    </xf>
    <xf numFmtId="0" fontId="108" fillId="106" borderId="37" xfId="0" applyFont="1" applyFill="1" applyBorder="1"/>
    <xf numFmtId="0" fontId="108" fillId="106" borderId="37" xfId="0" applyFont="1" applyFill="1" applyBorder="1" applyAlignment="1">
      <alignment horizontal="left" vertical="center"/>
    </xf>
    <xf numFmtId="0" fontId="108" fillId="0" borderId="36" xfId="0" applyFont="1" applyBorder="1" applyAlignment="1">
      <alignment horizontal="center"/>
    </xf>
    <xf numFmtId="0" fontId="0" fillId="106" borderId="0" xfId="0" applyFill="1" applyAlignment="1">
      <alignment horizontal="center"/>
    </xf>
    <xf numFmtId="0" fontId="108" fillId="0" borderId="36" xfId="0" applyFont="1" applyFill="1" applyBorder="1" applyAlignment="1">
      <alignment horizontal="left" vertical="center"/>
    </xf>
    <xf numFmtId="0" fontId="108" fillId="0" borderId="36" xfId="0" applyFont="1" applyBorder="1" applyAlignment="1">
      <alignment horizontal="center"/>
    </xf>
    <xf numFmtId="3" fontId="108" fillId="0" borderId="0" xfId="0" applyNumberFormat="1" applyFont="1" applyBorder="1" applyAlignment="1">
      <alignment horizontal="center"/>
    </xf>
    <xf numFmtId="0" fontId="108" fillId="103" borderId="0" xfId="0" applyFont="1" applyFill="1" applyBorder="1"/>
    <xf numFmtId="9" fontId="108" fillId="103" borderId="0" xfId="0" applyNumberFormat="1" applyFont="1" applyFill="1" applyBorder="1" applyAlignment="1">
      <alignment horizontal="center"/>
    </xf>
    <xf numFmtId="3" fontId="108" fillId="103" borderId="0" xfId="2317" applyNumberFormat="1" applyFont="1" applyFill="1" applyBorder="1" applyAlignment="1">
      <alignment horizontal="center"/>
    </xf>
    <xf numFmtId="0" fontId="107" fillId="0" borderId="36" xfId="0" applyFont="1" applyFill="1" applyBorder="1" applyAlignment="1">
      <alignment horizontal="left" vertical="center"/>
    </xf>
    <xf numFmtId="0" fontId="0" fillId="0" borderId="0" xfId="0" applyAlignment="1"/>
    <xf numFmtId="0" fontId="111" fillId="101" borderId="42" xfId="0" applyFont="1" applyFill="1" applyBorder="1" applyAlignment="1">
      <alignment horizontal="left" vertical="center"/>
    </xf>
    <xf numFmtId="0" fontId="111" fillId="101" borderId="36" xfId="0" applyFont="1" applyFill="1" applyBorder="1" applyAlignment="1">
      <alignment horizontal="left" vertical="center"/>
    </xf>
    <xf numFmtId="0" fontId="108" fillId="104" borderId="36" xfId="0" applyFont="1" applyFill="1" applyBorder="1" applyAlignment="1">
      <alignment horizontal="left" vertical="center"/>
    </xf>
    <xf numFmtId="0" fontId="108" fillId="102" borderId="36" xfId="0" applyFont="1" applyFill="1" applyBorder="1" applyAlignment="1">
      <alignment horizontal="left" vertical="center"/>
    </xf>
    <xf numFmtId="0" fontId="108" fillId="103" borderId="36" xfId="0" applyFont="1" applyFill="1" applyBorder="1" applyAlignment="1">
      <alignment horizontal="left" vertical="center"/>
    </xf>
    <xf numFmtId="0" fontId="108" fillId="0" borderId="36" xfId="0" applyFont="1" applyBorder="1" applyAlignment="1">
      <alignment horizontal="left" vertical="center"/>
    </xf>
    <xf numFmtId="0" fontId="107" fillId="0" borderId="36" xfId="0" applyFont="1" applyBorder="1" applyAlignment="1">
      <alignment horizontal="left" vertical="center"/>
    </xf>
    <xf numFmtId="0" fontId="107" fillId="103" borderId="36" xfId="0" applyFont="1" applyFill="1" applyBorder="1" applyAlignment="1">
      <alignment horizontal="left" vertical="center"/>
    </xf>
    <xf numFmtId="0" fontId="108" fillId="0" borderId="37" xfId="0" applyFont="1" applyFill="1" applyBorder="1" applyAlignment="1"/>
    <xf numFmtId="0" fontId="108" fillId="0" borderId="0" xfId="0" applyFont="1" applyAlignment="1"/>
    <xf numFmtId="1" fontId="108" fillId="0" borderId="52" xfId="0" applyNumberFormat="1" applyFont="1" applyFill="1" applyBorder="1" applyAlignment="1">
      <alignment horizontal="center" vertical="center"/>
    </xf>
    <xf numFmtId="9" fontId="0" fillId="0" borderId="0" xfId="2318" applyFont="1"/>
    <xf numFmtId="1" fontId="108" fillId="0" borderId="36" xfId="0" applyNumberFormat="1" applyFont="1" applyBorder="1" applyAlignment="1">
      <alignment horizontal="center" vertical="center"/>
    </xf>
    <xf numFmtId="9" fontId="0" fillId="106" borderId="0" xfId="2318" applyFont="1" applyFill="1"/>
    <xf numFmtId="9" fontId="108" fillId="0" borderId="36" xfId="0" applyNumberFormat="1" applyFont="1" applyBorder="1" applyAlignment="1">
      <alignment horizontal="center" vertical="center"/>
    </xf>
    <xf numFmtId="1" fontId="108" fillId="0" borderId="39" xfId="0" applyNumberFormat="1" applyFont="1" applyBorder="1" applyAlignment="1">
      <alignment horizontal="center" vertical="center"/>
    </xf>
    <xf numFmtId="9" fontId="108" fillId="111" borderId="36" xfId="0" applyNumberFormat="1" applyFont="1" applyFill="1" applyBorder="1" applyAlignment="1">
      <alignment horizontal="center"/>
    </xf>
    <xf numFmtId="3" fontId="108" fillId="111" borderId="36" xfId="0" applyNumberFormat="1" applyFont="1" applyFill="1" applyBorder="1" applyAlignment="1">
      <alignment horizontal="center"/>
    </xf>
    <xf numFmtId="1" fontId="108" fillId="111" borderId="36" xfId="0" applyNumberFormat="1" applyFont="1" applyFill="1" applyBorder="1" applyAlignment="1">
      <alignment horizontal="center"/>
    </xf>
    <xf numFmtId="0" fontId="0" fillId="110" borderId="0" xfId="0" applyFill="1"/>
    <xf numFmtId="0" fontId="0" fillId="110" borderId="0" xfId="0" applyFill="1" applyAlignment="1">
      <alignment horizontal="center"/>
    </xf>
    <xf numFmtId="3" fontId="111" fillId="110" borderId="0" xfId="2317" applyNumberFormat="1" applyFont="1" applyFill="1" applyBorder="1" applyAlignment="1">
      <alignment horizontal="center"/>
    </xf>
    <xf numFmtId="0" fontId="108" fillId="111" borderId="0" xfId="0" applyFont="1" applyFill="1" applyBorder="1"/>
    <xf numFmtId="0" fontId="108" fillId="111" borderId="0" xfId="0" applyFont="1" applyFill="1" applyBorder="1" applyAlignment="1">
      <alignment horizontal="center"/>
    </xf>
    <xf numFmtId="9" fontId="111" fillId="110" borderId="0" xfId="2318" applyFont="1" applyFill="1" applyBorder="1" applyAlignment="1">
      <alignment horizontal="center"/>
    </xf>
    <xf numFmtId="0" fontId="10" fillId="110" borderId="0" xfId="0" applyFont="1" applyFill="1"/>
    <xf numFmtId="9" fontId="108" fillId="111" borderId="0" xfId="0" applyNumberFormat="1" applyFont="1" applyFill="1" applyBorder="1" applyAlignment="1">
      <alignment horizontal="center"/>
    </xf>
    <xf numFmtId="3" fontId="108" fillId="111" borderId="0" xfId="2317" applyNumberFormat="1" applyFont="1" applyFill="1" applyBorder="1" applyAlignment="1">
      <alignment horizontal="center"/>
    </xf>
    <xf numFmtId="167" fontId="108" fillId="111" borderId="0" xfId="0" applyNumberFormat="1" applyFont="1" applyFill="1" applyBorder="1" applyAlignment="1">
      <alignment horizontal="center"/>
    </xf>
    <xf numFmtId="0" fontId="0" fillId="106" borderId="0" xfId="0" applyFill="1" applyAlignment="1">
      <alignment horizontal="left"/>
    </xf>
    <xf numFmtId="0" fontId="10" fillId="110" borderId="0" xfId="0" applyFont="1" applyFill="1" applyAlignment="1">
      <alignment horizontal="center"/>
    </xf>
    <xf numFmtId="3" fontId="10" fillId="110" borderId="0" xfId="0" applyNumberFormat="1" applyFont="1" applyFill="1" applyAlignment="1">
      <alignment horizontal="center"/>
    </xf>
    <xf numFmtId="0" fontId="0" fillId="105" borderId="0" xfId="0" applyFill="1" applyAlignment="1">
      <alignment horizontal="center"/>
    </xf>
    <xf numFmtId="1" fontId="0" fillId="105" borderId="0" xfId="0" applyNumberFormat="1" applyFill="1" applyAlignment="1">
      <alignment horizontal="center"/>
    </xf>
    <xf numFmtId="0" fontId="110" fillId="0" borderId="37" xfId="0" applyFont="1" applyFill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8" fillId="0" borderId="36" xfId="0" applyFont="1" applyBorder="1" applyAlignment="1">
      <alignment horizontal="center"/>
    </xf>
    <xf numFmtId="1" fontId="108" fillId="0" borderId="52" xfId="0" applyNumberFormat="1" applyFont="1" applyFill="1" applyBorder="1" applyAlignment="1">
      <alignment horizontal="center" vertical="center"/>
    </xf>
    <xf numFmtId="0" fontId="108" fillId="105" borderId="37" xfId="0" applyFont="1" applyFill="1" applyBorder="1"/>
    <xf numFmtId="0" fontId="108" fillId="106" borderId="36" xfId="0" applyFont="1" applyFill="1" applyBorder="1" applyAlignment="1">
      <alignment horizontal="left" vertical="center"/>
    </xf>
    <xf numFmtId="0" fontId="108" fillId="0" borderId="36" xfId="0" applyFont="1" applyFill="1" applyBorder="1" applyAlignment="1">
      <alignment horizontal="left" vertical="center" wrapText="1"/>
    </xf>
    <xf numFmtId="0" fontId="107" fillId="0" borderId="36" xfId="0" applyFont="1" applyFill="1" applyBorder="1" applyAlignment="1">
      <alignment horizontal="left" vertical="center" wrapText="1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3" fontId="10" fillId="110" borderId="0" xfId="0" applyNumberFormat="1" applyFont="1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118" fillId="112" borderId="0" xfId="0" applyFont="1" applyFill="1" applyBorder="1"/>
    <xf numFmtId="9" fontId="118" fillId="112" borderId="0" xfId="0" applyNumberFormat="1" applyFont="1" applyFill="1" applyBorder="1" applyAlignment="1">
      <alignment horizontal="center"/>
    </xf>
    <xf numFmtId="3" fontId="118" fillId="112" borderId="0" xfId="2317" applyNumberFormat="1" applyFont="1" applyFill="1" applyBorder="1" applyAlignment="1">
      <alignment horizontal="center"/>
    </xf>
    <xf numFmtId="0" fontId="108" fillId="106" borderId="36" xfId="0" applyFont="1" applyFill="1" applyBorder="1" applyAlignment="1">
      <alignment horizontal="left" vertical="center"/>
    </xf>
    <xf numFmtId="3" fontId="108" fillId="0" borderId="36" xfId="0" applyNumberFormat="1" applyFont="1" applyBorder="1" applyAlignment="1">
      <alignment horizontal="center"/>
    </xf>
    <xf numFmtId="3" fontId="111" fillId="110" borderId="0" xfId="0" applyNumberFormat="1" applyFont="1" applyFill="1" applyAlignment="1">
      <alignment horizontal="center" vertical="center"/>
    </xf>
    <xf numFmtId="0" fontId="107" fillId="106" borderId="37" xfId="0" applyFont="1" applyFill="1" applyBorder="1" applyAlignment="1">
      <alignment horizontal="center"/>
    </xf>
    <xf numFmtId="0" fontId="107" fillId="106" borderId="36" xfId="0" applyFont="1" applyFill="1" applyBorder="1" applyAlignment="1">
      <alignment horizontal="left" vertical="center"/>
    </xf>
    <xf numFmtId="198" fontId="0" fillId="0" borderId="0" xfId="2318" applyNumberFormat="1" applyFont="1"/>
    <xf numFmtId="0" fontId="107" fillId="106" borderId="36" xfId="0" applyFont="1" applyFill="1" applyBorder="1" applyAlignment="1">
      <alignment horizontal="left" vertical="center" wrapText="1"/>
    </xf>
    <xf numFmtId="0" fontId="108" fillId="0" borderId="36" xfId="0" applyFont="1" applyBorder="1" applyAlignment="1">
      <alignment horizontal="center"/>
    </xf>
    <xf numFmtId="1" fontId="0" fillId="106" borderId="0" xfId="0" applyNumberFormat="1" applyFill="1"/>
    <xf numFmtId="0" fontId="108" fillId="105" borderId="42" xfId="0" applyFont="1" applyFill="1" applyBorder="1" applyAlignment="1">
      <alignment horizontal="left" vertical="center"/>
    </xf>
    <xf numFmtId="0" fontId="111" fillId="107" borderId="37" xfId="0" applyFont="1" applyFill="1" applyBorder="1" applyAlignment="1"/>
    <xf numFmtId="0" fontId="108" fillId="104" borderId="0" xfId="0" applyFont="1" applyFill="1" applyBorder="1"/>
    <xf numFmtId="0" fontId="108" fillId="0" borderId="0" xfId="0" applyFont="1" applyAlignment="1">
      <alignment horizontal="center"/>
    </xf>
    <xf numFmtId="9" fontId="108" fillId="111" borderId="44" xfId="0" applyNumberFormat="1" applyFont="1" applyFill="1" applyBorder="1" applyAlignment="1">
      <alignment horizontal="center"/>
    </xf>
    <xf numFmtId="9" fontId="108" fillId="111" borderId="50" xfId="0" applyNumberFormat="1" applyFont="1" applyFill="1" applyBorder="1" applyAlignment="1">
      <alignment horizontal="center"/>
    </xf>
    <xf numFmtId="9" fontId="108" fillId="111" borderId="45" xfId="0" applyNumberFormat="1" applyFont="1" applyFill="1" applyBorder="1" applyAlignment="1">
      <alignment horizontal="center"/>
    </xf>
    <xf numFmtId="9" fontId="108" fillId="111" borderId="46" xfId="0" applyNumberFormat="1" applyFont="1" applyFill="1" applyBorder="1" applyAlignment="1">
      <alignment horizontal="center"/>
    </xf>
    <xf numFmtId="9" fontId="108" fillId="111" borderId="48" xfId="0" applyNumberFormat="1" applyFont="1" applyFill="1" applyBorder="1" applyAlignment="1">
      <alignment horizontal="center"/>
    </xf>
    <xf numFmtId="0" fontId="0" fillId="0" borderId="44" xfId="0" applyBorder="1"/>
    <xf numFmtId="0" fontId="108" fillId="0" borderId="44" xfId="0" applyFont="1" applyBorder="1"/>
    <xf numFmtId="0" fontId="108" fillId="0" borderId="44" xfId="0" applyFont="1" applyFill="1" applyBorder="1"/>
    <xf numFmtId="0" fontId="111" fillId="107" borderId="37" xfId="0" applyFont="1" applyFill="1" applyBorder="1" applyAlignment="1">
      <alignment horizontal="center"/>
    </xf>
    <xf numFmtId="0" fontId="108" fillId="104" borderId="44" xfId="0" applyFont="1" applyFill="1" applyBorder="1"/>
    <xf numFmtId="9" fontId="108" fillId="111" borderId="39" xfId="0" applyNumberFormat="1" applyFont="1" applyFill="1" applyBorder="1" applyAlignment="1">
      <alignment horizontal="center"/>
    </xf>
    <xf numFmtId="1" fontId="108" fillId="105" borderId="39" xfId="0" applyNumberFormat="1" applyFont="1" applyFill="1" applyBorder="1" applyAlignment="1">
      <alignment horizontal="center"/>
    </xf>
    <xf numFmtId="0" fontId="108" fillId="105" borderId="39" xfId="0" applyFont="1" applyFill="1" applyBorder="1" applyAlignment="1">
      <alignment horizontal="center"/>
    </xf>
    <xf numFmtId="0" fontId="108" fillId="106" borderId="41" xfId="0" applyFont="1" applyFill="1" applyBorder="1" applyAlignment="1">
      <alignment horizontal="left"/>
    </xf>
    <xf numFmtId="0" fontId="108" fillId="105" borderId="40" xfId="0" applyFont="1" applyFill="1" applyBorder="1" applyAlignment="1">
      <alignment horizontal="left" vertical="center"/>
    </xf>
    <xf numFmtId="0" fontId="108" fillId="105" borderId="40" xfId="0" applyFont="1" applyFill="1" applyBorder="1" applyAlignment="1">
      <alignment horizontal="left"/>
    </xf>
    <xf numFmtId="0" fontId="108" fillId="0" borderId="4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10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52" xfId="0" applyNumberFormat="1" applyFont="1" applyFill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9" xfId="0" applyNumberFormat="1" applyFont="1" applyBorder="1" applyAlignment="1">
      <alignment horizontal="center" vertical="center"/>
    </xf>
    <xf numFmtId="166" fontId="108" fillId="0" borderId="36" xfId="0" applyNumberFormat="1" applyFont="1" applyBorder="1" applyAlignment="1">
      <alignment horizontal="center" vertical="center"/>
    </xf>
    <xf numFmtId="0" fontId="111" fillId="101" borderId="59" xfId="0" applyFont="1" applyFill="1" applyBorder="1"/>
    <xf numFmtId="0" fontId="111" fillId="101" borderId="60" xfId="0" applyFont="1" applyFill="1" applyBorder="1"/>
    <xf numFmtId="0" fontId="108" fillId="104" borderId="60" xfId="0" applyFont="1" applyFill="1" applyBorder="1"/>
    <xf numFmtId="0" fontId="108" fillId="102" borderId="60" xfId="0" applyFont="1" applyFill="1" applyBorder="1"/>
    <xf numFmtId="0" fontId="108" fillId="103" borderId="60" xfId="0" applyFont="1" applyFill="1" applyBorder="1"/>
    <xf numFmtId="0" fontId="108" fillId="0" borderId="60" xfId="0" applyFont="1" applyFill="1" applyBorder="1"/>
    <xf numFmtId="0" fontId="108" fillId="106" borderId="60" xfId="0" applyFont="1" applyFill="1" applyBorder="1"/>
    <xf numFmtId="0" fontId="107" fillId="106" borderId="60" xfId="0" applyFont="1" applyFill="1" applyBorder="1"/>
    <xf numFmtId="0" fontId="108" fillId="0" borderId="60" xfId="0" applyFont="1" applyBorder="1"/>
    <xf numFmtId="0" fontId="112" fillId="0" borderId="60" xfId="0" applyFont="1" applyBorder="1"/>
    <xf numFmtId="0" fontId="112" fillId="0" borderId="60" xfId="0" applyFont="1" applyFill="1" applyBorder="1"/>
    <xf numFmtId="0" fontId="107" fillId="0" borderId="60" xfId="0" applyFont="1" applyFill="1" applyBorder="1"/>
    <xf numFmtId="0" fontId="114" fillId="0" borderId="60" xfId="0" applyFont="1" applyFill="1" applyBorder="1"/>
    <xf numFmtId="0" fontId="107" fillId="0" borderId="60" xfId="0" applyFont="1" applyBorder="1"/>
    <xf numFmtId="0" fontId="114" fillId="0" borderId="60" xfId="0" applyFont="1" applyBorder="1"/>
    <xf numFmtId="0" fontId="107" fillId="103" borderId="60" xfId="0" applyFont="1" applyFill="1" applyBorder="1"/>
    <xf numFmtId="0" fontId="108" fillId="106" borderId="60" xfId="0" applyFont="1" applyFill="1" applyBorder="1" applyAlignment="1">
      <alignment horizontal="left" vertical="center"/>
    </xf>
    <xf numFmtId="0" fontId="108" fillId="0" borderId="61" xfId="0" applyFont="1" applyBorder="1"/>
    <xf numFmtId="0" fontId="108" fillId="104" borderId="62" xfId="0" applyFont="1" applyFill="1" applyBorder="1"/>
    <xf numFmtId="0" fontId="108" fillId="104" borderId="54" xfId="0" applyFont="1" applyFill="1" applyBorder="1"/>
    <xf numFmtId="0" fontId="108" fillId="102" borderId="62" xfId="0" applyFont="1" applyFill="1" applyBorder="1"/>
    <xf numFmtId="0" fontId="108" fillId="102" borderId="54" xfId="0" applyFont="1" applyFill="1" applyBorder="1"/>
    <xf numFmtId="0" fontId="108" fillId="103" borderId="62" xfId="0" applyFont="1" applyFill="1" applyBorder="1"/>
    <xf numFmtId="0" fontId="108" fillId="103" borderId="54" xfId="0" applyFont="1" applyFill="1" applyBorder="1"/>
    <xf numFmtId="0" fontId="108" fillId="0" borderId="63" xfId="0" applyFont="1" applyBorder="1" applyAlignment="1">
      <alignment horizontal="center" vertical="center"/>
    </xf>
    <xf numFmtId="3" fontId="108" fillId="0" borderId="54" xfId="0" applyNumberFormat="1" applyFont="1" applyFill="1" applyBorder="1" applyAlignment="1">
      <alignment horizontal="center"/>
    </xf>
    <xf numFmtId="0" fontId="108" fillId="0" borderId="62" xfId="0" applyFont="1" applyFill="1" applyBorder="1"/>
    <xf numFmtId="0" fontId="108" fillId="0" borderId="54" xfId="0" applyFont="1" applyFill="1" applyBorder="1"/>
    <xf numFmtId="0" fontId="108" fillId="0" borderId="62" xfId="0" applyFont="1" applyBorder="1"/>
    <xf numFmtId="0" fontId="112" fillId="0" borderId="62" xfId="0" applyFont="1" applyBorder="1"/>
    <xf numFmtId="0" fontId="112" fillId="0" borderId="54" xfId="0" applyFont="1" applyBorder="1"/>
    <xf numFmtId="0" fontId="112" fillId="0" borderId="62" xfId="0" applyFont="1" applyFill="1" applyBorder="1"/>
    <xf numFmtId="0" fontId="112" fillId="0" borderId="54" xfId="0" applyFont="1" applyFill="1" applyBorder="1"/>
    <xf numFmtId="0" fontId="107" fillId="0" borderId="62" xfId="0" applyFont="1" applyFill="1" applyBorder="1"/>
    <xf numFmtId="0" fontId="107" fillId="0" borderId="54" xfId="0" applyFont="1" applyFill="1" applyBorder="1"/>
    <xf numFmtId="0" fontId="114" fillId="0" borderId="62" xfId="0" applyFont="1" applyFill="1" applyBorder="1"/>
    <xf numFmtId="0" fontId="114" fillId="0" borderId="54" xfId="0" applyFont="1" applyFill="1" applyBorder="1"/>
    <xf numFmtId="0" fontId="107" fillId="0" borderId="62" xfId="0" applyFont="1" applyBorder="1"/>
    <xf numFmtId="0" fontId="107" fillId="0" borderId="54" xfId="0" applyFont="1" applyBorder="1"/>
    <xf numFmtId="0" fontId="114" fillId="0" borderId="62" xfId="0" applyFont="1" applyBorder="1"/>
    <xf numFmtId="0" fontId="114" fillId="0" borderId="54" xfId="0" applyFont="1" applyBorder="1"/>
    <xf numFmtId="0" fontId="107" fillId="103" borderId="62" xfId="0" applyFont="1" applyFill="1" applyBorder="1"/>
    <xf numFmtId="0" fontId="107" fillId="103" borderId="54" xfId="0" applyFont="1" applyFill="1" applyBorder="1"/>
    <xf numFmtId="0" fontId="108" fillId="0" borderId="64" xfId="0" applyFont="1" applyBorder="1"/>
    <xf numFmtId="0" fontId="108" fillId="0" borderId="65" xfId="0" applyFont="1" applyBorder="1"/>
    <xf numFmtId="0" fontId="108" fillId="0" borderId="66" xfId="0" applyFont="1" applyBorder="1"/>
    <xf numFmtId="0" fontId="111" fillId="101" borderId="69" xfId="0" applyFont="1" applyFill="1" applyBorder="1" applyAlignment="1">
      <alignment horizontal="center" vertical="center" wrapText="1"/>
    </xf>
    <xf numFmtId="0" fontId="111" fillId="101" borderId="45" xfId="0" applyFont="1" applyFill="1" applyBorder="1" applyAlignment="1">
      <alignment horizontal="center" vertical="center" wrapText="1"/>
    </xf>
    <xf numFmtId="0" fontId="111" fillId="101" borderId="70" xfId="0" applyFont="1" applyFill="1" applyBorder="1" applyAlignment="1">
      <alignment horizontal="center" vertical="center" wrapText="1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106" borderId="36" xfId="0" applyNumberFormat="1" applyFont="1" applyFill="1" applyBorder="1" applyAlignment="1">
      <alignment horizontal="center"/>
    </xf>
    <xf numFmtId="234" fontId="108" fillId="105" borderId="36" xfId="2317" applyNumberFormat="1" applyFont="1" applyFill="1" applyBorder="1" applyAlignment="1">
      <alignment horizontal="center"/>
    </xf>
    <xf numFmtId="166" fontId="108" fillId="109" borderId="36" xfId="0" applyNumberFormat="1" applyFont="1" applyFill="1" applyBorder="1" applyAlignment="1">
      <alignment horizontal="center"/>
    </xf>
    <xf numFmtId="0" fontId="110" fillId="0" borderId="60" xfId="0" applyFont="1" applyFill="1" applyBorder="1"/>
    <xf numFmtId="0" fontId="109" fillId="0" borderId="37" xfId="0" applyFont="1" applyBorder="1" applyAlignment="1"/>
    <xf numFmtId="0" fontId="109" fillId="0" borderId="38" xfId="0" applyFont="1" applyBorder="1" applyAlignment="1"/>
    <xf numFmtId="0" fontId="109" fillId="0" borderId="39" xfId="0" applyFont="1" applyBorder="1" applyAlignment="1"/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9" fontId="108" fillId="0" borderId="37" xfId="2318" applyFont="1" applyFill="1" applyBorder="1" applyAlignment="1">
      <alignment horizontal="center" vertical="center"/>
    </xf>
    <xf numFmtId="0" fontId="108" fillId="0" borderId="37" xfId="0" applyFont="1" applyFill="1" applyBorder="1" applyAlignment="1">
      <alignment horizontal="left" vertical="center"/>
    </xf>
    <xf numFmtId="233" fontId="108" fillId="0" borderId="36" xfId="0" applyNumberFormat="1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11" fillId="110" borderId="0" xfId="0" applyNumberFormat="1" applyFont="1" applyFill="1" applyAlignment="1">
      <alignment horizontal="center"/>
    </xf>
    <xf numFmtId="9" fontId="111" fillId="110" borderId="0" xfId="2318" applyFont="1" applyFill="1" applyAlignment="1">
      <alignment horizontal="center"/>
    </xf>
    <xf numFmtId="0" fontId="119" fillId="0" borderId="0" xfId="0" applyFont="1"/>
    <xf numFmtId="9" fontId="118" fillId="0" borderId="0" xfId="2318" applyFont="1" applyAlignment="1">
      <alignment horizontal="right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9" fontId="0" fillId="0" borderId="0" xfId="2318" applyFont="1" applyBorder="1" applyAlignment="1">
      <alignment horizontal="center"/>
    </xf>
    <xf numFmtId="0" fontId="108" fillId="0" borderId="44" xfId="0" applyFont="1" applyFill="1" applyBorder="1" applyAlignment="1"/>
    <xf numFmtId="0" fontId="108" fillId="0" borderId="0" xfId="0" applyFont="1" applyFill="1" applyBorder="1" applyAlignment="1"/>
    <xf numFmtId="1" fontId="108" fillId="0" borderId="44" xfId="0" applyNumberFormat="1" applyFont="1" applyFill="1" applyBorder="1" applyAlignment="1">
      <alignment horizontal="center"/>
    </xf>
    <xf numFmtId="1" fontId="108" fillId="0" borderId="37" xfId="0" applyNumberFormat="1" applyFont="1" applyFill="1" applyBorder="1" applyAlignment="1">
      <alignment horizontal="center"/>
    </xf>
    <xf numFmtId="232" fontId="118" fillId="0" borderId="0" xfId="2317" applyNumberFormat="1" applyFont="1" applyAlignment="1">
      <alignment horizontal="right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2" fontId="108" fillId="0" borderId="6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08" fillId="111" borderId="36" xfId="0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62" xfId="0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10" fillId="0" borderId="71" xfId="0" applyNumberFormat="1" applyFont="1" applyBorder="1" applyAlignment="1">
      <alignment horizontal="center"/>
    </xf>
    <xf numFmtId="0" fontId="118" fillId="0" borderId="0" xfId="0" applyFont="1" applyBorder="1" applyAlignment="1">
      <alignment horizontal="right"/>
    </xf>
    <xf numFmtId="0" fontId="110" fillId="0" borderId="38" xfId="0" applyFont="1" applyFill="1" applyBorder="1"/>
    <xf numFmtId="2" fontId="108" fillId="105" borderId="36" xfId="0" applyNumberFormat="1" applyFont="1" applyFill="1" applyBorder="1" applyAlignment="1">
      <alignment horizontal="center"/>
    </xf>
    <xf numFmtId="2" fontId="108" fillId="109" borderId="36" xfId="0" applyNumberFormat="1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11" fillId="107" borderId="45" xfId="0" applyFont="1" applyFill="1" applyBorder="1" applyAlignment="1"/>
    <xf numFmtId="0" fontId="0" fillId="0" borderId="68" xfId="0" applyBorder="1"/>
    <xf numFmtId="3" fontId="0" fillId="0" borderId="0" xfId="0" applyNumberFormat="1" applyAlignment="1">
      <alignment horizontal="center"/>
    </xf>
    <xf numFmtId="0" fontId="0" fillId="0" borderId="44" xfId="0" applyBorder="1" applyAlignment="1">
      <alignment horizontal="center"/>
    </xf>
    <xf numFmtId="0" fontId="108" fillId="104" borderId="48" xfId="0" applyFont="1" applyFill="1" applyBorder="1" applyAlignment="1">
      <alignment horizontal="center"/>
    </xf>
    <xf numFmtId="0" fontId="108" fillId="0" borderId="0" xfId="0" applyFont="1" applyBorder="1" applyAlignment="1">
      <alignment horizontal="right"/>
    </xf>
    <xf numFmtId="9" fontId="0" fillId="0" borderId="0" xfId="0" applyNumberFormat="1" applyAlignment="1">
      <alignment horizontal="center"/>
    </xf>
    <xf numFmtId="0" fontId="108" fillId="0" borderId="7" xfId="0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106" borderId="36" xfId="0" applyFont="1" applyFill="1" applyBorder="1" applyAlignment="1">
      <alignment horizontal="left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3" fontId="0" fillId="0" borderId="44" xfId="0" applyNumberFormat="1" applyBorder="1" applyAlignment="1">
      <alignment horizontal="center"/>
    </xf>
    <xf numFmtId="3" fontId="118" fillId="0" borderId="0" xfId="0" applyNumberFormat="1" applyFont="1"/>
    <xf numFmtId="3" fontId="108" fillId="0" borderId="37" xfId="0" applyNumberFormat="1" applyFont="1" applyFill="1" applyBorder="1" applyAlignment="1">
      <alignment horizontal="center"/>
    </xf>
    <xf numFmtId="3" fontId="108" fillId="0" borderId="63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7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3" fontId="120" fillId="109" borderId="0" xfId="0" applyNumberFormat="1" applyFont="1" applyFill="1" applyAlignment="1">
      <alignment horizontal="center"/>
    </xf>
    <xf numFmtId="0" fontId="108" fillId="104" borderId="46" xfId="0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08" fillId="0" borderId="56" xfId="0" applyFont="1" applyBorder="1"/>
    <xf numFmtId="0" fontId="108" fillId="0" borderId="67" xfId="0" applyFont="1" applyBorder="1" applyAlignment="1">
      <alignment horizontal="center"/>
    </xf>
    <xf numFmtId="0" fontId="108" fillId="0" borderId="68" xfId="0" applyFont="1" applyBorder="1"/>
    <xf numFmtId="0" fontId="108" fillId="104" borderId="69" xfId="0" applyFont="1" applyFill="1" applyBorder="1" applyAlignment="1">
      <alignment horizontal="center"/>
    </xf>
    <xf numFmtId="0" fontId="108" fillId="104" borderId="75" xfId="0" applyFont="1" applyFill="1" applyBorder="1" applyAlignment="1">
      <alignment horizontal="center"/>
    </xf>
    <xf numFmtId="0" fontId="0" fillId="0" borderId="67" xfId="0" applyBorder="1"/>
    <xf numFmtId="0" fontId="108" fillId="104" borderId="75" xfId="0" applyFont="1" applyFill="1" applyBorder="1"/>
    <xf numFmtId="0" fontId="0" fillId="0" borderId="56" xfId="0" applyBorder="1"/>
    <xf numFmtId="0" fontId="108" fillId="104" borderId="69" xfId="0" applyFont="1" applyFill="1" applyBorder="1"/>
    <xf numFmtId="1" fontId="0" fillId="0" borderId="44" xfId="0" applyNumberFormat="1" applyBorder="1" applyAlignment="1">
      <alignment horizontal="center"/>
    </xf>
    <xf numFmtId="0" fontId="108" fillId="105" borderId="42" xfId="0" applyFont="1" applyFill="1" applyBorder="1" applyAlignment="1">
      <alignment horizontal="left"/>
    </xf>
    <xf numFmtId="3" fontId="108" fillId="106" borderId="0" xfId="2317" applyNumberFormat="1" applyFont="1" applyFill="1" applyBorder="1" applyAlignment="1">
      <alignment horizont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11" fillId="107" borderId="37" xfId="0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3" fontId="119" fillId="111" borderId="0" xfId="0" applyNumberFormat="1" applyFont="1" applyFill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11" fillId="107" borderId="37" xfId="0" applyFont="1" applyFill="1" applyBorder="1" applyAlignment="1">
      <alignment horizontal="center"/>
    </xf>
    <xf numFmtId="0" fontId="108" fillId="0" borderId="36" xfId="0" applyFont="1" applyBorder="1" applyAlignment="1">
      <alignment horizontal="center"/>
    </xf>
    <xf numFmtId="1" fontId="108" fillId="103" borderId="54" xfId="0" applyNumberFormat="1" applyFont="1" applyFill="1" applyBorder="1" applyAlignment="1">
      <alignment horizontal="center"/>
    </xf>
    <xf numFmtId="1" fontId="108" fillId="103" borderId="37" xfId="0" applyNumberFormat="1" applyFont="1" applyFill="1" applyBorder="1" applyAlignment="1">
      <alignment horizontal="center"/>
    </xf>
    <xf numFmtId="0" fontId="108" fillId="0" borderId="54" xfId="0" applyFont="1" applyBorder="1" applyAlignment="1">
      <alignment horizontal="center"/>
    </xf>
    <xf numFmtId="0" fontId="111" fillId="110" borderId="0" xfId="0" applyFont="1" applyFill="1" applyAlignment="1">
      <alignment horizontal="center"/>
    </xf>
    <xf numFmtId="0" fontId="111" fillId="107" borderId="37" xfId="0" applyFont="1" applyFill="1" applyBorder="1" applyAlignment="1">
      <alignment horizontal="center"/>
    </xf>
    <xf numFmtId="3" fontId="108" fillId="105" borderId="42" xfId="0" applyNumberFormat="1" applyFont="1" applyFill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9" fontId="0" fillId="0" borderId="36" xfId="2318" applyFon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43" fontId="108" fillId="0" borderId="36" xfId="2317" applyFont="1" applyBorder="1" applyAlignment="1">
      <alignment horizontal="center" vertical="center"/>
    </xf>
    <xf numFmtId="43" fontId="108" fillId="0" borderId="63" xfId="2317" applyFont="1" applyBorder="1" applyAlignment="1">
      <alignment horizontal="center" vertical="center"/>
    </xf>
    <xf numFmtId="43" fontId="108" fillId="0" borderId="54" xfId="2317" applyFont="1" applyBorder="1" applyAlignment="1">
      <alignment horizontal="center" vertical="center"/>
    </xf>
    <xf numFmtId="43" fontId="108" fillId="0" borderId="77" xfId="2317" applyFont="1" applyBorder="1" applyAlignment="1">
      <alignment horizontal="center" vertical="center"/>
    </xf>
    <xf numFmtId="43" fontId="108" fillId="0" borderId="42" xfId="2317" applyFont="1" applyBorder="1" applyAlignment="1">
      <alignment horizontal="center" vertical="center"/>
    </xf>
    <xf numFmtId="43" fontId="108" fillId="0" borderId="70" xfId="2317" applyFont="1" applyBorder="1" applyAlignment="1">
      <alignment horizontal="center" vertical="center"/>
    </xf>
    <xf numFmtId="43" fontId="108" fillId="0" borderId="76" xfId="2317" applyFont="1" applyBorder="1" applyAlignment="1">
      <alignment horizontal="center" vertical="center"/>
    </xf>
    <xf numFmtId="43" fontId="108" fillId="0" borderId="55" xfId="2317" applyFont="1" applyBorder="1" applyAlignment="1">
      <alignment horizontal="center" vertical="center"/>
    </xf>
    <xf numFmtId="43" fontId="108" fillId="0" borderId="66" xfId="2317" applyFont="1" applyBorder="1" applyAlignment="1">
      <alignment horizontal="center" vertical="center"/>
    </xf>
    <xf numFmtId="0" fontId="121" fillId="0" borderId="0" xfId="0" applyFont="1" applyFill="1" applyBorder="1" applyAlignment="1">
      <alignment horizontal="right"/>
    </xf>
    <xf numFmtId="9" fontId="0" fillId="0" borderId="78" xfId="2318" applyFont="1" applyBorder="1" applyAlignment="1">
      <alignment horizontal="center" vertical="center"/>
    </xf>
    <xf numFmtId="9" fontId="0" fillId="0" borderId="71" xfId="2318" applyFont="1" applyBorder="1" applyAlignment="1">
      <alignment horizontal="center" vertical="center"/>
    </xf>
    <xf numFmtId="9" fontId="0" fillId="0" borderId="79" xfId="2318" applyFont="1" applyBorder="1" applyAlignment="1">
      <alignment horizontal="center" vertical="center"/>
    </xf>
    <xf numFmtId="9" fontId="0" fillId="0" borderId="63" xfId="2318" applyFont="1" applyBorder="1" applyAlignment="1">
      <alignment horizontal="center" vertical="center"/>
    </xf>
    <xf numFmtId="9" fontId="0" fillId="0" borderId="54" xfId="2318" applyFont="1" applyBorder="1" applyAlignment="1">
      <alignment horizontal="center" vertical="center"/>
    </xf>
    <xf numFmtId="9" fontId="0" fillId="0" borderId="76" xfId="2318" applyFont="1" applyBorder="1" applyAlignment="1">
      <alignment horizontal="center" vertical="center"/>
    </xf>
    <xf numFmtId="9" fontId="0" fillId="0" borderId="55" xfId="2318" applyFont="1" applyBorder="1" applyAlignment="1">
      <alignment horizontal="center" vertical="center"/>
    </xf>
    <xf numFmtId="9" fontId="0" fillId="0" borderId="66" xfId="2318" applyFont="1" applyBorder="1" applyAlignment="1">
      <alignment horizontal="center" vertical="center"/>
    </xf>
    <xf numFmtId="1" fontId="0" fillId="0" borderId="60" xfId="0" applyNumberFormat="1" applyBorder="1" applyAlignment="1">
      <alignment horizontal="center" vertical="center"/>
    </xf>
    <xf numFmtId="1" fontId="0" fillId="0" borderId="61" xfId="0" applyNumberFormat="1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1" fontId="0" fillId="0" borderId="71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0" fillId="0" borderId="76" xfId="0" applyNumberFormat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1" fontId="0" fillId="0" borderId="66" xfId="0" applyNumberFormat="1" applyBorder="1" applyAlignment="1">
      <alignment horizontal="center" vertical="center"/>
    </xf>
    <xf numFmtId="0" fontId="108" fillId="0" borderId="78" xfId="0" applyFont="1" applyBorder="1" applyAlignment="1">
      <alignment horizontal="center" vertical="center"/>
    </xf>
    <xf numFmtId="0" fontId="108" fillId="0" borderId="79" xfId="0" applyFont="1" applyBorder="1" applyAlignment="1">
      <alignment horizontal="center" vertical="center"/>
    </xf>
    <xf numFmtId="3" fontId="122" fillId="0" borderId="72" xfId="0" applyNumberFormat="1" applyFont="1" applyBorder="1" applyAlignment="1">
      <alignment horizontal="center" vertical="center"/>
    </xf>
    <xf numFmtId="3" fontId="122" fillId="0" borderId="73" xfId="0" applyNumberFormat="1" applyFont="1" applyBorder="1" applyAlignment="1">
      <alignment horizontal="center" vertical="center"/>
    </xf>
    <xf numFmtId="9" fontId="122" fillId="0" borderId="73" xfId="2318" applyFont="1" applyBorder="1" applyAlignment="1">
      <alignment horizontal="center" vertical="center"/>
    </xf>
    <xf numFmtId="3" fontId="122" fillId="0" borderId="74" xfId="0" applyNumberFormat="1" applyFont="1" applyBorder="1" applyAlignment="1">
      <alignment horizontal="center" vertical="center"/>
    </xf>
    <xf numFmtId="9" fontId="122" fillId="0" borderId="72" xfId="2318" applyFont="1" applyBorder="1" applyAlignment="1">
      <alignment horizontal="center" vertical="center"/>
    </xf>
    <xf numFmtId="9" fontId="122" fillId="0" borderId="74" xfId="2318" applyFont="1" applyBorder="1" applyAlignment="1">
      <alignment horizontal="center" vertical="center"/>
    </xf>
    <xf numFmtId="3" fontId="122" fillId="0" borderId="7" xfId="0" applyNumberFormat="1" applyFont="1" applyBorder="1" applyAlignment="1">
      <alignment horizontal="center" vertical="center"/>
    </xf>
    <xf numFmtId="1" fontId="0" fillId="0" borderId="59" xfId="0" applyNumberFormat="1" applyBorder="1" applyAlignment="1">
      <alignment horizontal="center" vertical="center"/>
    </xf>
    <xf numFmtId="3" fontId="108" fillId="0" borderId="78" xfId="0" applyNumberFormat="1" applyFont="1" applyBorder="1" applyAlignment="1">
      <alignment horizontal="center" vertical="center"/>
    </xf>
    <xf numFmtId="9" fontId="108" fillId="0" borderId="78" xfId="2318" applyFont="1" applyBorder="1" applyAlignment="1">
      <alignment horizontal="center" vertical="center"/>
    </xf>
    <xf numFmtId="9" fontId="108" fillId="0" borderId="71" xfId="2318" applyFont="1" applyBorder="1" applyAlignment="1">
      <alignment horizontal="center" vertical="center"/>
    </xf>
    <xf numFmtId="9" fontId="108" fillId="0" borderId="79" xfId="2318" applyFont="1" applyBorder="1" applyAlignment="1">
      <alignment horizontal="center" vertical="center"/>
    </xf>
    <xf numFmtId="1" fontId="108" fillId="0" borderId="80" xfId="0" applyNumberFormat="1" applyFont="1" applyBorder="1" applyAlignment="1">
      <alignment horizontal="center" vertical="center"/>
    </xf>
    <xf numFmtId="1" fontId="108" fillId="0" borderId="78" xfId="0" applyNumberFormat="1" applyFont="1" applyBorder="1" applyAlignment="1">
      <alignment horizontal="center" vertical="center"/>
    </xf>
    <xf numFmtId="1" fontId="108" fillId="0" borderId="71" xfId="0" applyNumberFormat="1" applyFont="1" applyBorder="1" applyAlignment="1">
      <alignment horizontal="center" vertical="center"/>
    </xf>
    <xf numFmtId="1" fontId="108" fillId="0" borderId="79" xfId="0" applyNumberFormat="1" applyFont="1" applyBorder="1" applyAlignment="1">
      <alignment horizontal="center" vertical="center"/>
    </xf>
    <xf numFmtId="1" fontId="108" fillId="0" borderId="54" xfId="0" applyNumberFormat="1" applyFont="1" applyBorder="1" applyAlignment="1">
      <alignment horizontal="center" vertical="center"/>
    </xf>
    <xf numFmtId="9" fontId="108" fillId="0" borderId="63" xfId="2318" applyFont="1" applyBorder="1" applyAlignment="1">
      <alignment horizontal="center" vertical="center"/>
    </xf>
    <xf numFmtId="9" fontId="108" fillId="0" borderId="36" xfId="2318" applyFont="1" applyBorder="1" applyAlignment="1">
      <alignment horizontal="center" vertical="center"/>
    </xf>
    <xf numFmtId="9" fontId="108" fillId="0" borderId="54" xfId="2318" applyFont="1" applyBorder="1" applyAlignment="1">
      <alignment horizontal="center" vertical="center"/>
    </xf>
    <xf numFmtId="1" fontId="108" fillId="0" borderId="60" xfId="0" applyNumberFormat="1" applyFont="1" applyBorder="1" applyAlignment="1">
      <alignment horizontal="center" vertical="center"/>
    </xf>
    <xf numFmtId="1" fontId="108" fillId="0" borderId="63" xfId="0" applyNumberFormat="1" applyFont="1" applyBorder="1" applyAlignment="1">
      <alignment horizontal="center" vertical="center"/>
    </xf>
    <xf numFmtId="9" fontId="108" fillId="0" borderId="76" xfId="2318" applyFont="1" applyBorder="1" applyAlignment="1">
      <alignment horizontal="center" vertical="center"/>
    </xf>
    <xf numFmtId="9" fontId="108" fillId="0" borderId="55" xfId="2318" applyFont="1" applyBorder="1" applyAlignment="1">
      <alignment horizontal="center" vertical="center"/>
    </xf>
    <xf numFmtId="9" fontId="108" fillId="0" borderId="66" xfId="2318" applyFont="1" applyBorder="1" applyAlignment="1">
      <alignment horizontal="center" vertical="center"/>
    </xf>
    <xf numFmtId="1" fontId="108" fillId="0" borderId="61" xfId="0" applyNumberFormat="1" applyFont="1" applyBorder="1" applyAlignment="1">
      <alignment horizontal="center" vertical="center"/>
    </xf>
    <xf numFmtId="1" fontId="108" fillId="0" borderId="76" xfId="0" applyNumberFormat="1" applyFont="1" applyBorder="1" applyAlignment="1">
      <alignment horizontal="center" vertical="center"/>
    </xf>
    <xf numFmtId="1" fontId="108" fillId="0" borderId="55" xfId="0" applyNumberFormat="1" applyFont="1" applyBorder="1" applyAlignment="1">
      <alignment horizontal="center" vertical="center"/>
    </xf>
    <xf numFmtId="1" fontId="108" fillId="0" borderId="66" xfId="0" applyNumberFormat="1" applyFont="1" applyBorder="1" applyAlignment="1">
      <alignment horizontal="center" vertical="center"/>
    </xf>
    <xf numFmtId="3" fontId="121" fillId="0" borderId="72" xfId="0" applyNumberFormat="1" applyFont="1" applyBorder="1" applyAlignment="1">
      <alignment horizontal="center" vertical="center"/>
    </xf>
    <xf numFmtId="3" fontId="121" fillId="0" borderId="73" xfId="0" applyNumberFormat="1" applyFont="1" applyBorder="1" applyAlignment="1">
      <alignment horizontal="center" vertical="center"/>
    </xf>
    <xf numFmtId="3" fontId="121" fillId="0" borderId="74" xfId="0" applyNumberFormat="1" applyFont="1" applyBorder="1" applyAlignment="1">
      <alignment horizontal="center" vertical="center"/>
    </xf>
    <xf numFmtId="9" fontId="121" fillId="0" borderId="72" xfId="2318" applyFont="1" applyBorder="1" applyAlignment="1">
      <alignment horizontal="center" vertical="center"/>
    </xf>
    <xf numFmtId="9" fontId="121" fillId="0" borderId="73" xfId="2318" applyFont="1" applyBorder="1" applyAlignment="1">
      <alignment horizontal="center" vertical="center"/>
    </xf>
    <xf numFmtId="9" fontId="121" fillId="0" borderId="74" xfId="2318" applyFont="1" applyBorder="1" applyAlignment="1">
      <alignment horizontal="center" vertical="center"/>
    </xf>
    <xf numFmtId="3" fontId="121" fillId="0" borderId="7" xfId="0" applyNumberFormat="1" applyFont="1" applyBorder="1" applyAlignment="1">
      <alignment horizontal="center" vertical="center"/>
    </xf>
    <xf numFmtId="43" fontId="108" fillId="0" borderId="63" xfId="2317" applyNumberFormat="1" applyFont="1" applyBorder="1" applyAlignment="1">
      <alignment horizontal="center" vertical="center"/>
    </xf>
    <xf numFmtId="9" fontId="0" fillId="0" borderId="63" xfId="2318" applyNumberFormat="1" applyFont="1" applyBorder="1" applyAlignment="1">
      <alignment horizontal="center" vertical="center"/>
    </xf>
    <xf numFmtId="0" fontId="108" fillId="0" borderId="44" xfId="0" applyFont="1" applyBorder="1" applyAlignment="1">
      <alignment horizontal="center"/>
    </xf>
    <xf numFmtId="0" fontId="108" fillId="103" borderId="0" xfId="0" applyFont="1" applyFill="1" applyBorder="1" applyAlignment="1">
      <alignment horizontal="right"/>
    </xf>
    <xf numFmtId="0" fontId="108" fillId="113" borderId="0" xfId="0" applyFont="1" applyFill="1" applyBorder="1" applyAlignment="1">
      <alignment horizontal="right"/>
    </xf>
    <xf numFmtId="0" fontId="108" fillId="104" borderId="0" xfId="0" applyFont="1" applyFill="1" applyBorder="1" applyAlignment="1">
      <alignment horizontal="right"/>
    </xf>
    <xf numFmtId="0" fontId="108" fillId="111" borderId="0" xfId="0" applyFont="1" applyFill="1" applyBorder="1" applyAlignment="1">
      <alignment horizontal="right"/>
    </xf>
    <xf numFmtId="0" fontId="108" fillId="114" borderId="0" xfId="0" applyFont="1" applyFill="1" applyBorder="1" applyAlignment="1">
      <alignment horizontal="right"/>
    </xf>
    <xf numFmtId="0" fontId="0" fillId="114" borderId="0" xfId="0" applyFill="1" applyBorder="1" applyAlignment="1">
      <alignment horizontal="right"/>
    </xf>
    <xf numFmtId="0" fontId="0" fillId="115" borderId="0" xfId="0" applyFill="1" applyBorder="1" applyAlignment="1">
      <alignment horizontal="right"/>
    </xf>
    <xf numFmtId="0" fontId="0" fillId="116" borderId="0" xfId="0" applyFill="1" applyBorder="1" applyAlignment="1">
      <alignment horizontal="right"/>
    </xf>
    <xf numFmtId="0" fontId="0" fillId="117" borderId="0" xfId="0" applyFill="1" applyBorder="1" applyAlignment="1">
      <alignment horizontal="right"/>
    </xf>
    <xf numFmtId="0" fontId="0" fillId="118" borderId="0" xfId="0" applyFill="1" applyBorder="1" applyAlignment="1">
      <alignment horizontal="right"/>
    </xf>
    <xf numFmtId="0" fontId="0" fillId="103" borderId="0" xfId="0" applyFill="1" applyBorder="1" applyAlignment="1">
      <alignment horizontal="right"/>
    </xf>
    <xf numFmtId="0" fontId="0" fillId="113" borderId="0" xfId="0" applyFill="1" applyBorder="1" applyAlignment="1">
      <alignment horizontal="right"/>
    </xf>
    <xf numFmtId="0" fontId="0" fillId="104" borderId="0" xfId="0" applyFill="1" applyBorder="1" applyAlignment="1">
      <alignment horizontal="right"/>
    </xf>
    <xf numFmtId="0" fontId="0" fillId="111" borderId="0" xfId="0" applyFill="1" applyBorder="1" applyAlignment="1">
      <alignment horizontal="right"/>
    </xf>
    <xf numFmtId="43" fontId="123" fillId="111" borderId="77" xfId="2317" applyFont="1" applyFill="1" applyBorder="1" applyAlignment="1">
      <alignment horizontal="center" vertical="center"/>
    </xf>
    <xf numFmtId="43" fontId="123" fillId="111" borderId="42" xfId="2317" applyFont="1" applyFill="1" applyBorder="1" applyAlignment="1">
      <alignment horizontal="center" vertical="center"/>
    </xf>
    <xf numFmtId="43" fontId="123" fillId="111" borderId="70" xfId="2317" applyFont="1" applyFill="1" applyBorder="1" applyAlignment="1">
      <alignment horizontal="center" vertical="center"/>
    </xf>
    <xf numFmtId="9" fontId="5" fillId="111" borderId="63" xfId="2318" applyFont="1" applyFill="1" applyBorder="1" applyAlignment="1">
      <alignment horizontal="center" vertical="center"/>
    </xf>
    <xf numFmtId="9" fontId="5" fillId="111" borderId="36" xfId="2318" applyFont="1" applyFill="1" applyBorder="1" applyAlignment="1">
      <alignment horizontal="center" vertical="center"/>
    </xf>
    <xf numFmtId="9" fontId="5" fillId="111" borderId="54" xfId="2318" applyFont="1" applyFill="1" applyBorder="1" applyAlignment="1">
      <alignment horizontal="center" vertical="center"/>
    </xf>
    <xf numFmtId="1" fontId="5" fillId="111" borderId="60" xfId="0" applyNumberFormat="1" applyFont="1" applyFill="1" applyBorder="1" applyAlignment="1">
      <alignment horizontal="center" vertical="center"/>
    </xf>
    <xf numFmtId="1" fontId="5" fillId="111" borderId="63" xfId="0" applyNumberFormat="1" applyFont="1" applyFill="1" applyBorder="1" applyAlignment="1">
      <alignment horizontal="center" vertical="center"/>
    </xf>
    <xf numFmtId="1" fontId="5" fillId="111" borderId="36" xfId="0" applyNumberFormat="1" applyFont="1" applyFill="1" applyBorder="1" applyAlignment="1">
      <alignment horizontal="center" vertical="center"/>
    </xf>
    <xf numFmtId="1" fontId="5" fillId="111" borderId="54" xfId="0" applyNumberFormat="1" applyFont="1" applyFill="1" applyBorder="1" applyAlignment="1">
      <alignment horizontal="center" vertical="center"/>
    </xf>
    <xf numFmtId="3" fontId="123" fillId="111" borderId="63" xfId="0" applyNumberFormat="1" applyFont="1" applyFill="1" applyBorder="1" applyAlignment="1">
      <alignment horizontal="center" vertical="center"/>
    </xf>
    <xf numFmtId="1" fontId="123" fillId="111" borderId="54" xfId="0" applyNumberFormat="1" applyFont="1" applyFill="1" applyBorder="1" applyAlignment="1">
      <alignment horizontal="center" vertical="center"/>
    </xf>
    <xf numFmtId="0" fontId="119" fillId="111" borderId="0" xfId="0" applyFont="1" applyFill="1" applyBorder="1" applyAlignment="1">
      <alignment horizontal="right"/>
    </xf>
    <xf numFmtId="43" fontId="108" fillId="111" borderId="77" xfId="2317" applyFont="1" applyFill="1" applyBorder="1" applyAlignment="1">
      <alignment horizontal="center" vertical="center"/>
    </xf>
    <xf numFmtId="43" fontId="108" fillId="111" borderId="42" xfId="2317" applyFont="1" applyFill="1" applyBorder="1" applyAlignment="1">
      <alignment horizontal="center" vertical="center"/>
    </xf>
    <xf numFmtId="43" fontId="108" fillId="111" borderId="70" xfId="2317" applyFont="1" applyFill="1" applyBorder="1" applyAlignment="1">
      <alignment horizontal="center" vertical="center"/>
    </xf>
    <xf numFmtId="9" fontId="0" fillId="111" borderId="63" xfId="2318" applyFont="1" applyFill="1" applyBorder="1" applyAlignment="1">
      <alignment horizontal="center" vertical="center"/>
    </xf>
    <xf numFmtId="9" fontId="0" fillId="111" borderId="36" xfId="2318" applyFont="1" applyFill="1" applyBorder="1" applyAlignment="1">
      <alignment horizontal="center" vertical="center"/>
    </xf>
    <xf numFmtId="9" fontId="0" fillId="111" borderId="54" xfId="2318" applyFont="1" applyFill="1" applyBorder="1" applyAlignment="1">
      <alignment horizontal="center" vertical="center"/>
    </xf>
    <xf numFmtId="1" fontId="0" fillId="111" borderId="60" xfId="0" applyNumberFormat="1" applyFill="1" applyBorder="1" applyAlignment="1">
      <alignment horizontal="center" vertical="center"/>
    </xf>
    <xf numFmtId="1" fontId="0" fillId="111" borderId="63" xfId="0" applyNumberFormat="1" applyFill="1" applyBorder="1" applyAlignment="1">
      <alignment horizontal="center" vertical="center"/>
    </xf>
    <xf numFmtId="1" fontId="0" fillId="111" borderId="36" xfId="0" applyNumberFormat="1" applyFill="1" applyBorder="1" applyAlignment="1">
      <alignment horizontal="center" vertical="center"/>
    </xf>
    <xf numFmtId="1" fontId="0" fillId="111" borderId="54" xfId="0" applyNumberFormat="1" applyFill="1" applyBorder="1" applyAlignment="1">
      <alignment horizontal="center" vertical="center"/>
    </xf>
    <xf numFmtId="3" fontId="108" fillId="111" borderId="63" xfId="0" applyNumberFormat="1" applyFont="1" applyFill="1" applyBorder="1" applyAlignment="1">
      <alignment horizontal="center" vertical="center"/>
    </xf>
    <xf numFmtId="1" fontId="108" fillId="111" borderId="54" xfId="0" applyNumberFormat="1" applyFont="1" applyFill="1" applyBorder="1" applyAlignment="1">
      <alignment horizontal="center" vertical="center"/>
    </xf>
    <xf numFmtId="166" fontId="0" fillId="109" borderId="0" xfId="0" applyNumberFormat="1" applyFill="1"/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11" fillId="107" borderId="37" xfId="0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1" fontId="110" fillId="0" borderId="0" xfId="0" applyNumberFormat="1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11" fillId="107" borderId="37" xfId="0" applyFont="1" applyFill="1" applyBorder="1" applyAlignment="1">
      <alignment horizontal="center"/>
    </xf>
    <xf numFmtId="3" fontId="108" fillId="105" borderId="37" xfId="0" applyNumberFormat="1" applyFont="1" applyFill="1" applyBorder="1" applyAlignment="1">
      <alignment horizontal="center"/>
    </xf>
    <xf numFmtId="0" fontId="111" fillId="107" borderId="43" xfId="0" applyFont="1" applyFill="1" applyBorder="1" applyAlignment="1"/>
    <xf numFmtId="9" fontId="108" fillId="111" borderId="43" xfId="0" applyNumberFormat="1" applyFont="1" applyFill="1" applyBorder="1" applyAlignment="1">
      <alignment horizontal="center"/>
    </xf>
    <xf numFmtId="9" fontId="108" fillId="111" borderId="47" xfId="0" applyNumberFormat="1" applyFont="1" applyFill="1" applyBorder="1" applyAlignment="1">
      <alignment horizontal="center"/>
    </xf>
    <xf numFmtId="9" fontId="108" fillId="111" borderId="49" xfId="0" applyNumberFormat="1" applyFont="1" applyFill="1" applyBorder="1" applyAlignment="1">
      <alignment horizontal="center"/>
    </xf>
    <xf numFmtId="0" fontId="111" fillId="107" borderId="36" xfId="0" applyFont="1" applyFill="1" applyBorder="1" applyAlignment="1"/>
    <xf numFmtId="9" fontId="108" fillId="0" borderId="7" xfId="2318" applyFont="1" applyBorder="1" applyAlignment="1">
      <alignment horizontal="center" vertical="center"/>
    </xf>
    <xf numFmtId="221" fontId="108" fillId="0" borderId="54" xfId="0" applyNumberFormat="1" applyFont="1" applyFill="1" applyBorder="1" applyAlignment="1">
      <alignment horizontal="center"/>
    </xf>
    <xf numFmtId="3" fontId="108" fillId="0" borderId="44" xfId="0" applyNumberFormat="1" applyFont="1" applyFill="1" applyBorder="1" applyAlignment="1">
      <alignment horizontal="center"/>
    </xf>
    <xf numFmtId="3" fontId="108" fillId="0" borderId="0" xfId="0" applyNumberFormat="1" applyFont="1" applyAlignment="1">
      <alignment horizontal="center"/>
    </xf>
    <xf numFmtId="0" fontId="108" fillId="0" borderId="72" xfId="0" applyFont="1" applyBorder="1"/>
    <xf numFmtId="0" fontId="108" fillId="0" borderId="74" xfId="0" applyFont="1" applyBorder="1"/>
    <xf numFmtId="0" fontId="0" fillId="0" borderId="73" xfId="0" applyBorder="1" applyAlignment="1">
      <alignment horizontal="center"/>
    </xf>
    <xf numFmtId="2" fontId="108" fillId="0" borderId="0" xfId="0" applyNumberFormat="1" applyFont="1" applyAlignment="1">
      <alignment horizontal="left"/>
    </xf>
    <xf numFmtId="0" fontId="118" fillId="0" borderId="36" xfId="0" applyFont="1" applyBorder="1"/>
    <xf numFmtId="1" fontId="118" fillId="0" borderId="36" xfId="0" applyNumberFormat="1" applyFont="1" applyBorder="1" applyAlignment="1">
      <alignment horizontal="center"/>
    </xf>
    <xf numFmtId="233" fontId="118" fillId="0" borderId="36" xfId="0" applyNumberFormat="1" applyFont="1" applyBorder="1" applyAlignment="1">
      <alignment horizontal="center"/>
    </xf>
    <xf numFmtId="0" fontId="111" fillId="107" borderId="37" xfId="0" applyFont="1" applyFill="1" applyBorder="1" applyAlignment="1">
      <alignment horizontal="center"/>
    </xf>
    <xf numFmtId="1" fontId="0" fillId="0" borderId="0" xfId="0" applyNumberFormat="1" applyBorder="1"/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11" fillId="107" borderId="37" xfId="0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9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0" fillId="110" borderId="0" xfId="0" applyFont="1" applyFill="1" applyAlignment="1">
      <alignment horizontal="right"/>
    </xf>
    <xf numFmtId="221" fontId="0" fillId="0" borderId="0" xfId="0" applyNumberFormat="1" applyAlignment="1">
      <alignment horizontal="center"/>
    </xf>
    <xf numFmtId="1" fontId="108" fillId="0" borderId="52" xfId="0" applyNumberFormat="1" applyFont="1" applyFill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08" fillId="109" borderId="37" xfId="0" applyFont="1" applyFill="1" applyBorder="1" applyAlignment="1">
      <alignment horizontal="center"/>
    </xf>
    <xf numFmtId="0" fontId="108" fillId="103" borderId="37" xfId="0" applyFont="1" applyFill="1" applyBorder="1" applyAlignment="1">
      <alignment horizontal="left" wrapText="1"/>
    </xf>
    <xf numFmtId="9" fontId="108" fillId="104" borderId="39" xfId="0" applyNumberFormat="1" applyFont="1" applyFill="1" applyBorder="1" applyAlignment="1">
      <alignment horizontal="center" vertical="center"/>
    </xf>
    <xf numFmtId="9" fontId="107" fillId="103" borderId="39" xfId="0" applyNumberFormat="1" applyFont="1" applyFill="1" applyBorder="1" applyAlignment="1">
      <alignment horizontal="center" vertical="center"/>
    </xf>
    <xf numFmtId="0" fontId="108" fillId="102" borderId="38" xfId="0" applyFont="1" applyFill="1" applyBorder="1"/>
    <xf numFmtId="1" fontId="108" fillId="0" borderId="39" xfId="0" applyNumberFormat="1" applyFont="1" applyBorder="1" applyAlignment="1">
      <alignment horizontal="left" vertical="center"/>
    </xf>
    <xf numFmtId="1" fontId="108" fillId="0" borderId="39" xfId="0" applyNumberFormat="1" applyFont="1" applyFill="1" applyBorder="1" applyAlignment="1">
      <alignment horizontal="left" vertical="center"/>
    </xf>
    <xf numFmtId="9" fontId="108" fillId="0" borderId="36" xfId="0" applyNumberFormat="1" applyFont="1" applyBorder="1" applyAlignment="1">
      <alignment horizontal="left" vertical="center"/>
    </xf>
    <xf numFmtId="9" fontId="108" fillId="0" borderId="36" xfId="0" applyNumberFormat="1" applyFont="1" applyFill="1" applyBorder="1" applyAlignment="1">
      <alignment horizontal="left" vertical="center"/>
    </xf>
    <xf numFmtId="0" fontId="124" fillId="119" borderId="7" xfId="0" applyNumberFormat="1" applyFont="1" applyFill="1" applyBorder="1" applyAlignment="1">
      <alignment horizontal="center" vertical="center"/>
    </xf>
    <xf numFmtId="0" fontId="119" fillId="106" borderId="73" xfId="0" applyFont="1" applyFill="1" applyBorder="1" applyAlignment="1">
      <alignment horizontal="right"/>
    </xf>
    <xf numFmtId="0" fontId="119" fillId="106" borderId="73" xfId="0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0" fontId="108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66" fontId="108" fillId="0" borderId="63" xfId="0" applyNumberFormat="1" applyFont="1" applyBorder="1" applyAlignment="1">
      <alignment horizontal="center" vertical="center"/>
    </xf>
    <xf numFmtId="166" fontId="108" fillId="0" borderId="62" xfId="0" applyNumberFormat="1" applyFont="1" applyBorder="1" applyAlignment="1">
      <alignment horizontal="center" vertical="center"/>
    </xf>
    <xf numFmtId="0" fontId="125" fillId="0" borderId="37" xfId="0" applyFont="1" applyFill="1" applyBorder="1"/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1" fontId="108" fillId="105" borderId="36" xfId="0" applyNumberFormat="1" applyFont="1" applyFill="1" applyBorder="1" applyAlignment="1">
      <alignment horizontal="center" vertical="center"/>
    </xf>
    <xf numFmtId="9" fontId="108" fillId="105" borderId="36" xfId="0" applyNumberFormat="1" applyFont="1" applyFill="1" applyBorder="1" applyAlignment="1">
      <alignment horizontal="center" vertical="center"/>
    </xf>
    <xf numFmtId="0" fontId="108" fillId="105" borderId="63" xfId="0" applyFont="1" applyFill="1" applyBorder="1" applyAlignment="1">
      <alignment horizontal="center" vertical="center"/>
    </xf>
    <xf numFmtId="166" fontId="108" fillId="105" borderId="36" xfId="0" applyNumberFormat="1" applyFont="1" applyFill="1" applyBorder="1" applyAlignment="1">
      <alignment horizontal="center" vertical="center"/>
    </xf>
    <xf numFmtId="0" fontId="108" fillId="105" borderId="60" xfId="0" applyFont="1" applyFill="1" applyBorder="1"/>
    <xf numFmtId="9" fontId="108" fillId="105" borderId="54" xfId="2318" applyFont="1" applyFill="1" applyBorder="1" applyAlignment="1">
      <alignment horizontal="center"/>
    </xf>
    <xf numFmtId="3" fontId="108" fillId="0" borderId="44" xfId="0" applyNumberFormat="1" applyFont="1" applyBorder="1"/>
    <xf numFmtId="0" fontId="111" fillId="107" borderId="37" xfId="0" applyFont="1" applyFill="1" applyBorder="1" applyAlignment="1">
      <alignment horizontal="center"/>
    </xf>
    <xf numFmtId="0" fontId="119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119" fillId="0" borderId="0" xfId="0" applyFont="1" applyAlignment="1">
      <alignment horizontal="center"/>
    </xf>
    <xf numFmtId="0" fontId="119" fillId="0" borderId="10" xfId="0" applyFont="1" applyBorder="1"/>
    <xf numFmtId="0" fontId="0" fillId="0" borderId="10" xfId="0" applyBorder="1"/>
    <xf numFmtId="0" fontId="108" fillId="102" borderId="36" xfId="0" applyFont="1" applyFill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1" fontId="108" fillId="0" borderId="52" xfId="0" applyNumberFormat="1" applyFont="1" applyFill="1" applyBorder="1" applyAlignment="1">
      <alignment horizontal="center" vertical="center"/>
    </xf>
    <xf numFmtId="2" fontId="111" fillId="110" borderId="0" xfId="0" applyNumberFormat="1" applyFont="1" applyFill="1" applyAlignment="1">
      <alignment horizontal="center"/>
    </xf>
    <xf numFmtId="9" fontId="108" fillId="105" borderId="36" xfId="2318" applyFont="1" applyFill="1" applyBorder="1" applyAlignment="1">
      <alignment horizontal="center"/>
    </xf>
    <xf numFmtId="235" fontId="108" fillId="106" borderId="0" xfId="0" applyNumberFormat="1" applyFont="1" applyFill="1"/>
    <xf numFmtId="1" fontId="108" fillId="0" borderId="53" xfId="0" applyNumberFormat="1" applyFont="1" applyFill="1" applyBorder="1" applyAlignment="1">
      <alignment horizontal="center" vertical="center"/>
    </xf>
    <xf numFmtId="0" fontId="109" fillId="0" borderId="10" xfId="0" applyFont="1" applyBorder="1" applyProtection="1">
      <protection locked="0"/>
    </xf>
    <xf numFmtId="0" fontId="108" fillId="0" borderId="81" xfId="0" applyFont="1" applyBorder="1"/>
    <xf numFmtId="14" fontId="0" fillId="0" borderId="0" xfId="0" applyNumberFormat="1"/>
    <xf numFmtId="2" fontId="0" fillId="0" borderId="0" xfId="0" applyNumberFormat="1" applyBorder="1"/>
    <xf numFmtId="0" fontId="0" fillId="0" borderId="0" xfId="0" applyFill="1" applyBorder="1" applyAlignment="1">
      <alignment horizontal="center"/>
    </xf>
    <xf numFmtId="0" fontId="108" fillId="0" borderId="0" xfId="0" applyFont="1" applyAlignment="1">
      <alignment horizontal="left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53" xfId="0" applyFont="1" applyBorder="1" applyAlignment="1">
      <alignment vertical="center" wrapText="1"/>
    </xf>
    <xf numFmtId="0" fontId="108" fillId="0" borderId="36" xfId="0" applyFont="1" applyBorder="1" applyAlignment="1">
      <alignment horizontal="center"/>
    </xf>
    <xf numFmtId="2" fontId="108" fillId="106" borderId="36" xfId="0" applyNumberFormat="1" applyFont="1" applyFill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0" fontId="126" fillId="0" borderId="0" xfId="0" applyFont="1"/>
    <xf numFmtId="3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42" xfId="0" applyNumberFormat="1" applyFont="1" applyBorder="1" applyAlignment="1">
      <alignment horizont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3" fontId="108" fillId="0" borderId="37" xfId="0" applyNumberFormat="1" applyFont="1" applyFill="1" applyBorder="1"/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52" xfId="0" applyNumberFormat="1" applyFont="1" applyFill="1" applyBorder="1" applyAlignment="1">
      <alignment horizontal="center" vertical="center"/>
    </xf>
    <xf numFmtId="0" fontId="0" fillId="121" borderId="0" xfId="0" applyFill="1" applyBorder="1" applyAlignment="1">
      <alignment horizontal="right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66" fontId="108" fillId="0" borderId="36" xfId="0" applyNumberFormat="1" applyFont="1" applyBorder="1" applyAlignment="1">
      <alignment horizont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0" fontId="127" fillId="0" borderId="38" xfId="0" applyFont="1" applyFill="1" applyBorder="1"/>
    <xf numFmtId="0" fontId="127" fillId="0" borderId="63" xfId="0" applyFont="1" applyBorder="1" applyAlignment="1">
      <alignment horizontal="center" vertical="center"/>
    </xf>
    <xf numFmtId="1" fontId="127" fillId="0" borderId="36" xfId="0" applyNumberFormat="1" applyFont="1" applyBorder="1" applyAlignment="1">
      <alignment horizontal="center" vertical="center"/>
    </xf>
    <xf numFmtId="166" fontId="127" fillId="0" borderId="36" xfId="0" applyNumberFormat="1" applyFont="1" applyBorder="1" applyAlignment="1">
      <alignment horizontal="center" vertical="center"/>
    </xf>
    <xf numFmtId="9" fontId="127" fillId="0" borderId="36" xfId="0" applyNumberFormat="1" applyFont="1" applyBorder="1" applyAlignment="1">
      <alignment horizontal="center" vertical="center"/>
    </xf>
    <xf numFmtId="0" fontId="127" fillId="0" borderId="37" xfId="0" applyFont="1" applyFill="1" applyBorder="1"/>
    <xf numFmtId="3" fontId="127" fillId="0" borderId="54" xfId="0" applyNumberFormat="1" applyFont="1" applyFill="1" applyBorder="1" applyAlignment="1">
      <alignment horizontal="center"/>
    </xf>
    <xf numFmtId="0" fontId="128" fillId="0" borderId="60" xfId="0" applyFont="1" applyFill="1" applyBorder="1"/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08" fillId="0" borderId="39" xfId="0" applyFont="1" applyBorder="1"/>
    <xf numFmtId="166" fontId="108" fillId="0" borderId="37" xfId="0" applyNumberFormat="1" applyFont="1" applyBorder="1" applyAlignment="1">
      <alignment horizontal="center" vertical="center"/>
    </xf>
    <xf numFmtId="0" fontId="0" fillId="106" borderId="82" xfId="0" applyFill="1" applyBorder="1"/>
    <xf numFmtId="0" fontId="108" fillId="109" borderId="44" xfId="0" applyFont="1" applyFill="1" applyBorder="1"/>
    <xf numFmtId="0" fontId="108" fillId="109" borderId="0" xfId="0" applyFont="1" applyFill="1" applyAlignment="1">
      <alignment horizontal="center" vertical="center"/>
    </xf>
    <xf numFmtId="0" fontId="0" fillId="109" borderId="0" xfId="0" applyFill="1" applyAlignment="1">
      <alignment horizontal="center"/>
    </xf>
    <xf numFmtId="0" fontId="122" fillId="0" borderId="44" xfId="0" applyFont="1" applyBorder="1" applyAlignment="1">
      <alignment horizontal="right"/>
    </xf>
    <xf numFmtId="43" fontId="121" fillId="0" borderId="77" xfId="2317" applyFont="1" applyBorder="1" applyAlignment="1">
      <alignment horizontal="center" vertical="center"/>
    </xf>
    <xf numFmtId="3" fontId="108" fillId="0" borderId="0" xfId="0" applyNumberFormat="1" applyFont="1"/>
    <xf numFmtId="232" fontId="108" fillId="0" borderId="0" xfId="0" applyNumberFormat="1" applyFont="1"/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2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1" fontId="108" fillId="0" borderId="52" xfId="0" applyNumberFormat="1" applyFont="1" applyFill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1" fontId="108" fillId="0" borderId="39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2" fontId="0" fillId="0" borderId="0" xfId="0" applyNumberFormat="1"/>
    <xf numFmtId="4" fontId="108" fillId="105" borderId="36" xfId="2317" applyNumberFormat="1" applyFont="1" applyFill="1" applyBorder="1" applyAlignment="1">
      <alignment horizontal="center"/>
    </xf>
    <xf numFmtId="167" fontId="108" fillId="105" borderId="39" xfId="2318" applyNumberFormat="1" applyFont="1" applyFill="1" applyBorder="1" applyAlignment="1">
      <alignment horizontal="center"/>
    </xf>
    <xf numFmtId="167" fontId="108" fillId="105" borderId="36" xfId="2318" applyNumberFormat="1" applyFont="1" applyFill="1" applyBorder="1" applyAlignment="1">
      <alignment horizontal="center"/>
    </xf>
    <xf numFmtId="234" fontId="108" fillId="0" borderId="54" xfId="0" applyNumberFormat="1" applyFont="1" applyFill="1" applyBorder="1" applyAlignment="1">
      <alignment horizont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232" fontId="108" fillId="0" borderId="36" xfId="2317" applyNumberFormat="1" applyFont="1" applyFill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1" fontId="108" fillId="0" borderId="36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0" borderId="39" xfId="0" applyNumberFormat="1" applyFont="1" applyBorder="1" applyAlignment="1">
      <alignment horizontal="center" vertical="center"/>
    </xf>
    <xf numFmtId="0" fontId="0" fillId="0" borderId="0" xfId="0" applyFill="1" applyAlignment="1"/>
    <xf numFmtId="0" fontId="108" fillId="0" borderId="0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left" vertical="center"/>
    </xf>
    <xf numFmtId="0" fontId="108" fillId="0" borderId="0" xfId="0" applyFont="1" applyFill="1" applyBorder="1" applyAlignment="1">
      <alignment horizontal="left" vertical="center"/>
    </xf>
    <xf numFmtId="0" fontId="107" fillId="0" borderId="0" xfId="0" applyFont="1" applyFill="1" applyBorder="1" applyAlignment="1">
      <alignment horizontal="left" vertical="center"/>
    </xf>
    <xf numFmtId="0" fontId="108" fillId="0" borderId="0" xfId="0" applyFont="1" applyFill="1" applyBorder="1" applyAlignment="1">
      <alignment horizontal="left" vertical="center" wrapText="1"/>
    </xf>
    <xf numFmtId="0" fontId="107" fillId="0" borderId="0" xfId="0" applyFont="1" applyFill="1" applyBorder="1" applyAlignment="1">
      <alignment horizontal="left" vertical="center" wrapText="1"/>
    </xf>
    <xf numFmtId="0" fontId="108" fillId="0" borderId="0" xfId="0" applyFont="1" applyFill="1" applyAlignment="1"/>
    <xf numFmtId="0" fontId="108" fillId="0" borderId="36" xfId="0" applyFont="1" applyBorder="1" applyAlignment="1">
      <alignment horizontal="center"/>
    </xf>
    <xf numFmtId="0" fontId="108" fillId="103" borderId="37" xfId="0" applyFont="1" applyFill="1" applyBorder="1" applyAlignment="1">
      <alignment horizontal="center" vertical="center"/>
    </xf>
    <xf numFmtId="1" fontId="118" fillId="103" borderId="37" xfId="0" applyNumberFormat="1" applyFont="1" applyFill="1" applyBorder="1" applyAlignment="1">
      <alignment horizontal="center"/>
    </xf>
    <xf numFmtId="0" fontId="118" fillId="103" borderId="37" xfId="0" applyFont="1" applyFill="1" applyBorder="1" applyAlignment="1">
      <alignment horizontal="center"/>
    </xf>
    <xf numFmtId="0" fontId="111" fillId="101" borderId="43" xfId="0" applyFont="1" applyFill="1" applyBorder="1" applyAlignment="1">
      <alignment horizontal="center" vertical="center" wrapText="1"/>
    </xf>
    <xf numFmtId="1" fontId="111" fillId="101" borderId="43" xfId="0" applyNumberFormat="1" applyFont="1" applyFill="1" applyBorder="1" applyAlignment="1">
      <alignment horizontal="center" vertical="center" wrapText="1"/>
    </xf>
    <xf numFmtId="0" fontId="111" fillId="101" borderId="44" xfId="0" applyFont="1" applyFill="1" applyBorder="1" applyAlignment="1">
      <alignment horizontal="center" vertical="center" wrapText="1"/>
    </xf>
    <xf numFmtId="1" fontId="111" fillId="101" borderId="44" xfId="0" applyNumberFormat="1" applyFont="1" applyFill="1" applyBorder="1" applyAlignment="1">
      <alignment horizontal="center" vertical="center" wrapText="1"/>
    </xf>
    <xf numFmtId="1" fontId="111" fillId="101" borderId="45" xfId="0" applyNumberFormat="1" applyFont="1" applyFill="1" applyBorder="1" applyAlignment="1">
      <alignment horizontal="center" vertical="center" wrapText="1"/>
    </xf>
    <xf numFmtId="1" fontId="108" fillId="104" borderId="37" xfId="0" applyNumberFormat="1" applyFont="1" applyFill="1" applyBorder="1"/>
    <xf numFmtId="1" fontId="108" fillId="0" borderId="51" xfId="0" applyNumberFormat="1" applyFont="1" applyBorder="1" applyAlignment="1">
      <alignment horizontal="center" wrapText="1"/>
    </xf>
    <xf numFmtId="3" fontId="118" fillId="0" borderId="36" xfId="0" applyNumberFormat="1" applyFont="1" applyBorder="1" applyAlignment="1">
      <alignment horizontal="center"/>
    </xf>
    <xf numFmtId="0" fontId="108" fillId="0" borderId="36" xfId="0" applyFont="1" applyFill="1" applyBorder="1" applyAlignment="1">
      <alignment horizontal="center" vertical="center" wrapText="1"/>
    </xf>
    <xf numFmtId="0" fontId="108" fillId="0" borderId="37" xfId="0" applyFont="1" applyFill="1" applyBorder="1" applyAlignment="1">
      <alignment horizontal="center" vertical="center" wrapText="1"/>
    </xf>
    <xf numFmtId="1" fontId="108" fillId="0" borderId="37" xfId="0" applyNumberFormat="1" applyFont="1" applyFill="1" applyBorder="1" applyAlignment="1">
      <alignment horizontal="center" vertical="center"/>
    </xf>
    <xf numFmtId="1" fontId="108" fillId="106" borderId="37" xfId="0" applyNumberFormat="1" applyFont="1" applyFill="1" applyBorder="1" applyAlignment="1">
      <alignment horizontal="center" vertical="center"/>
    </xf>
    <xf numFmtId="1" fontId="108" fillId="0" borderId="37" xfId="0" applyNumberFormat="1" applyFont="1" applyBorder="1" applyAlignment="1">
      <alignment horizontal="center" vertical="center"/>
    </xf>
    <xf numFmtId="1" fontId="107" fillId="0" borderId="37" xfId="0" applyNumberFormat="1" applyFont="1" applyFill="1" applyBorder="1" applyAlignment="1">
      <alignment horizontal="center" vertical="center"/>
    </xf>
    <xf numFmtId="1" fontId="107" fillId="0" borderId="37" xfId="0" applyNumberFormat="1" applyFont="1" applyBorder="1" applyAlignment="1">
      <alignment horizontal="center" vertical="center"/>
    </xf>
    <xf numFmtId="0" fontId="108" fillId="0" borderId="37" xfId="0" applyFont="1" applyFill="1" applyBorder="1" applyAlignment="1">
      <alignment vertical="center" wrapText="1"/>
    </xf>
    <xf numFmtId="1" fontId="108" fillId="0" borderId="36" xfId="0" applyNumberFormat="1" applyFont="1" applyBorder="1" applyAlignment="1">
      <alignment horizontal="center" vertical="center"/>
    </xf>
    <xf numFmtId="1" fontId="108" fillId="0" borderId="39" xfId="0" applyNumberFormat="1" applyFont="1" applyBorder="1" applyAlignment="1">
      <alignment horizontal="center" vertical="center"/>
    </xf>
    <xf numFmtId="9" fontId="108" fillId="0" borderId="36" xfId="0" applyNumberFormat="1" applyFont="1" applyBorder="1" applyAlignment="1">
      <alignment horizontal="center" vertical="center"/>
    </xf>
    <xf numFmtId="0" fontId="111" fillId="107" borderId="37" xfId="0" applyFont="1" applyFill="1" applyBorder="1" applyAlignment="1">
      <alignment horizontal="center"/>
    </xf>
    <xf numFmtId="0" fontId="108" fillId="0" borderId="37" xfId="0" applyFont="1" applyBorder="1" applyAlignment="1">
      <alignment horizontal="center"/>
    </xf>
    <xf numFmtId="0" fontId="0" fillId="106" borderId="0" xfId="0" applyFont="1" applyFill="1" applyAlignment="1">
      <alignment horizontal="center" vertical="center"/>
    </xf>
    <xf numFmtId="0" fontId="108" fillId="0" borderId="36" xfId="0" applyFont="1" applyBorder="1" applyAlignment="1">
      <alignment horizontal="center"/>
    </xf>
    <xf numFmtId="1" fontId="108" fillId="105" borderId="39" xfId="0" applyNumberFormat="1" applyFont="1" applyFill="1" applyBorder="1" applyAlignment="1">
      <alignment horizontal="center" vertical="center"/>
    </xf>
    <xf numFmtId="9" fontId="108" fillId="105" borderId="36" xfId="0" applyNumberFormat="1" applyFont="1" applyFill="1" applyBorder="1" applyAlignment="1">
      <alignment horizontal="left" vertical="center"/>
    </xf>
    <xf numFmtId="0" fontId="108" fillId="105" borderId="36" xfId="0" applyFont="1" applyFill="1" applyBorder="1" applyAlignment="1">
      <alignment horizontal="left" vertical="center"/>
    </xf>
    <xf numFmtId="1" fontId="108" fillId="102" borderId="36" xfId="0" applyNumberFormat="1" applyFont="1" applyFill="1" applyBorder="1" applyAlignment="1">
      <alignment horizontal="left" vertical="center"/>
    </xf>
    <xf numFmtId="0" fontId="108" fillId="0" borderId="36" xfId="0" applyFont="1" applyBorder="1" applyAlignment="1">
      <alignment horizontal="center"/>
    </xf>
    <xf numFmtId="1" fontId="0" fillId="0" borderId="44" xfId="0" applyNumberFormat="1" applyBorder="1" applyAlignment="1">
      <alignment horizontal="center" vertical="center"/>
    </xf>
    <xf numFmtId="3" fontId="0" fillId="105" borderId="0" xfId="0" applyNumberFormat="1" applyFill="1" applyAlignment="1">
      <alignment horizontal="center"/>
    </xf>
    <xf numFmtId="1" fontId="108" fillId="103" borderId="36" xfId="0" applyNumberFormat="1" applyFont="1" applyFill="1" applyBorder="1" applyAlignment="1">
      <alignment horizontal="left" vertic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43" fontId="107" fillId="103" borderId="36" xfId="2317" applyFont="1" applyFill="1" applyBorder="1" applyAlignment="1">
      <alignment horizontal="center" vertic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233" fontId="0" fillId="111" borderId="0" xfId="0" applyNumberFormat="1" applyFill="1" applyAlignment="1">
      <alignment horizontal="center" vertical="center"/>
    </xf>
    <xf numFmtId="9" fontId="108" fillId="109" borderId="36" xfId="0" applyNumberFormat="1" applyFont="1" applyFill="1" applyBorder="1" applyAlignment="1">
      <alignment horizontal="left" vertical="center"/>
    </xf>
    <xf numFmtId="0" fontId="131" fillId="119" borderId="51" xfId="0" applyNumberFormat="1" applyFont="1" applyFill="1" applyBorder="1" applyAlignment="1">
      <alignment horizontal="center" vertical="center"/>
    </xf>
    <xf numFmtId="0" fontId="131" fillId="120" borderId="51" xfId="0" applyNumberFormat="1" applyFont="1" applyFill="1" applyBorder="1" applyAlignment="1">
      <alignment horizontal="center" vertical="center" wrapText="1"/>
    </xf>
    <xf numFmtId="0" fontId="108" fillId="0" borderId="36" xfId="0" applyFont="1" applyBorder="1" applyAlignment="1">
      <alignment horizontal="center"/>
    </xf>
    <xf numFmtId="0" fontId="131" fillId="120" borderId="0" xfId="0" applyNumberFormat="1" applyFont="1" applyFill="1" applyBorder="1" applyAlignment="1">
      <alignment horizontal="center" vertical="center" wrapText="1"/>
    </xf>
    <xf numFmtId="0" fontId="132" fillId="119" borderId="7" xfId="0" applyNumberFormat="1" applyFont="1" applyFill="1" applyBorder="1" applyAlignment="1">
      <alignment horizontal="left" vertical="center"/>
    </xf>
    <xf numFmtId="0" fontId="118" fillId="120" borderId="7" xfId="0" applyFont="1" applyFill="1" applyBorder="1" applyAlignment="1">
      <alignment horizontal="center"/>
    </xf>
    <xf numFmtId="0" fontId="118" fillId="120" borderId="0" xfId="0" applyFont="1" applyFill="1" applyBorder="1" applyAlignment="1">
      <alignment horizontal="center"/>
    </xf>
    <xf numFmtId="0" fontId="131" fillId="120" borderId="68" xfId="0" applyNumberFormat="1" applyFont="1" applyFill="1" applyBorder="1" applyAlignment="1">
      <alignment horizontal="center" vertical="center" wrapText="1"/>
    </xf>
    <xf numFmtId="0" fontId="132" fillId="119" borderId="7" xfId="0" applyNumberFormat="1" applyFont="1" applyFill="1" applyBorder="1" applyAlignment="1">
      <alignment horizontal="center" vertical="center"/>
    </xf>
    <xf numFmtId="0" fontId="132" fillId="119" borderId="78" xfId="0" applyNumberFormat="1" applyFont="1" applyFill="1" applyBorder="1" applyAlignment="1">
      <alignment horizontal="left" vertical="center"/>
    </xf>
    <xf numFmtId="0" fontId="132" fillId="119" borderId="71" xfId="0" applyNumberFormat="1" applyFont="1" applyFill="1" applyBorder="1" applyAlignment="1">
      <alignment horizontal="left" vertical="center"/>
    </xf>
    <xf numFmtId="0" fontId="108" fillId="120" borderId="71" xfId="0" applyFont="1" applyFill="1" applyBorder="1" applyAlignment="1">
      <alignment horizontal="center"/>
    </xf>
    <xf numFmtId="0" fontId="108" fillId="120" borderId="83" xfId="0" applyFont="1" applyFill="1" applyBorder="1" applyAlignment="1">
      <alignment horizontal="center"/>
    </xf>
    <xf numFmtId="0" fontId="132" fillId="119" borderId="63" xfId="0" applyNumberFormat="1" applyFont="1" applyFill="1" applyBorder="1" applyAlignment="1">
      <alignment horizontal="left" vertical="center"/>
    </xf>
    <xf numFmtId="0" fontId="132" fillId="119" borderId="36" xfId="0" applyNumberFormat="1" applyFont="1" applyFill="1" applyBorder="1" applyAlignment="1">
      <alignment horizontal="left" vertical="center"/>
    </xf>
    <xf numFmtId="0" fontId="108" fillId="120" borderId="36" xfId="0" applyFont="1" applyFill="1" applyBorder="1" applyAlignment="1">
      <alignment horizontal="center"/>
    </xf>
    <xf numFmtId="0" fontId="108" fillId="120" borderId="84" xfId="0" applyFont="1" applyFill="1" applyBorder="1" applyAlignment="1">
      <alignment horizontal="center"/>
    </xf>
    <xf numFmtId="0" fontId="132" fillId="119" borderId="76" xfId="0" applyNumberFormat="1" applyFont="1" applyFill="1" applyBorder="1" applyAlignment="1">
      <alignment horizontal="left" vertical="center"/>
    </xf>
    <xf numFmtId="0" fontId="132" fillId="119" borderId="55" xfId="0" applyNumberFormat="1" applyFont="1" applyFill="1" applyBorder="1" applyAlignment="1">
      <alignment horizontal="left" vertical="center"/>
    </xf>
    <xf numFmtId="0" fontId="108" fillId="120" borderId="55" xfId="0" applyFont="1" applyFill="1" applyBorder="1" applyAlignment="1">
      <alignment horizontal="center"/>
    </xf>
    <xf numFmtId="0" fontId="108" fillId="120" borderId="85" xfId="0" applyFont="1" applyFill="1" applyBorder="1" applyAlignment="1">
      <alignment horizontal="center"/>
    </xf>
    <xf numFmtId="0" fontId="108" fillId="0" borderId="37" xfId="0" applyFont="1" applyBorder="1" applyAlignment="1">
      <alignment horizontal="center"/>
    </xf>
    <xf numFmtId="0" fontId="111" fillId="107" borderId="37" xfId="0" applyFont="1" applyFill="1" applyBorder="1" applyAlignment="1">
      <alignment horizontal="center"/>
    </xf>
    <xf numFmtId="3" fontId="0" fillId="106" borderId="0" xfId="0" applyNumberFormat="1" applyFill="1"/>
    <xf numFmtId="0" fontId="115" fillId="0" borderId="37" xfId="0" applyFont="1" applyBorder="1"/>
    <xf numFmtId="0" fontId="108" fillId="0" borderId="37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6" xfId="0" applyFont="1" applyBorder="1" applyAlignment="1">
      <alignment horizontal="center"/>
    </xf>
    <xf numFmtId="0" fontId="108" fillId="0" borderId="37" xfId="0" applyFont="1" applyBorder="1" applyAlignment="1">
      <alignment horizontal="center"/>
    </xf>
    <xf numFmtId="0" fontId="0" fillId="105" borderId="0" xfId="0" applyNumberFormat="1" applyFill="1" applyAlignment="1">
      <alignment horizontal="center"/>
    </xf>
    <xf numFmtId="236" fontId="108" fillId="0" borderId="54" xfId="0" applyNumberFormat="1" applyFont="1" applyFill="1" applyBorder="1" applyAlignment="1">
      <alignment horizontal="center"/>
    </xf>
    <xf numFmtId="0" fontId="108" fillId="0" borderId="37" xfId="0" applyFont="1" applyBorder="1" applyAlignment="1">
      <alignment horizontal="center"/>
    </xf>
    <xf numFmtId="0" fontId="108" fillId="0" borderId="37" xfId="0" applyFont="1" applyBorder="1" applyAlignment="1">
      <alignment horizontal="left"/>
    </xf>
    <xf numFmtId="0" fontId="108" fillId="103" borderId="37" xfId="0" applyFont="1" applyFill="1" applyBorder="1" applyAlignment="1">
      <alignment horizontal="left"/>
    </xf>
    <xf numFmtId="4" fontId="0" fillId="0" borderId="0" xfId="0" applyNumberFormat="1" applyAlignment="1">
      <alignment horizontal="center"/>
    </xf>
    <xf numFmtId="1" fontId="108" fillId="109" borderId="39" xfId="0" applyNumberFormat="1" applyFont="1" applyFill="1" applyBorder="1" applyAlignment="1">
      <alignment horizontal="center" vertical="center"/>
    </xf>
    <xf numFmtId="1" fontId="108" fillId="109" borderId="36" xfId="0" applyNumberFormat="1" applyFont="1" applyFill="1" applyBorder="1" applyAlignment="1">
      <alignment horizontal="center" vertical="center"/>
    </xf>
    <xf numFmtId="0" fontId="110" fillId="109" borderId="36" xfId="0" applyFont="1" applyFill="1" applyBorder="1" applyAlignment="1">
      <alignment horizontal="left" vertical="center"/>
    </xf>
    <xf numFmtId="0" fontId="0" fillId="122" borderId="0" xfId="0" applyFill="1" applyAlignment="1">
      <alignment horizontal="center"/>
    </xf>
    <xf numFmtId="0" fontId="0" fillId="122" borderId="0" xfId="0" applyFill="1" applyAlignment="1">
      <alignment horizontal="left"/>
    </xf>
    <xf numFmtId="0" fontId="0" fillId="122" borderId="0" xfId="0" applyFont="1" applyFill="1" applyAlignment="1">
      <alignment horizontal="center" vertical="center"/>
    </xf>
    <xf numFmtId="0" fontId="0" fillId="114" borderId="0" xfId="0" applyFill="1" applyAlignment="1">
      <alignment horizontal="center"/>
    </xf>
    <xf numFmtId="0" fontId="0" fillId="114" borderId="0" xfId="0" applyFill="1" applyAlignment="1">
      <alignment horizontal="left"/>
    </xf>
    <xf numFmtId="0" fontId="0" fillId="114" borderId="0" xfId="0" applyFont="1" applyFill="1" applyAlignment="1">
      <alignment horizontal="center" vertical="center"/>
    </xf>
    <xf numFmtId="0" fontId="0" fillId="111" borderId="0" xfId="0" applyFill="1" applyAlignment="1">
      <alignment horizontal="center"/>
    </xf>
    <xf numFmtId="0" fontId="0" fillId="111" borderId="0" xfId="0" applyFill="1" applyAlignment="1">
      <alignment horizontal="left"/>
    </xf>
    <xf numFmtId="0" fontId="0" fillId="111" borderId="0" xfId="0" applyFont="1" applyFill="1" applyAlignment="1">
      <alignment horizontal="center" vertical="center"/>
    </xf>
    <xf numFmtId="0" fontId="0" fillId="115" borderId="0" xfId="0" applyFill="1" applyAlignment="1">
      <alignment horizontal="center"/>
    </xf>
    <xf numFmtId="0" fontId="0" fillId="115" borderId="0" xfId="0" applyFill="1" applyAlignment="1">
      <alignment horizontal="left"/>
    </xf>
    <xf numFmtId="0" fontId="0" fillId="115" borderId="0" xfId="0" applyFont="1" applyFill="1" applyAlignment="1">
      <alignment horizontal="center" vertical="center"/>
    </xf>
    <xf numFmtId="0" fontId="0" fillId="123" borderId="0" xfId="0" applyFill="1" applyAlignment="1">
      <alignment horizontal="center"/>
    </xf>
    <xf numFmtId="0" fontId="0" fillId="123" borderId="0" xfId="0" applyFill="1" applyAlignment="1">
      <alignment horizontal="left"/>
    </xf>
    <xf numFmtId="0" fontId="0" fillId="123" borderId="0" xfId="0" applyFont="1" applyFill="1" applyAlignment="1">
      <alignment horizontal="center" vertical="center"/>
    </xf>
    <xf numFmtId="0" fontId="0" fillId="117" borderId="0" xfId="0" applyFill="1" applyAlignment="1">
      <alignment horizontal="center"/>
    </xf>
    <xf numFmtId="0" fontId="0" fillId="117" borderId="0" xfId="0" applyFill="1" applyAlignment="1">
      <alignment horizontal="left"/>
    </xf>
    <xf numFmtId="0" fontId="0" fillId="117" borderId="0" xfId="0" applyFont="1" applyFill="1" applyAlignment="1">
      <alignment horizontal="center" vertical="center"/>
    </xf>
    <xf numFmtId="0" fontId="0" fillId="124" borderId="0" xfId="0" applyFill="1" applyAlignment="1">
      <alignment horizontal="center"/>
    </xf>
    <xf numFmtId="0" fontId="0" fillId="124" borderId="0" xfId="0" applyFill="1" applyAlignment="1">
      <alignment horizontal="left"/>
    </xf>
    <xf numFmtId="0" fontId="0" fillId="124" borderId="0" xfId="0" applyFont="1" applyFill="1" applyAlignment="1">
      <alignment horizontal="center" vertical="center"/>
    </xf>
    <xf numFmtId="0" fontId="0" fillId="116" borderId="0" xfId="0" applyFill="1" applyAlignment="1">
      <alignment horizontal="center"/>
    </xf>
    <xf numFmtId="0" fontId="0" fillId="116" borderId="0" xfId="0" applyFill="1" applyAlignment="1">
      <alignment horizontal="left"/>
    </xf>
    <xf numFmtId="0" fontId="0" fillId="116" borderId="0" xfId="0" applyFont="1" applyFill="1" applyAlignment="1">
      <alignment horizontal="center" vertical="center"/>
    </xf>
    <xf numFmtId="0" fontId="0" fillId="125" borderId="0" xfId="0" applyFill="1" applyAlignment="1">
      <alignment horizontal="center"/>
    </xf>
    <xf numFmtId="0" fontId="0" fillId="125" borderId="0" xfId="0" applyFill="1" applyAlignment="1">
      <alignment horizontal="left"/>
    </xf>
    <xf numFmtId="0" fontId="0" fillId="125" borderId="0" xfId="0" applyFont="1" applyFill="1" applyAlignment="1">
      <alignment horizontal="center" vertical="center"/>
    </xf>
    <xf numFmtId="0" fontId="0" fillId="104" borderId="0" xfId="0" applyFill="1" applyAlignment="1">
      <alignment horizontal="center"/>
    </xf>
    <xf numFmtId="0" fontId="0" fillId="104" borderId="0" xfId="0" applyFill="1" applyAlignment="1">
      <alignment horizontal="left"/>
    </xf>
    <xf numFmtId="0" fontId="0" fillId="104" borderId="0" xfId="0" applyFont="1" applyFill="1" applyAlignment="1">
      <alignment horizontal="center" vertical="center"/>
    </xf>
    <xf numFmtId="0" fontId="108" fillId="0" borderId="37" xfId="0" applyFont="1" applyBorder="1" applyAlignment="1">
      <alignment horizontal="center"/>
    </xf>
    <xf numFmtId="0" fontId="0" fillId="109" borderId="0" xfId="0" applyFill="1" applyAlignment="1">
      <alignment horizontal="left"/>
    </xf>
    <xf numFmtId="0" fontId="0" fillId="109" borderId="0" xfId="0" applyFont="1" applyFill="1" applyAlignment="1">
      <alignment horizontal="center" vertical="center"/>
    </xf>
    <xf numFmtId="0" fontId="0" fillId="109" borderId="0" xfId="0" applyFill="1"/>
    <xf numFmtId="0" fontId="108" fillId="104" borderId="36" xfId="0" applyFont="1" applyFill="1" applyBorder="1" applyAlignment="1">
      <alignment horizontal="center" vertical="center"/>
    </xf>
    <xf numFmtId="0" fontId="108" fillId="102" borderId="37" xfId="0" applyFont="1" applyFill="1" applyBorder="1" applyAlignment="1">
      <alignment horizontal="left"/>
    </xf>
    <xf numFmtId="1" fontId="108" fillId="102" borderId="36" xfId="0" applyNumberFormat="1" applyFont="1" applyFill="1" applyBorder="1" applyAlignment="1">
      <alignment horizontal="center" vertical="center"/>
    </xf>
    <xf numFmtId="0" fontId="108" fillId="103" borderId="36" xfId="0" applyFont="1" applyFill="1" applyBorder="1" applyAlignment="1">
      <alignment horizontal="center" vertical="center"/>
    </xf>
    <xf numFmtId="0" fontId="108" fillId="0" borderId="37" xfId="0" applyFont="1" applyFill="1" applyBorder="1" applyAlignment="1">
      <alignment horizontal="left"/>
    </xf>
    <xf numFmtId="0" fontId="108" fillId="0" borderId="36" xfId="0" applyFont="1" applyFill="1" applyBorder="1" applyAlignment="1">
      <alignment horizontal="center" vertical="center"/>
    </xf>
    <xf numFmtId="0" fontId="107" fillId="0" borderId="37" xfId="0" applyFont="1" applyFill="1" applyBorder="1" applyAlignment="1">
      <alignment horizontal="left"/>
    </xf>
    <xf numFmtId="0" fontId="112" fillId="0" borderId="37" xfId="0" applyFont="1" applyBorder="1" applyAlignment="1">
      <alignment horizontal="left"/>
    </xf>
    <xf numFmtId="0" fontId="108" fillId="125" borderId="37" xfId="0" applyFont="1" applyFill="1" applyBorder="1" applyAlignment="1">
      <alignment horizontal="center"/>
    </xf>
    <xf numFmtId="0" fontId="108" fillId="125" borderId="37" xfId="0" applyFont="1" applyFill="1" applyBorder="1" applyAlignment="1">
      <alignment horizontal="left"/>
    </xf>
    <xf numFmtId="0" fontId="108" fillId="125" borderId="37" xfId="0" applyFont="1" applyFill="1" applyBorder="1"/>
    <xf numFmtId="1" fontId="108" fillId="125" borderId="52" xfId="0" applyNumberFormat="1" applyFont="1" applyFill="1" applyBorder="1" applyAlignment="1">
      <alignment horizontal="center" vertical="center"/>
    </xf>
    <xf numFmtId="1" fontId="108" fillId="125" borderId="52" xfId="0" applyNumberFormat="1" applyFont="1" applyFill="1" applyBorder="1" applyAlignment="1">
      <alignment horizontal="center"/>
    </xf>
    <xf numFmtId="1" fontId="108" fillId="125" borderId="39" xfId="0" applyNumberFormat="1" applyFont="1" applyFill="1" applyBorder="1" applyAlignment="1">
      <alignment horizontal="center" vertical="center"/>
    </xf>
    <xf numFmtId="9" fontId="108" fillId="125" borderId="36" xfId="0" applyNumberFormat="1" applyFont="1" applyFill="1" applyBorder="1" applyAlignment="1">
      <alignment horizontal="center" vertical="center"/>
    </xf>
    <xf numFmtId="1" fontId="108" fillId="125" borderId="36" xfId="0" applyNumberFormat="1" applyFont="1" applyFill="1" applyBorder="1" applyAlignment="1">
      <alignment horizontal="center" vertical="center"/>
    </xf>
    <xf numFmtId="0" fontId="108" fillId="125" borderId="36" xfId="0" applyFont="1" applyFill="1" applyBorder="1" applyAlignment="1">
      <alignment horizontal="center" vertical="center"/>
    </xf>
    <xf numFmtId="0" fontId="108" fillId="0" borderId="37" xfId="0" applyFont="1" applyFill="1" applyBorder="1" applyAlignment="1">
      <alignment horizontal="center" vertical="center"/>
    </xf>
    <xf numFmtId="0" fontId="108" fillId="0" borderId="3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08" fillId="126" borderId="37" xfId="0" applyFont="1" applyFill="1" applyBorder="1" applyAlignment="1">
      <alignment horizontal="center"/>
    </xf>
    <xf numFmtId="0" fontId="108" fillId="126" borderId="37" xfId="0" applyFont="1" applyFill="1" applyBorder="1" applyAlignment="1">
      <alignment horizontal="left"/>
    </xf>
    <xf numFmtId="1" fontId="108" fillId="126" borderId="52" xfId="0" applyNumberFormat="1" applyFont="1" applyFill="1" applyBorder="1" applyAlignment="1">
      <alignment horizontal="center" vertical="center"/>
    </xf>
    <xf numFmtId="1" fontId="108" fillId="126" borderId="52" xfId="0" applyNumberFormat="1" applyFont="1" applyFill="1" applyBorder="1" applyAlignment="1">
      <alignment horizontal="center"/>
    </xf>
    <xf numFmtId="1" fontId="108" fillId="126" borderId="39" xfId="0" applyNumberFormat="1" applyFont="1" applyFill="1" applyBorder="1" applyAlignment="1">
      <alignment horizontal="center" vertical="center"/>
    </xf>
    <xf numFmtId="9" fontId="108" fillId="126" borderId="36" xfId="0" applyNumberFormat="1" applyFont="1" applyFill="1" applyBorder="1" applyAlignment="1">
      <alignment horizontal="center" vertical="center"/>
    </xf>
    <xf numFmtId="1" fontId="108" fillId="126" borderId="36" xfId="0" applyNumberFormat="1" applyFont="1" applyFill="1" applyBorder="1" applyAlignment="1">
      <alignment horizontal="center" vertical="center"/>
    </xf>
    <xf numFmtId="0" fontId="108" fillId="126" borderId="36" xfId="0" applyFont="1" applyFill="1" applyBorder="1" applyAlignment="1">
      <alignment horizontal="center" vertical="center"/>
    </xf>
    <xf numFmtId="0" fontId="108" fillId="124" borderId="37" xfId="0" applyFont="1" applyFill="1" applyBorder="1" applyAlignment="1">
      <alignment horizontal="center"/>
    </xf>
    <xf numFmtId="0" fontId="107" fillId="124" borderId="37" xfId="0" applyFont="1" applyFill="1" applyBorder="1" applyAlignment="1">
      <alignment horizontal="left"/>
    </xf>
    <xf numFmtId="0" fontId="108" fillId="124" borderId="37" xfId="0" applyFont="1" applyFill="1" applyBorder="1"/>
    <xf numFmtId="1" fontId="108" fillId="124" borderId="52" xfId="0" applyNumberFormat="1" applyFont="1" applyFill="1" applyBorder="1" applyAlignment="1">
      <alignment horizontal="center" vertical="center"/>
    </xf>
    <xf numFmtId="1" fontId="108" fillId="124" borderId="52" xfId="0" applyNumberFormat="1" applyFont="1" applyFill="1" applyBorder="1" applyAlignment="1">
      <alignment horizontal="center"/>
    </xf>
    <xf numFmtId="1" fontId="108" fillId="124" borderId="39" xfId="0" applyNumberFormat="1" applyFont="1" applyFill="1" applyBorder="1" applyAlignment="1">
      <alignment horizontal="center" vertical="center"/>
    </xf>
    <xf numFmtId="9" fontId="108" fillId="124" borderId="36" xfId="0" applyNumberFormat="1" applyFont="1" applyFill="1" applyBorder="1" applyAlignment="1">
      <alignment horizontal="center" vertical="center"/>
    </xf>
    <xf numFmtId="1" fontId="108" fillId="124" borderId="36" xfId="0" applyNumberFormat="1" applyFont="1" applyFill="1" applyBorder="1" applyAlignment="1">
      <alignment horizontal="center" vertical="center"/>
    </xf>
    <xf numFmtId="0" fontId="108" fillId="124" borderId="36" xfId="0" applyFont="1" applyFill="1" applyBorder="1" applyAlignment="1">
      <alignment horizontal="center" vertical="center"/>
    </xf>
    <xf numFmtId="0" fontId="112" fillId="0" borderId="37" xfId="0" applyFont="1" applyFill="1" applyBorder="1" applyAlignment="1">
      <alignment horizontal="left"/>
    </xf>
    <xf numFmtId="0" fontId="108" fillId="104" borderId="37" xfId="0" applyFont="1" applyFill="1" applyBorder="1" applyAlignment="1">
      <alignment horizontal="left"/>
    </xf>
    <xf numFmtId="0" fontId="108" fillId="106" borderId="37" xfId="0" applyFont="1" applyFill="1" applyBorder="1" applyAlignment="1">
      <alignment horizontal="left"/>
    </xf>
    <xf numFmtId="3" fontId="108" fillId="0" borderId="0" xfId="0" applyNumberFormat="1" applyFont="1" applyBorder="1" applyAlignment="1">
      <alignment horizontal="center" vertical="center"/>
    </xf>
    <xf numFmtId="9" fontId="108" fillId="0" borderId="0" xfId="0" applyNumberFormat="1" applyFont="1" applyBorder="1" applyAlignment="1">
      <alignment horizontal="center" vertical="center"/>
    </xf>
    <xf numFmtId="167" fontId="108" fillId="0" borderId="0" xfId="0" applyNumberFormat="1" applyFont="1" applyBorder="1" applyAlignment="1">
      <alignment horizontal="center" vertical="center"/>
    </xf>
    <xf numFmtId="0" fontId="108" fillId="102" borderId="3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8" fillId="106" borderId="36" xfId="0" applyFont="1" applyFill="1" applyBorder="1" applyAlignment="1">
      <alignment horizontal="center" vertical="center"/>
    </xf>
    <xf numFmtId="0" fontId="107" fillId="106" borderId="36" xfId="0" applyFont="1" applyFill="1" applyBorder="1" applyAlignment="1">
      <alignment horizontal="center" vertical="center"/>
    </xf>
    <xf numFmtId="0" fontId="108" fillId="0" borderId="37" xfId="0" applyFont="1" applyBorder="1" applyAlignment="1">
      <alignment horizontal="center"/>
    </xf>
    <xf numFmtId="1" fontId="108" fillId="0" borderId="36" xfId="0" quotePrefix="1" applyNumberFormat="1" applyFont="1" applyBorder="1" applyAlignment="1">
      <alignment horizontal="center" vertical="center"/>
    </xf>
    <xf numFmtId="1" fontId="108" fillId="0" borderId="37" xfId="0" applyNumberFormat="1" applyFont="1" applyFill="1" applyBorder="1"/>
    <xf numFmtId="1" fontId="0" fillId="0" borderId="0" xfId="0" applyNumberFormat="1" applyAlignment="1"/>
    <xf numFmtId="0" fontId="108" fillId="0" borderId="36" xfId="0" applyFont="1" applyBorder="1" applyAlignment="1">
      <alignment horizontal="center"/>
    </xf>
    <xf numFmtId="0" fontId="118" fillId="0" borderId="37" xfId="0" applyFont="1" applyBorder="1" applyAlignment="1">
      <alignment horizontal="left" vertical="center"/>
    </xf>
    <xf numFmtId="0" fontId="118" fillId="0" borderId="38" xfId="0" applyFont="1" applyBorder="1" applyAlignment="1">
      <alignment horizontal="left" vertical="center"/>
    </xf>
    <xf numFmtId="0" fontId="118" fillId="0" borderId="39" xfId="0" applyFont="1" applyBorder="1" applyAlignment="1">
      <alignment horizontal="left" vertical="center"/>
    </xf>
    <xf numFmtId="0" fontId="108" fillId="0" borderId="37" xfId="0" applyFont="1" applyBorder="1" applyAlignment="1">
      <alignment horizontal="center"/>
    </xf>
    <xf numFmtId="0" fontId="108" fillId="0" borderId="39" xfId="0" applyFont="1" applyBorder="1" applyAlignment="1">
      <alignment horizontal="center"/>
    </xf>
    <xf numFmtId="0" fontId="108" fillId="0" borderId="51" xfId="0" applyFont="1" applyBorder="1" applyAlignment="1">
      <alignment horizontal="center" vertical="center" wrapText="1"/>
    </xf>
    <xf numFmtId="0" fontId="108" fillId="0" borderId="53" xfId="0" applyFont="1" applyBorder="1" applyAlignment="1">
      <alignment horizontal="center" vertical="center" wrapText="1"/>
    </xf>
    <xf numFmtId="0" fontId="108" fillId="0" borderId="72" xfId="0" applyFont="1" applyBorder="1" applyAlignment="1">
      <alignment horizontal="center" vertical="center"/>
    </xf>
    <xf numFmtId="0" fontId="108" fillId="0" borderId="73" xfId="0" applyFont="1" applyBorder="1" applyAlignment="1">
      <alignment horizontal="center" vertical="center"/>
    </xf>
    <xf numFmtId="0" fontId="108" fillId="0" borderId="74" xfId="0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11" fillId="107" borderId="45" xfId="0" applyFont="1" applyFill="1" applyBorder="1" applyAlignment="1">
      <alignment horizontal="center"/>
    </xf>
    <xf numFmtId="0" fontId="111" fillId="107" borderId="46" xfId="0" applyFont="1" applyFill="1" applyBorder="1" applyAlignment="1">
      <alignment horizontal="center"/>
    </xf>
    <xf numFmtId="0" fontId="111" fillId="107" borderId="48" xfId="0" applyFont="1" applyFill="1" applyBorder="1" applyAlignment="1">
      <alignment horizontal="center"/>
    </xf>
    <xf numFmtId="0" fontId="111" fillId="107" borderId="37" xfId="0" applyFont="1" applyFill="1" applyBorder="1" applyAlignment="1">
      <alignment horizontal="center"/>
    </xf>
    <xf numFmtId="0" fontId="111" fillId="107" borderId="38" xfId="0" applyFont="1" applyFill="1" applyBorder="1" applyAlignment="1">
      <alignment horizontal="center"/>
    </xf>
    <xf numFmtId="0" fontId="111" fillId="107" borderId="39" xfId="0" applyFont="1" applyFill="1" applyBorder="1" applyAlignment="1">
      <alignment horizontal="center"/>
    </xf>
    <xf numFmtId="0" fontId="111" fillId="101" borderId="56" xfId="0" applyFont="1" applyFill="1" applyBorder="1" applyAlignment="1">
      <alignment horizontal="center" vertical="center"/>
    </xf>
    <xf numFmtId="0" fontId="111" fillId="101" borderId="67" xfId="0" applyFont="1" applyFill="1" applyBorder="1" applyAlignment="1">
      <alignment horizontal="center" vertical="center"/>
    </xf>
    <xf numFmtId="0" fontId="111" fillId="101" borderId="68" xfId="0" applyFont="1" applyFill="1" applyBorder="1" applyAlignment="1">
      <alignment horizontal="center" vertical="center"/>
    </xf>
    <xf numFmtId="0" fontId="111" fillId="101" borderId="57" xfId="0" applyFont="1" applyFill="1" applyBorder="1" applyAlignment="1">
      <alignment horizontal="center" vertical="center"/>
    </xf>
    <xf numFmtId="0" fontId="111" fillId="101" borderId="10" xfId="0" applyFont="1" applyFill="1" applyBorder="1" applyAlignment="1">
      <alignment horizontal="center" vertical="center"/>
    </xf>
    <xf numFmtId="0" fontId="111" fillId="101" borderId="58" xfId="0" applyFont="1" applyFill="1" applyBorder="1" applyAlignment="1">
      <alignment horizontal="center" vertical="center"/>
    </xf>
  </cellXfs>
  <cellStyles count="2319">
    <cellStyle name="-" xfId="3" xr:uid="{00000000-0005-0000-0000-000000000000}"/>
    <cellStyle name="?Q\?1@" xfId="4" xr:uid="{00000000-0005-0000-0000-000001000000}"/>
    <cellStyle name="_%(SignOnly)" xfId="5" xr:uid="{00000000-0005-0000-0000-000002000000}"/>
    <cellStyle name="_%(SignSpaceOnly)" xfId="6" xr:uid="{00000000-0005-0000-0000-000003000000}"/>
    <cellStyle name="-_acc cdb casadas" xfId="7" xr:uid="{00000000-0005-0000-0000-000004000000}"/>
    <cellStyle name="-_AULUZ0902" xfId="8" xr:uid="{00000000-0005-0000-0000-000005000000}"/>
    <cellStyle name="-_AULUZ0902-2" xfId="9" xr:uid="{00000000-0005-0000-0000-000006000000}"/>
    <cellStyle name="-_BALFIN" xfId="10" xr:uid="{00000000-0005-0000-0000-000007000000}"/>
    <cellStyle name="-_BRADIES 18-11-2002" xfId="11" xr:uid="{00000000-0005-0000-0000-000008000000}"/>
    <cellStyle name="-_BRADIES ATUAL1" xfId="12" xr:uid="{00000000-0005-0000-0000-000009000000}"/>
    <cellStyle name="-_BRADIES CA 25.3.03" xfId="13" xr:uid="{00000000-0005-0000-0000-00000A000000}"/>
    <cellStyle name="-_C.PINHEIRO1102" xfId="14" xr:uid="{00000000-0005-0000-0000-00000B000000}"/>
    <cellStyle name="_Comma" xfId="15" xr:uid="{00000000-0005-0000-0000-00000C000000}"/>
    <cellStyle name="_Comma_Fortune 250 Porfolio" xfId="16" xr:uid="{00000000-0005-0000-0000-00000D000000}"/>
    <cellStyle name="_Comma_GetCurveDataByTicker" xfId="17" xr:uid="{00000000-0005-0000-0000-00000E000000}"/>
    <cellStyle name="-_CP-CUSTO DA DÍVIDA LÍQUIDA_2003" xfId="18" xr:uid="{00000000-0005-0000-0000-00000F000000}"/>
    <cellStyle name="-_CSA 09 02" xfId="19" xr:uid="{00000000-0005-0000-0000-000010000000}"/>
    <cellStyle name="-_CSA 10 04" xfId="20" xr:uid="{00000000-0005-0000-0000-000011000000}"/>
    <cellStyle name="-_CSA0800A" xfId="21" xr:uid="{00000000-0005-0000-0000-000012000000}"/>
    <cellStyle name="-_CSA1100AC" xfId="22" xr:uid="{00000000-0005-0000-0000-000013000000}"/>
    <cellStyle name="-_CSA12119.xls Gráfico 1" xfId="23" xr:uid="{00000000-0005-0000-0000-000014000000}"/>
    <cellStyle name="-_CSA12119.xls Gráfico 1_BRADIES CA 25.3.03" xfId="24" xr:uid="{00000000-0005-0000-0000-000015000000}"/>
    <cellStyle name="-_CSA12119.xls Gráfico 1_div - taxas1" xfId="25" xr:uid="{00000000-0005-0000-0000-000016000000}"/>
    <cellStyle name="-_CSA12119.xls Gráfico 1_HISTBRAD 4" xfId="26" xr:uid="{00000000-0005-0000-0000-000017000000}"/>
    <cellStyle name="-_CSA12119.xls Gráfico 1_RESFIN80" xfId="27" xr:uid="{00000000-0005-0000-0000-000018000000}"/>
    <cellStyle name="-_CSA12119.xls Gráfico 1-1" xfId="28" xr:uid="{00000000-0005-0000-0000-000019000000}"/>
    <cellStyle name="-_CSA12119.xls Gráfico 1-1_BRADIES CA 25.3.03" xfId="29" xr:uid="{00000000-0005-0000-0000-00001A000000}"/>
    <cellStyle name="-_CSA12119.xls Gráfico 1-1_div - taxas1" xfId="30" xr:uid="{00000000-0005-0000-0000-00001B000000}"/>
    <cellStyle name="-_CSA12119.xls Gráfico 1-1_HISTBRAD 4" xfId="31" xr:uid="{00000000-0005-0000-0000-00001C000000}"/>
    <cellStyle name="-_CSA12119.xls Gráfico 1-1_RESFIN80" xfId="32" xr:uid="{00000000-0005-0000-0000-00001D000000}"/>
    <cellStyle name="-_CSA12119.xls Gráfico 1-2" xfId="33" xr:uid="{00000000-0005-0000-0000-00001E000000}"/>
    <cellStyle name="-_CSA12119.xls Gráfico 1-2_BRADIES CA 25.3.03" xfId="34" xr:uid="{00000000-0005-0000-0000-00001F000000}"/>
    <cellStyle name="-_CSA12119.xls Gráfico 1-2_div - taxas1" xfId="35" xr:uid="{00000000-0005-0000-0000-000020000000}"/>
    <cellStyle name="-_CSA12119.xls Gráfico 1-2_HISTBRAD 4" xfId="36" xr:uid="{00000000-0005-0000-0000-000021000000}"/>
    <cellStyle name="-_CSA12119.xls Gráfico 1-2_RESFIN80" xfId="37" xr:uid="{00000000-0005-0000-0000-000022000000}"/>
    <cellStyle name="-_CSA12119.xls Gráfico 2" xfId="38" xr:uid="{00000000-0005-0000-0000-000023000000}"/>
    <cellStyle name="-_CSA12119.xls Gráfico 2_BRADIES CA 25.3.03" xfId="39" xr:uid="{00000000-0005-0000-0000-000024000000}"/>
    <cellStyle name="-_CSA12119.xls Gráfico 2_div - taxas1" xfId="40" xr:uid="{00000000-0005-0000-0000-000025000000}"/>
    <cellStyle name="-_CSA12119.xls Gráfico 2_HISTBRAD 4" xfId="41" xr:uid="{00000000-0005-0000-0000-000026000000}"/>
    <cellStyle name="-_CSA12119.xls Gráfico 2_RESFIN80" xfId="42" xr:uid="{00000000-0005-0000-0000-000027000000}"/>
    <cellStyle name="-_CSA12119.xls Gráfico 2-1" xfId="43" xr:uid="{00000000-0005-0000-0000-000028000000}"/>
    <cellStyle name="-_CSA12119.xls Gráfico 2-1_BRADIES CA 25.3.03" xfId="44" xr:uid="{00000000-0005-0000-0000-000029000000}"/>
    <cellStyle name="-_CSA12119.xls Gráfico 2-1_div - taxas1" xfId="45" xr:uid="{00000000-0005-0000-0000-00002A000000}"/>
    <cellStyle name="-_CSA12119.xls Gráfico 2-1_HISTBRAD 4" xfId="46" xr:uid="{00000000-0005-0000-0000-00002B000000}"/>
    <cellStyle name="-_CSA12119.xls Gráfico 2-1_RESFIN80" xfId="47" xr:uid="{00000000-0005-0000-0000-00002C000000}"/>
    <cellStyle name="-_CSA12119.xls Gráfico 3" xfId="48" xr:uid="{00000000-0005-0000-0000-00002D000000}"/>
    <cellStyle name="-_CSA12119.xls Gráfico 3_BRADIES CA 25.3.03" xfId="49" xr:uid="{00000000-0005-0000-0000-00002E000000}"/>
    <cellStyle name="-_CSA12119.xls Gráfico 3_div - taxas1" xfId="50" xr:uid="{00000000-0005-0000-0000-00002F000000}"/>
    <cellStyle name="-_CSA12119.xls Gráfico 3_HISTBRAD 4" xfId="51" xr:uid="{00000000-0005-0000-0000-000030000000}"/>
    <cellStyle name="-_CSA12119.xls Gráfico 3_RESFIN80" xfId="52" xr:uid="{00000000-0005-0000-0000-000031000000}"/>
    <cellStyle name="-_CSA12119.xls Gráfico 3-1" xfId="53" xr:uid="{00000000-0005-0000-0000-000032000000}"/>
    <cellStyle name="-_CSA12119.xls Gráfico 3-1_BRADIES CA 25.3.03" xfId="54" xr:uid="{00000000-0005-0000-0000-000033000000}"/>
    <cellStyle name="-_CSA12119.xls Gráfico 3-1_div - taxas1" xfId="55" xr:uid="{00000000-0005-0000-0000-000034000000}"/>
    <cellStyle name="-_CSA12119.xls Gráfico 3-1_HISTBRAD 4" xfId="56" xr:uid="{00000000-0005-0000-0000-000035000000}"/>
    <cellStyle name="-_CSA12119.xls Gráfico 3-1_RESFIN80" xfId="57" xr:uid="{00000000-0005-0000-0000-000036000000}"/>
    <cellStyle name="-_CSA12119.xls Gráfico 4" xfId="58" xr:uid="{00000000-0005-0000-0000-000037000000}"/>
    <cellStyle name="-_CSA12119.xls Gráfico 4_BRADIES CA 25.3.03" xfId="59" xr:uid="{00000000-0005-0000-0000-000038000000}"/>
    <cellStyle name="-_CSA12119.xls Gráfico 4_div - taxas1" xfId="60" xr:uid="{00000000-0005-0000-0000-000039000000}"/>
    <cellStyle name="-_CSA12119.xls Gráfico 4_HISTBRAD 4" xfId="61" xr:uid="{00000000-0005-0000-0000-00003A000000}"/>
    <cellStyle name="-_CSA12119.xls Gráfico 4_RESFIN80" xfId="62" xr:uid="{00000000-0005-0000-0000-00003B000000}"/>
    <cellStyle name="_Currency" xfId="63" xr:uid="{00000000-0005-0000-0000-00003C000000}"/>
    <cellStyle name="_Currency_Fortune 250 Porfolio" xfId="64" xr:uid="{00000000-0005-0000-0000-00003D000000}"/>
    <cellStyle name="_Currency_GetCurveDataByTicker" xfId="65" xr:uid="{00000000-0005-0000-0000-00003E000000}"/>
    <cellStyle name="_CurrencySpace" xfId="66" xr:uid="{00000000-0005-0000-0000-00003F000000}"/>
    <cellStyle name="_CurrencySpace_Fortune 250 Porfolio" xfId="67" xr:uid="{00000000-0005-0000-0000-000040000000}"/>
    <cellStyle name="_CurrencySpace_GetCurveDataByTicker" xfId="68" xr:uid="{00000000-0005-0000-0000-000041000000}"/>
    <cellStyle name="-_ESTUDO CDPG1" xfId="69" xr:uid="{00000000-0005-0000-0000-000042000000}"/>
    <cellStyle name="_Euro" xfId="70" xr:uid="{00000000-0005-0000-0000-000043000000}"/>
    <cellStyle name="-_Explicações VENDA  Bradies " xfId="71" xr:uid="{00000000-0005-0000-0000-000044000000}"/>
    <cellStyle name="-_FINAME" xfId="72" xr:uid="{00000000-0005-0000-0000-000045000000}"/>
    <cellStyle name="-_FINAMREZ" xfId="73" xr:uid="{00000000-0005-0000-0000-000046000000}"/>
    <cellStyle name="-_FINEM" xfId="74" xr:uid="{00000000-0005-0000-0000-000047000000}"/>
    <cellStyle name="_Heading" xfId="75" xr:uid="{00000000-0005-0000-0000-000048000000}"/>
    <cellStyle name="_Highlight" xfId="76" xr:uid="{00000000-0005-0000-0000-000049000000}"/>
    <cellStyle name="-_HISTBRAD 4" xfId="77" xr:uid="{00000000-0005-0000-0000-00004A000000}"/>
    <cellStyle name="-_INFOTRIM2003" xfId="78" xr:uid="{00000000-0005-0000-0000-00004B000000}"/>
    <cellStyle name="-_limitestaxafinanc" xfId="79" xr:uid="{00000000-0005-0000-0000-00004C000000}"/>
    <cellStyle name="-_MESVIG" xfId="80" xr:uid="{00000000-0005-0000-0000-00004D000000}"/>
    <cellStyle name="-_MISS DAISY" xfId="81" xr:uid="{00000000-0005-0000-0000-00004E000000}"/>
    <cellStyle name="_Multiple" xfId="82" xr:uid="{00000000-0005-0000-0000-00004F000000}"/>
    <cellStyle name="_Multiple_Fortune 250 Porfolio" xfId="83" xr:uid="{00000000-0005-0000-0000-000050000000}"/>
    <cellStyle name="_Multiple_GetCurveDataByTicker" xfId="84" xr:uid="{00000000-0005-0000-0000-000051000000}"/>
    <cellStyle name="_MultipleSpace" xfId="85" xr:uid="{00000000-0005-0000-0000-000052000000}"/>
    <cellStyle name="_MultipleSpace_Fortune 250 Porfolio" xfId="86" xr:uid="{00000000-0005-0000-0000-000053000000}"/>
    <cellStyle name="_MultipleSpace_GetCurveDataByTicker" xfId="87" xr:uid="{00000000-0005-0000-0000-000054000000}"/>
    <cellStyle name="-_Pasta2" xfId="88" xr:uid="{00000000-0005-0000-0000-000055000000}"/>
    <cellStyle name="-_Pasta3" xfId="89" xr:uid="{00000000-0005-0000-0000-000056000000}"/>
    <cellStyle name="_Percent" xfId="90" xr:uid="{00000000-0005-0000-0000-000057000000}"/>
    <cellStyle name="_PercentSpace" xfId="91" xr:uid="{00000000-0005-0000-0000-000058000000}"/>
    <cellStyle name="-_PORTFÓLIO FUNDO" xfId="92" xr:uid="{00000000-0005-0000-0000-000059000000}"/>
    <cellStyle name="-_PREVIS 01 05" xfId="93" xr:uid="{00000000-0005-0000-0000-00005A000000}"/>
    <cellStyle name="-_PREVIS0503" xfId="94" xr:uid="{00000000-0005-0000-0000-00005B000000}"/>
    <cellStyle name="-_PREVIS0703" xfId="95" xr:uid="{00000000-0005-0000-0000-00005C000000}"/>
    <cellStyle name="-_PREVIS0902" xfId="96" xr:uid="{00000000-0005-0000-0000-00005D000000}"/>
    <cellStyle name="-_PREVIS1102" xfId="97" xr:uid="{00000000-0005-0000-0000-00005E000000}"/>
    <cellStyle name="-_PREVIS1203" xfId="98" xr:uid="{00000000-0005-0000-0000-00005F000000}"/>
    <cellStyle name="-_RESFIN80" xfId="99" xr:uid="{00000000-0005-0000-0000-000060000000}"/>
    <cellStyle name="-_RESFIN80_BRADIES CA 25.3.03" xfId="100" xr:uid="{00000000-0005-0000-0000-000061000000}"/>
    <cellStyle name="-_RESFIN80_div - taxas1" xfId="101" xr:uid="{00000000-0005-0000-0000-000062000000}"/>
    <cellStyle name="-_RESFIN80_HISTBRAD 4" xfId="102" xr:uid="{00000000-0005-0000-0000-000063000000}"/>
    <cellStyle name="_SubHeading" xfId="103" xr:uid="{00000000-0005-0000-0000-000064000000}"/>
    <cellStyle name="_Table" xfId="104" xr:uid="{00000000-0005-0000-0000-000065000000}"/>
    <cellStyle name="_TableHead" xfId="105" xr:uid="{00000000-0005-0000-0000-000066000000}"/>
    <cellStyle name="_TableRowHead" xfId="106" xr:uid="{00000000-0005-0000-0000-000067000000}"/>
    <cellStyle name="_TableSuperHead" xfId="107" xr:uid="{00000000-0005-0000-0000-000068000000}"/>
    <cellStyle name="-_TRIJAM" xfId="108" xr:uid="{00000000-0005-0000-0000-000069000000}"/>
    <cellStyle name="-_TRIJAM_BRADIES CA 25.3.03" xfId="109" xr:uid="{00000000-0005-0000-0000-00006A000000}"/>
    <cellStyle name="-_TRIJAM_div - taxas1" xfId="110" xr:uid="{00000000-0005-0000-0000-00006B000000}"/>
    <cellStyle name="-_TRIJAM_HISTBRAD 4" xfId="111" xr:uid="{00000000-0005-0000-0000-00006C000000}"/>
    <cellStyle name="-_TRIJAM_RESFIN80" xfId="112" xr:uid="{00000000-0005-0000-0000-00006D000000}"/>
    <cellStyle name="-_TRIMUR3" xfId="113" xr:uid="{00000000-0005-0000-0000-00006E000000}"/>
    <cellStyle name="-_TRIMUR3_BRADIES CA 25.3.03" xfId="114" xr:uid="{00000000-0005-0000-0000-00006F000000}"/>
    <cellStyle name="-_TRIMUR3_div - taxas1" xfId="115" xr:uid="{00000000-0005-0000-0000-000070000000}"/>
    <cellStyle name="-_TRIMUR3_HISTBRAD 4" xfId="116" xr:uid="{00000000-0005-0000-0000-000071000000}"/>
    <cellStyle name="-_TRIMUR3_RESFIN80" xfId="117" xr:uid="{00000000-0005-0000-0000-000072000000}"/>
    <cellStyle name="-_Usgaap1" xfId="118" xr:uid="{00000000-0005-0000-0000-000073000000}"/>
    <cellStyle name="20% - Accent1" xfId="119" xr:uid="{00000000-0005-0000-0000-000074000000}"/>
    <cellStyle name="20% - Accent1 2" xfId="2146" xr:uid="{00000000-0005-0000-0000-000075000000}"/>
    <cellStyle name="20% - Accent2" xfId="120" xr:uid="{00000000-0005-0000-0000-000076000000}"/>
    <cellStyle name="20% - Accent2 2" xfId="2147" xr:uid="{00000000-0005-0000-0000-000077000000}"/>
    <cellStyle name="20% - Accent3" xfId="121" xr:uid="{00000000-0005-0000-0000-000078000000}"/>
    <cellStyle name="20% - Accent3 2" xfId="2148" xr:uid="{00000000-0005-0000-0000-000079000000}"/>
    <cellStyle name="20% - Accent4" xfId="122" xr:uid="{00000000-0005-0000-0000-00007A000000}"/>
    <cellStyle name="20% - Accent4 2" xfId="2149" xr:uid="{00000000-0005-0000-0000-00007B000000}"/>
    <cellStyle name="20% - Accent5" xfId="123" xr:uid="{00000000-0005-0000-0000-00007C000000}"/>
    <cellStyle name="20% - Accent5 2" xfId="2150" xr:uid="{00000000-0005-0000-0000-00007D000000}"/>
    <cellStyle name="20% - Accent6" xfId="124" xr:uid="{00000000-0005-0000-0000-00007E000000}"/>
    <cellStyle name="20% - Accent6 2" xfId="2151" xr:uid="{00000000-0005-0000-0000-00007F000000}"/>
    <cellStyle name="20% - Cor1" xfId="125" xr:uid="{00000000-0005-0000-0000-000080000000}"/>
    <cellStyle name="20% - Cor2" xfId="126" xr:uid="{00000000-0005-0000-0000-000081000000}"/>
    <cellStyle name="20% - Cor3" xfId="127" xr:uid="{00000000-0005-0000-0000-000082000000}"/>
    <cellStyle name="20% - Cor4" xfId="128" xr:uid="{00000000-0005-0000-0000-000083000000}"/>
    <cellStyle name="20% - Cor5" xfId="129" xr:uid="{00000000-0005-0000-0000-000084000000}"/>
    <cellStyle name="20% - Cor6" xfId="130" xr:uid="{00000000-0005-0000-0000-000085000000}"/>
    <cellStyle name="20% - Ênfase1 2" xfId="131" xr:uid="{00000000-0005-0000-0000-000086000000}"/>
    <cellStyle name="40% - Accent1" xfId="132" xr:uid="{00000000-0005-0000-0000-000087000000}"/>
    <cellStyle name="40% - Accent1 2" xfId="2152" xr:uid="{00000000-0005-0000-0000-000088000000}"/>
    <cellStyle name="40% - Accent2" xfId="133" xr:uid="{00000000-0005-0000-0000-000089000000}"/>
    <cellStyle name="40% - Accent2 2" xfId="2153" xr:uid="{00000000-0005-0000-0000-00008A000000}"/>
    <cellStyle name="40% - Accent3" xfId="134" xr:uid="{00000000-0005-0000-0000-00008B000000}"/>
    <cellStyle name="40% - Accent3 2" xfId="2154" xr:uid="{00000000-0005-0000-0000-00008C000000}"/>
    <cellStyle name="40% - Accent4" xfId="135" xr:uid="{00000000-0005-0000-0000-00008D000000}"/>
    <cellStyle name="40% - Accent4 2" xfId="2155" xr:uid="{00000000-0005-0000-0000-00008E000000}"/>
    <cellStyle name="40% - Accent5" xfId="136" xr:uid="{00000000-0005-0000-0000-00008F000000}"/>
    <cellStyle name="40% - Accent5 2" xfId="2156" xr:uid="{00000000-0005-0000-0000-000090000000}"/>
    <cellStyle name="40% - Accent6" xfId="137" xr:uid="{00000000-0005-0000-0000-000091000000}"/>
    <cellStyle name="40% - Accent6 2" xfId="2157" xr:uid="{00000000-0005-0000-0000-000092000000}"/>
    <cellStyle name="40% - Cor1" xfId="138" xr:uid="{00000000-0005-0000-0000-000093000000}"/>
    <cellStyle name="40% - Cor2" xfId="139" xr:uid="{00000000-0005-0000-0000-000094000000}"/>
    <cellStyle name="40% - Cor3" xfId="140" xr:uid="{00000000-0005-0000-0000-000095000000}"/>
    <cellStyle name="40% - Cor4" xfId="141" xr:uid="{00000000-0005-0000-0000-000096000000}"/>
    <cellStyle name="40% - Cor5" xfId="142" xr:uid="{00000000-0005-0000-0000-000097000000}"/>
    <cellStyle name="40% - Cor6" xfId="143" xr:uid="{00000000-0005-0000-0000-000098000000}"/>
    <cellStyle name="60% - Accent1" xfId="144" xr:uid="{00000000-0005-0000-0000-000099000000}"/>
    <cellStyle name="60% - Accent1 2" xfId="2158" xr:uid="{00000000-0005-0000-0000-00009A000000}"/>
    <cellStyle name="60% - Accent2" xfId="145" xr:uid="{00000000-0005-0000-0000-00009B000000}"/>
    <cellStyle name="60% - Accent2 2" xfId="2159" xr:uid="{00000000-0005-0000-0000-00009C000000}"/>
    <cellStyle name="60% - Accent3" xfId="146" xr:uid="{00000000-0005-0000-0000-00009D000000}"/>
    <cellStyle name="60% - Accent3 2" xfId="2160" xr:uid="{00000000-0005-0000-0000-00009E000000}"/>
    <cellStyle name="60% - Accent4" xfId="147" xr:uid="{00000000-0005-0000-0000-00009F000000}"/>
    <cellStyle name="60% - Accent4 2" xfId="2161" xr:uid="{00000000-0005-0000-0000-0000A0000000}"/>
    <cellStyle name="60% - Accent5" xfId="148" xr:uid="{00000000-0005-0000-0000-0000A1000000}"/>
    <cellStyle name="60% - Accent5 2" xfId="2162" xr:uid="{00000000-0005-0000-0000-0000A2000000}"/>
    <cellStyle name="60% - Accent6" xfId="149" xr:uid="{00000000-0005-0000-0000-0000A3000000}"/>
    <cellStyle name="60% - Accent6 2" xfId="2163" xr:uid="{00000000-0005-0000-0000-0000A4000000}"/>
    <cellStyle name="60% - Cor1" xfId="150" xr:uid="{00000000-0005-0000-0000-0000A5000000}"/>
    <cellStyle name="60% - Cor2" xfId="151" xr:uid="{00000000-0005-0000-0000-0000A6000000}"/>
    <cellStyle name="60% - Cor3" xfId="152" xr:uid="{00000000-0005-0000-0000-0000A7000000}"/>
    <cellStyle name="60% - Cor4" xfId="153" xr:uid="{00000000-0005-0000-0000-0000A8000000}"/>
    <cellStyle name="60% - Cor5" xfId="154" xr:uid="{00000000-0005-0000-0000-0000A9000000}"/>
    <cellStyle name="60% - Cor6" xfId="155" xr:uid="{00000000-0005-0000-0000-0000AA000000}"/>
    <cellStyle name="Accent1" xfId="156" xr:uid="{00000000-0005-0000-0000-0000AB000000}"/>
    <cellStyle name="Accent1 - 20%" xfId="157" xr:uid="{00000000-0005-0000-0000-0000AC000000}"/>
    <cellStyle name="Accent1 - 40%" xfId="158" xr:uid="{00000000-0005-0000-0000-0000AD000000}"/>
    <cellStyle name="Accent1 - 60%" xfId="159" xr:uid="{00000000-0005-0000-0000-0000AE000000}"/>
    <cellStyle name="Accent1 2" xfId="2164" xr:uid="{00000000-0005-0000-0000-0000AF000000}"/>
    <cellStyle name="Accent1_Grafico_Lucro Liquido" xfId="160" xr:uid="{00000000-0005-0000-0000-0000B0000000}"/>
    <cellStyle name="Accent2" xfId="161" xr:uid="{00000000-0005-0000-0000-0000B1000000}"/>
    <cellStyle name="Accent2 - 20%" xfId="162" xr:uid="{00000000-0005-0000-0000-0000B2000000}"/>
    <cellStyle name="Accent2 - 40%" xfId="163" xr:uid="{00000000-0005-0000-0000-0000B3000000}"/>
    <cellStyle name="Accent2 - 60%" xfId="164" xr:uid="{00000000-0005-0000-0000-0000B4000000}"/>
    <cellStyle name="Accent2 2" xfId="2165" xr:uid="{00000000-0005-0000-0000-0000B5000000}"/>
    <cellStyle name="Accent2_Grafico_Lucro Liquido" xfId="165" xr:uid="{00000000-0005-0000-0000-0000B6000000}"/>
    <cellStyle name="Accent3" xfId="166" xr:uid="{00000000-0005-0000-0000-0000B7000000}"/>
    <cellStyle name="Accent3 - 20%" xfId="167" xr:uid="{00000000-0005-0000-0000-0000B8000000}"/>
    <cellStyle name="Accent3 - 40%" xfId="168" xr:uid="{00000000-0005-0000-0000-0000B9000000}"/>
    <cellStyle name="Accent3 - 60%" xfId="169" xr:uid="{00000000-0005-0000-0000-0000BA000000}"/>
    <cellStyle name="Accent3 2" xfId="2166" xr:uid="{00000000-0005-0000-0000-0000BB000000}"/>
    <cellStyle name="Accent3_Grafico_Lucro Liquido" xfId="170" xr:uid="{00000000-0005-0000-0000-0000BC000000}"/>
    <cellStyle name="Accent4" xfId="171" xr:uid="{00000000-0005-0000-0000-0000BD000000}"/>
    <cellStyle name="Accent4 - 20%" xfId="172" xr:uid="{00000000-0005-0000-0000-0000BE000000}"/>
    <cellStyle name="Accent4 - 40%" xfId="173" xr:uid="{00000000-0005-0000-0000-0000BF000000}"/>
    <cellStyle name="Accent4 - 60%" xfId="174" xr:uid="{00000000-0005-0000-0000-0000C0000000}"/>
    <cellStyle name="Accent4 2" xfId="2167" xr:uid="{00000000-0005-0000-0000-0000C1000000}"/>
    <cellStyle name="Accent4_Grafico_Lucro Liquido" xfId="175" xr:uid="{00000000-0005-0000-0000-0000C2000000}"/>
    <cellStyle name="Accent5" xfId="176" xr:uid="{00000000-0005-0000-0000-0000C3000000}"/>
    <cellStyle name="Accent5 - 20%" xfId="177" xr:uid="{00000000-0005-0000-0000-0000C4000000}"/>
    <cellStyle name="Accent5 - 40%" xfId="178" xr:uid="{00000000-0005-0000-0000-0000C5000000}"/>
    <cellStyle name="Accent5 - 60%" xfId="179" xr:uid="{00000000-0005-0000-0000-0000C6000000}"/>
    <cellStyle name="Accent5 2" xfId="2168" xr:uid="{00000000-0005-0000-0000-0000C7000000}"/>
    <cellStyle name="Accent5_Grafico_Lucro Liquido" xfId="180" xr:uid="{00000000-0005-0000-0000-0000C8000000}"/>
    <cellStyle name="Accent6" xfId="181" xr:uid="{00000000-0005-0000-0000-0000C9000000}"/>
    <cellStyle name="Accent6 - 20%" xfId="182" xr:uid="{00000000-0005-0000-0000-0000CA000000}"/>
    <cellStyle name="Accent6 - 40%" xfId="183" xr:uid="{00000000-0005-0000-0000-0000CB000000}"/>
    <cellStyle name="Accent6 - 60%" xfId="184" xr:uid="{00000000-0005-0000-0000-0000CC000000}"/>
    <cellStyle name="Accent6 2" xfId="2169" xr:uid="{00000000-0005-0000-0000-0000CD000000}"/>
    <cellStyle name="Accent6_Grafico_Lucro Liquido" xfId="185" xr:uid="{00000000-0005-0000-0000-0000CE000000}"/>
    <cellStyle name="Adjustable" xfId="2" xr:uid="{00000000-0005-0000-0000-0000CF000000}"/>
    <cellStyle name="ano" xfId="186" xr:uid="{00000000-0005-0000-0000-0000D0000000}"/>
    <cellStyle name="Bad" xfId="187" xr:uid="{00000000-0005-0000-0000-0000D1000000}"/>
    <cellStyle name="Bad 2" xfId="2170" xr:uid="{00000000-0005-0000-0000-0000D2000000}"/>
    <cellStyle name="blue-linked data to another file" xfId="188" xr:uid="{00000000-0005-0000-0000-0000D3000000}"/>
    <cellStyle name="Border Heavy" xfId="189" xr:uid="{00000000-0005-0000-0000-0000D4000000}"/>
    <cellStyle name="Cabeçalho 1" xfId="190" xr:uid="{00000000-0005-0000-0000-0000D5000000}"/>
    <cellStyle name="Cabeçalho 2" xfId="191" xr:uid="{00000000-0005-0000-0000-0000D6000000}"/>
    <cellStyle name="Cabeçalho 3" xfId="192" xr:uid="{00000000-0005-0000-0000-0000D7000000}"/>
    <cellStyle name="Cabeçalho 4" xfId="193" xr:uid="{00000000-0005-0000-0000-0000D8000000}"/>
    <cellStyle name="Cabecera 1" xfId="194" xr:uid="{00000000-0005-0000-0000-0000D9000000}"/>
    <cellStyle name="Cabecera 2" xfId="195" xr:uid="{00000000-0005-0000-0000-0000DA000000}"/>
    <cellStyle name="Calculation" xfId="196" xr:uid="{00000000-0005-0000-0000-0000DB000000}"/>
    <cellStyle name="Calculation 2" xfId="197" xr:uid="{00000000-0005-0000-0000-0000DC000000}"/>
    <cellStyle name="Calculation_658-CAX" xfId="1733" xr:uid="{00000000-0005-0000-0000-0000DD000000}"/>
    <cellStyle name="Cancel" xfId="198" xr:uid="{00000000-0005-0000-0000-0000DE000000}"/>
    <cellStyle name="Célula Ligada" xfId="199" xr:uid="{00000000-0005-0000-0000-0000DF000000}"/>
    <cellStyle name="center" xfId="200" xr:uid="{00000000-0005-0000-0000-0000E0000000}"/>
    <cellStyle name="Check Cell" xfId="201" xr:uid="{00000000-0005-0000-0000-0000E1000000}"/>
    <cellStyle name="Check Cell 2" xfId="202" xr:uid="{00000000-0005-0000-0000-0000E2000000}"/>
    <cellStyle name="Check Cell 2 2" xfId="2171" xr:uid="{00000000-0005-0000-0000-0000E3000000}"/>
    <cellStyle name="clear" xfId="203" xr:uid="{00000000-0005-0000-0000-0000E4000000}"/>
    <cellStyle name="clear purple comma" xfId="204" xr:uid="{00000000-0005-0000-0000-0000E5000000}"/>
    <cellStyle name="clear_Simulação_Cambio_OUt" xfId="205" xr:uid="{00000000-0005-0000-0000-0000E6000000}"/>
    <cellStyle name="cnt title" xfId="206" xr:uid="{00000000-0005-0000-0000-0000E7000000}"/>
    <cellStyle name="color" xfId="207" xr:uid="{00000000-0005-0000-0000-0000E8000000}"/>
    <cellStyle name="Comma [0]" xfId="208" xr:uid="{00000000-0005-0000-0000-0000E9000000}"/>
    <cellStyle name="Comma [0] 10" xfId="209" xr:uid="{00000000-0005-0000-0000-0000EA000000}"/>
    <cellStyle name="Comma [0] 11" xfId="210" xr:uid="{00000000-0005-0000-0000-0000EB000000}"/>
    <cellStyle name="Comma [0] 12" xfId="211" xr:uid="{00000000-0005-0000-0000-0000EC000000}"/>
    <cellStyle name="Comma [0] 13" xfId="212" xr:uid="{00000000-0005-0000-0000-0000ED000000}"/>
    <cellStyle name="Comma [0] 14" xfId="213" xr:uid="{00000000-0005-0000-0000-0000EE000000}"/>
    <cellStyle name="Comma [0] 15" xfId="214" xr:uid="{00000000-0005-0000-0000-0000EF000000}"/>
    <cellStyle name="Comma [0] 16" xfId="215" xr:uid="{00000000-0005-0000-0000-0000F0000000}"/>
    <cellStyle name="Comma [0] 17" xfId="216" xr:uid="{00000000-0005-0000-0000-0000F1000000}"/>
    <cellStyle name="Comma [0] 18" xfId="217" xr:uid="{00000000-0005-0000-0000-0000F2000000}"/>
    <cellStyle name="Comma [0] 19" xfId="218" xr:uid="{00000000-0005-0000-0000-0000F3000000}"/>
    <cellStyle name="Comma [0] 2" xfId="219" xr:uid="{00000000-0005-0000-0000-0000F4000000}"/>
    <cellStyle name="Comma [0] 20" xfId="220" xr:uid="{00000000-0005-0000-0000-0000F5000000}"/>
    <cellStyle name="Comma [0] 21" xfId="221" xr:uid="{00000000-0005-0000-0000-0000F6000000}"/>
    <cellStyle name="Comma [0] 22" xfId="222" xr:uid="{00000000-0005-0000-0000-0000F7000000}"/>
    <cellStyle name="Comma [0] 23" xfId="223" xr:uid="{00000000-0005-0000-0000-0000F8000000}"/>
    <cellStyle name="Comma [0] 24" xfId="224" xr:uid="{00000000-0005-0000-0000-0000F9000000}"/>
    <cellStyle name="Comma [0] 25" xfId="225" xr:uid="{00000000-0005-0000-0000-0000FA000000}"/>
    <cellStyle name="Comma [0] 26" xfId="226" xr:uid="{00000000-0005-0000-0000-0000FB000000}"/>
    <cellStyle name="Comma [0] 27" xfId="227" xr:uid="{00000000-0005-0000-0000-0000FC000000}"/>
    <cellStyle name="Comma [0] 28" xfId="228" xr:uid="{00000000-0005-0000-0000-0000FD000000}"/>
    <cellStyle name="Comma [0] 29" xfId="229" xr:uid="{00000000-0005-0000-0000-0000FE000000}"/>
    <cellStyle name="Comma [0] 3" xfId="230" xr:uid="{00000000-0005-0000-0000-0000FF000000}"/>
    <cellStyle name="Comma [0] 30" xfId="231" xr:uid="{00000000-0005-0000-0000-000000010000}"/>
    <cellStyle name="Comma [0] 31" xfId="232" xr:uid="{00000000-0005-0000-0000-000001010000}"/>
    <cellStyle name="Comma [0] 32" xfId="233" xr:uid="{00000000-0005-0000-0000-000002010000}"/>
    <cellStyle name="Comma [0] 33" xfId="234" xr:uid="{00000000-0005-0000-0000-000003010000}"/>
    <cellStyle name="Comma [0] 4" xfId="235" xr:uid="{00000000-0005-0000-0000-000004010000}"/>
    <cellStyle name="Comma [0] 5" xfId="236" xr:uid="{00000000-0005-0000-0000-000005010000}"/>
    <cellStyle name="Comma [0] 6" xfId="237" xr:uid="{00000000-0005-0000-0000-000006010000}"/>
    <cellStyle name="Comma [0] 7" xfId="238" xr:uid="{00000000-0005-0000-0000-000007010000}"/>
    <cellStyle name="Comma [0] 8" xfId="239" xr:uid="{00000000-0005-0000-0000-000008010000}"/>
    <cellStyle name="Comma [0] 9" xfId="240" xr:uid="{00000000-0005-0000-0000-000009010000}"/>
    <cellStyle name="Comma [0]_010913 Sercomtel Fixa" xfId="2172" xr:uid="{00000000-0005-0000-0000-00000A010000}"/>
    <cellStyle name="Comma 2" xfId="241" xr:uid="{00000000-0005-0000-0000-00000B010000}"/>
    <cellStyle name="Comma 2 2" xfId="242" xr:uid="{00000000-0005-0000-0000-00000C010000}"/>
    <cellStyle name="Comma 2 2 2" xfId="243" xr:uid="{00000000-0005-0000-0000-00000D010000}"/>
    <cellStyle name="Comma 2 2 2 2" xfId="2173" xr:uid="{00000000-0005-0000-0000-00000E010000}"/>
    <cellStyle name="Comma 2 3" xfId="2174" xr:uid="{00000000-0005-0000-0000-00000F010000}"/>
    <cellStyle name="Comma 3" xfId="244" xr:uid="{00000000-0005-0000-0000-000010010000}"/>
    <cellStyle name="Comma 3 2" xfId="245" xr:uid="{00000000-0005-0000-0000-000011010000}"/>
    <cellStyle name="Comma 3 2 2" xfId="2175" xr:uid="{00000000-0005-0000-0000-000012010000}"/>
    <cellStyle name="Comma 3 3" xfId="2176" xr:uid="{00000000-0005-0000-0000-000013010000}"/>
    <cellStyle name="Comma_010913 Sercomtel Fixa" xfId="246" xr:uid="{00000000-0005-0000-0000-000014010000}"/>
    <cellStyle name="Comma0" xfId="247" xr:uid="{00000000-0005-0000-0000-000015010000}"/>
    <cellStyle name="Cor1" xfId="248" xr:uid="{00000000-0005-0000-0000-000016010000}"/>
    <cellStyle name="Cor2" xfId="249" xr:uid="{00000000-0005-0000-0000-000017010000}"/>
    <cellStyle name="Cor3" xfId="250" xr:uid="{00000000-0005-0000-0000-000018010000}"/>
    <cellStyle name="Cor4" xfId="251" xr:uid="{00000000-0005-0000-0000-000019010000}"/>
    <cellStyle name="Cor5" xfId="252" xr:uid="{00000000-0005-0000-0000-00001A010000}"/>
    <cellStyle name="Cor6" xfId="253" xr:uid="{00000000-0005-0000-0000-00001B010000}"/>
    <cellStyle name="Correcto" xfId="254" xr:uid="{00000000-0005-0000-0000-00001C010000}"/>
    <cellStyle name="Currency [0]" xfId="255" xr:uid="{00000000-0005-0000-0000-00001D010000}"/>
    <cellStyle name="Currency [0] 10" xfId="256" xr:uid="{00000000-0005-0000-0000-00001E010000}"/>
    <cellStyle name="Currency [0] 11" xfId="257" xr:uid="{00000000-0005-0000-0000-00001F010000}"/>
    <cellStyle name="Currency [0] 12" xfId="258" xr:uid="{00000000-0005-0000-0000-000020010000}"/>
    <cellStyle name="Currency [0] 13" xfId="259" xr:uid="{00000000-0005-0000-0000-000021010000}"/>
    <cellStyle name="Currency [0] 14" xfId="260" xr:uid="{00000000-0005-0000-0000-000022010000}"/>
    <cellStyle name="Currency [0] 15" xfId="261" xr:uid="{00000000-0005-0000-0000-000023010000}"/>
    <cellStyle name="Currency [0] 16" xfId="262" xr:uid="{00000000-0005-0000-0000-000024010000}"/>
    <cellStyle name="Currency [0] 17" xfId="263" xr:uid="{00000000-0005-0000-0000-000025010000}"/>
    <cellStyle name="Currency [0] 18" xfId="264" xr:uid="{00000000-0005-0000-0000-000026010000}"/>
    <cellStyle name="Currency [0] 19" xfId="265" xr:uid="{00000000-0005-0000-0000-000027010000}"/>
    <cellStyle name="Currency [0] 2" xfId="266" xr:uid="{00000000-0005-0000-0000-000028010000}"/>
    <cellStyle name="Currency [0] 20" xfId="267" xr:uid="{00000000-0005-0000-0000-000029010000}"/>
    <cellStyle name="Currency [0] 21" xfId="268" xr:uid="{00000000-0005-0000-0000-00002A010000}"/>
    <cellStyle name="Currency [0] 22" xfId="269" xr:uid="{00000000-0005-0000-0000-00002B010000}"/>
    <cellStyle name="Currency [0] 23" xfId="270" xr:uid="{00000000-0005-0000-0000-00002C010000}"/>
    <cellStyle name="Currency [0] 24" xfId="271" xr:uid="{00000000-0005-0000-0000-00002D010000}"/>
    <cellStyle name="Currency [0] 25" xfId="272" xr:uid="{00000000-0005-0000-0000-00002E010000}"/>
    <cellStyle name="Currency [0] 26" xfId="273" xr:uid="{00000000-0005-0000-0000-00002F010000}"/>
    <cellStyle name="Currency [0] 27" xfId="274" xr:uid="{00000000-0005-0000-0000-000030010000}"/>
    <cellStyle name="Currency [0] 28" xfId="275" xr:uid="{00000000-0005-0000-0000-000031010000}"/>
    <cellStyle name="Currency [0] 29" xfId="276" xr:uid="{00000000-0005-0000-0000-000032010000}"/>
    <cellStyle name="Currency [0] 3" xfId="277" xr:uid="{00000000-0005-0000-0000-000033010000}"/>
    <cellStyle name="Currency [0] 30" xfId="278" xr:uid="{00000000-0005-0000-0000-000034010000}"/>
    <cellStyle name="Currency [0] 31" xfId="279" xr:uid="{00000000-0005-0000-0000-000035010000}"/>
    <cellStyle name="Currency [0] 32" xfId="280" xr:uid="{00000000-0005-0000-0000-000036010000}"/>
    <cellStyle name="Currency [0] 33" xfId="281" xr:uid="{00000000-0005-0000-0000-000037010000}"/>
    <cellStyle name="Currency [0] 4" xfId="282" xr:uid="{00000000-0005-0000-0000-000038010000}"/>
    <cellStyle name="Currency [0] 5" xfId="283" xr:uid="{00000000-0005-0000-0000-000039010000}"/>
    <cellStyle name="Currency [0] 6" xfId="284" xr:uid="{00000000-0005-0000-0000-00003A010000}"/>
    <cellStyle name="Currency [0] 7" xfId="285" xr:uid="{00000000-0005-0000-0000-00003B010000}"/>
    <cellStyle name="Currency [0] 8" xfId="286" xr:uid="{00000000-0005-0000-0000-00003C010000}"/>
    <cellStyle name="Currency [0] 9" xfId="287" xr:uid="{00000000-0005-0000-0000-00003D010000}"/>
    <cellStyle name="Currency [0]_ABN - Cofee" xfId="2177" xr:uid="{00000000-0005-0000-0000-00003E010000}"/>
    <cellStyle name="Currency_ABN - Cofee" xfId="288" xr:uid="{00000000-0005-0000-0000-00003F010000}"/>
    <cellStyle name="Currency0" xfId="289" xr:uid="{00000000-0005-0000-0000-000040010000}"/>
    <cellStyle name="Data" xfId="290" xr:uid="{00000000-0005-0000-0000-000041010000}"/>
    <cellStyle name="Date" xfId="291" xr:uid="{00000000-0005-0000-0000-000042010000}"/>
    <cellStyle name="dkbottom" xfId="292" xr:uid="{00000000-0005-0000-0000-000043010000}"/>
    <cellStyle name="dkrow" xfId="293" xr:uid="{00000000-0005-0000-0000-000044010000}"/>
    <cellStyle name="DriversPercent" xfId="294" xr:uid="{00000000-0005-0000-0000-000045010000}"/>
    <cellStyle name="DS 0" xfId="295" xr:uid="{00000000-0005-0000-0000-000046010000}"/>
    <cellStyle name="DS 1" xfId="296" xr:uid="{00000000-0005-0000-0000-000047010000}"/>
    <cellStyle name="DS 2" xfId="297" xr:uid="{00000000-0005-0000-0000-000048010000}"/>
    <cellStyle name="DS 3" xfId="298" xr:uid="{00000000-0005-0000-0000-000049010000}"/>
    <cellStyle name="DS 4" xfId="299" xr:uid="{00000000-0005-0000-0000-00004A010000}"/>
    <cellStyle name="DS 5" xfId="300" xr:uid="{00000000-0005-0000-0000-00004B010000}"/>
    <cellStyle name="DS 6" xfId="301" xr:uid="{00000000-0005-0000-0000-00004C010000}"/>
    <cellStyle name="Emphasis 1" xfId="302" xr:uid="{00000000-0005-0000-0000-00004D010000}"/>
    <cellStyle name="Emphasis 2" xfId="303" xr:uid="{00000000-0005-0000-0000-00004E010000}"/>
    <cellStyle name="Emphasis 3" xfId="304" xr:uid="{00000000-0005-0000-0000-00004F010000}"/>
    <cellStyle name="Esquerda" xfId="305" xr:uid="{00000000-0005-0000-0000-000050010000}"/>
    <cellStyle name="Esquerda 2" xfId="306" xr:uid="{00000000-0005-0000-0000-000051010000}"/>
    <cellStyle name="Esquerda 2 2" xfId="307" xr:uid="{00000000-0005-0000-0000-000052010000}"/>
    <cellStyle name="Esquerda 3" xfId="308" xr:uid="{00000000-0005-0000-0000-000053010000}"/>
    <cellStyle name="Estilo 1" xfId="309" xr:uid="{00000000-0005-0000-0000-000054010000}"/>
    <cellStyle name="estimativa" xfId="310" xr:uid="{00000000-0005-0000-0000-000055010000}"/>
    <cellStyle name="Euro" xfId="311" xr:uid="{00000000-0005-0000-0000-000056010000}"/>
    <cellStyle name="Euro 10" xfId="312" xr:uid="{00000000-0005-0000-0000-000057010000}"/>
    <cellStyle name="Euro 11" xfId="313" xr:uid="{00000000-0005-0000-0000-000058010000}"/>
    <cellStyle name="Euro 12" xfId="314" xr:uid="{00000000-0005-0000-0000-000059010000}"/>
    <cellStyle name="Euro 13" xfId="315" xr:uid="{00000000-0005-0000-0000-00005A010000}"/>
    <cellStyle name="Euro 14" xfId="316" xr:uid="{00000000-0005-0000-0000-00005B010000}"/>
    <cellStyle name="Euro 15" xfId="317" xr:uid="{00000000-0005-0000-0000-00005C010000}"/>
    <cellStyle name="Euro 16" xfId="318" xr:uid="{00000000-0005-0000-0000-00005D010000}"/>
    <cellStyle name="Euro 17" xfId="319" xr:uid="{00000000-0005-0000-0000-00005E010000}"/>
    <cellStyle name="Euro 18" xfId="320" xr:uid="{00000000-0005-0000-0000-00005F010000}"/>
    <cellStyle name="Euro 19" xfId="321" xr:uid="{00000000-0005-0000-0000-000060010000}"/>
    <cellStyle name="Euro 2" xfId="322" xr:uid="{00000000-0005-0000-0000-000061010000}"/>
    <cellStyle name="Euro 20" xfId="323" xr:uid="{00000000-0005-0000-0000-000062010000}"/>
    <cellStyle name="Euro 21" xfId="324" xr:uid="{00000000-0005-0000-0000-000063010000}"/>
    <cellStyle name="Euro 22" xfId="325" xr:uid="{00000000-0005-0000-0000-000064010000}"/>
    <cellStyle name="Euro 23" xfId="326" xr:uid="{00000000-0005-0000-0000-000065010000}"/>
    <cellStyle name="Euro 24" xfId="327" xr:uid="{00000000-0005-0000-0000-000066010000}"/>
    <cellStyle name="Euro 25" xfId="328" xr:uid="{00000000-0005-0000-0000-000067010000}"/>
    <cellStyle name="Euro 26" xfId="329" xr:uid="{00000000-0005-0000-0000-000068010000}"/>
    <cellStyle name="Euro 27" xfId="330" xr:uid="{00000000-0005-0000-0000-000069010000}"/>
    <cellStyle name="Euro 28" xfId="331" xr:uid="{00000000-0005-0000-0000-00006A010000}"/>
    <cellStyle name="Euro 29" xfId="332" xr:uid="{00000000-0005-0000-0000-00006B010000}"/>
    <cellStyle name="Euro 3" xfId="333" xr:uid="{00000000-0005-0000-0000-00006C010000}"/>
    <cellStyle name="Euro 30" xfId="334" xr:uid="{00000000-0005-0000-0000-00006D010000}"/>
    <cellStyle name="Euro 31" xfId="335" xr:uid="{00000000-0005-0000-0000-00006E010000}"/>
    <cellStyle name="Euro 32" xfId="336" xr:uid="{00000000-0005-0000-0000-00006F010000}"/>
    <cellStyle name="Euro 33" xfId="337" xr:uid="{00000000-0005-0000-0000-000070010000}"/>
    <cellStyle name="Euro 34" xfId="338" xr:uid="{00000000-0005-0000-0000-000071010000}"/>
    <cellStyle name="Euro 4" xfId="339" xr:uid="{00000000-0005-0000-0000-000072010000}"/>
    <cellStyle name="Euro 5" xfId="340" xr:uid="{00000000-0005-0000-0000-000073010000}"/>
    <cellStyle name="Euro 6" xfId="341" xr:uid="{00000000-0005-0000-0000-000074010000}"/>
    <cellStyle name="Euro 7" xfId="342" xr:uid="{00000000-0005-0000-0000-000075010000}"/>
    <cellStyle name="Euro 8" xfId="343" xr:uid="{00000000-0005-0000-0000-000076010000}"/>
    <cellStyle name="Euro 9" xfId="344" xr:uid="{00000000-0005-0000-0000-000077010000}"/>
    <cellStyle name="Explanatory Text" xfId="345" xr:uid="{00000000-0005-0000-0000-000078010000}"/>
    <cellStyle name="Explanatory Text 2" xfId="2178" xr:uid="{00000000-0005-0000-0000-000079010000}"/>
    <cellStyle name="F2" xfId="346" xr:uid="{00000000-0005-0000-0000-00007A010000}"/>
    <cellStyle name="F3" xfId="347" xr:uid="{00000000-0005-0000-0000-00007B010000}"/>
    <cellStyle name="F4" xfId="348" xr:uid="{00000000-0005-0000-0000-00007C010000}"/>
    <cellStyle name="F5" xfId="349" xr:uid="{00000000-0005-0000-0000-00007D010000}"/>
    <cellStyle name="F6" xfId="350" xr:uid="{00000000-0005-0000-0000-00007E010000}"/>
    <cellStyle name="F7" xfId="351" xr:uid="{00000000-0005-0000-0000-00007F010000}"/>
    <cellStyle name="F8" xfId="352" xr:uid="{00000000-0005-0000-0000-000080010000}"/>
    <cellStyle name="Fábio" xfId="353" xr:uid="{00000000-0005-0000-0000-000081010000}"/>
    <cellStyle name="Fecha" xfId="354" xr:uid="{00000000-0005-0000-0000-000082010000}"/>
    <cellStyle name="Fijo" xfId="355" xr:uid="{00000000-0005-0000-0000-000083010000}"/>
    <cellStyle name="finebottom" xfId="356" xr:uid="{00000000-0005-0000-0000-000084010000}"/>
    <cellStyle name="finebottom 2" xfId="357" xr:uid="{00000000-0005-0000-0000-000085010000}"/>
    <cellStyle name="finebottom_Ql_FR_Corte" xfId="358" xr:uid="{00000000-0005-0000-0000-000086010000}"/>
    <cellStyle name="Fixed" xfId="359" xr:uid="{00000000-0005-0000-0000-000087010000}"/>
    <cellStyle name="Fixo" xfId="360" xr:uid="{00000000-0005-0000-0000-000088010000}"/>
    <cellStyle name="Followed Hyperlink" xfId="361" xr:uid="{00000000-0005-0000-0000-000089010000}"/>
    <cellStyle name="Good" xfId="362" xr:uid="{00000000-0005-0000-0000-00008A010000}"/>
    <cellStyle name="Good 2" xfId="2179" xr:uid="{00000000-0005-0000-0000-00008B010000}"/>
    <cellStyle name="Grey" xfId="363" xr:uid="{00000000-0005-0000-0000-00008C010000}"/>
    <cellStyle name="head title" xfId="364" xr:uid="{00000000-0005-0000-0000-00008D010000}"/>
    <cellStyle name="Heading 1" xfId="365" xr:uid="{00000000-0005-0000-0000-00008E010000}"/>
    <cellStyle name="Heading 1 2" xfId="2180" xr:uid="{00000000-0005-0000-0000-00008F010000}"/>
    <cellStyle name="Heading 2" xfId="366" xr:uid="{00000000-0005-0000-0000-000090010000}"/>
    <cellStyle name="Heading 2 2" xfId="2181" xr:uid="{00000000-0005-0000-0000-000091010000}"/>
    <cellStyle name="Heading 3" xfId="367" xr:uid="{00000000-0005-0000-0000-000092010000}"/>
    <cellStyle name="Heading 3 2" xfId="2182" xr:uid="{00000000-0005-0000-0000-000093010000}"/>
    <cellStyle name="Heading 4" xfId="368" xr:uid="{00000000-0005-0000-0000-000094010000}"/>
    <cellStyle name="Heading 4 2" xfId="2183" xr:uid="{00000000-0005-0000-0000-000095010000}"/>
    <cellStyle name="Heading1" xfId="369" xr:uid="{00000000-0005-0000-0000-000096010000}"/>
    <cellStyle name="Heading2" xfId="370" xr:uid="{00000000-0005-0000-0000-000097010000}"/>
    <cellStyle name="Hiperlink 2" xfId="1734" xr:uid="{00000000-0005-0000-0000-000098010000}"/>
    <cellStyle name="Hipervínculo visitado_Cartola con Brasil - 2004" xfId="371" xr:uid="{00000000-0005-0000-0000-000099010000}"/>
    <cellStyle name="Hipervínculo_Cartola con Brasil - 2004" xfId="372" xr:uid="{00000000-0005-0000-0000-00009A010000}"/>
    <cellStyle name="Hyperlink 2" xfId="373" xr:uid="{00000000-0005-0000-0000-00009B010000}"/>
    <cellStyle name="Incorrecto" xfId="374" xr:uid="{00000000-0005-0000-0000-00009C010000}"/>
    <cellStyle name="Indentado" xfId="375" xr:uid="{00000000-0005-0000-0000-00009D010000}"/>
    <cellStyle name="Indentado 2" xfId="376" xr:uid="{00000000-0005-0000-0000-00009E010000}"/>
    <cellStyle name="Indentado 2 2" xfId="377" xr:uid="{00000000-0005-0000-0000-00009F010000}"/>
    <cellStyle name="Indentado 3" xfId="378" xr:uid="{00000000-0005-0000-0000-0000A0010000}"/>
    <cellStyle name="Input" xfId="379" xr:uid="{00000000-0005-0000-0000-0000A1010000}"/>
    <cellStyle name="Input [yellow]" xfId="380" xr:uid="{00000000-0005-0000-0000-0000A2010000}"/>
    <cellStyle name="Input 2" xfId="381" xr:uid="{00000000-0005-0000-0000-0000A3010000}"/>
    <cellStyle name="Input 3" xfId="382" xr:uid="{00000000-0005-0000-0000-0000A4010000}"/>
    <cellStyle name="Input 4" xfId="383" xr:uid="{00000000-0005-0000-0000-0000A5010000}"/>
    <cellStyle name="Input_658-CAX" xfId="1735" xr:uid="{00000000-0005-0000-0000-0000A6010000}"/>
    <cellStyle name="ins:prd" xfId="384" xr:uid="{00000000-0005-0000-0000-0000A7010000}"/>
    <cellStyle name="Komma [0]_Blad1" xfId="385" xr:uid="{00000000-0005-0000-0000-0000A8010000}"/>
    <cellStyle name="Komma_Blad1" xfId="386" xr:uid="{00000000-0005-0000-0000-0000A9010000}"/>
    <cellStyle name="la22" xfId="387" xr:uid="{00000000-0005-0000-0000-0000AA010000}"/>
    <cellStyle name="Linked Cell" xfId="388" xr:uid="{00000000-0005-0000-0000-0000AB010000}"/>
    <cellStyle name="Linked Cell 2" xfId="2184" xr:uid="{00000000-0005-0000-0000-0000AC010000}"/>
    <cellStyle name="Linked Cell_Base" xfId="2185" xr:uid="{00000000-0005-0000-0000-0000AD010000}"/>
    <cellStyle name="MENU" xfId="389" xr:uid="{00000000-0005-0000-0000-0000AE010000}"/>
    <cellStyle name="mes" xfId="390" xr:uid="{00000000-0005-0000-0000-0000AF010000}"/>
    <cellStyle name="Migliaia (0)_A01" xfId="391" xr:uid="{00000000-0005-0000-0000-0000B0010000}"/>
    <cellStyle name="Migliaia_A01" xfId="392" xr:uid="{00000000-0005-0000-0000-0000B1010000}"/>
    <cellStyle name="Milhar" xfId="393" xr:uid="{00000000-0005-0000-0000-0000B2010000}"/>
    <cellStyle name="Millares [0]_ANE-0102" xfId="394" xr:uid="{00000000-0005-0000-0000-0000B3010000}"/>
    <cellStyle name="Millares_04-08-03" xfId="395" xr:uid="{00000000-0005-0000-0000-0000B4010000}"/>
    <cellStyle name="Milliers [0]_AR1194" xfId="396" xr:uid="{00000000-0005-0000-0000-0000B5010000}"/>
    <cellStyle name="Milliers_AR1194" xfId="397" xr:uid="{00000000-0005-0000-0000-0000B6010000}"/>
    <cellStyle name="Moeda 2" xfId="398" xr:uid="{00000000-0005-0000-0000-0000B7010000}"/>
    <cellStyle name="Moeda 3" xfId="399" xr:uid="{00000000-0005-0000-0000-0000B8010000}"/>
    <cellStyle name="Moneda [0]_ANE-0102" xfId="400" xr:uid="{00000000-0005-0000-0000-0000B9010000}"/>
    <cellStyle name="Moneda_Amortizaciones" xfId="401" xr:uid="{00000000-0005-0000-0000-0000BA010000}"/>
    <cellStyle name="Monétaire [0]_AR1194" xfId="402" xr:uid="{00000000-0005-0000-0000-0000BB010000}"/>
    <cellStyle name="Monétaire_AR1194" xfId="403" xr:uid="{00000000-0005-0000-0000-0000BC010000}"/>
    <cellStyle name="Monetario" xfId="404" xr:uid="{00000000-0005-0000-0000-0000BD010000}"/>
    <cellStyle name="Monetario0" xfId="405" xr:uid="{00000000-0005-0000-0000-0000BE010000}"/>
    <cellStyle name="Month-Year" xfId="406" xr:uid="{00000000-0005-0000-0000-0000BF010000}"/>
    <cellStyle name="Month-Year 2" xfId="407" xr:uid="{00000000-0005-0000-0000-0000C0010000}"/>
    <cellStyle name="Month-Year 2 2" xfId="408" xr:uid="{00000000-0005-0000-0000-0000C1010000}"/>
    <cellStyle name="Month-Year 2_Ql_FR_Corte" xfId="409" xr:uid="{00000000-0005-0000-0000-0000C2010000}"/>
    <cellStyle name="Month-Year 3" xfId="410" xr:uid="{00000000-0005-0000-0000-0000C3010000}"/>
    <cellStyle name="Month-Year_Ql_FR_Corte" xfId="411" xr:uid="{00000000-0005-0000-0000-0000C4010000}"/>
    <cellStyle name="MR$" xfId="412" xr:uid="{00000000-0005-0000-0000-0000C5010000}"/>
    <cellStyle name="MUS$" xfId="413" xr:uid="{00000000-0005-0000-0000-0000C6010000}"/>
    <cellStyle name="nd" xfId="414" xr:uid="{00000000-0005-0000-0000-0000C7010000}"/>
    <cellStyle name="Neutral" xfId="415" xr:uid="{00000000-0005-0000-0000-0000C8010000}"/>
    <cellStyle name="Neutral 2" xfId="2186" xr:uid="{00000000-0005-0000-0000-0000C9010000}"/>
    <cellStyle name="Neutro" xfId="416" xr:uid="{00000000-0005-0000-0000-0000CA010000}"/>
    <cellStyle name="Normal" xfId="0" builtinId="0"/>
    <cellStyle name="Normal - Style1" xfId="417" xr:uid="{00000000-0005-0000-0000-0000CC010000}"/>
    <cellStyle name="Normal 10" xfId="418" xr:uid="{00000000-0005-0000-0000-0000CD010000}"/>
    <cellStyle name="Normal 10 10" xfId="419" xr:uid="{00000000-0005-0000-0000-0000CE010000}"/>
    <cellStyle name="Normal 10 2" xfId="420" xr:uid="{00000000-0005-0000-0000-0000CF010000}"/>
    <cellStyle name="Normal 10 3" xfId="421" xr:uid="{00000000-0005-0000-0000-0000D0010000}"/>
    <cellStyle name="Normal 10 4" xfId="422" xr:uid="{00000000-0005-0000-0000-0000D1010000}"/>
    <cellStyle name="Normal 10 5" xfId="423" xr:uid="{00000000-0005-0000-0000-0000D2010000}"/>
    <cellStyle name="Normal 10 6" xfId="424" xr:uid="{00000000-0005-0000-0000-0000D3010000}"/>
    <cellStyle name="Normal 10 7" xfId="425" xr:uid="{00000000-0005-0000-0000-0000D4010000}"/>
    <cellStyle name="Normal 10 8" xfId="426" xr:uid="{00000000-0005-0000-0000-0000D5010000}"/>
    <cellStyle name="Normal 10 9" xfId="427" xr:uid="{00000000-0005-0000-0000-0000D6010000}"/>
    <cellStyle name="Normal 11" xfId="428" xr:uid="{00000000-0005-0000-0000-0000D7010000}"/>
    <cellStyle name="Normal 11 10" xfId="429" xr:uid="{00000000-0005-0000-0000-0000D8010000}"/>
    <cellStyle name="Normal 11 2" xfId="430" xr:uid="{00000000-0005-0000-0000-0000D9010000}"/>
    <cellStyle name="Normal 11 3" xfId="431" xr:uid="{00000000-0005-0000-0000-0000DA010000}"/>
    <cellStyle name="Normal 11 4" xfId="432" xr:uid="{00000000-0005-0000-0000-0000DB010000}"/>
    <cellStyle name="Normal 11 5" xfId="433" xr:uid="{00000000-0005-0000-0000-0000DC010000}"/>
    <cellStyle name="Normal 11 6" xfId="434" xr:uid="{00000000-0005-0000-0000-0000DD010000}"/>
    <cellStyle name="Normal 11 7" xfId="435" xr:uid="{00000000-0005-0000-0000-0000DE010000}"/>
    <cellStyle name="Normal 11 8" xfId="436" xr:uid="{00000000-0005-0000-0000-0000DF010000}"/>
    <cellStyle name="Normal 11 9" xfId="437" xr:uid="{00000000-0005-0000-0000-0000E0010000}"/>
    <cellStyle name="Normal 11_658-CAX" xfId="1736" xr:uid="{00000000-0005-0000-0000-0000E1010000}"/>
    <cellStyle name="Normal 12" xfId="438" xr:uid="{00000000-0005-0000-0000-0000E2010000}"/>
    <cellStyle name="Normal 12 2" xfId="439" xr:uid="{00000000-0005-0000-0000-0000E3010000}"/>
    <cellStyle name="Normal 12 3" xfId="440" xr:uid="{00000000-0005-0000-0000-0000E4010000}"/>
    <cellStyle name="Normal 12 4" xfId="441" xr:uid="{00000000-0005-0000-0000-0000E5010000}"/>
    <cellStyle name="Normal 12 5" xfId="442" xr:uid="{00000000-0005-0000-0000-0000E6010000}"/>
    <cellStyle name="Normal 12_658-CAX" xfId="1737" xr:uid="{00000000-0005-0000-0000-0000E7010000}"/>
    <cellStyle name="Normal 13" xfId="443" xr:uid="{00000000-0005-0000-0000-0000E8010000}"/>
    <cellStyle name="Normal 13 2" xfId="444" xr:uid="{00000000-0005-0000-0000-0000E9010000}"/>
    <cellStyle name="Normal 13 3" xfId="445" xr:uid="{00000000-0005-0000-0000-0000EA010000}"/>
    <cellStyle name="Normal 13 4" xfId="446" xr:uid="{00000000-0005-0000-0000-0000EB010000}"/>
    <cellStyle name="Normal 13 5" xfId="447" xr:uid="{00000000-0005-0000-0000-0000EC010000}"/>
    <cellStyle name="Normal 13_658-CAX" xfId="1738" xr:uid="{00000000-0005-0000-0000-0000ED010000}"/>
    <cellStyle name="Normal 14" xfId="448" xr:uid="{00000000-0005-0000-0000-0000EE010000}"/>
    <cellStyle name="Normal 14 2" xfId="449" xr:uid="{00000000-0005-0000-0000-0000EF010000}"/>
    <cellStyle name="Normal 14 3" xfId="450" xr:uid="{00000000-0005-0000-0000-0000F0010000}"/>
    <cellStyle name="Normal 14 4" xfId="451" xr:uid="{00000000-0005-0000-0000-0000F1010000}"/>
    <cellStyle name="Normal 14 5" xfId="452" xr:uid="{00000000-0005-0000-0000-0000F2010000}"/>
    <cellStyle name="Normal 14_658-CAX" xfId="1739" xr:uid="{00000000-0005-0000-0000-0000F3010000}"/>
    <cellStyle name="Normal 15" xfId="453" xr:uid="{00000000-0005-0000-0000-0000F4010000}"/>
    <cellStyle name="Normal 15 2" xfId="454" xr:uid="{00000000-0005-0000-0000-0000F5010000}"/>
    <cellStyle name="Normal 15 3" xfId="455" xr:uid="{00000000-0005-0000-0000-0000F6010000}"/>
    <cellStyle name="Normal 15 4" xfId="456" xr:uid="{00000000-0005-0000-0000-0000F7010000}"/>
    <cellStyle name="Normal 15 5" xfId="457" xr:uid="{00000000-0005-0000-0000-0000F8010000}"/>
    <cellStyle name="Normal 15_658-CAX" xfId="1740" xr:uid="{00000000-0005-0000-0000-0000F9010000}"/>
    <cellStyle name="Normal 16" xfId="458" xr:uid="{00000000-0005-0000-0000-0000FA010000}"/>
    <cellStyle name="Normal 17" xfId="459" xr:uid="{00000000-0005-0000-0000-0000FB010000}"/>
    <cellStyle name="Normal 18" xfId="460" xr:uid="{00000000-0005-0000-0000-0000FC010000}"/>
    <cellStyle name="Normal 19" xfId="461" xr:uid="{00000000-0005-0000-0000-0000FD010000}"/>
    <cellStyle name="Normal 2" xfId="462" xr:uid="{00000000-0005-0000-0000-0000FE010000}"/>
    <cellStyle name="Normal 2 2" xfId="463" xr:uid="{00000000-0005-0000-0000-0000FF010000}"/>
    <cellStyle name="Normal 2 2 13 2" xfId="2315" xr:uid="{00000000-0005-0000-0000-000000020000}"/>
    <cellStyle name="Normal 2 2 2" xfId="464" xr:uid="{00000000-0005-0000-0000-000001020000}"/>
    <cellStyle name="Normal 2 2 2 2" xfId="465" xr:uid="{00000000-0005-0000-0000-000002020000}"/>
    <cellStyle name="Normal 2 2 2 2 2" xfId="466" xr:uid="{00000000-0005-0000-0000-000003020000}"/>
    <cellStyle name="Normal 2 2 3" xfId="467" xr:uid="{00000000-0005-0000-0000-000004020000}"/>
    <cellStyle name="Normal 2 2 4" xfId="2187" xr:uid="{00000000-0005-0000-0000-000005020000}"/>
    <cellStyle name="Normal 2 2 5" xfId="2141" xr:uid="{00000000-0005-0000-0000-000006020000}"/>
    <cellStyle name="Normal 2 3" xfId="468" xr:uid="{00000000-0005-0000-0000-000007020000}"/>
    <cellStyle name="Normal 2 4" xfId="469" xr:uid="{00000000-0005-0000-0000-000008020000}"/>
    <cellStyle name="Normal 2 5" xfId="470" xr:uid="{00000000-0005-0000-0000-000009020000}"/>
    <cellStyle name="Normal 2 6" xfId="2188" xr:uid="{00000000-0005-0000-0000-00000A020000}"/>
    <cellStyle name="Normal 2_BD" xfId="2189" xr:uid="{00000000-0005-0000-0000-00000B020000}"/>
    <cellStyle name="Normal 20" xfId="471" xr:uid="{00000000-0005-0000-0000-00000C020000}"/>
    <cellStyle name="Normal 20 2" xfId="2190" xr:uid="{00000000-0005-0000-0000-00000D020000}"/>
    <cellStyle name="Normal 21" xfId="472" xr:uid="{00000000-0005-0000-0000-00000E020000}"/>
    <cellStyle name="Normal 21 2" xfId="2191" xr:uid="{00000000-0005-0000-0000-00000F020000}"/>
    <cellStyle name="Normal 22" xfId="473" xr:uid="{00000000-0005-0000-0000-000010020000}"/>
    <cellStyle name="Normal 23" xfId="474" xr:uid="{00000000-0005-0000-0000-000011020000}"/>
    <cellStyle name="Normal 24" xfId="475" xr:uid="{00000000-0005-0000-0000-000012020000}"/>
    <cellStyle name="Normal 25" xfId="476" xr:uid="{00000000-0005-0000-0000-000013020000}"/>
    <cellStyle name="Normal 26" xfId="1741" xr:uid="{00000000-0005-0000-0000-000014020000}"/>
    <cellStyle name="Normal 27" xfId="2143" xr:uid="{00000000-0005-0000-0000-000015020000}"/>
    <cellStyle name="Normal 28" xfId="2192" xr:uid="{00000000-0005-0000-0000-000016020000}"/>
    <cellStyle name="Normal 29" xfId="2193" xr:uid="{00000000-0005-0000-0000-000017020000}"/>
    <cellStyle name="Normal 3" xfId="477" xr:uid="{00000000-0005-0000-0000-000018020000}"/>
    <cellStyle name="Normal 3 10" xfId="2194" xr:uid="{00000000-0005-0000-0000-000019020000}"/>
    <cellStyle name="Normal 3 11" xfId="2195" xr:uid="{00000000-0005-0000-0000-00001A020000}"/>
    <cellStyle name="Normal 3 12" xfId="2196" xr:uid="{00000000-0005-0000-0000-00001B020000}"/>
    <cellStyle name="Normal 3 13" xfId="2197" xr:uid="{00000000-0005-0000-0000-00001C020000}"/>
    <cellStyle name="Normal 3 14" xfId="2198" xr:uid="{00000000-0005-0000-0000-00001D020000}"/>
    <cellStyle name="Normal 3 15" xfId="2199" xr:uid="{00000000-0005-0000-0000-00001E020000}"/>
    <cellStyle name="Normal 3 16" xfId="2200" xr:uid="{00000000-0005-0000-0000-00001F020000}"/>
    <cellStyle name="Normal 3 17" xfId="2201" xr:uid="{00000000-0005-0000-0000-000020020000}"/>
    <cellStyle name="Normal 3 18" xfId="2202" xr:uid="{00000000-0005-0000-0000-000021020000}"/>
    <cellStyle name="Normal 3 19" xfId="2203" xr:uid="{00000000-0005-0000-0000-000022020000}"/>
    <cellStyle name="Normal 3 2" xfId="478" xr:uid="{00000000-0005-0000-0000-000023020000}"/>
    <cellStyle name="Normal 3 20" xfId="2204" xr:uid="{00000000-0005-0000-0000-000024020000}"/>
    <cellStyle name="Normal 3 21" xfId="2205" xr:uid="{00000000-0005-0000-0000-000025020000}"/>
    <cellStyle name="Normal 3 22" xfId="2206" xr:uid="{00000000-0005-0000-0000-000026020000}"/>
    <cellStyle name="Normal 3 23" xfId="2207" xr:uid="{00000000-0005-0000-0000-000027020000}"/>
    <cellStyle name="Normal 3 24" xfId="2208" xr:uid="{00000000-0005-0000-0000-000028020000}"/>
    <cellStyle name="Normal 3 25" xfId="2209" xr:uid="{00000000-0005-0000-0000-000029020000}"/>
    <cellStyle name="Normal 3 26" xfId="2210" xr:uid="{00000000-0005-0000-0000-00002A020000}"/>
    <cellStyle name="Normal 3 27" xfId="2211" xr:uid="{00000000-0005-0000-0000-00002B020000}"/>
    <cellStyle name="Normal 3 28" xfId="2212" xr:uid="{00000000-0005-0000-0000-00002C020000}"/>
    <cellStyle name="Normal 3 29" xfId="2213" xr:uid="{00000000-0005-0000-0000-00002D020000}"/>
    <cellStyle name="Normal 3 3" xfId="479" xr:uid="{00000000-0005-0000-0000-00002E020000}"/>
    <cellStyle name="Normal 3 3 2" xfId="2214" xr:uid="{00000000-0005-0000-0000-00002F020000}"/>
    <cellStyle name="Normal 3 30" xfId="2215" xr:uid="{00000000-0005-0000-0000-000030020000}"/>
    <cellStyle name="Normal 3 31" xfId="2216" xr:uid="{00000000-0005-0000-0000-000031020000}"/>
    <cellStyle name="Normal 3 32" xfId="2217" xr:uid="{00000000-0005-0000-0000-000032020000}"/>
    <cellStyle name="Normal 3 33" xfId="2218" xr:uid="{00000000-0005-0000-0000-000033020000}"/>
    <cellStyle name="Normal 3 34" xfId="2219" xr:uid="{00000000-0005-0000-0000-000034020000}"/>
    <cellStyle name="Normal 3 35" xfId="2220" xr:uid="{00000000-0005-0000-0000-000035020000}"/>
    <cellStyle name="Normal 3 36" xfId="2221" xr:uid="{00000000-0005-0000-0000-000036020000}"/>
    <cellStyle name="Normal 3 37" xfId="2222" xr:uid="{00000000-0005-0000-0000-000037020000}"/>
    <cellStyle name="Normal 3 38" xfId="2223" xr:uid="{00000000-0005-0000-0000-000038020000}"/>
    <cellStyle name="Normal 3 39" xfId="2224" xr:uid="{00000000-0005-0000-0000-000039020000}"/>
    <cellStyle name="Normal 3 4" xfId="2225" xr:uid="{00000000-0005-0000-0000-00003A020000}"/>
    <cellStyle name="Normal 3 40" xfId="2226" xr:uid="{00000000-0005-0000-0000-00003B020000}"/>
    <cellStyle name="Normal 3 41" xfId="2227" xr:uid="{00000000-0005-0000-0000-00003C020000}"/>
    <cellStyle name="Normal 3 42" xfId="2228" xr:uid="{00000000-0005-0000-0000-00003D020000}"/>
    <cellStyle name="Normal 3 43" xfId="2229" xr:uid="{00000000-0005-0000-0000-00003E020000}"/>
    <cellStyle name="Normal 3 44" xfId="2230" xr:uid="{00000000-0005-0000-0000-00003F020000}"/>
    <cellStyle name="Normal 3 45" xfId="2231" xr:uid="{00000000-0005-0000-0000-000040020000}"/>
    <cellStyle name="Normal 3 46" xfId="2232" xr:uid="{00000000-0005-0000-0000-000041020000}"/>
    <cellStyle name="Normal 3 47" xfId="2233" xr:uid="{00000000-0005-0000-0000-000042020000}"/>
    <cellStyle name="Normal 3 48" xfId="2234" xr:uid="{00000000-0005-0000-0000-000043020000}"/>
    <cellStyle name="Normal 3 49" xfId="2235" xr:uid="{00000000-0005-0000-0000-000044020000}"/>
    <cellStyle name="Normal 3 5" xfId="2236" xr:uid="{00000000-0005-0000-0000-000045020000}"/>
    <cellStyle name="Normal 3 50" xfId="2237" xr:uid="{00000000-0005-0000-0000-000046020000}"/>
    <cellStyle name="Normal 3 51" xfId="2238" xr:uid="{00000000-0005-0000-0000-000047020000}"/>
    <cellStyle name="Normal 3 52" xfId="2239" xr:uid="{00000000-0005-0000-0000-000048020000}"/>
    <cellStyle name="Normal 3 53" xfId="2240" xr:uid="{00000000-0005-0000-0000-000049020000}"/>
    <cellStyle name="Normal 3 54" xfId="2241" xr:uid="{00000000-0005-0000-0000-00004A020000}"/>
    <cellStyle name="Normal 3 55" xfId="2242" xr:uid="{00000000-0005-0000-0000-00004B020000}"/>
    <cellStyle name="Normal 3 56" xfId="2243" xr:uid="{00000000-0005-0000-0000-00004C020000}"/>
    <cellStyle name="Normal 3 57" xfId="2244" xr:uid="{00000000-0005-0000-0000-00004D020000}"/>
    <cellStyle name="Normal 3 58" xfId="2245" xr:uid="{00000000-0005-0000-0000-00004E020000}"/>
    <cellStyle name="Normal 3 59" xfId="2246" xr:uid="{00000000-0005-0000-0000-00004F020000}"/>
    <cellStyle name="Normal 3 6" xfId="2247" xr:uid="{00000000-0005-0000-0000-000050020000}"/>
    <cellStyle name="Normal 3 60" xfId="2248" xr:uid="{00000000-0005-0000-0000-000051020000}"/>
    <cellStyle name="Normal 3 61" xfId="2249" xr:uid="{00000000-0005-0000-0000-000052020000}"/>
    <cellStyle name="Normal 3 62" xfId="2250" xr:uid="{00000000-0005-0000-0000-000053020000}"/>
    <cellStyle name="Normal 3 63" xfId="2251" xr:uid="{00000000-0005-0000-0000-000054020000}"/>
    <cellStyle name="Normal 3 64" xfId="2252" xr:uid="{00000000-0005-0000-0000-000055020000}"/>
    <cellStyle name="Normal 3 65" xfId="2253" xr:uid="{00000000-0005-0000-0000-000056020000}"/>
    <cellStyle name="Normal 3 7" xfId="2254" xr:uid="{00000000-0005-0000-0000-000057020000}"/>
    <cellStyle name="Normal 3 8" xfId="2255" xr:uid="{00000000-0005-0000-0000-000058020000}"/>
    <cellStyle name="Normal 3 9" xfId="2256" xr:uid="{00000000-0005-0000-0000-000059020000}"/>
    <cellStyle name="Normal 3_BD" xfId="2257" xr:uid="{00000000-0005-0000-0000-00005A020000}"/>
    <cellStyle name="Normal 30" xfId="2258" xr:uid="{00000000-0005-0000-0000-00005B020000}"/>
    <cellStyle name="Normal 31" xfId="2259" xr:uid="{00000000-0005-0000-0000-00005C020000}"/>
    <cellStyle name="Normal 32" xfId="2313" xr:uid="{00000000-0005-0000-0000-00005D020000}"/>
    <cellStyle name="Normal 33" xfId="2316" xr:uid="{00000000-0005-0000-0000-00005E020000}"/>
    <cellStyle name="Normal 34" xfId="1" xr:uid="{00000000-0005-0000-0000-00005F020000}"/>
    <cellStyle name="Normal 4" xfId="480" xr:uid="{00000000-0005-0000-0000-000060020000}"/>
    <cellStyle name="Normal 4 10" xfId="481" xr:uid="{00000000-0005-0000-0000-000061020000}"/>
    <cellStyle name="Normal 4 11" xfId="482" xr:uid="{00000000-0005-0000-0000-000062020000}"/>
    <cellStyle name="Normal 4 12" xfId="483" xr:uid="{00000000-0005-0000-0000-000063020000}"/>
    <cellStyle name="Normal 4 13" xfId="484" xr:uid="{00000000-0005-0000-0000-000064020000}"/>
    <cellStyle name="Normal 4 14" xfId="485" xr:uid="{00000000-0005-0000-0000-000065020000}"/>
    <cellStyle name="Normal 4 15" xfId="486" xr:uid="{00000000-0005-0000-0000-000066020000}"/>
    <cellStyle name="Normal 4 16" xfId="487" xr:uid="{00000000-0005-0000-0000-000067020000}"/>
    <cellStyle name="Normal 4 17" xfId="488" xr:uid="{00000000-0005-0000-0000-000068020000}"/>
    <cellStyle name="Normal 4 18" xfId="489" xr:uid="{00000000-0005-0000-0000-000069020000}"/>
    <cellStyle name="Normal 4 19" xfId="490" xr:uid="{00000000-0005-0000-0000-00006A020000}"/>
    <cellStyle name="Normal 4 2" xfId="491" xr:uid="{00000000-0005-0000-0000-00006B020000}"/>
    <cellStyle name="Normal 4 2 2" xfId="2260" xr:uid="{00000000-0005-0000-0000-00006C020000}"/>
    <cellStyle name="Normal 4 20" xfId="492" xr:uid="{00000000-0005-0000-0000-00006D020000}"/>
    <cellStyle name="Normal 4 21" xfId="493" xr:uid="{00000000-0005-0000-0000-00006E020000}"/>
    <cellStyle name="Normal 4 22" xfId="494" xr:uid="{00000000-0005-0000-0000-00006F020000}"/>
    <cellStyle name="Normal 4 23" xfId="495" xr:uid="{00000000-0005-0000-0000-000070020000}"/>
    <cellStyle name="Normal 4 24" xfId="496" xr:uid="{00000000-0005-0000-0000-000071020000}"/>
    <cellStyle name="Normal 4 25" xfId="497" xr:uid="{00000000-0005-0000-0000-000072020000}"/>
    <cellStyle name="Normal 4 26" xfId="498" xr:uid="{00000000-0005-0000-0000-000073020000}"/>
    <cellStyle name="Normal 4 27" xfId="499" xr:uid="{00000000-0005-0000-0000-000074020000}"/>
    <cellStyle name="Normal 4 28" xfId="500" xr:uid="{00000000-0005-0000-0000-000075020000}"/>
    <cellStyle name="Normal 4 29" xfId="501" xr:uid="{00000000-0005-0000-0000-000076020000}"/>
    <cellStyle name="Normal 4 3" xfId="502" xr:uid="{00000000-0005-0000-0000-000077020000}"/>
    <cellStyle name="Normal 4 30" xfId="503" xr:uid="{00000000-0005-0000-0000-000078020000}"/>
    <cellStyle name="Normal 4 31" xfId="504" xr:uid="{00000000-0005-0000-0000-000079020000}"/>
    <cellStyle name="Normal 4 32" xfId="505" xr:uid="{00000000-0005-0000-0000-00007A020000}"/>
    <cellStyle name="Normal 4 33" xfId="506" xr:uid="{00000000-0005-0000-0000-00007B020000}"/>
    <cellStyle name="Normal 4 34" xfId="507" xr:uid="{00000000-0005-0000-0000-00007C020000}"/>
    <cellStyle name="Normal 4 35" xfId="508" xr:uid="{00000000-0005-0000-0000-00007D020000}"/>
    <cellStyle name="Normal 4 4" xfId="509" xr:uid="{00000000-0005-0000-0000-00007E020000}"/>
    <cellStyle name="Normal 4 5" xfId="510" xr:uid="{00000000-0005-0000-0000-00007F020000}"/>
    <cellStyle name="Normal 4 6" xfId="511" xr:uid="{00000000-0005-0000-0000-000080020000}"/>
    <cellStyle name="Normal 4 7" xfId="512" xr:uid="{00000000-0005-0000-0000-000081020000}"/>
    <cellStyle name="Normal 4 8" xfId="513" xr:uid="{00000000-0005-0000-0000-000082020000}"/>
    <cellStyle name="Normal 4 9" xfId="514" xr:uid="{00000000-0005-0000-0000-000083020000}"/>
    <cellStyle name="Normal 4_Análise" xfId="515" xr:uid="{00000000-0005-0000-0000-000084020000}"/>
    <cellStyle name="Normal 5" xfId="516" xr:uid="{00000000-0005-0000-0000-000085020000}"/>
    <cellStyle name="Normal 5 2" xfId="517" xr:uid="{00000000-0005-0000-0000-000086020000}"/>
    <cellStyle name="Normal 5 3" xfId="518" xr:uid="{00000000-0005-0000-0000-000087020000}"/>
    <cellStyle name="Normal 6" xfId="519" xr:uid="{00000000-0005-0000-0000-000088020000}"/>
    <cellStyle name="Normal 6 10" xfId="520" xr:uid="{00000000-0005-0000-0000-000089020000}"/>
    <cellStyle name="Normal 6 11" xfId="521" xr:uid="{00000000-0005-0000-0000-00008A020000}"/>
    <cellStyle name="Normal 6 2" xfId="522" xr:uid="{00000000-0005-0000-0000-00008B020000}"/>
    <cellStyle name="Normal 6 2 2" xfId="2261" xr:uid="{00000000-0005-0000-0000-00008C020000}"/>
    <cellStyle name="Normal 6 3" xfId="523" xr:uid="{00000000-0005-0000-0000-00008D020000}"/>
    <cellStyle name="Normal 6 4" xfId="524" xr:uid="{00000000-0005-0000-0000-00008E020000}"/>
    <cellStyle name="Normal 6 5" xfId="525" xr:uid="{00000000-0005-0000-0000-00008F020000}"/>
    <cellStyle name="Normal 6 6" xfId="526" xr:uid="{00000000-0005-0000-0000-000090020000}"/>
    <cellStyle name="Normal 6 7" xfId="527" xr:uid="{00000000-0005-0000-0000-000091020000}"/>
    <cellStyle name="Normal 6 8" xfId="528" xr:uid="{00000000-0005-0000-0000-000092020000}"/>
    <cellStyle name="Normal 6 9" xfId="529" xr:uid="{00000000-0005-0000-0000-000093020000}"/>
    <cellStyle name="Normal 7" xfId="530" xr:uid="{00000000-0005-0000-0000-000094020000}"/>
    <cellStyle name="Normal 7 10" xfId="531" xr:uid="{00000000-0005-0000-0000-000095020000}"/>
    <cellStyle name="Normal 7 11" xfId="532" xr:uid="{00000000-0005-0000-0000-000096020000}"/>
    <cellStyle name="Normal 7 11 2" xfId="2262" xr:uid="{00000000-0005-0000-0000-000097020000}"/>
    <cellStyle name="Normal 7 2" xfId="533" xr:uid="{00000000-0005-0000-0000-000098020000}"/>
    <cellStyle name="Normal 7 3" xfId="534" xr:uid="{00000000-0005-0000-0000-000099020000}"/>
    <cellStyle name="Normal 7 4" xfId="535" xr:uid="{00000000-0005-0000-0000-00009A020000}"/>
    <cellStyle name="Normal 7 5" xfId="536" xr:uid="{00000000-0005-0000-0000-00009B020000}"/>
    <cellStyle name="Normal 7 6" xfId="537" xr:uid="{00000000-0005-0000-0000-00009C020000}"/>
    <cellStyle name="Normal 7 7" xfId="538" xr:uid="{00000000-0005-0000-0000-00009D020000}"/>
    <cellStyle name="Normal 7 8" xfId="539" xr:uid="{00000000-0005-0000-0000-00009E020000}"/>
    <cellStyle name="Normal 7 9" xfId="540" xr:uid="{00000000-0005-0000-0000-00009F020000}"/>
    <cellStyle name="Normal 8" xfId="541" xr:uid="{00000000-0005-0000-0000-0000A0020000}"/>
    <cellStyle name="Normal 8 2" xfId="542" xr:uid="{00000000-0005-0000-0000-0000A1020000}"/>
    <cellStyle name="Normal 8_Base IAP" xfId="543" xr:uid="{00000000-0005-0000-0000-0000A2020000}"/>
    <cellStyle name="Normal 9" xfId="544" xr:uid="{00000000-0005-0000-0000-0000A3020000}"/>
    <cellStyle name="Normal 9 10" xfId="545" xr:uid="{00000000-0005-0000-0000-0000A4020000}"/>
    <cellStyle name="Normal 9 2" xfId="546" xr:uid="{00000000-0005-0000-0000-0000A5020000}"/>
    <cellStyle name="Normal 9 3" xfId="547" xr:uid="{00000000-0005-0000-0000-0000A6020000}"/>
    <cellStyle name="Normal 9 4" xfId="548" xr:uid="{00000000-0005-0000-0000-0000A7020000}"/>
    <cellStyle name="Normal 9 5" xfId="549" xr:uid="{00000000-0005-0000-0000-0000A8020000}"/>
    <cellStyle name="Normal 9 6" xfId="550" xr:uid="{00000000-0005-0000-0000-0000A9020000}"/>
    <cellStyle name="Normal 9 7" xfId="551" xr:uid="{00000000-0005-0000-0000-0000AA020000}"/>
    <cellStyle name="Normal 9 8" xfId="552" xr:uid="{00000000-0005-0000-0000-0000AB020000}"/>
    <cellStyle name="Normal 9 9" xfId="553" xr:uid="{00000000-0005-0000-0000-0000AC020000}"/>
    <cellStyle name="Normal1" xfId="554" xr:uid="{00000000-0005-0000-0000-0000AD020000}"/>
    <cellStyle name="Normal1 10" xfId="555" xr:uid="{00000000-0005-0000-0000-0000AE020000}"/>
    <cellStyle name="Normal1 11" xfId="556" xr:uid="{00000000-0005-0000-0000-0000AF020000}"/>
    <cellStyle name="Normal1 12" xfId="557" xr:uid="{00000000-0005-0000-0000-0000B0020000}"/>
    <cellStyle name="Normal1 13" xfId="558" xr:uid="{00000000-0005-0000-0000-0000B1020000}"/>
    <cellStyle name="Normal1 14" xfId="559" xr:uid="{00000000-0005-0000-0000-0000B2020000}"/>
    <cellStyle name="Normal1 15" xfId="560" xr:uid="{00000000-0005-0000-0000-0000B3020000}"/>
    <cellStyle name="Normal1 16" xfId="561" xr:uid="{00000000-0005-0000-0000-0000B4020000}"/>
    <cellStyle name="Normal1 17" xfId="562" xr:uid="{00000000-0005-0000-0000-0000B5020000}"/>
    <cellStyle name="Normal1 18" xfId="563" xr:uid="{00000000-0005-0000-0000-0000B6020000}"/>
    <cellStyle name="Normal1 19" xfId="564" xr:uid="{00000000-0005-0000-0000-0000B7020000}"/>
    <cellStyle name="Normal1 2" xfId="565" xr:uid="{00000000-0005-0000-0000-0000B8020000}"/>
    <cellStyle name="Normal1 20" xfId="566" xr:uid="{00000000-0005-0000-0000-0000B9020000}"/>
    <cellStyle name="Normal1 21" xfId="567" xr:uid="{00000000-0005-0000-0000-0000BA020000}"/>
    <cellStyle name="Normal1 22" xfId="568" xr:uid="{00000000-0005-0000-0000-0000BB020000}"/>
    <cellStyle name="Normal1 23" xfId="569" xr:uid="{00000000-0005-0000-0000-0000BC020000}"/>
    <cellStyle name="Normal1 24" xfId="570" xr:uid="{00000000-0005-0000-0000-0000BD020000}"/>
    <cellStyle name="Normal1 25" xfId="571" xr:uid="{00000000-0005-0000-0000-0000BE020000}"/>
    <cellStyle name="Normal1 26" xfId="572" xr:uid="{00000000-0005-0000-0000-0000BF020000}"/>
    <cellStyle name="Normal1 27" xfId="573" xr:uid="{00000000-0005-0000-0000-0000C0020000}"/>
    <cellStyle name="Normal1 28" xfId="574" xr:uid="{00000000-0005-0000-0000-0000C1020000}"/>
    <cellStyle name="Normal1 29" xfId="575" xr:uid="{00000000-0005-0000-0000-0000C2020000}"/>
    <cellStyle name="Normal1 3" xfId="576" xr:uid="{00000000-0005-0000-0000-0000C3020000}"/>
    <cellStyle name="Normal1 30" xfId="577" xr:uid="{00000000-0005-0000-0000-0000C4020000}"/>
    <cellStyle name="Normal1 31" xfId="578" xr:uid="{00000000-0005-0000-0000-0000C5020000}"/>
    <cellStyle name="Normal1 32" xfId="579" xr:uid="{00000000-0005-0000-0000-0000C6020000}"/>
    <cellStyle name="Normal1 33" xfId="580" xr:uid="{00000000-0005-0000-0000-0000C7020000}"/>
    <cellStyle name="Normal1 4" xfId="581" xr:uid="{00000000-0005-0000-0000-0000C8020000}"/>
    <cellStyle name="Normal1 5" xfId="582" xr:uid="{00000000-0005-0000-0000-0000C9020000}"/>
    <cellStyle name="Normal1 6" xfId="583" xr:uid="{00000000-0005-0000-0000-0000CA020000}"/>
    <cellStyle name="Normal1 7" xfId="584" xr:uid="{00000000-0005-0000-0000-0000CB020000}"/>
    <cellStyle name="Normal1 8" xfId="585" xr:uid="{00000000-0005-0000-0000-0000CC020000}"/>
    <cellStyle name="Normal1 9" xfId="586" xr:uid="{00000000-0005-0000-0000-0000CD020000}"/>
    <cellStyle name="Nota 2" xfId="587" xr:uid="{00000000-0005-0000-0000-0000CE020000}"/>
    <cellStyle name="Nota 2 10" xfId="588" xr:uid="{00000000-0005-0000-0000-0000CF020000}"/>
    <cellStyle name="Nota 2 11" xfId="589" xr:uid="{00000000-0005-0000-0000-0000D0020000}"/>
    <cellStyle name="Nota 2 12" xfId="590" xr:uid="{00000000-0005-0000-0000-0000D1020000}"/>
    <cellStyle name="Nota 2 13" xfId="591" xr:uid="{00000000-0005-0000-0000-0000D2020000}"/>
    <cellStyle name="Nota 2 14" xfId="592" xr:uid="{00000000-0005-0000-0000-0000D3020000}"/>
    <cellStyle name="Nota 2 15" xfId="593" xr:uid="{00000000-0005-0000-0000-0000D4020000}"/>
    <cellStyle name="Nota 2 16" xfId="594" xr:uid="{00000000-0005-0000-0000-0000D5020000}"/>
    <cellStyle name="Nota 2 17" xfId="595" xr:uid="{00000000-0005-0000-0000-0000D6020000}"/>
    <cellStyle name="Nota 2 18" xfId="596" xr:uid="{00000000-0005-0000-0000-0000D7020000}"/>
    <cellStyle name="Nota 2 19" xfId="597" xr:uid="{00000000-0005-0000-0000-0000D8020000}"/>
    <cellStyle name="Nota 2 2" xfId="598" xr:uid="{00000000-0005-0000-0000-0000D9020000}"/>
    <cellStyle name="Nota 2 20" xfId="599" xr:uid="{00000000-0005-0000-0000-0000DA020000}"/>
    <cellStyle name="Nota 2 21" xfId="600" xr:uid="{00000000-0005-0000-0000-0000DB020000}"/>
    <cellStyle name="Nota 2 22" xfId="601" xr:uid="{00000000-0005-0000-0000-0000DC020000}"/>
    <cellStyle name="Nota 2 23" xfId="602" xr:uid="{00000000-0005-0000-0000-0000DD020000}"/>
    <cellStyle name="Nota 2 24" xfId="603" xr:uid="{00000000-0005-0000-0000-0000DE020000}"/>
    <cellStyle name="Nota 2 25" xfId="604" xr:uid="{00000000-0005-0000-0000-0000DF020000}"/>
    <cellStyle name="Nota 2 26" xfId="605" xr:uid="{00000000-0005-0000-0000-0000E0020000}"/>
    <cellStyle name="Nota 2 27" xfId="606" xr:uid="{00000000-0005-0000-0000-0000E1020000}"/>
    <cellStyle name="Nota 2 28" xfId="607" xr:uid="{00000000-0005-0000-0000-0000E2020000}"/>
    <cellStyle name="Nota 2 29" xfId="608" xr:uid="{00000000-0005-0000-0000-0000E3020000}"/>
    <cellStyle name="Nota 2 3" xfId="609" xr:uid="{00000000-0005-0000-0000-0000E4020000}"/>
    <cellStyle name="Nota 2 4" xfId="610" xr:uid="{00000000-0005-0000-0000-0000E5020000}"/>
    <cellStyle name="Nota 2 5" xfId="611" xr:uid="{00000000-0005-0000-0000-0000E6020000}"/>
    <cellStyle name="Nota 2 6" xfId="612" xr:uid="{00000000-0005-0000-0000-0000E7020000}"/>
    <cellStyle name="Nota 2 7" xfId="613" xr:uid="{00000000-0005-0000-0000-0000E8020000}"/>
    <cellStyle name="Nota 2 8" xfId="614" xr:uid="{00000000-0005-0000-0000-0000E9020000}"/>
    <cellStyle name="Nota 2 9" xfId="615" xr:uid="{00000000-0005-0000-0000-0000EA020000}"/>
    <cellStyle name="Nota 3" xfId="616" xr:uid="{00000000-0005-0000-0000-0000EB020000}"/>
    <cellStyle name="Nota 3 10" xfId="617" xr:uid="{00000000-0005-0000-0000-0000EC020000}"/>
    <cellStyle name="Nota 3 11" xfId="618" xr:uid="{00000000-0005-0000-0000-0000ED020000}"/>
    <cellStyle name="Nota 3 2" xfId="619" xr:uid="{00000000-0005-0000-0000-0000EE020000}"/>
    <cellStyle name="Nota 3 3" xfId="620" xr:uid="{00000000-0005-0000-0000-0000EF020000}"/>
    <cellStyle name="Nota 3 4" xfId="621" xr:uid="{00000000-0005-0000-0000-0000F0020000}"/>
    <cellStyle name="Nota 3 5" xfId="622" xr:uid="{00000000-0005-0000-0000-0000F1020000}"/>
    <cellStyle name="Nota 3 6" xfId="623" xr:uid="{00000000-0005-0000-0000-0000F2020000}"/>
    <cellStyle name="Nota 3 7" xfId="624" xr:uid="{00000000-0005-0000-0000-0000F3020000}"/>
    <cellStyle name="Nota 3 8" xfId="625" xr:uid="{00000000-0005-0000-0000-0000F4020000}"/>
    <cellStyle name="Nota 3 9" xfId="626" xr:uid="{00000000-0005-0000-0000-0000F5020000}"/>
    <cellStyle name="Nota 3_658-CAX" xfId="1742" xr:uid="{00000000-0005-0000-0000-0000F6020000}"/>
    <cellStyle name="Nota 4" xfId="627" xr:uid="{00000000-0005-0000-0000-0000F7020000}"/>
    <cellStyle name="Nota 4 10" xfId="628" xr:uid="{00000000-0005-0000-0000-0000F8020000}"/>
    <cellStyle name="Nota 4 11" xfId="629" xr:uid="{00000000-0005-0000-0000-0000F9020000}"/>
    <cellStyle name="Nota 4 2" xfId="630" xr:uid="{00000000-0005-0000-0000-0000FA020000}"/>
    <cellStyle name="Nota 4 3" xfId="631" xr:uid="{00000000-0005-0000-0000-0000FB020000}"/>
    <cellStyle name="Nota 4 4" xfId="632" xr:uid="{00000000-0005-0000-0000-0000FC020000}"/>
    <cellStyle name="Nota 4 5" xfId="633" xr:uid="{00000000-0005-0000-0000-0000FD020000}"/>
    <cellStyle name="Nota 4 6" xfId="634" xr:uid="{00000000-0005-0000-0000-0000FE020000}"/>
    <cellStyle name="Nota 4 7" xfId="635" xr:uid="{00000000-0005-0000-0000-0000FF020000}"/>
    <cellStyle name="Nota 4 8" xfId="636" xr:uid="{00000000-0005-0000-0000-000000030000}"/>
    <cellStyle name="Nota 4 9" xfId="637" xr:uid="{00000000-0005-0000-0000-000001030000}"/>
    <cellStyle name="Nota 4_658-CAX" xfId="1743" xr:uid="{00000000-0005-0000-0000-000002030000}"/>
    <cellStyle name="Nota 5" xfId="638" xr:uid="{00000000-0005-0000-0000-000003030000}"/>
    <cellStyle name="Nota 5 10" xfId="639" xr:uid="{00000000-0005-0000-0000-000004030000}"/>
    <cellStyle name="Nota 5 11" xfId="640" xr:uid="{00000000-0005-0000-0000-000005030000}"/>
    <cellStyle name="Nota 5 2" xfId="641" xr:uid="{00000000-0005-0000-0000-000006030000}"/>
    <cellStyle name="Nota 5 3" xfId="642" xr:uid="{00000000-0005-0000-0000-000007030000}"/>
    <cellStyle name="Nota 5 4" xfId="643" xr:uid="{00000000-0005-0000-0000-000008030000}"/>
    <cellStyle name="Nota 5 5" xfId="644" xr:uid="{00000000-0005-0000-0000-000009030000}"/>
    <cellStyle name="Nota 5 6" xfId="645" xr:uid="{00000000-0005-0000-0000-00000A030000}"/>
    <cellStyle name="Nota 5 7" xfId="646" xr:uid="{00000000-0005-0000-0000-00000B030000}"/>
    <cellStyle name="Nota 5 8" xfId="647" xr:uid="{00000000-0005-0000-0000-00000C030000}"/>
    <cellStyle name="Nota 5 9" xfId="648" xr:uid="{00000000-0005-0000-0000-00000D030000}"/>
    <cellStyle name="Nota 5_658-CAX" xfId="1744" xr:uid="{00000000-0005-0000-0000-00000E030000}"/>
    <cellStyle name="Nota 6" xfId="649" xr:uid="{00000000-0005-0000-0000-00000F030000}"/>
    <cellStyle name="Nota 6 2" xfId="650" xr:uid="{00000000-0005-0000-0000-000010030000}"/>
    <cellStyle name="Nota 6_658-CAX" xfId="1745" xr:uid="{00000000-0005-0000-0000-000011030000}"/>
    <cellStyle name="NOTBALANCED" xfId="651" xr:uid="{00000000-0005-0000-0000-000012030000}"/>
    <cellStyle name="Note" xfId="652" xr:uid="{00000000-0005-0000-0000-000013030000}"/>
    <cellStyle name="Note 2" xfId="653" xr:uid="{00000000-0005-0000-0000-000014030000}"/>
    <cellStyle name="Note_658-CAX" xfId="1746" xr:uid="{00000000-0005-0000-0000-000015030000}"/>
    <cellStyle name="Opções de Autoformatação" xfId="654" xr:uid="{00000000-0005-0000-0000-000016030000}"/>
    <cellStyle name="ORANGE-oasis code different" xfId="655" xr:uid="{00000000-0005-0000-0000-000017030000}"/>
    <cellStyle name="Output" xfId="656" xr:uid="{00000000-0005-0000-0000-000018030000}"/>
    <cellStyle name="Output 2" xfId="657" xr:uid="{00000000-0005-0000-0000-000019030000}"/>
    <cellStyle name="Output_658-CAX" xfId="1747" xr:uid="{00000000-0005-0000-0000-00001A030000}"/>
    <cellStyle name="Percent [2]" xfId="658" xr:uid="{00000000-0005-0000-0000-00001B030000}"/>
    <cellStyle name="Percent 2" xfId="659" xr:uid="{00000000-0005-0000-0000-00001C030000}"/>
    <cellStyle name="Percent 3" xfId="660" xr:uid="{00000000-0005-0000-0000-00001D030000}"/>
    <cellStyle name="Percent_Market Comps_Beta_2" xfId="661" xr:uid="{00000000-0005-0000-0000-00001E030000}"/>
    <cellStyle name="PERCENTAGE" xfId="662" xr:uid="{00000000-0005-0000-0000-00001F030000}"/>
    <cellStyle name="Percentual" xfId="663" xr:uid="{00000000-0005-0000-0000-000020030000}"/>
    <cellStyle name="pink- converted to metric" xfId="664" xr:uid="{00000000-0005-0000-0000-000021030000}"/>
    <cellStyle name="Plain0Decimals" xfId="665" xr:uid="{00000000-0005-0000-0000-000022030000}"/>
    <cellStyle name="PlainDollar" xfId="666" xr:uid="{00000000-0005-0000-0000-000023030000}"/>
    <cellStyle name="Ponto" xfId="667" xr:uid="{00000000-0005-0000-0000-000024030000}"/>
    <cellStyle name="Porcentagem" xfId="2318" builtinId="5"/>
    <cellStyle name="Porcentagem 10" xfId="2263" xr:uid="{00000000-0005-0000-0000-000026030000}"/>
    <cellStyle name="Porcentagem 10 2" xfId="2264" xr:uid="{00000000-0005-0000-0000-000027030000}"/>
    <cellStyle name="Porcentagem 2" xfId="668" xr:uid="{00000000-0005-0000-0000-000028030000}"/>
    <cellStyle name="Porcentagem 2 10" xfId="669" xr:uid="{00000000-0005-0000-0000-000029030000}"/>
    <cellStyle name="Porcentagem 2 11" xfId="670" xr:uid="{00000000-0005-0000-0000-00002A030000}"/>
    <cellStyle name="Porcentagem 2 12" xfId="671" xr:uid="{00000000-0005-0000-0000-00002B030000}"/>
    <cellStyle name="Porcentagem 2 13" xfId="672" xr:uid="{00000000-0005-0000-0000-00002C030000}"/>
    <cellStyle name="Porcentagem 2 14" xfId="673" xr:uid="{00000000-0005-0000-0000-00002D030000}"/>
    <cellStyle name="Porcentagem 2 15" xfId="674" xr:uid="{00000000-0005-0000-0000-00002E030000}"/>
    <cellStyle name="Porcentagem 2 16" xfId="675" xr:uid="{00000000-0005-0000-0000-00002F030000}"/>
    <cellStyle name="Porcentagem 2 17" xfId="676" xr:uid="{00000000-0005-0000-0000-000030030000}"/>
    <cellStyle name="Porcentagem 2 18" xfId="677" xr:uid="{00000000-0005-0000-0000-000031030000}"/>
    <cellStyle name="Porcentagem 2 19" xfId="678" xr:uid="{00000000-0005-0000-0000-000032030000}"/>
    <cellStyle name="Porcentagem 2 2" xfId="679" xr:uid="{00000000-0005-0000-0000-000033030000}"/>
    <cellStyle name="Porcentagem 2 20" xfId="680" xr:uid="{00000000-0005-0000-0000-000034030000}"/>
    <cellStyle name="Porcentagem 2 21" xfId="2265" xr:uid="{00000000-0005-0000-0000-000035030000}"/>
    <cellStyle name="Porcentagem 2 3" xfId="681" xr:uid="{00000000-0005-0000-0000-000036030000}"/>
    <cellStyle name="Porcentagem 2 4" xfId="682" xr:uid="{00000000-0005-0000-0000-000037030000}"/>
    <cellStyle name="Porcentagem 2 5" xfId="683" xr:uid="{00000000-0005-0000-0000-000038030000}"/>
    <cellStyle name="Porcentagem 2 6" xfId="684" xr:uid="{00000000-0005-0000-0000-000039030000}"/>
    <cellStyle name="Porcentagem 2 7" xfId="685" xr:uid="{00000000-0005-0000-0000-00003A030000}"/>
    <cellStyle name="Porcentagem 2 8" xfId="686" xr:uid="{00000000-0005-0000-0000-00003B030000}"/>
    <cellStyle name="Porcentagem 2 9" xfId="687" xr:uid="{00000000-0005-0000-0000-00003C030000}"/>
    <cellStyle name="Porcentagem 3" xfId="688" xr:uid="{00000000-0005-0000-0000-00003D030000}"/>
    <cellStyle name="Porcentagem 3 2" xfId="689" xr:uid="{00000000-0005-0000-0000-00003E030000}"/>
    <cellStyle name="Porcentagem 3 2 2" xfId="2266" xr:uid="{00000000-0005-0000-0000-00003F030000}"/>
    <cellStyle name="Porcentagem 4" xfId="690" xr:uid="{00000000-0005-0000-0000-000040030000}"/>
    <cellStyle name="Porcentagem 4 10" xfId="691" xr:uid="{00000000-0005-0000-0000-000041030000}"/>
    <cellStyle name="Porcentagem 4 11" xfId="692" xr:uid="{00000000-0005-0000-0000-000042030000}"/>
    <cellStyle name="Porcentagem 4 12" xfId="693" xr:uid="{00000000-0005-0000-0000-000043030000}"/>
    <cellStyle name="Porcentagem 4 13" xfId="694" xr:uid="{00000000-0005-0000-0000-000044030000}"/>
    <cellStyle name="Porcentagem 4 14" xfId="695" xr:uid="{00000000-0005-0000-0000-000045030000}"/>
    <cellStyle name="Porcentagem 4 15" xfId="696" xr:uid="{00000000-0005-0000-0000-000046030000}"/>
    <cellStyle name="Porcentagem 4 16" xfId="697" xr:uid="{00000000-0005-0000-0000-000047030000}"/>
    <cellStyle name="Porcentagem 4 17" xfId="698" xr:uid="{00000000-0005-0000-0000-000048030000}"/>
    <cellStyle name="Porcentagem 4 18" xfId="699" xr:uid="{00000000-0005-0000-0000-000049030000}"/>
    <cellStyle name="Porcentagem 4 19" xfId="700" xr:uid="{00000000-0005-0000-0000-00004A030000}"/>
    <cellStyle name="Porcentagem 4 2" xfId="701" xr:uid="{00000000-0005-0000-0000-00004B030000}"/>
    <cellStyle name="Porcentagem 4 20" xfId="702" xr:uid="{00000000-0005-0000-0000-00004C030000}"/>
    <cellStyle name="Porcentagem 4 21" xfId="703" xr:uid="{00000000-0005-0000-0000-00004D030000}"/>
    <cellStyle name="Porcentagem 4 22" xfId="704" xr:uid="{00000000-0005-0000-0000-00004E030000}"/>
    <cellStyle name="Porcentagem 4 23" xfId="705" xr:uid="{00000000-0005-0000-0000-00004F030000}"/>
    <cellStyle name="Porcentagem 4 24" xfId="706" xr:uid="{00000000-0005-0000-0000-000050030000}"/>
    <cellStyle name="Porcentagem 4 25" xfId="707" xr:uid="{00000000-0005-0000-0000-000051030000}"/>
    <cellStyle name="Porcentagem 4 26" xfId="708" xr:uid="{00000000-0005-0000-0000-000052030000}"/>
    <cellStyle name="Porcentagem 4 27" xfId="709" xr:uid="{00000000-0005-0000-0000-000053030000}"/>
    <cellStyle name="Porcentagem 4 28" xfId="710" xr:uid="{00000000-0005-0000-0000-000054030000}"/>
    <cellStyle name="Porcentagem 4 29" xfId="711" xr:uid="{00000000-0005-0000-0000-000055030000}"/>
    <cellStyle name="Porcentagem 4 3" xfId="712" xr:uid="{00000000-0005-0000-0000-000056030000}"/>
    <cellStyle name="Porcentagem 4 30" xfId="713" xr:uid="{00000000-0005-0000-0000-000057030000}"/>
    <cellStyle name="Porcentagem 4 31" xfId="714" xr:uid="{00000000-0005-0000-0000-000058030000}"/>
    <cellStyle name="Porcentagem 4 32" xfId="715" xr:uid="{00000000-0005-0000-0000-000059030000}"/>
    <cellStyle name="Porcentagem 4 33" xfId="716" xr:uid="{00000000-0005-0000-0000-00005A030000}"/>
    <cellStyle name="Porcentagem 4 34" xfId="717" xr:uid="{00000000-0005-0000-0000-00005B030000}"/>
    <cellStyle name="Porcentagem 4 35" xfId="718" xr:uid="{00000000-0005-0000-0000-00005C030000}"/>
    <cellStyle name="Porcentagem 4 4" xfId="719" xr:uid="{00000000-0005-0000-0000-00005D030000}"/>
    <cellStyle name="Porcentagem 4 5" xfId="720" xr:uid="{00000000-0005-0000-0000-00005E030000}"/>
    <cellStyle name="Porcentagem 4 6" xfId="721" xr:uid="{00000000-0005-0000-0000-00005F030000}"/>
    <cellStyle name="Porcentagem 4 7" xfId="722" xr:uid="{00000000-0005-0000-0000-000060030000}"/>
    <cellStyle name="Porcentagem 4 8" xfId="723" xr:uid="{00000000-0005-0000-0000-000061030000}"/>
    <cellStyle name="Porcentagem 4 9" xfId="724" xr:uid="{00000000-0005-0000-0000-000062030000}"/>
    <cellStyle name="Porcentagem 5" xfId="725" xr:uid="{00000000-0005-0000-0000-000063030000}"/>
    <cellStyle name="Porcentagem 5 2" xfId="726" xr:uid="{00000000-0005-0000-0000-000064030000}"/>
    <cellStyle name="Porcentagem 5 3" xfId="727" xr:uid="{00000000-0005-0000-0000-000065030000}"/>
    <cellStyle name="Porcentagem 5 3 2" xfId="728" xr:uid="{00000000-0005-0000-0000-000066030000}"/>
    <cellStyle name="Porcentagem 5 4" xfId="729" xr:uid="{00000000-0005-0000-0000-000067030000}"/>
    <cellStyle name="Porcentagem 6" xfId="730" xr:uid="{00000000-0005-0000-0000-000068030000}"/>
    <cellStyle name="Porcentagem 6 2" xfId="731" xr:uid="{00000000-0005-0000-0000-000069030000}"/>
    <cellStyle name="Porcentagem 7" xfId="732" xr:uid="{00000000-0005-0000-0000-00006A030000}"/>
    <cellStyle name="Porcentagem 7 2" xfId="733" xr:uid="{00000000-0005-0000-0000-00006B030000}"/>
    <cellStyle name="Porcentagem 8" xfId="734" xr:uid="{00000000-0005-0000-0000-00006C030000}"/>
    <cellStyle name="Porcentagem 8 10" xfId="735" xr:uid="{00000000-0005-0000-0000-00006D030000}"/>
    <cellStyle name="Porcentagem 8 11" xfId="736" xr:uid="{00000000-0005-0000-0000-00006E030000}"/>
    <cellStyle name="Porcentagem 8 12" xfId="737" xr:uid="{00000000-0005-0000-0000-00006F030000}"/>
    <cellStyle name="Porcentagem 8 13" xfId="738" xr:uid="{00000000-0005-0000-0000-000070030000}"/>
    <cellStyle name="Porcentagem 8 14" xfId="739" xr:uid="{00000000-0005-0000-0000-000071030000}"/>
    <cellStyle name="Porcentagem 8 15" xfId="740" xr:uid="{00000000-0005-0000-0000-000072030000}"/>
    <cellStyle name="Porcentagem 8 16" xfId="741" xr:uid="{00000000-0005-0000-0000-000073030000}"/>
    <cellStyle name="Porcentagem 8 17" xfId="742" xr:uid="{00000000-0005-0000-0000-000074030000}"/>
    <cellStyle name="Porcentagem 8 18" xfId="743" xr:uid="{00000000-0005-0000-0000-000075030000}"/>
    <cellStyle name="Porcentagem 8 19" xfId="744" xr:uid="{00000000-0005-0000-0000-000076030000}"/>
    <cellStyle name="Porcentagem 8 2" xfId="745" xr:uid="{00000000-0005-0000-0000-000077030000}"/>
    <cellStyle name="Porcentagem 8 20" xfId="746" xr:uid="{00000000-0005-0000-0000-000078030000}"/>
    <cellStyle name="Porcentagem 8 21" xfId="747" xr:uid="{00000000-0005-0000-0000-000079030000}"/>
    <cellStyle name="Porcentagem 8 22" xfId="748" xr:uid="{00000000-0005-0000-0000-00007A030000}"/>
    <cellStyle name="Porcentagem 8 23" xfId="749" xr:uid="{00000000-0005-0000-0000-00007B030000}"/>
    <cellStyle name="Porcentagem 8 24" xfId="750" xr:uid="{00000000-0005-0000-0000-00007C030000}"/>
    <cellStyle name="Porcentagem 8 25" xfId="751" xr:uid="{00000000-0005-0000-0000-00007D030000}"/>
    <cellStyle name="Porcentagem 8 26" xfId="752" xr:uid="{00000000-0005-0000-0000-00007E030000}"/>
    <cellStyle name="Porcentagem 8 27" xfId="753" xr:uid="{00000000-0005-0000-0000-00007F030000}"/>
    <cellStyle name="Porcentagem 8 28" xfId="754" xr:uid="{00000000-0005-0000-0000-000080030000}"/>
    <cellStyle name="Porcentagem 8 29" xfId="755" xr:uid="{00000000-0005-0000-0000-000081030000}"/>
    <cellStyle name="Porcentagem 8 3" xfId="756" xr:uid="{00000000-0005-0000-0000-000082030000}"/>
    <cellStyle name="Porcentagem 8 30" xfId="757" xr:uid="{00000000-0005-0000-0000-000083030000}"/>
    <cellStyle name="Porcentagem 8 4" xfId="758" xr:uid="{00000000-0005-0000-0000-000084030000}"/>
    <cellStyle name="Porcentagem 8 5" xfId="759" xr:uid="{00000000-0005-0000-0000-000085030000}"/>
    <cellStyle name="Porcentagem 8 6" xfId="760" xr:uid="{00000000-0005-0000-0000-000086030000}"/>
    <cellStyle name="Porcentagem 8 7" xfId="761" xr:uid="{00000000-0005-0000-0000-000087030000}"/>
    <cellStyle name="Porcentagem 8 8" xfId="762" xr:uid="{00000000-0005-0000-0000-000088030000}"/>
    <cellStyle name="Porcentagem 8 9" xfId="763" xr:uid="{00000000-0005-0000-0000-000089030000}"/>
    <cellStyle name="Porcentagem 9" xfId="2144" xr:uid="{00000000-0005-0000-0000-00008A030000}"/>
    <cellStyle name="Porcentaje" xfId="764" xr:uid="{00000000-0005-0000-0000-00008B030000}"/>
    <cellStyle name="PSChar" xfId="765" xr:uid="{00000000-0005-0000-0000-00008C030000}"/>
    <cellStyle name="PSDate" xfId="766" xr:uid="{00000000-0005-0000-0000-00008D030000}"/>
    <cellStyle name="PSDec" xfId="767" xr:uid="{00000000-0005-0000-0000-00008E030000}"/>
    <cellStyle name="PSHeading" xfId="768" xr:uid="{00000000-0005-0000-0000-00008F030000}"/>
    <cellStyle name="PSInt" xfId="769" xr:uid="{00000000-0005-0000-0000-000090030000}"/>
    <cellStyle name="PSSpacer" xfId="770" xr:uid="{00000000-0005-0000-0000-000091030000}"/>
    <cellStyle name="Punto" xfId="771" xr:uid="{00000000-0005-0000-0000-000092030000}"/>
    <cellStyle name="Punto0" xfId="772" xr:uid="{00000000-0005-0000-0000-000093030000}"/>
    <cellStyle name="Quadro" xfId="773" xr:uid="{00000000-0005-0000-0000-000094030000}"/>
    <cellStyle name="R$/kg" xfId="774" xr:uid="{00000000-0005-0000-0000-000095030000}"/>
    <cellStyle name="red-cut and paste" xfId="775" xr:uid="{00000000-0005-0000-0000-000096030000}"/>
    <cellStyle name="RED-TYPED IN NUMBERS" xfId="776" xr:uid="{00000000-0005-0000-0000-000097030000}"/>
    <cellStyle name="revisado" xfId="777" xr:uid="{00000000-0005-0000-0000-000098030000}"/>
    <cellStyle name="rightline" xfId="778" xr:uid="{00000000-0005-0000-0000-000099030000}"/>
    <cellStyle name="SAPBEXaggData" xfId="779" xr:uid="{00000000-0005-0000-0000-00009A030000}"/>
    <cellStyle name="SAPBEXaggData 2" xfId="780" xr:uid="{00000000-0005-0000-0000-00009B030000}"/>
    <cellStyle name="SAPBEXaggData_658-CAX" xfId="1748" xr:uid="{00000000-0005-0000-0000-00009C030000}"/>
    <cellStyle name="SAPBEXaggDataEmph" xfId="781" xr:uid="{00000000-0005-0000-0000-00009D030000}"/>
    <cellStyle name="SAPBEXaggDataEmph 2" xfId="782" xr:uid="{00000000-0005-0000-0000-00009E030000}"/>
    <cellStyle name="SAPBEXaggDataEmph_658-CAX" xfId="1749" xr:uid="{00000000-0005-0000-0000-00009F030000}"/>
    <cellStyle name="SAPBEXaggItem" xfId="783" xr:uid="{00000000-0005-0000-0000-0000A0030000}"/>
    <cellStyle name="SAPBEXaggItem 2" xfId="784" xr:uid="{00000000-0005-0000-0000-0000A1030000}"/>
    <cellStyle name="SAPBEXaggItem_658-CAX" xfId="1750" xr:uid="{00000000-0005-0000-0000-0000A2030000}"/>
    <cellStyle name="SAPBEXaggItemX" xfId="785" xr:uid="{00000000-0005-0000-0000-0000A3030000}"/>
    <cellStyle name="SAPBEXaggItemX 2" xfId="786" xr:uid="{00000000-0005-0000-0000-0000A4030000}"/>
    <cellStyle name="SAPBEXaggItemX_658-CAX" xfId="1751" xr:uid="{00000000-0005-0000-0000-0000A5030000}"/>
    <cellStyle name="SAPBEXchaText" xfId="787" xr:uid="{00000000-0005-0000-0000-0000A6030000}"/>
    <cellStyle name="SAPBEXchaText 2" xfId="788" xr:uid="{00000000-0005-0000-0000-0000A7030000}"/>
    <cellStyle name="SAPBEXchaText 2 2" xfId="789" xr:uid="{00000000-0005-0000-0000-0000A8030000}"/>
    <cellStyle name="SAPBEXchaText 2_658-CAX" xfId="1753" xr:uid="{00000000-0005-0000-0000-0000A9030000}"/>
    <cellStyle name="SAPBEXchaText 3" xfId="790" xr:uid="{00000000-0005-0000-0000-0000AA030000}"/>
    <cellStyle name="SAPBEXchaText 3 2" xfId="791" xr:uid="{00000000-0005-0000-0000-0000AB030000}"/>
    <cellStyle name="SAPBEXchaText 3_658-CAX" xfId="1754" xr:uid="{00000000-0005-0000-0000-0000AC030000}"/>
    <cellStyle name="SAPBEXchaText 4" xfId="792" xr:uid="{00000000-0005-0000-0000-0000AD030000}"/>
    <cellStyle name="SAPBEXchaText 4 2" xfId="793" xr:uid="{00000000-0005-0000-0000-0000AE030000}"/>
    <cellStyle name="SAPBEXchaText 4_658-CAX" xfId="1755" xr:uid="{00000000-0005-0000-0000-0000AF030000}"/>
    <cellStyle name="SAPBEXchaText 5" xfId="794" xr:uid="{00000000-0005-0000-0000-0000B0030000}"/>
    <cellStyle name="SAPBEXchaText 5 2" xfId="795" xr:uid="{00000000-0005-0000-0000-0000B1030000}"/>
    <cellStyle name="SAPBEXchaText 5_658-CAX" xfId="1756" xr:uid="{00000000-0005-0000-0000-0000B2030000}"/>
    <cellStyle name="SAPBEXchaText 6" xfId="796" xr:uid="{00000000-0005-0000-0000-0000B3030000}"/>
    <cellStyle name="SAPBEXchaText 6 2" xfId="797" xr:uid="{00000000-0005-0000-0000-0000B4030000}"/>
    <cellStyle name="SAPBEXchaText 6_658-CAX" xfId="1757" xr:uid="{00000000-0005-0000-0000-0000B5030000}"/>
    <cellStyle name="SAPBEXchaText 7" xfId="798" xr:uid="{00000000-0005-0000-0000-0000B6030000}"/>
    <cellStyle name="SAPBEXchaText 7 2" xfId="799" xr:uid="{00000000-0005-0000-0000-0000B7030000}"/>
    <cellStyle name="SAPBEXchaText 7_658-CAX" xfId="1758" xr:uid="{00000000-0005-0000-0000-0000B8030000}"/>
    <cellStyle name="SAPBEXchaText 8" xfId="800" xr:uid="{00000000-0005-0000-0000-0000B9030000}"/>
    <cellStyle name="SAPBEXchaText 8 2" xfId="801" xr:uid="{00000000-0005-0000-0000-0000BA030000}"/>
    <cellStyle name="SAPBEXchaText 8_658-CAX" xfId="1759" xr:uid="{00000000-0005-0000-0000-0000BB030000}"/>
    <cellStyle name="SAPBEXchaText 9" xfId="802" xr:uid="{00000000-0005-0000-0000-0000BC030000}"/>
    <cellStyle name="SAPBEXchaText_658-CAX" xfId="1752" xr:uid="{00000000-0005-0000-0000-0000BD030000}"/>
    <cellStyle name="SAPBEXexcBad" xfId="803" xr:uid="{00000000-0005-0000-0000-0000BE030000}"/>
    <cellStyle name="SAPBEXexcBad7" xfId="804" xr:uid="{00000000-0005-0000-0000-0000BF030000}"/>
    <cellStyle name="SAPBEXexcBad7 2" xfId="805" xr:uid="{00000000-0005-0000-0000-0000C0030000}"/>
    <cellStyle name="SAPBEXexcBad7_658-CAX" xfId="1760" xr:uid="{00000000-0005-0000-0000-0000C1030000}"/>
    <cellStyle name="SAPBEXexcBad8" xfId="806" xr:uid="{00000000-0005-0000-0000-0000C2030000}"/>
    <cellStyle name="SAPBEXexcBad8 2" xfId="807" xr:uid="{00000000-0005-0000-0000-0000C3030000}"/>
    <cellStyle name="SAPBEXexcBad8_658-CAX" xfId="1761" xr:uid="{00000000-0005-0000-0000-0000C4030000}"/>
    <cellStyle name="SAPBEXexcBad9" xfId="808" xr:uid="{00000000-0005-0000-0000-0000C5030000}"/>
    <cellStyle name="SAPBEXexcBad9 2" xfId="809" xr:uid="{00000000-0005-0000-0000-0000C6030000}"/>
    <cellStyle name="SAPBEXexcBad9_658-CAX" xfId="1762" xr:uid="{00000000-0005-0000-0000-0000C7030000}"/>
    <cellStyle name="SAPBEXexcCritical" xfId="810" xr:uid="{00000000-0005-0000-0000-0000C8030000}"/>
    <cellStyle name="SAPBEXexcCritical4" xfId="811" xr:uid="{00000000-0005-0000-0000-0000C9030000}"/>
    <cellStyle name="SAPBEXexcCritical4 2" xfId="812" xr:uid="{00000000-0005-0000-0000-0000CA030000}"/>
    <cellStyle name="SAPBEXexcCritical4_658-CAX" xfId="1763" xr:uid="{00000000-0005-0000-0000-0000CB030000}"/>
    <cellStyle name="SAPBEXexcCritical5" xfId="813" xr:uid="{00000000-0005-0000-0000-0000CC030000}"/>
    <cellStyle name="SAPBEXexcCritical5 2" xfId="814" xr:uid="{00000000-0005-0000-0000-0000CD030000}"/>
    <cellStyle name="SAPBEXexcCritical5_658-CAX" xfId="1764" xr:uid="{00000000-0005-0000-0000-0000CE030000}"/>
    <cellStyle name="SAPBEXexcCritical6" xfId="815" xr:uid="{00000000-0005-0000-0000-0000CF030000}"/>
    <cellStyle name="SAPBEXexcCritical6 2" xfId="816" xr:uid="{00000000-0005-0000-0000-0000D0030000}"/>
    <cellStyle name="SAPBEXexcCritical6_658-CAX" xfId="1765" xr:uid="{00000000-0005-0000-0000-0000D1030000}"/>
    <cellStyle name="SAPBEXexcGood" xfId="817" xr:uid="{00000000-0005-0000-0000-0000D2030000}"/>
    <cellStyle name="SAPBEXexcGood1" xfId="818" xr:uid="{00000000-0005-0000-0000-0000D3030000}"/>
    <cellStyle name="SAPBEXexcGood1 2" xfId="819" xr:uid="{00000000-0005-0000-0000-0000D4030000}"/>
    <cellStyle name="SAPBEXexcGood1_658-CAX" xfId="1766" xr:uid="{00000000-0005-0000-0000-0000D5030000}"/>
    <cellStyle name="SAPBEXexcGood2" xfId="820" xr:uid="{00000000-0005-0000-0000-0000D6030000}"/>
    <cellStyle name="SAPBEXexcGood2 2" xfId="821" xr:uid="{00000000-0005-0000-0000-0000D7030000}"/>
    <cellStyle name="SAPBEXexcGood2_658-CAX" xfId="1767" xr:uid="{00000000-0005-0000-0000-0000D8030000}"/>
    <cellStyle name="SAPBEXexcGood3" xfId="822" xr:uid="{00000000-0005-0000-0000-0000D9030000}"/>
    <cellStyle name="SAPBEXexcGood3 2" xfId="823" xr:uid="{00000000-0005-0000-0000-0000DA030000}"/>
    <cellStyle name="SAPBEXexcGood3_658-CAX" xfId="1768" xr:uid="{00000000-0005-0000-0000-0000DB030000}"/>
    <cellStyle name="SAPBEXexcVeryBad" xfId="824" xr:uid="{00000000-0005-0000-0000-0000DC030000}"/>
    <cellStyle name="SAPBEXfilterDrill" xfId="825" xr:uid="{00000000-0005-0000-0000-0000DD030000}"/>
    <cellStyle name="SAPBEXfilterDrill 2" xfId="826" xr:uid="{00000000-0005-0000-0000-0000DE030000}"/>
    <cellStyle name="SAPBEXfilterDrill_658-CAX" xfId="1769" xr:uid="{00000000-0005-0000-0000-0000DF030000}"/>
    <cellStyle name="SAPBEXfilterItem" xfId="827" xr:uid="{00000000-0005-0000-0000-0000E0030000}"/>
    <cellStyle name="SAPBEXfilterText" xfId="828" xr:uid="{00000000-0005-0000-0000-0000E1030000}"/>
    <cellStyle name="SAPBEXfilterText 2" xfId="829" xr:uid="{00000000-0005-0000-0000-0000E2030000}"/>
    <cellStyle name="SAPBEXfilterText 3" xfId="830" xr:uid="{00000000-0005-0000-0000-0000E3030000}"/>
    <cellStyle name="SAPBEXfilterText 4" xfId="831" xr:uid="{00000000-0005-0000-0000-0000E4030000}"/>
    <cellStyle name="SAPBEXfilterText 5" xfId="832" xr:uid="{00000000-0005-0000-0000-0000E5030000}"/>
    <cellStyle name="SAPBEXfilterText 6" xfId="833" xr:uid="{00000000-0005-0000-0000-0000E6030000}"/>
    <cellStyle name="SAPBEXformats" xfId="834" xr:uid="{00000000-0005-0000-0000-0000E7030000}"/>
    <cellStyle name="SAPBEXformats 10" xfId="835" xr:uid="{00000000-0005-0000-0000-0000E8030000}"/>
    <cellStyle name="SAPBEXformats 10 2" xfId="836" xr:uid="{00000000-0005-0000-0000-0000E9030000}"/>
    <cellStyle name="SAPBEXformats 10_658-CAX" xfId="1771" xr:uid="{00000000-0005-0000-0000-0000EA030000}"/>
    <cellStyle name="SAPBEXformats 11" xfId="837" xr:uid="{00000000-0005-0000-0000-0000EB030000}"/>
    <cellStyle name="SAPBEXformats 11 2" xfId="838" xr:uid="{00000000-0005-0000-0000-0000EC030000}"/>
    <cellStyle name="SAPBEXformats 11_658-CAX" xfId="1772" xr:uid="{00000000-0005-0000-0000-0000ED030000}"/>
    <cellStyle name="SAPBEXformats 12" xfId="839" xr:uid="{00000000-0005-0000-0000-0000EE030000}"/>
    <cellStyle name="SAPBEXformats 12 2" xfId="840" xr:uid="{00000000-0005-0000-0000-0000EF030000}"/>
    <cellStyle name="SAPBEXformats 12_658-CAX" xfId="1773" xr:uid="{00000000-0005-0000-0000-0000F0030000}"/>
    <cellStyle name="SAPBEXformats 13" xfId="841" xr:uid="{00000000-0005-0000-0000-0000F1030000}"/>
    <cellStyle name="SAPBEXformats 13 2" xfId="842" xr:uid="{00000000-0005-0000-0000-0000F2030000}"/>
    <cellStyle name="SAPBEXformats 13_658-CAX" xfId="1774" xr:uid="{00000000-0005-0000-0000-0000F3030000}"/>
    <cellStyle name="SAPBEXformats 14" xfId="843" xr:uid="{00000000-0005-0000-0000-0000F4030000}"/>
    <cellStyle name="SAPBEXformats 14 2" xfId="844" xr:uid="{00000000-0005-0000-0000-0000F5030000}"/>
    <cellStyle name="SAPBEXformats 14_658-CAX" xfId="1775" xr:uid="{00000000-0005-0000-0000-0000F6030000}"/>
    <cellStyle name="SAPBEXformats 15" xfId="845" xr:uid="{00000000-0005-0000-0000-0000F7030000}"/>
    <cellStyle name="SAPBEXformats 15 2" xfId="846" xr:uid="{00000000-0005-0000-0000-0000F8030000}"/>
    <cellStyle name="SAPBEXformats 15_658-CAX" xfId="1776" xr:uid="{00000000-0005-0000-0000-0000F9030000}"/>
    <cellStyle name="SAPBEXformats 16" xfId="847" xr:uid="{00000000-0005-0000-0000-0000FA030000}"/>
    <cellStyle name="SAPBEXformats 16 2" xfId="848" xr:uid="{00000000-0005-0000-0000-0000FB030000}"/>
    <cellStyle name="SAPBEXformats 16_658-CAX" xfId="1777" xr:uid="{00000000-0005-0000-0000-0000FC030000}"/>
    <cellStyle name="SAPBEXformats 17" xfId="849" xr:uid="{00000000-0005-0000-0000-0000FD030000}"/>
    <cellStyle name="SAPBEXformats 17 2" xfId="850" xr:uid="{00000000-0005-0000-0000-0000FE030000}"/>
    <cellStyle name="SAPBEXformats 17_658-CAX" xfId="1778" xr:uid="{00000000-0005-0000-0000-0000FF030000}"/>
    <cellStyle name="SAPBEXformats 18" xfId="851" xr:uid="{00000000-0005-0000-0000-000000040000}"/>
    <cellStyle name="SAPBEXformats 18 2" xfId="852" xr:uid="{00000000-0005-0000-0000-000001040000}"/>
    <cellStyle name="SAPBEXformats 18_658-CAX" xfId="1779" xr:uid="{00000000-0005-0000-0000-000002040000}"/>
    <cellStyle name="SAPBEXformats 19" xfId="853" xr:uid="{00000000-0005-0000-0000-000003040000}"/>
    <cellStyle name="SAPBEXformats 19 2" xfId="854" xr:uid="{00000000-0005-0000-0000-000004040000}"/>
    <cellStyle name="SAPBEXformats 19_658-CAX" xfId="1780" xr:uid="{00000000-0005-0000-0000-000005040000}"/>
    <cellStyle name="SAPBEXformats 2" xfId="855" xr:uid="{00000000-0005-0000-0000-000006040000}"/>
    <cellStyle name="SAPBEXformats 2 2" xfId="856" xr:uid="{00000000-0005-0000-0000-000007040000}"/>
    <cellStyle name="SAPBEXformats 2_658-CAX" xfId="1781" xr:uid="{00000000-0005-0000-0000-000008040000}"/>
    <cellStyle name="SAPBEXformats 20" xfId="857" xr:uid="{00000000-0005-0000-0000-000009040000}"/>
    <cellStyle name="SAPBEXformats 20 2" xfId="858" xr:uid="{00000000-0005-0000-0000-00000A040000}"/>
    <cellStyle name="SAPBEXformats 20_658-CAX" xfId="1782" xr:uid="{00000000-0005-0000-0000-00000B040000}"/>
    <cellStyle name="SAPBEXformats 21" xfId="859" xr:uid="{00000000-0005-0000-0000-00000C040000}"/>
    <cellStyle name="SAPBEXformats 21 2" xfId="860" xr:uid="{00000000-0005-0000-0000-00000D040000}"/>
    <cellStyle name="SAPBEXformats 21_658-CAX" xfId="1783" xr:uid="{00000000-0005-0000-0000-00000E040000}"/>
    <cellStyle name="SAPBEXformats 22" xfId="861" xr:uid="{00000000-0005-0000-0000-00000F040000}"/>
    <cellStyle name="SAPBEXformats 22 2" xfId="862" xr:uid="{00000000-0005-0000-0000-000010040000}"/>
    <cellStyle name="SAPBEXformats 22_658-CAX" xfId="1784" xr:uid="{00000000-0005-0000-0000-000011040000}"/>
    <cellStyle name="SAPBEXformats 23" xfId="863" xr:uid="{00000000-0005-0000-0000-000012040000}"/>
    <cellStyle name="SAPBEXformats 23 2" xfId="864" xr:uid="{00000000-0005-0000-0000-000013040000}"/>
    <cellStyle name="SAPBEXformats 23_658-CAX" xfId="1785" xr:uid="{00000000-0005-0000-0000-000014040000}"/>
    <cellStyle name="SAPBEXformats 24" xfId="865" xr:uid="{00000000-0005-0000-0000-000015040000}"/>
    <cellStyle name="SAPBEXformats 24 2" xfId="866" xr:uid="{00000000-0005-0000-0000-000016040000}"/>
    <cellStyle name="SAPBEXformats 24_658-CAX" xfId="1786" xr:uid="{00000000-0005-0000-0000-000017040000}"/>
    <cellStyle name="SAPBEXformats 25" xfId="867" xr:uid="{00000000-0005-0000-0000-000018040000}"/>
    <cellStyle name="SAPBEXformats 25 2" xfId="868" xr:uid="{00000000-0005-0000-0000-000019040000}"/>
    <cellStyle name="SAPBEXformats 25_658-CAX" xfId="1787" xr:uid="{00000000-0005-0000-0000-00001A040000}"/>
    <cellStyle name="SAPBEXformats 26" xfId="869" xr:uid="{00000000-0005-0000-0000-00001B040000}"/>
    <cellStyle name="SAPBEXformats 26 2" xfId="870" xr:uid="{00000000-0005-0000-0000-00001C040000}"/>
    <cellStyle name="SAPBEXformats 26_658-CAX" xfId="1788" xr:uid="{00000000-0005-0000-0000-00001D040000}"/>
    <cellStyle name="SAPBEXformats 27" xfId="871" xr:uid="{00000000-0005-0000-0000-00001E040000}"/>
    <cellStyle name="SAPBEXformats 27 2" xfId="872" xr:uid="{00000000-0005-0000-0000-00001F040000}"/>
    <cellStyle name="SAPBEXformats 27_658-CAX" xfId="1789" xr:uid="{00000000-0005-0000-0000-000020040000}"/>
    <cellStyle name="SAPBEXformats 28" xfId="873" xr:uid="{00000000-0005-0000-0000-000021040000}"/>
    <cellStyle name="SAPBEXformats 28 2" xfId="874" xr:uid="{00000000-0005-0000-0000-000022040000}"/>
    <cellStyle name="SAPBEXformats 28_658-CAX" xfId="1790" xr:uid="{00000000-0005-0000-0000-000023040000}"/>
    <cellStyle name="SAPBEXformats 29" xfId="875" xr:uid="{00000000-0005-0000-0000-000024040000}"/>
    <cellStyle name="SAPBEXformats 29 2" xfId="876" xr:uid="{00000000-0005-0000-0000-000025040000}"/>
    <cellStyle name="SAPBEXformats 29_658-CAX" xfId="1791" xr:uid="{00000000-0005-0000-0000-000026040000}"/>
    <cellStyle name="SAPBEXformats 3" xfId="877" xr:uid="{00000000-0005-0000-0000-000027040000}"/>
    <cellStyle name="SAPBEXformats 3 2" xfId="878" xr:uid="{00000000-0005-0000-0000-000028040000}"/>
    <cellStyle name="SAPBEXformats 3_658-CAX" xfId="1792" xr:uid="{00000000-0005-0000-0000-000029040000}"/>
    <cellStyle name="SAPBEXformats 30" xfId="879" xr:uid="{00000000-0005-0000-0000-00002A040000}"/>
    <cellStyle name="SAPBEXformats 30 2" xfId="880" xr:uid="{00000000-0005-0000-0000-00002B040000}"/>
    <cellStyle name="SAPBEXformats 30_658-CAX" xfId="1793" xr:uid="{00000000-0005-0000-0000-00002C040000}"/>
    <cellStyle name="SAPBEXformats 31" xfId="881" xr:uid="{00000000-0005-0000-0000-00002D040000}"/>
    <cellStyle name="SAPBEXformats 31 2" xfId="882" xr:uid="{00000000-0005-0000-0000-00002E040000}"/>
    <cellStyle name="SAPBEXformats 31_658-CAX" xfId="1794" xr:uid="{00000000-0005-0000-0000-00002F040000}"/>
    <cellStyle name="SAPBEXformats 32" xfId="883" xr:uid="{00000000-0005-0000-0000-000030040000}"/>
    <cellStyle name="SAPBEXformats 32 2" xfId="884" xr:uid="{00000000-0005-0000-0000-000031040000}"/>
    <cellStyle name="SAPBEXformats 32_658-CAX" xfId="1795" xr:uid="{00000000-0005-0000-0000-000032040000}"/>
    <cellStyle name="SAPBEXformats 33" xfId="885" xr:uid="{00000000-0005-0000-0000-000033040000}"/>
    <cellStyle name="SAPBEXformats 33 2" xfId="886" xr:uid="{00000000-0005-0000-0000-000034040000}"/>
    <cellStyle name="SAPBEXformats 33_658-CAX" xfId="1796" xr:uid="{00000000-0005-0000-0000-000035040000}"/>
    <cellStyle name="SAPBEXformats 34" xfId="887" xr:uid="{00000000-0005-0000-0000-000036040000}"/>
    <cellStyle name="SAPBEXformats 34 2" xfId="888" xr:uid="{00000000-0005-0000-0000-000037040000}"/>
    <cellStyle name="SAPBEXformats 34_658-CAX" xfId="1797" xr:uid="{00000000-0005-0000-0000-000038040000}"/>
    <cellStyle name="SAPBEXformats 35" xfId="889" xr:uid="{00000000-0005-0000-0000-000039040000}"/>
    <cellStyle name="SAPBEXformats 35 2" xfId="890" xr:uid="{00000000-0005-0000-0000-00003A040000}"/>
    <cellStyle name="SAPBEXformats 35_658-CAX" xfId="1798" xr:uid="{00000000-0005-0000-0000-00003B040000}"/>
    <cellStyle name="SAPBEXformats 36" xfId="891" xr:uid="{00000000-0005-0000-0000-00003C040000}"/>
    <cellStyle name="SAPBEXformats 36 2" xfId="892" xr:uid="{00000000-0005-0000-0000-00003D040000}"/>
    <cellStyle name="SAPBEXformats 36_658-CAX" xfId="1799" xr:uid="{00000000-0005-0000-0000-00003E040000}"/>
    <cellStyle name="SAPBEXformats 37" xfId="893" xr:uid="{00000000-0005-0000-0000-00003F040000}"/>
    <cellStyle name="SAPBEXformats 37 2" xfId="894" xr:uid="{00000000-0005-0000-0000-000040040000}"/>
    <cellStyle name="SAPBEXformats 37_658-CAX" xfId="1800" xr:uid="{00000000-0005-0000-0000-000041040000}"/>
    <cellStyle name="SAPBEXformats 38" xfId="895" xr:uid="{00000000-0005-0000-0000-000042040000}"/>
    <cellStyle name="SAPBEXformats 38 2" xfId="896" xr:uid="{00000000-0005-0000-0000-000043040000}"/>
    <cellStyle name="SAPBEXformats 38_658-CAX" xfId="1801" xr:uid="{00000000-0005-0000-0000-000044040000}"/>
    <cellStyle name="SAPBEXformats 39" xfId="897" xr:uid="{00000000-0005-0000-0000-000045040000}"/>
    <cellStyle name="SAPBEXformats 39 2" xfId="898" xr:uid="{00000000-0005-0000-0000-000046040000}"/>
    <cellStyle name="SAPBEXformats 39_658-CAX" xfId="1802" xr:uid="{00000000-0005-0000-0000-000047040000}"/>
    <cellStyle name="SAPBEXformats 4" xfId="899" xr:uid="{00000000-0005-0000-0000-000048040000}"/>
    <cellStyle name="SAPBEXformats 4 2" xfId="900" xr:uid="{00000000-0005-0000-0000-000049040000}"/>
    <cellStyle name="SAPBEXformats 4_658-CAX" xfId="1803" xr:uid="{00000000-0005-0000-0000-00004A040000}"/>
    <cellStyle name="SAPBEXformats 40" xfId="901" xr:uid="{00000000-0005-0000-0000-00004B040000}"/>
    <cellStyle name="SAPBEXformats 40 2" xfId="902" xr:uid="{00000000-0005-0000-0000-00004C040000}"/>
    <cellStyle name="SAPBEXformats 40_658-CAX" xfId="1804" xr:uid="{00000000-0005-0000-0000-00004D040000}"/>
    <cellStyle name="SAPBEXformats 41" xfId="903" xr:uid="{00000000-0005-0000-0000-00004E040000}"/>
    <cellStyle name="SAPBEXformats 41 2" xfId="904" xr:uid="{00000000-0005-0000-0000-00004F040000}"/>
    <cellStyle name="SAPBEXformats 41_658-CAX" xfId="1805" xr:uid="{00000000-0005-0000-0000-000050040000}"/>
    <cellStyle name="SAPBEXformats 42" xfId="905" xr:uid="{00000000-0005-0000-0000-000051040000}"/>
    <cellStyle name="SAPBEXformats 42 2" xfId="906" xr:uid="{00000000-0005-0000-0000-000052040000}"/>
    <cellStyle name="SAPBEXformats 42_658-CAX" xfId="1806" xr:uid="{00000000-0005-0000-0000-000053040000}"/>
    <cellStyle name="SAPBEXformats 43" xfId="907" xr:uid="{00000000-0005-0000-0000-000054040000}"/>
    <cellStyle name="SAPBEXformats 43 2" xfId="908" xr:uid="{00000000-0005-0000-0000-000055040000}"/>
    <cellStyle name="SAPBEXformats 43_658-CAX" xfId="1807" xr:uid="{00000000-0005-0000-0000-000056040000}"/>
    <cellStyle name="SAPBEXformats 44" xfId="909" xr:uid="{00000000-0005-0000-0000-000057040000}"/>
    <cellStyle name="SAPBEXformats 44 2" xfId="910" xr:uid="{00000000-0005-0000-0000-000058040000}"/>
    <cellStyle name="SAPBEXformats 44_658-CAX" xfId="1808" xr:uid="{00000000-0005-0000-0000-000059040000}"/>
    <cellStyle name="SAPBEXformats 45" xfId="911" xr:uid="{00000000-0005-0000-0000-00005A040000}"/>
    <cellStyle name="SAPBEXformats 45 2" xfId="912" xr:uid="{00000000-0005-0000-0000-00005B040000}"/>
    <cellStyle name="SAPBEXformats 45_658-CAX" xfId="1809" xr:uid="{00000000-0005-0000-0000-00005C040000}"/>
    <cellStyle name="SAPBEXformats 46" xfId="913" xr:uid="{00000000-0005-0000-0000-00005D040000}"/>
    <cellStyle name="SAPBEXformats 46 2" xfId="914" xr:uid="{00000000-0005-0000-0000-00005E040000}"/>
    <cellStyle name="SAPBEXformats 46_658-CAX" xfId="1810" xr:uid="{00000000-0005-0000-0000-00005F040000}"/>
    <cellStyle name="SAPBEXformats 47" xfId="915" xr:uid="{00000000-0005-0000-0000-000060040000}"/>
    <cellStyle name="SAPBEXformats 47 2" xfId="916" xr:uid="{00000000-0005-0000-0000-000061040000}"/>
    <cellStyle name="SAPBEXformats 47_658-CAX" xfId="1811" xr:uid="{00000000-0005-0000-0000-000062040000}"/>
    <cellStyle name="SAPBEXformats 48" xfId="917" xr:uid="{00000000-0005-0000-0000-000063040000}"/>
    <cellStyle name="SAPBEXformats 48 2" xfId="918" xr:uid="{00000000-0005-0000-0000-000064040000}"/>
    <cellStyle name="SAPBEXformats 48_658-CAX" xfId="1812" xr:uid="{00000000-0005-0000-0000-000065040000}"/>
    <cellStyle name="SAPBEXformats 49" xfId="919" xr:uid="{00000000-0005-0000-0000-000066040000}"/>
    <cellStyle name="SAPBEXformats 49 2" xfId="920" xr:uid="{00000000-0005-0000-0000-000067040000}"/>
    <cellStyle name="SAPBEXformats 49_658-CAX" xfId="1813" xr:uid="{00000000-0005-0000-0000-000068040000}"/>
    <cellStyle name="SAPBEXformats 5" xfId="921" xr:uid="{00000000-0005-0000-0000-000069040000}"/>
    <cellStyle name="SAPBEXformats 5 2" xfId="922" xr:uid="{00000000-0005-0000-0000-00006A040000}"/>
    <cellStyle name="SAPBEXformats 5_658-CAX" xfId="1814" xr:uid="{00000000-0005-0000-0000-00006B040000}"/>
    <cellStyle name="SAPBEXformats 50" xfId="923" xr:uid="{00000000-0005-0000-0000-00006C040000}"/>
    <cellStyle name="SAPBEXformats 6" xfId="924" xr:uid="{00000000-0005-0000-0000-00006D040000}"/>
    <cellStyle name="SAPBEXformats 6 2" xfId="925" xr:uid="{00000000-0005-0000-0000-00006E040000}"/>
    <cellStyle name="SAPBEXformats 6_658-CAX" xfId="1815" xr:uid="{00000000-0005-0000-0000-00006F040000}"/>
    <cellStyle name="SAPBEXformats 7" xfId="926" xr:uid="{00000000-0005-0000-0000-000070040000}"/>
    <cellStyle name="SAPBEXformats 7 2" xfId="927" xr:uid="{00000000-0005-0000-0000-000071040000}"/>
    <cellStyle name="SAPBEXformats 7_658-CAX" xfId="1816" xr:uid="{00000000-0005-0000-0000-000072040000}"/>
    <cellStyle name="SAPBEXformats 8" xfId="928" xr:uid="{00000000-0005-0000-0000-000073040000}"/>
    <cellStyle name="SAPBEXformats 8 2" xfId="929" xr:uid="{00000000-0005-0000-0000-000074040000}"/>
    <cellStyle name="SAPBEXformats 8_658-CAX" xfId="1817" xr:uid="{00000000-0005-0000-0000-000075040000}"/>
    <cellStyle name="SAPBEXformats 9" xfId="930" xr:uid="{00000000-0005-0000-0000-000076040000}"/>
    <cellStyle name="SAPBEXformats 9 2" xfId="931" xr:uid="{00000000-0005-0000-0000-000077040000}"/>
    <cellStyle name="SAPBEXformats 9_658-CAX" xfId="1818" xr:uid="{00000000-0005-0000-0000-000078040000}"/>
    <cellStyle name="SAPBEXformats_658-CAX" xfId="1770" xr:uid="{00000000-0005-0000-0000-000079040000}"/>
    <cellStyle name="SAPBEXheaderData" xfId="932" xr:uid="{00000000-0005-0000-0000-00007A040000}"/>
    <cellStyle name="SAPBEXheaderItem" xfId="933" xr:uid="{00000000-0005-0000-0000-00007B040000}"/>
    <cellStyle name="SAPBEXheaderItem 2" xfId="934" xr:uid="{00000000-0005-0000-0000-00007C040000}"/>
    <cellStyle name="SAPBEXheaderItem 2 2" xfId="935" xr:uid="{00000000-0005-0000-0000-00007D040000}"/>
    <cellStyle name="SAPBEXheaderItem 2_658-CAX" xfId="1820" xr:uid="{00000000-0005-0000-0000-00007E040000}"/>
    <cellStyle name="SAPBEXheaderItem 3" xfId="936" xr:uid="{00000000-0005-0000-0000-00007F040000}"/>
    <cellStyle name="SAPBEXheaderItem 3 2" xfId="937" xr:uid="{00000000-0005-0000-0000-000080040000}"/>
    <cellStyle name="SAPBEXheaderItem 3_658-CAX" xfId="1821" xr:uid="{00000000-0005-0000-0000-000081040000}"/>
    <cellStyle name="SAPBEXheaderItem 4" xfId="938" xr:uid="{00000000-0005-0000-0000-000082040000}"/>
    <cellStyle name="SAPBEXheaderItem 4 2" xfId="939" xr:uid="{00000000-0005-0000-0000-000083040000}"/>
    <cellStyle name="SAPBEXheaderItem 4_658-CAX" xfId="1822" xr:uid="{00000000-0005-0000-0000-000084040000}"/>
    <cellStyle name="SAPBEXheaderItem 5" xfId="940" xr:uid="{00000000-0005-0000-0000-000085040000}"/>
    <cellStyle name="SAPBEXheaderItem 5 2" xfId="941" xr:uid="{00000000-0005-0000-0000-000086040000}"/>
    <cellStyle name="SAPBEXheaderItem 5_658-CAX" xfId="1823" xr:uid="{00000000-0005-0000-0000-000087040000}"/>
    <cellStyle name="SAPBEXheaderItem 6" xfId="942" xr:uid="{00000000-0005-0000-0000-000088040000}"/>
    <cellStyle name="SAPBEXheaderItem 6 2" xfId="943" xr:uid="{00000000-0005-0000-0000-000089040000}"/>
    <cellStyle name="SAPBEXheaderItem 6_658-CAX" xfId="1824" xr:uid="{00000000-0005-0000-0000-00008A040000}"/>
    <cellStyle name="SAPBEXheaderItem 7" xfId="944" xr:uid="{00000000-0005-0000-0000-00008B040000}"/>
    <cellStyle name="SAPBEXheaderItem 7 2" xfId="945" xr:uid="{00000000-0005-0000-0000-00008C040000}"/>
    <cellStyle name="SAPBEXheaderItem 7_658-CAX" xfId="1825" xr:uid="{00000000-0005-0000-0000-00008D040000}"/>
    <cellStyle name="SAPBEXheaderItem 8" xfId="946" xr:uid="{00000000-0005-0000-0000-00008E040000}"/>
    <cellStyle name="SAPBEXheaderItem_658-CAX" xfId="1819" xr:uid="{00000000-0005-0000-0000-00008F040000}"/>
    <cellStyle name="SAPBEXheaderText" xfId="947" xr:uid="{00000000-0005-0000-0000-000090040000}"/>
    <cellStyle name="SAPBEXheaderText 2" xfId="948" xr:uid="{00000000-0005-0000-0000-000091040000}"/>
    <cellStyle name="SAPBEXheaderText 2 2" xfId="949" xr:uid="{00000000-0005-0000-0000-000092040000}"/>
    <cellStyle name="SAPBEXheaderText 2_658-CAX" xfId="1827" xr:uid="{00000000-0005-0000-0000-000093040000}"/>
    <cellStyle name="SAPBEXheaderText 3" xfId="950" xr:uid="{00000000-0005-0000-0000-000094040000}"/>
    <cellStyle name="SAPBEXheaderText 3 2" xfId="951" xr:uid="{00000000-0005-0000-0000-000095040000}"/>
    <cellStyle name="SAPBEXheaderText 3_658-CAX" xfId="1828" xr:uid="{00000000-0005-0000-0000-000096040000}"/>
    <cellStyle name="SAPBEXheaderText 4" xfId="952" xr:uid="{00000000-0005-0000-0000-000097040000}"/>
    <cellStyle name="SAPBEXheaderText 4 2" xfId="953" xr:uid="{00000000-0005-0000-0000-000098040000}"/>
    <cellStyle name="SAPBEXheaderText 4_658-CAX" xfId="1829" xr:uid="{00000000-0005-0000-0000-000099040000}"/>
    <cellStyle name="SAPBEXheaderText 5" xfId="954" xr:uid="{00000000-0005-0000-0000-00009A040000}"/>
    <cellStyle name="SAPBEXheaderText 5 2" xfId="955" xr:uid="{00000000-0005-0000-0000-00009B040000}"/>
    <cellStyle name="SAPBEXheaderText 5_658-CAX" xfId="1830" xr:uid="{00000000-0005-0000-0000-00009C040000}"/>
    <cellStyle name="SAPBEXheaderText 6" xfId="956" xr:uid="{00000000-0005-0000-0000-00009D040000}"/>
    <cellStyle name="SAPBEXheaderText 6 2" xfId="957" xr:uid="{00000000-0005-0000-0000-00009E040000}"/>
    <cellStyle name="SAPBEXheaderText 6_658-CAX" xfId="1831" xr:uid="{00000000-0005-0000-0000-00009F040000}"/>
    <cellStyle name="SAPBEXheaderText 7" xfId="958" xr:uid="{00000000-0005-0000-0000-0000A0040000}"/>
    <cellStyle name="SAPBEXheaderText 7 2" xfId="959" xr:uid="{00000000-0005-0000-0000-0000A1040000}"/>
    <cellStyle name="SAPBEXheaderText 7_658-CAX" xfId="1832" xr:uid="{00000000-0005-0000-0000-0000A2040000}"/>
    <cellStyle name="SAPBEXheaderText 8" xfId="960" xr:uid="{00000000-0005-0000-0000-0000A3040000}"/>
    <cellStyle name="SAPBEXheaderText_658-CAX" xfId="1826" xr:uid="{00000000-0005-0000-0000-0000A4040000}"/>
    <cellStyle name="SAPBEXHLevel0" xfId="961" xr:uid="{00000000-0005-0000-0000-0000A5040000}"/>
    <cellStyle name="SAPBEXHLevel0 2" xfId="962" xr:uid="{00000000-0005-0000-0000-0000A6040000}"/>
    <cellStyle name="SAPBEXHLevel0 2 2" xfId="963" xr:uid="{00000000-0005-0000-0000-0000A7040000}"/>
    <cellStyle name="SAPBEXHLevel0 2_658-CAX" xfId="1834" xr:uid="{00000000-0005-0000-0000-0000A8040000}"/>
    <cellStyle name="SAPBEXHLevel0 3" xfId="964" xr:uid="{00000000-0005-0000-0000-0000A9040000}"/>
    <cellStyle name="SAPBEXHLevel0 3 2" xfId="965" xr:uid="{00000000-0005-0000-0000-0000AA040000}"/>
    <cellStyle name="SAPBEXHLevel0 3_658-CAX" xfId="1835" xr:uid="{00000000-0005-0000-0000-0000AB040000}"/>
    <cellStyle name="SAPBEXHLevel0 4" xfId="966" xr:uid="{00000000-0005-0000-0000-0000AC040000}"/>
    <cellStyle name="SAPBEXHLevel0 4 2" xfId="967" xr:uid="{00000000-0005-0000-0000-0000AD040000}"/>
    <cellStyle name="SAPBEXHLevel0 4_658-CAX" xfId="1836" xr:uid="{00000000-0005-0000-0000-0000AE040000}"/>
    <cellStyle name="SAPBEXHLevel0 5" xfId="968" xr:uid="{00000000-0005-0000-0000-0000AF040000}"/>
    <cellStyle name="SAPBEXHLevel0 5 2" xfId="969" xr:uid="{00000000-0005-0000-0000-0000B0040000}"/>
    <cellStyle name="SAPBEXHLevel0 5_658-CAX" xfId="1837" xr:uid="{00000000-0005-0000-0000-0000B1040000}"/>
    <cellStyle name="SAPBEXHLevel0 6" xfId="970" xr:uid="{00000000-0005-0000-0000-0000B2040000}"/>
    <cellStyle name="SAPBEXHLevel0 6 2" xfId="971" xr:uid="{00000000-0005-0000-0000-0000B3040000}"/>
    <cellStyle name="SAPBEXHLevel0 6_658-CAX" xfId="1838" xr:uid="{00000000-0005-0000-0000-0000B4040000}"/>
    <cellStyle name="SAPBEXHLevel0 7" xfId="972" xr:uid="{00000000-0005-0000-0000-0000B5040000}"/>
    <cellStyle name="SAPBEXHLevel0 7 2" xfId="973" xr:uid="{00000000-0005-0000-0000-0000B6040000}"/>
    <cellStyle name="SAPBEXHLevel0 7_658-CAX" xfId="1839" xr:uid="{00000000-0005-0000-0000-0000B7040000}"/>
    <cellStyle name="SAPBEXHLevel0 8" xfId="974" xr:uid="{00000000-0005-0000-0000-0000B8040000}"/>
    <cellStyle name="SAPBEXHLevel0 8 2" xfId="975" xr:uid="{00000000-0005-0000-0000-0000B9040000}"/>
    <cellStyle name="SAPBEXHLevel0 8_658-CAX" xfId="1840" xr:uid="{00000000-0005-0000-0000-0000BA040000}"/>
    <cellStyle name="SAPBEXHLevel0 9" xfId="976" xr:uid="{00000000-0005-0000-0000-0000BB040000}"/>
    <cellStyle name="SAPBEXHLevel0_658-CAX" xfId="1833" xr:uid="{00000000-0005-0000-0000-0000BC040000}"/>
    <cellStyle name="SAPBEXHLevel0X" xfId="977" xr:uid="{00000000-0005-0000-0000-0000BD040000}"/>
    <cellStyle name="SAPBEXHLevel0X 10" xfId="978" xr:uid="{00000000-0005-0000-0000-0000BE040000}"/>
    <cellStyle name="SAPBEXHLevel0X 10 2" xfId="979" xr:uid="{00000000-0005-0000-0000-0000BF040000}"/>
    <cellStyle name="SAPBEXHLevel0X 10_658-CAX" xfId="1842" xr:uid="{00000000-0005-0000-0000-0000C0040000}"/>
    <cellStyle name="SAPBEXHLevel0X 11" xfId="980" xr:uid="{00000000-0005-0000-0000-0000C1040000}"/>
    <cellStyle name="SAPBEXHLevel0X 11 2" xfId="981" xr:uid="{00000000-0005-0000-0000-0000C2040000}"/>
    <cellStyle name="SAPBEXHLevel0X 11_658-CAX" xfId="1843" xr:uid="{00000000-0005-0000-0000-0000C3040000}"/>
    <cellStyle name="SAPBEXHLevel0X 12" xfId="982" xr:uid="{00000000-0005-0000-0000-0000C4040000}"/>
    <cellStyle name="SAPBEXHLevel0X 12 2" xfId="983" xr:uid="{00000000-0005-0000-0000-0000C5040000}"/>
    <cellStyle name="SAPBEXHLevel0X 12_658-CAX" xfId="1844" xr:uid="{00000000-0005-0000-0000-0000C6040000}"/>
    <cellStyle name="SAPBEXHLevel0X 13" xfId="984" xr:uid="{00000000-0005-0000-0000-0000C7040000}"/>
    <cellStyle name="SAPBEXHLevel0X 13 2" xfId="985" xr:uid="{00000000-0005-0000-0000-0000C8040000}"/>
    <cellStyle name="SAPBEXHLevel0X 13_658-CAX" xfId="1845" xr:uid="{00000000-0005-0000-0000-0000C9040000}"/>
    <cellStyle name="SAPBEXHLevel0X 14" xfId="986" xr:uid="{00000000-0005-0000-0000-0000CA040000}"/>
    <cellStyle name="SAPBEXHLevel0X 14 2" xfId="987" xr:uid="{00000000-0005-0000-0000-0000CB040000}"/>
    <cellStyle name="SAPBEXHLevel0X 14_658-CAX" xfId="1846" xr:uid="{00000000-0005-0000-0000-0000CC040000}"/>
    <cellStyle name="SAPBEXHLevel0X 15" xfId="988" xr:uid="{00000000-0005-0000-0000-0000CD040000}"/>
    <cellStyle name="SAPBEXHLevel0X 15 2" xfId="989" xr:uid="{00000000-0005-0000-0000-0000CE040000}"/>
    <cellStyle name="SAPBEXHLevel0X 15_658-CAX" xfId="1847" xr:uid="{00000000-0005-0000-0000-0000CF040000}"/>
    <cellStyle name="SAPBEXHLevel0X 16" xfId="990" xr:uid="{00000000-0005-0000-0000-0000D0040000}"/>
    <cellStyle name="SAPBEXHLevel0X 16 2" xfId="991" xr:uid="{00000000-0005-0000-0000-0000D1040000}"/>
    <cellStyle name="SAPBEXHLevel0X 16_658-CAX" xfId="1848" xr:uid="{00000000-0005-0000-0000-0000D2040000}"/>
    <cellStyle name="SAPBEXHLevel0X 17" xfId="992" xr:uid="{00000000-0005-0000-0000-0000D3040000}"/>
    <cellStyle name="SAPBEXHLevel0X 17 2" xfId="993" xr:uid="{00000000-0005-0000-0000-0000D4040000}"/>
    <cellStyle name="SAPBEXHLevel0X 17_658-CAX" xfId="1849" xr:uid="{00000000-0005-0000-0000-0000D5040000}"/>
    <cellStyle name="SAPBEXHLevel0X 18" xfId="994" xr:uid="{00000000-0005-0000-0000-0000D6040000}"/>
    <cellStyle name="SAPBEXHLevel0X 18 2" xfId="995" xr:uid="{00000000-0005-0000-0000-0000D7040000}"/>
    <cellStyle name="SAPBEXHLevel0X 18_658-CAX" xfId="1850" xr:uid="{00000000-0005-0000-0000-0000D8040000}"/>
    <cellStyle name="SAPBEXHLevel0X 19" xfId="996" xr:uid="{00000000-0005-0000-0000-0000D9040000}"/>
    <cellStyle name="SAPBEXHLevel0X 19 2" xfId="997" xr:uid="{00000000-0005-0000-0000-0000DA040000}"/>
    <cellStyle name="SAPBEXHLevel0X 19_658-CAX" xfId="1851" xr:uid="{00000000-0005-0000-0000-0000DB040000}"/>
    <cellStyle name="SAPBEXHLevel0X 2" xfId="998" xr:uid="{00000000-0005-0000-0000-0000DC040000}"/>
    <cellStyle name="SAPBEXHLevel0X 2 2" xfId="999" xr:uid="{00000000-0005-0000-0000-0000DD040000}"/>
    <cellStyle name="SAPBEXHLevel0X 2_658-CAX" xfId="1852" xr:uid="{00000000-0005-0000-0000-0000DE040000}"/>
    <cellStyle name="SAPBEXHLevel0X 20" xfId="1000" xr:uid="{00000000-0005-0000-0000-0000DF040000}"/>
    <cellStyle name="SAPBEXHLevel0X 20 2" xfId="1001" xr:uid="{00000000-0005-0000-0000-0000E0040000}"/>
    <cellStyle name="SAPBEXHLevel0X 20_658-CAX" xfId="1853" xr:uid="{00000000-0005-0000-0000-0000E1040000}"/>
    <cellStyle name="SAPBEXHLevel0X 21" xfId="1002" xr:uid="{00000000-0005-0000-0000-0000E2040000}"/>
    <cellStyle name="SAPBEXHLevel0X 21 2" xfId="1003" xr:uid="{00000000-0005-0000-0000-0000E3040000}"/>
    <cellStyle name="SAPBEXHLevel0X 21_658-CAX" xfId="1854" xr:uid="{00000000-0005-0000-0000-0000E4040000}"/>
    <cellStyle name="SAPBEXHLevel0X 22" xfId="1004" xr:uid="{00000000-0005-0000-0000-0000E5040000}"/>
    <cellStyle name="SAPBEXHLevel0X 22 2" xfId="1005" xr:uid="{00000000-0005-0000-0000-0000E6040000}"/>
    <cellStyle name="SAPBEXHLevel0X 22_658-CAX" xfId="1855" xr:uid="{00000000-0005-0000-0000-0000E7040000}"/>
    <cellStyle name="SAPBEXHLevel0X 23" xfId="1006" xr:uid="{00000000-0005-0000-0000-0000E8040000}"/>
    <cellStyle name="SAPBEXHLevel0X 23 2" xfId="1007" xr:uid="{00000000-0005-0000-0000-0000E9040000}"/>
    <cellStyle name="SAPBEXHLevel0X 23_658-CAX" xfId="1856" xr:uid="{00000000-0005-0000-0000-0000EA040000}"/>
    <cellStyle name="SAPBEXHLevel0X 24" xfId="1008" xr:uid="{00000000-0005-0000-0000-0000EB040000}"/>
    <cellStyle name="SAPBEXHLevel0X 24 2" xfId="1009" xr:uid="{00000000-0005-0000-0000-0000EC040000}"/>
    <cellStyle name="SAPBEXHLevel0X 24_658-CAX" xfId="1857" xr:uid="{00000000-0005-0000-0000-0000ED040000}"/>
    <cellStyle name="SAPBEXHLevel0X 25" xfId="1010" xr:uid="{00000000-0005-0000-0000-0000EE040000}"/>
    <cellStyle name="SAPBEXHLevel0X 25 2" xfId="1011" xr:uid="{00000000-0005-0000-0000-0000EF040000}"/>
    <cellStyle name="SAPBEXHLevel0X 25_658-CAX" xfId="1858" xr:uid="{00000000-0005-0000-0000-0000F0040000}"/>
    <cellStyle name="SAPBEXHLevel0X 26" xfId="1012" xr:uid="{00000000-0005-0000-0000-0000F1040000}"/>
    <cellStyle name="SAPBEXHLevel0X 26 2" xfId="1013" xr:uid="{00000000-0005-0000-0000-0000F2040000}"/>
    <cellStyle name="SAPBEXHLevel0X 26_658-CAX" xfId="1859" xr:uid="{00000000-0005-0000-0000-0000F3040000}"/>
    <cellStyle name="SAPBEXHLevel0X 27" xfId="1014" xr:uid="{00000000-0005-0000-0000-0000F4040000}"/>
    <cellStyle name="SAPBEXHLevel0X 27 2" xfId="1015" xr:uid="{00000000-0005-0000-0000-0000F5040000}"/>
    <cellStyle name="SAPBEXHLevel0X 27_658-CAX" xfId="1860" xr:uid="{00000000-0005-0000-0000-0000F6040000}"/>
    <cellStyle name="SAPBEXHLevel0X 28" xfId="1016" xr:uid="{00000000-0005-0000-0000-0000F7040000}"/>
    <cellStyle name="SAPBEXHLevel0X 28 2" xfId="1017" xr:uid="{00000000-0005-0000-0000-0000F8040000}"/>
    <cellStyle name="SAPBEXHLevel0X 28_658-CAX" xfId="1861" xr:uid="{00000000-0005-0000-0000-0000F9040000}"/>
    <cellStyle name="SAPBEXHLevel0X 29" xfId="1018" xr:uid="{00000000-0005-0000-0000-0000FA040000}"/>
    <cellStyle name="SAPBEXHLevel0X 29 2" xfId="1019" xr:uid="{00000000-0005-0000-0000-0000FB040000}"/>
    <cellStyle name="SAPBEXHLevel0X 29_658-CAX" xfId="1862" xr:uid="{00000000-0005-0000-0000-0000FC040000}"/>
    <cellStyle name="SAPBEXHLevel0X 3" xfId="1020" xr:uid="{00000000-0005-0000-0000-0000FD040000}"/>
    <cellStyle name="SAPBEXHLevel0X 3 2" xfId="1021" xr:uid="{00000000-0005-0000-0000-0000FE040000}"/>
    <cellStyle name="SAPBEXHLevel0X 3_658-CAX" xfId="1863" xr:uid="{00000000-0005-0000-0000-0000FF040000}"/>
    <cellStyle name="SAPBEXHLevel0X 30" xfId="1022" xr:uid="{00000000-0005-0000-0000-000000050000}"/>
    <cellStyle name="SAPBEXHLevel0X 30 2" xfId="1023" xr:uid="{00000000-0005-0000-0000-000001050000}"/>
    <cellStyle name="SAPBEXHLevel0X 30_658-CAX" xfId="1864" xr:uid="{00000000-0005-0000-0000-000002050000}"/>
    <cellStyle name="SAPBEXHLevel0X 31" xfId="1024" xr:uid="{00000000-0005-0000-0000-000003050000}"/>
    <cellStyle name="SAPBEXHLevel0X 31 2" xfId="1025" xr:uid="{00000000-0005-0000-0000-000004050000}"/>
    <cellStyle name="SAPBEXHLevel0X 31_658-CAX" xfId="1865" xr:uid="{00000000-0005-0000-0000-000005050000}"/>
    <cellStyle name="SAPBEXHLevel0X 32" xfId="1026" xr:uid="{00000000-0005-0000-0000-000006050000}"/>
    <cellStyle name="SAPBEXHLevel0X 32 2" xfId="1027" xr:uid="{00000000-0005-0000-0000-000007050000}"/>
    <cellStyle name="SAPBEXHLevel0X 32_658-CAX" xfId="1866" xr:uid="{00000000-0005-0000-0000-000008050000}"/>
    <cellStyle name="SAPBEXHLevel0X 33" xfId="1028" xr:uid="{00000000-0005-0000-0000-000009050000}"/>
    <cellStyle name="SAPBEXHLevel0X 33 2" xfId="1029" xr:uid="{00000000-0005-0000-0000-00000A050000}"/>
    <cellStyle name="SAPBEXHLevel0X 33_658-CAX" xfId="1867" xr:uid="{00000000-0005-0000-0000-00000B050000}"/>
    <cellStyle name="SAPBEXHLevel0X 34" xfId="1030" xr:uid="{00000000-0005-0000-0000-00000C050000}"/>
    <cellStyle name="SAPBEXHLevel0X 34 2" xfId="1031" xr:uid="{00000000-0005-0000-0000-00000D050000}"/>
    <cellStyle name="SAPBEXHLevel0X 34_658-CAX" xfId="1868" xr:uid="{00000000-0005-0000-0000-00000E050000}"/>
    <cellStyle name="SAPBEXHLevel0X 35" xfId="1032" xr:uid="{00000000-0005-0000-0000-00000F050000}"/>
    <cellStyle name="SAPBEXHLevel0X 35 2" xfId="1033" xr:uid="{00000000-0005-0000-0000-000010050000}"/>
    <cellStyle name="SAPBEXHLevel0X 35_658-CAX" xfId="1869" xr:uid="{00000000-0005-0000-0000-000011050000}"/>
    <cellStyle name="SAPBEXHLevel0X 36" xfId="1034" xr:uid="{00000000-0005-0000-0000-000012050000}"/>
    <cellStyle name="SAPBEXHLevel0X 36 2" xfId="1035" xr:uid="{00000000-0005-0000-0000-000013050000}"/>
    <cellStyle name="SAPBEXHLevel0X 36_658-CAX" xfId="1870" xr:uid="{00000000-0005-0000-0000-000014050000}"/>
    <cellStyle name="SAPBEXHLevel0X 37" xfId="1036" xr:uid="{00000000-0005-0000-0000-000015050000}"/>
    <cellStyle name="SAPBEXHLevel0X 37 2" xfId="1037" xr:uid="{00000000-0005-0000-0000-000016050000}"/>
    <cellStyle name="SAPBEXHLevel0X 37_658-CAX" xfId="1871" xr:uid="{00000000-0005-0000-0000-000017050000}"/>
    <cellStyle name="SAPBEXHLevel0X 38" xfId="1038" xr:uid="{00000000-0005-0000-0000-000018050000}"/>
    <cellStyle name="SAPBEXHLevel0X 38 2" xfId="1039" xr:uid="{00000000-0005-0000-0000-000019050000}"/>
    <cellStyle name="SAPBEXHLevel0X 38_658-CAX" xfId="1872" xr:uid="{00000000-0005-0000-0000-00001A050000}"/>
    <cellStyle name="SAPBEXHLevel0X 39" xfId="1040" xr:uid="{00000000-0005-0000-0000-00001B050000}"/>
    <cellStyle name="SAPBEXHLevel0X 39 2" xfId="1041" xr:uid="{00000000-0005-0000-0000-00001C050000}"/>
    <cellStyle name="SAPBEXHLevel0X 39_658-CAX" xfId="1873" xr:uid="{00000000-0005-0000-0000-00001D050000}"/>
    <cellStyle name="SAPBEXHLevel0X 4" xfId="1042" xr:uid="{00000000-0005-0000-0000-00001E050000}"/>
    <cellStyle name="SAPBEXHLevel0X 4 2" xfId="1043" xr:uid="{00000000-0005-0000-0000-00001F050000}"/>
    <cellStyle name="SAPBEXHLevel0X 4_658-CAX" xfId="1874" xr:uid="{00000000-0005-0000-0000-000020050000}"/>
    <cellStyle name="SAPBEXHLevel0X 40" xfId="1044" xr:uid="{00000000-0005-0000-0000-000021050000}"/>
    <cellStyle name="SAPBEXHLevel0X 40 2" xfId="1045" xr:uid="{00000000-0005-0000-0000-000022050000}"/>
    <cellStyle name="SAPBEXHLevel0X 40_658-CAX" xfId="1875" xr:uid="{00000000-0005-0000-0000-000023050000}"/>
    <cellStyle name="SAPBEXHLevel0X 41" xfId="1046" xr:uid="{00000000-0005-0000-0000-000024050000}"/>
    <cellStyle name="SAPBEXHLevel0X 41 2" xfId="1047" xr:uid="{00000000-0005-0000-0000-000025050000}"/>
    <cellStyle name="SAPBEXHLevel0X 41_658-CAX" xfId="1876" xr:uid="{00000000-0005-0000-0000-000026050000}"/>
    <cellStyle name="SAPBEXHLevel0X 42" xfId="1048" xr:uid="{00000000-0005-0000-0000-000027050000}"/>
    <cellStyle name="SAPBEXHLevel0X 42 2" xfId="1049" xr:uid="{00000000-0005-0000-0000-000028050000}"/>
    <cellStyle name="SAPBEXHLevel0X 42_658-CAX" xfId="1877" xr:uid="{00000000-0005-0000-0000-000029050000}"/>
    <cellStyle name="SAPBEXHLevel0X 43" xfId="1050" xr:uid="{00000000-0005-0000-0000-00002A050000}"/>
    <cellStyle name="SAPBEXHLevel0X 43 2" xfId="1051" xr:uid="{00000000-0005-0000-0000-00002B050000}"/>
    <cellStyle name="SAPBEXHLevel0X 43_658-CAX" xfId="1878" xr:uid="{00000000-0005-0000-0000-00002C050000}"/>
    <cellStyle name="SAPBEXHLevel0X 44" xfId="1052" xr:uid="{00000000-0005-0000-0000-00002D050000}"/>
    <cellStyle name="SAPBEXHLevel0X 44 2" xfId="1053" xr:uid="{00000000-0005-0000-0000-00002E050000}"/>
    <cellStyle name="SAPBEXHLevel0X 44_658-CAX" xfId="1879" xr:uid="{00000000-0005-0000-0000-00002F050000}"/>
    <cellStyle name="SAPBEXHLevel0X 45" xfId="1054" xr:uid="{00000000-0005-0000-0000-000030050000}"/>
    <cellStyle name="SAPBEXHLevel0X 45 2" xfId="1055" xr:uid="{00000000-0005-0000-0000-000031050000}"/>
    <cellStyle name="SAPBEXHLevel0X 45_658-CAX" xfId="1880" xr:uid="{00000000-0005-0000-0000-000032050000}"/>
    <cellStyle name="SAPBEXHLevel0X 46" xfId="1056" xr:uid="{00000000-0005-0000-0000-000033050000}"/>
    <cellStyle name="SAPBEXHLevel0X 46 2" xfId="1057" xr:uid="{00000000-0005-0000-0000-000034050000}"/>
    <cellStyle name="SAPBEXHLevel0X 46_658-CAX" xfId="1881" xr:uid="{00000000-0005-0000-0000-000035050000}"/>
    <cellStyle name="SAPBEXHLevel0X 47" xfId="1058" xr:uid="{00000000-0005-0000-0000-000036050000}"/>
    <cellStyle name="SAPBEXHLevel0X 47 2" xfId="1059" xr:uid="{00000000-0005-0000-0000-000037050000}"/>
    <cellStyle name="SAPBEXHLevel0X 47_658-CAX" xfId="1882" xr:uid="{00000000-0005-0000-0000-000038050000}"/>
    <cellStyle name="SAPBEXHLevel0X 48" xfId="1060" xr:uid="{00000000-0005-0000-0000-000039050000}"/>
    <cellStyle name="SAPBEXHLevel0X 48 2" xfId="1061" xr:uid="{00000000-0005-0000-0000-00003A050000}"/>
    <cellStyle name="SAPBEXHLevel0X 48_658-CAX" xfId="1883" xr:uid="{00000000-0005-0000-0000-00003B050000}"/>
    <cellStyle name="SAPBEXHLevel0X 49" xfId="1062" xr:uid="{00000000-0005-0000-0000-00003C050000}"/>
    <cellStyle name="SAPBEXHLevel0X 49 2" xfId="1063" xr:uid="{00000000-0005-0000-0000-00003D050000}"/>
    <cellStyle name="SAPBEXHLevel0X 49_658-CAX" xfId="1884" xr:uid="{00000000-0005-0000-0000-00003E050000}"/>
    <cellStyle name="SAPBEXHLevel0X 5" xfId="1064" xr:uid="{00000000-0005-0000-0000-00003F050000}"/>
    <cellStyle name="SAPBEXHLevel0X 5 2" xfId="1065" xr:uid="{00000000-0005-0000-0000-000040050000}"/>
    <cellStyle name="SAPBEXHLevel0X 5_658-CAX" xfId="1885" xr:uid="{00000000-0005-0000-0000-000041050000}"/>
    <cellStyle name="SAPBEXHLevel0X 50" xfId="1066" xr:uid="{00000000-0005-0000-0000-000042050000}"/>
    <cellStyle name="SAPBEXHLevel0X 6" xfId="1067" xr:uid="{00000000-0005-0000-0000-000043050000}"/>
    <cellStyle name="SAPBEXHLevel0X 6 2" xfId="1068" xr:uid="{00000000-0005-0000-0000-000044050000}"/>
    <cellStyle name="SAPBEXHLevel0X 6_658-CAX" xfId="1886" xr:uid="{00000000-0005-0000-0000-000045050000}"/>
    <cellStyle name="SAPBEXHLevel0X 7" xfId="1069" xr:uid="{00000000-0005-0000-0000-000046050000}"/>
    <cellStyle name="SAPBEXHLevel0X 7 2" xfId="1070" xr:uid="{00000000-0005-0000-0000-000047050000}"/>
    <cellStyle name="SAPBEXHLevel0X 7_658-CAX" xfId="1887" xr:uid="{00000000-0005-0000-0000-000048050000}"/>
    <cellStyle name="SAPBEXHLevel0X 8" xfId="1071" xr:uid="{00000000-0005-0000-0000-000049050000}"/>
    <cellStyle name="SAPBEXHLevel0X 8 2" xfId="1072" xr:uid="{00000000-0005-0000-0000-00004A050000}"/>
    <cellStyle name="SAPBEXHLevel0X 8_658-CAX" xfId="1888" xr:uid="{00000000-0005-0000-0000-00004B050000}"/>
    <cellStyle name="SAPBEXHLevel0X 9" xfId="1073" xr:uid="{00000000-0005-0000-0000-00004C050000}"/>
    <cellStyle name="SAPBEXHLevel0X 9 2" xfId="1074" xr:uid="{00000000-0005-0000-0000-00004D050000}"/>
    <cellStyle name="SAPBEXHLevel0X 9_658-CAX" xfId="1889" xr:uid="{00000000-0005-0000-0000-00004E050000}"/>
    <cellStyle name="SAPBEXHLevel0X_658-CAX" xfId="1841" xr:uid="{00000000-0005-0000-0000-00004F050000}"/>
    <cellStyle name="SAPBEXHLevel1" xfId="1075" xr:uid="{00000000-0005-0000-0000-000050050000}"/>
    <cellStyle name="SAPBEXHLevel1 2" xfId="1076" xr:uid="{00000000-0005-0000-0000-000051050000}"/>
    <cellStyle name="SAPBEXHLevel1 2 2" xfId="1077" xr:uid="{00000000-0005-0000-0000-000052050000}"/>
    <cellStyle name="SAPBEXHLevel1 2_658-CAX" xfId="1891" xr:uid="{00000000-0005-0000-0000-000053050000}"/>
    <cellStyle name="SAPBEXHLevel1 3" xfId="1078" xr:uid="{00000000-0005-0000-0000-000054050000}"/>
    <cellStyle name="SAPBEXHLevel1 3 2" xfId="1079" xr:uid="{00000000-0005-0000-0000-000055050000}"/>
    <cellStyle name="SAPBEXHLevel1 3_658-CAX" xfId="1892" xr:uid="{00000000-0005-0000-0000-000056050000}"/>
    <cellStyle name="SAPBEXHLevel1 4" xfId="1080" xr:uid="{00000000-0005-0000-0000-000057050000}"/>
    <cellStyle name="SAPBEXHLevel1 4 2" xfId="1081" xr:uid="{00000000-0005-0000-0000-000058050000}"/>
    <cellStyle name="SAPBEXHLevel1 4_658-CAX" xfId="1893" xr:uid="{00000000-0005-0000-0000-000059050000}"/>
    <cellStyle name="SAPBEXHLevel1 5" xfId="1082" xr:uid="{00000000-0005-0000-0000-00005A050000}"/>
    <cellStyle name="SAPBEXHLevel1 5 2" xfId="1083" xr:uid="{00000000-0005-0000-0000-00005B050000}"/>
    <cellStyle name="SAPBEXHLevel1 5_658-CAX" xfId="1894" xr:uid="{00000000-0005-0000-0000-00005C050000}"/>
    <cellStyle name="SAPBEXHLevel1 6" xfId="1084" xr:uid="{00000000-0005-0000-0000-00005D050000}"/>
    <cellStyle name="SAPBEXHLevel1 6 2" xfId="1085" xr:uid="{00000000-0005-0000-0000-00005E050000}"/>
    <cellStyle name="SAPBEXHLevel1 6_658-CAX" xfId="1895" xr:uid="{00000000-0005-0000-0000-00005F050000}"/>
    <cellStyle name="SAPBEXHLevel1 7" xfId="1086" xr:uid="{00000000-0005-0000-0000-000060050000}"/>
    <cellStyle name="SAPBEXHLevel1 7 2" xfId="1087" xr:uid="{00000000-0005-0000-0000-000061050000}"/>
    <cellStyle name="SAPBEXHLevel1 7_658-CAX" xfId="1896" xr:uid="{00000000-0005-0000-0000-000062050000}"/>
    <cellStyle name="SAPBEXHLevel1 8" xfId="1088" xr:uid="{00000000-0005-0000-0000-000063050000}"/>
    <cellStyle name="SAPBEXHLevel1 8 2" xfId="1089" xr:uid="{00000000-0005-0000-0000-000064050000}"/>
    <cellStyle name="SAPBEXHLevel1 8_658-CAX" xfId="1897" xr:uid="{00000000-0005-0000-0000-000065050000}"/>
    <cellStyle name="SAPBEXHLevel1 9" xfId="1090" xr:uid="{00000000-0005-0000-0000-000066050000}"/>
    <cellStyle name="SAPBEXHLevel1_658-CAX" xfId="1890" xr:uid="{00000000-0005-0000-0000-000067050000}"/>
    <cellStyle name="SAPBEXHLevel1X" xfId="1091" xr:uid="{00000000-0005-0000-0000-000068050000}"/>
    <cellStyle name="SAPBEXHLevel1X 10" xfId="1092" xr:uid="{00000000-0005-0000-0000-000069050000}"/>
    <cellStyle name="SAPBEXHLevel1X 10 2" xfId="1093" xr:uid="{00000000-0005-0000-0000-00006A050000}"/>
    <cellStyle name="SAPBEXHLevel1X 10_658-CAX" xfId="1899" xr:uid="{00000000-0005-0000-0000-00006B050000}"/>
    <cellStyle name="SAPBEXHLevel1X 11" xfId="1094" xr:uid="{00000000-0005-0000-0000-00006C050000}"/>
    <cellStyle name="SAPBEXHLevel1X 11 2" xfId="1095" xr:uid="{00000000-0005-0000-0000-00006D050000}"/>
    <cellStyle name="SAPBEXHLevel1X 11_658-CAX" xfId="1900" xr:uid="{00000000-0005-0000-0000-00006E050000}"/>
    <cellStyle name="SAPBEXHLevel1X 12" xfId="1096" xr:uid="{00000000-0005-0000-0000-00006F050000}"/>
    <cellStyle name="SAPBEXHLevel1X 12 2" xfId="1097" xr:uid="{00000000-0005-0000-0000-000070050000}"/>
    <cellStyle name="SAPBEXHLevel1X 12_658-CAX" xfId="1901" xr:uid="{00000000-0005-0000-0000-000071050000}"/>
    <cellStyle name="SAPBEXHLevel1X 13" xfId="1098" xr:uid="{00000000-0005-0000-0000-000072050000}"/>
    <cellStyle name="SAPBEXHLevel1X 13 2" xfId="1099" xr:uid="{00000000-0005-0000-0000-000073050000}"/>
    <cellStyle name="SAPBEXHLevel1X 13_658-CAX" xfId="1902" xr:uid="{00000000-0005-0000-0000-000074050000}"/>
    <cellStyle name="SAPBEXHLevel1X 14" xfId="1100" xr:uid="{00000000-0005-0000-0000-000075050000}"/>
    <cellStyle name="SAPBEXHLevel1X 14 2" xfId="1101" xr:uid="{00000000-0005-0000-0000-000076050000}"/>
    <cellStyle name="SAPBEXHLevel1X 14_658-CAX" xfId="1903" xr:uid="{00000000-0005-0000-0000-000077050000}"/>
    <cellStyle name="SAPBEXHLevel1X 15" xfId="1102" xr:uid="{00000000-0005-0000-0000-000078050000}"/>
    <cellStyle name="SAPBEXHLevel1X 15 2" xfId="1103" xr:uid="{00000000-0005-0000-0000-000079050000}"/>
    <cellStyle name="SAPBEXHLevel1X 15_658-CAX" xfId="1904" xr:uid="{00000000-0005-0000-0000-00007A050000}"/>
    <cellStyle name="SAPBEXHLevel1X 16" xfId="1104" xr:uid="{00000000-0005-0000-0000-00007B050000}"/>
    <cellStyle name="SAPBEXHLevel1X 16 2" xfId="1105" xr:uid="{00000000-0005-0000-0000-00007C050000}"/>
    <cellStyle name="SAPBEXHLevel1X 16_658-CAX" xfId="1905" xr:uid="{00000000-0005-0000-0000-00007D050000}"/>
    <cellStyle name="SAPBEXHLevel1X 17" xfId="1106" xr:uid="{00000000-0005-0000-0000-00007E050000}"/>
    <cellStyle name="SAPBEXHLevel1X 17 2" xfId="1107" xr:uid="{00000000-0005-0000-0000-00007F050000}"/>
    <cellStyle name="SAPBEXHLevel1X 17_658-CAX" xfId="1906" xr:uid="{00000000-0005-0000-0000-000080050000}"/>
    <cellStyle name="SAPBEXHLevel1X 18" xfId="1108" xr:uid="{00000000-0005-0000-0000-000081050000}"/>
    <cellStyle name="SAPBEXHLevel1X 18 2" xfId="1109" xr:uid="{00000000-0005-0000-0000-000082050000}"/>
    <cellStyle name="SAPBEXHLevel1X 18_658-CAX" xfId="1907" xr:uid="{00000000-0005-0000-0000-000083050000}"/>
    <cellStyle name="SAPBEXHLevel1X 19" xfId="1110" xr:uid="{00000000-0005-0000-0000-000084050000}"/>
    <cellStyle name="SAPBEXHLevel1X 19 2" xfId="1111" xr:uid="{00000000-0005-0000-0000-000085050000}"/>
    <cellStyle name="SAPBEXHLevel1X 19_658-CAX" xfId="1908" xr:uid="{00000000-0005-0000-0000-000086050000}"/>
    <cellStyle name="SAPBEXHLevel1X 2" xfId="1112" xr:uid="{00000000-0005-0000-0000-000087050000}"/>
    <cellStyle name="SAPBEXHLevel1X 2 2" xfId="1113" xr:uid="{00000000-0005-0000-0000-000088050000}"/>
    <cellStyle name="SAPBEXHLevel1X 2_658-CAX" xfId="1909" xr:uid="{00000000-0005-0000-0000-000089050000}"/>
    <cellStyle name="SAPBEXHLevel1X 20" xfId="1114" xr:uid="{00000000-0005-0000-0000-00008A050000}"/>
    <cellStyle name="SAPBEXHLevel1X 20 2" xfId="1115" xr:uid="{00000000-0005-0000-0000-00008B050000}"/>
    <cellStyle name="SAPBEXHLevel1X 20_658-CAX" xfId="1910" xr:uid="{00000000-0005-0000-0000-00008C050000}"/>
    <cellStyle name="SAPBEXHLevel1X 21" xfId="1116" xr:uid="{00000000-0005-0000-0000-00008D050000}"/>
    <cellStyle name="SAPBEXHLevel1X 21 2" xfId="1117" xr:uid="{00000000-0005-0000-0000-00008E050000}"/>
    <cellStyle name="SAPBEXHLevel1X 21_658-CAX" xfId="1911" xr:uid="{00000000-0005-0000-0000-00008F050000}"/>
    <cellStyle name="SAPBEXHLevel1X 22" xfId="1118" xr:uid="{00000000-0005-0000-0000-000090050000}"/>
    <cellStyle name="SAPBEXHLevel1X 22 2" xfId="1119" xr:uid="{00000000-0005-0000-0000-000091050000}"/>
    <cellStyle name="SAPBEXHLevel1X 22_658-CAX" xfId="1912" xr:uid="{00000000-0005-0000-0000-000092050000}"/>
    <cellStyle name="SAPBEXHLevel1X 23" xfId="1120" xr:uid="{00000000-0005-0000-0000-000093050000}"/>
    <cellStyle name="SAPBEXHLevel1X 23 2" xfId="1121" xr:uid="{00000000-0005-0000-0000-000094050000}"/>
    <cellStyle name="SAPBEXHLevel1X 23_658-CAX" xfId="1913" xr:uid="{00000000-0005-0000-0000-000095050000}"/>
    <cellStyle name="SAPBEXHLevel1X 24" xfId="1122" xr:uid="{00000000-0005-0000-0000-000096050000}"/>
    <cellStyle name="SAPBEXHLevel1X 24 2" xfId="1123" xr:uid="{00000000-0005-0000-0000-000097050000}"/>
    <cellStyle name="SAPBEXHLevel1X 24_658-CAX" xfId="1914" xr:uid="{00000000-0005-0000-0000-000098050000}"/>
    <cellStyle name="SAPBEXHLevel1X 25" xfId="1124" xr:uid="{00000000-0005-0000-0000-000099050000}"/>
    <cellStyle name="SAPBEXHLevel1X 25 2" xfId="1125" xr:uid="{00000000-0005-0000-0000-00009A050000}"/>
    <cellStyle name="SAPBEXHLevel1X 25_658-CAX" xfId="1915" xr:uid="{00000000-0005-0000-0000-00009B050000}"/>
    <cellStyle name="SAPBEXHLevel1X 26" xfId="1126" xr:uid="{00000000-0005-0000-0000-00009C050000}"/>
    <cellStyle name="SAPBEXHLevel1X 26 2" xfId="1127" xr:uid="{00000000-0005-0000-0000-00009D050000}"/>
    <cellStyle name="SAPBEXHLevel1X 26_658-CAX" xfId="1916" xr:uid="{00000000-0005-0000-0000-00009E050000}"/>
    <cellStyle name="SAPBEXHLevel1X 27" xfId="1128" xr:uid="{00000000-0005-0000-0000-00009F050000}"/>
    <cellStyle name="SAPBEXHLevel1X 27 2" xfId="1129" xr:uid="{00000000-0005-0000-0000-0000A0050000}"/>
    <cellStyle name="SAPBEXHLevel1X 27_658-CAX" xfId="1917" xr:uid="{00000000-0005-0000-0000-0000A1050000}"/>
    <cellStyle name="SAPBEXHLevel1X 28" xfId="1130" xr:uid="{00000000-0005-0000-0000-0000A2050000}"/>
    <cellStyle name="SAPBEXHLevel1X 28 2" xfId="1131" xr:uid="{00000000-0005-0000-0000-0000A3050000}"/>
    <cellStyle name="SAPBEXHLevel1X 28_658-CAX" xfId="1918" xr:uid="{00000000-0005-0000-0000-0000A4050000}"/>
    <cellStyle name="SAPBEXHLevel1X 29" xfId="1132" xr:uid="{00000000-0005-0000-0000-0000A5050000}"/>
    <cellStyle name="SAPBEXHLevel1X 29 2" xfId="1133" xr:uid="{00000000-0005-0000-0000-0000A6050000}"/>
    <cellStyle name="SAPBEXHLevel1X 29_658-CAX" xfId="1919" xr:uid="{00000000-0005-0000-0000-0000A7050000}"/>
    <cellStyle name="SAPBEXHLevel1X 3" xfId="1134" xr:uid="{00000000-0005-0000-0000-0000A8050000}"/>
    <cellStyle name="SAPBEXHLevel1X 3 2" xfId="1135" xr:uid="{00000000-0005-0000-0000-0000A9050000}"/>
    <cellStyle name="SAPBEXHLevel1X 3_658-CAX" xfId="1920" xr:uid="{00000000-0005-0000-0000-0000AA050000}"/>
    <cellStyle name="SAPBEXHLevel1X 30" xfId="1136" xr:uid="{00000000-0005-0000-0000-0000AB050000}"/>
    <cellStyle name="SAPBEXHLevel1X 30 2" xfId="1137" xr:uid="{00000000-0005-0000-0000-0000AC050000}"/>
    <cellStyle name="SAPBEXHLevel1X 30_658-CAX" xfId="1921" xr:uid="{00000000-0005-0000-0000-0000AD050000}"/>
    <cellStyle name="SAPBEXHLevel1X 31" xfId="1138" xr:uid="{00000000-0005-0000-0000-0000AE050000}"/>
    <cellStyle name="SAPBEXHLevel1X 31 2" xfId="1139" xr:uid="{00000000-0005-0000-0000-0000AF050000}"/>
    <cellStyle name="SAPBEXHLevel1X 31_658-CAX" xfId="1922" xr:uid="{00000000-0005-0000-0000-0000B0050000}"/>
    <cellStyle name="SAPBEXHLevel1X 32" xfId="1140" xr:uid="{00000000-0005-0000-0000-0000B1050000}"/>
    <cellStyle name="SAPBEXHLevel1X 32 2" xfId="1141" xr:uid="{00000000-0005-0000-0000-0000B2050000}"/>
    <cellStyle name="SAPBEXHLevel1X 32_658-CAX" xfId="1923" xr:uid="{00000000-0005-0000-0000-0000B3050000}"/>
    <cellStyle name="SAPBEXHLevel1X 33" xfId="1142" xr:uid="{00000000-0005-0000-0000-0000B4050000}"/>
    <cellStyle name="SAPBEXHLevel1X 33 2" xfId="1143" xr:uid="{00000000-0005-0000-0000-0000B5050000}"/>
    <cellStyle name="SAPBEXHLevel1X 33_658-CAX" xfId="1924" xr:uid="{00000000-0005-0000-0000-0000B6050000}"/>
    <cellStyle name="SAPBEXHLevel1X 34" xfId="1144" xr:uid="{00000000-0005-0000-0000-0000B7050000}"/>
    <cellStyle name="SAPBEXHLevel1X 34 2" xfId="1145" xr:uid="{00000000-0005-0000-0000-0000B8050000}"/>
    <cellStyle name="SAPBEXHLevel1X 34_658-CAX" xfId="1925" xr:uid="{00000000-0005-0000-0000-0000B9050000}"/>
    <cellStyle name="SAPBEXHLevel1X 35" xfId="1146" xr:uid="{00000000-0005-0000-0000-0000BA050000}"/>
    <cellStyle name="SAPBEXHLevel1X 35 2" xfId="1147" xr:uid="{00000000-0005-0000-0000-0000BB050000}"/>
    <cellStyle name="SAPBEXHLevel1X 35_658-CAX" xfId="1926" xr:uid="{00000000-0005-0000-0000-0000BC050000}"/>
    <cellStyle name="SAPBEXHLevel1X 36" xfId="1148" xr:uid="{00000000-0005-0000-0000-0000BD050000}"/>
    <cellStyle name="SAPBEXHLevel1X 36 2" xfId="1149" xr:uid="{00000000-0005-0000-0000-0000BE050000}"/>
    <cellStyle name="SAPBEXHLevel1X 36_658-CAX" xfId="1927" xr:uid="{00000000-0005-0000-0000-0000BF050000}"/>
    <cellStyle name="SAPBEXHLevel1X 37" xfId="1150" xr:uid="{00000000-0005-0000-0000-0000C0050000}"/>
    <cellStyle name="SAPBEXHLevel1X 37 2" xfId="1151" xr:uid="{00000000-0005-0000-0000-0000C1050000}"/>
    <cellStyle name="SAPBEXHLevel1X 37_658-CAX" xfId="1928" xr:uid="{00000000-0005-0000-0000-0000C2050000}"/>
    <cellStyle name="SAPBEXHLevel1X 38" xfId="1152" xr:uid="{00000000-0005-0000-0000-0000C3050000}"/>
    <cellStyle name="SAPBEXHLevel1X 38 2" xfId="1153" xr:uid="{00000000-0005-0000-0000-0000C4050000}"/>
    <cellStyle name="SAPBEXHLevel1X 38_658-CAX" xfId="1929" xr:uid="{00000000-0005-0000-0000-0000C5050000}"/>
    <cellStyle name="SAPBEXHLevel1X 39" xfId="1154" xr:uid="{00000000-0005-0000-0000-0000C6050000}"/>
    <cellStyle name="SAPBEXHLevel1X 39 2" xfId="1155" xr:uid="{00000000-0005-0000-0000-0000C7050000}"/>
    <cellStyle name="SAPBEXHLevel1X 39_658-CAX" xfId="1930" xr:uid="{00000000-0005-0000-0000-0000C8050000}"/>
    <cellStyle name="SAPBEXHLevel1X 4" xfId="1156" xr:uid="{00000000-0005-0000-0000-0000C9050000}"/>
    <cellStyle name="SAPBEXHLevel1X 4 2" xfId="1157" xr:uid="{00000000-0005-0000-0000-0000CA050000}"/>
    <cellStyle name="SAPBEXHLevel1X 4_658-CAX" xfId="1931" xr:uid="{00000000-0005-0000-0000-0000CB050000}"/>
    <cellStyle name="SAPBEXHLevel1X 40" xfId="1158" xr:uid="{00000000-0005-0000-0000-0000CC050000}"/>
    <cellStyle name="SAPBEXHLevel1X 40 2" xfId="1159" xr:uid="{00000000-0005-0000-0000-0000CD050000}"/>
    <cellStyle name="SAPBEXHLevel1X 40_658-CAX" xfId="1932" xr:uid="{00000000-0005-0000-0000-0000CE050000}"/>
    <cellStyle name="SAPBEXHLevel1X 41" xfId="1160" xr:uid="{00000000-0005-0000-0000-0000CF050000}"/>
    <cellStyle name="SAPBEXHLevel1X 41 2" xfId="1161" xr:uid="{00000000-0005-0000-0000-0000D0050000}"/>
    <cellStyle name="SAPBEXHLevel1X 41_658-CAX" xfId="1933" xr:uid="{00000000-0005-0000-0000-0000D1050000}"/>
    <cellStyle name="SAPBEXHLevel1X 42" xfId="1162" xr:uid="{00000000-0005-0000-0000-0000D2050000}"/>
    <cellStyle name="SAPBEXHLevel1X 42 2" xfId="1163" xr:uid="{00000000-0005-0000-0000-0000D3050000}"/>
    <cellStyle name="SAPBEXHLevel1X 42_658-CAX" xfId="1934" xr:uid="{00000000-0005-0000-0000-0000D4050000}"/>
    <cellStyle name="SAPBEXHLevel1X 43" xfId="1164" xr:uid="{00000000-0005-0000-0000-0000D5050000}"/>
    <cellStyle name="SAPBEXHLevel1X 43 2" xfId="1165" xr:uid="{00000000-0005-0000-0000-0000D6050000}"/>
    <cellStyle name="SAPBEXHLevel1X 43_658-CAX" xfId="1935" xr:uid="{00000000-0005-0000-0000-0000D7050000}"/>
    <cellStyle name="SAPBEXHLevel1X 44" xfId="1166" xr:uid="{00000000-0005-0000-0000-0000D8050000}"/>
    <cellStyle name="SAPBEXHLevel1X 44 2" xfId="1167" xr:uid="{00000000-0005-0000-0000-0000D9050000}"/>
    <cellStyle name="SAPBEXHLevel1X 44_658-CAX" xfId="1936" xr:uid="{00000000-0005-0000-0000-0000DA050000}"/>
    <cellStyle name="SAPBEXHLevel1X 45" xfId="1168" xr:uid="{00000000-0005-0000-0000-0000DB050000}"/>
    <cellStyle name="SAPBEXHLevel1X 45 2" xfId="1169" xr:uid="{00000000-0005-0000-0000-0000DC050000}"/>
    <cellStyle name="SAPBEXHLevel1X 45_658-CAX" xfId="1937" xr:uid="{00000000-0005-0000-0000-0000DD050000}"/>
    <cellStyle name="SAPBEXHLevel1X 46" xfId="1170" xr:uid="{00000000-0005-0000-0000-0000DE050000}"/>
    <cellStyle name="SAPBEXHLevel1X 46 2" xfId="1171" xr:uid="{00000000-0005-0000-0000-0000DF050000}"/>
    <cellStyle name="SAPBEXHLevel1X 46_658-CAX" xfId="1938" xr:uid="{00000000-0005-0000-0000-0000E0050000}"/>
    <cellStyle name="SAPBEXHLevel1X 47" xfId="1172" xr:uid="{00000000-0005-0000-0000-0000E1050000}"/>
    <cellStyle name="SAPBEXHLevel1X 47 2" xfId="1173" xr:uid="{00000000-0005-0000-0000-0000E2050000}"/>
    <cellStyle name="SAPBEXHLevel1X 47_658-CAX" xfId="1939" xr:uid="{00000000-0005-0000-0000-0000E3050000}"/>
    <cellStyle name="SAPBEXHLevel1X 48" xfId="1174" xr:uid="{00000000-0005-0000-0000-0000E4050000}"/>
    <cellStyle name="SAPBEXHLevel1X 48 2" xfId="1175" xr:uid="{00000000-0005-0000-0000-0000E5050000}"/>
    <cellStyle name="SAPBEXHLevel1X 48_658-CAX" xfId="1940" xr:uid="{00000000-0005-0000-0000-0000E6050000}"/>
    <cellStyle name="SAPBEXHLevel1X 49" xfId="1176" xr:uid="{00000000-0005-0000-0000-0000E7050000}"/>
    <cellStyle name="SAPBEXHLevel1X 49 2" xfId="1177" xr:uid="{00000000-0005-0000-0000-0000E8050000}"/>
    <cellStyle name="SAPBEXHLevel1X 49_658-CAX" xfId="1941" xr:uid="{00000000-0005-0000-0000-0000E9050000}"/>
    <cellStyle name="SAPBEXHLevel1X 5" xfId="1178" xr:uid="{00000000-0005-0000-0000-0000EA050000}"/>
    <cellStyle name="SAPBEXHLevel1X 5 2" xfId="1179" xr:uid="{00000000-0005-0000-0000-0000EB050000}"/>
    <cellStyle name="SAPBEXHLevel1X 5_658-CAX" xfId="1942" xr:uid="{00000000-0005-0000-0000-0000EC050000}"/>
    <cellStyle name="SAPBEXHLevel1X 50" xfId="1180" xr:uid="{00000000-0005-0000-0000-0000ED050000}"/>
    <cellStyle name="SAPBEXHLevel1X 6" xfId="1181" xr:uid="{00000000-0005-0000-0000-0000EE050000}"/>
    <cellStyle name="SAPBEXHLevel1X 6 2" xfId="1182" xr:uid="{00000000-0005-0000-0000-0000EF050000}"/>
    <cellStyle name="SAPBEXHLevel1X 6_658-CAX" xfId="1943" xr:uid="{00000000-0005-0000-0000-0000F0050000}"/>
    <cellStyle name="SAPBEXHLevel1X 7" xfId="1183" xr:uid="{00000000-0005-0000-0000-0000F1050000}"/>
    <cellStyle name="SAPBEXHLevel1X 7 2" xfId="1184" xr:uid="{00000000-0005-0000-0000-0000F2050000}"/>
    <cellStyle name="SAPBEXHLevel1X 7_658-CAX" xfId="1944" xr:uid="{00000000-0005-0000-0000-0000F3050000}"/>
    <cellStyle name="SAPBEXHLevel1X 8" xfId="1185" xr:uid="{00000000-0005-0000-0000-0000F4050000}"/>
    <cellStyle name="SAPBEXHLevel1X 8 2" xfId="1186" xr:uid="{00000000-0005-0000-0000-0000F5050000}"/>
    <cellStyle name="SAPBEXHLevel1X 8_658-CAX" xfId="1945" xr:uid="{00000000-0005-0000-0000-0000F6050000}"/>
    <cellStyle name="SAPBEXHLevel1X 9" xfId="1187" xr:uid="{00000000-0005-0000-0000-0000F7050000}"/>
    <cellStyle name="SAPBEXHLevel1X 9 2" xfId="1188" xr:uid="{00000000-0005-0000-0000-0000F8050000}"/>
    <cellStyle name="SAPBEXHLevel1X 9_658-CAX" xfId="1946" xr:uid="{00000000-0005-0000-0000-0000F9050000}"/>
    <cellStyle name="SAPBEXHLevel1X_658-CAX" xfId="1898" xr:uid="{00000000-0005-0000-0000-0000FA050000}"/>
    <cellStyle name="SAPBEXHLevel2" xfId="1189" xr:uid="{00000000-0005-0000-0000-0000FB050000}"/>
    <cellStyle name="SAPBEXHLevel2 2" xfId="1190" xr:uid="{00000000-0005-0000-0000-0000FC050000}"/>
    <cellStyle name="SAPBEXHLevel2 2 2" xfId="1191" xr:uid="{00000000-0005-0000-0000-0000FD050000}"/>
    <cellStyle name="SAPBEXHLevel2 2_658-CAX" xfId="1948" xr:uid="{00000000-0005-0000-0000-0000FE050000}"/>
    <cellStyle name="SAPBEXHLevel2 3" xfId="1192" xr:uid="{00000000-0005-0000-0000-0000FF050000}"/>
    <cellStyle name="SAPBEXHLevel2 3 2" xfId="1193" xr:uid="{00000000-0005-0000-0000-000000060000}"/>
    <cellStyle name="SAPBEXHLevel2 3_658-CAX" xfId="1949" xr:uid="{00000000-0005-0000-0000-000001060000}"/>
    <cellStyle name="SAPBEXHLevel2 4" xfId="1194" xr:uid="{00000000-0005-0000-0000-000002060000}"/>
    <cellStyle name="SAPBEXHLevel2 4 2" xfId="1195" xr:uid="{00000000-0005-0000-0000-000003060000}"/>
    <cellStyle name="SAPBEXHLevel2 4_658-CAX" xfId="1950" xr:uid="{00000000-0005-0000-0000-000004060000}"/>
    <cellStyle name="SAPBEXHLevel2 5" xfId="1196" xr:uid="{00000000-0005-0000-0000-000005060000}"/>
    <cellStyle name="SAPBEXHLevel2 5 2" xfId="1197" xr:uid="{00000000-0005-0000-0000-000006060000}"/>
    <cellStyle name="SAPBEXHLevel2 5_658-CAX" xfId="1951" xr:uid="{00000000-0005-0000-0000-000007060000}"/>
    <cellStyle name="SAPBEXHLevel2 6" xfId="1198" xr:uid="{00000000-0005-0000-0000-000008060000}"/>
    <cellStyle name="SAPBEXHLevel2 6 2" xfId="1199" xr:uid="{00000000-0005-0000-0000-000009060000}"/>
    <cellStyle name="SAPBEXHLevel2 6_658-CAX" xfId="1952" xr:uid="{00000000-0005-0000-0000-00000A060000}"/>
    <cellStyle name="SAPBEXHLevel2 7" xfId="1200" xr:uid="{00000000-0005-0000-0000-00000B060000}"/>
    <cellStyle name="SAPBEXHLevel2 7 2" xfId="1201" xr:uid="{00000000-0005-0000-0000-00000C060000}"/>
    <cellStyle name="SAPBEXHLevel2 7_658-CAX" xfId="1953" xr:uid="{00000000-0005-0000-0000-00000D060000}"/>
    <cellStyle name="SAPBEXHLevel2 8" xfId="1202" xr:uid="{00000000-0005-0000-0000-00000E060000}"/>
    <cellStyle name="SAPBEXHLevel2 8 2" xfId="1203" xr:uid="{00000000-0005-0000-0000-00000F060000}"/>
    <cellStyle name="SAPBEXHLevel2 8_658-CAX" xfId="1954" xr:uid="{00000000-0005-0000-0000-000010060000}"/>
    <cellStyle name="SAPBEXHLevel2 9" xfId="1204" xr:uid="{00000000-0005-0000-0000-000011060000}"/>
    <cellStyle name="SAPBEXHLevel2_658-CAX" xfId="1947" xr:uid="{00000000-0005-0000-0000-000012060000}"/>
    <cellStyle name="SAPBEXHLevel2X" xfId="1205" xr:uid="{00000000-0005-0000-0000-000013060000}"/>
    <cellStyle name="SAPBEXHLevel2X 10" xfId="1206" xr:uid="{00000000-0005-0000-0000-000014060000}"/>
    <cellStyle name="SAPBEXHLevel2X 10 2" xfId="1207" xr:uid="{00000000-0005-0000-0000-000015060000}"/>
    <cellStyle name="SAPBEXHLevel2X 10_658-CAX" xfId="1956" xr:uid="{00000000-0005-0000-0000-000016060000}"/>
    <cellStyle name="SAPBEXHLevel2X 11" xfId="1208" xr:uid="{00000000-0005-0000-0000-000017060000}"/>
    <cellStyle name="SAPBEXHLevel2X 11 2" xfId="1209" xr:uid="{00000000-0005-0000-0000-000018060000}"/>
    <cellStyle name="SAPBEXHLevel2X 11_658-CAX" xfId="1957" xr:uid="{00000000-0005-0000-0000-000019060000}"/>
    <cellStyle name="SAPBEXHLevel2X 12" xfId="1210" xr:uid="{00000000-0005-0000-0000-00001A060000}"/>
    <cellStyle name="SAPBEXHLevel2X 12 2" xfId="1211" xr:uid="{00000000-0005-0000-0000-00001B060000}"/>
    <cellStyle name="SAPBEXHLevel2X 12_658-CAX" xfId="1958" xr:uid="{00000000-0005-0000-0000-00001C060000}"/>
    <cellStyle name="SAPBEXHLevel2X 13" xfId="1212" xr:uid="{00000000-0005-0000-0000-00001D060000}"/>
    <cellStyle name="SAPBEXHLevel2X 13 2" xfId="1213" xr:uid="{00000000-0005-0000-0000-00001E060000}"/>
    <cellStyle name="SAPBEXHLevel2X 13_658-CAX" xfId="1959" xr:uid="{00000000-0005-0000-0000-00001F060000}"/>
    <cellStyle name="SAPBEXHLevel2X 14" xfId="1214" xr:uid="{00000000-0005-0000-0000-000020060000}"/>
    <cellStyle name="SAPBEXHLevel2X 14 2" xfId="1215" xr:uid="{00000000-0005-0000-0000-000021060000}"/>
    <cellStyle name="SAPBEXHLevel2X 14_658-CAX" xfId="1960" xr:uid="{00000000-0005-0000-0000-000022060000}"/>
    <cellStyle name="SAPBEXHLevel2X 15" xfId="1216" xr:uid="{00000000-0005-0000-0000-000023060000}"/>
    <cellStyle name="SAPBEXHLevel2X 15 2" xfId="1217" xr:uid="{00000000-0005-0000-0000-000024060000}"/>
    <cellStyle name="SAPBEXHLevel2X 15_658-CAX" xfId="1961" xr:uid="{00000000-0005-0000-0000-000025060000}"/>
    <cellStyle name="SAPBEXHLevel2X 16" xfId="1218" xr:uid="{00000000-0005-0000-0000-000026060000}"/>
    <cellStyle name="SAPBEXHLevel2X 16 2" xfId="1219" xr:uid="{00000000-0005-0000-0000-000027060000}"/>
    <cellStyle name="SAPBEXHLevel2X 16_658-CAX" xfId="1962" xr:uid="{00000000-0005-0000-0000-000028060000}"/>
    <cellStyle name="SAPBEXHLevel2X 17" xfId="1220" xr:uid="{00000000-0005-0000-0000-000029060000}"/>
    <cellStyle name="SAPBEXHLevel2X 17 2" xfId="1221" xr:uid="{00000000-0005-0000-0000-00002A060000}"/>
    <cellStyle name="SAPBEXHLevel2X 17_658-CAX" xfId="1963" xr:uid="{00000000-0005-0000-0000-00002B060000}"/>
    <cellStyle name="SAPBEXHLevel2X 18" xfId="1222" xr:uid="{00000000-0005-0000-0000-00002C060000}"/>
    <cellStyle name="SAPBEXHLevel2X 18 2" xfId="1223" xr:uid="{00000000-0005-0000-0000-00002D060000}"/>
    <cellStyle name="SAPBEXHLevel2X 18_658-CAX" xfId="1964" xr:uid="{00000000-0005-0000-0000-00002E060000}"/>
    <cellStyle name="SAPBEXHLevel2X 19" xfId="1224" xr:uid="{00000000-0005-0000-0000-00002F060000}"/>
    <cellStyle name="SAPBEXHLevel2X 19 2" xfId="1225" xr:uid="{00000000-0005-0000-0000-000030060000}"/>
    <cellStyle name="SAPBEXHLevel2X 19_658-CAX" xfId="1965" xr:uid="{00000000-0005-0000-0000-000031060000}"/>
    <cellStyle name="SAPBEXHLevel2X 2" xfId="1226" xr:uid="{00000000-0005-0000-0000-000032060000}"/>
    <cellStyle name="SAPBEXHLevel2X 2 2" xfId="1227" xr:uid="{00000000-0005-0000-0000-000033060000}"/>
    <cellStyle name="SAPBEXHLevel2X 2_658-CAX" xfId="1966" xr:uid="{00000000-0005-0000-0000-000034060000}"/>
    <cellStyle name="SAPBEXHLevel2X 20" xfId="1228" xr:uid="{00000000-0005-0000-0000-000035060000}"/>
    <cellStyle name="SAPBEXHLevel2X 20 2" xfId="1229" xr:uid="{00000000-0005-0000-0000-000036060000}"/>
    <cellStyle name="SAPBEXHLevel2X 20_658-CAX" xfId="1967" xr:uid="{00000000-0005-0000-0000-000037060000}"/>
    <cellStyle name="SAPBEXHLevel2X 21" xfId="1230" xr:uid="{00000000-0005-0000-0000-000038060000}"/>
    <cellStyle name="SAPBEXHLevel2X 21 2" xfId="1231" xr:uid="{00000000-0005-0000-0000-000039060000}"/>
    <cellStyle name="SAPBEXHLevel2X 21_658-CAX" xfId="1968" xr:uid="{00000000-0005-0000-0000-00003A060000}"/>
    <cellStyle name="SAPBEXHLevel2X 22" xfId="1232" xr:uid="{00000000-0005-0000-0000-00003B060000}"/>
    <cellStyle name="SAPBEXHLevel2X 22 2" xfId="1233" xr:uid="{00000000-0005-0000-0000-00003C060000}"/>
    <cellStyle name="SAPBEXHLevel2X 22_658-CAX" xfId="1969" xr:uid="{00000000-0005-0000-0000-00003D060000}"/>
    <cellStyle name="SAPBEXHLevel2X 23" xfId="1234" xr:uid="{00000000-0005-0000-0000-00003E060000}"/>
    <cellStyle name="SAPBEXHLevel2X 23 2" xfId="1235" xr:uid="{00000000-0005-0000-0000-00003F060000}"/>
    <cellStyle name="SAPBEXHLevel2X 23_658-CAX" xfId="1970" xr:uid="{00000000-0005-0000-0000-000040060000}"/>
    <cellStyle name="SAPBEXHLevel2X 24" xfId="1236" xr:uid="{00000000-0005-0000-0000-000041060000}"/>
    <cellStyle name="SAPBEXHLevel2X 24 2" xfId="1237" xr:uid="{00000000-0005-0000-0000-000042060000}"/>
    <cellStyle name="SAPBEXHLevel2X 24_658-CAX" xfId="1971" xr:uid="{00000000-0005-0000-0000-000043060000}"/>
    <cellStyle name="SAPBEXHLevel2X 25" xfId="1238" xr:uid="{00000000-0005-0000-0000-000044060000}"/>
    <cellStyle name="SAPBEXHLevel2X 25 2" xfId="1239" xr:uid="{00000000-0005-0000-0000-000045060000}"/>
    <cellStyle name="SAPBEXHLevel2X 25_658-CAX" xfId="1972" xr:uid="{00000000-0005-0000-0000-000046060000}"/>
    <cellStyle name="SAPBEXHLevel2X 26" xfId="1240" xr:uid="{00000000-0005-0000-0000-000047060000}"/>
    <cellStyle name="SAPBEXHLevel2X 26 2" xfId="1241" xr:uid="{00000000-0005-0000-0000-000048060000}"/>
    <cellStyle name="SAPBEXHLevel2X 26_658-CAX" xfId="1973" xr:uid="{00000000-0005-0000-0000-000049060000}"/>
    <cellStyle name="SAPBEXHLevel2X 27" xfId="1242" xr:uid="{00000000-0005-0000-0000-00004A060000}"/>
    <cellStyle name="SAPBEXHLevel2X 27 2" xfId="1243" xr:uid="{00000000-0005-0000-0000-00004B060000}"/>
    <cellStyle name="SAPBEXHLevel2X 27_658-CAX" xfId="1974" xr:uid="{00000000-0005-0000-0000-00004C060000}"/>
    <cellStyle name="SAPBEXHLevel2X 28" xfId="1244" xr:uid="{00000000-0005-0000-0000-00004D060000}"/>
    <cellStyle name="SAPBEXHLevel2X 28 2" xfId="1245" xr:uid="{00000000-0005-0000-0000-00004E060000}"/>
    <cellStyle name="SAPBEXHLevel2X 28_658-CAX" xfId="1975" xr:uid="{00000000-0005-0000-0000-00004F060000}"/>
    <cellStyle name="SAPBEXHLevel2X 29" xfId="1246" xr:uid="{00000000-0005-0000-0000-000050060000}"/>
    <cellStyle name="SAPBEXHLevel2X 29 2" xfId="1247" xr:uid="{00000000-0005-0000-0000-000051060000}"/>
    <cellStyle name="SAPBEXHLevel2X 29_658-CAX" xfId="1976" xr:uid="{00000000-0005-0000-0000-000052060000}"/>
    <cellStyle name="SAPBEXHLevel2X 3" xfId="1248" xr:uid="{00000000-0005-0000-0000-000053060000}"/>
    <cellStyle name="SAPBEXHLevel2X 3 2" xfId="1249" xr:uid="{00000000-0005-0000-0000-000054060000}"/>
    <cellStyle name="SAPBEXHLevel2X 3_658-CAX" xfId="1977" xr:uid="{00000000-0005-0000-0000-000055060000}"/>
    <cellStyle name="SAPBEXHLevel2X 30" xfId="1250" xr:uid="{00000000-0005-0000-0000-000056060000}"/>
    <cellStyle name="SAPBEXHLevel2X 30 2" xfId="1251" xr:uid="{00000000-0005-0000-0000-000057060000}"/>
    <cellStyle name="SAPBEXHLevel2X 30_658-CAX" xfId="1978" xr:uid="{00000000-0005-0000-0000-000058060000}"/>
    <cellStyle name="SAPBEXHLevel2X 31" xfId="1252" xr:uid="{00000000-0005-0000-0000-000059060000}"/>
    <cellStyle name="SAPBEXHLevel2X 31 2" xfId="1253" xr:uid="{00000000-0005-0000-0000-00005A060000}"/>
    <cellStyle name="SAPBEXHLevel2X 31_658-CAX" xfId="1979" xr:uid="{00000000-0005-0000-0000-00005B060000}"/>
    <cellStyle name="SAPBEXHLevel2X 32" xfId="1254" xr:uid="{00000000-0005-0000-0000-00005C060000}"/>
    <cellStyle name="SAPBEXHLevel2X 32 2" xfId="1255" xr:uid="{00000000-0005-0000-0000-00005D060000}"/>
    <cellStyle name="SAPBEXHLevel2X 32_658-CAX" xfId="1980" xr:uid="{00000000-0005-0000-0000-00005E060000}"/>
    <cellStyle name="SAPBEXHLevel2X 33" xfId="1256" xr:uid="{00000000-0005-0000-0000-00005F060000}"/>
    <cellStyle name="SAPBEXHLevel2X 33 2" xfId="1257" xr:uid="{00000000-0005-0000-0000-000060060000}"/>
    <cellStyle name="SAPBEXHLevel2X 33_658-CAX" xfId="1981" xr:uid="{00000000-0005-0000-0000-000061060000}"/>
    <cellStyle name="SAPBEXHLevel2X 34" xfId="1258" xr:uid="{00000000-0005-0000-0000-000062060000}"/>
    <cellStyle name="SAPBEXHLevel2X 34 2" xfId="1259" xr:uid="{00000000-0005-0000-0000-000063060000}"/>
    <cellStyle name="SAPBEXHLevel2X 34_658-CAX" xfId="1982" xr:uid="{00000000-0005-0000-0000-000064060000}"/>
    <cellStyle name="SAPBEXHLevel2X 35" xfId="1260" xr:uid="{00000000-0005-0000-0000-000065060000}"/>
    <cellStyle name="SAPBEXHLevel2X 35 2" xfId="1261" xr:uid="{00000000-0005-0000-0000-000066060000}"/>
    <cellStyle name="SAPBEXHLevel2X 35_658-CAX" xfId="1983" xr:uid="{00000000-0005-0000-0000-000067060000}"/>
    <cellStyle name="SAPBEXHLevel2X 36" xfId="1262" xr:uid="{00000000-0005-0000-0000-000068060000}"/>
    <cellStyle name="SAPBEXHLevel2X 36 2" xfId="1263" xr:uid="{00000000-0005-0000-0000-000069060000}"/>
    <cellStyle name="SAPBEXHLevel2X 36_658-CAX" xfId="1984" xr:uid="{00000000-0005-0000-0000-00006A060000}"/>
    <cellStyle name="SAPBEXHLevel2X 37" xfId="1264" xr:uid="{00000000-0005-0000-0000-00006B060000}"/>
    <cellStyle name="SAPBEXHLevel2X 37 2" xfId="1265" xr:uid="{00000000-0005-0000-0000-00006C060000}"/>
    <cellStyle name="SAPBEXHLevel2X 37_658-CAX" xfId="1985" xr:uid="{00000000-0005-0000-0000-00006D060000}"/>
    <cellStyle name="SAPBEXHLevel2X 38" xfId="1266" xr:uid="{00000000-0005-0000-0000-00006E060000}"/>
    <cellStyle name="SAPBEXHLevel2X 38 2" xfId="1267" xr:uid="{00000000-0005-0000-0000-00006F060000}"/>
    <cellStyle name="SAPBEXHLevel2X 38_658-CAX" xfId="1986" xr:uid="{00000000-0005-0000-0000-000070060000}"/>
    <cellStyle name="SAPBEXHLevel2X 39" xfId="1268" xr:uid="{00000000-0005-0000-0000-000071060000}"/>
    <cellStyle name="SAPBEXHLevel2X 39 2" xfId="1269" xr:uid="{00000000-0005-0000-0000-000072060000}"/>
    <cellStyle name="SAPBEXHLevel2X 39_658-CAX" xfId="1987" xr:uid="{00000000-0005-0000-0000-000073060000}"/>
    <cellStyle name="SAPBEXHLevel2X 4" xfId="1270" xr:uid="{00000000-0005-0000-0000-000074060000}"/>
    <cellStyle name="SAPBEXHLevel2X 4 2" xfId="1271" xr:uid="{00000000-0005-0000-0000-000075060000}"/>
    <cellStyle name="SAPBEXHLevel2X 4_658-CAX" xfId="1988" xr:uid="{00000000-0005-0000-0000-000076060000}"/>
    <cellStyle name="SAPBEXHLevel2X 40" xfId="1272" xr:uid="{00000000-0005-0000-0000-000077060000}"/>
    <cellStyle name="SAPBEXHLevel2X 40 2" xfId="1273" xr:uid="{00000000-0005-0000-0000-000078060000}"/>
    <cellStyle name="SAPBEXHLevel2X 40_658-CAX" xfId="1989" xr:uid="{00000000-0005-0000-0000-000079060000}"/>
    <cellStyle name="SAPBEXHLevel2X 41" xfId="1274" xr:uid="{00000000-0005-0000-0000-00007A060000}"/>
    <cellStyle name="SAPBEXHLevel2X 41 2" xfId="1275" xr:uid="{00000000-0005-0000-0000-00007B060000}"/>
    <cellStyle name="SAPBEXHLevel2X 41_658-CAX" xfId="1990" xr:uid="{00000000-0005-0000-0000-00007C060000}"/>
    <cellStyle name="SAPBEXHLevel2X 42" xfId="1276" xr:uid="{00000000-0005-0000-0000-00007D060000}"/>
    <cellStyle name="SAPBEXHLevel2X 42 2" xfId="1277" xr:uid="{00000000-0005-0000-0000-00007E060000}"/>
    <cellStyle name="SAPBEXHLevel2X 42_658-CAX" xfId="1991" xr:uid="{00000000-0005-0000-0000-00007F060000}"/>
    <cellStyle name="SAPBEXHLevel2X 43" xfId="1278" xr:uid="{00000000-0005-0000-0000-000080060000}"/>
    <cellStyle name="SAPBEXHLevel2X 43 2" xfId="1279" xr:uid="{00000000-0005-0000-0000-000081060000}"/>
    <cellStyle name="SAPBEXHLevel2X 43_658-CAX" xfId="1992" xr:uid="{00000000-0005-0000-0000-000082060000}"/>
    <cellStyle name="SAPBEXHLevel2X 44" xfId="1280" xr:uid="{00000000-0005-0000-0000-000083060000}"/>
    <cellStyle name="SAPBEXHLevel2X 44 2" xfId="1281" xr:uid="{00000000-0005-0000-0000-000084060000}"/>
    <cellStyle name="SAPBEXHLevel2X 44_658-CAX" xfId="1993" xr:uid="{00000000-0005-0000-0000-000085060000}"/>
    <cellStyle name="SAPBEXHLevel2X 45" xfId="1282" xr:uid="{00000000-0005-0000-0000-000086060000}"/>
    <cellStyle name="SAPBEXHLevel2X 45 2" xfId="1283" xr:uid="{00000000-0005-0000-0000-000087060000}"/>
    <cellStyle name="SAPBEXHLevel2X 45_658-CAX" xfId="1994" xr:uid="{00000000-0005-0000-0000-000088060000}"/>
    <cellStyle name="SAPBEXHLevel2X 46" xfId="1284" xr:uid="{00000000-0005-0000-0000-000089060000}"/>
    <cellStyle name="SAPBEXHLevel2X 46 2" xfId="1285" xr:uid="{00000000-0005-0000-0000-00008A060000}"/>
    <cellStyle name="SAPBEXHLevel2X 46_658-CAX" xfId="1995" xr:uid="{00000000-0005-0000-0000-00008B060000}"/>
    <cellStyle name="SAPBEXHLevel2X 47" xfId="1286" xr:uid="{00000000-0005-0000-0000-00008C060000}"/>
    <cellStyle name="SAPBEXHLevel2X 47 2" xfId="1287" xr:uid="{00000000-0005-0000-0000-00008D060000}"/>
    <cellStyle name="SAPBEXHLevel2X 47_658-CAX" xfId="1996" xr:uid="{00000000-0005-0000-0000-00008E060000}"/>
    <cellStyle name="SAPBEXHLevel2X 48" xfId="1288" xr:uid="{00000000-0005-0000-0000-00008F060000}"/>
    <cellStyle name="SAPBEXHLevel2X 48 2" xfId="1289" xr:uid="{00000000-0005-0000-0000-000090060000}"/>
    <cellStyle name="SAPBEXHLevel2X 48_658-CAX" xfId="1997" xr:uid="{00000000-0005-0000-0000-000091060000}"/>
    <cellStyle name="SAPBEXHLevel2X 49" xfId="1290" xr:uid="{00000000-0005-0000-0000-000092060000}"/>
    <cellStyle name="SAPBEXHLevel2X 49 2" xfId="1291" xr:uid="{00000000-0005-0000-0000-000093060000}"/>
    <cellStyle name="SAPBEXHLevel2X 49_658-CAX" xfId="1998" xr:uid="{00000000-0005-0000-0000-000094060000}"/>
    <cellStyle name="SAPBEXHLevel2X 5" xfId="1292" xr:uid="{00000000-0005-0000-0000-000095060000}"/>
    <cellStyle name="SAPBEXHLevel2X 5 2" xfId="1293" xr:uid="{00000000-0005-0000-0000-000096060000}"/>
    <cellStyle name="SAPBEXHLevel2X 5_658-CAX" xfId="1999" xr:uid="{00000000-0005-0000-0000-000097060000}"/>
    <cellStyle name="SAPBEXHLevel2X 50" xfId="1294" xr:uid="{00000000-0005-0000-0000-000098060000}"/>
    <cellStyle name="SAPBEXHLevel2X 6" xfId="1295" xr:uid="{00000000-0005-0000-0000-000099060000}"/>
    <cellStyle name="SAPBEXHLevel2X 6 2" xfId="1296" xr:uid="{00000000-0005-0000-0000-00009A060000}"/>
    <cellStyle name="SAPBEXHLevel2X 6_658-CAX" xfId="2000" xr:uid="{00000000-0005-0000-0000-00009B060000}"/>
    <cellStyle name="SAPBEXHLevel2X 7" xfId="1297" xr:uid="{00000000-0005-0000-0000-00009C060000}"/>
    <cellStyle name="SAPBEXHLevel2X 7 2" xfId="1298" xr:uid="{00000000-0005-0000-0000-00009D060000}"/>
    <cellStyle name="SAPBEXHLevel2X 7_658-CAX" xfId="2001" xr:uid="{00000000-0005-0000-0000-00009E060000}"/>
    <cellStyle name="SAPBEXHLevel2X 8" xfId="1299" xr:uid="{00000000-0005-0000-0000-00009F060000}"/>
    <cellStyle name="SAPBEXHLevel2X 8 2" xfId="1300" xr:uid="{00000000-0005-0000-0000-0000A0060000}"/>
    <cellStyle name="SAPBEXHLevel2X 8_658-CAX" xfId="2002" xr:uid="{00000000-0005-0000-0000-0000A1060000}"/>
    <cellStyle name="SAPBEXHLevel2X 9" xfId="1301" xr:uid="{00000000-0005-0000-0000-0000A2060000}"/>
    <cellStyle name="SAPBEXHLevel2X 9 2" xfId="1302" xr:uid="{00000000-0005-0000-0000-0000A3060000}"/>
    <cellStyle name="SAPBEXHLevel2X 9_658-CAX" xfId="2003" xr:uid="{00000000-0005-0000-0000-0000A4060000}"/>
    <cellStyle name="SAPBEXHLevel2X_658-CAX" xfId="1955" xr:uid="{00000000-0005-0000-0000-0000A5060000}"/>
    <cellStyle name="SAPBEXHLevel3" xfId="1303" xr:uid="{00000000-0005-0000-0000-0000A6060000}"/>
    <cellStyle name="SAPBEXHLevel3 2" xfId="1304" xr:uid="{00000000-0005-0000-0000-0000A7060000}"/>
    <cellStyle name="SAPBEXHLevel3 2 2" xfId="1305" xr:uid="{00000000-0005-0000-0000-0000A8060000}"/>
    <cellStyle name="SAPBEXHLevel3 2_658-CAX" xfId="2005" xr:uid="{00000000-0005-0000-0000-0000A9060000}"/>
    <cellStyle name="SAPBEXHLevel3 3" xfId="1306" xr:uid="{00000000-0005-0000-0000-0000AA060000}"/>
    <cellStyle name="SAPBEXHLevel3 3 2" xfId="1307" xr:uid="{00000000-0005-0000-0000-0000AB060000}"/>
    <cellStyle name="SAPBEXHLevel3 3_658-CAX" xfId="2006" xr:uid="{00000000-0005-0000-0000-0000AC060000}"/>
    <cellStyle name="SAPBEXHLevel3 4" xfId="1308" xr:uid="{00000000-0005-0000-0000-0000AD060000}"/>
    <cellStyle name="SAPBEXHLevel3 4 2" xfId="1309" xr:uid="{00000000-0005-0000-0000-0000AE060000}"/>
    <cellStyle name="SAPBEXHLevel3 4_658-CAX" xfId="2007" xr:uid="{00000000-0005-0000-0000-0000AF060000}"/>
    <cellStyle name="SAPBEXHLevel3 5" xfId="1310" xr:uid="{00000000-0005-0000-0000-0000B0060000}"/>
    <cellStyle name="SAPBEXHLevel3 5 2" xfId="1311" xr:uid="{00000000-0005-0000-0000-0000B1060000}"/>
    <cellStyle name="SAPBEXHLevel3 5_658-CAX" xfId="2008" xr:uid="{00000000-0005-0000-0000-0000B2060000}"/>
    <cellStyle name="SAPBEXHLevel3 6" xfId="1312" xr:uid="{00000000-0005-0000-0000-0000B3060000}"/>
    <cellStyle name="SAPBEXHLevel3 6 2" xfId="1313" xr:uid="{00000000-0005-0000-0000-0000B4060000}"/>
    <cellStyle name="SAPBEXHLevel3 6_658-CAX" xfId="2009" xr:uid="{00000000-0005-0000-0000-0000B5060000}"/>
    <cellStyle name="SAPBEXHLevel3 7" xfId="1314" xr:uid="{00000000-0005-0000-0000-0000B6060000}"/>
    <cellStyle name="SAPBEXHLevel3 7 2" xfId="1315" xr:uid="{00000000-0005-0000-0000-0000B7060000}"/>
    <cellStyle name="SAPBEXHLevel3 7_658-CAX" xfId="2010" xr:uid="{00000000-0005-0000-0000-0000B8060000}"/>
    <cellStyle name="SAPBEXHLevel3 8" xfId="1316" xr:uid="{00000000-0005-0000-0000-0000B9060000}"/>
    <cellStyle name="SAPBEXHLevel3 8 2" xfId="1317" xr:uid="{00000000-0005-0000-0000-0000BA060000}"/>
    <cellStyle name="SAPBEXHLevel3 8_658-CAX" xfId="2011" xr:uid="{00000000-0005-0000-0000-0000BB060000}"/>
    <cellStyle name="SAPBEXHLevel3 9" xfId="1318" xr:uid="{00000000-0005-0000-0000-0000BC060000}"/>
    <cellStyle name="SAPBEXHLevel3_658-CAX" xfId="2004" xr:uid="{00000000-0005-0000-0000-0000BD060000}"/>
    <cellStyle name="SAPBEXHLevel3X" xfId="1319" xr:uid="{00000000-0005-0000-0000-0000BE060000}"/>
    <cellStyle name="SAPBEXHLevel3X 10" xfId="1320" xr:uid="{00000000-0005-0000-0000-0000BF060000}"/>
    <cellStyle name="SAPBEXHLevel3X 10 2" xfId="1321" xr:uid="{00000000-0005-0000-0000-0000C0060000}"/>
    <cellStyle name="SAPBEXHLevel3X 10_658-CAX" xfId="2013" xr:uid="{00000000-0005-0000-0000-0000C1060000}"/>
    <cellStyle name="SAPBEXHLevel3X 11" xfId="1322" xr:uid="{00000000-0005-0000-0000-0000C2060000}"/>
    <cellStyle name="SAPBEXHLevel3X 11 2" xfId="1323" xr:uid="{00000000-0005-0000-0000-0000C3060000}"/>
    <cellStyle name="SAPBEXHLevel3X 11_658-CAX" xfId="2014" xr:uid="{00000000-0005-0000-0000-0000C4060000}"/>
    <cellStyle name="SAPBEXHLevel3X 12" xfId="1324" xr:uid="{00000000-0005-0000-0000-0000C5060000}"/>
    <cellStyle name="SAPBEXHLevel3X 12 2" xfId="1325" xr:uid="{00000000-0005-0000-0000-0000C6060000}"/>
    <cellStyle name="SAPBEXHLevel3X 12_658-CAX" xfId="2015" xr:uid="{00000000-0005-0000-0000-0000C7060000}"/>
    <cellStyle name="SAPBEXHLevel3X 13" xfId="1326" xr:uid="{00000000-0005-0000-0000-0000C8060000}"/>
    <cellStyle name="SAPBEXHLevel3X 13 2" xfId="1327" xr:uid="{00000000-0005-0000-0000-0000C9060000}"/>
    <cellStyle name="SAPBEXHLevel3X 13_658-CAX" xfId="2016" xr:uid="{00000000-0005-0000-0000-0000CA060000}"/>
    <cellStyle name="SAPBEXHLevel3X 14" xfId="1328" xr:uid="{00000000-0005-0000-0000-0000CB060000}"/>
    <cellStyle name="SAPBEXHLevel3X 14 2" xfId="1329" xr:uid="{00000000-0005-0000-0000-0000CC060000}"/>
    <cellStyle name="SAPBEXHLevel3X 14_658-CAX" xfId="2017" xr:uid="{00000000-0005-0000-0000-0000CD060000}"/>
    <cellStyle name="SAPBEXHLevel3X 15" xfId="1330" xr:uid="{00000000-0005-0000-0000-0000CE060000}"/>
    <cellStyle name="SAPBEXHLevel3X 15 2" xfId="1331" xr:uid="{00000000-0005-0000-0000-0000CF060000}"/>
    <cellStyle name="SAPBEXHLevel3X 15_658-CAX" xfId="2018" xr:uid="{00000000-0005-0000-0000-0000D0060000}"/>
    <cellStyle name="SAPBEXHLevel3X 16" xfId="1332" xr:uid="{00000000-0005-0000-0000-0000D1060000}"/>
    <cellStyle name="SAPBEXHLevel3X 16 2" xfId="1333" xr:uid="{00000000-0005-0000-0000-0000D2060000}"/>
    <cellStyle name="SAPBEXHLevel3X 16_658-CAX" xfId="2019" xr:uid="{00000000-0005-0000-0000-0000D3060000}"/>
    <cellStyle name="SAPBEXHLevel3X 17" xfId="1334" xr:uid="{00000000-0005-0000-0000-0000D4060000}"/>
    <cellStyle name="SAPBEXHLevel3X 17 2" xfId="1335" xr:uid="{00000000-0005-0000-0000-0000D5060000}"/>
    <cellStyle name="SAPBEXHLevel3X 17_658-CAX" xfId="2020" xr:uid="{00000000-0005-0000-0000-0000D6060000}"/>
    <cellStyle name="SAPBEXHLevel3X 18" xfId="1336" xr:uid="{00000000-0005-0000-0000-0000D7060000}"/>
    <cellStyle name="SAPBEXHLevel3X 18 2" xfId="1337" xr:uid="{00000000-0005-0000-0000-0000D8060000}"/>
    <cellStyle name="SAPBEXHLevel3X 18_658-CAX" xfId="2021" xr:uid="{00000000-0005-0000-0000-0000D9060000}"/>
    <cellStyle name="SAPBEXHLevel3X 19" xfId="1338" xr:uid="{00000000-0005-0000-0000-0000DA060000}"/>
    <cellStyle name="SAPBEXHLevel3X 19 2" xfId="1339" xr:uid="{00000000-0005-0000-0000-0000DB060000}"/>
    <cellStyle name="SAPBEXHLevel3X 19_658-CAX" xfId="2022" xr:uid="{00000000-0005-0000-0000-0000DC060000}"/>
    <cellStyle name="SAPBEXHLevel3X 2" xfId="1340" xr:uid="{00000000-0005-0000-0000-0000DD060000}"/>
    <cellStyle name="SAPBEXHLevel3X 2 2" xfId="1341" xr:uid="{00000000-0005-0000-0000-0000DE060000}"/>
    <cellStyle name="SAPBEXHLevel3X 2_658-CAX" xfId="2023" xr:uid="{00000000-0005-0000-0000-0000DF060000}"/>
    <cellStyle name="SAPBEXHLevel3X 20" xfId="1342" xr:uid="{00000000-0005-0000-0000-0000E0060000}"/>
    <cellStyle name="SAPBEXHLevel3X 20 2" xfId="1343" xr:uid="{00000000-0005-0000-0000-0000E1060000}"/>
    <cellStyle name="SAPBEXHLevel3X 20_658-CAX" xfId="2024" xr:uid="{00000000-0005-0000-0000-0000E2060000}"/>
    <cellStyle name="SAPBEXHLevel3X 21" xfId="1344" xr:uid="{00000000-0005-0000-0000-0000E3060000}"/>
    <cellStyle name="SAPBEXHLevel3X 21 2" xfId="1345" xr:uid="{00000000-0005-0000-0000-0000E4060000}"/>
    <cellStyle name="SAPBEXHLevel3X 21_658-CAX" xfId="2025" xr:uid="{00000000-0005-0000-0000-0000E5060000}"/>
    <cellStyle name="SAPBEXHLevel3X 22" xfId="1346" xr:uid="{00000000-0005-0000-0000-0000E6060000}"/>
    <cellStyle name="SAPBEXHLevel3X 22 2" xfId="1347" xr:uid="{00000000-0005-0000-0000-0000E7060000}"/>
    <cellStyle name="SAPBEXHLevel3X 22_658-CAX" xfId="2026" xr:uid="{00000000-0005-0000-0000-0000E8060000}"/>
    <cellStyle name="SAPBEXHLevel3X 23" xfId="1348" xr:uid="{00000000-0005-0000-0000-0000E9060000}"/>
    <cellStyle name="SAPBEXHLevel3X 23 2" xfId="1349" xr:uid="{00000000-0005-0000-0000-0000EA060000}"/>
    <cellStyle name="SAPBEXHLevel3X 23_658-CAX" xfId="2027" xr:uid="{00000000-0005-0000-0000-0000EB060000}"/>
    <cellStyle name="SAPBEXHLevel3X 24" xfId="1350" xr:uid="{00000000-0005-0000-0000-0000EC060000}"/>
    <cellStyle name="SAPBEXHLevel3X 24 2" xfId="1351" xr:uid="{00000000-0005-0000-0000-0000ED060000}"/>
    <cellStyle name="SAPBEXHLevel3X 24_658-CAX" xfId="2028" xr:uid="{00000000-0005-0000-0000-0000EE060000}"/>
    <cellStyle name="SAPBEXHLevel3X 25" xfId="1352" xr:uid="{00000000-0005-0000-0000-0000EF060000}"/>
    <cellStyle name="SAPBEXHLevel3X 25 2" xfId="1353" xr:uid="{00000000-0005-0000-0000-0000F0060000}"/>
    <cellStyle name="SAPBEXHLevel3X 25_658-CAX" xfId="2029" xr:uid="{00000000-0005-0000-0000-0000F1060000}"/>
    <cellStyle name="SAPBEXHLevel3X 26" xfId="1354" xr:uid="{00000000-0005-0000-0000-0000F2060000}"/>
    <cellStyle name="SAPBEXHLevel3X 26 2" xfId="1355" xr:uid="{00000000-0005-0000-0000-0000F3060000}"/>
    <cellStyle name="SAPBEXHLevel3X 26_658-CAX" xfId="2030" xr:uid="{00000000-0005-0000-0000-0000F4060000}"/>
    <cellStyle name="SAPBEXHLevel3X 27" xfId="1356" xr:uid="{00000000-0005-0000-0000-0000F5060000}"/>
    <cellStyle name="SAPBEXHLevel3X 27 2" xfId="1357" xr:uid="{00000000-0005-0000-0000-0000F6060000}"/>
    <cellStyle name="SAPBEXHLevel3X 27_658-CAX" xfId="2031" xr:uid="{00000000-0005-0000-0000-0000F7060000}"/>
    <cellStyle name="SAPBEXHLevel3X 28" xfId="1358" xr:uid="{00000000-0005-0000-0000-0000F8060000}"/>
    <cellStyle name="SAPBEXHLevel3X 28 2" xfId="1359" xr:uid="{00000000-0005-0000-0000-0000F9060000}"/>
    <cellStyle name="SAPBEXHLevel3X 28_658-CAX" xfId="2032" xr:uid="{00000000-0005-0000-0000-0000FA060000}"/>
    <cellStyle name="SAPBEXHLevel3X 29" xfId="1360" xr:uid="{00000000-0005-0000-0000-0000FB060000}"/>
    <cellStyle name="SAPBEXHLevel3X 29 2" xfId="1361" xr:uid="{00000000-0005-0000-0000-0000FC060000}"/>
    <cellStyle name="SAPBEXHLevel3X 29_658-CAX" xfId="2033" xr:uid="{00000000-0005-0000-0000-0000FD060000}"/>
    <cellStyle name="SAPBEXHLevel3X 3" xfId="1362" xr:uid="{00000000-0005-0000-0000-0000FE060000}"/>
    <cellStyle name="SAPBEXHLevel3X 3 2" xfId="1363" xr:uid="{00000000-0005-0000-0000-0000FF060000}"/>
    <cellStyle name="SAPBEXHLevel3X 3_658-CAX" xfId="2034" xr:uid="{00000000-0005-0000-0000-000000070000}"/>
    <cellStyle name="SAPBEXHLevel3X 30" xfId="1364" xr:uid="{00000000-0005-0000-0000-000001070000}"/>
    <cellStyle name="SAPBEXHLevel3X 30 2" xfId="1365" xr:uid="{00000000-0005-0000-0000-000002070000}"/>
    <cellStyle name="SAPBEXHLevel3X 30_658-CAX" xfId="2035" xr:uid="{00000000-0005-0000-0000-000003070000}"/>
    <cellStyle name="SAPBEXHLevel3X 31" xfId="1366" xr:uid="{00000000-0005-0000-0000-000004070000}"/>
    <cellStyle name="SAPBEXHLevel3X 31 2" xfId="1367" xr:uid="{00000000-0005-0000-0000-000005070000}"/>
    <cellStyle name="SAPBEXHLevel3X 31_658-CAX" xfId="2036" xr:uid="{00000000-0005-0000-0000-000006070000}"/>
    <cellStyle name="SAPBEXHLevel3X 32" xfId="1368" xr:uid="{00000000-0005-0000-0000-000007070000}"/>
    <cellStyle name="SAPBEXHLevel3X 32 2" xfId="1369" xr:uid="{00000000-0005-0000-0000-000008070000}"/>
    <cellStyle name="SAPBEXHLevel3X 32_658-CAX" xfId="2037" xr:uid="{00000000-0005-0000-0000-000009070000}"/>
    <cellStyle name="SAPBEXHLevel3X 33" xfId="1370" xr:uid="{00000000-0005-0000-0000-00000A070000}"/>
    <cellStyle name="SAPBEXHLevel3X 33 2" xfId="1371" xr:uid="{00000000-0005-0000-0000-00000B070000}"/>
    <cellStyle name="SAPBEXHLevel3X 33_658-CAX" xfId="2038" xr:uid="{00000000-0005-0000-0000-00000C070000}"/>
    <cellStyle name="SAPBEXHLevel3X 34" xfId="1372" xr:uid="{00000000-0005-0000-0000-00000D070000}"/>
    <cellStyle name="SAPBEXHLevel3X 34 2" xfId="1373" xr:uid="{00000000-0005-0000-0000-00000E070000}"/>
    <cellStyle name="SAPBEXHLevel3X 34_658-CAX" xfId="2039" xr:uid="{00000000-0005-0000-0000-00000F070000}"/>
    <cellStyle name="SAPBEXHLevel3X 35" xfId="1374" xr:uid="{00000000-0005-0000-0000-000010070000}"/>
    <cellStyle name="SAPBEXHLevel3X 35 2" xfId="1375" xr:uid="{00000000-0005-0000-0000-000011070000}"/>
    <cellStyle name="SAPBEXHLevel3X 35_658-CAX" xfId="2040" xr:uid="{00000000-0005-0000-0000-000012070000}"/>
    <cellStyle name="SAPBEXHLevel3X 36" xfId="1376" xr:uid="{00000000-0005-0000-0000-000013070000}"/>
    <cellStyle name="SAPBEXHLevel3X 36 2" xfId="1377" xr:uid="{00000000-0005-0000-0000-000014070000}"/>
    <cellStyle name="SAPBEXHLevel3X 36_658-CAX" xfId="2041" xr:uid="{00000000-0005-0000-0000-000015070000}"/>
    <cellStyle name="SAPBEXHLevel3X 37" xfId="1378" xr:uid="{00000000-0005-0000-0000-000016070000}"/>
    <cellStyle name="SAPBEXHLevel3X 37 2" xfId="1379" xr:uid="{00000000-0005-0000-0000-000017070000}"/>
    <cellStyle name="SAPBEXHLevel3X 37_658-CAX" xfId="2042" xr:uid="{00000000-0005-0000-0000-000018070000}"/>
    <cellStyle name="SAPBEXHLevel3X 38" xfId="1380" xr:uid="{00000000-0005-0000-0000-000019070000}"/>
    <cellStyle name="SAPBEXHLevel3X 38 2" xfId="1381" xr:uid="{00000000-0005-0000-0000-00001A070000}"/>
    <cellStyle name="SAPBEXHLevel3X 38_658-CAX" xfId="2043" xr:uid="{00000000-0005-0000-0000-00001B070000}"/>
    <cellStyle name="SAPBEXHLevel3X 39" xfId="1382" xr:uid="{00000000-0005-0000-0000-00001C070000}"/>
    <cellStyle name="SAPBEXHLevel3X 39 2" xfId="1383" xr:uid="{00000000-0005-0000-0000-00001D070000}"/>
    <cellStyle name="SAPBEXHLevel3X 39_658-CAX" xfId="2044" xr:uid="{00000000-0005-0000-0000-00001E070000}"/>
    <cellStyle name="SAPBEXHLevel3X 4" xfId="1384" xr:uid="{00000000-0005-0000-0000-00001F070000}"/>
    <cellStyle name="SAPBEXHLevel3X 4 2" xfId="1385" xr:uid="{00000000-0005-0000-0000-000020070000}"/>
    <cellStyle name="SAPBEXHLevel3X 4_658-CAX" xfId="2045" xr:uid="{00000000-0005-0000-0000-000021070000}"/>
    <cellStyle name="SAPBEXHLevel3X 40" xfId="1386" xr:uid="{00000000-0005-0000-0000-000022070000}"/>
    <cellStyle name="SAPBEXHLevel3X 40 2" xfId="1387" xr:uid="{00000000-0005-0000-0000-000023070000}"/>
    <cellStyle name="SAPBEXHLevel3X 40_658-CAX" xfId="2046" xr:uid="{00000000-0005-0000-0000-000024070000}"/>
    <cellStyle name="SAPBEXHLevel3X 41" xfId="1388" xr:uid="{00000000-0005-0000-0000-000025070000}"/>
    <cellStyle name="SAPBEXHLevel3X 41 2" xfId="1389" xr:uid="{00000000-0005-0000-0000-000026070000}"/>
    <cellStyle name="SAPBEXHLevel3X 41_658-CAX" xfId="2047" xr:uid="{00000000-0005-0000-0000-000027070000}"/>
    <cellStyle name="SAPBEXHLevel3X 42" xfId="1390" xr:uid="{00000000-0005-0000-0000-000028070000}"/>
    <cellStyle name="SAPBEXHLevel3X 42 2" xfId="1391" xr:uid="{00000000-0005-0000-0000-000029070000}"/>
    <cellStyle name="SAPBEXHLevel3X 42_658-CAX" xfId="2048" xr:uid="{00000000-0005-0000-0000-00002A070000}"/>
    <cellStyle name="SAPBEXHLevel3X 43" xfId="1392" xr:uid="{00000000-0005-0000-0000-00002B070000}"/>
    <cellStyle name="SAPBEXHLevel3X 43 2" xfId="1393" xr:uid="{00000000-0005-0000-0000-00002C070000}"/>
    <cellStyle name="SAPBEXHLevel3X 43_658-CAX" xfId="2049" xr:uid="{00000000-0005-0000-0000-00002D070000}"/>
    <cellStyle name="SAPBEXHLevel3X 44" xfId="1394" xr:uid="{00000000-0005-0000-0000-00002E070000}"/>
    <cellStyle name="SAPBEXHLevel3X 44 2" xfId="1395" xr:uid="{00000000-0005-0000-0000-00002F070000}"/>
    <cellStyle name="SAPBEXHLevel3X 44_658-CAX" xfId="2050" xr:uid="{00000000-0005-0000-0000-000030070000}"/>
    <cellStyle name="SAPBEXHLevel3X 45" xfId="1396" xr:uid="{00000000-0005-0000-0000-000031070000}"/>
    <cellStyle name="SAPBEXHLevel3X 45 2" xfId="1397" xr:uid="{00000000-0005-0000-0000-000032070000}"/>
    <cellStyle name="SAPBEXHLevel3X 45_658-CAX" xfId="2051" xr:uid="{00000000-0005-0000-0000-000033070000}"/>
    <cellStyle name="SAPBEXHLevel3X 46" xfId="1398" xr:uid="{00000000-0005-0000-0000-000034070000}"/>
    <cellStyle name="SAPBEXHLevel3X 46 2" xfId="1399" xr:uid="{00000000-0005-0000-0000-000035070000}"/>
    <cellStyle name="SAPBEXHLevel3X 46_658-CAX" xfId="2052" xr:uid="{00000000-0005-0000-0000-000036070000}"/>
    <cellStyle name="SAPBEXHLevel3X 47" xfId="1400" xr:uid="{00000000-0005-0000-0000-000037070000}"/>
    <cellStyle name="SAPBEXHLevel3X 47 2" xfId="1401" xr:uid="{00000000-0005-0000-0000-000038070000}"/>
    <cellStyle name="SAPBEXHLevel3X 47_658-CAX" xfId="2053" xr:uid="{00000000-0005-0000-0000-000039070000}"/>
    <cellStyle name="SAPBEXHLevel3X 48" xfId="1402" xr:uid="{00000000-0005-0000-0000-00003A070000}"/>
    <cellStyle name="SAPBEXHLevel3X 48 2" xfId="1403" xr:uid="{00000000-0005-0000-0000-00003B070000}"/>
    <cellStyle name="SAPBEXHLevel3X 48_658-CAX" xfId="2054" xr:uid="{00000000-0005-0000-0000-00003C070000}"/>
    <cellStyle name="SAPBEXHLevel3X 49" xfId="1404" xr:uid="{00000000-0005-0000-0000-00003D070000}"/>
    <cellStyle name="SAPBEXHLevel3X 49 2" xfId="1405" xr:uid="{00000000-0005-0000-0000-00003E070000}"/>
    <cellStyle name="SAPBEXHLevel3X 49_658-CAX" xfId="2055" xr:uid="{00000000-0005-0000-0000-00003F070000}"/>
    <cellStyle name="SAPBEXHLevel3X 5" xfId="1406" xr:uid="{00000000-0005-0000-0000-000040070000}"/>
    <cellStyle name="SAPBEXHLevel3X 5 2" xfId="1407" xr:uid="{00000000-0005-0000-0000-000041070000}"/>
    <cellStyle name="SAPBEXHLevel3X 5_658-CAX" xfId="2056" xr:uid="{00000000-0005-0000-0000-000042070000}"/>
    <cellStyle name="SAPBEXHLevel3X 50" xfId="1408" xr:uid="{00000000-0005-0000-0000-000043070000}"/>
    <cellStyle name="SAPBEXHLevel3X 6" xfId="1409" xr:uid="{00000000-0005-0000-0000-000044070000}"/>
    <cellStyle name="SAPBEXHLevel3X 6 2" xfId="1410" xr:uid="{00000000-0005-0000-0000-000045070000}"/>
    <cellStyle name="SAPBEXHLevel3X 6_658-CAX" xfId="2057" xr:uid="{00000000-0005-0000-0000-000046070000}"/>
    <cellStyle name="SAPBEXHLevel3X 7" xfId="1411" xr:uid="{00000000-0005-0000-0000-000047070000}"/>
    <cellStyle name="SAPBEXHLevel3X 7 2" xfId="1412" xr:uid="{00000000-0005-0000-0000-000048070000}"/>
    <cellStyle name="SAPBEXHLevel3X 7_658-CAX" xfId="2058" xr:uid="{00000000-0005-0000-0000-000049070000}"/>
    <cellStyle name="SAPBEXHLevel3X 8" xfId="1413" xr:uid="{00000000-0005-0000-0000-00004A070000}"/>
    <cellStyle name="SAPBEXHLevel3X 8 2" xfId="1414" xr:uid="{00000000-0005-0000-0000-00004B070000}"/>
    <cellStyle name="SAPBEXHLevel3X 8_658-CAX" xfId="2059" xr:uid="{00000000-0005-0000-0000-00004C070000}"/>
    <cellStyle name="SAPBEXHLevel3X 9" xfId="1415" xr:uid="{00000000-0005-0000-0000-00004D070000}"/>
    <cellStyle name="SAPBEXHLevel3X 9 2" xfId="1416" xr:uid="{00000000-0005-0000-0000-00004E070000}"/>
    <cellStyle name="SAPBEXHLevel3X 9_658-CAX" xfId="2060" xr:uid="{00000000-0005-0000-0000-00004F070000}"/>
    <cellStyle name="SAPBEXHLevel3X_658-CAX" xfId="2012" xr:uid="{00000000-0005-0000-0000-000050070000}"/>
    <cellStyle name="SAPBEXresData" xfId="1417" xr:uid="{00000000-0005-0000-0000-000051070000}"/>
    <cellStyle name="SAPBEXresData 2" xfId="1418" xr:uid="{00000000-0005-0000-0000-000052070000}"/>
    <cellStyle name="SAPBEXresData_658-CAX" xfId="2061" xr:uid="{00000000-0005-0000-0000-000053070000}"/>
    <cellStyle name="SAPBEXresDataEmph" xfId="1419" xr:uid="{00000000-0005-0000-0000-000054070000}"/>
    <cellStyle name="SAPBEXresDataEmph 2" xfId="1420" xr:uid="{00000000-0005-0000-0000-000055070000}"/>
    <cellStyle name="SAPBEXresDataEmph_658-CAX" xfId="2062" xr:uid="{00000000-0005-0000-0000-000056070000}"/>
    <cellStyle name="SAPBEXresItem" xfId="1421" xr:uid="{00000000-0005-0000-0000-000057070000}"/>
    <cellStyle name="SAPBEXresItem 2" xfId="1422" xr:uid="{00000000-0005-0000-0000-000058070000}"/>
    <cellStyle name="SAPBEXresItem_658-CAX" xfId="2063" xr:uid="{00000000-0005-0000-0000-000059070000}"/>
    <cellStyle name="SAPBEXresItemX" xfId="1423" xr:uid="{00000000-0005-0000-0000-00005A070000}"/>
    <cellStyle name="SAPBEXresItemX 2" xfId="1424" xr:uid="{00000000-0005-0000-0000-00005B070000}"/>
    <cellStyle name="SAPBEXresItemX_658-CAX" xfId="2064" xr:uid="{00000000-0005-0000-0000-00005C070000}"/>
    <cellStyle name="SAPBEXstdData" xfId="1425" xr:uid="{00000000-0005-0000-0000-00005D070000}"/>
    <cellStyle name="SAPBEXstdData 2" xfId="1426" xr:uid="{00000000-0005-0000-0000-00005E070000}"/>
    <cellStyle name="SAPBEXstdData_658-CAX" xfId="2065" xr:uid="{00000000-0005-0000-0000-00005F070000}"/>
    <cellStyle name="SAPBEXstdDataEmph" xfId="1427" xr:uid="{00000000-0005-0000-0000-000060070000}"/>
    <cellStyle name="SAPBEXstdDataEmph 2" xfId="1428" xr:uid="{00000000-0005-0000-0000-000061070000}"/>
    <cellStyle name="SAPBEXstdDataEmph_658-CAX" xfId="2066" xr:uid="{00000000-0005-0000-0000-000062070000}"/>
    <cellStyle name="SAPBEXstdItem" xfId="1429" xr:uid="{00000000-0005-0000-0000-000063070000}"/>
    <cellStyle name="SAPBEXstdItem 10" xfId="1430" xr:uid="{00000000-0005-0000-0000-000064070000}"/>
    <cellStyle name="SAPBEXstdItem 10 2" xfId="1431" xr:uid="{00000000-0005-0000-0000-000065070000}"/>
    <cellStyle name="SAPBEXstdItem 10_658-CAX" xfId="2068" xr:uid="{00000000-0005-0000-0000-000066070000}"/>
    <cellStyle name="SAPBEXstdItem 11" xfId="1432" xr:uid="{00000000-0005-0000-0000-000067070000}"/>
    <cellStyle name="SAPBEXstdItem 11 2" xfId="1433" xr:uid="{00000000-0005-0000-0000-000068070000}"/>
    <cellStyle name="SAPBEXstdItem 11_658-CAX" xfId="2069" xr:uid="{00000000-0005-0000-0000-000069070000}"/>
    <cellStyle name="SAPBEXstdItem 12" xfId="1434" xr:uid="{00000000-0005-0000-0000-00006A070000}"/>
    <cellStyle name="SAPBEXstdItem 12 2" xfId="1435" xr:uid="{00000000-0005-0000-0000-00006B070000}"/>
    <cellStyle name="SAPBEXstdItem 12_658-CAX" xfId="2070" xr:uid="{00000000-0005-0000-0000-00006C070000}"/>
    <cellStyle name="SAPBEXstdItem 13" xfId="1436" xr:uid="{00000000-0005-0000-0000-00006D070000}"/>
    <cellStyle name="SAPBEXstdItem 13 2" xfId="1437" xr:uid="{00000000-0005-0000-0000-00006E070000}"/>
    <cellStyle name="SAPBEXstdItem 13_658-CAX" xfId="2071" xr:uid="{00000000-0005-0000-0000-00006F070000}"/>
    <cellStyle name="SAPBEXstdItem 14" xfId="1438" xr:uid="{00000000-0005-0000-0000-000070070000}"/>
    <cellStyle name="SAPBEXstdItem 14 2" xfId="1439" xr:uid="{00000000-0005-0000-0000-000071070000}"/>
    <cellStyle name="SAPBEXstdItem 14_658-CAX" xfId="2072" xr:uid="{00000000-0005-0000-0000-000072070000}"/>
    <cellStyle name="SAPBEXstdItem 15" xfId="1440" xr:uid="{00000000-0005-0000-0000-000073070000}"/>
    <cellStyle name="SAPBEXstdItem 15 2" xfId="1441" xr:uid="{00000000-0005-0000-0000-000074070000}"/>
    <cellStyle name="SAPBEXstdItem 15_658-CAX" xfId="2073" xr:uid="{00000000-0005-0000-0000-000075070000}"/>
    <cellStyle name="SAPBEXstdItem 16" xfId="1442" xr:uid="{00000000-0005-0000-0000-000076070000}"/>
    <cellStyle name="SAPBEXstdItem 16 2" xfId="1443" xr:uid="{00000000-0005-0000-0000-000077070000}"/>
    <cellStyle name="SAPBEXstdItem 16_658-CAX" xfId="2074" xr:uid="{00000000-0005-0000-0000-000078070000}"/>
    <cellStyle name="SAPBEXstdItem 17" xfId="1444" xr:uid="{00000000-0005-0000-0000-000079070000}"/>
    <cellStyle name="SAPBEXstdItem 17 2" xfId="1445" xr:uid="{00000000-0005-0000-0000-00007A070000}"/>
    <cellStyle name="SAPBEXstdItem 17_658-CAX" xfId="2075" xr:uid="{00000000-0005-0000-0000-00007B070000}"/>
    <cellStyle name="SAPBEXstdItem 18" xfId="1446" xr:uid="{00000000-0005-0000-0000-00007C070000}"/>
    <cellStyle name="SAPBEXstdItem 18 2" xfId="1447" xr:uid="{00000000-0005-0000-0000-00007D070000}"/>
    <cellStyle name="SAPBEXstdItem 18_658-CAX" xfId="2076" xr:uid="{00000000-0005-0000-0000-00007E070000}"/>
    <cellStyle name="SAPBEXstdItem 19" xfId="1448" xr:uid="{00000000-0005-0000-0000-00007F070000}"/>
    <cellStyle name="SAPBEXstdItem 19 2" xfId="1449" xr:uid="{00000000-0005-0000-0000-000080070000}"/>
    <cellStyle name="SAPBEXstdItem 19_658-CAX" xfId="2077" xr:uid="{00000000-0005-0000-0000-000081070000}"/>
    <cellStyle name="SAPBEXstdItem 2" xfId="1450" xr:uid="{00000000-0005-0000-0000-000082070000}"/>
    <cellStyle name="SAPBEXstdItem 2 2" xfId="1451" xr:uid="{00000000-0005-0000-0000-000083070000}"/>
    <cellStyle name="SAPBEXstdItem 2_658-CAX" xfId="2078" xr:uid="{00000000-0005-0000-0000-000084070000}"/>
    <cellStyle name="SAPBEXstdItem 20" xfId="1452" xr:uid="{00000000-0005-0000-0000-000085070000}"/>
    <cellStyle name="SAPBEXstdItem 20 2" xfId="1453" xr:uid="{00000000-0005-0000-0000-000086070000}"/>
    <cellStyle name="SAPBEXstdItem 20_658-CAX" xfId="2079" xr:uid="{00000000-0005-0000-0000-000087070000}"/>
    <cellStyle name="SAPBEXstdItem 21" xfId="1454" xr:uid="{00000000-0005-0000-0000-000088070000}"/>
    <cellStyle name="SAPBEXstdItem 21 2" xfId="1455" xr:uid="{00000000-0005-0000-0000-000089070000}"/>
    <cellStyle name="SAPBEXstdItem 21_658-CAX" xfId="2080" xr:uid="{00000000-0005-0000-0000-00008A070000}"/>
    <cellStyle name="SAPBEXstdItem 22" xfId="1456" xr:uid="{00000000-0005-0000-0000-00008B070000}"/>
    <cellStyle name="SAPBEXstdItem 22 2" xfId="1457" xr:uid="{00000000-0005-0000-0000-00008C070000}"/>
    <cellStyle name="SAPBEXstdItem 22_658-CAX" xfId="2081" xr:uid="{00000000-0005-0000-0000-00008D070000}"/>
    <cellStyle name="SAPBEXstdItem 23" xfId="1458" xr:uid="{00000000-0005-0000-0000-00008E070000}"/>
    <cellStyle name="SAPBEXstdItem 23 2" xfId="1459" xr:uid="{00000000-0005-0000-0000-00008F070000}"/>
    <cellStyle name="SAPBEXstdItem 23_658-CAX" xfId="2082" xr:uid="{00000000-0005-0000-0000-000090070000}"/>
    <cellStyle name="SAPBEXstdItem 24" xfId="1460" xr:uid="{00000000-0005-0000-0000-000091070000}"/>
    <cellStyle name="SAPBEXstdItem 24 2" xfId="1461" xr:uid="{00000000-0005-0000-0000-000092070000}"/>
    <cellStyle name="SAPBEXstdItem 24_658-CAX" xfId="2083" xr:uid="{00000000-0005-0000-0000-000093070000}"/>
    <cellStyle name="SAPBEXstdItem 25" xfId="1462" xr:uid="{00000000-0005-0000-0000-000094070000}"/>
    <cellStyle name="SAPBEXstdItem 25 2" xfId="1463" xr:uid="{00000000-0005-0000-0000-000095070000}"/>
    <cellStyle name="SAPBEXstdItem 25_658-CAX" xfId="2084" xr:uid="{00000000-0005-0000-0000-000096070000}"/>
    <cellStyle name="SAPBEXstdItem 26" xfId="1464" xr:uid="{00000000-0005-0000-0000-000097070000}"/>
    <cellStyle name="SAPBEXstdItem 26 2" xfId="1465" xr:uid="{00000000-0005-0000-0000-000098070000}"/>
    <cellStyle name="SAPBEXstdItem 26_658-CAX" xfId="2085" xr:uid="{00000000-0005-0000-0000-000099070000}"/>
    <cellStyle name="SAPBEXstdItem 27" xfId="1466" xr:uid="{00000000-0005-0000-0000-00009A070000}"/>
    <cellStyle name="SAPBEXstdItem 27 2" xfId="1467" xr:uid="{00000000-0005-0000-0000-00009B070000}"/>
    <cellStyle name="SAPBEXstdItem 27_658-CAX" xfId="2086" xr:uid="{00000000-0005-0000-0000-00009C070000}"/>
    <cellStyle name="SAPBEXstdItem 28" xfId="1468" xr:uid="{00000000-0005-0000-0000-00009D070000}"/>
    <cellStyle name="SAPBEXstdItem 28 2" xfId="1469" xr:uid="{00000000-0005-0000-0000-00009E070000}"/>
    <cellStyle name="SAPBEXstdItem 28_658-CAX" xfId="2087" xr:uid="{00000000-0005-0000-0000-00009F070000}"/>
    <cellStyle name="SAPBEXstdItem 29" xfId="1470" xr:uid="{00000000-0005-0000-0000-0000A0070000}"/>
    <cellStyle name="SAPBEXstdItem 29 2" xfId="1471" xr:uid="{00000000-0005-0000-0000-0000A1070000}"/>
    <cellStyle name="SAPBEXstdItem 29_658-CAX" xfId="2088" xr:uid="{00000000-0005-0000-0000-0000A2070000}"/>
    <cellStyle name="SAPBEXstdItem 3" xfId="1472" xr:uid="{00000000-0005-0000-0000-0000A3070000}"/>
    <cellStyle name="SAPBEXstdItem 3 2" xfId="1473" xr:uid="{00000000-0005-0000-0000-0000A4070000}"/>
    <cellStyle name="SAPBEXstdItem 3_658-CAX" xfId="2089" xr:uid="{00000000-0005-0000-0000-0000A5070000}"/>
    <cellStyle name="SAPBEXstdItem 30" xfId="1474" xr:uid="{00000000-0005-0000-0000-0000A6070000}"/>
    <cellStyle name="SAPBEXstdItem 30 2" xfId="1475" xr:uid="{00000000-0005-0000-0000-0000A7070000}"/>
    <cellStyle name="SAPBEXstdItem 30_658-CAX" xfId="2090" xr:uid="{00000000-0005-0000-0000-0000A8070000}"/>
    <cellStyle name="SAPBEXstdItem 31" xfId="1476" xr:uid="{00000000-0005-0000-0000-0000A9070000}"/>
    <cellStyle name="SAPBEXstdItem 31 2" xfId="1477" xr:uid="{00000000-0005-0000-0000-0000AA070000}"/>
    <cellStyle name="SAPBEXstdItem 31_658-CAX" xfId="2091" xr:uid="{00000000-0005-0000-0000-0000AB070000}"/>
    <cellStyle name="SAPBEXstdItem 32" xfId="1478" xr:uid="{00000000-0005-0000-0000-0000AC070000}"/>
    <cellStyle name="SAPBEXstdItem 32 2" xfId="1479" xr:uid="{00000000-0005-0000-0000-0000AD070000}"/>
    <cellStyle name="SAPBEXstdItem 32_658-CAX" xfId="2092" xr:uid="{00000000-0005-0000-0000-0000AE070000}"/>
    <cellStyle name="SAPBEXstdItem 33" xfId="1480" xr:uid="{00000000-0005-0000-0000-0000AF070000}"/>
    <cellStyle name="SAPBEXstdItem 33 2" xfId="1481" xr:uid="{00000000-0005-0000-0000-0000B0070000}"/>
    <cellStyle name="SAPBEXstdItem 33_658-CAX" xfId="2093" xr:uid="{00000000-0005-0000-0000-0000B1070000}"/>
    <cellStyle name="SAPBEXstdItem 34" xfId="1482" xr:uid="{00000000-0005-0000-0000-0000B2070000}"/>
    <cellStyle name="SAPBEXstdItem 34 2" xfId="1483" xr:uid="{00000000-0005-0000-0000-0000B3070000}"/>
    <cellStyle name="SAPBEXstdItem 34_658-CAX" xfId="2094" xr:uid="{00000000-0005-0000-0000-0000B4070000}"/>
    <cellStyle name="SAPBEXstdItem 35" xfId="1484" xr:uid="{00000000-0005-0000-0000-0000B5070000}"/>
    <cellStyle name="SAPBEXstdItem 35 2" xfId="1485" xr:uid="{00000000-0005-0000-0000-0000B6070000}"/>
    <cellStyle name="SAPBEXstdItem 35_658-CAX" xfId="2095" xr:uid="{00000000-0005-0000-0000-0000B7070000}"/>
    <cellStyle name="SAPBEXstdItem 36" xfId="1486" xr:uid="{00000000-0005-0000-0000-0000B8070000}"/>
    <cellStyle name="SAPBEXstdItem 36 2" xfId="1487" xr:uid="{00000000-0005-0000-0000-0000B9070000}"/>
    <cellStyle name="SAPBEXstdItem 36_658-CAX" xfId="2096" xr:uid="{00000000-0005-0000-0000-0000BA070000}"/>
    <cellStyle name="SAPBEXstdItem 37" xfId="1488" xr:uid="{00000000-0005-0000-0000-0000BB070000}"/>
    <cellStyle name="SAPBEXstdItem 37 2" xfId="1489" xr:uid="{00000000-0005-0000-0000-0000BC070000}"/>
    <cellStyle name="SAPBEXstdItem 37_658-CAX" xfId="2097" xr:uid="{00000000-0005-0000-0000-0000BD070000}"/>
    <cellStyle name="SAPBEXstdItem 38" xfId="1490" xr:uid="{00000000-0005-0000-0000-0000BE070000}"/>
    <cellStyle name="SAPBEXstdItem 38 2" xfId="1491" xr:uid="{00000000-0005-0000-0000-0000BF070000}"/>
    <cellStyle name="SAPBEXstdItem 38_658-CAX" xfId="2098" xr:uid="{00000000-0005-0000-0000-0000C0070000}"/>
    <cellStyle name="SAPBEXstdItem 39" xfId="1492" xr:uid="{00000000-0005-0000-0000-0000C1070000}"/>
    <cellStyle name="SAPBEXstdItem 39 2" xfId="1493" xr:uid="{00000000-0005-0000-0000-0000C2070000}"/>
    <cellStyle name="SAPBEXstdItem 39_658-CAX" xfId="2099" xr:uid="{00000000-0005-0000-0000-0000C3070000}"/>
    <cellStyle name="SAPBEXstdItem 4" xfId="1494" xr:uid="{00000000-0005-0000-0000-0000C4070000}"/>
    <cellStyle name="SAPBEXstdItem 4 2" xfId="1495" xr:uid="{00000000-0005-0000-0000-0000C5070000}"/>
    <cellStyle name="SAPBEXstdItem 4_658-CAX" xfId="2100" xr:uid="{00000000-0005-0000-0000-0000C6070000}"/>
    <cellStyle name="SAPBEXstdItem 40" xfId="1496" xr:uid="{00000000-0005-0000-0000-0000C7070000}"/>
    <cellStyle name="SAPBEXstdItem 40 2" xfId="1497" xr:uid="{00000000-0005-0000-0000-0000C8070000}"/>
    <cellStyle name="SAPBEXstdItem 40_658-CAX" xfId="2101" xr:uid="{00000000-0005-0000-0000-0000C9070000}"/>
    <cellStyle name="SAPBEXstdItem 41" xfId="1498" xr:uid="{00000000-0005-0000-0000-0000CA070000}"/>
    <cellStyle name="SAPBEXstdItem 41 2" xfId="1499" xr:uid="{00000000-0005-0000-0000-0000CB070000}"/>
    <cellStyle name="SAPBEXstdItem 41_658-CAX" xfId="2102" xr:uid="{00000000-0005-0000-0000-0000CC070000}"/>
    <cellStyle name="SAPBEXstdItem 42" xfId="1500" xr:uid="{00000000-0005-0000-0000-0000CD070000}"/>
    <cellStyle name="SAPBEXstdItem 42 2" xfId="1501" xr:uid="{00000000-0005-0000-0000-0000CE070000}"/>
    <cellStyle name="SAPBEXstdItem 42_658-CAX" xfId="2103" xr:uid="{00000000-0005-0000-0000-0000CF070000}"/>
    <cellStyle name="SAPBEXstdItem 43" xfId="1502" xr:uid="{00000000-0005-0000-0000-0000D0070000}"/>
    <cellStyle name="SAPBEXstdItem 43 2" xfId="1503" xr:uid="{00000000-0005-0000-0000-0000D1070000}"/>
    <cellStyle name="SAPBEXstdItem 43_658-CAX" xfId="2104" xr:uid="{00000000-0005-0000-0000-0000D2070000}"/>
    <cellStyle name="SAPBEXstdItem 44" xfId="1504" xr:uid="{00000000-0005-0000-0000-0000D3070000}"/>
    <cellStyle name="SAPBEXstdItem 44 2" xfId="1505" xr:uid="{00000000-0005-0000-0000-0000D4070000}"/>
    <cellStyle name="SAPBEXstdItem 44_658-CAX" xfId="2105" xr:uid="{00000000-0005-0000-0000-0000D5070000}"/>
    <cellStyle name="SAPBEXstdItem 45" xfId="1506" xr:uid="{00000000-0005-0000-0000-0000D6070000}"/>
    <cellStyle name="SAPBEXstdItem 45 2" xfId="1507" xr:uid="{00000000-0005-0000-0000-0000D7070000}"/>
    <cellStyle name="SAPBEXstdItem 45_658-CAX" xfId="2106" xr:uid="{00000000-0005-0000-0000-0000D8070000}"/>
    <cellStyle name="SAPBEXstdItem 46" xfId="1508" xr:uid="{00000000-0005-0000-0000-0000D9070000}"/>
    <cellStyle name="SAPBEXstdItem 46 2" xfId="1509" xr:uid="{00000000-0005-0000-0000-0000DA070000}"/>
    <cellStyle name="SAPBEXstdItem 46_658-CAX" xfId="2107" xr:uid="{00000000-0005-0000-0000-0000DB070000}"/>
    <cellStyle name="SAPBEXstdItem 47" xfId="1510" xr:uid="{00000000-0005-0000-0000-0000DC070000}"/>
    <cellStyle name="SAPBEXstdItem 47 2" xfId="1511" xr:uid="{00000000-0005-0000-0000-0000DD070000}"/>
    <cellStyle name="SAPBEXstdItem 47_658-CAX" xfId="2108" xr:uid="{00000000-0005-0000-0000-0000DE070000}"/>
    <cellStyle name="SAPBEXstdItem 48" xfId="1512" xr:uid="{00000000-0005-0000-0000-0000DF070000}"/>
    <cellStyle name="SAPBEXstdItem 48 2" xfId="1513" xr:uid="{00000000-0005-0000-0000-0000E0070000}"/>
    <cellStyle name="SAPBEXstdItem 48_658-CAX" xfId="2109" xr:uid="{00000000-0005-0000-0000-0000E1070000}"/>
    <cellStyle name="SAPBEXstdItem 49" xfId="1514" xr:uid="{00000000-0005-0000-0000-0000E2070000}"/>
    <cellStyle name="SAPBEXstdItem 49 2" xfId="1515" xr:uid="{00000000-0005-0000-0000-0000E3070000}"/>
    <cellStyle name="SAPBEXstdItem 49_658-CAX" xfId="2110" xr:uid="{00000000-0005-0000-0000-0000E4070000}"/>
    <cellStyle name="SAPBEXstdItem 5" xfId="1516" xr:uid="{00000000-0005-0000-0000-0000E5070000}"/>
    <cellStyle name="SAPBEXstdItem 5 2" xfId="1517" xr:uid="{00000000-0005-0000-0000-0000E6070000}"/>
    <cellStyle name="SAPBEXstdItem 5_658-CAX" xfId="2111" xr:uid="{00000000-0005-0000-0000-0000E7070000}"/>
    <cellStyle name="SAPBEXstdItem 50" xfId="1518" xr:uid="{00000000-0005-0000-0000-0000E8070000}"/>
    <cellStyle name="SAPBEXstdItem 50 2" xfId="1519" xr:uid="{00000000-0005-0000-0000-0000E9070000}"/>
    <cellStyle name="SAPBEXstdItem 50_658-CAX" xfId="2112" xr:uid="{00000000-0005-0000-0000-0000EA070000}"/>
    <cellStyle name="SAPBEXstdItem 51" xfId="1520" xr:uid="{00000000-0005-0000-0000-0000EB070000}"/>
    <cellStyle name="SAPBEXstdItem 6" xfId="1521" xr:uid="{00000000-0005-0000-0000-0000EC070000}"/>
    <cellStyle name="SAPBEXstdItem 6 2" xfId="1522" xr:uid="{00000000-0005-0000-0000-0000ED070000}"/>
    <cellStyle name="SAPBEXstdItem 6_658-CAX" xfId="2113" xr:uid="{00000000-0005-0000-0000-0000EE070000}"/>
    <cellStyle name="SAPBEXstdItem 7" xfId="1523" xr:uid="{00000000-0005-0000-0000-0000EF070000}"/>
    <cellStyle name="SAPBEXstdItem 7 2" xfId="1524" xr:uid="{00000000-0005-0000-0000-0000F0070000}"/>
    <cellStyle name="SAPBEXstdItem 7_658-CAX" xfId="2114" xr:uid="{00000000-0005-0000-0000-0000F1070000}"/>
    <cellStyle name="SAPBEXstdItem 8" xfId="1525" xr:uid="{00000000-0005-0000-0000-0000F2070000}"/>
    <cellStyle name="SAPBEXstdItem 8 2" xfId="1526" xr:uid="{00000000-0005-0000-0000-0000F3070000}"/>
    <cellStyle name="SAPBEXstdItem 8_658-CAX" xfId="2115" xr:uid="{00000000-0005-0000-0000-0000F4070000}"/>
    <cellStyle name="SAPBEXstdItem 9" xfId="1527" xr:uid="{00000000-0005-0000-0000-0000F5070000}"/>
    <cellStyle name="SAPBEXstdItem 9 2" xfId="1528" xr:uid="{00000000-0005-0000-0000-0000F6070000}"/>
    <cellStyle name="SAPBEXstdItem 9_658-CAX" xfId="2116" xr:uid="{00000000-0005-0000-0000-0000F7070000}"/>
    <cellStyle name="SAPBEXstdItem_658-CAX" xfId="2067" xr:uid="{00000000-0005-0000-0000-0000F8070000}"/>
    <cellStyle name="SAPBEXstdItemX" xfId="1529" xr:uid="{00000000-0005-0000-0000-0000F9070000}"/>
    <cellStyle name="SAPBEXstdItemX 2" xfId="1530" xr:uid="{00000000-0005-0000-0000-0000FA070000}"/>
    <cellStyle name="SAPBEXstdItemX 2 2" xfId="1531" xr:uid="{00000000-0005-0000-0000-0000FB070000}"/>
    <cellStyle name="SAPBEXstdItemX 2_658-CAX" xfId="2118" xr:uid="{00000000-0005-0000-0000-0000FC070000}"/>
    <cellStyle name="SAPBEXstdItemX 3" xfId="1532" xr:uid="{00000000-0005-0000-0000-0000FD070000}"/>
    <cellStyle name="SAPBEXstdItemX 3 2" xfId="1533" xr:uid="{00000000-0005-0000-0000-0000FE070000}"/>
    <cellStyle name="SAPBEXstdItemX 3_658-CAX" xfId="2119" xr:uid="{00000000-0005-0000-0000-0000FF070000}"/>
    <cellStyle name="SAPBEXstdItemX 4" xfId="1534" xr:uid="{00000000-0005-0000-0000-000000080000}"/>
    <cellStyle name="SAPBEXstdItemX 4 2" xfId="1535" xr:uid="{00000000-0005-0000-0000-000001080000}"/>
    <cellStyle name="SAPBEXstdItemX 4_658-CAX" xfId="2120" xr:uid="{00000000-0005-0000-0000-000002080000}"/>
    <cellStyle name="SAPBEXstdItemX 5" xfId="1536" xr:uid="{00000000-0005-0000-0000-000003080000}"/>
    <cellStyle name="SAPBEXstdItemX 5 2" xfId="1537" xr:uid="{00000000-0005-0000-0000-000004080000}"/>
    <cellStyle name="SAPBEXstdItemX 5_658-CAX" xfId="2121" xr:uid="{00000000-0005-0000-0000-000005080000}"/>
    <cellStyle name="SAPBEXstdItemX 6" xfId="1538" xr:uid="{00000000-0005-0000-0000-000006080000}"/>
    <cellStyle name="SAPBEXstdItemX 6 2" xfId="1539" xr:uid="{00000000-0005-0000-0000-000007080000}"/>
    <cellStyle name="SAPBEXstdItemX 6_658-CAX" xfId="2122" xr:uid="{00000000-0005-0000-0000-000008080000}"/>
    <cellStyle name="SAPBEXstdItemX 7" xfId="1540" xr:uid="{00000000-0005-0000-0000-000009080000}"/>
    <cellStyle name="SAPBEXstdItemX 7 2" xfId="1541" xr:uid="{00000000-0005-0000-0000-00000A080000}"/>
    <cellStyle name="SAPBEXstdItemX 7_658-CAX" xfId="2123" xr:uid="{00000000-0005-0000-0000-00000B080000}"/>
    <cellStyle name="SAPBEXstdItemX 8" xfId="1542" xr:uid="{00000000-0005-0000-0000-00000C080000}"/>
    <cellStyle name="SAPBEXstdItemX 8 2" xfId="1543" xr:uid="{00000000-0005-0000-0000-00000D080000}"/>
    <cellStyle name="SAPBEXstdItemX 8_658-CAX" xfId="2124" xr:uid="{00000000-0005-0000-0000-00000E080000}"/>
    <cellStyle name="SAPBEXstdItemX 9" xfId="1544" xr:uid="{00000000-0005-0000-0000-00000F080000}"/>
    <cellStyle name="SAPBEXstdItemX_658-CAX" xfId="2117" xr:uid="{00000000-0005-0000-0000-000010080000}"/>
    <cellStyle name="SAPBEXsubData" xfId="1545" xr:uid="{00000000-0005-0000-0000-000011080000}"/>
    <cellStyle name="SAPBEXsubDataEmph" xfId="1546" xr:uid="{00000000-0005-0000-0000-000012080000}"/>
    <cellStyle name="SAPBEXsubItem" xfId="1547" xr:uid="{00000000-0005-0000-0000-000013080000}"/>
    <cellStyle name="SAPBEXtitle" xfId="1548" xr:uid="{00000000-0005-0000-0000-000014080000}"/>
    <cellStyle name="SAPBEXtitle 2" xfId="1549" xr:uid="{00000000-0005-0000-0000-000015080000}"/>
    <cellStyle name="SAPBEXtitle 3" xfId="1550" xr:uid="{00000000-0005-0000-0000-000016080000}"/>
    <cellStyle name="SAPBEXtitle 4" xfId="1551" xr:uid="{00000000-0005-0000-0000-000017080000}"/>
    <cellStyle name="SAPBEXtitle 5" xfId="1552" xr:uid="{00000000-0005-0000-0000-000018080000}"/>
    <cellStyle name="SAPBEXtitle 6" xfId="1553" xr:uid="{00000000-0005-0000-0000-000019080000}"/>
    <cellStyle name="SAPBEXtitle 7" xfId="1554" xr:uid="{00000000-0005-0000-0000-00001A080000}"/>
    <cellStyle name="SAPBEXtitle_Analise DE-PARA Setembro 2009 - BASE" xfId="1555" xr:uid="{00000000-0005-0000-0000-00001B080000}"/>
    <cellStyle name="SAPBEXundefined" xfId="1556" xr:uid="{00000000-0005-0000-0000-00001C080000}"/>
    <cellStyle name="SAPBEXundefined 2" xfId="1557" xr:uid="{00000000-0005-0000-0000-00001D080000}"/>
    <cellStyle name="SAPBEXundefined_658-CAX" xfId="2125" xr:uid="{00000000-0005-0000-0000-00001E080000}"/>
    <cellStyle name="SEM-BPS-data" xfId="1558" xr:uid="{00000000-0005-0000-0000-00001F080000}"/>
    <cellStyle name="SEM-BPS-head" xfId="1559" xr:uid="{00000000-0005-0000-0000-000020080000}"/>
    <cellStyle name="SEM-BPS-headdata" xfId="1560" xr:uid="{00000000-0005-0000-0000-000021080000}"/>
    <cellStyle name="SEM-BPS-headkey" xfId="1561" xr:uid="{00000000-0005-0000-0000-000022080000}"/>
    <cellStyle name="SEM-BPS-input-on" xfId="1562" xr:uid="{00000000-0005-0000-0000-000023080000}"/>
    <cellStyle name="SEM-BPS-key" xfId="1563" xr:uid="{00000000-0005-0000-0000-000024080000}"/>
    <cellStyle name="SEM-BPS-sub1" xfId="1564" xr:uid="{00000000-0005-0000-0000-000025080000}"/>
    <cellStyle name="SEM-BPS-sub2" xfId="1565" xr:uid="{00000000-0005-0000-0000-000026080000}"/>
    <cellStyle name="SEM-BPS-total" xfId="1566" xr:uid="{00000000-0005-0000-0000-000027080000}"/>
    <cellStyle name="Sep. milhar [0]" xfId="1567" xr:uid="{00000000-0005-0000-0000-000028080000}"/>
    <cellStyle name="Separador de m" xfId="1568" xr:uid="{00000000-0005-0000-0000-000029080000}"/>
    <cellStyle name="Separador de milhares 10" xfId="1569" xr:uid="{00000000-0005-0000-0000-00002A080000}"/>
    <cellStyle name="Separador de milhares 11" xfId="1570" xr:uid="{00000000-0005-0000-0000-00002B080000}"/>
    <cellStyle name="Separador de milhares 12" xfId="1571" xr:uid="{00000000-0005-0000-0000-00002C080000}"/>
    <cellStyle name="Separador de milhares 2" xfId="1572" xr:uid="{00000000-0005-0000-0000-00002D080000}"/>
    <cellStyle name="Separador de milhares 2 10" xfId="1573" xr:uid="{00000000-0005-0000-0000-00002E080000}"/>
    <cellStyle name="Separador de milhares 2 11" xfId="1574" xr:uid="{00000000-0005-0000-0000-00002F080000}"/>
    <cellStyle name="Separador de milhares 2 12" xfId="1575" xr:uid="{00000000-0005-0000-0000-000030080000}"/>
    <cellStyle name="Separador de milhares 2 13" xfId="1576" xr:uid="{00000000-0005-0000-0000-000031080000}"/>
    <cellStyle name="Separador de milhares 2 14" xfId="1577" xr:uid="{00000000-0005-0000-0000-000032080000}"/>
    <cellStyle name="Separador de milhares 2 15" xfId="1578" xr:uid="{00000000-0005-0000-0000-000033080000}"/>
    <cellStyle name="Separador de milhares 2 16" xfId="1579" xr:uid="{00000000-0005-0000-0000-000034080000}"/>
    <cellStyle name="Separador de milhares 2 17" xfId="1580" xr:uid="{00000000-0005-0000-0000-000035080000}"/>
    <cellStyle name="Separador de milhares 2 18" xfId="1581" xr:uid="{00000000-0005-0000-0000-000036080000}"/>
    <cellStyle name="Separador de milhares 2 19" xfId="1582" xr:uid="{00000000-0005-0000-0000-000037080000}"/>
    <cellStyle name="Separador de milhares 2 2" xfId="1583" xr:uid="{00000000-0005-0000-0000-000038080000}"/>
    <cellStyle name="Separador de milhares 2 20" xfId="1584" xr:uid="{00000000-0005-0000-0000-000039080000}"/>
    <cellStyle name="Separador de milhares 2 21" xfId="1585" xr:uid="{00000000-0005-0000-0000-00003A080000}"/>
    <cellStyle name="Separador de milhares 2 22" xfId="1586" xr:uid="{00000000-0005-0000-0000-00003B080000}"/>
    <cellStyle name="Separador de milhares 2 23" xfId="1587" xr:uid="{00000000-0005-0000-0000-00003C080000}"/>
    <cellStyle name="Separador de milhares 2 24" xfId="1588" xr:uid="{00000000-0005-0000-0000-00003D080000}"/>
    <cellStyle name="Separador de milhares 2 25" xfId="2267" xr:uid="{00000000-0005-0000-0000-00003E080000}"/>
    <cellStyle name="Separador de milhares 2 26" xfId="2268" xr:uid="{00000000-0005-0000-0000-00003F080000}"/>
    <cellStyle name="Separador de milhares 2 27" xfId="2269" xr:uid="{00000000-0005-0000-0000-000040080000}"/>
    <cellStyle name="Separador de milhares 2 28" xfId="2270" xr:uid="{00000000-0005-0000-0000-000041080000}"/>
    <cellStyle name="Separador de milhares 2 29" xfId="2271" xr:uid="{00000000-0005-0000-0000-000042080000}"/>
    <cellStyle name="Separador de milhares 2 3" xfId="1589" xr:uid="{00000000-0005-0000-0000-000043080000}"/>
    <cellStyle name="Separador de milhares 2 30" xfId="2272" xr:uid="{00000000-0005-0000-0000-000044080000}"/>
    <cellStyle name="Separador de milhares 2 31" xfId="2273" xr:uid="{00000000-0005-0000-0000-000045080000}"/>
    <cellStyle name="Separador de milhares 2 32" xfId="2274" xr:uid="{00000000-0005-0000-0000-000046080000}"/>
    <cellStyle name="Separador de milhares 2 33" xfId="2275" xr:uid="{00000000-0005-0000-0000-000047080000}"/>
    <cellStyle name="Separador de milhares 2 34" xfId="2276" xr:uid="{00000000-0005-0000-0000-000048080000}"/>
    <cellStyle name="Separador de milhares 2 35" xfId="2277" xr:uid="{00000000-0005-0000-0000-000049080000}"/>
    <cellStyle name="Separador de milhares 2 36" xfId="2278" xr:uid="{00000000-0005-0000-0000-00004A080000}"/>
    <cellStyle name="Separador de milhares 2 37" xfId="2279" xr:uid="{00000000-0005-0000-0000-00004B080000}"/>
    <cellStyle name="Separador de milhares 2 38" xfId="2280" xr:uid="{00000000-0005-0000-0000-00004C080000}"/>
    <cellStyle name="Separador de milhares 2 39" xfId="2281" xr:uid="{00000000-0005-0000-0000-00004D080000}"/>
    <cellStyle name="Separador de milhares 2 4" xfId="1590" xr:uid="{00000000-0005-0000-0000-00004E080000}"/>
    <cellStyle name="Separador de milhares 2 40" xfId="2282" xr:uid="{00000000-0005-0000-0000-00004F080000}"/>
    <cellStyle name="Separador de milhares 2 41" xfId="2283" xr:uid="{00000000-0005-0000-0000-000050080000}"/>
    <cellStyle name="Separador de milhares 2 42" xfId="2284" xr:uid="{00000000-0005-0000-0000-000051080000}"/>
    <cellStyle name="Separador de milhares 2 43" xfId="2285" xr:uid="{00000000-0005-0000-0000-000052080000}"/>
    <cellStyle name="Separador de milhares 2 44" xfId="2286" xr:uid="{00000000-0005-0000-0000-000053080000}"/>
    <cellStyle name="Separador de milhares 2 45" xfId="2287" xr:uid="{00000000-0005-0000-0000-000054080000}"/>
    <cellStyle name="Separador de milhares 2 46" xfId="2288" xr:uid="{00000000-0005-0000-0000-000055080000}"/>
    <cellStyle name="Separador de milhares 2 47" xfId="2289" xr:uid="{00000000-0005-0000-0000-000056080000}"/>
    <cellStyle name="Separador de milhares 2 48" xfId="2290" xr:uid="{00000000-0005-0000-0000-000057080000}"/>
    <cellStyle name="Separador de milhares 2 49" xfId="2291" xr:uid="{00000000-0005-0000-0000-000058080000}"/>
    <cellStyle name="Separador de milhares 2 5" xfId="1591" xr:uid="{00000000-0005-0000-0000-000059080000}"/>
    <cellStyle name="Separador de milhares 2 5 2" xfId="1592" xr:uid="{00000000-0005-0000-0000-00005A080000}"/>
    <cellStyle name="Separador de milhares 2 5 3" xfId="1593" xr:uid="{00000000-0005-0000-0000-00005B080000}"/>
    <cellStyle name="Separador de milhares 2 5 4" xfId="1594" xr:uid="{00000000-0005-0000-0000-00005C080000}"/>
    <cellStyle name="Separador de milhares 2 5 4 2" xfId="1595" xr:uid="{00000000-0005-0000-0000-00005D080000}"/>
    <cellStyle name="Separador de milhares 2 50" xfId="2292" xr:uid="{00000000-0005-0000-0000-00005E080000}"/>
    <cellStyle name="Separador de milhares 2 51" xfId="2293" xr:uid="{00000000-0005-0000-0000-00005F080000}"/>
    <cellStyle name="Separador de milhares 2 52" xfId="2294" xr:uid="{00000000-0005-0000-0000-000060080000}"/>
    <cellStyle name="Separador de milhares 2 53" xfId="2295" xr:uid="{00000000-0005-0000-0000-000061080000}"/>
    <cellStyle name="Separador de milhares 2 54" xfId="2296" xr:uid="{00000000-0005-0000-0000-000062080000}"/>
    <cellStyle name="Separador de milhares 2 55" xfId="2297" xr:uid="{00000000-0005-0000-0000-000063080000}"/>
    <cellStyle name="Separador de milhares 2 56" xfId="2298" xr:uid="{00000000-0005-0000-0000-000064080000}"/>
    <cellStyle name="Separador de milhares 2 57" xfId="2299" xr:uid="{00000000-0005-0000-0000-000065080000}"/>
    <cellStyle name="Separador de milhares 2 58" xfId="2300" xr:uid="{00000000-0005-0000-0000-000066080000}"/>
    <cellStyle name="Separador de milhares 2 59" xfId="2301" xr:uid="{00000000-0005-0000-0000-000067080000}"/>
    <cellStyle name="Separador de milhares 2 6" xfId="1596" xr:uid="{00000000-0005-0000-0000-000068080000}"/>
    <cellStyle name="Separador de milhares 2 60" xfId="2302" xr:uid="{00000000-0005-0000-0000-000069080000}"/>
    <cellStyle name="Separador de milhares 2 61" xfId="2303" xr:uid="{00000000-0005-0000-0000-00006A080000}"/>
    <cellStyle name="Separador de milhares 2 62" xfId="2304" xr:uid="{00000000-0005-0000-0000-00006B080000}"/>
    <cellStyle name="Separador de milhares 2 63" xfId="2305" xr:uid="{00000000-0005-0000-0000-00006C080000}"/>
    <cellStyle name="Separador de milhares 2 64" xfId="2306" xr:uid="{00000000-0005-0000-0000-00006D080000}"/>
    <cellStyle name="Separador de milhares 2 65" xfId="2307" xr:uid="{00000000-0005-0000-0000-00006E080000}"/>
    <cellStyle name="Separador de milhares 2 7" xfId="1597" xr:uid="{00000000-0005-0000-0000-00006F080000}"/>
    <cellStyle name="Separador de milhares 2 8" xfId="1598" xr:uid="{00000000-0005-0000-0000-000070080000}"/>
    <cellStyle name="Separador de milhares 2 9" xfId="1599" xr:uid="{00000000-0005-0000-0000-000071080000}"/>
    <cellStyle name="Separador de milhares 3" xfId="1600" xr:uid="{00000000-0005-0000-0000-000072080000}"/>
    <cellStyle name="Separador de milhares 3 2" xfId="1601" xr:uid="{00000000-0005-0000-0000-000073080000}"/>
    <cellStyle name="Separador de milhares 3 3" xfId="1602" xr:uid="{00000000-0005-0000-0000-000074080000}"/>
    <cellStyle name="Separador de milhares 4" xfId="1603" xr:uid="{00000000-0005-0000-0000-000075080000}"/>
    <cellStyle name="Separador de milhares 4 10" xfId="1604" xr:uid="{00000000-0005-0000-0000-000076080000}"/>
    <cellStyle name="Separador de milhares 4 11" xfId="1605" xr:uid="{00000000-0005-0000-0000-000077080000}"/>
    <cellStyle name="Separador de milhares 4 12" xfId="1606" xr:uid="{00000000-0005-0000-0000-000078080000}"/>
    <cellStyle name="Separador de milhares 4 13" xfId="1607" xr:uid="{00000000-0005-0000-0000-000079080000}"/>
    <cellStyle name="Separador de milhares 4 14" xfId="1608" xr:uid="{00000000-0005-0000-0000-00007A080000}"/>
    <cellStyle name="Separador de milhares 4 15" xfId="1609" xr:uid="{00000000-0005-0000-0000-00007B080000}"/>
    <cellStyle name="Separador de milhares 4 16" xfId="1610" xr:uid="{00000000-0005-0000-0000-00007C080000}"/>
    <cellStyle name="Separador de milhares 4 17" xfId="1611" xr:uid="{00000000-0005-0000-0000-00007D080000}"/>
    <cellStyle name="Separador de milhares 4 18" xfId="1612" xr:uid="{00000000-0005-0000-0000-00007E080000}"/>
    <cellStyle name="Separador de milhares 4 19" xfId="1613" xr:uid="{00000000-0005-0000-0000-00007F080000}"/>
    <cellStyle name="Separador de milhares 4 2" xfId="1614" xr:uid="{00000000-0005-0000-0000-000080080000}"/>
    <cellStyle name="Separador de milhares 4 20" xfId="1615" xr:uid="{00000000-0005-0000-0000-000081080000}"/>
    <cellStyle name="Separador de milhares 4 21" xfId="1616" xr:uid="{00000000-0005-0000-0000-000082080000}"/>
    <cellStyle name="Separador de milhares 4 22" xfId="1617" xr:uid="{00000000-0005-0000-0000-000083080000}"/>
    <cellStyle name="Separador de milhares 4 23" xfId="1618" xr:uid="{00000000-0005-0000-0000-000084080000}"/>
    <cellStyle name="Separador de milhares 4 24" xfId="1619" xr:uid="{00000000-0005-0000-0000-000085080000}"/>
    <cellStyle name="Separador de milhares 4 25" xfId="1620" xr:uid="{00000000-0005-0000-0000-000086080000}"/>
    <cellStyle name="Separador de milhares 4 26" xfId="1621" xr:uid="{00000000-0005-0000-0000-000087080000}"/>
    <cellStyle name="Separador de milhares 4 27" xfId="1622" xr:uid="{00000000-0005-0000-0000-000088080000}"/>
    <cellStyle name="Separador de milhares 4 28" xfId="1623" xr:uid="{00000000-0005-0000-0000-000089080000}"/>
    <cellStyle name="Separador de milhares 4 29" xfId="1624" xr:uid="{00000000-0005-0000-0000-00008A080000}"/>
    <cellStyle name="Separador de milhares 4 3" xfId="1625" xr:uid="{00000000-0005-0000-0000-00008B080000}"/>
    <cellStyle name="Separador de milhares 4 30" xfId="1626" xr:uid="{00000000-0005-0000-0000-00008C080000}"/>
    <cellStyle name="Separador de milhares 4 31" xfId="1627" xr:uid="{00000000-0005-0000-0000-00008D080000}"/>
    <cellStyle name="Separador de milhares 4 32" xfId="1628" xr:uid="{00000000-0005-0000-0000-00008E080000}"/>
    <cellStyle name="Separador de milhares 4 33" xfId="1629" xr:uid="{00000000-0005-0000-0000-00008F080000}"/>
    <cellStyle name="Separador de milhares 4 34" xfId="1630" xr:uid="{00000000-0005-0000-0000-000090080000}"/>
    <cellStyle name="Separador de milhares 4 4" xfId="1631" xr:uid="{00000000-0005-0000-0000-000091080000}"/>
    <cellStyle name="Separador de milhares 4 5" xfId="1632" xr:uid="{00000000-0005-0000-0000-000092080000}"/>
    <cellStyle name="Separador de milhares 4 6" xfId="1633" xr:uid="{00000000-0005-0000-0000-000093080000}"/>
    <cellStyle name="Separador de milhares 4 7" xfId="1634" xr:uid="{00000000-0005-0000-0000-000094080000}"/>
    <cellStyle name="Separador de milhares 4 8" xfId="1635" xr:uid="{00000000-0005-0000-0000-000095080000}"/>
    <cellStyle name="Separador de milhares 4 9" xfId="1636" xr:uid="{00000000-0005-0000-0000-000096080000}"/>
    <cellStyle name="Separador de milhares 5" xfId="1637" xr:uid="{00000000-0005-0000-0000-000097080000}"/>
    <cellStyle name="Separador de milhares 5 2" xfId="1638" xr:uid="{00000000-0005-0000-0000-000098080000}"/>
    <cellStyle name="Separador de milhares 5 2 2" xfId="1639" xr:uid="{00000000-0005-0000-0000-000099080000}"/>
    <cellStyle name="Separador de milhares 5 3" xfId="1640" xr:uid="{00000000-0005-0000-0000-00009A080000}"/>
    <cellStyle name="Separador de milhares 5 4" xfId="1641" xr:uid="{00000000-0005-0000-0000-00009B080000}"/>
    <cellStyle name="Separador de milhares 6" xfId="1642" xr:uid="{00000000-0005-0000-0000-00009C080000}"/>
    <cellStyle name="Separador de milhares 6 2" xfId="1643" xr:uid="{00000000-0005-0000-0000-00009D080000}"/>
    <cellStyle name="Separador de milhares 6 3" xfId="1644" xr:uid="{00000000-0005-0000-0000-00009E080000}"/>
    <cellStyle name="Separador de milhares 7" xfId="1645" xr:uid="{00000000-0005-0000-0000-00009F080000}"/>
    <cellStyle name="Separador de milhares 7 10" xfId="1646" xr:uid="{00000000-0005-0000-0000-0000A0080000}"/>
    <cellStyle name="Separador de milhares 7 11" xfId="1647" xr:uid="{00000000-0005-0000-0000-0000A1080000}"/>
    <cellStyle name="Separador de milhares 7 12" xfId="1648" xr:uid="{00000000-0005-0000-0000-0000A2080000}"/>
    <cellStyle name="Separador de milhares 7 13" xfId="1649" xr:uid="{00000000-0005-0000-0000-0000A3080000}"/>
    <cellStyle name="Separador de milhares 7 14" xfId="1650" xr:uid="{00000000-0005-0000-0000-0000A4080000}"/>
    <cellStyle name="Separador de milhares 7 15" xfId="1651" xr:uid="{00000000-0005-0000-0000-0000A5080000}"/>
    <cellStyle name="Separador de milhares 7 16" xfId="1652" xr:uid="{00000000-0005-0000-0000-0000A6080000}"/>
    <cellStyle name="Separador de milhares 7 17" xfId="1653" xr:uid="{00000000-0005-0000-0000-0000A7080000}"/>
    <cellStyle name="Separador de milhares 7 18" xfId="1654" xr:uid="{00000000-0005-0000-0000-0000A8080000}"/>
    <cellStyle name="Separador de milhares 7 19" xfId="1655" xr:uid="{00000000-0005-0000-0000-0000A9080000}"/>
    <cellStyle name="Separador de milhares 7 2" xfId="1656" xr:uid="{00000000-0005-0000-0000-0000AA080000}"/>
    <cellStyle name="Separador de milhares 7 20" xfId="1657" xr:uid="{00000000-0005-0000-0000-0000AB080000}"/>
    <cellStyle name="Separador de milhares 7 21" xfId="1658" xr:uid="{00000000-0005-0000-0000-0000AC080000}"/>
    <cellStyle name="Separador de milhares 7 22" xfId="1659" xr:uid="{00000000-0005-0000-0000-0000AD080000}"/>
    <cellStyle name="Separador de milhares 7 23" xfId="1660" xr:uid="{00000000-0005-0000-0000-0000AE080000}"/>
    <cellStyle name="Separador de milhares 7 24" xfId="1661" xr:uid="{00000000-0005-0000-0000-0000AF080000}"/>
    <cellStyle name="Separador de milhares 7 25" xfId="1662" xr:uid="{00000000-0005-0000-0000-0000B0080000}"/>
    <cellStyle name="Separador de milhares 7 26" xfId="1663" xr:uid="{00000000-0005-0000-0000-0000B1080000}"/>
    <cellStyle name="Separador de milhares 7 27" xfId="1664" xr:uid="{00000000-0005-0000-0000-0000B2080000}"/>
    <cellStyle name="Separador de milhares 7 28" xfId="1665" xr:uid="{00000000-0005-0000-0000-0000B3080000}"/>
    <cellStyle name="Separador de milhares 7 29" xfId="1666" xr:uid="{00000000-0005-0000-0000-0000B4080000}"/>
    <cellStyle name="Separador de milhares 7 3" xfId="1667" xr:uid="{00000000-0005-0000-0000-0000B5080000}"/>
    <cellStyle name="Separador de milhares 7 30" xfId="1668" xr:uid="{00000000-0005-0000-0000-0000B6080000}"/>
    <cellStyle name="Separador de milhares 7 4" xfId="1669" xr:uid="{00000000-0005-0000-0000-0000B7080000}"/>
    <cellStyle name="Separador de milhares 7 5" xfId="1670" xr:uid="{00000000-0005-0000-0000-0000B8080000}"/>
    <cellStyle name="Separador de milhares 7 6" xfId="1671" xr:uid="{00000000-0005-0000-0000-0000B9080000}"/>
    <cellStyle name="Separador de milhares 7 7" xfId="1672" xr:uid="{00000000-0005-0000-0000-0000BA080000}"/>
    <cellStyle name="Separador de milhares 7 8" xfId="1673" xr:uid="{00000000-0005-0000-0000-0000BB080000}"/>
    <cellStyle name="Separador de milhares 7 9" xfId="1674" xr:uid="{00000000-0005-0000-0000-0000BC080000}"/>
    <cellStyle name="Separador de milhares 8" xfId="1675" xr:uid="{00000000-0005-0000-0000-0000BD080000}"/>
    <cellStyle name="Separador de milhares 9" xfId="1676" xr:uid="{00000000-0005-0000-0000-0000BE080000}"/>
    <cellStyle name="Sheet Title" xfId="1677" xr:uid="{00000000-0005-0000-0000-0000BF080000}"/>
    <cellStyle name="Standaard_Blad1" xfId="1678" xr:uid="{00000000-0005-0000-0000-0000C0080000}"/>
    <cellStyle name="Style 1" xfId="1679" xr:uid="{00000000-0005-0000-0000-0000C1080000}"/>
    <cellStyle name="Table Col Head" xfId="1680" xr:uid="{00000000-0005-0000-0000-0000C2080000}"/>
    <cellStyle name="Table Title" xfId="1681" xr:uid="{00000000-0005-0000-0000-0000C3080000}"/>
    <cellStyle name="TERMINAL" xfId="1682" xr:uid="{00000000-0005-0000-0000-0000C4080000}"/>
    <cellStyle name="title" xfId="1683" xr:uid="{00000000-0005-0000-0000-0000C5080000}"/>
    <cellStyle name="Title 2" xfId="2308" xr:uid="{00000000-0005-0000-0000-0000C6080000}"/>
    <cellStyle name="TITLE2" xfId="1684" xr:uid="{00000000-0005-0000-0000-0000C7080000}"/>
    <cellStyle name="TITLECENTER" xfId="1685" xr:uid="{00000000-0005-0000-0000-0000C8080000}"/>
    <cellStyle name="titulo" xfId="1686" xr:uid="{00000000-0005-0000-0000-0000C9080000}"/>
    <cellStyle name="titulo 2" xfId="1687" xr:uid="{00000000-0005-0000-0000-0000CA080000}"/>
    <cellStyle name="titulo 2_658-CAX" xfId="2127" xr:uid="{00000000-0005-0000-0000-0000CB080000}"/>
    <cellStyle name="titulo_658-CAX" xfId="2126" xr:uid="{00000000-0005-0000-0000-0000CC080000}"/>
    <cellStyle name="Titulo1" xfId="1688" xr:uid="{00000000-0005-0000-0000-0000CD080000}"/>
    <cellStyle name="Titulo2" xfId="1689" xr:uid="{00000000-0005-0000-0000-0000CE080000}"/>
    <cellStyle name="Total 2" xfId="1690" xr:uid="{00000000-0005-0000-0000-0000CF080000}"/>
    <cellStyle name="Total 2 2" xfId="1691" xr:uid="{00000000-0005-0000-0000-0000D0080000}"/>
    <cellStyle name="Total 2 2 2" xfId="1692" xr:uid="{00000000-0005-0000-0000-0000D1080000}"/>
    <cellStyle name="Total 2 2_658-CAX" xfId="2129" xr:uid="{00000000-0005-0000-0000-0000D2080000}"/>
    <cellStyle name="Total 2 3" xfId="1693" xr:uid="{00000000-0005-0000-0000-0000D3080000}"/>
    <cellStyle name="Total 2 3 2" xfId="1694" xr:uid="{00000000-0005-0000-0000-0000D4080000}"/>
    <cellStyle name="Total 2 3_658-CAX" xfId="2130" xr:uid="{00000000-0005-0000-0000-0000D5080000}"/>
    <cellStyle name="Total 2 4" xfId="1695" xr:uid="{00000000-0005-0000-0000-0000D6080000}"/>
    <cellStyle name="Total 2_658-CAX" xfId="2128" xr:uid="{00000000-0005-0000-0000-0000D7080000}"/>
    <cellStyle name="Total 3" xfId="1696" xr:uid="{00000000-0005-0000-0000-0000D8080000}"/>
    <cellStyle name="Total 3 2" xfId="1697" xr:uid="{00000000-0005-0000-0000-0000D9080000}"/>
    <cellStyle name="Total 3 2 2" xfId="1698" xr:uid="{00000000-0005-0000-0000-0000DA080000}"/>
    <cellStyle name="Total 3 2_658-CAX" xfId="2132" xr:uid="{00000000-0005-0000-0000-0000DB080000}"/>
    <cellStyle name="Total 3 3" xfId="1699" xr:uid="{00000000-0005-0000-0000-0000DC080000}"/>
    <cellStyle name="Total 3 3 2" xfId="1700" xr:uid="{00000000-0005-0000-0000-0000DD080000}"/>
    <cellStyle name="Total 3 3_658-CAX" xfId="2133" xr:uid="{00000000-0005-0000-0000-0000DE080000}"/>
    <cellStyle name="Total 3 4" xfId="1701" xr:uid="{00000000-0005-0000-0000-0000DF080000}"/>
    <cellStyle name="Total 3_658-CAX" xfId="2131" xr:uid="{00000000-0005-0000-0000-0000E0080000}"/>
    <cellStyle name="Total 4" xfId="1702" xr:uid="{00000000-0005-0000-0000-0000E1080000}"/>
    <cellStyle name="Total 4 2" xfId="1703" xr:uid="{00000000-0005-0000-0000-0000E2080000}"/>
    <cellStyle name="Total 4 2 2" xfId="1704" xr:uid="{00000000-0005-0000-0000-0000E3080000}"/>
    <cellStyle name="Total 4 2_658-CAX" xfId="2135" xr:uid="{00000000-0005-0000-0000-0000E4080000}"/>
    <cellStyle name="Total 4 3" xfId="1705" xr:uid="{00000000-0005-0000-0000-0000E5080000}"/>
    <cellStyle name="Total 4 3 2" xfId="1706" xr:uid="{00000000-0005-0000-0000-0000E6080000}"/>
    <cellStyle name="Total 4 3_658-CAX" xfId="2136" xr:uid="{00000000-0005-0000-0000-0000E7080000}"/>
    <cellStyle name="Total 4 4" xfId="1707" xr:uid="{00000000-0005-0000-0000-0000E8080000}"/>
    <cellStyle name="Total 4_658-CAX" xfId="2134" xr:uid="{00000000-0005-0000-0000-0000E9080000}"/>
    <cellStyle name="Total 5" xfId="1708" xr:uid="{00000000-0005-0000-0000-0000EA080000}"/>
    <cellStyle name="Total 5 2" xfId="1709" xr:uid="{00000000-0005-0000-0000-0000EB080000}"/>
    <cellStyle name="Total 5 2 2" xfId="1710" xr:uid="{00000000-0005-0000-0000-0000EC080000}"/>
    <cellStyle name="Total 5 2_658-CAX" xfId="2138" xr:uid="{00000000-0005-0000-0000-0000ED080000}"/>
    <cellStyle name="Total 5 3" xfId="1711" xr:uid="{00000000-0005-0000-0000-0000EE080000}"/>
    <cellStyle name="Total 5 3 2" xfId="1712" xr:uid="{00000000-0005-0000-0000-0000EF080000}"/>
    <cellStyle name="Total 5 3_658-CAX" xfId="2139" xr:uid="{00000000-0005-0000-0000-0000F0080000}"/>
    <cellStyle name="Total 5 4" xfId="1713" xr:uid="{00000000-0005-0000-0000-0000F1080000}"/>
    <cellStyle name="Total 5_658-CAX" xfId="2137" xr:uid="{00000000-0005-0000-0000-0000F2080000}"/>
    <cellStyle name="Total 6" xfId="1714" xr:uid="{00000000-0005-0000-0000-0000F3080000}"/>
    <cellStyle name="Total 6 2" xfId="1715" xr:uid="{00000000-0005-0000-0000-0000F4080000}"/>
    <cellStyle name="Total 6_658-CAX" xfId="2140" xr:uid="{00000000-0005-0000-0000-0000F5080000}"/>
    <cellStyle name="TURK-FORMULA CHANGED" xfId="1716" xr:uid="{00000000-0005-0000-0000-0000F6080000}"/>
    <cellStyle name="units" xfId="1717" xr:uid="{00000000-0005-0000-0000-0000F7080000}"/>
    <cellStyle name="US CHECK " xfId="1718" xr:uid="{00000000-0005-0000-0000-0000F8080000}"/>
    <cellStyle name="Valuta (0)_A01" xfId="1719" xr:uid="{00000000-0005-0000-0000-0000F9080000}"/>
    <cellStyle name="Valuta [0]_Blad1" xfId="1720" xr:uid="{00000000-0005-0000-0000-0000FA080000}"/>
    <cellStyle name="Valuta_A01" xfId="1721" xr:uid="{00000000-0005-0000-0000-0000FB080000}"/>
    <cellStyle name="Verificar Célula" xfId="1722" xr:uid="{00000000-0005-0000-0000-0000FC080000}"/>
    <cellStyle name="Verificar Célula 2" xfId="1723" xr:uid="{00000000-0005-0000-0000-0000FD080000}"/>
    <cellStyle name="Vírgula" xfId="2317" builtinId="3"/>
    <cellStyle name="Vírgula 2" xfId="1724" xr:uid="{00000000-0005-0000-0000-0000FF080000}"/>
    <cellStyle name="Vírgula 2 2" xfId="1725" xr:uid="{00000000-0005-0000-0000-000000090000}"/>
    <cellStyle name="Vírgula 2 2 2" xfId="2309" xr:uid="{00000000-0005-0000-0000-000001090000}"/>
    <cellStyle name="Vírgula 2 3" xfId="1726" xr:uid="{00000000-0005-0000-0000-000002090000}"/>
    <cellStyle name="Vírgula 2 4" xfId="1727" xr:uid="{00000000-0005-0000-0000-000003090000}"/>
    <cellStyle name="Vírgula 3" xfId="1728" xr:uid="{00000000-0005-0000-0000-000004090000}"/>
    <cellStyle name="Vírgula 3 2" xfId="1729" xr:uid="{00000000-0005-0000-0000-000005090000}"/>
    <cellStyle name="Vírgula 4" xfId="1730" xr:uid="{00000000-0005-0000-0000-000006090000}"/>
    <cellStyle name="Vírgula 4 2" xfId="2310" xr:uid="{00000000-0005-0000-0000-000007090000}"/>
    <cellStyle name="Vírgula 4 3" xfId="2311" xr:uid="{00000000-0005-0000-0000-000008090000}"/>
    <cellStyle name="Vírgula 5" xfId="2145" xr:uid="{00000000-0005-0000-0000-000009090000}"/>
    <cellStyle name="Vírgula 6" xfId="2314" xr:uid="{00000000-0005-0000-0000-00000A090000}"/>
    <cellStyle name="Vírgula 7" xfId="2142" xr:uid="{00000000-0005-0000-0000-00000B090000}"/>
    <cellStyle name="Warning Text" xfId="1731" xr:uid="{00000000-0005-0000-0000-00000C090000}"/>
    <cellStyle name="Warning Text 2" xfId="2312" xr:uid="{00000000-0005-0000-0000-00000D090000}"/>
    <cellStyle name="zeroifsmall" xfId="1732" xr:uid="{00000000-0005-0000-0000-00000E090000}"/>
  </cellStyles>
  <dxfs count="367">
    <dxf>
      <font>
        <b/>
        <i val="0"/>
        <color theme="4"/>
      </font>
    </dxf>
    <dxf>
      <font>
        <b/>
        <i val="0"/>
        <color rgb="FFFF0000"/>
      </font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theme="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8000"/>
      </font>
    </dxf>
  </dxfs>
  <tableStyles count="0" defaultTableStyle="TableStyleMedium2" defaultPivotStyle="PivotStyleLight16"/>
  <colors>
    <mruColors>
      <color rgb="FFFFFF66"/>
      <color rgb="FF33CC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externalLink" Target="externalLinks/externalLink3.xml" /><Relationship Id="rId18" Type="http://schemas.openxmlformats.org/officeDocument/2006/relationships/externalLink" Target="externalLinks/externalLink8.xml" /><Relationship Id="rId26" Type="http://schemas.openxmlformats.org/officeDocument/2006/relationships/externalLink" Target="externalLinks/externalLink16.xml" /><Relationship Id="rId3" Type="http://schemas.openxmlformats.org/officeDocument/2006/relationships/worksheet" Target="worksheets/sheet3.xml" /><Relationship Id="rId21" Type="http://schemas.openxmlformats.org/officeDocument/2006/relationships/externalLink" Target="externalLinks/externalLink11.xml" /><Relationship Id="rId7" Type="http://schemas.openxmlformats.org/officeDocument/2006/relationships/worksheet" Target="worksheets/sheet7.xml" /><Relationship Id="rId12" Type="http://schemas.openxmlformats.org/officeDocument/2006/relationships/externalLink" Target="externalLinks/externalLink2.xml" /><Relationship Id="rId17" Type="http://schemas.openxmlformats.org/officeDocument/2006/relationships/externalLink" Target="externalLinks/externalLink7.xml" /><Relationship Id="rId25" Type="http://schemas.openxmlformats.org/officeDocument/2006/relationships/externalLink" Target="externalLinks/externalLink15.xml" /><Relationship Id="rId2" Type="http://schemas.openxmlformats.org/officeDocument/2006/relationships/worksheet" Target="worksheets/sheet2.xml" /><Relationship Id="rId16" Type="http://schemas.openxmlformats.org/officeDocument/2006/relationships/externalLink" Target="externalLinks/externalLink6.xml" /><Relationship Id="rId20" Type="http://schemas.openxmlformats.org/officeDocument/2006/relationships/externalLink" Target="externalLinks/externalLink10.xml" /><Relationship Id="rId29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externalLink" Target="externalLinks/externalLink1.xml" /><Relationship Id="rId24" Type="http://schemas.openxmlformats.org/officeDocument/2006/relationships/externalLink" Target="externalLinks/externalLink14.xml" /><Relationship Id="rId5" Type="http://schemas.openxmlformats.org/officeDocument/2006/relationships/worksheet" Target="worksheets/sheet5.xml" /><Relationship Id="rId15" Type="http://schemas.openxmlformats.org/officeDocument/2006/relationships/externalLink" Target="externalLinks/externalLink5.xml" /><Relationship Id="rId23" Type="http://schemas.openxmlformats.org/officeDocument/2006/relationships/externalLink" Target="externalLinks/externalLink13.xml" /><Relationship Id="rId28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externalLink" Target="externalLinks/externalLink9.xml" /><Relationship Id="rId31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externalLink" Target="externalLinks/externalLink4.xml" /><Relationship Id="rId22" Type="http://schemas.openxmlformats.org/officeDocument/2006/relationships/externalLink" Target="externalLinks/externalLink12.xml" /><Relationship Id="rId27" Type="http://schemas.openxmlformats.org/officeDocument/2006/relationships/externalLink" Target="externalLinks/externalLink17.xml" /><Relationship Id="rId30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0</xdr:rowOff>
    </xdr:from>
    <xdr:to>
      <xdr:col>1</xdr:col>
      <xdr:colOff>333375</xdr:colOff>
      <xdr:row>3</xdr:row>
      <xdr:rowOff>173613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0"/>
          <a:ext cx="1357313" cy="745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359</xdr:row>
      <xdr:rowOff>107156</xdr:rowOff>
    </xdr:from>
    <xdr:to>
      <xdr:col>5</xdr:col>
      <xdr:colOff>11907</xdr:colOff>
      <xdr:row>359</xdr:row>
      <xdr:rowOff>107156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4536281" y="68020406"/>
          <a:ext cx="678657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154781</xdr:colOff>
      <xdr:row>0</xdr:row>
      <xdr:rowOff>0</xdr:rowOff>
    </xdr:from>
    <xdr:to>
      <xdr:col>7</xdr:col>
      <xdr:colOff>178594</xdr:colOff>
      <xdr:row>3</xdr:row>
      <xdr:rowOff>173613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812" y="0"/>
          <a:ext cx="1357313" cy="7451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797718</xdr:colOff>
      <xdr:row>0</xdr:row>
      <xdr:rowOff>0</xdr:rowOff>
    </xdr:from>
    <xdr:to>
      <xdr:col>6</xdr:col>
      <xdr:colOff>2155031</xdr:colOff>
      <xdr:row>3</xdr:row>
      <xdr:rowOff>173613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18" y="0"/>
          <a:ext cx="1357313" cy="745113"/>
        </a:xfrm>
        <a:prstGeom prst="rect">
          <a:avLst/>
        </a:prstGeom>
      </xdr:spPr>
    </xdr:pic>
    <xdr:clientData/>
  </xdr:twoCellAnchor>
  <xdr:twoCellAnchor>
    <xdr:from>
      <xdr:col>6</xdr:col>
      <xdr:colOff>940593</xdr:colOff>
      <xdr:row>3</xdr:row>
      <xdr:rowOff>71438</xdr:rowOff>
    </xdr:from>
    <xdr:to>
      <xdr:col>6</xdr:col>
      <xdr:colOff>1786636</xdr:colOff>
      <xdr:row>6</xdr:row>
      <xdr:rowOff>141960</xdr:rowOff>
    </xdr:to>
    <xdr:pic>
      <xdr:nvPicPr>
        <xdr:cNvPr id="5" name="Imagem 1" descr="Descrição: Descrição: Descrição: Descrição: cid:image003.png@01D264FE.A0EBBB8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593" y="642938"/>
          <a:ext cx="846043" cy="5467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171450</xdr:rowOff>
    </xdr:from>
    <xdr:to>
      <xdr:col>0</xdr:col>
      <xdr:colOff>2352675</xdr:colOff>
      <xdr:row>4</xdr:row>
      <xdr:rowOff>98731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71450"/>
          <a:ext cx="1885950" cy="689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da01/corporativo/custos/Resultado%20JFR%20VAZ/Dre2001/04-01/Resultado%20JFR%20VAZ/Dre2000/05-00/Fabric2000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pont1/Corporativo/planejamento/Arquivos%20X/Business%20Plan/BP'S%202007/BR-11/planejamento/Projetos/Plano%20Internacionalizacao/Baseline%20projections%20-%202005%202014.xls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pont1/corporativo/ctb/CTB/Usuarios/fai/proje&#231;&#245;es/Proj%202001/set%2001/mar%20rev/custos/Resultado%20JFR%20VAZ/Dre2000/01-00/proven.xls" TargetMode="External" 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pont1/Corporativo/custos/ESTOQUE/Ano%202004/04-04/Comparativo%20por%20fam&#237;lia%2004-04.xls" TargetMode="External" 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pont1/corporativo/ctb/CTB/Usuarios/fai/proje&#231;&#245;es/Proj%202001/set%2001/mar%20rev/ctb/CTB/Balanco/Mar99/Pasbal/B-CONS.XLS" TargetMode="External" 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pont1/Corporativo/planejamento/Arquivos%20X/Business%20Plan/BP'S%202007/BR-11/planejamento/Projetos/Plano%20Internacionalizacao/MY%20DOCUMENTS/WORK/Product%20Baseline0105%20LIVESTOCK%20DAIRY%20S&amp;U.xls" TargetMode="External" 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PROGRAMA&#199;&#195;O%20FINANCEIRA/Teste%20-%20ACUMUL0903.xls" TargetMode="External" 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SPOA01/jupiter/cts_pub/Eleg&#234;/2001/Caderno%20de%20estatistica/Mar99/5-Movimenta&#231;&#227;o%20de%20Pessoal.xls" TargetMode="External" 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pont1/Corporativo/planejamento/Arquivos%20X/Business%20Plan/BP'S%202007/BR-11/planejamento/LVS/RELAT%20ANUAL%203Q2003.xls" TargetMode="External" 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Corporate%20Finance/2%20Industries/Petrochemicals/Petrobras/Braskem/6%20Valuation/Planilhas%20Comuns/Inputs%20Gen&#233;ricos.xls" TargetMode="External" 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da01/corporativo/custos/Informa&#231;&#245;es%20Gerenciais/Resultado%20Fechamento/Resultado%20JFR%20VAZ/Dre2001/F&#225;bricas.xls" TargetMode="External" 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taxnet/Desdobramento/Inform%20Rog&#233;rio/Spc/BVR/Dez99/Conselho/BadeR99_NBA.xls" TargetMode="External" 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Dez99/Conselho/BadeR99_NBA.xls" TargetMode="External" 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ecin/DAD7/CSAMAN/corpo/excel/MODEL/sc02.xls" TargetMode="External" 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BadeR2000_NRJ.xls" TargetMode="External" 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RecLiqServ2000.xls" TargetMode="External" 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BadeR2000_TNL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mes-m.i."/>
      <sheetName val="mes-m.e."/>
      <sheetName val="acu-m.e."/>
      <sheetName val="acu-m.i."/>
      <sheetName val="consmes"/>
      <sheetName val="consacu"/>
      <sheetName val="resumo"/>
      <sheetName val="result-mi"/>
      <sheetName val="result-me"/>
      <sheetName val="BASE"/>
      <sheetName val="DESV INVEN"/>
      <sheetName val="PADRÃO"/>
      <sheetName val="Base CC"/>
      <sheetName val="BASE VDR OUT"/>
      <sheetName val="Mensal"/>
      <sheetName val="V 18.11.16"/>
      <sheetName val="CHAVE"/>
      <sheetName val="ÁRVORE"/>
      <sheetName val="ESTRUTURA"/>
      <sheetName val="ANALISE"/>
      <sheetName val="mes-m_i_"/>
      <sheetName val="mes-m_e_"/>
      <sheetName val="acu-m_e_"/>
      <sheetName val="acu-m_i_"/>
      <sheetName val="DESV_INVEN"/>
      <sheetName val="Base_CC"/>
      <sheetName val="BASE_VDR_OUT"/>
      <sheetName val="V_18_11_16"/>
      <sheetName val="Setup"/>
      <sheetName val="LISTA"/>
      <sheetName val="BASE AJUSTES - FILIAL"/>
      <sheetName val="BASE AJUSTES"/>
      <sheetName val="REF"/>
      <sheetName val="Arvore de Indicadores"/>
      <sheetName val="DB"/>
      <sheetName val="Validação - Dados"/>
      <sheetName val="Lista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pri-POP"/>
      <sheetName val="POP-MAR05"/>
      <sheetName val="Fapri-POP (2)"/>
      <sheetName val="POP-CIA"/>
      <sheetName val="TOTAL POP"/>
      <sheetName val="GDP"/>
      <sheetName val="Fapri-LIVESTOCK"/>
      <sheetName val="USDA-BEEF"/>
      <sheetName val="USDA-PORK"/>
      <sheetName val="USDA-POULTRY"/>
      <sheetName val="Stomach"/>
      <sheetName val="share"/>
      <sheetName val="BEEF-FAO"/>
      <sheetName val="SUINOS-FAO"/>
      <sheetName val="AVES-FAO"/>
      <sheetName val="CUSTOS"/>
      <sheetName val="PROD CONS POULTRY"/>
      <sheetName val="PROD CONS PORK"/>
      <sheetName val="prod 60-05"/>
      <sheetName val="TRADE COMP"/>
      <sheetName val="DRIVERS"/>
      <sheetName val="USDA-Beef (2)"/>
      <sheetName val="USDA-Pork (2)"/>
      <sheetName val="USDA-Poultry (2)"/>
      <sheetName val="Padrao Motivos"/>
      <sheetName val="Validação de Dados"/>
      <sheetName val="Itens de verificação"/>
      <sheetName val="Types"/>
      <sheetName val="Accounts"/>
      <sheetName val="Data Pareto-Dam"/>
      <sheetName val="Reference List"/>
      <sheetName val="Sheet2"/>
      <sheetName val="Fapri-POP_(2)"/>
      <sheetName val="TOTAL_POP"/>
      <sheetName val="PROD_CONS_POULTRY"/>
      <sheetName val="PROD_CONS_PORK"/>
      <sheetName val="prod_60-05"/>
      <sheetName val="TRADE_COMP"/>
      <sheetName val="USDA-Beef_(2)"/>
      <sheetName val="USDA-Pork_(2)"/>
      <sheetName val="USDA-Poultry_(2)"/>
      <sheetName val="validation_of_customer"/>
      <sheetName val="List_CEENTHGER"/>
      <sheetName val="BRF_Sourcing"/>
      <sheetName val="Clients"/>
      <sheetName val="validation of customer"/>
      <sheetName val="List CEENTHGER"/>
      <sheetName val="BRF Sourcing"/>
      <sheetName val="Products"/>
      <sheetName val="NEW CLIENT DATABASE"/>
      <sheetName val="Tipos"/>
      <sheetName val="Fapri-POP_(2)1"/>
      <sheetName val="TOTAL_POP1"/>
      <sheetName val="PROD_CONS_POULTRY1"/>
      <sheetName val="PROD_CONS_PORK1"/>
      <sheetName val="prod_60-051"/>
      <sheetName val="TRADE_COMP1"/>
      <sheetName val="USDA-Beef_(2)1"/>
      <sheetName val="USDA-Pork_(2)1"/>
      <sheetName val="USDA-Poultry_(2)1"/>
      <sheetName val="Padrao_Motivos"/>
      <sheetName val="Validação_de_Dados"/>
      <sheetName val="Itens_de_verificação"/>
      <sheetName val="Data_Pareto-Dam"/>
      <sheetName val="Reference_List"/>
      <sheetName val="validation_of_customer1"/>
      <sheetName val="List_CEENTHGER1"/>
      <sheetName val="BRF_Sourcing1"/>
      <sheetName val="NEW_CLIENT_DATABASE"/>
      <sheetName val="SETUP2"/>
      <sheetName val="SETUP"/>
      <sheetName val="SETUP "/>
      <sheetName val="LISTA"/>
      <sheetName val="DADOS "/>
      <sheetName val="DADOS"/>
      <sheetName val="MANUTENÇÃO"/>
      <sheetName val="Fapri-POP_(2)2"/>
      <sheetName val="TOTAL_POP2"/>
      <sheetName val="PROD_CONS_POULTRY2"/>
      <sheetName val="PROD_CONS_PORK2"/>
      <sheetName val="prod_60-052"/>
      <sheetName val="TRADE_COMP2"/>
      <sheetName val="USDA-Beef_(2)2"/>
      <sheetName val="USDA-Pork_(2)2"/>
      <sheetName val="USDA-Poultry_(2)2"/>
      <sheetName val="Padrao_Motivos1"/>
      <sheetName val="Validação_de_Dados1"/>
      <sheetName val="Itens_de_verificação1"/>
      <sheetName val="Data_Pareto-Dam1"/>
      <sheetName val="Reference_List1"/>
      <sheetName val="validation_of_customer2"/>
      <sheetName val="List_CEENTHGER2"/>
      <sheetName val="BRF_Sourcing2"/>
      <sheetName val="NEW_CLIENT_DATABASE1"/>
      <sheetName val="SETUP_"/>
      <sheetName val="DADOS_"/>
      <sheetName val="Plan2"/>
      <sheetName val="BD GRAFICO"/>
      <sheetName val="BASE AJUSTES - FILIAL"/>
      <sheetName val="LISTAS"/>
      <sheetName val="Lista de indicadores"/>
      <sheetName val="Baseline projections - 2005 201"/>
      <sheetName val="MARGARINAS"/>
      <sheetName val="SALES"/>
      <sheetName val="Jaguaré"/>
      <sheetName val="MID"/>
      <sheetName val="Absent Gestor"/>
      <sheetName val="Repeti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E3">
            <v>2003</v>
          </cell>
          <cell r="F3">
            <v>2004</v>
          </cell>
          <cell r="G3">
            <v>2005</v>
          </cell>
          <cell r="H3">
            <v>2006</v>
          </cell>
          <cell r="I3">
            <v>2007</v>
          </cell>
          <cell r="J3">
            <v>2008</v>
          </cell>
          <cell r="K3">
            <v>2009</v>
          </cell>
          <cell r="L3">
            <v>2010</v>
          </cell>
          <cell r="M3">
            <v>2011</v>
          </cell>
          <cell r="N3">
            <v>2012</v>
          </cell>
          <cell r="O3">
            <v>2013</v>
          </cell>
        </row>
        <row r="25">
          <cell r="E25">
            <v>6618.8469999999998</v>
          </cell>
          <cell r="F25">
            <v>6727.1589999999997</v>
          </cell>
          <cell r="G25">
            <v>7506.2143999999998</v>
          </cell>
          <cell r="H25">
            <v>8190.8097364319092</v>
          </cell>
          <cell r="I25">
            <v>8849.5052299432627</v>
          </cell>
          <cell r="J25">
            <v>9395.0334969002506</v>
          </cell>
          <cell r="K25">
            <v>9828.8192664579401</v>
          </cell>
          <cell r="L25">
            <v>10092.61772835667</v>
          </cell>
          <cell r="M25">
            <v>10369.20333817573</v>
          </cell>
          <cell r="N25">
            <v>10657.695015438745</v>
          </cell>
          <cell r="O25">
            <v>10958.788578753221</v>
          </cell>
        </row>
        <row r="38">
          <cell r="E38">
            <v>6618.8469999999998</v>
          </cell>
          <cell r="F38">
            <v>6727.1589999999997</v>
          </cell>
          <cell r="G38">
            <v>7506.2143999999998</v>
          </cell>
          <cell r="H38">
            <v>8190.8097364319092</v>
          </cell>
          <cell r="I38">
            <v>8849.5052299432627</v>
          </cell>
          <cell r="J38">
            <v>9395.0334969002506</v>
          </cell>
          <cell r="K38">
            <v>9828.8192664579401</v>
          </cell>
          <cell r="L38">
            <v>10092.61772835667</v>
          </cell>
          <cell r="M38">
            <v>10369.20333817573</v>
          </cell>
          <cell r="N38">
            <v>10657.695015438745</v>
          </cell>
          <cell r="O38">
            <v>10958.788578753221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oque"/>
      <sheetName val="produção"/>
      <sheetName val="preço"/>
      <sheetName val="custo"/>
      <sheetName val="resumo"/>
      <sheetName val="Acumulado"/>
      <sheetName val="Módulo1"/>
      <sheetName val="OTIF MP"/>
      <sheetName val="Lista de indicadores"/>
      <sheetName val="TE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ó estoques"/>
      <sheetName val="resumo"/>
      <sheetName val="conversão derivados soja"/>
      <sheetName val="macro atualização"/>
      <sheetName val="macro impessão"/>
      <sheetName val="Módulo1"/>
      <sheetName val="só_estoques"/>
      <sheetName val="conversão_derivados_soja"/>
      <sheetName val="macro_atualização"/>
      <sheetName val="macro_impessão"/>
      <sheetName val="Comparativo por família 04-04"/>
      <sheetName val="só_estoques1"/>
      <sheetName val="conversão_derivados_soja1"/>
      <sheetName val="macro_atualização1"/>
      <sheetName val="macro_impessão1"/>
      <sheetName val="Comparativo_por_família_04-04"/>
      <sheetName val="USDA-POUL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Situação Patrimonial"/>
      <sheetName val="Indicadores"/>
      <sheetName val="base 1998 "/>
      <sheetName val="Base AVP"/>
      <sheetName val="Macro"/>
      <sheetName val="Situação_Patrimonial"/>
      <sheetName val="base_1998_"/>
      <sheetName val="Base_AVP"/>
      <sheetName val="Situação_Patrimonial1"/>
      <sheetName val="base_1998_1"/>
      <sheetName val="Base_AVP1"/>
      <sheetName val="produ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vestock2004"/>
      <sheetName val="Livestock Compare"/>
      <sheetName val="Livestock2005"/>
      <sheetName val="Dairy2004"/>
      <sheetName val="Dairy Compare"/>
      <sheetName val="Dairy2005"/>
      <sheetName val="CompareOfUS"/>
      <sheetName val="LivestockCharts"/>
      <sheetName val="World Charts"/>
      <sheetName val="Beef Charts"/>
      <sheetName val="Pork Charts"/>
      <sheetName val="Broiler Charts"/>
      <sheetName val="Gráf. CLT s ROL"/>
      <sheetName val="Drop Down List"/>
      <sheetName val="2ª Quinz"/>
      <sheetName val="Balanço"/>
      <sheetName val="Product Baseline0105 LIVESTOCK "/>
      <sheetName val="Dashboard"/>
      <sheetName val="Livestock_Compare"/>
      <sheetName val="Dairy_Compare"/>
      <sheetName val="World_Charts"/>
      <sheetName val="Beef_Charts"/>
      <sheetName val="Pork_Charts"/>
      <sheetName val="Broiler_Charts"/>
      <sheetName val="Gráf__CLT_s_ROL"/>
      <sheetName val="Drop_Down_List"/>
      <sheetName val="2ª_Quinz"/>
      <sheetName val="Product_Baseline0105_LIVESTOCK_"/>
      <sheetName val="Status_GAPs em 30_Ago"/>
      <sheetName val="Livestock_Compare1"/>
      <sheetName val="Dairy_Compare1"/>
      <sheetName val="World_Charts1"/>
      <sheetName val="Beef_Charts1"/>
      <sheetName val="Pork_Charts1"/>
      <sheetName val="Broiler_Charts1"/>
      <sheetName val="Gráf__CLT_s_ROL1"/>
      <sheetName val="Drop_Down_List1"/>
      <sheetName val="2ª_Quinz1"/>
      <sheetName val="Product_Baseline0105_LIVESTOCK1"/>
      <sheetName val="Status_GAPs_em_30_Ago"/>
      <sheetName val="BD GRAFICO"/>
      <sheetName val="Lista"/>
      <sheetName val="Lista de indicadores"/>
      <sheetName val="LISTAS"/>
      <sheetName val="Lista Indicadores"/>
      <sheetName val="Lista 16.01.2025"/>
      <sheetName val="só estoq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CAIXA_INDIRETO"/>
      <sheetName val="Fluxo_Mês_"/>
      <sheetName val="Fluxo_Acum"/>
      <sheetName val="Fluxo_Previsto"/>
      <sheetName val="Hexágono_Mês"/>
      <sheetName val="Hexágono_Dez"/>
      <sheetName val="Pentágono_dez03"/>
      <sheetName val="Pentágono_mês"/>
      <sheetName val="RESULTADO_ACUMUL"/>
      <sheetName val="Fluxo_Acum_BD"/>
      <sheetName val="Teste - ACUMUL09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ação"/>
      <sheetName val="Evol.Mensal  - 2º sem."/>
      <sheetName val="Evol.Mensal - 1º sem."/>
      <sheetName val="Evolução H.Extras"/>
      <sheetName val="Evolução nr. pessoal"/>
      <sheetName val="Evol.perc."/>
      <sheetName val="Evolução das Despesas - Dolar"/>
      <sheetName val="Balanço"/>
      <sheetName val="ACUMULADO"/>
      <sheetName val="Índices"/>
      <sheetName val="Itens de verificação"/>
      <sheetName val="Abr 03"/>
      <sheetName val="Ago 03"/>
      <sheetName val="Dez 03"/>
      <sheetName val="Fev 03"/>
      <sheetName val="Jul 03"/>
      <sheetName val="Mai 03"/>
      <sheetName val="Mar 03"/>
      <sheetName val="Nov 03"/>
      <sheetName val="Out 03"/>
      <sheetName val="Set 03"/>
      <sheetName val="Jan 03"/>
      <sheetName val="Jun 03"/>
      <sheetName val="Cad"/>
      <sheetName val="Fretes Por Peso"/>
      <sheetName val="Evol_Mensal__-_2º_sem_"/>
      <sheetName val="Evol_Mensal_-_1º_sem_"/>
      <sheetName val="Evolução_H_Extras"/>
      <sheetName val="Evolução_nr__pessoal"/>
      <sheetName val="Evol_perc_"/>
      <sheetName val="Evolução_das_Despesas_-_Dolar"/>
      <sheetName val="Evol_Mensal__-_2º_sem_1"/>
      <sheetName val="Evol_Mensal_-_1º_sem_1"/>
      <sheetName val="Evolução_H_Extras1"/>
      <sheetName val="Evolução_nr__pessoal1"/>
      <sheetName val="Evol_perc_1"/>
      <sheetName val="Evolução_das_Despesas_-_Dolar1"/>
      <sheetName val="Itens_de_verificação"/>
      <sheetName val="Abr_03"/>
      <sheetName val="Ago_03"/>
      <sheetName val="Dez_03"/>
      <sheetName val="Fev_03"/>
      <sheetName val="Jul_03"/>
      <sheetName val="Mai_03"/>
      <sheetName val="Mar_03"/>
      <sheetName val="Nov_03"/>
      <sheetName val="Out_03"/>
      <sheetName val="Set_03"/>
      <sheetName val="Jan_03"/>
      <sheetName val="Jun_03"/>
      <sheetName val="Evol_Mensal__-_2º_sem_2"/>
      <sheetName val="Evol_Mensal_-_1º_sem_2"/>
      <sheetName val="Evolução_H_Extras2"/>
      <sheetName val="Evolução_nr__pessoal2"/>
      <sheetName val="Evol_perc_2"/>
      <sheetName val="Evolução_das_Despesas_-_Dolar2"/>
      <sheetName val="Itens_de_verificação1"/>
      <sheetName val="Abr_031"/>
      <sheetName val="Ago_031"/>
      <sheetName val="Dez_031"/>
      <sheetName val="Fev_031"/>
      <sheetName val="Jul_031"/>
      <sheetName val="Mai_031"/>
      <sheetName val="Mar_031"/>
      <sheetName val="Nov_031"/>
      <sheetName val="Out_031"/>
      <sheetName val="Set_031"/>
      <sheetName val="Jan_031"/>
      <sheetName val="Jun_031"/>
      <sheetName val="Fretes_Por_Peso"/>
      <sheetName val="Disciplinas"/>
      <sheetName val="Evol_Fin_2003"/>
      <sheetName val="CDI"/>
      <sheetName val="VLOT"/>
      <sheetName val="Proc"/>
      <sheetName val="Evolutivo"/>
      <sheetName val="Consolidated Month Trend"/>
      <sheetName val="Consolidated Month VHC"/>
      <sheetName val="Consolidated Month Trend+VHC"/>
      <sheetName val="Consolidated Year Trend"/>
      <sheetName val="Consolidated Year VHC"/>
      <sheetName val="Consolidated Year Trend+VHC"/>
      <sheetName val="2019 Consolidated"/>
      <sheetName val="2019 VHC"/>
      <sheetName val="B2019 Consolidated"/>
      <sheetName val="2018 Consolidated"/>
      <sheetName val="2019 Flash"/>
      <sheetName val="Máscara - BP"/>
      <sheetName val="Máscara - LY"/>
      <sheetName val="Máscara - YTD"/>
      <sheetName val="Consolidated Quarter"/>
      <sheetName val="Máscara - Q2"/>
      <sheetName val="Máscara - BP Q2"/>
      <sheetName val="Máscara - LY Q2"/>
      <sheetName val="Feriados"/>
      <sheetName val="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OULTRY players"/>
      <sheetName val="main pork players"/>
      <sheetName val="4 pan aves"/>
      <sheetName val="4a pan suinos"/>
      <sheetName val="6 des aves"/>
      <sheetName val="7 des suinos"/>
      <sheetName val="aves por destino"/>
      <sheetName val="suinos por destino"/>
      <sheetName val="carnes historico"/>
      <sheetName val="preços milho-soja"/>
      <sheetName val="milho e soja BRA"/>
      <sheetName val="historico mensal fechamento"/>
      <sheetName val="Mês x PO x Fcst"/>
      <sheetName val="Banco de Dados"/>
      <sheetName val="Projetos"/>
      <sheetName val="Inicial"/>
      <sheetName val="Laticínios"/>
      <sheetName val="Batata"/>
      <sheetName val="Carnes"/>
      <sheetName val="Consolidado"/>
      <sheetName val="Frangos"/>
      <sheetName val="Peru - Acertar nesta planilha"/>
      <sheetName val="Suco"/>
      <sheetName val="Suínos"/>
      <sheetName val="ACUMULADO"/>
      <sheetName val="Previsão"/>
      <sheetName val="Base ADM"/>
      <sheetName val="Base Custos"/>
      <sheetName val="Base ME"/>
      <sheetName val="Base MI"/>
      <sheetName val="Evol.Mensal - 1º sem."/>
      <sheetName val="RELAT ANUAL 3Q2003"/>
      <sheetName val="Banchmark"/>
      <sheetName val="main_POULTRY_players"/>
      <sheetName val="main_pork_players"/>
      <sheetName val="4_pan_aves"/>
      <sheetName val="4a_pan_suinos"/>
      <sheetName val="6_des_aves"/>
      <sheetName val="7_des_suinos"/>
      <sheetName val="aves_por_destino"/>
      <sheetName val="suinos_por_destino"/>
      <sheetName val="carnes_historico"/>
      <sheetName val="preços_milho-soja"/>
      <sheetName val="milho_e_soja_BRA"/>
      <sheetName val="historico_mensal_fechamento"/>
      <sheetName val="Mês_x_PO_x_Fcst"/>
      <sheetName val="Banco_de_Dados"/>
      <sheetName val="Peru_-_Acertar_nesta_planilha"/>
      <sheetName val="Base_ADM"/>
      <sheetName val="Base_Custos"/>
      <sheetName val="Base_ME"/>
      <sheetName val="Base_MI"/>
      <sheetName val="Evol_Mensal_-_1º_sem_"/>
      <sheetName val="RELAT_ANUAL_3Q2003"/>
      <sheetName val="Índices"/>
      <sheetName val="main_POULTRY_players1"/>
      <sheetName val="main_pork_players1"/>
      <sheetName val="4_pan_aves1"/>
      <sheetName val="4a_pan_suinos1"/>
      <sheetName val="6_des_aves1"/>
      <sheetName val="7_des_suinos1"/>
      <sheetName val="aves_por_destino1"/>
      <sheetName val="suinos_por_destino1"/>
      <sheetName val="carnes_historico1"/>
      <sheetName val="preços_milho-soja1"/>
      <sheetName val="milho_e_soja_BRA1"/>
      <sheetName val="historico_mensal_fechamento1"/>
      <sheetName val="Mês_x_PO_x_Fcst1"/>
      <sheetName val="Banco_de_Dados1"/>
      <sheetName val="Peru_-_Acertar_nesta_planilha1"/>
      <sheetName val="Base_ADM1"/>
      <sheetName val="Base_Custos1"/>
      <sheetName val="Base_ME1"/>
      <sheetName val="Base_MI1"/>
      <sheetName val="Evol_Mensal_-_1º_sem_1"/>
      <sheetName val="RELAT_ANUAL_3Q20031"/>
      <sheetName val="Tabelas"/>
      <sheetName val="C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Custo de K"/>
      <sheetName val="Beta"/>
      <sheetName val="Chemsystem May 02"/>
      <sheetName val="CS May 02 Brazil prices"/>
      <sheetName val="Scenario CLS1"/>
      <sheetName val="margin sharing"/>
      <sheetName val="VR_Preços"/>
      <sheetName val="BRAZIL PRICING"/>
      <sheetName val="ABN AMRO Prices"/>
      <sheetName val="Historical Prices - C Bond"/>
      <sheetName val="Brazilian Spread - C Bond"/>
      <sheetName val="PA Input"/>
      <sheetName val="Consolidation"/>
      <sheetName val="Input"/>
      <sheetName val="historico mensal fechamento"/>
      <sheetName val="Base ADM"/>
      <sheetName val="Base Custos"/>
      <sheetName val="Base ME"/>
      <sheetName val="Base MI"/>
      <sheetName val="Consolidado-01"/>
      <sheetName val="BASE-AV"/>
      <sheetName val="Base 2002"/>
      <sheetName val="Orç 2003"/>
      <sheetName val="Previsão"/>
      <sheetName val="Custo_de_K"/>
      <sheetName val="Chemsystem_May_02"/>
      <sheetName val="CS_May_02_Brazil_prices"/>
      <sheetName val="Scenario_CLS1"/>
      <sheetName val="margin_sharing"/>
      <sheetName val="BRAZIL_PRICING"/>
      <sheetName val="ABN_AMRO_Prices"/>
      <sheetName val="Historical_Prices_-_C_Bond"/>
      <sheetName val="Brazilian_Spread_-_C_Bond"/>
      <sheetName val="PA_Input"/>
      <sheetName val="historico_mensal_fechamento"/>
      <sheetName val="Base_ADM"/>
      <sheetName val="Base_Custos"/>
      <sheetName val="Base_ME"/>
      <sheetName val="Base_MI"/>
      <sheetName val="Base_2002"/>
      <sheetName val="Orç_2003"/>
      <sheetName val="Principal"/>
      <sheetName val="EBITDA (MB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vda"/>
      <sheetName val="stv"/>
      <sheetName val="lgs"/>
      <sheetName val="hdo"/>
      <sheetName val="cpzS"/>
      <sheetName val="cpzA"/>
      <sheetName val="mraS"/>
      <sheetName val="mraA"/>
      <sheetName val="mraII"/>
      <sheetName val="sec"/>
      <sheetName val="rve"/>
      <sheetName val="cbi"/>
      <sheetName val="capa"/>
      <sheetName val="critério"/>
      <sheetName val="Fabricas"/>
      <sheetName val="Taxa Rem. Capital"/>
      <sheetName val="Plan1"/>
      <sheetName val="DADOS"/>
      <sheetName val="historico mensal fechamento"/>
      <sheetName val="Abr 03"/>
      <sheetName val="Ago 03"/>
      <sheetName val="Dez 03"/>
      <sheetName val="Fev 03"/>
      <sheetName val="Jul 03"/>
      <sheetName val="Mai 03"/>
      <sheetName val="Mar 03"/>
      <sheetName val="Nov 03"/>
      <sheetName val="Out 03"/>
      <sheetName val="Set 03"/>
      <sheetName val="Jan 03"/>
      <sheetName val="Jun 03"/>
      <sheetName val="PER1"/>
      <sheetName val="Historical Prices - C Bond"/>
      <sheetName val="Base 2002"/>
      <sheetName val="Orç 2003"/>
      <sheetName val="Taxa_Rem__Capital"/>
      <sheetName val="Taxa_Rem__Capital1"/>
      <sheetName val="historico_mensal_fechamento"/>
      <sheetName val="Abr_03"/>
      <sheetName val="Ago_03"/>
      <sheetName val="Dez_03"/>
      <sheetName val="Fev_03"/>
      <sheetName val="Jul_03"/>
      <sheetName val="Mai_03"/>
      <sheetName val="Mar_03"/>
      <sheetName val="Nov_03"/>
      <sheetName val="Out_03"/>
      <sheetName val="Set_03"/>
      <sheetName val="Jan_03"/>
      <sheetName val="Jun_03"/>
      <sheetName val="Historical_Prices_-_C_Bond"/>
      <sheetName val="Base_2002"/>
      <sheetName val="Orç_2003"/>
      <sheetName val="Calendário da Família"/>
    </sheetNames>
    <sheetDataSet>
      <sheetData sheetId="0" refreshError="1">
        <row r="3">
          <cell r="A3" t="str">
            <v>NOMENCLATURA</v>
          </cell>
          <cell r="C3" t="str">
            <v>ROB</v>
          </cell>
          <cell r="D3" t="str">
            <v>ROL</v>
          </cell>
          <cell r="E3" t="str">
            <v>VAR.</v>
          </cell>
          <cell r="F3" t="str">
            <v>FIXA</v>
          </cell>
          <cell r="CH3" t="str">
            <v>05 - PROD</v>
          </cell>
          <cell r="CI3" t="str">
            <v>UTO ACABADO</v>
          </cell>
          <cell r="CJ3">
            <v>7826798.2750000004</v>
          </cell>
          <cell r="CK3">
            <v>1.9814000000000001</v>
          </cell>
          <cell r="CL3">
            <v>15507881.720000001</v>
          </cell>
        </row>
        <row r="4">
          <cell r="A4">
            <v>2068</v>
          </cell>
          <cell r="B4" t="str">
            <v>FACB18 FGO INT C/M CONG BATAVO CX 13KG</v>
          </cell>
          <cell r="C4">
            <v>1.583</v>
          </cell>
          <cell r="D4">
            <v>1.409</v>
          </cell>
          <cell r="E4">
            <v>-0.23699999999999999</v>
          </cell>
          <cell r="F4">
            <v>-5.8999999999999997E-2</v>
          </cell>
          <cell r="CH4" t="str">
            <v>0501 - FR</v>
          </cell>
          <cell r="CI4" t="str">
            <v>IGORIF MI PERDIGAO</v>
          </cell>
          <cell r="CJ4">
            <v>1296652.2749999999</v>
          </cell>
          <cell r="CK4">
            <v>1.6907000000000001</v>
          </cell>
          <cell r="CL4">
            <v>2192195.04</v>
          </cell>
        </row>
        <row r="5">
          <cell r="A5">
            <v>2090</v>
          </cell>
          <cell r="B5" t="str">
            <v>POCB15 PEITO C/OPF CONG BAT ITF CX 15KG</v>
          </cell>
          <cell r="C5">
            <v>2.21</v>
          </cell>
          <cell r="D5">
            <v>1.9750000000000001</v>
          </cell>
          <cell r="E5">
            <v>0</v>
          </cell>
          <cell r="F5">
            <v>-0.01</v>
          </cell>
          <cell r="CH5" t="str">
            <v>0501001 -</v>
          </cell>
          <cell r="CI5" t="str">
            <v>IN-NATURA</v>
          </cell>
          <cell r="CJ5">
            <v>262691.27500000002</v>
          </cell>
          <cell r="CK5">
            <v>1.8159000000000001</v>
          </cell>
          <cell r="CL5">
            <v>477010.16</v>
          </cell>
        </row>
        <row r="6">
          <cell r="A6">
            <v>2662</v>
          </cell>
          <cell r="B6" t="str">
            <v>MFKB12 MORT TUB FGO FRESKI CX 12KG</v>
          </cell>
          <cell r="C6">
            <v>2.9209999999999998</v>
          </cell>
          <cell r="D6">
            <v>2.681</v>
          </cell>
          <cell r="E6">
            <v>-0.16500000000000001</v>
          </cell>
          <cell r="F6">
            <v>-1.35</v>
          </cell>
          <cell r="CH6">
            <v>50100100</v>
          </cell>
          <cell r="CI6" t="str">
            <v>1 - FRANGO INTEIRO</v>
          </cell>
          <cell r="CJ6">
            <v>48</v>
          </cell>
          <cell r="CK6">
            <v>1.2481</v>
          </cell>
          <cell r="CL6">
            <v>59.91</v>
          </cell>
        </row>
        <row r="7">
          <cell r="A7">
            <v>2667</v>
          </cell>
          <cell r="B7" t="str">
            <v>MFKB04 MORT TUB FGO FRESKI CX 4KG</v>
          </cell>
          <cell r="C7">
            <v>2.4430000000000001</v>
          </cell>
          <cell r="D7">
            <v>2.073</v>
          </cell>
          <cell r="E7">
            <v>-0.26400000000000001</v>
          </cell>
          <cell r="F7">
            <v>-0.24</v>
          </cell>
          <cell r="CH7">
            <v>586625</v>
          </cell>
          <cell r="CI7" t="str">
            <v>FEM016 FRANGO C/M M CONG PER KG</v>
          </cell>
          <cell r="CJ7">
            <v>48</v>
          </cell>
          <cell r="CK7">
            <v>1.2481</v>
          </cell>
          <cell r="CL7">
            <v>59.91</v>
          </cell>
        </row>
        <row r="8">
          <cell r="A8">
            <v>2679</v>
          </cell>
          <cell r="B8" t="str">
            <v>PFKB07 PEITO FGO EVID BAT CX 6,8KG</v>
          </cell>
          <cell r="C8">
            <v>4.3659999999999997</v>
          </cell>
          <cell r="D8">
            <v>3.4630000000000001</v>
          </cell>
          <cell r="E8">
            <v>-0.34</v>
          </cell>
          <cell r="F8">
            <v>-0.36399999999999988</v>
          </cell>
          <cell r="CH8">
            <v>50100100</v>
          </cell>
          <cell r="CI8" t="str">
            <v>2 - FRANGO CORTES</v>
          </cell>
          <cell r="CJ8">
            <v>165815</v>
          </cell>
          <cell r="CK8">
            <v>1.8474999999999999</v>
          </cell>
          <cell r="CL8">
            <v>306349.75</v>
          </cell>
        </row>
        <row r="9">
          <cell r="A9">
            <v>3012</v>
          </cell>
          <cell r="B9" t="str">
            <v>LOMB10 LOMBO TEMP CONG BATAVO CX 6KG</v>
          </cell>
          <cell r="C9">
            <v>7.133</v>
          </cell>
          <cell r="D9">
            <v>6.1790000000000003</v>
          </cell>
          <cell r="E9">
            <v>-0.307</v>
          </cell>
          <cell r="F9">
            <v>-0.67599999999999993</v>
          </cell>
          <cell r="CH9">
            <v>194433</v>
          </cell>
          <cell r="CI9" t="str">
            <v>PFF015 PEITO C/OPF INT (G) I KG</v>
          </cell>
          <cell r="CJ9">
            <v>15</v>
          </cell>
          <cell r="CK9">
            <v>2.1213000000000002</v>
          </cell>
          <cell r="CL9">
            <v>31.82</v>
          </cell>
        </row>
        <row r="10">
          <cell r="A10">
            <v>3020</v>
          </cell>
          <cell r="B10" t="str">
            <v>FEIB09 INGR P/ FEIJOADA BAT 9PT CX 9KG</v>
          </cell>
          <cell r="C10">
            <v>2.5009999999999999</v>
          </cell>
          <cell r="D10">
            <v>2.1110000000000002</v>
          </cell>
          <cell r="E10">
            <v>-0.25800000000000001</v>
          </cell>
          <cell r="F10">
            <v>-0.29499999999999998</v>
          </cell>
          <cell r="CH10">
            <v>194492</v>
          </cell>
          <cell r="CI10" t="str">
            <v>CSI015 COXA SOBREC C/OP (G)  KG</v>
          </cell>
          <cell r="CJ10">
            <v>101845</v>
          </cell>
          <cell r="CK10">
            <v>1.6566000000000001</v>
          </cell>
          <cell r="CL10">
            <v>168717.06</v>
          </cell>
        </row>
        <row r="11">
          <cell r="A11">
            <v>3082</v>
          </cell>
          <cell r="B11" t="str">
            <v>OCEB10 ORELHA C/M CONG BAT CX 20KG</v>
          </cell>
          <cell r="C11">
            <v>3.5670000000000002</v>
          </cell>
          <cell r="D11">
            <v>3.0049999999999999</v>
          </cell>
          <cell r="E11">
            <v>0</v>
          </cell>
          <cell r="F11">
            <v>0</v>
          </cell>
          <cell r="CH11">
            <v>194620</v>
          </cell>
          <cell r="CI11" t="str">
            <v>AFF015 ASA INT FGO (P) ITF P KG</v>
          </cell>
          <cell r="CJ11">
            <v>40755</v>
          </cell>
          <cell r="CK11">
            <v>1.5953999999999999</v>
          </cell>
          <cell r="CL11">
            <v>65019.68</v>
          </cell>
        </row>
        <row r="12">
          <cell r="A12">
            <v>3154</v>
          </cell>
          <cell r="B12" t="str">
            <v>APOB07 APRES SUI OVAL BATAVO CX 6,8KG</v>
          </cell>
          <cell r="C12">
            <v>2.8610000000000002</v>
          </cell>
          <cell r="D12">
            <v>2.3969999999999998</v>
          </cell>
          <cell r="E12">
            <v>-0.27100000000000002</v>
          </cell>
          <cell r="F12">
            <v>-0.29699999999999999</v>
          </cell>
          <cell r="CH12">
            <v>503657</v>
          </cell>
          <cell r="CI12" t="str">
            <v>FPI116 FILE PEITO C/TEND FGO KG</v>
          </cell>
          <cell r="CJ12">
            <v>23200</v>
          </cell>
          <cell r="CK12">
            <v>3.1284999999999998</v>
          </cell>
          <cell r="CL12">
            <v>72581.19</v>
          </cell>
        </row>
        <row r="13">
          <cell r="A13">
            <v>3159</v>
          </cell>
          <cell r="B13" t="str">
            <v>PFRB08 PRESUNTO SUI RETANG BAT CX 7,5KG</v>
          </cell>
          <cell r="C13">
            <v>4.4409999999999998</v>
          </cell>
          <cell r="D13">
            <v>3.387</v>
          </cell>
          <cell r="E13">
            <v>-0.29599999999999999</v>
          </cell>
          <cell r="F13">
            <v>-0.45200000000000001</v>
          </cell>
          <cell r="CH13">
            <v>50100100</v>
          </cell>
          <cell r="CI13" t="str">
            <v>3 - FRANGO MIUDOS</v>
          </cell>
          <cell r="CJ13">
            <v>22368</v>
          </cell>
          <cell r="CK13">
            <v>3.5706000000000002</v>
          </cell>
          <cell r="CL13">
            <v>79867.27</v>
          </cell>
        </row>
        <row r="14">
          <cell r="A14">
            <v>3162</v>
          </cell>
          <cell r="B14" t="str">
            <v>PMOB07 PRES SUI MAGRO OVAL BAT CX 6,8KG</v>
          </cell>
          <cell r="C14">
            <v>4.0650000000000004</v>
          </cell>
          <cell r="D14">
            <v>3.1459999999999999</v>
          </cell>
          <cell r="E14">
            <v>-0.27</v>
          </cell>
          <cell r="F14">
            <v>-0.378</v>
          </cell>
          <cell r="CH14">
            <v>824346</v>
          </cell>
          <cell r="CI14" t="str">
            <v>COF016 CORACAO FGO PT 1KG CX KG</v>
          </cell>
          <cell r="CJ14">
            <v>22368</v>
          </cell>
          <cell r="CK14">
            <v>3.5706000000000002</v>
          </cell>
          <cell r="CL14">
            <v>79867.27</v>
          </cell>
        </row>
        <row r="15">
          <cell r="A15">
            <v>3168</v>
          </cell>
          <cell r="B15" t="str">
            <v>SITB05 SALAME ITALIANO EXT BATAVO CX 5KG</v>
          </cell>
          <cell r="C15">
            <v>7.0670000000000002</v>
          </cell>
          <cell r="D15">
            <v>5.3419999999999996</v>
          </cell>
          <cell r="E15">
            <v>-0.32300000000000001</v>
          </cell>
          <cell r="F15">
            <v>-0.67300000000000004</v>
          </cell>
          <cell r="CH15">
            <v>50100100</v>
          </cell>
          <cell r="CI15" t="str">
            <v>5 - SUINOS CONGELADOS</v>
          </cell>
          <cell r="CJ15">
            <v>22996</v>
          </cell>
          <cell r="CK15">
            <v>1.0159</v>
          </cell>
          <cell r="CL15">
            <v>23361.49</v>
          </cell>
        </row>
        <row r="16">
          <cell r="A16">
            <v>3182</v>
          </cell>
          <cell r="B16" t="str">
            <v>MBNB20 MORTADELA TIPO BOLOG BAT CX 13KG</v>
          </cell>
          <cell r="C16">
            <v>1.5660000000000001</v>
          </cell>
          <cell r="D16">
            <v>1.3380000000000001</v>
          </cell>
          <cell r="E16">
            <v>-0.32800000000000001</v>
          </cell>
          <cell r="F16">
            <v>-0.23399999999999999</v>
          </cell>
          <cell r="CH16">
            <v>359092</v>
          </cell>
          <cell r="CI16" t="str">
            <v>COC010 COSTELA SUI CONG PERD KG</v>
          </cell>
          <cell r="CJ16">
            <v>1220</v>
          </cell>
          <cell r="CK16">
            <v>2.1051000000000002</v>
          </cell>
          <cell r="CL16">
            <v>2568.23</v>
          </cell>
        </row>
        <row r="17">
          <cell r="A17">
            <v>3184</v>
          </cell>
          <cell r="B17" t="str">
            <v>PFGB03 PATE DE FRANGO BAT CX 3KG</v>
          </cell>
          <cell r="C17">
            <v>5.3689999999999998</v>
          </cell>
          <cell r="D17">
            <v>4.0860000000000003</v>
          </cell>
          <cell r="E17">
            <v>-0.28799999999999998</v>
          </cell>
          <cell r="F17">
            <v>-0.60400000000000009</v>
          </cell>
          <cell r="CH17">
            <v>814140</v>
          </cell>
          <cell r="CI17" t="str">
            <v>PLS020 PELE SUINA SC 20KG    KG</v>
          </cell>
          <cell r="CJ17">
            <v>18080</v>
          </cell>
          <cell r="CK17">
            <v>0.34370000000000001</v>
          </cell>
          <cell r="CL17">
            <v>6214.01</v>
          </cell>
        </row>
        <row r="18">
          <cell r="A18">
            <v>3191</v>
          </cell>
          <cell r="B18" t="str">
            <v>MTUB04 MORT TUBULAR BATAVO CX 4KG</v>
          </cell>
          <cell r="C18">
            <v>1.913</v>
          </cell>
          <cell r="D18">
            <v>1.63</v>
          </cell>
          <cell r="E18">
            <v>-0.22800000000000001</v>
          </cell>
          <cell r="F18">
            <v>-0.19400000000000001</v>
          </cell>
          <cell r="CH18">
            <v>828558</v>
          </cell>
          <cell r="CI18" t="str">
            <v>FIL012 FILE MIGNON SUI CONG  KG</v>
          </cell>
          <cell r="CJ18">
            <v>144</v>
          </cell>
          <cell r="CK18">
            <v>3.3481000000000001</v>
          </cell>
          <cell r="CL18">
            <v>482.12</v>
          </cell>
        </row>
        <row r="19">
          <cell r="A19">
            <v>3206</v>
          </cell>
          <cell r="B19" t="str">
            <v>LCCB05 LING CALAB PT 1KG/VAC BAT CX 5KG</v>
          </cell>
          <cell r="C19">
            <v>3.0409999999999999</v>
          </cell>
          <cell r="D19">
            <v>2.581</v>
          </cell>
          <cell r="E19">
            <v>-0.251</v>
          </cell>
          <cell r="F19">
            <v>-0.35200000000000004</v>
          </cell>
          <cell r="CH19">
            <v>828559</v>
          </cell>
          <cell r="CI19" t="str">
            <v>LBM012 LOMBO MEDIO SUI CONG  KG</v>
          </cell>
          <cell r="CJ19">
            <v>3552</v>
          </cell>
          <cell r="CK19">
            <v>3.9687999999999999</v>
          </cell>
          <cell r="CL19">
            <v>14097.13</v>
          </cell>
        </row>
        <row r="20">
          <cell r="A20">
            <v>3208</v>
          </cell>
          <cell r="B20" t="str">
            <v>LCGB09 LING CALAB GRANA BAT CX 9KG</v>
          </cell>
          <cell r="C20">
            <v>2.6859999999999999</v>
          </cell>
          <cell r="D20">
            <v>2.282</v>
          </cell>
          <cell r="E20">
            <v>-0.255</v>
          </cell>
          <cell r="F20">
            <v>-0.29399999999999998</v>
          </cell>
          <cell r="CH20">
            <v>50100100</v>
          </cell>
          <cell r="CI20" t="str">
            <v>6 - SUINOS SALGADOS</v>
          </cell>
          <cell r="CJ20">
            <v>51464.275000000001</v>
          </cell>
          <cell r="CK20">
            <v>1.3090999999999999</v>
          </cell>
          <cell r="CL20">
            <v>67371.740000000005</v>
          </cell>
        </row>
        <row r="21">
          <cell r="A21">
            <v>3224</v>
          </cell>
          <cell r="B21" t="str">
            <v>CODB09 COSTELA DEFUMADA BATAVO CX 9KG</v>
          </cell>
          <cell r="C21">
            <v>6.02</v>
          </cell>
          <cell r="D21">
            <v>4.6070000000000002</v>
          </cell>
          <cell r="E21">
            <v>-0.32700000000000001</v>
          </cell>
          <cell r="F21">
            <v>-0.64900000000000002</v>
          </cell>
          <cell r="CH21">
            <v>814720</v>
          </cell>
          <cell r="CI21" t="str">
            <v>RTS013 RETALHO COST SUI SALG KG</v>
          </cell>
          <cell r="CJ21">
            <v>26455.45</v>
          </cell>
          <cell r="CK21">
            <v>1.3741000000000001</v>
          </cell>
          <cell r="CL21">
            <v>36352.82</v>
          </cell>
        </row>
        <row r="22">
          <cell r="A22">
            <v>3234</v>
          </cell>
          <cell r="B22" t="str">
            <v>BAPB08 BACON DEF PEDACO 28PC BAT CX 8KG</v>
          </cell>
          <cell r="C22">
            <v>5.38</v>
          </cell>
          <cell r="D22">
            <v>4.0919999999999996</v>
          </cell>
          <cell r="E22">
            <v>-0.30299999999999999</v>
          </cell>
          <cell r="F22">
            <v>-0.51500000000000001</v>
          </cell>
          <cell r="CH22">
            <v>814722</v>
          </cell>
          <cell r="CI22" t="str">
            <v>PES013 PE SUI SALG PERD CX 1 KG</v>
          </cell>
          <cell r="CJ22">
            <v>6228.165</v>
          </cell>
          <cell r="CK22">
            <v>0.99990000000000001</v>
          </cell>
          <cell r="CL22">
            <v>6227.82</v>
          </cell>
        </row>
        <row r="23">
          <cell r="A23">
            <v>3246</v>
          </cell>
          <cell r="B23" t="str">
            <v>SHBB05 SALAME HAMBURGUES BATAVO CX 5KG</v>
          </cell>
          <cell r="C23">
            <v>6.9619999999999997</v>
          </cell>
          <cell r="D23">
            <v>5.2919999999999998</v>
          </cell>
          <cell r="E23">
            <v>-0.33200000000000002</v>
          </cell>
          <cell r="F23">
            <v>-0.66399999999999992</v>
          </cell>
          <cell r="CH23">
            <v>814724</v>
          </cell>
          <cell r="CI23" t="str">
            <v>GRS013 GARGANTA SUI SALG PER KG</v>
          </cell>
          <cell r="CJ23">
            <v>3162.67</v>
          </cell>
          <cell r="CK23">
            <v>0.59619999999999995</v>
          </cell>
          <cell r="CL23">
            <v>1885.67</v>
          </cell>
        </row>
        <row r="24">
          <cell r="A24">
            <v>3249</v>
          </cell>
          <cell r="B24" t="str">
            <v>SIGB05 SALAME ITALIANO GIGANTE BATAVO</v>
          </cell>
          <cell r="C24">
            <v>7.1929999999999996</v>
          </cell>
          <cell r="D24">
            <v>5.4139999999999997</v>
          </cell>
          <cell r="E24">
            <v>-0.316</v>
          </cell>
          <cell r="F24">
            <v>-0.71499999999999997</v>
          </cell>
          <cell r="CH24">
            <v>826430</v>
          </cell>
          <cell r="CI24" t="str">
            <v>RBS013 RABO SUI SALG PERD CX KG</v>
          </cell>
          <cell r="CJ24">
            <v>5078.2049999999999</v>
          </cell>
          <cell r="CK24">
            <v>1.6351</v>
          </cell>
          <cell r="CL24">
            <v>8303.24</v>
          </cell>
        </row>
        <row r="25">
          <cell r="A25">
            <v>3262</v>
          </cell>
          <cell r="B25" t="str">
            <v>SLEB05 SALSICHAO EXTRA BATAVO CX 5KG</v>
          </cell>
          <cell r="C25">
            <v>3.2210000000000001</v>
          </cell>
          <cell r="D25">
            <v>2.7469999999999999</v>
          </cell>
          <cell r="E25">
            <v>-0.28399999999999997</v>
          </cell>
          <cell r="F25">
            <v>-0.375</v>
          </cell>
          <cell r="CH25">
            <v>833414</v>
          </cell>
          <cell r="CI25" t="str">
            <v>PCS013 PONTA COST SUI SALG P KG</v>
          </cell>
          <cell r="CJ25">
            <v>10539.785</v>
          </cell>
          <cell r="CK25">
            <v>1.3854</v>
          </cell>
          <cell r="CL25">
            <v>14602.19</v>
          </cell>
        </row>
        <row r="26">
          <cell r="A26">
            <v>3264</v>
          </cell>
          <cell r="B26" t="str">
            <v>SLEB06 SALSICHAO EXTRA BATAVO CX 6KG</v>
          </cell>
          <cell r="C26">
            <v>2.5190000000000001</v>
          </cell>
          <cell r="D26">
            <v>2.1659999999999999</v>
          </cell>
          <cell r="E26">
            <v>-0.30399999999999999</v>
          </cell>
          <cell r="F26">
            <v>-0.27</v>
          </cell>
          <cell r="CH26" t="str">
            <v>0501002 -</v>
          </cell>
          <cell r="CI26" t="str">
            <v>ELABORADOS</v>
          </cell>
          <cell r="CJ26">
            <v>784631</v>
          </cell>
          <cell r="CK26">
            <v>1.5611999999999999</v>
          </cell>
          <cell r="CL26">
            <v>1225005.07</v>
          </cell>
        </row>
        <row r="27">
          <cell r="A27">
            <v>3266</v>
          </cell>
          <cell r="B27" t="str">
            <v>PFIB03 PATE FIGADO BAT 120G CX 3KG</v>
          </cell>
          <cell r="C27">
            <v>5.2510000000000003</v>
          </cell>
          <cell r="D27">
            <v>3.9740000000000002</v>
          </cell>
          <cell r="E27">
            <v>-0.28999999999999998</v>
          </cell>
          <cell r="F27">
            <v>-0.56300000000000017</v>
          </cell>
          <cell r="CH27">
            <v>50100200</v>
          </cell>
          <cell r="CI27" t="str">
            <v>3 - PERU</v>
          </cell>
          <cell r="CJ27">
            <v>784631</v>
          </cell>
          <cell r="CK27">
            <v>1.5611999999999999</v>
          </cell>
          <cell r="CL27">
            <v>1225005.07</v>
          </cell>
        </row>
        <row r="28">
          <cell r="A28">
            <v>3276</v>
          </cell>
          <cell r="B28" t="str">
            <v>PPRB03 PATE DE PRESUNTO BAT CX 3KG</v>
          </cell>
          <cell r="C28">
            <v>4.93</v>
          </cell>
          <cell r="D28">
            <v>3.7240000000000002</v>
          </cell>
          <cell r="E28">
            <v>-0.28199999999999997</v>
          </cell>
          <cell r="F28">
            <v>-0.54200000000000004</v>
          </cell>
          <cell r="CH28">
            <v>50100200</v>
          </cell>
          <cell r="CI28" t="str">
            <v>3001 - PERU INTEIRO</v>
          </cell>
          <cell r="CJ28">
            <v>784616</v>
          </cell>
          <cell r="CK28">
            <v>1.5612999999999999</v>
          </cell>
          <cell r="CL28">
            <v>1224996.07</v>
          </cell>
        </row>
        <row r="29">
          <cell r="A29">
            <v>3385</v>
          </cell>
          <cell r="B29" t="str">
            <v>SHOB05 SALAMINHO BATAVO CX 5KG</v>
          </cell>
          <cell r="C29">
            <v>7.673</v>
          </cell>
          <cell r="D29">
            <v>5.9489999999999998</v>
          </cell>
          <cell r="E29">
            <v>-0.34399999999999997</v>
          </cell>
          <cell r="F29">
            <v>-0.73399999999999999</v>
          </cell>
          <cell r="CH29">
            <v>832967</v>
          </cell>
          <cell r="CI29" t="str">
            <v>PER312 PERU TEMP PERD 3-3,99 KG</v>
          </cell>
          <cell r="CJ29">
            <v>132</v>
          </cell>
          <cell r="CK29">
            <v>1.7033</v>
          </cell>
          <cell r="CL29">
            <v>224.83</v>
          </cell>
        </row>
        <row r="30">
          <cell r="A30">
            <v>3626</v>
          </cell>
          <cell r="B30" t="str">
            <v>APRB08 APRES SUI RETANG BATAVO CX 8KG</v>
          </cell>
          <cell r="C30">
            <v>2.9889999999999999</v>
          </cell>
          <cell r="D30">
            <v>2.5270000000000001</v>
          </cell>
          <cell r="E30">
            <v>-0.30399999999999999</v>
          </cell>
          <cell r="F30">
            <v>-0.35299999999999998</v>
          </cell>
          <cell r="CH30">
            <v>832968</v>
          </cell>
          <cell r="CI30" t="str">
            <v>PER416 PERU TEMP PERD 4-4,99 KG</v>
          </cell>
          <cell r="CJ30">
            <v>110352</v>
          </cell>
          <cell r="CK30">
            <v>1.5843</v>
          </cell>
          <cell r="CL30">
            <v>174826.84</v>
          </cell>
        </row>
        <row r="31">
          <cell r="A31">
            <v>3636</v>
          </cell>
          <cell r="B31" t="str">
            <v>PTOB07 PRES SUI TRAD OVAL BAT CX 6,8KG</v>
          </cell>
          <cell r="C31">
            <v>4.0720000000000001</v>
          </cell>
          <cell r="D31">
            <v>3.1579999999999999</v>
          </cell>
          <cell r="E31">
            <v>-0.23899999999999999</v>
          </cell>
          <cell r="F31">
            <v>-0.40699999999999997</v>
          </cell>
          <cell r="CH31">
            <v>832969</v>
          </cell>
          <cell r="CI31" t="str">
            <v>PER515 PERU TEMP PERD 5-6KG  KG</v>
          </cell>
          <cell r="CJ31">
            <v>75240</v>
          </cell>
          <cell r="CK31">
            <v>1.5376000000000001</v>
          </cell>
          <cell r="CL31">
            <v>115692.69</v>
          </cell>
        </row>
        <row r="32">
          <cell r="A32">
            <v>3643</v>
          </cell>
          <cell r="B32" t="str">
            <v>LANB05 LANCHE BATAVO CX 5KG</v>
          </cell>
          <cell r="C32">
            <v>2.081</v>
          </cell>
          <cell r="D32">
            <v>1.663</v>
          </cell>
          <cell r="E32">
            <v>-0.254</v>
          </cell>
          <cell r="F32">
            <v>-0.19500000000000001</v>
          </cell>
          <cell r="CH32">
            <v>834905</v>
          </cell>
          <cell r="CI32" t="str">
            <v>PER313 PERU TEMP PERD 3-3,99 KG</v>
          </cell>
          <cell r="CJ32">
            <v>2626</v>
          </cell>
          <cell r="CK32">
            <v>1.665</v>
          </cell>
          <cell r="CL32">
            <v>4372.3500000000004</v>
          </cell>
        </row>
        <row r="33">
          <cell r="A33">
            <v>3649</v>
          </cell>
          <cell r="B33" t="str">
            <v>LANB08 LANCHE BATAVO CX 8KG</v>
          </cell>
          <cell r="C33">
            <v>2.0790000000000002</v>
          </cell>
          <cell r="D33">
            <v>1.641</v>
          </cell>
          <cell r="E33">
            <v>-0.219</v>
          </cell>
          <cell r="F33">
            <v>-0.2</v>
          </cell>
          <cell r="CH33">
            <v>834906</v>
          </cell>
          <cell r="CI33" t="str">
            <v>PER314 PERU TEMP PERD 3-3,99 KG</v>
          </cell>
          <cell r="CJ33">
            <v>16660</v>
          </cell>
          <cell r="CK33">
            <v>1.6367</v>
          </cell>
          <cell r="CL33">
            <v>27267.95</v>
          </cell>
        </row>
        <row r="34">
          <cell r="A34">
            <v>3692</v>
          </cell>
          <cell r="B34" t="str">
            <v>LCVB05 LING CALAB BAT PT 500G CX 5KG</v>
          </cell>
          <cell r="C34">
            <v>3.9550000000000001</v>
          </cell>
          <cell r="D34">
            <v>3.327</v>
          </cell>
          <cell r="E34">
            <v>-0.28599999999999998</v>
          </cell>
          <cell r="F34">
            <v>-0.45100000000000001</v>
          </cell>
          <cell r="CH34">
            <v>834910</v>
          </cell>
          <cell r="CI34" t="str">
            <v>PER315 PERU TEMP PERD 3-3,99 KG</v>
          </cell>
          <cell r="CJ34">
            <v>57930</v>
          </cell>
          <cell r="CK34">
            <v>1.617</v>
          </cell>
          <cell r="CL34">
            <v>93671.24</v>
          </cell>
        </row>
        <row r="35">
          <cell r="A35">
            <v>3748</v>
          </cell>
          <cell r="B35" t="str">
            <v>SIVB05 SALAME ITALIANO VAC BATAVO CX 5KG</v>
          </cell>
          <cell r="C35">
            <v>7.3959999999999999</v>
          </cell>
          <cell r="D35">
            <v>5.6269999999999998</v>
          </cell>
          <cell r="E35">
            <v>-0.29899999999999999</v>
          </cell>
          <cell r="F35">
            <v>-0.68099999999999994</v>
          </cell>
          <cell r="CH35">
            <v>834911</v>
          </cell>
          <cell r="CI35" t="str">
            <v>PER316 PERU TEMP PERD 3-3,99 KG</v>
          </cell>
          <cell r="CJ35">
            <v>624</v>
          </cell>
          <cell r="CK35">
            <v>1.5924</v>
          </cell>
          <cell r="CL35">
            <v>993.67</v>
          </cell>
        </row>
        <row r="36">
          <cell r="A36">
            <v>3855</v>
          </cell>
          <cell r="B36" t="str">
            <v>GPAB30 GLAND PANCREAS CONG BAT CX 30KG</v>
          </cell>
          <cell r="C36">
            <v>2.0830000000000002</v>
          </cell>
          <cell r="D36">
            <v>1.7549999999999999</v>
          </cell>
          <cell r="E36">
            <v>0</v>
          </cell>
          <cell r="F36">
            <v>0</v>
          </cell>
          <cell r="CH36">
            <v>834922</v>
          </cell>
          <cell r="CI36" t="str">
            <v>PER417 PERU TEMP PERD 4-4,99 KG</v>
          </cell>
          <cell r="CJ36">
            <v>177684</v>
          </cell>
          <cell r="CK36">
            <v>1.5656000000000001</v>
          </cell>
          <cell r="CL36">
            <v>278181.83</v>
          </cell>
        </row>
        <row r="37">
          <cell r="A37">
            <v>6001</v>
          </cell>
          <cell r="B37" t="str">
            <v>PERB14 PERU INT TEMP BAT 3 A 4KG F3</v>
          </cell>
          <cell r="C37">
            <v>3.4287000000000001</v>
          </cell>
          <cell r="D37">
            <v>2.8121</v>
          </cell>
          <cell r="E37">
            <v>-0.37819999999999998</v>
          </cell>
          <cell r="F37">
            <v>-0.35449999999999998</v>
          </cell>
          <cell r="CH37">
            <v>834923</v>
          </cell>
          <cell r="CI37" t="str">
            <v>PER418 PERU TEMP PERD 4-4,99 KG</v>
          </cell>
          <cell r="CJ37">
            <v>185346</v>
          </cell>
          <cell r="CK37">
            <v>1.5528</v>
          </cell>
          <cell r="CL37">
            <v>287809.96000000002</v>
          </cell>
        </row>
        <row r="38">
          <cell r="A38">
            <v>6008</v>
          </cell>
          <cell r="B38" t="str">
            <v>COPB15 CORACAO PERU CONG BATAVO CX 20 KG</v>
          </cell>
          <cell r="C38">
            <v>1.6950000000000001</v>
          </cell>
          <cell r="D38">
            <v>1.5129999999999999</v>
          </cell>
          <cell r="E38">
            <v>0</v>
          </cell>
          <cell r="F38">
            <v>0</v>
          </cell>
          <cell r="CH38">
            <v>834924</v>
          </cell>
          <cell r="CI38" t="str">
            <v>PER419 PERU TEMP PERD 4-4,99 KG</v>
          </cell>
          <cell r="CJ38">
            <v>49324</v>
          </cell>
          <cell r="CK38">
            <v>1.5377000000000001</v>
          </cell>
          <cell r="CL38">
            <v>75846.399999999994</v>
          </cell>
        </row>
        <row r="39">
          <cell r="A39">
            <v>6011</v>
          </cell>
          <cell r="B39" t="str">
            <v>PRUB07 PRESUNTO PERU COZ BATAVO CX 6,8KG</v>
          </cell>
          <cell r="C39">
            <v>3.887</v>
          </cell>
          <cell r="D39">
            <v>2.996</v>
          </cell>
          <cell r="E39">
            <v>-0.376</v>
          </cell>
          <cell r="F39">
            <v>-0.33</v>
          </cell>
          <cell r="CH39">
            <v>834925</v>
          </cell>
          <cell r="CI39" t="str">
            <v>PER420 PERU TEMP PERD 4-4,99 KG</v>
          </cell>
          <cell r="CJ39">
            <v>1860</v>
          </cell>
          <cell r="CK39">
            <v>1.5277000000000001</v>
          </cell>
          <cell r="CL39">
            <v>2841.49</v>
          </cell>
        </row>
        <row r="40">
          <cell r="A40">
            <v>6012</v>
          </cell>
          <cell r="B40" t="str">
            <v>PRDB05 PEITO PERU DEF BATAVO CX 5KG</v>
          </cell>
          <cell r="C40">
            <v>6.8920000000000003</v>
          </cell>
          <cell r="D40">
            <v>5.2060000000000004</v>
          </cell>
          <cell r="E40">
            <v>-0.33600000000000002</v>
          </cell>
          <cell r="F40">
            <v>-0.64700000000000002</v>
          </cell>
          <cell r="CH40">
            <v>834926</v>
          </cell>
          <cell r="CI40" t="str">
            <v>PER516 PERU TEMP PERD 5-6KG  KG</v>
          </cell>
          <cell r="CJ40">
            <v>88272</v>
          </cell>
          <cell r="CK40">
            <v>1.5309999999999999</v>
          </cell>
          <cell r="CL40">
            <v>135145.23000000001</v>
          </cell>
        </row>
        <row r="41">
          <cell r="A41">
            <v>6014</v>
          </cell>
          <cell r="B41" t="str">
            <v>PRMB05 PRESUNTO COZ PERU MINI BAT CX 5KG</v>
          </cell>
          <cell r="C41">
            <v>5.165</v>
          </cell>
          <cell r="D41">
            <v>3.972</v>
          </cell>
          <cell r="E41">
            <v>-0.36199999999999999</v>
          </cell>
          <cell r="F41">
            <v>-0.51899999999999991</v>
          </cell>
          <cell r="CH41">
            <v>834927</v>
          </cell>
          <cell r="CI41" t="str">
            <v>PER517 PERU TEMP PERD 5-6KG  KG</v>
          </cell>
          <cell r="CJ41">
            <v>17306</v>
          </cell>
          <cell r="CK41">
            <v>1.5157</v>
          </cell>
          <cell r="CL41">
            <v>26230.27</v>
          </cell>
        </row>
        <row r="42">
          <cell r="A42">
            <v>6015</v>
          </cell>
          <cell r="B42" t="str">
            <v>PEMB06 PEITO DEF MINI BAT CX 5,8KG</v>
          </cell>
          <cell r="C42">
            <v>7.4080000000000004</v>
          </cell>
          <cell r="D42">
            <v>5.681</v>
          </cell>
          <cell r="E42">
            <v>-0.39800000000000002</v>
          </cell>
          <cell r="F42">
            <v>-0.66700000000000004</v>
          </cell>
          <cell r="CH42">
            <v>834928</v>
          </cell>
          <cell r="CI42" t="str">
            <v>PER518 PERU TEMP PERD 5-6KG  KG</v>
          </cell>
          <cell r="CJ42">
            <v>1260</v>
          </cell>
          <cell r="CK42">
            <v>1.5009999999999999</v>
          </cell>
          <cell r="CL42">
            <v>1891.32</v>
          </cell>
        </row>
        <row r="43">
          <cell r="A43">
            <v>6018</v>
          </cell>
          <cell r="B43" t="str">
            <v>PCHB07 CHARMANT PERU BATAVO CX 6,8KG</v>
          </cell>
          <cell r="C43">
            <v>4.4509999999999996</v>
          </cell>
          <cell r="D43">
            <v>3.343</v>
          </cell>
          <cell r="E43">
            <v>-0.30299999999999999</v>
          </cell>
          <cell r="F43">
            <v>-0.43799999999999994</v>
          </cell>
          <cell r="CH43">
            <v>50100200</v>
          </cell>
          <cell r="CI43" t="str">
            <v>3003 - PERU MIUDOS</v>
          </cell>
          <cell r="CJ43">
            <v>15</v>
          </cell>
          <cell r="CK43">
            <v>0.6</v>
          </cell>
          <cell r="CL43">
            <v>9</v>
          </cell>
        </row>
        <row r="44">
          <cell r="A44">
            <v>6020</v>
          </cell>
          <cell r="B44" t="str">
            <v>LAPB08 LANCHE PERU BAT 2PC CX 8KG</v>
          </cell>
          <cell r="C44">
            <v>2.6789999999999998</v>
          </cell>
          <cell r="D44">
            <v>2.0880000000000001</v>
          </cell>
          <cell r="E44">
            <v>-0.30499999999999999</v>
          </cell>
          <cell r="F44">
            <v>-0.24400000000000002</v>
          </cell>
          <cell r="CH44">
            <v>6008</v>
          </cell>
          <cell r="CI44" t="str">
            <v>COPB15 CORACAO PERU CONG BAT KG</v>
          </cell>
          <cell r="CJ44">
            <v>15</v>
          </cell>
          <cell r="CK44">
            <v>0.6</v>
          </cell>
          <cell r="CL44">
            <v>9</v>
          </cell>
        </row>
        <row r="45">
          <cell r="A45">
            <v>6023</v>
          </cell>
          <cell r="B45" t="str">
            <v>MPMB05 MORT PERU MINI BAT CX 5KG</v>
          </cell>
          <cell r="C45">
            <v>3.4039999999999999</v>
          </cell>
          <cell r="D45">
            <v>2.8319999999999999</v>
          </cell>
          <cell r="E45">
            <v>-0.29499999999999998</v>
          </cell>
          <cell r="F45">
            <v>-0.36099999999999999</v>
          </cell>
          <cell r="CH45" t="str">
            <v>0501003 -</v>
          </cell>
          <cell r="CI45" t="str">
            <v>PROCESSADOS</v>
          </cell>
          <cell r="CJ45">
            <v>249330</v>
          </cell>
          <cell r="CK45">
            <v>1.966</v>
          </cell>
          <cell r="CL45">
            <v>490179.81</v>
          </cell>
        </row>
        <row r="46">
          <cell r="A46">
            <v>6024</v>
          </cell>
          <cell r="B46" t="str">
            <v>PCMB05 CHARMANT PERU MINI BAT CX 5KG</v>
          </cell>
          <cell r="C46">
            <v>5.1050000000000004</v>
          </cell>
          <cell r="D46">
            <v>3.911</v>
          </cell>
          <cell r="E46">
            <v>-0.35299999999999998</v>
          </cell>
          <cell r="F46">
            <v>-0.46799999999999997</v>
          </cell>
          <cell r="CH46">
            <v>50100300</v>
          </cell>
          <cell r="CI46" t="str">
            <v>2 - INDUSTRIALIZADOS</v>
          </cell>
          <cell r="CJ46">
            <v>249330</v>
          </cell>
          <cell r="CK46">
            <v>1.966</v>
          </cell>
          <cell r="CL46">
            <v>490179.81</v>
          </cell>
        </row>
        <row r="47">
          <cell r="A47">
            <v>6027</v>
          </cell>
          <cell r="B47" t="str">
            <v>PPEB03 PATE DE PEITO PERU DEF BAT CX 3KG</v>
          </cell>
          <cell r="C47">
            <v>5.7</v>
          </cell>
          <cell r="D47">
            <v>4.3150000000000004</v>
          </cell>
          <cell r="E47">
            <v>-0.30299999999999999</v>
          </cell>
          <cell r="F47">
            <v>-0.63700000000000001</v>
          </cell>
          <cell r="CH47">
            <v>50100300</v>
          </cell>
          <cell r="CI47" t="str">
            <v>2001 - TOTAL LINGUICAS</v>
          </cell>
          <cell r="CJ47">
            <v>249330</v>
          </cell>
          <cell r="CK47">
            <v>1.966</v>
          </cell>
          <cell r="CL47">
            <v>490179.81</v>
          </cell>
        </row>
        <row r="48">
          <cell r="A48">
            <v>6034</v>
          </cell>
          <cell r="B48" t="str">
            <v>PERB18 PERU INT TEMP BAT 4,01 A 5KG F4</v>
          </cell>
          <cell r="C48">
            <v>3.4495</v>
          </cell>
          <cell r="D48">
            <v>2.8262</v>
          </cell>
          <cell r="E48">
            <v>-0.3377</v>
          </cell>
          <cell r="F48">
            <v>-0.3574</v>
          </cell>
          <cell r="CH48">
            <v>50100300</v>
          </cell>
          <cell r="CI48" t="str">
            <v>2001001 - LING SUINOS FRESCAL</v>
          </cell>
          <cell r="CJ48">
            <v>193485</v>
          </cell>
          <cell r="CK48">
            <v>2.0255999999999998</v>
          </cell>
          <cell r="CL48">
            <v>391922</v>
          </cell>
        </row>
        <row r="49">
          <cell r="A49">
            <v>6038</v>
          </cell>
          <cell r="B49" t="str">
            <v>PERB10 PERU INT TEMP BAT 9,01A11KG F9</v>
          </cell>
          <cell r="C49">
            <v>3.4780000000000002</v>
          </cell>
          <cell r="D49">
            <v>2.9710000000000001</v>
          </cell>
          <cell r="E49">
            <v>-0.23499999999999999</v>
          </cell>
          <cell r="F49">
            <v>-0.40699999999999997</v>
          </cell>
          <cell r="CH49">
            <v>50100300</v>
          </cell>
          <cell r="CI49" t="str">
            <v>200100101 - LING SUI FRESC GRAN</v>
          </cell>
          <cell r="CJ49">
            <v>193485</v>
          </cell>
          <cell r="CK49">
            <v>2.0255999999999998</v>
          </cell>
          <cell r="CL49">
            <v>391922</v>
          </cell>
        </row>
        <row r="50">
          <cell r="A50">
            <v>6039</v>
          </cell>
          <cell r="B50" t="str">
            <v>PERB12 PERU INT TEMP BAT 11,01A13KG F11</v>
          </cell>
          <cell r="C50">
            <v>3.4847999999999999</v>
          </cell>
          <cell r="D50">
            <v>2.7141999999999999</v>
          </cell>
          <cell r="E50">
            <v>-0.42609999999999998</v>
          </cell>
          <cell r="F50">
            <v>-0.37709999999999999</v>
          </cell>
          <cell r="CH50">
            <v>219495</v>
          </cell>
          <cell r="CI50" t="str">
            <v>LTT420 LING TOSC CHUR TORC 4 KG</v>
          </cell>
          <cell r="CJ50">
            <v>193485</v>
          </cell>
          <cell r="CK50">
            <v>2.0255999999999998</v>
          </cell>
          <cell r="CL50">
            <v>391922</v>
          </cell>
        </row>
        <row r="51">
          <cell r="A51">
            <v>194433</v>
          </cell>
          <cell r="B51" t="str">
            <v>PFF015 PEITO C/OPF INT (G) ITF CX 15KG</v>
          </cell>
          <cell r="C51">
            <v>2.4340000000000002</v>
          </cell>
          <cell r="D51">
            <v>2.1539999999999999</v>
          </cell>
          <cell r="E51">
            <v>-0.20399999999999999</v>
          </cell>
          <cell r="F51">
            <v>-0.17599999999999999</v>
          </cell>
          <cell r="CH51">
            <v>50100300</v>
          </cell>
          <cell r="CI51" t="str">
            <v>2001002 - LING SUINOS CURADAS</v>
          </cell>
          <cell r="CJ51">
            <v>55845</v>
          </cell>
          <cell r="CK51">
            <v>1.7595000000000001</v>
          </cell>
          <cell r="CL51">
            <v>98257.81</v>
          </cell>
        </row>
        <row r="52">
          <cell r="A52">
            <v>194450</v>
          </cell>
          <cell r="B52" t="str">
            <v>PSI015 PEITO S/O S/P FGO CX 15KG</v>
          </cell>
          <cell r="C52">
            <v>4.194</v>
          </cell>
          <cell r="D52">
            <v>3.7429999999999999</v>
          </cell>
          <cell r="E52">
            <v>-0.30199999999999999</v>
          </cell>
          <cell r="F52">
            <v>-0.21599999999999997</v>
          </cell>
          <cell r="CH52">
            <v>50100300</v>
          </cell>
          <cell r="CI52" t="str">
            <v>200100201 - LING SUI CURADA GRA</v>
          </cell>
          <cell r="CJ52">
            <v>55845</v>
          </cell>
          <cell r="CK52">
            <v>1.7595000000000001</v>
          </cell>
          <cell r="CL52">
            <v>98257.81</v>
          </cell>
        </row>
        <row r="53">
          <cell r="A53">
            <v>194492</v>
          </cell>
          <cell r="B53" t="str">
            <v>CSI015 COXA SOBREC C/OP (G) ITF CX 15KG</v>
          </cell>
          <cell r="C53">
            <v>1.9159999999999999</v>
          </cell>
          <cell r="D53">
            <v>1.75</v>
          </cell>
          <cell r="E53">
            <v>-0.121</v>
          </cell>
          <cell r="F53">
            <v>-8.5000000000000006E-2</v>
          </cell>
          <cell r="CH53">
            <v>812542</v>
          </cell>
          <cell r="CI53" t="str">
            <v>LCI820 LING CALAB IDEAL PERD KG</v>
          </cell>
          <cell r="CJ53">
            <v>55845</v>
          </cell>
          <cell r="CK53">
            <v>1.7595000000000001</v>
          </cell>
          <cell r="CL53">
            <v>98257.81</v>
          </cell>
        </row>
        <row r="54">
          <cell r="A54">
            <v>194514</v>
          </cell>
          <cell r="B54" t="str">
            <v>CSF015 COXA SOB C/OP FGO CX 15KG</v>
          </cell>
          <cell r="C54">
            <v>1.8939999999999999</v>
          </cell>
          <cell r="D54">
            <v>1.679</v>
          </cell>
          <cell r="E54">
            <v>-0.106</v>
          </cell>
          <cell r="F54">
            <v>-0.159</v>
          </cell>
          <cell r="CH54" t="str">
            <v>0502 - FR</v>
          </cell>
          <cell r="CI54" t="str">
            <v>IGORIF ME PERDIGAO</v>
          </cell>
          <cell r="CJ54">
            <v>4358344.5999999996</v>
          </cell>
          <cell r="CK54">
            <v>2.0392999999999999</v>
          </cell>
          <cell r="CL54">
            <v>8888155.8499999996</v>
          </cell>
        </row>
        <row r="55">
          <cell r="A55">
            <v>194530</v>
          </cell>
          <cell r="B55" t="str">
            <v>CXP015 COXA C/OP (P) ITF PERD CX 15KG</v>
          </cell>
          <cell r="C55">
            <v>1.9710000000000001</v>
          </cell>
          <cell r="D55">
            <v>1.746</v>
          </cell>
          <cell r="E55">
            <v>-7.0999999999999994E-2</v>
          </cell>
          <cell r="F55">
            <v>-9.5000000000000001E-2</v>
          </cell>
          <cell r="CH55" t="str">
            <v>0502001 -</v>
          </cell>
          <cell r="CI55" t="str">
            <v>EUROPA</v>
          </cell>
          <cell r="CJ55">
            <v>1187116</v>
          </cell>
          <cell r="CK55">
            <v>3.2046000000000001</v>
          </cell>
          <cell r="CL55">
            <v>3804188.41</v>
          </cell>
        </row>
        <row r="56">
          <cell r="A56">
            <v>194565</v>
          </cell>
          <cell r="B56" t="str">
            <v>CXF015 COXA C/OP FGO 15PT CX 15KG</v>
          </cell>
          <cell r="C56">
            <v>1.631</v>
          </cell>
          <cell r="D56">
            <v>1.4410000000000001</v>
          </cell>
          <cell r="E56">
            <v>-0.23100000000000001</v>
          </cell>
          <cell r="F56">
            <v>-0.14499999999999999</v>
          </cell>
          <cell r="CH56">
            <v>50200100</v>
          </cell>
          <cell r="CI56" t="str">
            <v>1 - IN NATURA</v>
          </cell>
          <cell r="CJ56">
            <v>201469</v>
          </cell>
          <cell r="CK56">
            <v>2.1166999999999998</v>
          </cell>
          <cell r="CL56">
            <v>426451.91</v>
          </cell>
        </row>
        <row r="57">
          <cell r="A57">
            <v>194581</v>
          </cell>
          <cell r="B57" t="str">
            <v>SCI015 SOBRECOXA C/OP (P) ITF CX 15KG</v>
          </cell>
          <cell r="C57">
            <v>2.024</v>
          </cell>
          <cell r="D57">
            <v>1.8109999999999999</v>
          </cell>
          <cell r="E57">
            <v>-0.17199999999999999</v>
          </cell>
          <cell r="F57">
            <v>-0.13600000000000001</v>
          </cell>
          <cell r="CH57" t="str">
            <v>Período:</v>
          </cell>
          <cell r="CI57" t="str">
            <v>12.2001  a</v>
          </cell>
          <cell r="CK57" t="str">
            <v>Centro : 350</v>
          </cell>
          <cell r="CL57">
            <v>0</v>
          </cell>
        </row>
        <row r="58">
          <cell r="A58">
            <v>194603</v>
          </cell>
          <cell r="B58" t="str">
            <v>SCF015 SOBRECOXA C/OP FGO CX 15KG</v>
          </cell>
          <cell r="C58">
            <v>1.923</v>
          </cell>
          <cell r="D58">
            <v>1.659</v>
          </cell>
          <cell r="E58">
            <v>-0.11600000000000001</v>
          </cell>
          <cell r="F58">
            <v>-8.7000000000000008E-2</v>
          </cell>
          <cell r="CH58" t="str">
            <v>EMPRESAS</v>
          </cell>
          <cell r="CI58" t="str">
            <v>PERDIGÃO</v>
          </cell>
        </row>
        <row r="59">
          <cell r="A59">
            <v>194620</v>
          </cell>
          <cell r="B59" t="str">
            <v>AFF015 ASA INT FGO (P) ITF PERD CX 15KG</v>
          </cell>
          <cell r="C59">
            <v>1.456</v>
          </cell>
          <cell r="D59">
            <v>1.27</v>
          </cell>
          <cell r="E59">
            <v>-0.11</v>
          </cell>
          <cell r="F59">
            <v>-7.0000000000000007E-2</v>
          </cell>
          <cell r="CH59" t="str">
            <v>Z611021 -</v>
          </cell>
          <cell r="CK59" t="str">
            <v>Produção</v>
          </cell>
        </row>
        <row r="60">
          <cell r="A60">
            <v>194646</v>
          </cell>
          <cell r="B60" t="str">
            <v>ATI015 ASA 2A JTA (P) ITF PERD CX 15KG</v>
          </cell>
          <cell r="C60">
            <v>1.601</v>
          </cell>
          <cell r="D60">
            <v>1.4</v>
          </cell>
          <cell r="E60">
            <v>-0.16</v>
          </cell>
          <cell r="F60">
            <v>-0.11700000000000002</v>
          </cell>
          <cell r="CH60" t="str">
            <v>Moeda: RE</v>
          </cell>
          <cell r="CI60" t="str">
            <v>AL</v>
          </cell>
          <cell r="CJ60" t="str">
            <v>Qtde</v>
          </cell>
          <cell r="CK60" t="str">
            <v>Unitário</v>
          </cell>
          <cell r="CL60" t="str">
            <v>Vl. Total</v>
          </cell>
        </row>
        <row r="61">
          <cell r="A61">
            <v>194662</v>
          </cell>
          <cell r="B61" t="str">
            <v>AFI015 ASA INT FGO 15PT CX 15KG</v>
          </cell>
          <cell r="C61">
            <v>1.617</v>
          </cell>
          <cell r="D61">
            <v>1.431</v>
          </cell>
          <cell r="E61">
            <v>-0.21199999999999999</v>
          </cell>
          <cell r="F61">
            <v>-0.15099999999999997</v>
          </cell>
          <cell r="CH61" t="str">
            <v>0502 - FR</v>
          </cell>
          <cell r="CI61" t="str">
            <v>IGORIF ME PERDIGAO</v>
          </cell>
          <cell r="CJ61">
            <v>4137856.6</v>
          </cell>
          <cell r="CK61">
            <v>2.2198000000000002</v>
          </cell>
          <cell r="CL61">
            <v>9185060.3900000006</v>
          </cell>
        </row>
        <row r="62">
          <cell r="A62">
            <v>194689</v>
          </cell>
          <cell r="B62" t="str">
            <v>ADI015 ASA 1A JTA FGO ITF PERD CX 15KG</v>
          </cell>
          <cell r="C62">
            <v>2.0259999999999998</v>
          </cell>
          <cell r="D62">
            <v>1.778</v>
          </cell>
          <cell r="E62">
            <v>-0.108</v>
          </cell>
          <cell r="F62">
            <v>-0.11199999999999999</v>
          </cell>
          <cell r="CH62" t="str">
            <v>Relatório</v>
          </cell>
          <cell r="CI62" t="str">
            <v>das Entradas</v>
          </cell>
          <cell r="CJ62">
            <v>1309462</v>
          </cell>
          <cell r="CK62">
            <v>3.4550999999999998</v>
          </cell>
          <cell r="CL62">
            <v>4524317.3099999996</v>
          </cell>
        </row>
        <row r="63">
          <cell r="A63">
            <v>194700</v>
          </cell>
          <cell r="B63" t="str">
            <v>AFD015 ASA 1A JTA FGO PERD 15PT CX 15KG</v>
          </cell>
          <cell r="C63">
            <v>2.14</v>
          </cell>
          <cell r="D63">
            <v>1.9</v>
          </cell>
          <cell r="E63">
            <v>-0.19900000000000001</v>
          </cell>
          <cell r="F63">
            <v>-0.21700000000000003</v>
          </cell>
          <cell r="CH63" t="str">
            <v>Período:</v>
          </cell>
          <cell r="CI63" t="str">
            <v>10.2001  a</v>
          </cell>
          <cell r="CJ63">
            <v>214799</v>
          </cell>
          <cell r="CK63" t="str">
            <v>Centro : 350</v>
          </cell>
          <cell r="CL63" t="e">
            <v>#NAME?</v>
          </cell>
        </row>
        <row r="64">
          <cell r="A64">
            <v>194867</v>
          </cell>
          <cell r="B64" t="str">
            <v>MOF015 MOELA FGO 15PT CX 15KG</v>
          </cell>
          <cell r="C64">
            <v>1.5680000000000001</v>
          </cell>
          <cell r="D64">
            <v>1.3779999999999999</v>
          </cell>
          <cell r="E64">
            <v>-0.2</v>
          </cell>
          <cell r="F64">
            <v>-0.14800000000000002</v>
          </cell>
          <cell r="CH64">
            <v>50200100</v>
          </cell>
          <cell r="CI64" t="str">
            <v>1001 - FRANGO INTEIRO</v>
          </cell>
          <cell r="CJ64">
            <v>41394</v>
          </cell>
          <cell r="CK64">
            <v>1.6201000000000001</v>
          </cell>
          <cell r="CL64">
            <v>67060.87</v>
          </cell>
        </row>
        <row r="65">
          <cell r="A65">
            <v>194875</v>
          </cell>
          <cell r="B65" t="str">
            <v>FPS016 FRANGO PASSARINHO CX 16KG</v>
          </cell>
          <cell r="C65">
            <v>2.0939999999999999</v>
          </cell>
          <cell r="D65">
            <v>1.843</v>
          </cell>
          <cell r="E65">
            <v>-0.23699999999999999</v>
          </cell>
          <cell r="F65">
            <v>-0.17599999999999999</v>
          </cell>
          <cell r="CH65">
            <v>50200100</v>
          </cell>
          <cell r="CI65" t="str">
            <v>1001001 - FRANGO INTEIRO GRI</v>
          </cell>
          <cell r="CJ65">
            <v>41394</v>
          </cell>
          <cell r="CK65" t="str">
            <v>Produção</v>
          </cell>
          <cell r="CL65">
            <v>67060.87</v>
          </cell>
        </row>
        <row r="66">
          <cell r="A66">
            <v>195030</v>
          </cell>
          <cell r="B66" t="str">
            <v>PCH013 PEITO C/OF S/P INT CHT CX 13KG</v>
          </cell>
          <cell r="C66">
            <v>5.173</v>
          </cell>
          <cell r="D66">
            <v>4.2590000000000003</v>
          </cell>
          <cell r="E66">
            <v>-0.26</v>
          </cell>
          <cell r="F66">
            <v>-0.71599999999999997</v>
          </cell>
          <cell r="CH66" t="str">
            <v>Código De</v>
          </cell>
          <cell r="CI66" t="str">
            <v>scrição                      UM</v>
          </cell>
          <cell r="CJ66" t="str">
            <v>Qtde</v>
          </cell>
          <cell r="CK66" t="str">
            <v>Unitário</v>
          </cell>
          <cell r="CL66" t="str">
            <v>Vl. Total</v>
          </cell>
        </row>
        <row r="67">
          <cell r="A67">
            <v>195251</v>
          </cell>
          <cell r="B67" t="str">
            <v>CHT019 CHESTER INT CONG PERD CX 19 KG</v>
          </cell>
          <cell r="C67">
            <v>3.4820000000000002</v>
          </cell>
          <cell r="D67">
            <v>2.9359999999999999</v>
          </cell>
          <cell r="E67">
            <v>-0.22500000000000001</v>
          </cell>
          <cell r="F67">
            <v>-0.53899999999999992</v>
          </cell>
          <cell r="CH67">
            <v>50200100</v>
          </cell>
          <cell r="CI67" t="str">
            <v>1001 - FRANGO INTEIRO</v>
          </cell>
          <cell r="CJ67">
            <v>33562</v>
          </cell>
          <cell r="CK67">
            <v>1.571</v>
          </cell>
          <cell r="CL67">
            <v>52724.83</v>
          </cell>
        </row>
        <row r="68">
          <cell r="A68">
            <v>195260</v>
          </cell>
          <cell r="B68" t="str">
            <v>CHT020 CHESTER INT CONG PERD CX 20 KG</v>
          </cell>
          <cell r="C68">
            <v>3.4780000000000002</v>
          </cell>
          <cell r="D68">
            <v>2.9359999999999999</v>
          </cell>
          <cell r="E68">
            <v>-0.223</v>
          </cell>
          <cell r="F68">
            <v>-0.55000000000000004</v>
          </cell>
          <cell r="CH68">
            <v>50200100</v>
          </cell>
          <cell r="CI68" t="str">
            <v>1001001 - FRANGO INTEIRO GRILL</v>
          </cell>
          <cell r="CJ68">
            <v>33562</v>
          </cell>
          <cell r="CK68">
            <v>1.571</v>
          </cell>
          <cell r="CL68">
            <v>52724.83</v>
          </cell>
        </row>
        <row r="69">
          <cell r="A69">
            <v>195278</v>
          </cell>
          <cell r="B69" t="str">
            <v>CHT021 CHESTER INT CONG PERD 6PC CX 21KG</v>
          </cell>
          <cell r="C69">
            <v>3.379</v>
          </cell>
          <cell r="D69">
            <v>2.968</v>
          </cell>
          <cell r="E69">
            <v>-0.2</v>
          </cell>
          <cell r="F69">
            <v>-0.5</v>
          </cell>
          <cell r="CH69">
            <v>833069</v>
          </cell>
          <cell r="CI69" t="str">
            <v>FRANGO GRILLER 1100G PERD CA KG</v>
          </cell>
          <cell r="CJ69">
            <v>5027</v>
          </cell>
          <cell r="CK69">
            <v>1.5869</v>
          </cell>
          <cell r="CL69">
            <v>7977.24</v>
          </cell>
        </row>
        <row r="70">
          <cell r="A70">
            <v>195286</v>
          </cell>
          <cell r="B70" t="str">
            <v>CHT022 CHESTER INT CONG PERD CX 22 KG</v>
          </cell>
          <cell r="C70">
            <v>3.468</v>
          </cell>
          <cell r="D70">
            <v>2.9260000000000002</v>
          </cell>
          <cell r="E70">
            <v>-0.22800000000000001</v>
          </cell>
          <cell r="F70">
            <v>-0.52900000000000014</v>
          </cell>
          <cell r="CH70">
            <v>833070</v>
          </cell>
          <cell r="CI70" t="str">
            <v>FRANGO GRILLER 1200G PERD CA KG</v>
          </cell>
          <cell r="CJ70">
            <v>24492</v>
          </cell>
          <cell r="CK70">
            <v>1.5744</v>
          </cell>
          <cell r="CL70">
            <v>38559.61</v>
          </cell>
        </row>
        <row r="71">
          <cell r="A71">
            <v>195308</v>
          </cell>
          <cell r="B71" t="str">
            <v>CHT023 CHESTER INT CONG PERD CX 23 KG</v>
          </cell>
          <cell r="C71">
            <v>3.855</v>
          </cell>
          <cell r="D71">
            <v>3.234</v>
          </cell>
          <cell r="E71">
            <v>-0.38200000000000001</v>
          </cell>
          <cell r="F71">
            <v>-0.48499999999999999</v>
          </cell>
          <cell r="CH71">
            <v>833071</v>
          </cell>
          <cell r="CI71" t="str">
            <v>FRANGO GRILLER 1300G PERD CA KG</v>
          </cell>
          <cell r="CJ71">
            <v>4043</v>
          </cell>
          <cell r="CK71">
            <v>1.5305</v>
          </cell>
          <cell r="CL71">
            <v>6187.98</v>
          </cell>
        </row>
        <row r="72">
          <cell r="A72">
            <v>217425</v>
          </cell>
          <cell r="B72" t="str">
            <v>LBM010 LOMBO MED SUI CONG CX 10KG</v>
          </cell>
          <cell r="C72">
            <v>4.1420000000000003</v>
          </cell>
          <cell r="D72">
            <v>3.7010000000000001</v>
          </cell>
          <cell r="E72">
            <v>0</v>
          </cell>
          <cell r="F72">
            <v>-0.73899999999999999</v>
          </cell>
          <cell r="CH72">
            <v>50200100</v>
          </cell>
          <cell r="CI72" t="str">
            <v>1002 - FRANGO CORTES</v>
          </cell>
          <cell r="CJ72">
            <v>17715</v>
          </cell>
          <cell r="CK72">
            <v>3.4321000000000002</v>
          </cell>
          <cell r="CL72">
            <v>60799.78</v>
          </cell>
        </row>
        <row r="73">
          <cell r="A73">
            <v>218600</v>
          </cell>
          <cell r="B73" t="str">
            <v>ESP002 ESPINHACO SUI RESF PERD CX 20KG</v>
          </cell>
          <cell r="C73">
            <v>0.66200000000000003</v>
          </cell>
          <cell r="D73">
            <v>0.59099999999999997</v>
          </cell>
          <cell r="E73">
            <v>0</v>
          </cell>
          <cell r="F73">
            <v>-0.38900000000000001</v>
          </cell>
          <cell r="CH73">
            <v>50200100</v>
          </cell>
          <cell r="CI73" t="str">
            <v>1002001 - FRANGO CORTES PEITO</v>
          </cell>
          <cell r="CJ73">
            <v>17715</v>
          </cell>
          <cell r="CK73">
            <v>3.4321000000000002</v>
          </cell>
          <cell r="CL73">
            <v>60799.78</v>
          </cell>
        </row>
        <row r="74">
          <cell r="A74">
            <v>219053</v>
          </cell>
          <cell r="B74" t="str">
            <v>VAL000 VALVULA CORACAO ORTICA SUI CONG</v>
          </cell>
          <cell r="C74">
            <v>5.0220000000000002</v>
          </cell>
          <cell r="D74">
            <v>4.2300000000000004</v>
          </cell>
          <cell r="E74">
            <v>0</v>
          </cell>
          <cell r="F74">
            <v>0</v>
          </cell>
          <cell r="CH74">
            <v>831734</v>
          </cell>
          <cell r="CI74" t="str">
            <v>PEITO S/OPFC FGO MET 50-100G KG</v>
          </cell>
          <cell r="CJ74">
            <v>9030</v>
          </cell>
          <cell r="CK74">
            <v>3.4024000000000001</v>
          </cell>
          <cell r="CL74">
            <v>30723.96</v>
          </cell>
        </row>
        <row r="75">
          <cell r="A75">
            <v>219274</v>
          </cell>
          <cell r="B75" t="str">
            <v>LOD005 LOMBO DEF CX 5KG</v>
          </cell>
          <cell r="C75">
            <v>9.9109999999999996</v>
          </cell>
          <cell r="D75">
            <v>7.516</v>
          </cell>
          <cell r="E75">
            <v>-0.223</v>
          </cell>
          <cell r="F75">
            <v>-1.143</v>
          </cell>
          <cell r="CH75">
            <v>838423</v>
          </cell>
          <cell r="CI75" t="str">
            <v>PEITO S/OPFC FGO CONG MET 50 KG</v>
          </cell>
          <cell r="CJ75">
            <v>1605</v>
          </cell>
          <cell r="CK75">
            <v>3.4996999999999998</v>
          </cell>
          <cell r="CL75">
            <v>5617.01</v>
          </cell>
        </row>
        <row r="76">
          <cell r="A76">
            <v>219452</v>
          </cell>
          <cell r="B76" t="str">
            <v>BAF005 BACON DEF FAT CX 5KG</v>
          </cell>
          <cell r="C76">
            <v>7.3520000000000003</v>
          </cell>
          <cell r="D76">
            <v>5.593</v>
          </cell>
          <cell r="E76">
            <v>-0.22</v>
          </cell>
          <cell r="F76">
            <v>-0.84499999999999997</v>
          </cell>
          <cell r="CH76">
            <v>838967</v>
          </cell>
          <cell r="CI76" t="str">
            <v>PEITO S/OPFC FGO MET 50-100G KG</v>
          </cell>
          <cell r="CJ76">
            <v>7080</v>
          </cell>
          <cell r="CK76">
            <v>3.4546000000000001</v>
          </cell>
          <cell r="CL76">
            <v>24458.81</v>
          </cell>
        </row>
        <row r="77">
          <cell r="A77">
            <v>219495</v>
          </cell>
          <cell r="B77" t="str">
            <v>LTT420 LING TOSC CHUR TORC 4PT CX 20KG</v>
          </cell>
          <cell r="C77">
            <v>2.25</v>
          </cell>
          <cell r="D77">
            <v>1.8340000000000001</v>
          </cell>
          <cell r="E77">
            <v>-0.16200000000000001</v>
          </cell>
          <cell r="F77">
            <v>-0.32799999999999996</v>
          </cell>
          <cell r="CH77">
            <v>50200100</v>
          </cell>
          <cell r="CI77" t="str">
            <v>1003 - FRANGO MIUDOS</v>
          </cell>
          <cell r="CJ77">
            <v>56706</v>
          </cell>
          <cell r="CK77">
            <v>0.25969999999999999</v>
          </cell>
          <cell r="CL77">
            <v>14724.62</v>
          </cell>
        </row>
        <row r="78">
          <cell r="A78">
            <v>219630</v>
          </cell>
          <cell r="B78" t="str">
            <v>LPL420 LING TOSC PURO LOMBO 4PT CX 20KG</v>
          </cell>
          <cell r="C78">
            <v>4.6820000000000004</v>
          </cell>
          <cell r="D78">
            <v>3.8769999999999998</v>
          </cell>
          <cell r="E78">
            <v>-0.219</v>
          </cell>
          <cell r="F78">
            <v>-0.64100000000000013</v>
          </cell>
          <cell r="CH78">
            <v>786705</v>
          </cell>
          <cell r="CI78" t="str">
            <v>FIGADO FGO CONG BL 13KG PERD KG</v>
          </cell>
          <cell r="CJ78">
            <v>56706</v>
          </cell>
          <cell r="CK78">
            <v>0.25969999999999999</v>
          </cell>
          <cell r="CL78">
            <v>14724.62</v>
          </cell>
        </row>
        <row r="79">
          <cell r="A79">
            <v>219711</v>
          </cell>
          <cell r="B79" t="str">
            <v>LCP420 LING CALAB CUR PERD 4PT CX 20KG</v>
          </cell>
          <cell r="C79">
            <v>3.2240000000000002</v>
          </cell>
          <cell r="D79">
            <v>2.6739999999999999</v>
          </cell>
          <cell r="E79">
            <v>-0.17299999999999999</v>
          </cell>
          <cell r="F79">
            <v>-0.42699999999999999</v>
          </cell>
          <cell r="CH79">
            <v>50200100</v>
          </cell>
          <cell r="CI79" t="str">
            <v>1009 - SUINOS CONGELADOS</v>
          </cell>
          <cell r="CJ79">
            <v>93486</v>
          </cell>
          <cell r="CK79">
            <v>3.1898</v>
          </cell>
          <cell r="CL79">
            <v>298202.68</v>
          </cell>
        </row>
        <row r="80">
          <cell r="A80">
            <v>219789</v>
          </cell>
          <cell r="B80" t="str">
            <v>LPP420 LING PORTUG CURADA 4PT CX 20KG</v>
          </cell>
          <cell r="C80">
            <v>3.3769999999999998</v>
          </cell>
          <cell r="D80">
            <v>2.78</v>
          </cell>
          <cell r="E80">
            <v>-0.20300000000000001</v>
          </cell>
          <cell r="F80">
            <v>-0.45</v>
          </cell>
          <cell r="CH80">
            <v>833054</v>
          </cell>
          <cell r="CI80" t="str">
            <v>SOBREPALETA S/O SUI 1,2KG/UP KG</v>
          </cell>
          <cell r="CJ80">
            <v>47916</v>
          </cell>
          <cell r="CK80">
            <v>3.2229000000000001</v>
          </cell>
          <cell r="CL80">
            <v>154429.76999999999</v>
          </cell>
        </row>
        <row r="81">
          <cell r="A81">
            <v>219851</v>
          </cell>
          <cell r="B81" t="str">
            <v>PAP420 LING PAIO 4PT CX 20KG</v>
          </cell>
          <cell r="C81">
            <v>3.3719999999999999</v>
          </cell>
          <cell r="D81">
            <v>2.78</v>
          </cell>
          <cell r="E81">
            <v>-0.186</v>
          </cell>
          <cell r="F81">
            <v>-0.42400000000000004</v>
          </cell>
          <cell r="CH81">
            <v>833274</v>
          </cell>
          <cell r="CI81" t="str">
            <v>FILEZINHO SUINO 140-500G IWP KG</v>
          </cell>
          <cell r="CJ81">
            <v>11196</v>
          </cell>
          <cell r="CK81">
            <v>3.4083999999999999</v>
          </cell>
          <cell r="CL81">
            <v>38160.019999999997</v>
          </cell>
        </row>
        <row r="82">
          <cell r="A82">
            <v>219975</v>
          </cell>
          <cell r="B82" t="str">
            <v>LCC420 LING CALAB CATARINA 4PT CX 20KG</v>
          </cell>
          <cell r="C82">
            <v>3.278</v>
          </cell>
          <cell r="D82">
            <v>2.7919999999999998</v>
          </cell>
          <cell r="E82">
            <v>-0.16600000000000001</v>
          </cell>
          <cell r="F82">
            <v>-0.44199999999999995</v>
          </cell>
          <cell r="CH82">
            <v>835073</v>
          </cell>
          <cell r="CI82" t="str">
            <v>PANCREAS SUI CONG BL 10KG AL KG</v>
          </cell>
          <cell r="CJ82">
            <v>1810</v>
          </cell>
          <cell r="CK82">
            <v>1.2018</v>
          </cell>
          <cell r="CL82">
            <v>2175.2399999999998</v>
          </cell>
        </row>
        <row r="83">
          <cell r="A83">
            <v>220353</v>
          </cell>
          <cell r="B83" t="str">
            <v>POP012 PRESUNTO TRAD MAG OVAL CX 13KG</v>
          </cell>
          <cell r="C83">
            <v>4.2949999999999999</v>
          </cell>
          <cell r="D83">
            <v>3.2770000000000001</v>
          </cell>
          <cell r="E83">
            <v>-0.19800000000000001</v>
          </cell>
          <cell r="F83">
            <v>-0.53700000000000003</v>
          </cell>
          <cell r="CH83">
            <v>835088</v>
          </cell>
          <cell r="CI83" t="str">
            <v>CARRE SUINO CONG 2,8KG/UP IN KG</v>
          </cell>
          <cell r="CJ83">
            <v>32564</v>
          </cell>
          <cell r="CK83">
            <v>3.1764000000000001</v>
          </cell>
          <cell r="CL83">
            <v>103437.65</v>
          </cell>
        </row>
        <row r="84">
          <cell r="A84">
            <v>220434</v>
          </cell>
          <cell r="B84" t="str">
            <v>PTO012 PRESUNTO TRAD OVAL CX 13KG</v>
          </cell>
          <cell r="C84">
            <v>4.2210000000000001</v>
          </cell>
          <cell r="D84">
            <v>3.2210000000000001</v>
          </cell>
          <cell r="E84">
            <v>-0.16300000000000001</v>
          </cell>
          <cell r="F84">
            <v>-0.52100000000000002</v>
          </cell>
          <cell r="CH84">
            <v>50200100</v>
          </cell>
          <cell r="CI84" t="str">
            <v>2 - ELABORADOS</v>
          </cell>
          <cell r="CJ84">
            <v>985647</v>
          </cell>
          <cell r="CK84">
            <v>3.4268999999999998</v>
          </cell>
          <cell r="CL84">
            <v>3377736.5</v>
          </cell>
        </row>
        <row r="85">
          <cell r="A85">
            <v>220469</v>
          </cell>
          <cell r="B85" t="str">
            <v>PCP006 PRESUNTO TRAD CAC PERD CX 6,5KG</v>
          </cell>
          <cell r="C85">
            <v>7.4329999999999998</v>
          </cell>
          <cell r="D85">
            <v>5.5990000000000002</v>
          </cell>
          <cell r="E85">
            <v>-0.22800000000000001</v>
          </cell>
          <cell r="F85">
            <v>-0.87600000000000011</v>
          </cell>
          <cell r="CH85">
            <v>50200100</v>
          </cell>
          <cell r="CI85" t="str">
            <v>2001 - TEMPERADOS</v>
          </cell>
          <cell r="CJ85">
            <v>376905</v>
          </cell>
          <cell r="CK85">
            <v>3.3513999999999999</v>
          </cell>
          <cell r="CL85">
            <v>1263168.72</v>
          </cell>
        </row>
        <row r="86">
          <cell r="A86">
            <v>220590</v>
          </cell>
          <cell r="B86" t="str">
            <v>APC006 APRESUNTADO CACULA CX 6,5KG</v>
          </cell>
          <cell r="C86">
            <v>4.4909999999999997</v>
          </cell>
          <cell r="D86">
            <v>3.6059999999999999</v>
          </cell>
          <cell r="E86">
            <v>-0.222</v>
          </cell>
          <cell r="F86">
            <v>-0.60699999999999998</v>
          </cell>
          <cell r="CH86">
            <v>814321</v>
          </cell>
          <cell r="CI86" t="str">
            <v>PEITO S/OPFC FGO CONG MET 50 KG</v>
          </cell>
          <cell r="CJ86">
            <v>79665</v>
          </cell>
          <cell r="CK86">
            <v>3.3517000000000001</v>
          </cell>
          <cell r="CL86">
            <v>267010.89</v>
          </cell>
        </row>
        <row r="87">
          <cell r="A87">
            <v>220647</v>
          </cell>
          <cell r="B87" t="str">
            <v>APR015 APRESUNTADO RETANG PERD CX 15KG</v>
          </cell>
          <cell r="C87">
            <v>2.9809999999999999</v>
          </cell>
          <cell r="D87">
            <v>2.3940000000000001</v>
          </cell>
          <cell r="E87">
            <v>-0.20300000000000001</v>
          </cell>
          <cell r="F87">
            <v>-0.41300000000000003</v>
          </cell>
          <cell r="CH87">
            <v>823555</v>
          </cell>
          <cell r="CI87" t="str">
            <v>PEITO S/OPFC FGO CONG MET 80 KG</v>
          </cell>
          <cell r="CJ87">
            <v>223530</v>
          </cell>
          <cell r="CK87">
            <v>3.3488000000000002</v>
          </cell>
          <cell r="CL87">
            <v>748554.33</v>
          </cell>
        </row>
        <row r="88">
          <cell r="A88">
            <v>220680</v>
          </cell>
          <cell r="B88" t="str">
            <v>PSR015 APRES/PRESUNTINA RETANG PERD 15KG</v>
          </cell>
          <cell r="C88">
            <v>2.7490000000000001</v>
          </cell>
          <cell r="D88">
            <v>2.254</v>
          </cell>
          <cell r="E88">
            <v>-0.19700000000000001</v>
          </cell>
          <cell r="F88">
            <v>-0.40600000000000003</v>
          </cell>
          <cell r="CH88">
            <v>831088</v>
          </cell>
          <cell r="CI88" t="str">
            <v>PEITO S/OPFC FGO CONG MET DE KG</v>
          </cell>
          <cell r="CJ88">
            <v>73710</v>
          </cell>
          <cell r="CK88">
            <v>3.3592</v>
          </cell>
          <cell r="CL88">
            <v>247603.5</v>
          </cell>
        </row>
        <row r="89">
          <cell r="A89">
            <v>220981</v>
          </cell>
          <cell r="B89" t="str">
            <v>SHG420 SALSICHA HOT DOG 4PT CX 20KG</v>
          </cell>
          <cell r="C89">
            <v>1.482</v>
          </cell>
          <cell r="D89">
            <v>1.2090000000000001</v>
          </cell>
          <cell r="E89">
            <v>-0.19600000000000001</v>
          </cell>
          <cell r="F89">
            <v>-0.24099999999999999</v>
          </cell>
          <cell r="CH89">
            <v>50200100</v>
          </cell>
          <cell r="CI89" t="str">
            <v>2006 - PERU INTEIRO</v>
          </cell>
          <cell r="CJ89">
            <v>47970</v>
          </cell>
          <cell r="CK89">
            <v>1.7084999999999999</v>
          </cell>
          <cell r="CL89">
            <v>81958.3</v>
          </cell>
        </row>
        <row r="90">
          <cell r="A90">
            <v>220990</v>
          </cell>
          <cell r="B90" t="str">
            <v>SHS420 SALSICHA HOT DOG S/COR CX 20KG</v>
          </cell>
          <cell r="C90">
            <v>1.5289999999999999</v>
          </cell>
          <cell r="D90">
            <v>1.119</v>
          </cell>
          <cell r="E90">
            <v>-0.13300000000000001</v>
          </cell>
          <cell r="F90">
            <v>-0.27200000000000002</v>
          </cell>
          <cell r="CH90">
            <v>837401</v>
          </cell>
          <cell r="CI90" t="str">
            <v>PERU INT C/M S/TEMP CONG 10- KG</v>
          </cell>
          <cell r="CJ90">
            <v>5005.3</v>
          </cell>
          <cell r="CK90">
            <v>1.6357999999999999</v>
          </cell>
          <cell r="CL90">
            <v>8187.69</v>
          </cell>
        </row>
        <row r="91">
          <cell r="A91">
            <v>221651</v>
          </cell>
          <cell r="B91" t="str">
            <v>CLA014 CHESTER LANCHE CX 14KG</v>
          </cell>
          <cell r="C91">
            <v>3.2890000000000001</v>
          </cell>
          <cell r="D91">
            <v>2.556</v>
          </cell>
          <cell r="E91">
            <v>-0.25900000000000001</v>
          </cell>
          <cell r="F91">
            <v>-0.40900000000000003</v>
          </cell>
          <cell r="CH91">
            <v>837565</v>
          </cell>
          <cell r="CI91" t="str">
            <v>PERU INT C/M S/TEMP CONG 11- KG</v>
          </cell>
          <cell r="CJ91">
            <v>8090.8</v>
          </cell>
          <cell r="CK91">
            <v>1.6748000000000001</v>
          </cell>
          <cell r="CL91">
            <v>13550.79</v>
          </cell>
        </row>
        <row r="92">
          <cell r="A92">
            <v>222020</v>
          </cell>
          <cell r="B92" t="str">
            <v>MFM005 MORTADELA FGO MONICA CX 5KG</v>
          </cell>
          <cell r="C92">
            <v>3.593</v>
          </cell>
          <cell r="D92">
            <v>2.8660000000000001</v>
          </cell>
          <cell r="E92">
            <v>-0.223</v>
          </cell>
          <cell r="F92">
            <v>-0.48699999999999999</v>
          </cell>
          <cell r="CH92">
            <v>838028</v>
          </cell>
          <cell r="CI92" t="str">
            <v>PERU INT C/M S/TEMP CONG 5-6 KG</v>
          </cell>
          <cell r="CJ92">
            <v>5560</v>
          </cell>
          <cell r="CK92">
            <v>1.7847999999999999</v>
          </cell>
          <cell r="CL92">
            <v>9923.24</v>
          </cell>
        </row>
        <row r="93">
          <cell r="A93">
            <v>222046</v>
          </cell>
          <cell r="B93" t="str">
            <v>PCM007 PRESUNTO COZ MONICA CX 6,5KG</v>
          </cell>
          <cell r="C93">
            <v>6.7480000000000002</v>
          </cell>
          <cell r="D93">
            <v>5.05</v>
          </cell>
          <cell r="E93">
            <v>-0.29399999999999998</v>
          </cell>
          <cell r="F93">
            <v>-0.88</v>
          </cell>
          <cell r="CH93">
            <v>838029</v>
          </cell>
          <cell r="CI93" t="str">
            <v>PERU INT C/M S/TEMP CONG 6-7 KG</v>
          </cell>
          <cell r="CJ93">
            <v>1614</v>
          </cell>
          <cell r="CK93">
            <v>1.7578</v>
          </cell>
          <cell r="CL93">
            <v>2837.02</v>
          </cell>
        </row>
        <row r="94">
          <cell r="A94">
            <v>222070</v>
          </cell>
          <cell r="B94" t="str">
            <v>SIT005 SALAME ITALIANO EXT CX 5KG</v>
          </cell>
          <cell r="C94">
            <v>8.6609999999999996</v>
          </cell>
          <cell r="D94">
            <v>6.4160000000000004</v>
          </cell>
          <cell r="E94">
            <v>-0.187</v>
          </cell>
          <cell r="F94">
            <v>-1.014</v>
          </cell>
          <cell r="CH94">
            <v>838030</v>
          </cell>
          <cell r="CI94" t="str">
            <v>PERU INT C/M S/TEMP CONG 7-9 KG</v>
          </cell>
          <cell r="CJ94">
            <v>7415</v>
          </cell>
          <cell r="CK94">
            <v>1.7529999999999999</v>
          </cell>
          <cell r="CL94">
            <v>12998.4</v>
          </cell>
        </row>
        <row r="95">
          <cell r="A95">
            <v>222186</v>
          </cell>
          <cell r="B95" t="str">
            <v>SIP005 SALAME ITALIANO CACULA CX 5KG</v>
          </cell>
          <cell r="C95">
            <v>8.2330000000000005</v>
          </cell>
          <cell r="D95">
            <v>6.1319999999999997</v>
          </cell>
          <cell r="E95">
            <v>-0.19600000000000001</v>
          </cell>
          <cell r="F95">
            <v>-0.97300000000000009</v>
          </cell>
          <cell r="CH95">
            <v>838031</v>
          </cell>
          <cell r="CI95" t="str">
            <v>PERU INT C/M S/TEMP CONG 9-1 KG</v>
          </cell>
          <cell r="CJ95">
            <v>18103</v>
          </cell>
          <cell r="CK95">
            <v>1.7020999999999999</v>
          </cell>
          <cell r="CL95">
            <v>30812.41</v>
          </cell>
        </row>
        <row r="96">
          <cell r="A96">
            <v>222259</v>
          </cell>
          <cell r="B96" t="str">
            <v>SMT005 SALAME MILANO EXTRA CX 5KG</v>
          </cell>
          <cell r="C96">
            <v>8.7100000000000009</v>
          </cell>
          <cell r="D96">
            <v>6.4779999999999998</v>
          </cell>
          <cell r="E96">
            <v>-0.20200000000000001</v>
          </cell>
          <cell r="F96">
            <v>-1.0309999999999999</v>
          </cell>
          <cell r="CH96">
            <v>838032</v>
          </cell>
          <cell r="CI96" t="str">
            <v>PERU INT C/M S/TEMP CONG 11- KG</v>
          </cell>
          <cell r="CJ96">
            <v>2181.9</v>
          </cell>
          <cell r="CK96">
            <v>1.6722999999999999</v>
          </cell>
          <cell r="CL96">
            <v>3648.75</v>
          </cell>
        </row>
        <row r="97">
          <cell r="A97">
            <v>222305</v>
          </cell>
          <cell r="B97" t="str">
            <v>SMC005 SALAME MILANO CAC CX 5KG</v>
          </cell>
          <cell r="C97">
            <v>8.6940000000000008</v>
          </cell>
          <cell r="D97">
            <v>6.4980000000000002</v>
          </cell>
          <cell r="E97">
            <v>-0.193</v>
          </cell>
          <cell r="F97">
            <v>-1.0129999999999999</v>
          </cell>
          <cell r="CH97">
            <v>50200100</v>
          </cell>
          <cell r="CI97" t="str">
            <v>2007 - PERU CORTES</v>
          </cell>
          <cell r="CJ97">
            <v>545250</v>
          </cell>
          <cell r="CK97">
            <v>3.7195999999999998</v>
          </cell>
          <cell r="CL97">
            <v>2028100.54</v>
          </cell>
        </row>
        <row r="98">
          <cell r="A98">
            <v>222798</v>
          </cell>
          <cell r="B98" t="str">
            <v>SHO005 SALAMINHO CX 5KG</v>
          </cell>
          <cell r="C98">
            <v>8.7669999999999995</v>
          </cell>
          <cell r="D98">
            <v>6.62</v>
          </cell>
          <cell r="E98">
            <v>-0.17599999999999999</v>
          </cell>
          <cell r="F98">
            <v>-0.99900000000000011</v>
          </cell>
          <cell r="CH98">
            <v>50200100</v>
          </cell>
          <cell r="CI98" t="str">
            <v>2007001 - PERU CORTES PEITO</v>
          </cell>
          <cell r="CJ98">
            <v>520950</v>
          </cell>
          <cell r="CK98">
            <v>3.7988</v>
          </cell>
          <cell r="CL98">
            <v>1978995.01</v>
          </cell>
        </row>
        <row r="99">
          <cell r="A99">
            <v>223131</v>
          </cell>
          <cell r="B99" t="str">
            <v>PMA017 PRESUNTO CRU ITAL PARMA CX 14,5KG</v>
          </cell>
          <cell r="C99">
            <v>3.968</v>
          </cell>
          <cell r="D99">
            <v>3.0640000000000001</v>
          </cell>
          <cell r="E99">
            <v>-0.67500000000000004</v>
          </cell>
          <cell r="F99">
            <v>-0.46900000000000008</v>
          </cell>
          <cell r="CH99">
            <v>827035</v>
          </cell>
          <cell r="CI99" t="str">
            <v>PEITO S/OPC C/F PERU CONG ME KG</v>
          </cell>
          <cell r="CJ99">
            <v>14860</v>
          </cell>
          <cell r="CK99">
            <v>3.8508</v>
          </cell>
          <cell r="CL99">
            <v>57222.82</v>
          </cell>
        </row>
        <row r="100">
          <cell r="A100">
            <v>256498</v>
          </cell>
          <cell r="B100" t="str">
            <v>PHM005 PEITO DEF CHEST MINI CX 5,3KG</v>
          </cell>
          <cell r="C100">
            <v>6.923</v>
          </cell>
          <cell r="D100">
            <v>5.1769999999999996</v>
          </cell>
          <cell r="E100">
            <v>-0.224</v>
          </cell>
          <cell r="F100">
            <v>-0.83600000000000008</v>
          </cell>
          <cell r="CH100">
            <v>827047</v>
          </cell>
          <cell r="CI100" t="str">
            <v>PEITO S/OPC C/F PERU CONG ME KG</v>
          </cell>
          <cell r="CJ100">
            <v>23730</v>
          </cell>
          <cell r="CK100">
            <v>3.7791000000000001</v>
          </cell>
          <cell r="CL100">
            <v>89677.15</v>
          </cell>
        </row>
        <row r="101">
          <cell r="A101">
            <v>256501</v>
          </cell>
          <cell r="B101" t="str">
            <v>CGM005 CHESTER GEORGIA MINI CX 5,6KG</v>
          </cell>
          <cell r="C101">
            <v>6.8140000000000001</v>
          </cell>
          <cell r="D101">
            <v>5.0990000000000002</v>
          </cell>
          <cell r="E101">
            <v>-0.23100000000000001</v>
          </cell>
          <cell r="F101">
            <v>-0.80400000000000005</v>
          </cell>
          <cell r="CH101">
            <v>827056</v>
          </cell>
          <cell r="CI101" t="str">
            <v>PEITO S/OPC C/F PERU CONG ME KG</v>
          </cell>
          <cell r="CJ101">
            <v>23745</v>
          </cell>
          <cell r="CK101">
            <v>4.0244</v>
          </cell>
          <cell r="CL101">
            <v>95558.37</v>
          </cell>
        </row>
        <row r="102">
          <cell r="A102">
            <v>256510</v>
          </cell>
          <cell r="B102" t="str">
            <v>CLM005 CHESTER LANCHE MINI CX 5,3KG</v>
          </cell>
          <cell r="C102">
            <v>4.7709999999999999</v>
          </cell>
          <cell r="D102">
            <v>3.5859999999999999</v>
          </cell>
          <cell r="E102">
            <v>-0.222</v>
          </cell>
          <cell r="F102">
            <v>-0.59799999999999998</v>
          </cell>
          <cell r="CH102">
            <v>827062</v>
          </cell>
          <cell r="CI102" t="str">
            <v>PEITO S/OPC C/F PERU CONG ME KG</v>
          </cell>
          <cell r="CJ102">
            <v>306615</v>
          </cell>
          <cell r="CK102">
            <v>3.7706</v>
          </cell>
          <cell r="CL102">
            <v>1156111.01</v>
          </cell>
        </row>
        <row r="103">
          <cell r="A103">
            <v>318078</v>
          </cell>
          <cell r="B103" t="str">
            <v>CEP005 COPA EXTRA CX 5KG</v>
          </cell>
          <cell r="C103">
            <v>12.134</v>
          </cell>
          <cell r="D103">
            <v>9.0299999999999994</v>
          </cell>
          <cell r="E103">
            <v>-0.19</v>
          </cell>
          <cell r="F103">
            <v>-1.395</v>
          </cell>
          <cell r="CH103">
            <v>827064</v>
          </cell>
          <cell r="CI103" t="str">
            <v>PEITO S/OPC C/F PERU CONG ME KG</v>
          </cell>
          <cell r="CJ103">
            <v>0</v>
          </cell>
          <cell r="CK103">
            <v>0</v>
          </cell>
          <cell r="CL103">
            <v>0</v>
          </cell>
        </row>
        <row r="104">
          <cell r="A104">
            <v>318086</v>
          </cell>
          <cell r="B104" t="str">
            <v>GLP020 GLANDULA PANC SUI CONG CX 20KG</v>
          </cell>
          <cell r="C104">
            <v>2.0859999999999999</v>
          </cell>
          <cell r="D104">
            <v>1.758</v>
          </cell>
          <cell r="E104">
            <v>0</v>
          </cell>
          <cell r="F104">
            <v>0</v>
          </cell>
          <cell r="CH104">
            <v>834673</v>
          </cell>
          <cell r="CI104" t="str">
            <v>PEITO S/OPC C/F PERU 2000G/U KG</v>
          </cell>
          <cell r="CJ104">
            <v>24555</v>
          </cell>
          <cell r="CK104">
            <v>3.9655999999999998</v>
          </cell>
          <cell r="CL104">
            <v>97374.91</v>
          </cell>
        </row>
        <row r="105">
          <cell r="A105">
            <v>340278</v>
          </cell>
          <cell r="B105" t="str">
            <v>LCO820 LING MISTA DEF 8PT CX 20KG</v>
          </cell>
          <cell r="C105">
            <v>3.0859999999999999</v>
          </cell>
          <cell r="D105">
            <v>2.5510000000000002</v>
          </cell>
          <cell r="E105">
            <v>-0.158</v>
          </cell>
          <cell r="F105">
            <v>-0.38200000000000001</v>
          </cell>
          <cell r="CH105">
            <v>836592</v>
          </cell>
          <cell r="CI105" t="str">
            <v>PEITO PERU S/OPC MET 1200-25 KG</v>
          </cell>
          <cell r="CJ105">
            <v>103880</v>
          </cell>
          <cell r="CK105">
            <v>3.7526999999999999</v>
          </cell>
          <cell r="CL105">
            <v>389832.18</v>
          </cell>
        </row>
        <row r="106">
          <cell r="A106">
            <v>340308</v>
          </cell>
          <cell r="B106" t="str">
            <v>CNA009 CODORNA CONG PERD 15CART CX9,75KG</v>
          </cell>
          <cell r="C106">
            <v>6.2910000000000004</v>
          </cell>
          <cell r="D106">
            <v>5.5090000000000003</v>
          </cell>
          <cell r="E106">
            <v>-0.26</v>
          </cell>
          <cell r="F106">
            <v>-0.86299999999999999</v>
          </cell>
          <cell r="CH106">
            <v>837799</v>
          </cell>
          <cell r="CI106" t="str">
            <v>PEITO S/OPC C/F PERU CONG 50 KG</v>
          </cell>
          <cell r="CJ106">
            <v>4170</v>
          </cell>
          <cell r="CK106">
            <v>3.9584999999999999</v>
          </cell>
          <cell r="CL106">
            <v>16506.89</v>
          </cell>
        </row>
        <row r="107">
          <cell r="A107">
            <v>340545</v>
          </cell>
          <cell r="B107" t="str">
            <v>CRT010 CARRE BISTECA SUI CONG CX 10KG</v>
          </cell>
          <cell r="C107">
            <v>3.8570000000000002</v>
          </cell>
          <cell r="D107">
            <v>3.4249999999999998</v>
          </cell>
          <cell r="E107">
            <v>-0.21299999999999999</v>
          </cell>
          <cell r="F107">
            <v>-0.61399999999999999</v>
          </cell>
          <cell r="CH107">
            <v>838010</v>
          </cell>
          <cell r="CI107" t="str">
            <v>PEITO S/OPC C/F PERU CONG 50 KG</v>
          </cell>
          <cell r="CJ107">
            <v>13995</v>
          </cell>
          <cell r="CK107">
            <v>4.0096999999999996</v>
          </cell>
          <cell r="CL107">
            <v>56116.1</v>
          </cell>
        </row>
        <row r="108">
          <cell r="A108">
            <v>342416</v>
          </cell>
          <cell r="B108" t="str">
            <v>AFT015 ASA 2A JTA FGO PERD 15PT CX 15KG</v>
          </cell>
          <cell r="C108">
            <v>1.744</v>
          </cell>
          <cell r="D108">
            <v>1.554</v>
          </cell>
          <cell r="E108">
            <v>-0.14799999999999999</v>
          </cell>
          <cell r="F108">
            <v>-0.22399999999999998</v>
          </cell>
          <cell r="CH108">
            <v>838022</v>
          </cell>
          <cell r="CI108" t="str">
            <v>PEITO S/OPC C/F PERU CONG 20 KG</v>
          </cell>
          <cell r="CJ108">
            <v>5400</v>
          </cell>
          <cell r="CK108">
            <v>3.8140000000000001</v>
          </cell>
          <cell r="CL108">
            <v>20595.580000000002</v>
          </cell>
        </row>
        <row r="109">
          <cell r="A109">
            <v>356735</v>
          </cell>
          <cell r="B109" t="str">
            <v>MBB008 MORTADELA BOLONHA BEX PERD CX 8KG</v>
          </cell>
          <cell r="C109">
            <v>3.052</v>
          </cell>
          <cell r="D109">
            <v>2.5230000000000001</v>
          </cell>
          <cell r="E109">
            <v>-0.15</v>
          </cell>
          <cell r="F109">
            <v>-0.40199999999999997</v>
          </cell>
          <cell r="CH109">
            <v>838776</v>
          </cell>
          <cell r="CI109" t="str">
            <v>PEITO PERU S/OPC C/F CONG 50 KG</v>
          </cell>
          <cell r="CJ109">
            <v>0</v>
          </cell>
          <cell r="CK109">
            <v>0</v>
          </cell>
          <cell r="CL109">
            <v>0</v>
          </cell>
        </row>
        <row r="110">
          <cell r="A110">
            <v>359092</v>
          </cell>
          <cell r="B110" t="str">
            <v>COC010 COSTELA SUI CONG PERD CX 10KG</v>
          </cell>
          <cell r="C110">
            <v>3.5009999999999999</v>
          </cell>
          <cell r="D110">
            <v>3.1280000000000001</v>
          </cell>
          <cell r="E110">
            <v>-0.16900000000000001</v>
          </cell>
          <cell r="F110">
            <v>-0.55000000000000004</v>
          </cell>
          <cell r="CH110">
            <v>50200100</v>
          </cell>
          <cell r="CI110" t="str">
            <v>2007002 - PERU CORTES COXA</v>
          </cell>
          <cell r="CJ110">
            <v>24300</v>
          </cell>
          <cell r="CK110">
            <v>2.0207999999999999</v>
          </cell>
          <cell r="CL110">
            <v>49105.53</v>
          </cell>
        </row>
        <row r="111">
          <cell r="A111">
            <v>361399</v>
          </cell>
          <cell r="B111" t="str">
            <v>CNA001 CODORNA INDUSTRIAL CX 16KG</v>
          </cell>
          <cell r="C111">
            <v>3.5409999999999999</v>
          </cell>
          <cell r="D111">
            <v>3.1509999999999998</v>
          </cell>
          <cell r="E111">
            <v>-3.7999999999999999E-2</v>
          </cell>
          <cell r="F111">
            <v>-0.6110000000000001</v>
          </cell>
          <cell r="CH111">
            <v>827656</v>
          </cell>
          <cell r="CI111" t="str">
            <v>SOBRECOXA S/OP PERU CONG BL  KG</v>
          </cell>
          <cell r="CJ111">
            <v>24300</v>
          </cell>
          <cell r="CK111">
            <v>2.0207999999999999</v>
          </cell>
          <cell r="CL111">
            <v>49105.53</v>
          </cell>
        </row>
        <row r="112">
          <cell r="A112">
            <v>363820</v>
          </cell>
          <cell r="B112" t="str">
            <v>PRM005 PRESUNTO CRU ITAL S/O CX 5KG</v>
          </cell>
          <cell r="C112">
            <v>17.350000000000001</v>
          </cell>
          <cell r="D112">
            <v>12.893000000000001</v>
          </cell>
          <cell r="E112">
            <v>-0.218</v>
          </cell>
          <cell r="F112">
            <v>-1.9270000000000003</v>
          </cell>
          <cell r="CH112">
            <v>50200100</v>
          </cell>
          <cell r="CI112" t="str">
            <v>2008 - PERU MIUDOS</v>
          </cell>
          <cell r="CJ112">
            <v>15522</v>
          </cell>
          <cell r="CK112">
            <v>0.29049999999999998</v>
          </cell>
          <cell r="CL112">
            <v>4508.9399999999996</v>
          </cell>
        </row>
        <row r="113">
          <cell r="A113">
            <v>376124</v>
          </cell>
          <cell r="B113" t="str">
            <v>CHK001 CHUKAR CONG PERD INDUSTRIAL CX16K</v>
          </cell>
          <cell r="C113">
            <v>6.5209999999999999</v>
          </cell>
          <cell r="D113">
            <v>5.8230000000000004</v>
          </cell>
          <cell r="E113">
            <v>-4.5999999999999999E-2</v>
          </cell>
          <cell r="F113">
            <v>-1.0130000000000001</v>
          </cell>
          <cell r="CH113">
            <v>827272</v>
          </cell>
          <cell r="CI113" t="str">
            <v>FIGADO PERU CONG BL 13KG BAT KG</v>
          </cell>
          <cell r="CJ113">
            <v>15522</v>
          </cell>
          <cell r="CK113">
            <v>0.29049999999999998</v>
          </cell>
          <cell r="CL113">
            <v>4508.9399999999996</v>
          </cell>
        </row>
        <row r="114">
          <cell r="A114">
            <v>382914</v>
          </cell>
          <cell r="B114" t="str">
            <v>CHT024 CHESTER INT CONG PERD CX 24 KG</v>
          </cell>
          <cell r="C114">
            <v>3.5287000000000002</v>
          </cell>
          <cell r="D114">
            <v>2.9142999999999999</v>
          </cell>
          <cell r="E114">
            <v>-0.29409999999999997</v>
          </cell>
          <cell r="F114">
            <v>-0.40210000000000001</v>
          </cell>
          <cell r="CH114" t="str">
            <v>0502002 -</v>
          </cell>
          <cell r="CI114" t="str">
            <v>EXTREMO ORIENTE</v>
          </cell>
          <cell r="CJ114">
            <v>437205.4</v>
          </cell>
          <cell r="CK114">
            <v>2.0222000000000002</v>
          </cell>
          <cell r="CL114">
            <v>884110.37</v>
          </cell>
        </row>
        <row r="115">
          <cell r="A115">
            <v>386294</v>
          </cell>
          <cell r="B115" t="str">
            <v>GAR000 GARRAO SUI RESF PERD CX 25KG</v>
          </cell>
          <cell r="C115">
            <v>2.6789999999999998</v>
          </cell>
          <cell r="D115">
            <v>2.2559999999999998</v>
          </cell>
          <cell r="E115">
            <v>-3.4000000000000002E-2</v>
          </cell>
          <cell r="F115">
            <v>-0.35699999999999998</v>
          </cell>
          <cell r="CH115">
            <v>50200200</v>
          </cell>
          <cell r="CI115" t="str">
            <v>1 - IN NATURA</v>
          </cell>
          <cell r="CJ115">
            <v>437205.4</v>
          </cell>
          <cell r="CK115">
            <v>2.0222000000000002</v>
          </cell>
          <cell r="CL115">
            <v>884110.37</v>
          </cell>
        </row>
        <row r="116">
          <cell r="A116">
            <v>391034</v>
          </cell>
          <cell r="B116" t="str">
            <v>LCP820 LING CALAB CUR PERD 8PT CX 20KG</v>
          </cell>
          <cell r="C116">
            <v>3.1970000000000001</v>
          </cell>
          <cell r="D116">
            <v>2.6259999999999999</v>
          </cell>
          <cell r="E116">
            <v>-0.21199999999999999</v>
          </cell>
          <cell r="F116">
            <v>-0.46199999999999997</v>
          </cell>
          <cell r="CH116">
            <v>50200200</v>
          </cell>
          <cell r="CI116" t="str">
            <v>1001 - FRANGO INTEIRO</v>
          </cell>
          <cell r="CJ116">
            <v>10256.4</v>
          </cell>
          <cell r="CK116">
            <v>1.6035999999999999</v>
          </cell>
          <cell r="CL116">
            <v>16447.21</v>
          </cell>
        </row>
        <row r="117">
          <cell r="A117">
            <v>454087</v>
          </cell>
          <cell r="B117" t="str">
            <v>SLP005 SALSICHAO CX 5KG</v>
          </cell>
          <cell r="C117">
            <v>3.1909999999999998</v>
          </cell>
          <cell r="D117">
            <v>2.4940000000000002</v>
          </cell>
          <cell r="E117">
            <v>-0.13900000000000001</v>
          </cell>
          <cell r="F117">
            <v>-0.46900000000000003</v>
          </cell>
          <cell r="CH117">
            <v>50200200</v>
          </cell>
          <cell r="CI117" t="str">
            <v>1001001 - FRANGO INTEIRO GRILL</v>
          </cell>
          <cell r="CJ117">
            <v>10256.4</v>
          </cell>
          <cell r="CK117">
            <v>1.6035999999999999</v>
          </cell>
          <cell r="CL117">
            <v>16447.21</v>
          </cell>
        </row>
        <row r="118">
          <cell r="A118">
            <v>456101</v>
          </cell>
          <cell r="B118" t="str">
            <v>CHK006 CHUKAR CONG PERD 15 CART 650G</v>
          </cell>
          <cell r="C118">
            <v>9.7010000000000005</v>
          </cell>
          <cell r="D118">
            <v>8.5069999999999997</v>
          </cell>
          <cell r="E118">
            <v>-0.21199999999999999</v>
          </cell>
          <cell r="F118">
            <v>-1.335</v>
          </cell>
          <cell r="CH118">
            <v>657379</v>
          </cell>
          <cell r="CI118" t="str">
            <v>FRANGO GRILLER 700G CONG PER KG</v>
          </cell>
          <cell r="CJ118">
            <v>1176</v>
          </cell>
          <cell r="CK118">
            <v>1.6099000000000001</v>
          </cell>
          <cell r="CL118">
            <v>1893.29</v>
          </cell>
        </row>
        <row r="119">
          <cell r="A119">
            <v>475386</v>
          </cell>
          <cell r="B119" t="str">
            <v>MCB008 MORTADELA CONF BEX 2PC CX 8KG</v>
          </cell>
          <cell r="C119">
            <v>2.6429999999999998</v>
          </cell>
          <cell r="D119">
            <v>2.1339999999999999</v>
          </cell>
          <cell r="E119">
            <v>-0.21199999999999999</v>
          </cell>
          <cell r="F119">
            <v>-0.32300000000000006</v>
          </cell>
          <cell r="CH119">
            <v>657387</v>
          </cell>
          <cell r="CI119" t="str">
            <v>FRANGO GRILLER 750G CONG PER KG</v>
          </cell>
          <cell r="CJ119">
            <v>324</v>
          </cell>
          <cell r="CK119">
            <v>1.6406000000000001</v>
          </cell>
          <cell r="CL119">
            <v>531.55999999999995</v>
          </cell>
        </row>
        <row r="120">
          <cell r="A120">
            <v>487171</v>
          </cell>
          <cell r="B120" t="str">
            <v>PFM015 PEITO S/OPF MET (G) ITF CX 15KG</v>
          </cell>
          <cell r="C120">
            <v>4.0199999999999996</v>
          </cell>
          <cell r="D120">
            <v>3.52</v>
          </cell>
          <cell r="E120">
            <v>-0.24099999999999999</v>
          </cell>
          <cell r="F120">
            <v>-0.21099999999999999</v>
          </cell>
          <cell r="CH120">
            <v>657395</v>
          </cell>
          <cell r="CI120" t="str">
            <v>FRANGO GRILLER 800G CONG PER KG</v>
          </cell>
          <cell r="CJ120">
            <v>1267.2</v>
          </cell>
          <cell r="CK120">
            <v>1.5901000000000001</v>
          </cell>
          <cell r="CL120">
            <v>2014.96</v>
          </cell>
        </row>
        <row r="121">
          <cell r="A121">
            <v>503657</v>
          </cell>
          <cell r="B121" t="str">
            <v>FPI116 FILE PEITO C/TEND FGO CX 16KG</v>
          </cell>
          <cell r="C121">
            <v>3.907</v>
          </cell>
          <cell r="D121">
            <v>3.4329999999999998</v>
          </cell>
          <cell r="E121">
            <v>-0.20399999999999999</v>
          </cell>
          <cell r="F121">
            <v>-0.19900000000000001</v>
          </cell>
          <cell r="CH121">
            <v>657409</v>
          </cell>
          <cell r="CI121" t="str">
            <v>FRANGO GRILLER 850G CONG PER KG</v>
          </cell>
          <cell r="CJ121">
            <v>6793.2</v>
          </cell>
          <cell r="CK121">
            <v>1.6033999999999999</v>
          </cell>
          <cell r="CL121">
            <v>10891.92</v>
          </cell>
        </row>
        <row r="122">
          <cell r="A122">
            <v>530476</v>
          </cell>
          <cell r="B122" t="str">
            <v>CGA007 CHESTER GEORGIA CX 7,5KG</v>
          </cell>
          <cell r="C122">
            <v>5.9640000000000004</v>
          </cell>
          <cell r="D122">
            <v>4.4359999999999999</v>
          </cell>
          <cell r="E122">
            <v>-0.23100000000000001</v>
          </cell>
          <cell r="F122">
            <v>-0.73099999999999998</v>
          </cell>
          <cell r="CH122">
            <v>657298</v>
          </cell>
          <cell r="CI122" t="str">
            <v>COXA SOB C/OP FGO CONG 140-1</v>
          </cell>
          <cell r="CJ122">
            <v>12736</v>
          </cell>
          <cell r="CK122">
            <v>1.7221</v>
          </cell>
          <cell r="CL122">
            <v>21932.12</v>
          </cell>
        </row>
        <row r="123">
          <cell r="A123">
            <v>544582</v>
          </cell>
          <cell r="B123" t="str">
            <v>CSB015 COXA/SOBR SO CP ITF PERD CX 15KG</v>
          </cell>
          <cell r="C123">
            <v>3.0190000000000001</v>
          </cell>
          <cell r="D123">
            <v>2.6760000000000002</v>
          </cell>
          <cell r="E123">
            <v>-0.20899999999999999</v>
          </cell>
          <cell r="F123">
            <v>-0.17099999999999993</v>
          </cell>
          <cell r="CH123" t="str">
            <v>EMPRESAS</v>
          </cell>
          <cell r="CI123" t="str">
            <v>PERDIGÃO</v>
          </cell>
          <cell r="CJ123">
            <v>3568</v>
          </cell>
          <cell r="CK123">
            <v>1.7452000000000001</v>
          </cell>
          <cell r="CL123">
            <v>6226.79</v>
          </cell>
        </row>
        <row r="124">
          <cell r="A124">
            <v>552631</v>
          </cell>
          <cell r="B124" t="str">
            <v>CHT025 CHESTER INT CONG PERD CX 25 KG</v>
          </cell>
          <cell r="C124">
            <v>3.5398999999999998</v>
          </cell>
          <cell r="D124">
            <v>2.9230999999999998</v>
          </cell>
          <cell r="E124">
            <v>-0.2833</v>
          </cell>
          <cell r="F124">
            <v>-0.3886</v>
          </cell>
          <cell r="CH124" t="str">
            <v>Z611021 -</v>
          </cell>
          <cell r="CI124" t="str">
            <v>COXA SOB C/OP FGO CONG 160-1</v>
          </cell>
          <cell r="CJ124">
            <v>22768</v>
          </cell>
          <cell r="CK124">
            <v>1.6960999999999999</v>
          </cell>
          <cell r="CL124">
            <v>38616.86</v>
          </cell>
        </row>
        <row r="125">
          <cell r="A125">
            <v>555444</v>
          </cell>
          <cell r="B125" t="str">
            <v>PFM010 PEITO S/OPFC MET ITF PERD CX 10KG</v>
          </cell>
          <cell r="C125">
            <v>3.9489999999999998</v>
          </cell>
          <cell r="D125">
            <v>3.5179999999999998</v>
          </cell>
          <cell r="E125">
            <v>-0.21099999999999999</v>
          </cell>
          <cell r="F125">
            <v>-0.215</v>
          </cell>
          <cell r="CH125" t="str">
            <v>Moeda: RE</v>
          </cell>
          <cell r="CI125" t="str">
            <v>AL</v>
          </cell>
          <cell r="CJ125">
            <v>5520</v>
          </cell>
          <cell r="CK125">
            <v>1.7435</v>
          </cell>
          <cell r="CL125">
            <v>9624.27</v>
          </cell>
        </row>
        <row r="126">
          <cell r="A126">
            <v>559881</v>
          </cell>
          <cell r="B126" t="str">
            <v>MCM006 MORTADELA CONF MINI CX 6KG</v>
          </cell>
          <cell r="C126">
            <v>1.9330000000000001</v>
          </cell>
          <cell r="D126">
            <v>1.5880000000000001</v>
          </cell>
          <cell r="E126">
            <v>-0.21</v>
          </cell>
          <cell r="F126">
            <v>-0.30399999999999999</v>
          </cell>
          <cell r="CH126">
            <v>657336</v>
          </cell>
          <cell r="CI126" t="str">
            <v>COXA SOB C/OP FGO CONG 200-2</v>
          </cell>
          <cell r="CJ126">
            <v>6848</v>
          </cell>
          <cell r="CK126">
            <v>1.5984</v>
          </cell>
          <cell r="CL126">
            <v>10945.9</v>
          </cell>
        </row>
        <row r="127">
          <cell r="A127">
            <v>562130</v>
          </cell>
          <cell r="B127" t="str">
            <v>PFI012 PATE FIGADO PERD 24 POTES 130G</v>
          </cell>
          <cell r="C127">
            <v>8.0169999999999995</v>
          </cell>
          <cell r="D127">
            <v>6.0369999999999999</v>
          </cell>
          <cell r="E127">
            <v>-0.24199999999999999</v>
          </cell>
          <cell r="F127">
            <v>-0.90899999999999981</v>
          </cell>
          <cell r="CH127" t="str">
            <v>Relatório</v>
          </cell>
          <cell r="CI127" t="str">
            <v>das Entradas</v>
          </cell>
          <cell r="CJ127">
            <v>3472</v>
          </cell>
          <cell r="CK127">
            <v>1.7876000000000001</v>
          </cell>
          <cell r="CL127">
            <v>6206.52</v>
          </cell>
        </row>
        <row r="128">
          <cell r="A128">
            <v>562157</v>
          </cell>
          <cell r="B128" t="str">
            <v>PPR012 PATE PRESUNTO PERD 24 POTES 130G</v>
          </cell>
          <cell r="C128">
            <v>7.8949999999999996</v>
          </cell>
          <cell r="D128">
            <v>5.9829999999999997</v>
          </cell>
          <cell r="E128">
            <v>-0.24</v>
          </cell>
          <cell r="F128">
            <v>-0.90100000000000025</v>
          </cell>
          <cell r="CH128" t="str">
            <v>Período:</v>
          </cell>
          <cell r="CI128" t="str">
            <v>10.2001  a</v>
          </cell>
          <cell r="CJ128">
            <v>9376</v>
          </cell>
          <cell r="CK128" t="str">
            <v>Centro : 350</v>
          </cell>
          <cell r="CL128" t="e">
            <v>#NAME?</v>
          </cell>
        </row>
        <row r="129">
          <cell r="A129">
            <v>586617</v>
          </cell>
          <cell r="B129" t="str">
            <v>FEG016 FRANGO C/M G CONG PERD CX 16KG</v>
          </cell>
          <cell r="C129">
            <v>1.536</v>
          </cell>
          <cell r="D129">
            <v>1.3680000000000001</v>
          </cell>
          <cell r="E129">
            <v>-0.1</v>
          </cell>
          <cell r="F129">
            <v>-0.13400000000000001</v>
          </cell>
          <cell r="CH129">
            <v>826984</v>
          </cell>
          <cell r="CI129" t="str">
            <v>COXA SOB C/OP FGO CONG 160-1</v>
          </cell>
          <cell r="CJ129">
            <v>14928</v>
          </cell>
          <cell r="CK129">
            <v>1.7304999999999999</v>
          </cell>
          <cell r="CL129">
            <v>25832.7</v>
          </cell>
        </row>
        <row r="130">
          <cell r="A130">
            <v>586625</v>
          </cell>
          <cell r="B130" t="str">
            <v>FEM016 FRANGO C/M M CONG PERD CX 16KG</v>
          </cell>
          <cell r="C130">
            <v>1.603</v>
          </cell>
          <cell r="D130">
            <v>1.431</v>
          </cell>
          <cell r="E130">
            <v>-9.2999999999999999E-2</v>
          </cell>
          <cell r="F130">
            <v>-0.11599999999999999</v>
          </cell>
          <cell r="CH130">
            <v>826985</v>
          </cell>
          <cell r="CI130" t="str">
            <v>COXA SOB C/OP FGO CONG 180-2</v>
          </cell>
          <cell r="CJ130">
            <v>11360</v>
          </cell>
          <cell r="CK130" t="str">
            <v>Produção</v>
          </cell>
          <cell r="CL130">
            <v>18513.96</v>
          </cell>
        </row>
        <row r="131">
          <cell r="A131">
            <v>588385</v>
          </cell>
          <cell r="B131" t="str">
            <v>FAI008 FAISAO CONG PERD 5 BDJ CX 5KG</v>
          </cell>
          <cell r="C131">
            <v>15.068</v>
          </cell>
          <cell r="D131">
            <v>13.302</v>
          </cell>
          <cell r="E131">
            <v>-0.22900000000000001</v>
          </cell>
          <cell r="F131">
            <v>-2.0150000000000001</v>
          </cell>
          <cell r="CH131" t="str">
            <v>Código De</v>
          </cell>
          <cell r="CI131" t="str">
            <v>scrição                      UM</v>
          </cell>
          <cell r="CJ131" t="str">
            <v>Qtde</v>
          </cell>
          <cell r="CK131" t="str">
            <v>Unitário</v>
          </cell>
          <cell r="CL131" t="str">
            <v>Vl. Total</v>
          </cell>
        </row>
        <row r="132">
          <cell r="A132">
            <v>597520</v>
          </cell>
          <cell r="B132" t="str">
            <v>LFD010 LING CALAB FAT PT 2KG CX 10KG</v>
          </cell>
          <cell r="C132">
            <v>4.319</v>
          </cell>
          <cell r="D132">
            <v>3.4239999999999999</v>
          </cell>
          <cell r="E132">
            <v>-0.20599999999999999</v>
          </cell>
          <cell r="F132">
            <v>-0.59399999999999997</v>
          </cell>
          <cell r="CH132">
            <v>657441</v>
          </cell>
          <cell r="CI132" t="str">
            <v>FRANGO GRILLER 1200G CONG PE KG</v>
          </cell>
          <cell r="CJ132">
            <v>696</v>
          </cell>
          <cell r="CK132">
            <v>1.6027</v>
          </cell>
          <cell r="CL132">
            <v>1115.48</v>
          </cell>
        </row>
        <row r="133">
          <cell r="A133">
            <v>605786</v>
          </cell>
          <cell r="B133" t="str">
            <v>HFG020 HAMBURGUER FGO PERD 36PC CX2,02KG</v>
          </cell>
          <cell r="C133">
            <v>2.625</v>
          </cell>
          <cell r="D133">
            <v>2.0289999999999999</v>
          </cell>
          <cell r="E133">
            <v>-0.20200000000000001</v>
          </cell>
          <cell r="F133">
            <v>-0.33099999999999996</v>
          </cell>
          <cell r="CH133">
            <v>50200200</v>
          </cell>
          <cell r="CI133" t="str">
            <v>1002 - FRANGO CORTES</v>
          </cell>
          <cell r="CJ133">
            <v>226269</v>
          </cell>
          <cell r="CK133">
            <v>1.3076000000000001</v>
          </cell>
          <cell r="CL133">
            <v>295880.64</v>
          </cell>
        </row>
        <row r="134">
          <cell r="A134">
            <v>605794</v>
          </cell>
          <cell r="B134" t="str">
            <v>HBV020 HAMBURGUER BOV PERD 36PC</v>
          </cell>
          <cell r="C134">
            <v>2.8050000000000002</v>
          </cell>
          <cell r="D134">
            <v>2.1589999999999998</v>
          </cell>
          <cell r="E134">
            <v>-0.26300000000000001</v>
          </cell>
          <cell r="F134">
            <v>-0.374</v>
          </cell>
          <cell r="CH134">
            <v>50200200</v>
          </cell>
          <cell r="CI134" t="str">
            <v>1002002 - FRANGO CORT COXA C/O</v>
          </cell>
          <cell r="CJ134">
            <v>126816</v>
          </cell>
          <cell r="CK134">
            <v>1.6712</v>
          </cell>
          <cell r="CL134">
            <v>211934.47</v>
          </cell>
        </row>
        <row r="135">
          <cell r="A135">
            <v>612952</v>
          </cell>
          <cell r="B135" t="str">
            <v>RHD005 CARNE DEF CHESTER (ROLL) CX 4,8KG</v>
          </cell>
          <cell r="C135">
            <v>5.6150000000000002</v>
          </cell>
          <cell r="D135">
            <v>4.1769999999999996</v>
          </cell>
          <cell r="E135">
            <v>-0.23200000000000001</v>
          </cell>
          <cell r="F135">
            <v>-0.69499999999999995</v>
          </cell>
          <cell r="CH135">
            <v>657298</v>
          </cell>
          <cell r="CI135" t="str">
            <v>COXA SOB C/OP FGO CONG 140-1 KG</v>
          </cell>
          <cell r="CJ135">
            <v>10944</v>
          </cell>
          <cell r="CK135">
            <v>1.6906000000000001</v>
          </cell>
          <cell r="CL135">
            <v>18501.79</v>
          </cell>
        </row>
        <row r="136">
          <cell r="A136">
            <v>614041</v>
          </cell>
          <cell r="B136" t="str">
            <v>CXB012 COXA C/OP FGO BDJ CX 12KG</v>
          </cell>
          <cell r="C136">
            <v>2.2360000000000002</v>
          </cell>
          <cell r="D136">
            <v>1.95</v>
          </cell>
          <cell r="E136">
            <v>-0.20399999999999999</v>
          </cell>
          <cell r="F136">
            <v>-0.152</v>
          </cell>
          <cell r="CH136">
            <v>657301</v>
          </cell>
          <cell r="CI136" t="str">
            <v>COXA SOB C/OP FGO CONG 120-1 KG</v>
          </cell>
          <cell r="CJ136">
            <v>4112</v>
          </cell>
          <cell r="CK136">
            <v>1.7210000000000001</v>
          </cell>
          <cell r="CL136">
            <v>7076.82</v>
          </cell>
        </row>
        <row r="137">
          <cell r="A137">
            <v>614050</v>
          </cell>
          <cell r="B137" t="str">
            <v>SXB012 SOBRECOXA C/OP FGO BDJ CX 12KG</v>
          </cell>
          <cell r="C137">
            <v>2.306</v>
          </cell>
          <cell r="D137">
            <v>2.0230000000000001</v>
          </cell>
          <cell r="E137">
            <v>-0.20799999999999999</v>
          </cell>
          <cell r="F137">
            <v>-0.158</v>
          </cell>
          <cell r="CH137">
            <v>657328</v>
          </cell>
          <cell r="CI137" t="str">
            <v>COXA SOB C/OP FGO CONG 180-2 KG</v>
          </cell>
          <cell r="CJ137">
            <v>1344</v>
          </cell>
          <cell r="CK137">
            <v>1.6051</v>
          </cell>
          <cell r="CL137">
            <v>2157.2600000000002</v>
          </cell>
        </row>
        <row r="138">
          <cell r="A138">
            <v>614068</v>
          </cell>
          <cell r="B138" t="str">
            <v>FPB012 FILE PEITO FGO BDJ 1KG CX 12KG</v>
          </cell>
          <cell r="C138">
            <v>4.0469999999999997</v>
          </cell>
          <cell r="D138">
            <v>3.532</v>
          </cell>
          <cell r="E138">
            <v>-0.16400000000000001</v>
          </cell>
          <cell r="F138">
            <v>-0.191</v>
          </cell>
          <cell r="CH138">
            <v>657336</v>
          </cell>
          <cell r="CI138" t="str">
            <v>COXA SOB C/OP FGO CONG 200-2 KG</v>
          </cell>
          <cell r="CJ138">
            <v>7456</v>
          </cell>
          <cell r="CK138">
            <v>1.6261000000000001</v>
          </cell>
          <cell r="CL138">
            <v>12124.1</v>
          </cell>
        </row>
        <row r="139">
          <cell r="A139">
            <v>614076</v>
          </cell>
          <cell r="B139" t="str">
            <v>PEB012 PEITO S/OP "FILE" PERD BDJ 1KG</v>
          </cell>
          <cell r="C139">
            <v>4.702</v>
          </cell>
          <cell r="D139">
            <v>4.1449999999999996</v>
          </cell>
          <cell r="E139">
            <v>-0.19500000000000001</v>
          </cell>
          <cell r="F139">
            <v>-0.22099999999999997</v>
          </cell>
          <cell r="CH139">
            <v>826982</v>
          </cell>
          <cell r="CI139" t="str">
            <v>COXA SOB C/OP FGO CONG 120-1 KG</v>
          </cell>
          <cell r="CJ139">
            <v>4416</v>
          </cell>
          <cell r="CK139">
            <v>1.7435</v>
          </cell>
          <cell r="CL139">
            <v>7699.47</v>
          </cell>
        </row>
        <row r="140">
          <cell r="A140">
            <v>614092</v>
          </cell>
          <cell r="B140" t="str">
            <v>ADJ012 ASA 1A JTA FGO BDJ 1KG CX 12KG</v>
          </cell>
          <cell r="C140">
            <v>2.2799999999999998</v>
          </cell>
          <cell r="D140">
            <v>2.0099999999999998</v>
          </cell>
          <cell r="E140">
            <v>-0.16300000000000001</v>
          </cell>
          <cell r="F140">
            <v>-0.14599999999999999</v>
          </cell>
          <cell r="CH140">
            <v>826983</v>
          </cell>
          <cell r="CI140" t="str">
            <v>COXA SOB C/OP FGO CONG 140-1 KG</v>
          </cell>
          <cell r="CJ140">
            <v>11632</v>
          </cell>
          <cell r="CK140">
            <v>1.7148000000000001</v>
          </cell>
          <cell r="CL140">
            <v>19946.599999999999</v>
          </cell>
        </row>
        <row r="141">
          <cell r="A141">
            <v>614122</v>
          </cell>
          <cell r="B141" t="str">
            <v>CBJ012 CORACAO FGO BDJ CX 12KG</v>
          </cell>
          <cell r="C141">
            <v>4.0289999999999999</v>
          </cell>
          <cell r="D141">
            <v>3.4929999999999999</v>
          </cell>
          <cell r="E141">
            <v>-0.216</v>
          </cell>
          <cell r="F141">
            <v>-0.21299999999999999</v>
          </cell>
          <cell r="CH141">
            <v>826984</v>
          </cell>
          <cell r="CI141" t="str">
            <v>COXA SOB C/OP FGO CONG 160-1 KG</v>
          </cell>
          <cell r="CJ141">
            <v>38960</v>
          </cell>
          <cell r="CK141">
            <v>1.6724000000000001</v>
          </cell>
          <cell r="CL141">
            <v>65154.85</v>
          </cell>
        </row>
        <row r="142">
          <cell r="A142">
            <v>614130</v>
          </cell>
          <cell r="B142" t="str">
            <v>CCT012 COXA C/O S/P CHT TEMP BDJ 1KG</v>
          </cell>
          <cell r="C142">
            <v>2.7749999999999999</v>
          </cell>
          <cell r="D142">
            <v>2.3570000000000002</v>
          </cell>
          <cell r="E142">
            <v>-0.23699999999999999</v>
          </cell>
          <cell r="F142">
            <v>-0.42399999999999999</v>
          </cell>
          <cell r="CH142">
            <v>826985</v>
          </cell>
          <cell r="CI142" t="str">
            <v>COXA SOB C/OP FGO CONG 180-2 KG</v>
          </cell>
          <cell r="CJ142">
            <v>34096</v>
          </cell>
          <cell r="CK142">
            <v>1.6569</v>
          </cell>
          <cell r="CL142">
            <v>56494.87</v>
          </cell>
        </row>
        <row r="143">
          <cell r="A143">
            <v>614149</v>
          </cell>
          <cell r="B143" t="str">
            <v>PCH010 PEITO C/OF S/P INT CHT TEMP BDJ 1</v>
          </cell>
          <cell r="C143">
            <v>5.3920000000000003</v>
          </cell>
          <cell r="D143">
            <v>4.8170000000000002</v>
          </cell>
          <cell r="E143">
            <v>-0.58299999999999996</v>
          </cell>
          <cell r="F143">
            <v>-0.69400000000000006</v>
          </cell>
          <cell r="CH143">
            <v>826986</v>
          </cell>
          <cell r="CI143" t="str">
            <v>COXA SOB C/OP FGO CONG 200-2 KG</v>
          </cell>
          <cell r="CJ143">
            <v>13856</v>
          </cell>
          <cell r="CK143">
            <v>1.6439999999999999</v>
          </cell>
          <cell r="CL143">
            <v>22778.71</v>
          </cell>
        </row>
        <row r="144">
          <cell r="A144">
            <v>620815</v>
          </cell>
          <cell r="B144" t="str">
            <v>CAE030 CARNE AVE EMP PERD 20PC CX 3KG</v>
          </cell>
          <cell r="C144">
            <v>2.8530000000000002</v>
          </cell>
          <cell r="D144">
            <v>2.1640000000000001</v>
          </cell>
          <cell r="E144">
            <v>-0.22</v>
          </cell>
          <cell r="F144">
            <v>-0.38600000000000001</v>
          </cell>
          <cell r="CH144">
            <v>50200200</v>
          </cell>
          <cell r="CI144" t="str">
            <v>1002004 - FRANGO CORTES ASA</v>
          </cell>
          <cell r="CJ144">
            <v>43185</v>
          </cell>
          <cell r="CK144">
            <v>1.5958000000000001</v>
          </cell>
          <cell r="CL144">
            <v>68914.55</v>
          </cell>
        </row>
        <row r="145">
          <cell r="A145">
            <v>625191</v>
          </cell>
          <cell r="B145" t="str">
            <v>PMK008 PEITO MET CO SP CHK 650G CX 7,2KG</v>
          </cell>
          <cell r="C145">
            <v>10.015000000000001</v>
          </cell>
          <cell r="D145">
            <v>8.85</v>
          </cell>
          <cell r="E145">
            <v>-0.17199999999999999</v>
          </cell>
          <cell r="F145">
            <v>-1.411</v>
          </cell>
          <cell r="CH145">
            <v>826960</v>
          </cell>
          <cell r="CI145" t="str">
            <v>ASA INT FGO CONG 40G/UP ITF  KG</v>
          </cell>
          <cell r="CJ145">
            <v>12720</v>
          </cell>
          <cell r="CK145">
            <v>1.6388</v>
          </cell>
          <cell r="CL145">
            <v>20845.310000000001</v>
          </cell>
        </row>
        <row r="146">
          <cell r="A146">
            <v>625205</v>
          </cell>
          <cell r="B146" t="str">
            <v>CCK008 COXA/SOB C/OP CHK 12 BDJ 650G</v>
          </cell>
          <cell r="C146">
            <v>9.7850000000000001</v>
          </cell>
          <cell r="D146">
            <v>8.3409999999999993</v>
          </cell>
          <cell r="E146">
            <v>-0.115</v>
          </cell>
          <cell r="F146">
            <v>-1.35</v>
          </cell>
          <cell r="CH146">
            <v>827893</v>
          </cell>
          <cell r="CI146" t="str">
            <v>ASA INT FGO CONG 60G/UP ITF  KG</v>
          </cell>
          <cell r="CJ146">
            <v>30465</v>
          </cell>
          <cell r="CK146">
            <v>1.5779000000000001</v>
          </cell>
          <cell r="CL146">
            <v>48069.24</v>
          </cell>
        </row>
        <row r="147">
          <cell r="A147">
            <v>627100</v>
          </cell>
          <cell r="B147" t="str">
            <v>POT012 PRESUNTO TRAD OVAL ROT CX 13KG</v>
          </cell>
          <cell r="C147">
            <v>4.7169999999999996</v>
          </cell>
          <cell r="D147">
            <v>3.641</v>
          </cell>
          <cell r="E147">
            <v>-0.34300000000000003</v>
          </cell>
          <cell r="F147">
            <v>-0.43400000000000005</v>
          </cell>
          <cell r="CH147">
            <v>50200200</v>
          </cell>
          <cell r="CI147" t="str">
            <v>1002005 - FRANGO CORTES OUTROS</v>
          </cell>
          <cell r="CJ147">
            <v>56268</v>
          </cell>
          <cell r="CK147">
            <v>0.2671</v>
          </cell>
          <cell r="CL147">
            <v>15031.62</v>
          </cell>
        </row>
        <row r="148">
          <cell r="A148">
            <v>631027</v>
          </cell>
          <cell r="B148" t="str">
            <v>LCE005 LINGUICA TOSC ENROL PERD CX 5KG</v>
          </cell>
          <cell r="C148">
            <v>5.2809999999999997</v>
          </cell>
          <cell r="D148">
            <v>4.3579999999999997</v>
          </cell>
          <cell r="E148">
            <v>-0.224</v>
          </cell>
          <cell r="F148">
            <v>-0.71300000000000008</v>
          </cell>
          <cell r="CH148">
            <v>826505</v>
          </cell>
          <cell r="CI148" t="str">
            <v>PE FGO S/CANELA CONG 15G/UP  KG</v>
          </cell>
          <cell r="CJ148">
            <v>56268</v>
          </cell>
          <cell r="CK148">
            <v>0.2671</v>
          </cell>
          <cell r="CL148">
            <v>15031.62</v>
          </cell>
        </row>
        <row r="149">
          <cell r="A149">
            <v>651001</v>
          </cell>
          <cell r="B149" t="str">
            <v>AFR012 AFIAMBRADO RETAN CONF 12,5KG</v>
          </cell>
          <cell r="C149">
            <v>2.6560000000000001</v>
          </cell>
          <cell r="D149">
            <v>2.0950000000000002</v>
          </cell>
          <cell r="E149">
            <v>-0.254</v>
          </cell>
          <cell r="F149">
            <v>-0.34599999999999997</v>
          </cell>
          <cell r="CH149">
            <v>50200200</v>
          </cell>
          <cell r="CI149" t="str">
            <v>1009 - SUINOS CONGELADOS</v>
          </cell>
          <cell r="CJ149">
            <v>200680</v>
          </cell>
          <cell r="CK149">
            <v>2.8492000000000002</v>
          </cell>
          <cell r="CL149">
            <v>571782.52</v>
          </cell>
        </row>
        <row r="150">
          <cell r="A150">
            <v>658235</v>
          </cell>
          <cell r="B150" t="str">
            <v>FIT016 FRANGO TEMP CONG PERD 1600G</v>
          </cell>
          <cell r="C150">
            <v>1.4570000000000001</v>
          </cell>
          <cell r="D150">
            <v>1.4330000000000001</v>
          </cell>
          <cell r="E150">
            <v>-0.24399999999999999</v>
          </cell>
          <cell r="F150">
            <v>-5.3999999999999999E-2</v>
          </cell>
          <cell r="CH150">
            <v>266833</v>
          </cell>
          <cell r="CI150" t="str">
            <v>PE SUI CONG ITF PERD H.KONG  KG</v>
          </cell>
          <cell r="CJ150">
            <v>2425</v>
          </cell>
          <cell r="CK150">
            <v>0.56889999999999996</v>
          </cell>
          <cell r="CL150">
            <v>1379.64</v>
          </cell>
        </row>
        <row r="151">
          <cell r="A151">
            <v>662925</v>
          </cell>
          <cell r="B151" t="str">
            <v>LIP420 LINGUICA CARNE PERNIL 20KG</v>
          </cell>
          <cell r="C151">
            <v>3.407</v>
          </cell>
          <cell r="D151">
            <v>2.839</v>
          </cell>
          <cell r="E151">
            <v>-0.20399999999999999</v>
          </cell>
          <cell r="F151">
            <v>-0.504</v>
          </cell>
          <cell r="CH151">
            <v>824261</v>
          </cell>
          <cell r="CI151" t="str">
            <v>SOBREPALETA S/O SUI CONG IND KG</v>
          </cell>
          <cell r="CJ151">
            <v>23100</v>
          </cell>
          <cell r="CK151">
            <v>3.1989999999999998</v>
          </cell>
          <cell r="CL151">
            <v>73897.289999999994</v>
          </cell>
        </row>
        <row r="152">
          <cell r="A152">
            <v>663573</v>
          </cell>
          <cell r="B152" t="str">
            <v>MSC125 MEDALHAO SUINO BDJ 500G CX 6KG</v>
          </cell>
          <cell r="C152">
            <v>7.5279999999999996</v>
          </cell>
          <cell r="D152">
            <v>5.9260000000000002</v>
          </cell>
          <cell r="E152">
            <v>-0.20300000000000001</v>
          </cell>
          <cell r="F152">
            <v>-1</v>
          </cell>
          <cell r="CH152">
            <v>824262</v>
          </cell>
          <cell r="CI152" t="str">
            <v>CARRE SUI CONG IND BAT H.KON KG</v>
          </cell>
          <cell r="CJ152">
            <v>116675</v>
          </cell>
          <cell r="CK152">
            <v>3.1248</v>
          </cell>
          <cell r="CL152">
            <v>364590.27</v>
          </cell>
        </row>
        <row r="153">
          <cell r="A153">
            <v>663581</v>
          </cell>
          <cell r="B153" t="str">
            <v>MCC125 MEDALHAO CHESTER BDJ 500G CX 6KG</v>
          </cell>
          <cell r="C153">
            <v>7.4020000000000001</v>
          </cell>
          <cell r="D153">
            <v>5.7610000000000001</v>
          </cell>
          <cell r="E153">
            <v>-0.26500000000000001</v>
          </cell>
          <cell r="F153">
            <v>-0.90400000000000003</v>
          </cell>
          <cell r="CH153">
            <v>825120</v>
          </cell>
          <cell r="CI153" t="str">
            <v>ESTOMAGO SUI CONG COZ ITF BA KG</v>
          </cell>
          <cell r="CJ153">
            <v>4520</v>
          </cell>
          <cell r="CK153">
            <v>2.2178</v>
          </cell>
          <cell r="CL153">
            <v>10024.24</v>
          </cell>
        </row>
        <row r="154">
          <cell r="A154">
            <v>665347</v>
          </cell>
          <cell r="B154" t="str">
            <v>ALF126 ALMONDEGA FRGO CONG CART 500GR</v>
          </cell>
          <cell r="C154">
            <v>4.2830000000000004</v>
          </cell>
          <cell r="D154">
            <v>3.2290000000000001</v>
          </cell>
          <cell r="E154">
            <v>-0.26900000000000002</v>
          </cell>
          <cell r="F154">
            <v>-0.53900000000000003</v>
          </cell>
          <cell r="CH154">
            <v>825235</v>
          </cell>
          <cell r="CI154" t="str">
            <v>COSTELA SUI CONG IWP BAT H.K KG</v>
          </cell>
          <cell r="CJ154">
            <v>47200</v>
          </cell>
          <cell r="CK154">
            <v>2.4497</v>
          </cell>
          <cell r="CL154">
            <v>115627.11</v>
          </cell>
        </row>
        <row r="155">
          <cell r="A155">
            <v>665355</v>
          </cell>
          <cell r="B155" t="str">
            <v>ALB126 ALMONDEGA BOV CONG PERT CART 500G</v>
          </cell>
          <cell r="C155">
            <v>4.4119999999999999</v>
          </cell>
          <cell r="D155">
            <v>3.3130000000000002</v>
          </cell>
          <cell r="E155">
            <v>-0.26800000000000002</v>
          </cell>
          <cell r="F155">
            <v>-0.56199999999999994</v>
          </cell>
          <cell r="CH155">
            <v>827499</v>
          </cell>
          <cell r="CI155" t="str">
            <v>LINGUA SUI CONG ITF BAT H.KO KG</v>
          </cell>
          <cell r="CJ155">
            <v>2225</v>
          </cell>
          <cell r="CK155">
            <v>1.4128000000000001</v>
          </cell>
          <cell r="CL155">
            <v>3143.42</v>
          </cell>
        </row>
        <row r="156">
          <cell r="A156">
            <v>665363</v>
          </cell>
          <cell r="B156" t="str">
            <v>KIB147 KIBE CONG PERD CART 500G CX 7KG</v>
          </cell>
          <cell r="C156">
            <v>4.1390000000000002</v>
          </cell>
          <cell r="D156">
            <v>3.1</v>
          </cell>
          <cell r="E156">
            <v>-0.26100000000000001</v>
          </cell>
          <cell r="F156">
            <v>-0.54</v>
          </cell>
          <cell r="CH156">
            <v>828071</v>
          </cell>
          <cell r="CI156" t="str">
            <v>PE DIANT SUI CONG ITF BAT H. KG</v>
          </cell>
          <cell r="CJ156">
            <v>3775</v>
          </cell>
          <cell r="CK156">
            <v>0.68330000000000002</v>
          </cell>
          <cell r="CL156">
            <v>2579.4899999999998</v>
          </cell>
        </row>
        <row r="157">
          <cell r="A157">
            <v>665371</v>
          </cell>
          <cell r="B157" t="str">
            <v>ALC126 ALMONDEGA CHESTER CART 500G</v>
          </cell>
          <cell r="C157">
            <v>4.4109999999999996</v>
          </cell>
          <cell r="D157">
            <v>3.302</v>
          </cell>
          <cell r="E157">
            <v>-0.26700000000000002</v>
          </cell>
          <cell r="F157">
            <v>-0.54900000000000004</v>
          </cell>
          <cell r="CH157">
            <v>829499</v>
          </cell>
          <cell r="CI157" t="str">
            <v>UTERO SUI CONG CRU ITF BAT H KG</v>
          </cell>
          <cell r="CJ157">
            <v>760</v>
          </cell>
          <cell r="CK157">
            <v>0.71189999999999998</v>
          </cell>
          <cell r="CL157">
            <v>541.05999999999995</v>
          </cell>
        </row>
        <row r="158">
          <cell r="A158">
            <v>666211</v>
          </cell>
          <cell r="B158" t="str">
            <v>LFF420 LINGUICA CARNE FRANGO 4PT CX 20KG</v>
          </cell>
          <cell r="C158">
            <v>3.5390000000000001</v>
          </cell>
          <cell r="D158">
            <v>2.8420000000000001</v>
          </cell>
          <cell r="E158">
            <v>-0.23499999999999999</v>
          </cell>
          <cell r="F158">
            <v>-0.47899999999999998</v>
          </cell>
          <cell r="CH158" t="str">
            <v>0502003 -</v>
          </cell>
          <cell r="CI158" t="str">
            <v>JAPAO</v>
          </cell>
          <cell r="CJ158">
            <v>20182.2</v>
          </cell>
          <cell r="CK158">
            <v>1.6221000000000001</v>
          </cell>
          <cell r="CL158">
            <v>32737.09</v>
          </cell>
        </row>
        <row r="159">
          <cell r="A159">
            <v>673145</v>
          </cell>
          <cell r="B159" t="str">
            <v>SAE126 FILEZINHO FGO EMP 12 CART</v>
          </cell>
          <cell r="C159">
            <v>7.6070000000000002</v>
          </cell>
          <cell r="D159">
            <v>5.633</v>
          </cell>
          <cell r="E159">
            <v>-0.27600000000000002</v>
          </cell>
          <cell r="F159">
            <v>-1.0370000000000001</v>
          </cell>
          <cell r="CH159">
            <v>50200300</v>
          </cell>
          <cell r="CI159" t="str">
            <v>1 - IN NATURA</v>
          </cell>
          <cell r="CJ159">
            <v>16947.8</v>
          </cell>
          <cell r="CK159">
            <v>1.6462000000000001</v>
          </cell>
          <cell r="CL159">
            <v>27900.27</v>
          </cell>
        </row>
        <row r="160">
          <cell r="A160">
            <v>673153</v>
          </cell>
          <cell r="B160" t="str">
            <v>SFE126 SOBRECOXA FGO EMP CART 500G</v>
          </cell>
          <cell r="C160">
            <v>6.68</v>
          </cell>
          <cell r="D160">
            <v>4.96</v>
          </cell>
          <cell r="E160">
            <v>-0.23400000000000001</v>
          </cell>
          <cell r="F160">
            <v>-0.81199999999999994</v>
          </cell>
          <cell r="CH160">
            <v>50200300</v>
          </cell>
          <cell r="CI160" t="str">
            <v>1001 - FRANGO INTEIRO</v>
          </cell>
          <cell r="CJ160">
            <v>7414.2</v>
          </cell>
          <cell r="CK160">
            <v>1.5808</v>
          </cell>
          <cell r="CL160">
            <v>11720.16</v>
          </cell>
        </row>
        <row r="161">
          <cell r="A161">
            <v>679119</v>
          </cell>
          <cell r="B161" t="str">
            <v>MBL010 MORT BOLOGNELLA PERD CX 10,5KG</v>
          </cell>
          <cell r="C161">
            <v>2.831</v>
          </cell>
          <cell r="D161">
            <v>2.339</v>
          </cell>
          <cell r="E161">
            <v>-0.16900000000000001</v>
          </cell>
          <cell r="F161">
            <v>-0.377</v>
          </cell>
          <cell r="CH161">
            <v>50200300</v>
          </cell>
          <cell r="CI161" t="str">
            <v>1001001 - FRANGO INTEIRO GRILL</v>
          </cell>
          <cell r="CJ161">
            <v>7414.2</v>
          </cell>
          <cell r="CK161">
            <v>1.5808</v>
          </cell>
          <cell r="CL161">
            <v>11720.16</v>
          </cell>
        </row>
        <row r="162">
          <cell r="A162">
            <v>679143</v>
          </cell>
          <cell r="B162" t="str">
            <v>SHB005 SALAME HAMBURGUES PERD CX 5,3KG</v>
          </cell>
          <cell r="C162">
            <v>8.6340000000000003</v>
          </cell>
          <cell r="D162">
            <v>6.5970000000000004</v>
          </cell>
          <cell r="E162">
            <v>-0.19600000000000001</v>
          </cell>
          <cell r="F162">
            <v>-1.0679999999999998</v>
          </cell>
          <cell r="CH162">
            <v>810740</v>
          </cell>
          <cell r="CI162" t="str">
            <v>FRANGO GRILLER 1000G CONG BO KG</v>
          </cell>
          <cell r="CJ162">
            <v>24</v>
          </cell>
          <cell r="CK162">
            <v>1.5183</v>
          </cell>
          <cell r="CL162">
            <v>36.44</v>
          </cell>
        </row>
        <row r="163">
          <cell r="A163">
            <v>681792</v>
          </cell>
          <cell r="B163" t="str">
            <v>SFA159 STEAK FRANGO 15 CART CX 9KG</v>
          </cell>
          <cell r="C163">
            <v>4.548</v>
          </cell>
          <cell r="D163">
            <v>3.4049999999999998</v>
          </cell>
          <cell r="E163">
            <v>-0.23899999999999999</v>
          </cell>
          <cell r="F163">
            <v>-0.57499999999999996</v>
          </cell>
          <cell r="CH163">
            <v>812623</v>
          </cell>
          <cell r="CI163" t="str">
            <v>FRANGO GRILLER 800G CONG BOR KG</v>
          </cell>
          <cell r="CJ163">
            <v>566.4</v>
          </cell>
          <cell r="CK163">
            <v>1.6145</v>
          </cell>
          <cell r="CL163">
            <v>914.45</v>
          </cell>
        </row>
        <row r="164">
          <cell r="A164">
            <v>682209</v>
          </cell>
          <cell r="B164" t="str">
            <v>SCQ105 SALSICHA COQUETEL 10PT CX 5KG</v>
          </cell>
          <cell r="C164">
            <v>3.1539999999999999</v>
          </cell>
          <cell r="D164">
            <v>2.6040000000000001</v>
          </cell>
          <cell r="E164">
            <v>-0.23499999999999999</v>
          </cell>
          <cell r="F164">
            <v>-0.47099999999999997</v>
          </cell>
          <cell r="CH164">
            <v>812625</v>
          </cell>
          <cell r="CI164" t="str">
            <v>FRANGO GRILLER 950G CONG BOR KG</v>
          </cell>
          <cell r="CJ164">
            <v>649.79999999999995</v>
          </cell>
          <cell r="CK164">
            <v>1.5583</v>
          </cell>
          <cell r="CL164">
            <v>1012.56</v>
          </cell>
        </row>
        <row r="165">
          <cell r="A165">
            <v>687111</v>
          </cell>
          <cell r="B165" t="str">
            <v>FID010 FRANGO INT DEF RESF PERD CX 12KG</v>
          </cell>
          <cell r="C165">
            <v>4.5110000000000001</v>
          </cell>
          <cell r="D165">
            <v>3.431</v>
          </cell>
          <cell r="E165">
            <v>-0.26</v>
          </cell>
          <cell r="F165">
            <v>-0.54600000000000004</v>
          </cell>
          <cell r="CH165">
            <v>825458</v>
          </cell>
          <cell r="CI165" t="str">
            <v>FRANGO GRILLER 1200G CONG PE KG</v>
          </cell>
          <cell r="CJ165">
            <v>1440</v>
          </cell>
          <cell r="CK165">
            <v>1.5013000000000001</v>
          </cell>
          <cell r="CL165">
            <v>2161.91</v>
          </cell>
        </row>
        <row r="166">
          <cell r="A166">
            <v>687162</v>
          </cell>
          <cell r="B166" t="str">
            <v>BAC408 BACON CUBETADO PERD 4PT CX 8KG</v>
          </cell>
          <cell r="C166">
            <v>3.8340000000000001</v>
          </cell>
          <cell r="D166">
            <v>2.903</v>
          </cell>
          <cell r="E166">
            <v>-0.184</v>
          </cell>
          <cell r="F166">
            <v>-0.504</v>
          </cell>
          <cell r="CH166">
            <v>825459</v>
          </cell>
          <cell r="CI166" t="str">
            <v>FRANGO GRILLER 1250G CONG PE KG</v>
          </cell>
          <cell r="CJ166">
            <v>4650</v>
          </cell>
          <cell r="CK166">
            <v>1.6042000000000001</v>
          </cell>
          <cell r="CL166">
            <v>7459.35</v>
          </cell>
        </row>
        <row r="167">
          <cell r="A167">
            <v>687464</v>
          </cell>
          <cell r="B167" t="str">
            <v>PFP157 PEITO FGO RECONST EMP FRITO 7,5KG</v>
          </cell>
          <cell r="C167">
            <v>6.266</v>
          </cell>
          <cell r="D167">
            <v>4.641</v>
          </cell>
          <cell r="E167">
            <v>-0.24</v>
          </cell>
          <cell r="F167">
            <v>-0.83299999999999996</v>
          </cell>
          <cell r="CH167">
            <v>828344</v>
          </cell>
          <cell r="CI167" t="str">
            <v>FRANGO GRILLER 700G CONG PER KG</v>
          </cell>
          <cell r="CJ167">
            <v>84</v>
          </cell>
          <cell r="CK167">
            <v>1.6125</v>
          </cell>
          <cell r="CL167">
            <v>135.44999999999999</v>
          </cell>
        </row>
        <row r="168">
          <cell r="A168">
            <v>699616</v>
          </cell>
          <cell r="B168" t="str">
            <v>MST006 MORTADELA CONF S/TOUCINHO CX 6KG</v>
          </cell>
          <cell r="C168">
            <v>2.3159999999999998</v>
          </cell>
          <cell r="D168">
            <v>1.8260000000000001</v>
          </cell>
          <cell r="E168">
            <v>-0.13</v>
          </cell>
          <cell r="F168">
            <v>-0.34099999999999997</v>
          </cell>
          <cell r="CH168">
            <v>50200300</v>
          </cell>
          <cell r="CI168" t="str">
            <v>1002 - FRANGO CORTES</v>
          </cell>
          <cell r="CJ168">
            <v>9533.6</v>
          </cell>
          <cell r="CK168">
            <v>1.6972</v>
          </cell>
          <cell r="CL168">
            <v>16180.11</v>
          </cell>
        </row>
        <row r="169">
          <cell r="A169">
            <v>700444</v>
          </cell>
          <cell r="B169" t="str">
            <v>HBR005 HAMBURGUER BOV INST 60PC 90G</v>
          </cell>
          <cell r="C169">
            <v>3.3759999999999999</v>
          </cell>
          <cell r="D169">
            <v>2.532</v>
          </cell>
          <cell r="E169">
            <v>-0.20899999999999999</v>
          </cell>
          <cell r="F169">
            <v>-0.46599999999999997</v>
          </cell>
          <cell r="CH169">
            <v>50200300</v>
          </cell>
          <cell r="CI169" t="str">
            <v>1002002 - FRANGO CORT COXA C/O</v>
          </cell>
          <cell r="CJ169">
            <v>9533.6</v>
          </cell>
          <cell r="CK169">
            <v>1.6972</v>
          </cell>
          <cell r="CL169">
            <v>16180.11</v>
          </cell>
        </row>
        <row r="170">
          <cell r="A170">
            <v>702099</v>
          </cell>
          <cell r="B170" t="str">
            <v>MKB187 MINI KIBE CONG PERD 18CA CX 7,2KG</v>
          </cell>
          <cell r="C170">
            <v>4.1959999999999997</v>
          </cell>
          <cell r="D170">
            <v>3.1520000000000001</v>
          </cell>
          <cell r="E170">
            <v>-0.25700000000000001</v>
          </cell>
          <cell r="F170">
            <v>-0.54100000000000004</v>
          </cell>
          <cell r="CH170">
            <v>836165</v>
          </cell>
          <cell r="CI170" t="str">
            <v>COXA SOB C/OP FGO CONG 180-2 KG</v>
          </cell>
          <cell r="CJ170">
            <v>9533.6</v>
          </cell>
          <cell r="CK170">
            <v>1.6972</v>
          </cell>
          <cell r="CL170">
            <v>16180.11</v>
          </cell>
        </row>
        <row r="171">
          <cell r="A171">
            <v>702757</v>
          </cell>
          <cell r="B171" t="str">
            <v>CXT016 COXA C/OP TEMP FGO PT 1KG CX 16KG</v>
          </cell>
          <cell r="C171">
            <v>2.133</v>
          </cell>
          <cell r="D171">
            <v>1.8320000000000001</v>
          </cell>
          <cell r="E171">
            <v>-8.7999999999999995E-2</v>
          </cell>
          <cell r="F171">
            <v>-0.12799999999999997</v>
          </cell>
          <cell r="CH171">
            <v>50200300</v>
          </cell>
          <cell r="CI171" t="str">
            <v>2 - ELABORADOS</v>
          </cell>
          <cell r="CJ171">
            <v>3234.4</v>
          </cell>
          <cell r="CK171">
            <v>1.4954000000000001</v>
          </cell>
          <cell r="CL171">
            <v>4836.82</v>
          </cell>
        </row>
        <row r="172">
          <cell r="A172">
            <v>702765</v>
          </cell>
          <cell r="B172" t="str">
            <v>PFT016 PEITO C/O/P TEMP FGO PT 1KG</v>
          </cell>
          <cell r="C172">
            <v>3.0760000000000001</v>
          </cell>
          <cell r="D172">
            <v>2.6179999999999999</v>
          </cell>
          <cell r="E172">
            <v>-0.151</v>
          </cell>
          <cell r="F172">
            <v>-0.17400000000000004</v>
          </cell>
          <cell r="CH172">
            <v>50200300</v>
          </cell>
          <cell r="CI172" t="str">
            <v>2006 - PERU INTEIRO</v>
          </cell>
          <cell r="CJ172">
            <v>3234.4</v>
          </cell>
          <cell r="CK172">
            <v>1.4954000000000001</v>
          </cell>
          <cell r="CL172">
            <v>4836.82</v>
          </cell>
        </row>
        <row r="173">
          <cell r="A173">
            <v>702773</v>
          </cell>
          <cell r="B173" t="str">
            <v>PTP012 PRESUNTO TRADIC PALITO CX 12,5KG</v>
          </cell>
          <cell r="C173">
            <v>4.6669999999999998</v>
          </cell>
          <cell r="D173">
            <v>3.5059999999999998</v>
          </cell>
          <cell r="E173">
            <v>-0.16900000000000001</v>
          </cell>
          <cell r="F173">
            <v>-0.61199999999999999</v>
          </cell>
          <cell r="CH173">
            <v>836659</v>
          </cell>
          <cell r="CI173" t="str">
            <v>PERU INT S/MIUDOS TEMP CONG  KG</v>
          </cell>
          <cell r="CJ173">
            <v>3234.4</v>
          </cell>
          <cell r="CK173">
            <v>1.4954000000000001</v>
          </cell>
          <cell r="CL173">
            <v>4836.82</v>
          </cell>
        </row>
        <row r="174">
          <cell r="A174">
            <v>708895</v>
          </cell>
          <cell r="B174" t="str">
            <v>CAE006 CARNE AVE EMP INSTIT PERD CX 6KG</v>
          </cell>
          <cell r="C174">
            <v>2.9039999999999999</v>
          </cell>
          <cell r="D174">
            <v>2.1640000000000001</v>
          </cell>
          <cell r="E174">
            <v>-0.217</v>
          </cell>
          <cell r="F174">
            <v>-0.40799999999999997</v>
          </cell>
          <cell r="CH174" t="str">
            <v>0502004 -</v>
          </cell>
          <cell r="CI174" t="str">
            <v>ORIENTE MEDIO</v>
          </cell>
          <cell r="CJ174">
            <v>1682025</v>
          </cell>
          <cell r="CK174">
            <v>1.6507000000000001</v>
          </cell>
          <cell r="CL174">
            <v>2776563.41</v>
          </cell>
        </row>
        <row r="175">
          <cell r="A175">
            <v>720305</v>
          </cell>
          <cell r="B175" t="str">
            <v>SCT012 SOBRECOXA C/O S/P CHT TEMP BDJ 1K</v>
          </cell>
          <cell r="C175">
            <v>3.04</v>
          </cell>
          <cell r="D175">
            <v>2.5609999999999999</v>
          </cell>
          <cell r="E175">
            <v>-0.23899999999999999</v>
          </cell>
          <cell r="F175">
            <v>-0.46599999999999997</v>
          </cell>
          <cell r="CH175">
            <v>50200400</v>
          </cell>
          <cell r="CI175" t="str">
            <v>1 - IN NATURA</v>
          </cell>
          <cell r="CJ175">
            <v>1667025</v>
          </cell>
          <cell r="CK175">
            <v>1.6292</v>
          </cell>
          <cell r="CL175">
            <v>2715934.95</v>
          </cell>
        </row>
        <row r="176">
          <cell r="A176">
            <v>720577</v>
          </cell>
          <cell r="B176" t="str">
            <v>PCH011 PEITO C/OF S/P INT CHT TEMP BJ 1K</v>
          </cell>
          <cell r="C176">
            <v>4.2839999999999998</v>
          </cell>
          <cell r="D176">
            <v>3.6179999999999999</v>
          </cell>
          <cell r="E176">
            <v>-4.8000000000000001E-2</v>
          </cell>
          <cell r="F176">
            <v>-0.55899999999999994</v>
          </cell>
          <cell r="CH176">
            <v>50200400</v>
          </cell>
          <cell r="CI176" t="str">
            <v>1001 - FRANGO INTEIRO</v>
          </cell>
          <cell r="CJ176">
            <v>1667025</v>
          </cell>
          <cell r="CK176">
            <v>1.6292</v>
          </cell>
          <cell r="CL176">
            <v>2715934.95</v>
          </cell>
        </row>
        <row r="177">
          <cell r="A177">
            <v>720755</v>
          </cell>
          <cell r="B177" t="str">
            <v>FEI009 INGREDIENTES P/FEIJOADA PT 1KG</v>
          </cell>
          <cell r="C177">
            <v>3.7029999999999998</v>
          </cell>
          <cell r="D177">
            <v>3.173</v>
          </cell>
          <cell r="E177">
            <v>-0.23899999999999999</v>
          </cell>
          <cell r="F177">
            <v>-0.55200000000000005</v>
          </cell>
          <cell r="CH177">
            <v>50200400</v>
          </cell>
          <cell r="CI177" t="str">
            <v>1001001 - FRANGO INTEIRO GRILL</v>
          </cell>
          <cell r="CJ177">
            <v>1667025</v>
          </cell>
          <cell r="CK177">
            <v>1.6292</v>
          </cell>
          <cell r="CL177">
            <v>2715934.95</v>
          </cell>
        </row>
        <row r="178">
          <cell r="A178">
            <v>725307</v>
          </cell>
          <cell r="B178" t="str">
            <v>MIL010 MILHO PT 500G CX 10KG</v>
          </cell>
          <cell r="C178">
            <v>5.4050000000000002</v>
          </cell>
          <cell r="D178">
            <v>4.5869999999999997</v>
          </cell>
          <cell r="E178">
            <v>-0.27800000000000002</v>
          </cell>
          <cell r="F178">
            <v>-0.78500000000000003</v>
          </cell>
          <cell r="CH178">
            <v>200115</v>
          </cell>
          <cell r="CI178" t="str">
            <v>FRANGO GRILLER 1000G CONG PE KG</v>
          </cell>
          <cell r="CJ178">
            <v>39780</v>
          </cell>
          <cell r="CK178">
            <v>1.5985</v>
          </cell>
          <cell r="CL178">
            <v>63589.9</v>
          </cell>
        </row>
        <row r="179">
          <cell r="A179">
            <v>725315</v>
          </cell>
          <cell r="B179" t="str">
            <v>ERV010 ERVILHA PT 500G CX 10KG</v>
          </cell>
          <cell r="C179">
            <v>3.7519999999999998</v>
          </cell>
          <cell r="D179">
            <v>3.1110000000000002</v>
          </cell>
          <cell r="E179">
            <v>-0.29299999999999998</v>
          </cell>
          <cell r="F179">
            <v>-0.55599999999999994</v>
          </cell>
          <cell r="CH179">
            <v>200123</v>
          </cell>
          <cell r="CI179" t="str">
            <v>FRANGO GRILLER 1100G CONG PE KG</v>
          </cell>
          <cell r="CJ179">
            <v>18392</v>
          </cell>
          <cell r="CK179">
            <v>1.5925</v>
          </cell>
          <cell r="CL179">
            <v>29290.17</v>
          </cell>
        </row>
        <row r="180">
          <cell r="A180">
            <v>725323</v>
          </cell>
          <cell r="B180" t="str">
            <v>SLE010 SELETA DE LEGUMES PT 500G CX 10KG</v>
          </cell>
          <cell r="C180">
            <v>3.65</v>
          </cell>
          <cell r="D180">
            <v>3.1930000000000001</v>
          </cell>
          <cell r="E180">
            <v>-0.28699999999999998</v>
          </cell>
          <cell r="F180">
            <v>-0.57899999999999996</v>
          </cell>
          <cell r="CH180">
            <v>247359</v>
          </cell>
          <cell r="CI180" t="str">
            <v>FRANGO GRILLER 900G CONG BOR KG</v>
          </cell>
          <cell r="CJ180">
            <v>57501</v>
          </cell>
          <cell r="CK180">
            <v>1.6193</v>
          </cell>
          <cell r="CL180">
            <v>93113.53</v>
          </cell>
        </row>
        <row r="181">
          <cell r="A181">
            <v>725340</v>
          </cell>
          <cell r="B181" t="str">
            <v>BRC010 BROCOLIS PT 500G CX 10KG</v>
          </cell>
          <cell r="C181">
            <v>3.55</v>
          </cell>
          <cell r="D181">
            <v>3.1419999999999999</v>
          </cell>
          <cell r="E181">
            <v>-0.29199999999999998</v>
          </cell>
          <cell r="F181">
            <v>-0.54700000000000004</v>
          </cell>
          <cell r="CH181">
            <v>247367</v>
          </cell>
          <cell r="CI181" t="str">
            <v>FRANGO GRILLER 1000G CONG BO KG</v>
          </cell>
          <cell r="CJ181">
            <v>42270</v>
          </cell>
          <cell r="CK181">
            <v>1.5974999999999999</v>
          </cell>
          <cell r="CL181">
            <v>67525.69</v>
          </cell>
        </row>
        <row r="182">
          <cell r="A182">
            <v>726907</v>
          </cell>
          <cell r="B182" t="str">
            <v>BAP008 BACON DEFUMADO PERD CX 8KG</v>
          </cell>
          <cell r="C182">
            <v>6.0259999999999998</v>
          </cell>
          <cell r="D182">
            <v>4.5179999999999998</v>
          </cell>
          <cell r="E182">
            <v>-0.20100000000000001</v>
          </cell>
          <cell r="F182">
            <v>-0.75400000000000011</v>
          </cell>
          <cell r="CH182">
            <v>483192</v>
          </cell>
          <cell r="CI182" t="str">
            <v>FRANGO GRILLER 800G CONG UNE KG</v>
          </cell>
          <cell r="CJ182">
            <v>7816</v>
          </cell>
          <cell r="CK182">
            <v>1.6197999999999999</v>
          </cell>
          <cell r="CL182">
            <v>12660.01</v>
          </cell>
        </row>
        <row r="183">
          <cell r="A183">
            <v>728012</v>
          </cell>
          <cell r="B183" t="str">
            <v>CRB010 CROQUETE DE BATATA PT500G CX 10KG</v>
          </cell>
          <cell r="C183">
            <v>3.8159999999999998</v>
          </cell>
          <cell r="D183">
            <v>2.8359999999999999</v>
          </cell>
          <cell r="E183">
            <v>-0.29299999999999998</v>
          </cell>
          <cell r="F183">
            <v>-0.52700000000000002</v>
          </cell>
          <cell r="CH183">
            <v>525960</v>
          </cell>
          <cell r="CI183" t="str">
            <v>FRANGO GRILLER 900G CONG UNE KG</v>
          </cell>
          <cell r="CJ183">
            <v>10422</v>
          </cell>
          <cell r="CK183">
            <v>1.6035999999999999</v>
          </cell>
          <cell r="CL183">
            <v>16712.5</v>
          </cell>
        </row>
        <row r="184">
          <cell r="A184">
            <v>732338</v>
          </cell>
          <cell r="B184" t="str">
            <v>BCQ126 BIG CHICKEN C/QUEIJO CART 500G</v>
          </cell>
          <cell r="C184">
            <v>5.5570000000000004</v>
          </cell>
          <cell r="D184">
            <v>4.1890000000000001</v>
          </cell>
          <cell r="E184">
            <v>-0.24</v>
          </cell>
          <cell r="F184">
            <v>-0.67100000000000004</v>
          </cell>
          <cell r="CH184">
            <v>525979</v>
          </cell>
          <cell r="CI184" t="str">
            <v>FRANGO GRILLER 1000G CONG UN KG</v>
          </cell>
          <cell r="CJ184">
            <v>22380</v>
          </cell>
          <cell r="CK184">
            <v>1.6339999999999999</v>
          </cell>
          <cell r="CL184">
            <v>36568.769999999997</v>
          </cell>
        </row>
        <row r="185">
          <cell r="A185">
            <v>732516</v>
          </cell>
          <cell r="B185" t="str">
            <v>PTO006 PRESUNTO TRAD OVAL PERDI CX 6,5KG</v>
          </cell>
          <cell r="C185">
            <v>4.5259999999999998</v>
          </cell>
          <cell r="D185">
            <v>3.38</v>
          </cell>
          <cell r="E185">
            <v>-0.192</v>
          </cell>
          <cell r="F185">
            <v>-0.58699999999999997</v>
          </cell>
          <cell r="CH185">
            <v>525987</v>
          </cell>
          <cell r="CI185" t="str">
            <v>FRANGO GRILLER 1100G CONG UN KG</v>
          </cell>
          <cell r="CJ185">
            <v>88737</v>
          </cell>
          <cell r="CK185">
            <v>1.6665000000000001</v>
          </cell>
          <cell r="CL185">
            <v>147880.75</v>
          </cell>
        </row>
        <row r="186">
          <cell r="A186">
            <v>732524</v>
          </cell>
          <cell r="B186" t="str">
            <v>POP006 PRESUNTO TRAD MAGRO OVAL CX 6,5KG</v>
          </cell>
          <cell r="C186">
            <v>4.5750000000000002</v>
          </cell>
          <cell r="D186">
            <v>3.4580000000000002</v>
          </cell>
          <cell r="E186">
            <v>-0.21199999999999999</v>
          </cell>
          <cell r="F186">
            <v>-0.59799999999999998</v>
          </cell>
          <cell r="CH186">
            <v>525995</v>
          </cell>
          <cell r="CI186" t="str">
            <v>FRANGO GRILLER 1200G CONG UN KG</v>
          </cell>
          <cell r="CJ186">
            <v>29748</v>
          </cell>
          <cell r="CK186">
            <v>1.575</v>
          </cell>
          <cell r="CL186">
            <v>46853.02</v>
          </cell>
        </row>
        <row r="187">
          <cell r="A187">
            <v>732532</v>
          </cell>
          <cell r="B187" t="str">
            <v>APR007 APRESUNTADO RETANG PERDI CX 7,5KG</v>
          </cell>
          <cell r="C187">
            <v>3.1970000000000001</v>
          </cell>
          <cell r="D187">
            <v>2.605</v>
          </cell>
          <cell r="E187">
            <v>-0.20499999999999999</v>
          </cell>
          <cell r="F187">
            <v>-0.46200000000000002</v>
          </cell>
          <cell r="CH187">
            <v>540889</v>
          </cell>
          <cell r="CI187" t="str">
            <v>FRANGO GRILLER 800G CONG UNE</v>
          </cell>
          <cell r="CJ187">
            <v>3048</v>
          </cell>
          <cell r="CK187">
            <v>1.6173</v>
          </cell>
          <cell r="CL187">
            <v>4929.45</v>
          </cell>
        </row>
        <row r="188">
          <cell r="A188">
            <v>732907</v>
          </cell>
          <cell r="B188" t="str">
            <v>CSF012 COXA/SOBREC CO CP BDJ 1KG CX 12KG</v>
          </cell>
          <cell r="C188">
            <v>2.294</v>
          </cell>
          <cell r="D188">
            <v>2.008</v>
          </cell>
          <cell r="E188">
            <v>-0.20399999999999999</v>
          </cell>
          <cell r="F188">
            <v>-0.153</v>
          </cell>
          <cell r="CH188" t="str">
            <v>EMPRESAS</v>
          </cell>
          <cell r="CI188" t="str">
            <v>PERDIGÃO</v>
          </cell>
          <cell r="CJ188">
            <v>1854</v>
          </cell>
          <cell r="CK188">
            <v>1.6653</v>
          </cell>
          <cell r="CL188">
            <v>3087.51</v>
          </cell>
        </row>
        <row r="189">
          <cell r="A189">
            <v>740349</v>
          </cell>
          <cell r="B189" t="str">
            <v>PCI015 PEITO CHT S/OP TEMP MET CX 15KG</v>
          </cell>
          <cell r="C189">
            <v>4.7779999999999996</v>
          </cell>
          <cell r="D189">
            <v>4.0049999999999999</v>
          </cell>
          <cell r="E189">
            <v>-0.19700000000000001</v>
          </cell>
          <cell r="F189">
            <v>-0.68899999999999995</v>
          </cell>
          <cell r="CH189" t="str">
            <v>Z611021 -</v>
          </cell>
          <cell r="CI189" t="str">
            <v>FRANGO GRILLER 1000G CONG UN</v>
          </cell>
          <cell r="CJ189">
            <v>11750</v>
          </cell>
          <cell r="CK189">
            <v>1.6374</v>
          </cell>
          <cell r="CL189">
            <v>19239.169999999998</v>
          </cell>
        </row>
        <row r="190">
          <cell r="A190">
            <v>742023</v>
          </cell>
          <cell r="B190" t="str">
            <v>SMF126 SALSICHA FGO S/COR.MONICA 12PT</v>
          </cell>
          <cell r="C190">
            <v>3.2879999999999998</v>
          </cell>
          <cell r="D190">
            <v>2.6989999999999998</v>
          </cell>
          <cell r="E190">
            <v>-0.24399999999999999</v>
          </cell>
          <cell r="F190">
            <v>-0.46099999999999997</v>
          </cell>
          <cell r="CH190" t="str">
            <v>Moeda: RE</v>
          </cell>
          <cell r="CI190" t="str">
            <v>AL</v>
          </cell>
          <cell r="CJ190">
            <v>12342</v>
          </cell>
          <cell r="CK190">
            <v>1.6035999999999999</v>
          </cell>
          <cell r="CL190">
            <v>19791.43</v>
          </cell>
        </row>
        <row r="191">
          <cell r="A191">
            <v>742031</v>
          </cell>
          <cell r="B191" t="str">
            <v>SHD126 SALSICHA HOT DOG PERD 12PT CX 6KG</v>
          </cell>
          <cell r="C191">
            <v>2.3050000000000002</v>
          </cell>
          <cell r="D191">
            <v>1.897</v>
          </cell>
          <cell r="E191">
            <v>-0.20300000000000001</v>
          </cell>
          <cell r="F191">
            <v>-0.35800000000000004</v>
          </cell>
          <cell r="CH191">
            <v>540927</v>
          </cell>
          <cell r="CI191" t="str">
            <v>FRANGO GRILLER 1200G CONG UN</v>
          </cell>
          <cell r="CJ191">
            <v>9612</v>
          </cell>
          <cell r="CK191">
            <v>1.6151</v>
          </cell>
          <cell r="CL191">
            <v>15524.05</v>
          </cell>
        </row>
        <row r="192">
          <cell r="A192">
            <v>742058</v>
          </cell>
          <cell r="B192" t="str">
            <v>SHS126 SALSICHA HOT DOG S/C PERD 12PT</v>
          </cell>
          <cell r="C192">
            <v>2.488</v>
          </cell>
          <cell r="D192">
            <v>1.8180000000000001</v>
          </cell>
          <cell r="E192">
            <v>-0.13500000000000001</v>
          </cell>
          <cell r="F192">
            <v>-0.39400000000000002</v>
          </cell>
          <cell r="CH192" t="str">
            <v>Relatório</v>
          </cell>
          <cell r="CI192" t="str">
            <v>das Entradas</v>
          </cell>
          <cell r="CJ192">
            <v>9696</v>
          </cell>
          <cell r="CK192">
            <v>1.6485000000000001</v>
          </cell>
          <cell r="CL192">
            <v>15983.66</v>
          </cell>
        </row>
        <row r="193">
          <cell r="A193">
            <v>742066</v>
          </cell>
          <cell r="B193" t="str">
            <v>SVI126 SALSICHA VIENA PERD 12PT CX 6KG</v>
          </cell>
          <cell r="C193">
            <v>2.3370000000000002</v>
          </cell>
          <cell r="D193">
            <v>1.9430000000000001</v>
          </cell>
          <cell r="E193">
            <v>-0.20100000000000001</v>
          </cell>
          <cell r="F193">
            <v>-0.36199999999999999</v>
          </cell>
          <cell r="CH193" t="str">
            <v>Período:</v>
          </cell>
          <cell r="CI193" t="str">
            <v>10.2001  a</v>
          </cell>
          <cell r="CJ193">
            <v>6132</v>
          </cell>
          <cell r="CK193" t="str">
            <v>Centro : 350</v>
          </cell>
          <cell r="CL193" t="e">
            <v>#NAME?</v>
          </cell>
        </row>
        <row r="194">
          <cell r="A194">
            <v>742074</v>
          </cell>
          <cell r="B194" t="str">
            <v>SVS126 SALSICHA VIENA S/COR.PERD 12PT</v>
          </cell>
          <cell r="C194">
            <v>2.62</v>
          </cell>
          <cell r="D194">
            <v>1.9279999999999999</v>
          </cell>
          <cell r="E194">
            <v>-0.13300000000000001</v>
          </cell>
          <cell r="F194">
            <v>-0.40700000000000003</v>
          </cell>
          <cell r="CH194">
            <v>657492</v>
          </cell>
          <cell r="CI194" t="str">
            <v>FRANGO GRILLER 1000G CONG UN</v>
          </cell>
          <cell r="CJ194">
            <v>21080</v>
          </cell>
          <cell r="CK194">
            <v>1.6575</v>
          </cell>
          <cell r="CL194">
            <v>34939.370000000003</v>
          </cell>
        </row>
        <row r="195">
          <cell r="A195">
            <v>742082</v>
          </cell>
          <cell r="B195" t="str">
            <v>SFP126 SALSICHA FGO PERD 12PT CX 6KG</v>
          </cell>
          <cell r="C195">
            <v>2.355</v>
          </cell>
          <cell r="D195">
            <v>1.917</v>
          </cell>
          <cell r="E195">
            <v>-0.24</v>
          </cell>
          <cell r="F195">
            <v>-0.35</v>
          </cell>
          <cell r="CH195">
            <v>657506</v>
          </cell>
          <cell r="CI195" t="str">
            <v>FRANGO GRILLER 1100G CONG UN</v>
          </cell>
          <cell r="CJ195">
            <v>5500</v>
          </cell>
          <cell r="CK195" t="str">
            <v>Produção</v>
          </cell>
          <cell r="CL195">
            <v>8696.9599999999991</v>
          </cell>
        </row>
        <row r="196">
          <cell r="A196">
            <v>743216</v>
          </cell>
          <cell r="B196" t="str">
            <v>BCT126 BIG CHICKEN TRAD PERD 12 CART</v>
          </cell>
          <cell r="C196">
            <v>5.5620000000000003</v>
          </cell>
          <cell r="D196">
            <v>4.1859999999999999</v>
          </cell>
          <cell r="E196">
            <v>-0.24399999999999999</v>
          </cell>
          <cell r="F196">
            <v>-0.67299999999999993</v>
          </cell>
          <cell r="CH196" t="str">
            <v>Código De</v>
          </cell>
          <cell r="CI196" t="str">
            <v>scrição                      UM</v>
          </cell>
          <cell r="CJ196" t="str">
            <v>Qtde</v>
          </cell>
          <cell r="CK196" t="str">
            <v>Unitário</v>
          </cell>
          <cell r="CL196" t="str">
            <v>Vl. Total</v>
          </cell>
        </row>
        <row r="197">
          <cell r="A197">
            <v>749354</v>
          </cell>
          <cell r="B197" t="str">
            <v>PDP015 PRESUNTO TIPO DINAM PERD CX 15KG</v>
          </cell>
          <cell r="C197">
            <v>4.1109999999999998</v>
          </cell>
          <cell r="D197">
            <v>3.0950000000000002</v>
          </cell>
          <cell r="E197">
            <v>-0.153</v>
          </cell>
          <cell r="F197">
            <v>-0.53299999999999992</v>
          </cell>
          <cell r="CH197">
            <v>526002</v>
          </cell>
          <cell r="CI197" t="str">
            <v>FRANGO GRILLER 1300G CONG UN KG</v>
          </cell>
          <cell r="CJ197">
            <v>71773</v>
          </cell>
          <cell r="CK197">
            <v>1.5815999999999999</v>
          </cell>
          <cell r="CL197">
            <v>113512.64</v>
          </cell>
        </row>
        <row r="198">
          <cell r="A198">
            <v>751723</v>
          </cell>
          <cell r="B198" t="str">
            <v>PTC015 PERNIL TEMP CONG PERD CX 12KG</v>
          </cell>
          <cell r="C198">
            <v>5.6959999999999997</v>
          </cell>
          <cell r="D198">
            <v>4.8540000000000001</v>
          </cell>
          <cell r="E198">
            <v>-0.24199999999999999</v>
          </cell>
          <cell r="F198">
            <v>-0.78700000000000014</v>
          </cell>
          <cell r="CH198">
            <v>526843</v>
          </cell>
          <cell r="CI198" t="str">
            <v>FRANGO GRILLER 800G CONG UNE KG</v>
          </cell>
          <cell r="CJ198">
            <v>3408</v>
          </cell>
          <cell r="CK198">
            <v>1.6286</v>
          </cell>
          <cell r="CL198">
            <v>5550.43</v>
          </cell>
        </row>
        <row r="199">
          <cell r="A199">
            <v>758850</v>
          </cell>
          <cell r="B199" t="str">
            <v>CNI003 CODORNA INSTITUCIONAL CX 3KG</v>
          </cell>
          <cell r="C199">
            <v>5.9749999999999996</v>
          </cell>
          <cell r="D199">
            <v>5.0289999999999999</v>
          </cell>
          <cell r="E199">
            <v>-0.27800000000000002</v>
          </cell>
          <cell r="F199">
            <v>-0.751</v>
          </cell>
          <cell r="CH199">
            <v>540889</v>
          </cell>
          <cell r="CI199" t="str">
            <v>FRANGO GRILLER 800G CONG UNE KG</v>
          </cell>
          <cell r="CJ199">
            <v>6088</v>
          </cell>
          <cell r="CK199">
            <v>1.6825000000000001</v>
          </cell>
          <cell r="CL199">
            <v>10242.959999999999</v>
          </cell>
        </row>
        <row r="200">
          <cell r="A200">
            <v>761427</v>
          </cell>
          <cell r="B200" t="str">
            <v>ALM145 MINI ALMONDEGA FGO MON CART 400G</v>
          </cell>
          <cell r="C200">
            <v>5.0449999999999999</v>
          </cell>
          <cell r="D200">
            <v>3.77</v>
          </cell>
          <cell r="E200">
            <v>-0.26100000000000001</v>
          </cell>
          <cell r="F200">
            <v>-0.62400000000000011</v>
          </cell>
          <cell r="CH200">
            <v>540897</v>
          </cell>
          <cell r="CI200" t="str">
            <v>FRANGO GRILLER 900G CONG UNE KG</v>
          </cell>
          <cell r="CJ200">
            <v>4518</v>
          </cell>
          <cell r="CK200">
            <v>1.8989</v>
          </cell>
          <cell r="CL200">
            <v>8579.15</v>
          </cell>
        </row>
        <row r="201">
          <cell r="A201">
            <v>762083</v>
          </cell>
          <cell r="B201" t="str">
            <v>BAT410 BATATA PALITO CONG PERD PT 2,5KG</v>
          </cell>
          <cell r="C201">
            <v>2.9529999999999998</v>
          </cell>
          <cell r="D201">
            <v>2.2320000000000002</v>
          </cell>
          <cell r="E201">
            <v>-0.30499999999999999</v>
          </cell>
          <cell r="F201">
            <v>-0.41699999999999998</v>
          </cell>
          <cell r="CH201">
            <v>540900</v>
          </cell>
          <cell r="CI201" t="str">
            <v>FRANGO GRILLER 1000G CONG UN KG</v>
          </cell>
          <cell r="CJ201">
            <v>11930</v>
          </cell>
          <cell r="CK201">
            <v>1.5862000000000001</v>
          </cell>
          <cell r="CL201">
            <v>18923.91</v>
          </cell>
        </row>
        <row r="202">
          <cell r="A202">
            <v>765627</v>
          </cell>
          <cell r="B202" t="str">
            <v>POL159 POLPETTONI PERD CART 600G CX 9KG</v>
          </cell>
          <cell r="C202">
            <v>8.0990000000000002</v>
          </cell>
          <cell r="D202">
            <v>5.9889999999999999</v>
          </cell>
          <cell r="E202">
            <v>-0.23799999999999999</v>
          </cell>
          <cell r="F202">
            <v>-0.97899999999999987</v>
          </cell>
          <cell r="CH202">
            <v>540919</v>
          </cell>
          <cell r="CI202" t="str">
            <v>FRANGO GRILLER 1100G CONG UN KG</v>
          </cell>
          <cell r="CJ202">
            <v>0</v>
          </cell>
          <cell r="CK202">
            <v>0</v>
          </cell>
          <cell r="CL202">
            <v>0</v>
          </cell>
        </row>
        <row r="203">
          <cell r="A203">
            <v>767603</v>
          </cell>
          <cell r="B203" t="str">
            <v>BAV413 BACON DEF S/COST VAC PERD CX 13KG</v>
          </cell>
          <cell r="C203">
            <v>3.645</v>
          </cell>
          <cell r="D203">
            <v>2.85</v>
          </cell>
          <cell r="E203">
            <v>-0.14899999999999999</v>
          </cell>
          <cell r="F203">
            <v>-0.42099999999999999</v>
          </cell>
          <cell r="CH203">
            <v>540927</v>
          </cell>
          <cell r="CI203" t="str">
            <v>FRANGO GRILLER 1200G CONG UN KG</v>
          </cell>
          <cell r="CJ203">
            <v>10440</v>
          </cell>
          <cell r="CK203">
            <v>1.5464</v>
          </cell>
          <cell r="CL203">
            <v>16144.68</v>
          </cell>
        </row>
        <row r="204">
          <cell r="A204">
            <v>767808</v>
          </cell>
          <cell r="B204" t="str">
            <v>BAR214 BACON DEF RETALHO 2PT CX 14KG</v>
          </cell>
          <cell r="C204">
            <v>3.3730000000000002</v>
          </cell>
          <cell r="D204">
            <v>2.5569999999999999</v>
          </cell>
          <cell r="E204">
            <v>-0.183</v>
          </cell>
          <cell r="F204">
            <v>-0.44299999999999995</v>
          </cell>
          <cell r="CH204">
            <v>591068</v>
          </cell>
          <cell r="CI204" t="str">
            <v>FRANGO GRILLER 800G CONG HAL KG</v>
          </cell>
          <cell r="CJ204">
            <v>24824</v>
          </cell>
          <cell r="CK204">
            <v>1.7749999999999999</v>
          </cell>
          <cell r="CL204">
            <v>44061.59</v>
          </cell>
        </row>
        <row r="205">
          <cell r="A205">
            <v>769614</v>
          </cell>
          <cell r="B205" t="str">
            <v>HBG005 HAMBURGUER BOV INST PERD 84PC 6OG</v>
          </cell>
          <cell r="C205">
            <v>2.9649999999999999</v>
          </cell>
          <cell r="D205">
            <v>2.355</v>
          </cell>
          <cell r="E205">
            <v>-8.1000000000000003E-2</v>
          </cell>
          <cell r="F205">
            <v>-0.378</v>
          </cell>
          <cell r="CH205">
            <v>592641</v>
          </cell>
          <cell r="CI205" t="str">
            <v>FRANGO GRILLER 1500G CONG UN KG</v>
          </cell>
          <cell r="CJ205">
            <v>5556</v>
          </cell>
          <cell r="CK205">
            <v>1.5922000000000001</v>
          </cell>
          <cell r="CL205">
            <v>8846.48</v>
          </cell>
        </row>
        <row r="206">
          <cell r="A206">
            <v>771651</v>
          </cell>
          <cell r="B206" t="str">
            <v>MCK154 MINI CHICKEN FGO MON 15CA 300G</v>
          </cell>
          <cell r="C206">
            <v>5.032</v>
          </cell>
          <cell r="D206">
            <v>3.79</v>
          </cell>
          <cell r="E206">
            <v>-0.21299999999999999</v>
          </cell>
          <cell r="F206">
            <v>-0.61199999999999999</v>
          </cell>
          <cell r="CH206">
            <v>592757</v>
          </cell>
          <cell r="CI206" t="str">
            <v>FRANGO GRILLER 1500G CONG UN KG</v>
          </cell>
          <cell r="CJ206">
            <v>2880</v>
          </cell>
          <cell r="CK206">
            <v>1.5331999999999999</v>
          </cell>
          <cell r="CL206">
            <v>4415.74</v>
          </cell>
        </row>
        <row r="207">
          <cell r="A207">
            <v>771678</v>
          </cell>
          <cell r="B207" t="str">
            <v>CXI003 COXA C/OP (P) PERD CX 3KG</v>
          </cell>
          <cell r="C207">
            <v>2.0950000000000002</v>
          </cell>
          <cell r="D207">
            <v>1.8149999999999999</v>
          </cell>
          <cell r="E207">
            <v>-0.186</v>
          </cell>
          <cell r="F207">
            <v>-0.13100000000000001</v>
          </cell>
          <cell r="CH207">
            <v>615315</v>
          </cell>
          <cell r="CI207" t="str">
            <v>FRANGO GRILLER 800G CONG BOR KG</v>
          </cell>
          <cell r="CJ207">
            <v>37064</v>
          </cell>
          <cell r="CK207">
            <v>1.6337999999999999</v>
          </cell>
          <cell r="CL207">
            <v>60556.85</v>
          </cell>
        </row>
        <row r="208">
          <cell r="A208">
            <v>771686</v>
          </cell>
          <cell r="B208" t="str">
            <v>SXI003 SOBRECOXA C/OP (P) PERD CX 3KG</v>
          </cell>
          <cell r="C208">
            <v>2.1880000000000002</v>
          </cell>
          <cell r="D208">
            <v>1.9119999999999999</v>
          </cell>
          <cell r="E208">
            <v>-0.17699999999999999</v>
          </cell>
          <cell r="F208">
            <v>-0.14899999999999999</v>
          </cell>
          <cell r="CH208">
            <v>657484</v>
          </cell>
          <cell r="CI208" t="str">
            <v>FRANGO GRILLER 900G CONG UNE KG</v>
          </cell>
          <cell r="CJ208">
            <v>52758</v>
          </cell>
          <cell r="CK208">
            <v>1.6437999999999999</v>
          </cell>
          <cell r="CL208">
            <v>86725.119999999995</v>
          </cell>
        </row>
        <row r="209">
          <cell r="A209">
            <v>771694</v>
          </cell>
          <cell r="B209" t="str">
            <v>CSI003 COXA SOBREC C/OP (P) PERD CX 3KG</v>
          </cell>
          <cell r="C209">
            <v>2.1389999999999998</v>
          </cell>
          <cell r="D209">
            <v>1.875</v>
          </cell>
          <cell r="E209">
            <v>-0.22</v>
          </cell>
          <cell r="F209">
            <v>-0.161</v>
          </cell>
          <cell r="CH209">
            <v>657514</v>
          </cell>
          <cell r="CI209" t="str">
            <v>FRANGO GRILLER 1200G CONG UN KG</v>
          </cell>
          <cell r="CJ209">
            <v>6000</v>
          </cell>
          <cell r="CK209">
            <v>1.55</v>
          </cell>
          <cell r="CL209">
            <v>9300.26</v>
          </cell>
        </row>
        <row r="210">
          <cell r="A210">
            <v>773263</v>
          </cell>
          <cell r="B210" t="str">
            <v>FFM154 FILEZINHO EMP FGO MON CAT 300G</v>
          </cell>
          <cell r="C210">
            <v>8.3940000000000001</v>
          </cell>
          <cell r="D210">
            <v>6.2329999999999997</v>
          </cell>
          <cell r="E210">
            <v>-0.27400000000000002</v>
          </cell>
          <cell r="F210">
            <v>-1.1240000000000001</v>
          </cell>
          <cell r="CH210">
            <v>664847</v>
          </cell>
          <cell r="CI210" t="str">
            <v>FRANGO GRILLER 800G CONG PER KG</v>
          </cell>
          <cell r="CJ210">
            <v>6064</v>
          </cell>
          <cell r="CK210">
            <v>1.8199000000000001</v>
          </cell>
          <cell r="CL210">
            <v>11035.9</v>
          </cell>
        </row>
        <row r="211">
          <cell r="A211">
            <v>775592</v>
          </cell>
          <cell r="B211" t="str">
            <v>PMF214 PRESUNTO DEF MARYL FAT PT 200G</v>
          </cell>
          <cell r="C211">
            <v>6.5540000000000003</v>
          </cell>
          <cell r="D211">
            <v>4.8840000000000003</v>
          </cell>
          <cell r="E211">
            <v>-0.22600000000000001</v>
          </cell>
          <cell r="F211">
            <v>-0.78500000000000003</v>
          </cell>
          <cell r="CH211">
            <v>664855</v>
          </cell>
          <cell r="CI211" t="str">
            <v>FRANGO GRILLER 900G CONG PER KG</v>
          </cell>
          <cell r="CJ211">
            <v>3204</v>
          </cell>
          <cell r="CK211">
            <v>1.7103999999999999</v>
          </cell>
          <cell r="CL211">
            <v>5480</v>
          </cell>
        </row>
        <row r="212">
          <cell r="A212">
            <v>775606</v>
          </cell>
          <cell r="B212" t="str">
            <v>PTF214 PRESUNTO TRADIC FAT PT 200G PERD</v>
          </cell>
          <cell r="C212">
            <v>6.258</v>
          </cell>
          <cell r="D212">
            <v>4.6719999999999997</v>
          </cell>
          <cell r="E212">
            <v>-0.19600000000000001</v>
          </cell>
          <cell r="F212">
            <v>-0.76899999999999991</v>
          </cell>
          <cell r="CH212">
            <v>664863</v>
          </cell>
          <cell r="CI212" t="str">
            <v>FRANGO GRILLER 1000G CONG PE KG</v>
          </cell>
          <cell r="CJ212">
            <v>18460</v>
          </cell>
          <cell r="CK212">
            <v>1.5765</v>
          </cell>
          <cell r="CL212">
            <v>29102.55</v>
          </cell>
        </row>
        <row r="213">
          <cell r="A213">
            <v>775614</v>
          </cell>
          <cell r="B213" t="str">
            <v>APF214 APRESUNTADO FAT PT 200G PERD</v>
          </cell>
          <cell r="C213">
            <v>4.6440000000000001</v>
          </cell>
          <cell r="D213">
            <v>3.6160000000000001</v>
          </cell>
          <cell r="E213">
            <v>-0.186</v>
          </cell>
          <cell r="F213">
            <v>-0.61699999999999988</v>
          </cell>
          <cell r="CH213">
            <v>664871</v>
          </cell>
          <cell r="CI213" t="str">
            <v>FRANGO GRILLER 1100G CONG PE KG</v>
          </cell>
          <cell r="CJ213">
            <v>55</v>
          </cell>
          <cell r="CK213">
            <v>1.5672999999999999</v>
          </cell>
          <cell r="CL213">
            <v>86.2</v>
          </cell>
        </row>
        <row r="214">
          <cell r="A214">
            <v>775622</v>
          </cell>
          <cell r="B214" t="str">
            <v>MHF214 MORTADELA CHESTERELLA FAT PT 200G</v>
          </cell>
          <cell r="C214">
            <v>5.6260000000000003</v>
          </cell>
          <cell r="D214">
            <v>4.5960000000000001</v>
          </cell>
          <cell r="E214">
            <v>-0.23599999999999999</v>
          </cell>
          <cell r="F214">
            <v>-0.72700000000000009</v>
          </cell>
          <cell r="CH214">
            <v>664880</v>
          </cell>
          <cell r="CI214" t="str">
            <v>FRANGO GRILLER 1200G CONG PE KG</v>
          </cell>
          <cell r="CJ214">
            <v>11640</v>
          </cell>
          <cell r="CK214">
            <v>1.5491999999999999</v>
          </cell>
          <cell r="CL214">
            <v>18032.5</v>
          </cell>
        </row>
        <row r="215">
          <cell r="A215">
            <v>775630</v>
          </cell>
          <cell r="B215" t="str">
            <v>MBF214 MORTADELA BOLOGON FAT PT 200G</v>
          </cell>
          <cell r="C215">
            <v>4.1210000000000004</v>
          </cell>
          <cell r="D215">
            <v>3.3210000000000002</v>
          </cell>
          <cell r="E215">
            <v>-0.20499999999999999</v>
          </cell>
          <cell r="F215">
            <v>-0.55299999999999994</v>
          </cell>
          <cell r="CH215">
            <v>664898</v>
          </cell>
          <cell r="CI215" t="str">
            <v>FRANGO GRILLER 1300G CONG PE KG</v>
          </cell>
          <cell r="CJ215">
            <v>7852</v>
          </cell>
          <cell r="CK215">
            <v>1.5349999999999999</v>
          </cell>
          <cell r="CL215">
            <v>12052.97</v>
          </cell>
        </row>
        <row r="216">
          <cell r="A216">
            <v>775649</v>
          </cell>
          <cell r="B216" t="str">
            <v>PEF214 PEITO DEF CHT FAT PT 200G PERD</v>
          </cell>
          <cell r="C216">
            <v>5.8659999999999997</v>
          </cell>
          <cell r="D216">
            <v>4.3600000000000003</v>
          </cell>
          <cell r="E216">
            <v>-0.22700000000000001</v>
          </cell>
          <cell r="F216">
            <v>-0.72199999999999998</v>
          </cell>
          <cell r="CH216">
            <v>664901</v>
          </cell>
          <cell r="CI216" t="str">
            <v>FRANGO GRILLER 1400G CONG PE KG</v>
          </cell>
          <cell r="CJ216">
            <v>9366</v>
          </cell>
          <cell r="CK216">
            <v>1.5572999999999999</v>
          </cell>
          <cell r="CL216">
            <v>14585.49</v>
          </cell>
        </row>
        <row r="217">
          <cell r="A217">
            <v>775746</v>
          </cell>
          <cell r="B217" t="str">
            <v>STF154 STICKS FGO EMP CART 300G</v>
          </cell>
          <cell r="C217">
            <v>6.0659999999999998</v>
          </cell>
          <cell r="D217">
            <v>4.5599999999999996</v>
          </cell>
          <cell r="E217">
            <v>-0.25900000000000001</v>
          </cell>
          <cell r="F217">
            <v>-0.755</v>
          </cell>
          <cell r="CH217">
            <v>664910</v>
          </cell>
          <cell r="CI217" t="str">
            <v>FRANGO GRILLER 1500G CONG PE KG</v>
          </cell>
          <cell r="CJ217">
            <v>8388</v>
          </cell>
          <cell r="CK217">
            <v>1.5507</v>
          </cell>
          <cell r="CL217">
            <v>13007.32</v>
          </cell>
        </row>
        <row r="218">
          <cell r="A218">
            <v>775754</v>
          </cell>
          <cell r="B218" t="str">
            <v>CRA154 CROQUETE CARNE BOV CART 300G PERD</v>
          </cell>
          <cell r="C218">
            <v>6.0890000000000004</v>
          </cell>
          <cell r="D218">
            <v>4.5439999999999996</v>
          </cell>
          <cell r="E218">
            <v>-0.249</v>
          </cell>
          <cell r="F218">
            <v>-0.73399999999999999</v>
          </cell>
          <cell r="CH218">
            <v>664936</v>
          </cell>
          <cell r="CI218" t="str">
            <v>FRANGO GRILLER 900G CONG HAL KG</v>
          </cell>
          <cell r="CJ218">
            <v>87408</v>
          </cell>
          <cell r="CK218">
            <v>1.5913999999999999</v>
          </cell>
          <cell r="CL218">
            <v>139100.44</v>
          </cell>
        </row>
        <row r="219">
          <cell r="A219">
            <v>778664</v>
          </cell>
          <cell r="B219" t="str">
            <v>MCC003 MEDALHAO CHESTER CONG INST CX 3KG</v>
          </cell>
          <cell r="C219">
            <v>5.3570000000000002</v>
          </cell>
          <cell r="D219">
            <v>4.282</v>
          </cell>
          <cell r="E219">
            <v>-0.23899999999999999</v>
          </cell>
          <cell r="F219">
            <v>-0.68400000000000005</v>
          </cell>
          <cell r="CH219">
            <v>664944</v>
          </cell>
          <cell r="CI219" t="str">
            <v>FRANGO GRILLER 1000G CONG HA KG</v>
          </cell>
          <cell r="CJ219">
            <v>100</v>
          </cell>
          <cell r="CK219">
            <v>1.5297000000000001</v>
          </cell>
          <cell r="CL219">
            <v>152.97</v>
          </cell>
        </row>
        <row r="220">
          <cell r="A220">
            <v>778672</v>
          </cell>
          <cell r="B220" t="str">
            <v>PRC003 PEITO S/OP REC C BLEU INST CX 3KG</v>
          </cell>
          <cell r="C220">
            <v>5.3570000000000002</v>
          </cell>
          <cell r="D220">
            <v>4.0380000000000003</v>
          </cell>
          <cell r="E220">
            <v>-0.222</v>
          </cell>
          <cell r="F220">
            <v>-0.66700000000000004</v>
          </cell>
          <cell r="CH220">
            <v>664952</v>
          </cell>
          <cell r="CI220" t="str">
            <v>FRANGO GRILLER 1100G CONG HA KG</v>
          </cell>
          <cell r="CJ220">
            <v>13948</v>
          </cell>
          <cell r="CK220">
            <v>1.5559000000000001</v>
          </cell>
          <cell r="CL220">
            <v>21701.55</v>
          </cell>
        </row>
        <row r="221">
          <cell r="A221">
            <v>780260</v>
          </cell>
          <cell r="B221" t="str">
            <v>BRF005 BACON REDONDO FAT CART 250G PERD</v>
          </cell>
          <cell r="C221">
            <v>6.8079999999999998</v>
          </cell>
          <cell r="D221">
            <v>5.1390000000000002</v>
          </cell>
          <cell r="E221">
            <v>-0.24</v>
          </cell>
          <cell r="F221">
            <v>-0.80800000000000005</v>
          </cell>
          <cell r="CH221">
            <v>664960</v>
          </cell>
          <cell r="CI221" t="str">
            <v>FRANGO GRILLER 1200G CONG HA KG</v>
          </cell>
          <cell r="CJ221">
            <v>46284</v>
          </cell>
          <cell r="CK221">
            <v>1.5824</v>
          </cell>
          <cell r="CL221">
            <v>73238.22</v>
          </cell>
        </row>
        <row r="222">
          <cell r="A222">
            <v>781509</v>
          </cell>
          <cell r="B222" t="str">
            <v>CRM025 CARRE SUI CONG PERD CX 25KG</v>
          </cell>
          <cell r="C222">
            <v>3.3809999999999998</v>
          </cell>
          <cell r="D222">
            <v>3.0179999999999998</v>
          </cell>
          <cell r="E222">
            <v>-0.191</v>
          </cell>
          <cell r="F222">
            <v>-0.51400000000000001</v>
          </cell>
          <cell r="CH222">
            <v>676705</v>
          </cell>
          <cell r="CI222" t="str">
            <v>FRANGO GRILLER 900G CONG HAL KG</v>
          </cell>
          <cell r="CJ222">
            <v>18018</v>
          </cell>
          <cell r="CK222">
            <v>1.9233</v>
          </cell>
          <cell r="CL222">
            <v>34653.339999999997</v>
          </cell>
        </row>
        <row r="223">
          <cell r="A223">
            <v>782769</v>
          </cell>
          <cell r="B223" t="str">
            <v>KIB003 KIBE BOV CONG PERD INST CX 3KG</v>
          </cell>
          <cell r="C223">
            <v>3.782</v>
          </cell>
          <cell r="D223">
            <v>2.8180000000000001</v>
          </cell>
          <cell r="E223">
            <v>-0.218</v>
          </cell>
          <cell r="F223">
            <v>-0.51500000000000001</v>
          </cell>
          <cell r="CH223">
            <v>676713</v>
          </cell>
          <cell r="CI223" t="str">
            <v>FRANGO GRILLER 1000G CONG HA KG</v>
          </cell>
          <cell r="CJ223">
            <v>45640</v>
          </cell>
          <cell r="CK223">
            <v>1.6516999999999999</v>
          </cell>
          <cell r="CL223">
            <v>75384.679999999993</v>
          </cell>
        </row>
        <row r="224">
          <cell r="A224">
            <v>782785</v>
          </cell>
          <cell r="B224" t="str">
            <v>PFB003 PEITO FGO COZIDO PERD CX 3KG</v>
          </cell>
          <cell r="C224">
            <v>3.722</v>
          </cell>
          <cell r="D224">
            <v>2.9729999999999999</v>
          </cell>
          <cell r="E224">
            <v>-0.112</v>
          </cell>
          <cell r="F224">
            <v>-0.36299999999999999</v>
          </cell>
          <cell r="CH224">
            <v>676730</v>
          </cell>
          <cell r="CI224" t="str">
            <v>FRANGO GRILLER 1200G CONG HA KG</v>
          </cell>
          <cell r="CJ224">
            <v>25320</v>
          </cell>
          <cell r="CK224">
            <v>1.5452999999999999</v>
          </cell>
          <cell r="CL224">
            <v>39126.04</v>
          </cell>
        </row>
        <row r="225">
          <cell r="A225">
            <v>782793</v>
          </cell>
          <cell r="B225" t="str">
            <v>MSC003 MEDALHAO SUI CONG INST CX 3KG</v>
          </cell>
          <cell r="C225">
            <v>3.9649999999999999</v>
          </cell>
          <cell r="D225">
            <v>2.944</v>
          </cell>
          <cell r="E225">
            <v>-0.14599999999999999</v>
          </cell>
          <cell r="F225">
            <v>-0.5129999999999999</v>
          </cell>
          <cell r="CH225">
            <v>697460</v>
          </cell>
          <cell r="CI225" t="str">
            <v>FRANGO GRILLER 1300G CONG HA KG</v>
          </cell>
          <cell r="CJ225">
            <v>14807</v>
          </cell>
          <cell r="CK225">
            <v>1.6005</v>
          </cell>
          <cell r="CL225">
            <v>23698.44</v>
          </cell>
        </row>
        <row r="226">
          <cell r="A226">
            <v>783030</v>
          </cell>
          <cell r="B226" t="str">
            <v>MCK003 MINI CHICKEN FGO INST CX 3KG</v>
          </cell>
          <cell r="C226">
            <v>4.391</v>
          </cell>
          <cell r="D226">
            <v>3.306</v>
          </cell>
          <cell r="E226">
            <v>-0.218</v>
          </cell>
          <cell r="F226">
            <v>-0.55700000000000005</v>
          </cell>
          <cell r="CH226">
            <v>745316</v>
          </cell>
          <cell r="CI226" t="str">
            <v>FRANGO GRILLER 1000G CONG HA KG</v>
          </cell>
          <cell r="CJ226">
            <v>42470</v>
          </cell>
          <cell r="CK226">
            <v>1.6144000000000001</v>
          </cell>
          <cell r="CL226">
            <v>68563.070000000007</v>
          </cell>
        </row>
        <row r="227">
          <cell r="A227">
            <v>784290</v>
          </cell>
          <cell r="B227" t="str">
            <v>PHF214 PRESUNTO CHT COZ FAT PT 200G</v>
          </cell>
          <cell r="C227">
            <v>5.9939999999999998</v>
          </cell>
          <cell r="D227">
            <v>4.4820000000000002</v>
          </cell>
          <cell r="E227">
            <v>-0.249</v>
          </cell>
          <cell r="F227">
            <v>-0.72100000000000009</v>
          </cell>
          <cell r="CH227">
            <v>745324</v>
          </cell>
          <cell r="CI227" t="str">
            <v>FRANGO GRILLER 1100G CONG HA KG</v>
          </cell>
          <cell r="CJ227">
            <v>47531</v>
          </cell>
          <cell r="CK227">
            <v>1.6947000000000001</v>
          </cell>
          <cell r="CL227">
            <v>80551.240000000005</v>
          </cell>
        </row>
        <row r="228">
          <cell r="A228">
            <v>785660</v>
          </cell>
          <cell r="B228" t="str">
            <v>ALB003 ALMONDEGA BOV INST PERD CX 3KG</v>
          </cell>
          <cell r="C228">
            <v>3.754</v>
          </cell>
          <cell r="D228">
            <v>2.8130000000000002</v>
          </cell>
          <cell r="E228">
            <v>-0.25800000000000001</v>
          </cell>
          <cell r="F228">
            <v>-0.49299999999999999</v>
          </cell>
          <cell r="CH228">
            <v>745332</v>
          </cell>
          <cell r="CI228" t="str">
            <v>FRANGO GRILLER 1200G CONG HA KG</v>
          </cell>
          <cell r="CJ228">
            <v>126024</v>
          </cell>
          <cell r="CK228">
            <v>1.6173999999999999</v>
          </cell>
          <cell r="CL228">
            <v>203828.36</v>
          </cell>
        </row>
        <row r="229">
          <cell r="A229">
            <v>786233</v>
          </cell>
          <cell r="B229" t="str">
            <v>MBB007 MORTADELA BOLONHA BEX PERD CX 7KG</v>
          </cell>
          <cell r="C229">
            <v>3.2549999999999999</v>
          </cell>
          <cell r="D229">
            <v>2.7029999999999998</v>
          </cell>
          <cell r="E229">
            <v>-0.22</v>
          </cell>
          <cell r="F229">
            <v>-0.47300000000000003</v>
          </cell>
          <cell r="CH229">
            <v>745359</v>
          </cell>
          <cell r="CI229" t="str">
            <v>FRANGO GRILLER 1400G CONG HA KG</v>
          </cell>
          <cell r="CJ229">
            <v>8400</v>
          </cell>
          <cell r="CK229">
            <v>1.6075999999999999</v>
          </cell>
          <cell r="CL229">
            <v>13504.19</v>
          </cell>
        </row>
        <row r="230">
          <cell r="A230">
            <v>786241</v>
          </cell>
          <cell r="B230" t="str">
            <v>MBB009 MORTADELA BOLONHA BEX PERD CX 9KG</v>
          </cell>
          <cell r="C230">
            <v>3.7949999999999999</v>
          </cell>
          <cell r="D230">
            <v>3.3780000000000001</v>
          </cell>
          <cell r="E230">
            <v>-2.9000000000000001E-2</v>
          </cell>
          <cell r="F230">
            <v>-1.081</v>
          </cell>
          <cell r="CH230">
            <v>770299</v>
          </cell>
          <cell r="CI230" t="str">
            <v>FRANGO GRILLER 1300G CONG UN KG</v>
          </cell>
          <cell r="CJ230">
            <v>2600</v>
          </cell>
          <cell r="CK230">
            <v>1.5305</v>
          </cell>
          <cell r="CL230">
            <v>3979.38</v>
          </cell>
        </row>
        <row r="231">
          <cell r="A231">
            <v>786250</v>
          </cell>
          <cell r="B231" t="str">
            <v>MCB007 MORTADELA CONF BEX 2PC CX 7KG</v>
          </cell>
          <cell r="C231">
            <v>2.7890000000000001</v>
          </cell>
          <cell r="D231">
            <v>2.21</v>
          </cell>
          <cell r="E231">
            <v>-0.27600000000000002</v>
          </cell>
          <cell r="F231">
            <v>-0.32900000000000007</v>
          </cell>
          <cell r="CH231">
            <v>785725</v>
          </cell>
          <cell r="CI231" t="str">
            <v>FRANGO GRILLER 1400G CONG UN KG</v>
          </cell>
          <cell r="CJ231">
            <v>1988</v>
          </cell>
          <cell r="CK231">
            <v>1.6037999999999999</v>
          </cell>
          <cell r="CL231">
            <v>3188.28</v>
          </cell>
        </row>
        <row r="232">
          <cell r="A232">
            <v>786268</v>
          </cell>
          <cell r="B232" t="str">
            <v>MCB009 MORTADELA CONF BEX 2PC CX 9KG</v>
          </cell>
          <cell r="C232">
            <v>2.85</v>
          </cell>
          <cell r="D232">
            <v>2.1509999999999998</v>
          </cell>
          <cell r="E232">
            <v>-0.36499999999999999</v>
          </cell>
          <cell r="F232">
            <v>-0.27799999999999997</v>
          </cell>
          <cell r="CH232">
            <v>810335</v>
          </cell>
          <cell r="CI232" t="str">
            <v>FRANGO GRILLER 1000G CONG AL KG</v>
          </cell>
          <cell r="CJ232">
            <v>100410</v>
          </cell>
          <cell r="CK232">
            <v>1.6661999999999999</v>
          </cell>
          <cell r="CL232">
            <v>167308.06</v>
          </cell>
        </row>
        <row r="233">
          <cell r="A233">
            <v>786276</v>
          </cell>
          <cell r="B233" t="str">
            <v>BAV412 BACON DEF S/COST VAC PERD CX 12KG</v>
          </cell>
          <cell r="C233">
            <v>3.6819999999999999</v>
          </cell>
          <cell r="D233">
            <v>2.8460000000000001</v>
          </cell>
          <cell r="E233">
            <v>-0.188</v>
          </cell>
          <cell r="F233">
            <v>-0.46500000000000002</v>
          </cell>
          <cell r="CH233">
            <v>810336</v>
          </cell>
          <cell r="CI233" t="str">
            <v>FRANGO GRILLER 1100G CONG AL KG</v>
          </cell>
          <cell r="CJ233">
            <v>99000</v>
          </cell>
          <cell r="CK233">
            <v>1.6504000000000001</v>
          </cell>
          <cell r="CL233">
            <v>163389.56</v>
          </cell>
        </row>
        <row r="234">
          <cell r="A234">
            <v>786284</v>
          </cell>
          <cell r="B234" t="str">
            <v>BAV414 BACON DEF S/COST VAC PERD CX 14KG</v>
          </cell>
          <cell r="C234">
            <v>3.7370000000000001</v>
          </cell>
          <cell r="D234">
            <v>2.847</v>
          </cell>
          <cell r="E234">
            <v>-0.187</v>
          </cell>
          <cell r="F234">
            <v>-0.47699999999999998</v>
          </cell>
          <cell r="CH234">
            <v>810337</v>
          </cell>
          <cell r="CI234" t="str">
            <v>FRANGO GRILLER 1200G CONG AL KG</v>
          </cell>
          <cell r="CJ234">
            <v>51036</v>
          </cell>
          <cell r="CK234">
            <v>1.6398999999999999</v>
          </cell>
          <cell r="CL234">
            <v>83691.67</v>
          </cell>
        </row>
        <row r="235">
          <cell r="A235">
            <v>786292</v>
          </cell>
          <cell r="B235" t="str">
            <v>BCT003 BIG CHICKEN TRADIC INST CX 3KG</v>
          </cell>
          <cell r="C235">
            <v>4.7590000000000003</v>
          </cell>
          <cell r="D235">
            <v>3.577</v>
          </cell>
          <cell r="E235">
            <v>-0.221</v>
          </cell>
          <cell r="F235">
            <v>-0.59499999999999997</v>
          </cell>
          <cell r="CH235">
            <v>811555</v>
          </cell>
          <cell r="CI235" t="str">
            <v>FRANGO GRILLER 800G CONG HAL KG</v>
          </cell>
          <cell r="CJ235">
            <v>13864</v>
          </cell>
          <cell r="CK235">
            <v>1.6424000000000001</v>
          </cell>
          <cell r="CL235">
            <v>22769.84</v>
          </cell>
        </row>
        <row r="236">
          <cell r="A236">
            <v>786659</v>
          </cell>
          <cell r="B236" t="str">
            <v>MCE010 MINI CENOURA CONG PT 500G CX 10KG</v>
          </cell>
          <cell r="C236">
            <v>3.61</v>
          </cell>
          <cell r="D236">
            <v>3.101</v>
          </cell>
          <cell r="E236">
            <v>-0.312</v>
          </cell>
          <cell r="F236">
            <v>-0.56000000000000005</v>
          </cell>
          <cell r="CH236">
            <v>811556</v>
          </cell>
          <cell r="CI236" t="str">
            <v>FRANGO GRILLER 900G CONG HAL KG</v>
          </cell>
          <cell r="CJ236">
            <v>30024</v>
          </cell>
          <cell r="CK236">
            <v>1.7242999999999999</v>
          </cell>
          <cell r="CL236">
            <v>51770.17</v>
          </cell>
        </row>
        <row r="237">
          <cell r="A237">
            <v>786667</v>
          </cell>
          <cell r="B237" t="str">
            <v>VAG010 VAGEM CORTADA CONG 500G CX 10KG</v>
          </cell>
          <cell r="C237">
            <v>3.879</v>
          </cell>
          <cell r="D237">
            <v>3.3519999999999999</v>
          </cell>
          <cell r="E237">
            <v>-0.28999999999999998</v>
          </cell>
          <cell r="F237">
            <v>-0.60300000000000009</v>
          </cell>
          <cell r="CH237">
            <v>811557</v>
          </cell>
          <cell r="CI237" t="str">
            <v>FRANGO GRILLER 1000G CONG HA KG</v>
          </cell>
          <cell r="CJ237">
            <v>94680</v>
          </cell>
          <cell r="CK237">
            <v>1.5966</v>
          </cell>
          <cell r="CL237">
            <v>151169.39000000001</v>
          </cell>
        </row>
        <row r="238">
          <cell r="A238">
            <v>786721</v>
          </cell>
          <cell r="B238" t="str">
            <v>CGA008 CHESTER GEORGIA PERD CX 7,6KG</v>
          </cell>
          <cell r="C238">
            <v>5.7469999999999999</v>
          </cell>
          <cell r="D238">
            <v>4.2809999999999997</v>
          </cell>
          <cell r="E238">
            <v>-0.15</v>
          </cell>
          <cell r="F238">
            <v>-0.71700000000000008</v>
          </cell>
          <cell r="CH238">
            <v>811558</v>
          </cell>
          <cell r="CI238" t="str">
            <v>FRANGO GRILLER 1100G CONG HA KG</v>
          </cell>
          <cell r="CJ238">
            <v>2134</v>
          </cell>
          <cell r="CK238">
            <v>1.5551999999999999</v>
          </cell>
          <cell r="CL238">
            <v>3318.73</v>
          </cell>
        </row>
        <row r="239">
          <cell r="A239">
            <v>791172</v>
          </cell>
          <cell r="B239" t="str">
            <v>BCQ003 BIG CHICKEN C/QUEIJO INST CX 3KG</v>
          </cell>
          <cell r="C239">
            <v>4.6520000000000001</v>
          </cell>
          <cell r="D239">
            <v>3.4849999999999999</v>
          </cell>
          <cell r="E239">
            <v>-0.22700000000000001</v>
          </cell>
          <cell r="F239">
            <v>-0.57300000000000006</v>
          </cell>
          <cell r="CH239">
            <v>811559</v>
          </cell>
          <cell r="CI239" t="str">
            <v>FRANGO GRILLER 1200G CONG HA KG</v>
          </cell>
          <cell r="CJ239">
            <v>1284</v>
          </cell>
          <cell r="CK239">
            <v>1.5397000000000001</v>
          </cell>
          <cell r="CL239">
            <v>1976.92</v>
          </cell>
        </row>
        <row r="240">
          <cell r="A240">
            <v>795879</v>
          </cell>
          <cell r="B240" t="str">
            <v>PCH012 PEITO C/OF S/P INT CHT CX 12KG</v>
          </cell>
          <cell r="C240">
            <v>4.931</v>
          </cell>
          <cell r="D240">
            <v>4.2290000000000001</v>
          </cell>
          <cell r="E240">
            <v>-0.318</v>
          </cell>
          <cell r="F240">
            <v>-0.63700000000000001</v>
          </cell>
          <cell r="CH240">
            <v>811562</v>
          </cell>
          <cell r="CI240" t="str">
            <v>FRANGO GRILLER 1500G CONG HA KG</v>
          </cell>
          <cell r="CJ240">
            <v>468</v>
          </cell>
          <cell r="CK240">
            <v>1.6902999999999999</v>
          </cell>
          <cell r="CL240">
            <v>791.07</v>
          </cell>
        </row>
        <row r="241">
          <cell r="A241">
            <v>795917</v>
          </cell>
          <cell r="B241" t="str">
            <v>MKF154 MINI CHICKEN FGO C/QUEIJO CAR300</v>
          </cell>
          <cell r="C241">
            <v>5.2889999999999997</v>
          </cell>
          <cell r="D241">
            <v>4.0069999999999997</v>
          </cell>
          <cell r="E241">
            <v>-0.25</v>
          </cell>
          <cell r="F241">
            <v>-0.64399999999999991</v>
          </cell>
          <cell r="CH241">
            <v>817191</v>
          </cell>
          <cell r="CI241" t="str">
            <v>FRANGO GRILLER 900G CONG HAL KG</v>
          </cell>
          <cell r="CJ241">
            <v>4959</v>
          </cell>
          <cell r="CK241">
            <v>1.8792</v>
          </cell>
          <cell r="CL241">
            <v>9318.94</v>
          </cell>
        </row>
        <row r="242">
          <cell r="A242">
            <v>796077</v>
          </cell>
          <cell r="B242" t="str">
            <v>LCQ175 LING CALABRESINHA COQUETEL 5,1KG</v>
          </cell>
          <cell r="C242">
            <v>6.4210000000000003</v>
          </cell>
          <cell r="D242">
            <v>5.3070000000000004</v>
          </cell>
          <cell r="E242">
            <v>-0.23799999999999999</v>
          </cell>
          <cell r="F242">
            <v>-0.82099999999999995</v>
          </cell>
          <cell r="CH242">
            <v>822699</v>
          </cell>
          <cell r="CI242" t="str">
            <v>FRANGO GRILLER 1300G CONG PE KG</v>
          </cell>
          <cell r="CJ242">
            <v>6539</v>
          </cell>
          <cell r="CK242">
            <v>1.5455000000000001</v>
          </cell>
          <cell r="CL242">
            <v>10105.91</v>
          </cell>
        </row>
        <row r="243">
          <cell r="A243">
            <v>797421</v>
          </cell>
          <cell r="B243" t="str">
            <v>ALF003 ALMONDEGA FGO CONG PERD INST 3KG</v>
          </cell>
          <cell r="C243">
            <v>3.64</v>
          </cell>
          <cell r="D243">
            <v>2.7320000000000002</v>
          </cell>
          <cell r="E243">
            <v>-0.25700000000000001</v>
          </cell>
          <cell r="F243">
            <v>-0.48099999999999998</v>
          </cell>
          <cell r="CH243">
            <v>826769</v>
          </cell>
          <cell r="CI243" t="str">
            <v>FRANGO GRILLER 700G CONG HAL KG</v>
          </cell>
          <cell r="CJ243">
            <v>4928</v>
          </cell>
          <cell r="CK243">
            <v>1.7908999999999999</v>
          </cell>
          <cell r="CL243">
            <v>8825.76</v>
          </cell>
        </row>
        <row r="244">
          <cell r="A244">
            <v>799327</v>
          </cell>
          <cell r="B244" t="str">
            <v>CHT026 CHESTER INT CONG PERD CX 26 KG</v>
          </cell>
          <cell r="C244">
            <v>3.5659999999999998</v>
          </cell>
          <cell r="D244">
            <v>3.0779999999999998</v>
          </cell>
          <cell r="E244">
            <v>-0.23599999999999999</v>
          </cell>
          <cell r="F244">
            <v>-0.51600000000000001</v>
          </cell>
          <cell r="CH244">
            <v>826770</v>
          </cell>
          <cell r="CI244" t="str">
            <v>FRANGO GRILLER 800G CONG HAL KG</v>
          </cell>
          <cell r="CJ244">
            <v>10168</v>
          </cell>
          <cell r="CK244">
            <v>1.6634</v>
          </cell>
          <cell r="CL244">
            <v>16913.95</v>
          </cell>
        </row>
        <row r="245">
          <cell r="A245">
            <v>807687</v>
          </cell>
          <cell r="B245" t="str">
            <v>SIG006 SALAME ITAL GIGANTE PERD CX 6,1KG</v>
          </cell>
          <cell r="C245">
            <v>8.8569999999999993</v>
          </cell>
          <cell r="D245">
            <v>6.5369999999999999</v>
          </cell>
          <cell r="E245">
            <v>-0.18099999999999999</v>
          </cell>
          <cell r="F245">
            <v>-1.0549999999999999</v>
          </cell>
          <cell r="CH245">
            <v>827094</v>
          </cell>
          <cell r="CI245" t="str">
            <v>FRANGO GRILLER 700G CONG BOR KG</v>
          </cell>
          <cell r="CJ245">
            <v>4249</v>
          </cell>
          <cell r="CK245">
            <v>1.6700999999999999</v>
          </cell>
          <cell r="CL245">
            <v>7096.31</v>
          </cell>
        </row>
        <row r="246">
          <cell r="A246">
            <v>807688</v>
          </cell>
          <cell r="B246" t="str">
            <v>SIG007 SALAME ITAL GIGANTE PERD CX 6,4KG</v>
          </cell>
          <cell r="C246">
            <v>8.64</v>
          </cell>
          <cell r="D246">
            <v>6.3810000000000002</v>
          </cell>
          <cell r="E246">
            <v>-0.192</v>
          </cell>
          <cell r="F246">
            <v>-1.0309999999999999</v>
          </cell>
          <cell r="CH246">
            <v>827332</v>
          </cell>
          <cell r="CI246" t="str">
            <v>FRANGO GRILLER 700G CONG HAL KG</v>
          </cell>
          <cell r="CJ246">
            <v>630</v>
          </cell>
          <cell r="CK246">
            <v>1.6423000000000001</v>
          </cell>
          <cell r="CL246">
            <v>1034.68</v>
          </cell>
        </row>
        <row r="247">
          <cell r="A247">
            <v>807764</v>
          </cell>
          <cell r="B247" t="str">
            <v>PFC015 PEITO S/OPF CUBOS 19MM PT 3KG</v>
          </cell>
          <cell r="C247">
            <v>3.8519999999999999</v>
          </cell>
          <cell r="D247">
            <v>3.4380000000000002</v>
          </cell>
          <cell r="E247">
            <v>-0.189</v>
          </cell>
          <cell r="F247">
            <v>-0.21199999999999999</v>
          </cell>
          <cell r="CH247">
            <v>827917</v>
          </cell>
          <cell r="CI247" t="str">
            <v>FRANGO GRILLER 1500G CONG BO KG</v>
          </cell>
          <cell r="CJ247">
            <v>6000</v>
          </cell>
          <cell r="CK247">
            <v>1.5749</v>
          </cell>
          <cell r="CL247">
            <v>9449.17</v>
          </cell>
        </row>
        <row r="248">
          <cell r="A248">
            <v>807766</v>
          </cell>
          <cell r="B248" t="str">
            <v>PCI005 PEITO CHT S/OP TEMP MET CX 5KG</v>
          </cell>
          <cell r="C248">
            <v>5.0110000000000001</v>
          </cell>
          <cell r="D248">
            <v>4.2480000000000002</v>
          </cell>
          <cell r="E248">
            <v>-0.219</v>
          </cell>
          <cell r="F248">
            <v>-0.70200000000000007</v>
          </cell>
          <cell r="CH248">
            <v>838358</v>
          </cell>
          <cell r="CI248" t="str">
            <v>FRANGO GRILLER 900G CONG PER KG</v>
          </cell>
          <cell r="CJ248">
            <v>15489</v>
          </cell>
          <cell r="CK248">
            <v>1.6843999999999999</v>
          </cell>
          <cell r="CL248">
            <v>26089.07</v>
          </cell>
        </row>
        <row r="249">
          <cell r="A249">
            <v>807770</v>
          </cell>
          <cell r="B249" t="str">
            <v>PRB003 PEITO REC BROCOLIS INST CX 3KG</v>
          </cell>
          <cell r="C249">
            <v>4.8819999999999997</v>
          </cell>
          <cell r="D249">
            <v>3.6269999999999998</v>
          </cell>
          <cell r="E249">
            <v>-0.16900000000000001</v>
          </cell>
          <cell r="F249">
            <v>-0.65</v>
          </cell>
          <cell r="CH249">
            <v>838359</v>
          </cell>
          <cell r="CI249" t="str">
            <v>FRANGO GRILLER 1000G CONG PE KG</v>
          </cell>
          <cell r="CJ249">
            <v>107220</v>
          </cell>
          <cell r="CK249">
            <v>1.6143000000000001</v>
          </cell>
          <cell r="CL249">
            <v>173081.01</v>
          </cell>
        </row>
        <row r="250">
          <cell r="A250">
            <v>807841</v>
          </cell>
          <cell r="B250" t="str">
            <v>SFT016 SOBRECOXA C/OP FGO TEMP PT 1KG</v>
          </cell>
          <cell r="C250">
            <v>2.0670000000000002</v>
          </cell>
          <cell r="D250">
            <v>1.738</v>
          </cell>
          <cell r="E250">
            <v>-0.156</v>
          </cell>
          <cell r="F250">
            <v>-0.155</v>
          </cell>
          <cell r="CH250">
            <v>838360</v>
          </cell>
          <cell r="CI250" t="str">
            <v>FRANGO GRILLER 1100G CONG PE KG</v>
          </cell>
          <cell r="CJ250">
            <v>14091</v>
          </cell>
          <cell r="CK250">
            <v>1.6129</v>
          </cell>
          <cell r="CL250">
            <v>22727.46</v>
          </cell>
        </row>
        <row r="251">
          <cell r="A251">
            <v>807885</v>
          </cell>
          <cell r="B251" t="str">
            <v>PCA147 PANQUECA CARNE CART 550G PERD</v>
          </cell>
          <cell r="C251">
            <v>8.0429999999999993</v>
          </cell>
          <cell r="D251">
            <v>5.9950000000000001</v>
          </cell>
          <cell r="E251">
            <v>-0.27300000000000002</v>
          </cell>
          <cell r="F251">
            <v>-0.94600000000000006</v>
          </cell>
          <cell r="CH251">
            <v>50200400</v>
          </cell>
          <cell r="CI251" t="str">
            <v>2 - ELABORADOS</v>
          </cell>
          <cell r="CJ251">
            <v>15000</v>
          </cell>
          <cell r="CK251">
            <v>4.0419</v>
          </cell>
          <cell r="CL251">
            <v>60628.46</v>
          </cell>
        </row>
        <row r="252">
          <cell r="A252">
            <v>807886</v>
          </cell>
          <cell r="B252" t="str">
            <v>PFG147 PANQUECA FGO PERD 14 CART 550G</v>
          </cell>
          <cell r="C252">
            <v>5.9379999999999997</v>
          </cell>
          <cell r="D252">
            <v>4.6950000000000003</v>
          </cell>
          <cell r="E252">
            <v>-0.28599999999999998</v>
          </cell>
          <cell r="F252">
            <v>-0.72600000000000009</v>
          </cell>
          <cell r="CH252">
            <v>747378</v>
          </cell>
          <cell r="CI252" t="str">
            <v>FRANGO BROILER 1200G CONG PE</v>
          </cell>
          <cell r="CJ252">
            <v>203496</v>
          </cell>
          <cell r="CK252">
            <v>1.5611999999999999</v>
          </cell>
          <cell r="CL252">
            <v>317690.14</v>
          </cell>
        </row>
        <row r="253">
          <cell r="A253">
            <v>808060</v>
          </cell>
          <cell r="B253" t="str">
            <v>REN157 PEITO RECH NAPOLI EMP CART 500G</v>
          </cell>
          <cell r="C253">
            <v>6.6849999999999996</v>
          </cell>
          <cell r="D253">
            <v>5.0119999999999996</v>
          </cell>
          <cell r="E253">
            <v>-0.24299999999999999</v>
          </cell>
          <cell r="F253">
            <v>-0.80599999999999983</v>
          </cell>
          <cell r="CH253" t="str">
            <v>EMPRESAS</v>
          </cell>
          <cell r="CI253" t="str">
            <v>PERDIGÃO</v>
          </cell>
          <cell r="CJ253">
            <v>211434</v>
          </cell>
          <cell r="CK253">
            <v>1.5510999999999999</v>
          </cell>
          <cell r="CL253">
            <v>327961.58</v>
          </cell>
        </row>
        <row r="254">
          <cell r="A254">
            <v>808061</v>
          </cell>
          <cell r="B254" t="str">
            <v>REC157 PEITO FGO REC CHAMPIG CART 500G</v>
          </cell>
          <cell r="C254">
            <v>6.6820000000000004</v>
          </cell>
          <cell r="D254">
            <v>4.9800000000000004</v>
          </cell>
          <cell r="E254">
            <v>-0.24399999999999999</v>
          </cell>
          <cell r="F254">
            <v>-0.80699999999999994</v>
          </cell>
          <cell r="CH254" t="str">
            <v>Z611021 -</v>
          </cell>
          <cell r="CI254" t="str">
            <v>FRANGO BROILER 1400G CONG PE</v>
          </cell>
          <cell r="CJ254">
            <v>119504</v>
          </cell>
          <cell r="CK254">
            <v>1.5438000000000001</v>
          </cell>
          <cell r="CL254">
            <v>184493.04</v>
          </cell>
        </row>
        <row r="255">
          <cell r="A255">
            <v>808062</v>
          </cell>
          <cell r="B255" t="str">
            <v>REB157 RECH TOPPING CREME BROCOLIS 500G</v>
          </cell>
          <cell r="C255">
            <v>6.758</v>
          </cell>
          <cell r="D255">
            <v>5.0179999999999998</v>
          </cell>
          <cell r="E255">
            <v>-0.22800000000000001</v>
          </cell>
          <cell r="F255">
            <v>-0.81899999999999995</v>
          </cell>
          <cell r="CH255" t="str">
            <v>Moeda: RE</v>
          </cell>
          <cell r="CI255" t="str">
            <v>AL</v>
          </cell>
          <cell r="CJ255">
            <v>30180</v>
          </cell>
          <cell r="CK255">
            <v>1.5408999999999999</v>
          </cell>
          <cell r="CL255">
            <v>46504.81</v>
          </cell>
        </row>
        <row r="256">
          <cell r="A256">
            <v>808063</v>
          </cell>
          <cell r="B256" t="str">
            <v>REQ157 RECH TOPPING CREME QUEIJO 500G</v>
          </cell>
          <cell r="C256">
            <v>6.681</v>
          </cell>
          <cell r="D256">
            <v>4.9779999999999998</v>
          </cell>
          <cell r="E256">
            <v>-0.24299999999999999</v>
          </cell>
          <cell r="F256">
            <v>-0.81</v>
          </cell>
          <cell r="CH256">
            <v>761990</v>
          </cell>
          <cell r="CI256" t="str">
            <v>FRANGO BROILER 900G CONG PER</v>
          </cell>
          <cell r="CJ256">
            <v>22107.599999999999</v>
          </cell>
          <cell r="CK256">
            <v>1.6043000000000001</v>
          </cell>
          <cell r="CL256">
            <v>35467.94</v>
          </cell>
        </row>
        <row r="257">
          <cell r="A257">
            <v>808311</v>
          </cell>
          <cell r="B257" t="str">
            <v>LTT201 LINGUICA TOSC CHUR TORCIDA PT 1KG</v>
          </cell>
          <cell r="C257">
            <v>2.782</v>
          </cell>
          <cell r="D257">
            <v>2.2549999999999999</v>
          </cell>
          <cell r="E257">
            <v>-0.16700000000000001</v>
          </cell>
          <cell r="F257">
            <v>-0.42700000000000005</v>
          </cell>
          <cell r="CH257" t="str">
            <v>Relatório</v>
          </cell>
          <cell r="CI257" t="str">
            <v>das Entradas</v>
          </cell>
          <cell r="CJ257">
            <v>46542</v>
          </cell>
          <cell r="CK257">
            <v>1.5619000000000001</v>
          </cell>
          <cell r="CL257">
            <v>72696.03</v>
          </cell>
        </row>
        <row r="258">
          <cell r="A258">
            <v>809345</v>
          </cell>
          <cell r="B258" t="str">
            <v>LAC015 LANCHE CONFIANCA PC 3,75KG</v>
          </cell>
          <cell r="C258">
            <v>2.444</v>
          </cell>
          <cell r="D258">
            <v>1.921</v>
          </cell>
          <cell r="E258">
            <v>-0.192</v>
          </cell>
          <cell r="F258">
            <v>-0.32800000000000001</v>
          </cell>
          <cell r="CH258" t="str">
            <v>Período:</v>
          </cell>
          <cell r="CI258" t="str">
            <v>10.2001  a</v>
          </cell>
          <cell r="CJ258">
            <v>200144</v>
          </cell>
          <cell r="CK258" t="str">
            <v>Centro : 350</v>
          </cell>
          <cell r="CL258" t="e">
            <v>#NAME?</v>
          </cell>
        </row>
        <row r="259">
          <cell r="A259">
            <v>809776</v>
          </cell>
          <cell r="B259" t="str">
            <v>LSB085 LASANHA BOLONHESA PERD 650G 5,2KG</v>
          </cell>
          <cell r="C259">
            <v>6.202</v>
          </cell>
          <cell r="D259">
            <v>4.6900000000000004</v>
          </cell>
          <cell r="E259">
            <v>-0.30199999999999999</v>
          </cell>
          <cell r="F259">
            <v>-0.7669999999999999</v>
          </cell>
          <cell r="CH259">
            <v>50200500</v>
          </cell>
          <cell r="CI259" t="str">
            <v>2007 - PERU CORTES</v>
          </cell>
          <cell r="CJ259">
            <v>198192</v>
          </cell>
          <cell r="CK259">
            <v>0.63270000000000004</v>
          </cell>
          <cell r="CL259">
            <v>125405.01</v>
          </cell>
        </row>
        <row r="260">
          <cell r="A260">
            <v>809829</v>
          </cell>
          <cell r="B260" t="str">
            <v>CSP015 COXA SOBREC C/OP (P) ITF CX 15KG</v>
          </cell>
          <cell r="C260">
            <v>1.927</v>
          </cell>
          <cell r="D260">
            <v>1.7090000000000001</v>
          </cell>
          <cell r="E260">
            <v>-0.122</v>
          </cell>
          <cell r="F260">
            <v>-0.11600000000000002</v>
          </cell>
          <cell r="CH260">
            <v>50200500</v>
          </cell>
          <cell r="CI260" t="str">
            <v>2007003 - PERU CORTES ASA</v>
          </cell>
          <cell r="CJ260">
            <v>188877</v>
          </cell>
          <cell r="CK260" t="str">
            <v>Produção</v>
          </cell>
          <cell r="CL260">
            <v>121556.19</v>
          </cell>
        </row>
        <row r="261">
          <cell r="A261">
            <v>809959</v>
          </cell>
          <cell r="B261" t="str">
            <v>LSQ085 LASANHA QUATRO QUEIJOS CART 650G</v>
          </cell>
          <cell r="C261">
            <v>6.16</v>
          </cell>
          <cell r="D261">
            <v>4.6440000000000001</v>
          </cell>
          <cell r="E261">
            <v>-0.28399999999999997</v>
          </cell>
          <cell r="F261">
            <v>-0.77200000000000002</v>
          </cell>
          <cell r="CH261" t="str">
            <v>Código De</v>
          </cell>
          <cell r="CI261" t="str">
            <v>scrição                      UM</v>
          </cell>
          <cell r="CJ261" t="str">
            <v>Qtde</v>
          </cell>
          <cell r="CK261" t="str">
            <v>Unitário</v>
          </cell>
          <cell r="CL261" t="str">
            <v>Vl. Total</v>
          </cell>
        </row>
        <row r="262">
          <cell r="A262">
            <v>810254</v>
          </cell>
          <cell r="B262" t="str">
            <v>KFI013 FRANGO INT CONG CARCACA CX 13KG</v>
          </cell>
          <cell r="C262">
            <v>1.7330000000000001</v>
          </cell>
          <cell r="D262">
            <v>1.5469999999999999</v>
          </cell>
          <cell r="E262">
            <v>-0.155</v>
          </cell>
          <cell r="F262">
            <v>-0.111</v>
          </cell>
          <cell r="CH262">
            <v>50200400</v>
          </cell>
          <cell r="CI262" t="str">
            <v>2007 - PERU CORTES</v>
          </cell>
          <cell r="CJ262">
            <v>15000</v>
          </cell>
          <cell r="CK262">
            <v>4.0419</v>
          </cell>
          <cell r="CL262">
            <v>60628.46</v>
          </cell>
        </row>
        <row r="263">
          <cell r="A263">
            <v>810454</v>
          </cell>
          <cell r="B263" t="str">
            <v>CSB315 COXA SOB S/O C/P FGO CX 15KG</v>
          </cell>
          <cell r="C263">
            <v>2.6669999999999998</v>
          </cell>
          <cell r="D263">
            <v>2.38</v>
          </cell>
          <cell r="E263">
            <v>-0.189</v>
          </cell>
          <cell r="F263">
            <v>-0.17700000000000002</v>
          </cell>
          <cell r="CH263">
            <v>50200400</v>
          </cell>
          <cell r="CI263" t="str">
            <v>2007001 - PERU CORTES PEITO</v>
          </cell>
          <cell r="CJ263">
            <v>15000</v>
          </cell>
          <cell r="CK263">
            <v>4.0419</v>
          </cell>
          <cell r="CL263">
            <v>60628.46</v>
          </cell>
        </row>
        <row r="264">
          <cell r="A264">
            <v>810808</v>
          </cell>
          <cell r="B264" t="str">
            <v>MCK066 MINI CHICKEN FGO MON PT1KG CX6KG</v>
          </cell>
          <cell r="C264">
            <v>4.9349999999999996</v>
          </cell>
          <cell r="D264">
            <v>3.694</v>
          </cell>
          <cell r="E264">
            <v>-0.216</v>
          </cell>
          <cell r="F264">
            <v>-0.64100000000000013</v>
          </cell>
          <cell r="CH264">
            <v>836274</v>
          </cell>
          <cell r="CI264" t="str">
            <v>PEITO S/OPC C/F PERU CONG ME KG</v>
          </cell>
          <cell r="CJ264">
            <v>15000</v>
          </cell>
          <cell r="CK264">
            <v>4.0419</v>
          </cell>
          <cell r="CL264">
            <v>60628.46</v>
          </cell>
        </row>
        <row r="265">
          <cell r="A265">
            <v>810809</v>
          </cell>
          <cell r="B265" t="str">
            <v>MAD010 MANDIOCA PALITO CONG PT 500G</v>
          </cell>
          <cell r="C265">
            <v>2.7330000000000001</v>
          </cell>
          <cell r="D265">
            <v>2.0430000000000001</v>
          </cell>
          <cell r="E265">
            <v>-0.29399999999999998</v>
          </cell>
          <cell r="F265">
            <v>-0.40100000000000002</v>
          </cell>
          <cell r="CH265" t="str">
            <v>0502005 -</v>
          </cell>
          <cell r="CI265" t="str">
            <v>OUTROS MERCADOS</v>
          </cell>
          <cell r="CJ265">
            <v>1031816</v>
          </cell>
          <cell r="CK265">
            <v>1.3476999999999999</v>
          </cell>
          <cell r="CL265">
            <v>1390556.57</v>
          </cell>
        </row>
        <row r="266">
          <cell r="A266">
            <v>810892</v>
          </cell>
          <cell r="B266" t="str">
            <v>CRT004 CARRE BISTECA INSTIT. PERD CX 4KG</v>
          </cell>
          <cell r="C266">
            <v>3.98</v>
          </cell>
          <cell r="D266">
            <v>3.5219999999999998</v>
          </cell>
          <cell r="E266">
            <v>-0.23899999999999999</v>
          </cell>
          <cell r="F266">
            <v>-0.60899999999999999</v>
          </cell>
          <cell r="CH266">
            <v>50200500</v>
          </cell>
          <cell r="CI266" t="str">
            <v>1 - IN NATURA</v>
          </cell>
          <cell r="CJ266">
            <v>838151</v>
          </cell>
          <cell r="CK266">
            <v>1.5013000000000001</v>
          </cell>
          <cell r="CL266">
            <v>1258292.42</v>
          </cell>
        </row>
        <row r="267">
          <cell r="A267">
            <v>810895</v>
          </cell>
          <cell r="B267" t="str">
            <v>LCN105 LING CALAB NABRASA 10PT CX 5KG</v>
          </cell>
          <cell r="C267">
            <v>5.86</v>
          </cell>
          <cell r="D267">
            <v>4.8319999999999999</v>
          </cell>
          <cell r="E267">
            <v>-0.215</v>
          </cell>
          <cell r="F267">
            <v>-0.74900000000000011</v>
          </cell>
          <cell r="CH267">
            <v>50200500</v>
          </cell>
          <cell r="CI267" t="str">
            <v>1001 - FRANGO INTEIRO</v>
          </cell>
          <cell r="CJ267">
            <v>838151</v>
          </cell>
          <cell r="CK267">
            <v>1.5013000000000001</v>
          </cell>
          <cell r="CL267">
            <v>1258292.42</v>
          </cell>
        </row>
        <row r="268">
          <cell r="A268">
            <v>810924</v>
          </cell>
          <cell r="B268" t="str">
            <v>LCM155 LINGUICA CHT MEIA CURA PT 340G</v>
          </cell>
          <cell r="C268">
            <v>6.9279999999999999</v>
          </cell>
          <cell r="D268">
            <v>5.7210000000000001</v>
          </cell>
          <cell r="E268">
            <v>-0.25900000000000001</v>
          </cell>
          <cell r="F268">
            <v>-0.88800000000000012</v>
          </cell>
          <cell r="CH268">
            <v>50200500</v>
          </cell>
          <cell r="CI268" t="str">
            <v>1001002 - FRANGO INTEIRO BROIL</v>
          </cell>
          <cell r="CJ268">
            <v>838151</v>
          </cell>
          <cell r="CK268">
            <v>1.5013000000000001</v>
          </cell>
          <cell r="CL268">
            <v>1258292.42</v>
          </cell>
        </row>
        <row r="269">
          <cell r="A269">
            <v>810945</v>
          </cell>
          <cell r="B269" t="str">
            <v>GNB008 GALETO NABRASA TEMP PERD CX 8KG</v>
          </cell>
          <cell r="C269">
            <v>2.2839999999999998</v>
          </cell>
          <cell r="D269">
            <v>1.9159999999999999</v>
          </cell>
          <cell r="E269">
            <v>-7.1999999999999995E-2</v>
          </cell>
          <cell r="F269">
            <v>-0.183</v>
          </cell>
          <cell r="CH269">
            <v>706043</v>
          </cell>
          <cell r="CI269" t="str">
            <v>FRANGO BROILER 1100G CONG PE KG</v>
          </cell>
          <cell r="CJ269">
            <v>105281</v>
          </cell>
          <cell r="CK269">
            <v>1.5125999999999999</v>
          </cell>
          <cell r="CL269">
            <v>159250.34</v>
          </cell>
        </row>
        <row r="270">
          <cell r="A270">
            <v>811343</v>
          </cell>
          <cell r="B270" t="str">
            <v>LSV085 LASANHA VERDE PERD CART 650G</v>
          </cell>
          <cell r="C270">
            <v>6.1369999999999996</v>
          </cell>
          <cell r="D270">
            <v>4.6210000000000004</v>
          </cell>
          <cell r="E270">
            <v>-0.28299999999999997</v>
          </cell>
          <cell r="F270">
            <v>-0.76800000000000002</v>
          </cell>
          <cell r="CH270">
            <v>747378</v>
          </cell>
          <cell r="CI270" t="str">
            <v>FRANGO BROILER 1200G CONG PE KG</v>
          </cell>
          <cell r="CJ270">
            <v>419436</v>
          </cell>
          <cell r="CK270">
            <v>1.5026999999999999</v>
          </cell>
          <cell r="CL270">
            <v>630275.09</v>
          </cell>
        </row>
        <row r="271">
          <cell r="A271">
            <v>811565</v>
          </cell>
          <cell r="B271" t="str">
            <v>SLR306 SALSICHA SUI BIG DOG 3PT 2KG</v>
          </cell>
          <cell r="C271">
            <v>2.3719999999999999</v>
          </cell>
          <cell r="D271">
            <v>2.0009999999999999</v>
          </cell>
          <cell r="E271">
            <v>-0.20699999999999999</v>
          </cell>
          <cell r="F271">
            <v>-0.4</v>
          </cell>
          <cell r="CH271">
            <v>747386</v>
          </cell>
          <cell r="CI271" t="str">
            <v>FRANGO BROILER 1300G CONG PE KG</v>
          </cell>
          <cell r="CJ271">
            <v>128310</v>
          </cell>
          <cell r="CK271">
            <v>1.5124</v>
          </cell>
          <cell r="CL271">
            <v>194055.33</v>
          </cell>
        </row>
        <row r="272">
          <cell r="A272">
            <v>811826</v>
          </cell>
          <cell r="B272" t="str">
            <v>SHF333 SALAME HAMBURGUES FAT CX 3,3KG</v>
          </cell>
          <cell r="C272">
            <v>14.331</v>
          </cell>
          <cell r="D272">
            <v>10.787000000000001</v>
          </cell>
          <cell r="E272">
            <v>-0.22600000000000001</v>
          </cell>
          <cell r="F272">
            <v>-1.5940000000000001</v>
          </cell>
          <cell r="CH272">
            <v>747394</v>
          </cell>
          <cell r="CI272" t="str">
            <v>FRANGO BROILER 1400G CONG PE KG</v>
          </cell>
          <cell r="CJ272">
            <v>115164</v>
          </cell>
          <cell r="CK272">
            <v>1.4855</v>
          </cell>
          <cell r="CL272">
            <v>171074.34</v>
          </cell>
        </row>
        <row r="273">
          <cell r="A273">
            <v>811877</v>
          </cell>
          <cell r="B273" t="str">
            <v>SIO333 SALAME ITALIANO FAT PERD CX 3,3KG</v>
          </cell>
          <cell r="C273">
            <v>13.494</v>
          </cell>
          <cell r="D273">
            <v>10.244</v>
          </cell>
          <cell r="E273">
            <v>-0.20699999999999999</v>
          </cell>
          <cell r="F273">
            <v>-1.4969999999999999</v>
          </cell>
          <cell r="CH273">
            <v>747408</v>
          </cell>
          <cell r="CI273" t="str">
            <v>FRANGO BROILER 1500G CONG PE KG</v>
          </cell>
          <cell r="CJ273">
            <v>69960</v>
          </cell>
          <cell r="CK273">
            <v>1.4814000000000001</v>
          </cell>
          <cell r="CL273">
            <v>103637.32</v>
          </cell>
        </row>
        <row r="274">
          <cell r="A274">
            <v>812542</v>
          </cell>
          <cell r="B274" t="str">
            <v>LCI820 LING CALAB IDEAL PERDIGAO 8PT 2,5</v>
          </cell>
          <cell r="C274">
            <v>2.8050000000000002</v>
          </cell>
          <cell r="D274">
            <v>2.3140000000000001</v>
          </cell>
          <cell r="E274">
            <v>-0.14699999999999999</v>
          </cell>
          <cell r="F274">
            <v>-0.42099999999999999</v>
          </cell>
          <cell r="CH274">
            <v>50200500</v>
          </cell>
          <cell r="CI274" t="str">
            <v>2 - ELABORADOS</v>
          </cell>
          <cell r="CJ274">
            <v>193665</v>
          </cell>
          <cell r="CK274">
            <v>0.68300000000000005</v>
          </cell>
          <cell r="CL274">
            <v>132264.15</v>
          </cell>
        </row>
        <row r="275">
          <cell r="A275">
            <v>812543</v>
          </cell>
          <cell r="B275" t="str">
            <v>FSS010 FRANGO DESOS TEMP PERD CX 10KG</v>
          </cell>
          <cell r="C275">
            <v>3.339</v>
          </cell>
          <cell r="D275">
            <v>2.8130000000000002</v>
          </cell>
          <cell r="E275">
            <v>-0.222</v>
          </cell>
          <cell r="F275">
            <v>-0.223</v>
          </cell>
          <cell r="CH275">
            <v>50200500</v>
          </cell>
          <cell r="CI275" t="str">
            <v>2006 - PERU INTEIRO</v>
          </cell>
          <cell r="CJ275">
            <v>7078</v>
          </cell>
          <cell r="CK275">
            <v>1.7863</v>
          </cell>
          <cell r="CL275">
            <v>12643.36</v>
          </cell>
        </row>
        <row r="276">
          <cell r="A276">
            <v>812630</v>
          </cell>
          <cell r="B276" t="str">
            <v>CPL010 SOBREPALETA PERD CX 10KG</v>
          </cell>
          <cell r="C276">
            <v>3.37</v>
          </cell>
          <cell r="D276">
            <v>3.0089999999999999</v>
          </cell>
          <cell r="E276">
            <v>-0.21</v>
          </cell>
          <cell r="F276">
            <v>-0.54300000000000004</v>
          </cell>
          <cell r="CH276">
            <v>838264</v>
          </cell>
          <cell r="CI276" t="str">
            <v>PERU INT C/M TEMP CONG 3,1-4 KG</v>
          </cell>
          <cell r="CJ276">
            <v>7078</v>
          </cell>
          <cell r="CK276">
            <v>1.7863</v>
          </cell>
          <cell r="CL276">
            <v>12643.36</v>
          </cell>
        </row>
        <row r="277">
          <cell r="A277">
            <v>812636</v>
          </cell>
          <cell r="B277" t="str">
            <v>LRT420 LINGUICA TOSC RESF PT 5KG CX 20KG</v>
          </cell>
          <cell r="C277">
            <v>2.3679999999999999</v>
          </cell>
          <cell r="D277">
            <v>1.782</v>
          </cell>
          <cell r="E277">
            <v>-0.14199999999999999</v>
          </cell>
          <cell r="F277">
            <v>-0.38400000000000006</v>
          </cell>
          <cell r="CH277">
            <v>50200500</v>
          </cell>
          <cell r="CI277" t="str">
            <v>2007 - PERU CORTES</v>
          </cell>
          <cell r="CJ277">
            <v>184347</v>
          </cell>
          <cell r="CK277">
            <v>0.64639999999999997</v>
          </cell>
          <cell r="CL277">
            <v>119157.73</v>
          </cell>
        </row>
        <row r="278">
          <cell r="A278">
            <v>812816</v>
          </cell>
          <cell r="B278" t="str">
            <v>FGE009 FRANGO GALETO EXPOR PERD CX 9,6KG</v>
          </cell>
          <cell r="C278">
            <v>1.907</v>
          </cell>
          <cell r="D278">
            <v>1.62</v>
          </cell>
          <cell r="E278">
            <v>-0.19600000000000001</v>
          </cell>
          <cell r="F278">
            <v>-0.157</v>
          </cell>
          <cell r="CH278">
            <v>50200500</v>
          </cell>
          <cell r="CI278" t="str">
            <v>2007003 - PERU CORTES ASA</v>
          </cell>
          <cell r="CJ278">
            <v>168867</v>
          </cell>
          <cell r="CK278">
            <v>0.66910000000000003</v>
          </cell>
          <cell r="CL278">
            <v>112992.43</v>
          </cell>
        </row>
        <row r="279">
          <cell r="A279">
            <v>812840</v>
          </cell>
          <cell r="B279" t="str">
            <v>LSM167 LASANHA BOLON MONICA 16 CART 450G</v>
          </cell>
          <cell r="C279">
            <v>7.0640000000000001</v>
          </cell>
          <cell r="D279">
            <v>5.319</v>
          </cell>
          <cell r="E279">
            <v>-0.27800000000000002</v>
          </cell>
          <cell r="F279">
            <v>-0.87</v>
          </cell>
          <cell r="CH279">
            <v>830867</v>
          </cell>
          <cell r="CI279" t="str">
            <v>ASA 2A JTA+PTA PERU CONG 300 KG</v>
          </cell>
          <cell r="CJ279">
            <v>42648</v>
          </cell>
          <cell r="CK279">
            <v>0.68069999999999997</v>
          </cell>
          <cell r="CL279">
            <v>29028.5</v>
          </cell>
        </row>
        <row r="280">
          <cell r="A280">
            <v>812944</v>
          </cell>
          <cell r="B280" t="str">
            <v>CFP333 COPA FAT PERD CX 3,3KG</v>
          </cell>
          <cell r="C280">
            <v>18.484999999999999</v>
          </cell>
          <cell r="D280">
            <v>13.776999999999999</v>
          </cell>
          <cell r="E280">
            <v>-0.214</v>
          </cell>
          <cell r="F280">
            <v>-2.1210000000000004</v>
          </cell>
          <cell r="CH280">
            <v>830868</v>
          </cell>
          <cell r="CI280" t="str">
            <v>ASA 2A JTA+PTA PERU CONG 100 KG</v>
          </cell>
          <cell r="CJ280">
            <v>7080</v>
          </cell>
          <cell r="CK280">
            <v>0.69079999999999997</v>
          </cell>
          <cell r="CL280">
            <v>4890.53</v>
          </cell>
        </row>
        <row r="281">
          <cell r="A281">
            <v>812945</v>
          </cell>
          <cell r="B281" t="str">
            <v>PCF333 PRESUNTO CRU ITAL FAT CX 3,3KG</v>
          </cell>
          <cell r="C281">
            <v>23.161999999999999</v>
          </cell>
          <cell r="D281">
            <v>17.344999999999999</v>
          </cell>
          <cell r="E281">
            <v>-0.23</v>
          </cell>
          <cell r="F281">
            <v>-2.5179999999999998</v>
          </cell>
          <cell r="CH281">
            <v>830869</v>
          </cell>
          <cell r="CI281" t="str">
            <v>ASA 1A JTA PERU CONG 300-500 KG</v>
          </cell>
          <cell r="CJ281">
            <v>66255</v>
          </cell>
          <cell r="CK281">
            <v>0.62880000000000003</v>
          </cell>
          <cell r="CL281">
            <v>41658.339999999997</v>
          </cell>
        </row>
        <row r="282">
          <cell r="A282">
            <v>812989</v>
          </cell>
          <cell r="B282" t="str">
            <v>LOF214 LOMBO CANAD FAT PT 200G CX 4,2KG</v>
          </cell>
          <cell r="C282">
            <v>7.3239999999999998</v>
          </cell>
          <cell r="D282">
            <v>5.4880000000000004</v>
          </cell>
          <cell r="E282">
            <v>-0.23400000000000001</v>
          </cell>
          <cell r="F282">
            <v>-0.85099999999999998</v>
          </cell>
          <cell r="CH282">
            <v>830870</v>
          </cell>
          <cell r="CI282" t="str">
            <v>ASA 1A JTA PERU CONG 100-300 KG</v>
          </cell>
          <cell r="CJ282">
            <v>10020</v>
          </cell>
          <cell r="CK282">
            <v>0.64770000000000005</v>
          </cell>
          <cell r="CL282">
            <v>6489.71</v>
          </cell>
        </row>
        <row r="283">
          <cell r="A283">
            <v>813464</v>
          </cell>
          <cell r="B283" t="str">
            <v>LCS105 LING CARNE SUINA MEIA CURA CX 5KG</v>
          </cell>
          <cell r="C283">
            <v>4.1239999999999997</v>
          </cell>
          <cell r="D283">
            <v>3.4569999999999999</v>
          </cell>
          <cell r="E283">
            <v>-0.23499999999999999</v>
          </cell>
          <cell r="F283">
            <v>-0.55700000000000005</v>
          </cell>
          <cell r="CH283">
            <v>833983</v>
          </cell>
          <cell r="CI283" t="str">
            <v>ASA INT PERU CONG (MACHO) 60 KG</v>
          </cell>
          <cell r="CJ283">
            <v>20976</v>
          </cell>
          <cell r="CK283">
            <v>0.69899999999999995</v>
          </cell>
          <cell r="CL283">
            <v>14663.27</v>
          </cell>
        </row>
        <row r="284">
          <cell r="A284">
            <v>813814</v>
          </cell>
          <cell r="B284" t="str">
            <v>ADT016 ASA 1A JTA FGO TEMP PERD CX 16KG</v>
          </cell>
          <cell r="C284">
            <v>2.3479999999999999</v>
          </cell>
          <cell r="D284">
            <v>1.998</v>
          </cell>
          <cell r="E284">
            <v>-0.19700000000000001</v>
          </cell>
          <cell r="F284">
            <v>-0.17499999999999999</v>
          </cell>
          <cell r="CH284">
            <v>833985</v>
          </cell>
          <cell r="CI284" t="str">
            <v>ASA INT PERU CONG (FEMEA) 20 KG</v>
          </cell>
          <cell r="CJ284">
            <v>21888</v>
          </cell>
          <cell r="CK284">
            <v>0.74299999999999999</v>
          </cell>
          <cell r="CL284">
            <v>16262.08</v>
          </cell>
        </row>
        <row r="285">
          <cell r="A285">
            <v>813815</v>
          </cell>
          <cell r="B285" t="str">
            <v>AIT016 ASA INTEIRA FGO TEMP PERD CX 16KG</v>
          </cell>
          <cell r="C285">
            <v>2.1320000000000001</v>
          </cell>
          <cell r="D285">
            <v>1.825</v>
          </cell>
          <cell r="E285">
            <v>-0.214</v>
          </cell>
          <cell r="F285">
            <v>-0.16399999999999998</v>
          </cell>
          <cell r="CH285">
            <v>50200500</v>
          </cell>
          <cell r="CI285" t="str">
            <v>2007004 - PERU CORTES OUTROS</v>
          </cell>
          <cell r="CJ285">
            <v>15480</v>
          </cell>
          <cell r="CK285">
            <v>0.39829999999999999</v>
          </cell>
          <cell r="CL285">
            <v>6165.3</v>
          </cell>
        </row>
        <row r="286">
          <cell r="A286">
            <v>813816</v>
          </cell>
          <cell r="B286" t="str">
            <v>ATT016 ASA 2A JTA FGO TEMP PERD CX 16KG</v>
          </cell>
          <cell r="C286">
            <v>2.1859999999999999</v>
          </cell>
          <cell r="D286">
            <v>1.885</v>
          </cell>
          <cell r="E286">
            <v>-0.17499999999999999</v>
          </cell>
          <cell r="F286">
            <v>-0.17899999999999999</v>
          </cell>
          <cell r="CH286">
            <v>836684</v>
          </cell>
          <cell r="CI286" t="str">
            <v>SAMBIQUIRA PERU CONG BL PERD KG</v>
          </cell>
          <cell r="CJ286">
            <v>15480</v>
          </cell>
          <cell r="CK286">
            <v>0.39829999999999999</v>
          </cell>
          <cell r="CL286">
            <v>6165.3</v>
          </cell>
        </row>
        <row r="287">
          <cell r="A287">
            <v>813967</v>
          </cell>
          <cell r="B287" t="str">
            <v>PPB003 PATE PRESUNTO 25 BISN 120G CX 3KG</v>
          </cell>
          <cell r="C287">
            <v>5.7279999999999998</v>
          </cell>
          <cell r="D287">
            <v>4.2519999999999998</v>
          </cell>
          <cell r="E287">
            <v>-0.154</v>
          </cell>
          <cell r="F287">
            <v>-0.76</v>
          </cell>
          <cell r="CH287">
            <v>50200500</v>
          </cell>
          <cell r="CI287" t="str">
            <v>2008 - PERU MIUDOS</v>
          </cell>
          <cell r="CJ287">
            <v>2240</v>
          </cell>
          <cell r="CK287">
            <v>0.20669999999999999</v>
          </cell>
          <cell r="CL287">
            <v>463.06</v>
          </cell>
        </row>
        <row r="288">
          <cell r="A288">
            <v>813968</v>
          </cell>
          <cell r="B288" t="str">
            <v>PEO424 PERNIL C/O S/TEMP 4PC 6KG PERD</v>
          </cell>
          <cell r="C288">
            <v>3.3610000000000002</v>
          </cell>
          <cell r="D288">
            <v>3.137</v>
          </cell>
          <cell r="E288">
            <v>-6.8000000000000005E-2</v>
          </cell>
          <cell r="F288">
            <v>-0.43200000000000005</v>
          </cell>
          <cell r="CH288">
            <v>836914</v>
          </cell>
          <cell r="CI288" t="str">
            <v>TRAQUEIA PERU CONG BL 8KG PE KG</v>
          </cell>
          <cell r="CJ288">
            <v>2240</v>
          </cell>
          <cell r="CK288">
            <v>0.20669999999999999</v>
          </cell>
          <cell r="CL288">
            <v>463.06</v>
          </cell>
        </row>
        <row r="289">
          <cell r="A289">
            <v>814105</v>
          </cell>
          <cell r="B289" t="str">
            <v>PHV010 PEITO DEF CHT VARIG CX 10,3KG</v>
          </cell>
          <cell r="C289">
            <v>5.69</v>
          </cell>
          <cell r="D289">
            <v>4.3250000000000002</v>
          </cell>
          <cell r="E289">
            <v>-0.182</v>
          </cell>
          <cell r="F289">
            <v>-0.66799999999999993</v>
          </cell>
          <cell r="CH289" t="str">
            <v>0511 - FR</v>
          </cell>
          <cell r="CI289" t="str">
            <v>IGORIF MI BATAVO</v>
          </cell>
          <cell r="CJ289">
            <v>2171801.4</v>
          </cell>
          <cell r="CK289">
            <v>2.0386000000000002</v>
          </cell>
          <cell r="CL289">
            <v>4427530.83</v>
          </cell>
        </row>
        <row r="290">
          <cell r="A290">
            <v>814119</v>
          </cell>
          <cell r="B290" t="str">
            <v>MSG013 MORTADELA CONF S/TOUC GDE 13,6KG</v>
          </cell>
          <cell r="C290">
            <v>1.69</v>
          </cell>
          <cell r="D290">
            <v>1.2669999999999999</v>
          </cell>
          <cell r="E290">
            <v>-0.13100000000000001</v>
          </cell>
          <cell r="F290">
            <v>-0.28300000000000003</v>
          </cell>
          <cell r="CH290" t="str">
            <v>0511001 -</v>
          </cell>
          <cell r="CI290" t="str">
            <v>IN-NATURA BATAVO</v>
          </cell>
          <cell r="CJ290">
            <v>44859</v>
          </cell>
          <cell r="CK290">
            <v>1.8169</v>
          </cell>
          <cell r="CL290">
            <v>81506.47</v>
          </cell>
        </row>
        <row r="291">
          <cell r="A291">
            <v>814140</v>
          </cell>
          <cell r="B291" t="str">
            <v>PLS020 PELE SUINA SC 20KG</v>
          </cell>
          <cell r="C291">
            <v>0.56499999999999995</v>
          </cell>
          <cell r="D291">
            <v>0.50800000000000001</v>
          </cell>
          <cell r="E291">
            <v>0</v>
          </cell>
          <cell r="F291">
            <v>0</v>
          </cell>
          <cell r="CH291">
            <v>51100100</v>
          </cell>
          <cell r="CI291" t="str">
            <v>1 - FRANGO INTEIRO</v>
          </cell>
          <cell r="CJ291">
            <v>13</v>
          </cell>
          <cell r="CK291">
            <v>1.24</v>
          </cell>
          <cell r="CL291">
            <v>16.12</v>
          </cell>
        </row>
        <row r="292">
          <cell r="A292">
            <v>814251</v>
          </cell>
          <cell r="B292" t="str">
            <v>CBE003 CARNE BOV MILANESA SEMI-FRI CX3KG</v>
          </cell>
          <cell r="C292">
            <v>3.38</v>
          </cell>
          <cell r="D292">
            <v>2.4900000000000002</v>
          </cell>
          <cell r="E292">
            <v>-0.191</v>
          </cell>
          <cell r="F292">
            <v>-0.47</v>
          </cell>
          <cell r="CH292">
            <v>2068</v>
          </cell>
          <cell r="CI292" t="str">
            <v>FACB18 FGO INT C/M CONG BATA KG</v>
          </cell>
          <cell r="CJ292">
            <v>13</v>
          </cell>
          <cell r="CK292">
            <v>1.24</v>
          </cell>
          <cell r="CL292">
            <v>16.12</v>
          </cell>
        </row>
        <row r="293">
          <cell r="A293">
            <v>814340</v>
          </cell>
          <cell r="B293" t="str">
            <v>PGB003 PATE FIGADO PERD 120G CX 3KG</v>
          </cell>
          <cell r="C293">
            <v>5.5940000000000003</v>
          </cell>
          <cell r="D293">
            <v>4.0970000000000004</v>
          </cell>
          <cell r="E293">
            <v>-0.156</v>
          </cell>
          <cell r="F293">
            <v>-0.7390000000000001</v>
          </cell>
          <cell r="CH293">
            <v>51100100</v>
          </cell>
          <cell r="CI293" t="str">
            <v>2 - FRANGO CORTES</v>
          </cell>
          <cell r="CJ293">
            <v>27366</v>
          </cell>
          <cell r="CK293">
            <v>2.5219999999999998</v>
          </cell>
          <cell r="CL293">
            <v>69017.52</v>
          </cell>
        </row>
        <row r="294">
          <cell r="A294">
            <v>814343</v>
          </cell>
          <cell r="B294" t="str">
            <v>PRC157 PEITO S/OP RECH C BLUE CART 500G</v>
          </cell>
          <cell r="C294">
            <v>6.7640000000000002</v>
          </cell>
          <cell r="D294">
            <v>5.0880000000000001</v>
          </cell>
          <cell r="E294">
            <v>-0.24</v>
          </cell>
          <cell r="F294">
            <v>-0.79600000000000015</v>
          </cell>
          <cell r="CH294">
            <v>825474</v>
          </cell>
          <cell r="CI294" t="str">
            <v>FPOB12 PEITO FGO C/OP FRESKI KG</v>
          </cell>
          <cell r="CJ294">
            <v>3804</v>
          </cell>
          <cell r="CK294">
            <v>2.5579999999999998</v>
          </cell>
          <cell r="CL294">
            <v>9730.4699999999993</v>
          </cell>
        </row>
        <row r="295">
          <cell r="A295">
            <v>814486</v>
          </cell>
          <cell r="B295" t="str">
            <v>PPG084 PEITO CHT A PARMEGIANA BDJ 550G</v>
          </cell>
          <cell r="C295">
            <v>8.9420000000000002</v>
          </cell>
          <cell r="D295">
            <v>6.6870000000000003</v>
          </cell>
          <cell r="E295">
            <v>-0.245</v>
          </cell>
          <cell r="F295">
            <v>-1.0369999999999999</v>
          </cell>
          <cell r="CH295">
            <v>825475</v>
          </cell>
          <cell r="CI295" t="str">
            <v>FPSB12 PEITO FGO S/OP FRESKI KG</v>
          </cell>
          <cell r="CJ295">
            <v>8280</v>
          </cell>
          <cell r="CK295">
            <v>3.7463000000000002</v>
          </cell>
          <cell r="CL295">
            <v>31019.75</v>
          </cell>
        </row>
        <row r="296">
          <cell r="A296">
            <v>814487</v>
          </cell>
          <cell r="B296" t="str">
            <v>PFC084 PEITO FGO C/MOLHO CATU BDJ 550G</v>
          </cell>
          <cell r="C296">
            <v>8.8840000000000003</v>
          </cell>
          <cell r="D296">
            <v>6.6609999999999996</v>
          </cell>
          <cell r="E296">
            <v>-0.253</v>
          </cell>
          <cell r="F296">
            <v>-1.018</v>
          </cell>
          <cell r="CH296">
            <v>829372</v>
          </cell>
          <cell r="CI296" t="str">
            <v>FCSB12 COXA SOBREC C/OP FRES KG</v>
          </cell>
          <cell r="CJ296">
            <v>15282</v>
          </cell>
          <cell r="CK296">
            <v>1.8496999999999999</v>
          </cell>
          <cell r="CL296">
            <v>28267.3</v>
          </cell>
        </row>
        <row r="297">
          <cell r="A297">
            <v>814720</v>
          </cell>
          <cell r="B297" t="str">
            <v>RTS013 RETALHO COST SUI SALG CX 13KG</v>
          </cell>
          <cell r="C297">
            <v>2.0590000000000002</v>
          </cell>
          <cell r="D297">
            <v>1.714</v>
          </cell>
          <cell r="E297">
            <v>-0.254</v>
          </cell>
          <cell r="F297">
            <v>-0.33200000000000007</v>
          </cell>
          <cell r="CH297">
            <v>51100100</v>
          </cell>
          <cell r="CI297" t="str">
            <v>5 - SUINOS CONGELADOS</v>
          </cell>
          <cell r="CJ297">
            <v>17480</v>
          </cell>
          <cell r="CK297">
            <v>0.71350000000000002</v>
          </cell>
          <cell r="CL297">
            <v>12472.83</v>
          </cell>
        </row>
        <row r="298">
          <cell r="A298">
            <v>814722</v>
          </cell>
          <cell r="B298" t="str">
            <v>PES013 PE SUI SALG PERD CX 13KG</v>
          </cell>
          <cell r="C298">
            <v>1.153</v>
          </cell>
          <cell r="D298">
            <v>0.93899999999999995</v>
          </cell>
          <cell r="E298">
            <v>-0.123</v>
          </cell>
          <cell r="F298">
            <v>-0.183</v>
          </cell>
          <cell r="CH298">
            <v>3046</v>
          </cell>
          <cell r="CI298" t="str">
            <v>ESPB30 ESPINHACO SUINO RESF  KG</v>
          </cell>
          <cell r="CJ298">
            <v>1000</v>
          </cell>
          <cell r="CK298">
            <v>0.37909999999999999</v>
          </cell>
          <cell r="CL298">
            <v>379.05</v>
          </cell>
        </row>
        <row r="299">
          <cell r="A299">
            <v>814723</v>
          </cell>
          <cell r="B299" t="str">
            <v>CTS013 COSTELA TIRA SUI SALG CX 13KG</v>
          </cell>
          <cell r="C299">
            <v>3.2930000000000001</v>
          </cell>
          <cell r="D299">
            <v>2.8660000000000001</v>
          </cell>
          <cell r="E299">
            <v>-0.221</v>
          </cell>
          <cell r="F299">
            <v>-0.51700000000000002</v>
          </cell>
          <cell r="CH299">
            <v>3082</v>
          </cell>
          <cell r="CI299" t="str">
            <v>OCEB10 ORELHA C/M CONG BAT C KG</v>
          </cell>
          <cell r="CJ299">
            <v>4000</v>
          </cell>
          <cell r="CK299">
            <v>0.38100000000000001</v>
          </cell>
          <cell r="CL299">
            <v>1523.91</v>
          </cell>
        </row>
        <row r="300">
          <cell r="A300">
            <v>814724</v>
          </cell>
          <cell r="B300" t="str">
            <v>GRS013 GARGANTA SUI SALG PERD CX 13KG</v>
          </cell>
          <cell r="C300">
            <v>0.88800000000000001</v>
          </cell>
          <cell r="D300">
            <v>0.70899999999999996</v>
          </cell>
          <cell r="E300">
            <v>-0.153</v>
          </cell>
          <cell r="F300">
            <v>-0.14399999999999996</v>
          </cell>
          <cell r="CH300">
            <v>828111</v>
          </cell>
          <cell r="CI300" t="str">
            <v>OSRB20 ORELHA SUINA SC 20KG  KG</v>
          </cell>
          <cell r="CJ300">
            <v>260</v>
          </cell>
          <cell r="CK300">
            <v>0.5232</v>
          </cell>
          <cell r="CL300">
            <v>136.03</v>
          </cell>
        </row>
        <row r="301">
          <cell r="A301">
            <v>814726</v>
          </cell>
          <cell r="B301" t="str">
            <v>MCF013 MORTADELA CONF CX 13,6KG</v>
          </cell>
          <cell r="C301">
            <v>1.49</v>
          </cell>
          <cell r="D301">
            <v>1.208</v>
          </cell>
          <cell r="E301">
            <v>-0.188</v>
          </cell>
          <cell r="F301">
            <v>-0.221</v>
          </cell>
          <cell r="CH301">
            <v>835042</v>
          </cell>
          <cell r="CI301" t="str">
            <v>MSCB20 MASCARA SUINA CONG SC KG</v>
          </cell>
          <cell r="CJ301">
            <v>12220</v>
          </cell>
          <cell r="CK301">
            <v>0.8538</v>
          </cell>
          <cell r="CL301">
            <v>10433.84</v>
          </cell>
        </row>
        <row r="302">
          <cell r="A302">
            <v>814826</v>
          </cell>
          <cell r="B302" t="str">
            <v>LOC406 LOMBO CANADENSE P/FAT 6PC CX 6KG</v>
          </cell>
          <cell r="C302">
            <v>9.8320000000000007</v>
          </cell>
          <cell r="D302">
            <v>7.4089999999999998</v>
          </cell>
          <cell r="E302">
            <v>-0.23</v>
          </cell>
          <cell r="F302">
            <v>-1.1499999999999999</v>
          </cell>
          <cell r="CH302">
            <v>51100100</v>
          </cell>
          <cell r="CI302" t="str">
            <v>6 - SUINOS SALGADOS</v>
          </cell>
          <cell r="CJ302">
            <v>0</v>
          </cell>
          <cell r="CK302">
            <v>0</v>
          </cell>
          <cell r="CL302">
            <v>0</v>
          </cell>
        </row>
        <row r="303">
          <cell r="A303">
            <v>814831</v>
          </cell>
          <cell r="B303" t="str">
            <v>CHP127 CHICKEN PLUS CART 580G CX 6,96KG</v>
          </cell>
          <cell r="C303">
            <v>6.4710000000000001</v>
          </cell>
          <cell r="D303">
            <v>4.8140000000000001</v>
          </cell>
          <cell r="E303">
            <v>-0.248</v>
          </cell>
          <cell r="F303">
            <v>-0.77600000000000002</v>
          </cell>
          <cell r="CH303">
            <v>3020</v>
          </cell>
          <cell r="CI303" t="str">
            <v>FEIB09 INGR P/ FEIJOADA BAT  KG</v>
          </cell>
          <cell r="CJ303">
            <v>0</v>
          </cell>
          <cell r="CK303">
            <v>0</v>
          </cell>
          <cell r="CL303">
            <v>0</v>
          </cell>
        </row>
        <row r="304">
          <cell r="A304">
            <v>815750</v>
          </cell>
          <cell r="B304" t="str">
            <v>CBG158 CHICKENBURGER PERD 15 CART 540G</v>
          </cell>
          <cell r="C304">
            <v>4.6779999999999999</v>
          </cell>
          <cell r="D304">
            <v>3.5009999999999999</v>
          </cell>
          <cell r="E304">
            <v>-0.249</v>
          </cell>
          <cell r="F304">
            <v>-0.59600000000000009</v>
          </cell>
          <cell r="CH304" t="str">
            <v>0511002 -</v>
          </cell>
          <cell r="CI304" t="str">
            <v>ELABORADOS BATAVO</v>
          </cell>
          <cell r="CJ304">
            <v>21768</v>
          </cell>
          <cell r="CK304">
            <v>0.74619999999999997</v>
          </cell>
          <cell r="CL304">
            <v>16243.45</v>
          </cell>
        </row>
        <row r="305">
          <cell r="A305">
            <v>815865</v>
          </cell>
          <cell r="B305" t="str">
            <v>SFP420 SALSICHA FGO PERD 4PT CX 20KG</v>
          </cell>
          <cell r="C305">
            <v>2.0270000000000001</v>
          </cell>
          <cell r="D305">
            <v>1.617</v>
          </cell>
          <cell r="E305">
            <v>-0.23400000000000001</v>
          </cell>
          <cell r="F305">
            <v>-0.25900000000000001</v>
          </cell>
          <cell r="CH305">
            <v>51100200</v>
          </cell>
          <cell r="CI305" t="str">
            <v>3 - PERU</v>
          </cell>
          <cell r="CJ305">
            <v>21768</v>
          </cell>
          <cell r="CK305">
            <v>0.74619999999999997</v>
          </cell>
          <cell r="CL305">
            <v>16243.45</v>
          </cell>
        </row>
        <row r="306">
          <cell r="A306">
            <v>815866</v>
          </cell>
          <cell r="B306" t="str">
            <v>SFD420 SALSICHA FGO BIG DOG 4PT CX 20KG</v>
          </cell>
          <cell r="C306">
            <v>1.5409999999999999</v>
          </cell>
          <cell r="D306">
            <v>1.3009999999999999</v>
          </cell>
          <cell r="E306">
            <v>-0.14699999999999999</v>
          </cell>
          <cell r="F306">
            <v>-0.20799999999999999</v>
          </cell>
          <cell r="CH306">
            <v>51100200</v>
          </cell>
          <cell r="CI306" t="str">
            <v>3001 - PERU INTEIRO</v>
          </cell>
          <cell r="CJ306">
            <v>3791</v>
          </cell>
          <cell r="CK306">
            <v>1.5165</v>
          </cell>
          <cell r="CL306">
            <v>5748.96</v>
          </cell>
        </row>
        <row r="307">
          <cell r="A307">
            <v>815890</v>
          </cell>
          <cell r="B307" t="str">
            <v>NHC805 NHOQUE A BOLONHESA PERD CART 650G</v>
          </cell>
          <cell r="C307">
            <v>6.5</v>
          </cell>
          <cell r="D307">
            <v>4.8769999999999998</v>
          </cell>
          <cell r="E307">
            <v>-0.29899999999999999</v>
          </cell>
          <cell r="F307">
            <v>-0.78500000000000003</v>
          </cell>
          <cell r="CH307">
            <v>6037</v>
          </cell>
          <cell r="CI307" t="str">
            <v>PERB16 PERU INT TEMP BAT 7,1 KG</v>
          </cell>
          <cell r="CJ307">
            <v>2143</v>
          </cell>
          <cell r="CK307">
            <v>1.5311999999999999</v>
          </cell>
          <cell r="CL307">
            <v>3281.45</v>
          </cell>
        </row>
        <row r="308">
          <cell r="A308">
            <v>815911</v>
          </cell>
          <cell r="B308" t="str">
            <v>SIL005 SALAME ITALIANO LIGHT PERD CX 5KG</v>
          </cell>
          <cell r="C308">
            <v>9.1189999999999998</v>
          </cell>
          <cell r="D308">
            <v>6.8390000000000004</v>
          </cell>
          <cell r="E308">
            <v>-0.192</v>
          </cell>
          <cell r="F308">
            <v>-1.0549999999999999</v>
          </cell>
          <cell r="CH308">
            <v>6038</v>
          </cell>
          <cell r="CI308" t="str">
            <v>PERB10 PERU INT TEMP BAT 9,0 KG</v>
          </cell>
          <cell r="CJ308">
            <v>186.2</v>
          </cell>
          <cell r="CK308">
            <v>1.49</v>
          </cell>
          <cell r="CL308">
            <v>277.44</v>
          </cell>
        </row>
        <row r="309">
          <cell r="A309">
            <v>816521</v>
          </cell>
          <cell r="B309" t="str">
            <v>PBO013 PRESUNTO BORELLA CX 13KG</v>
          </cell>
          <cell r="C309">
            <v>4.0309999999999997</v>
          </cell>
          <cell r="D309">
            <v>3.0779999999999998</v>
          </cell>
          <cell r="E309">
            <v>-0.20599999999999999</v>
          </cell>
          <cell r="F309">
            <v>-0.52</v>
          </cell>
          <cell r="CH309">
            <v>6039</v>
          </cell>
          <cell r="CI309" t="str">
            <v>PERB12 PERU INT TEMP BAT 11, KG</v>
          </cell>
          <cell r="CJ309">
            <v>1461.8</v>
          </cell>
          <cell r="CK309">
            <v>1.4982</v>
          </cell>
          <cell r="CL309">
            <v>2190.0700000000002</v>
          </cell>
        </row>
        <row r="310">
          <cell r="A310">
            <v>816523</v>
          </cell>
          <cell r="B310" t="str">
            <v>PHC013 PRESUNTO CHT COZ COOK-IN CX 13KG</v>
          </cell>
          <cell r="C310">
            <v>4.5110000000000001</v>
          </cell>
          <cell r="D310">
            <v>3.427</v>
          </cell>
          <cell r="E310">
            <v>-0.29099999999999998</v>
          </cell>
          <cell r="F310">
            <v>-0.52400000000000002</v>
          </cell>
          <cell r="CH310">
            <v>51100200</v>
          </cell>
          <cell r="CI310" t="str">
            <v>3002 - PERU CORTES</v>
          </cell>
          <cell r="CJ310">
            <v>17964</v>
          </cell>
          <cell r="CK310">
            <v>0.58399999999999996</v>
          </cell>
          <cell r="CL310">
            <v>10491.11</v>
          </cell>
        </row>
        <row r="311">
          <cell r="A311">
            <v>816525</v>
          </cell>
          <cell r="B311" t="str">
            <v>LBF007 LASANHA BOLON FAMILIAR 5BDJ 1,5KG</v>
          </cell>
          <cell r="C311">
            <v>4.9909999999999997</v>
          </cell>
          <cell r="D311">
            <v>3.7789999999999999</v>
          </cell>
          <cell r="E311">
            <v>-0.28899999999999998</v>
          </cell>
          <cell r="F311">
            <v>-0.63200000000000001</v>
          </cell>
          <cell r="CH311">
            <v>825472</v>
          </cell>
          <cell r="CI311" t="str">
            <v>PECB12 PESCOCO PERU CONG BAT KG</v>
          </cell>
          <cell r="CJ311">
            <v>17964</v>
          </cell>
          <cell r="CK311">
            <v>0.58399999999999996</v>
          </cell>
          <cell r="CL311">
            <v>10491.11</v>
          </cell>
        </row>
        <row r="312">
          <cell r="A312">
            <v>816641</v>
          </cell>
          <cell r="B312" t="str">
            <v>CXV015 COXA C/O/P PT 1KG PERD CX 15KG</v>
          </cell>
          <cell r="C312">
            <v>1.9219999999999999</v>
          </cell>
          <cell r="D312">
            <v>1.7110000000000001</v>
          </cell>
          <cell r="E312">
            <v>-0.17399999999999999</v>
          </cell>
          <cell r="F312">
            <v>-0.14000000000000001</v>
          </cell>
          <cell r="CH312">
            <v>51100200</v>
          </cell>
          <cell r="CI312" t="str">
            <v>3003 - PERU MIUDOS</v>
          </cell>
          <cell r="CJ312">
            <v>13</v>
          </cell>
          <cell r="CK312">
            <v>0.26</v>
          </cell>
          <cell r="CL312">
            <v>3.38</v>
          </cell>
        </row>
        <row r="313">
          <cell r="A313">
            <v>816642</v>
          </cell>
          <cell r="B313" t="str">
            <v>SXV015 SOBRECOXA C/O/P PT 1KG CX 15KG</v>
          </cell>
          <cell r="C313">
            <v>1.992</v>
          </cell>
          <cell r="D313">
            <v>1.7589999999999999</v>
          </cell>
          <cell r="E313">
            <v>-0.16</v>
          </cell>
          <cell r="F313">
            <v>-0.127</v>
          </cell>
          <cell r="CH313">
            <v>825473</v>
          </cell>
          <cell r="CI313" t="str">
            <v>SPCB12 SAMB PERU CONG BAT 12 KG</v>
          </cell>
          <cell r="CJ313">
            <v>13</v>
          </cell>
          <cell r="CK313">
            <v>0.26</v>
          </cell>
          <cell r="CL313">
            <v>3.38</v>
          </cell>
        </row>
        <row r="314">
          <cell r="A314">
            <v>816816</v>
          </cell>
          <cell r="B314" t="str">
            <v>COT010 COSTELA SUINA TENNESSE CX 10KG</v>
          </cell>
          <cell r="C314">
            <v>4.09</v>
          </cell>
          <cell r="D314">
            <v>3.6440000000000001</v>
          </cell>
          <cell r="E314">
            <v>-0.20100000000000001</v>
          </cell>
          <cell r="F314">
            <v>-0.64400000000000002</v>
          </cell>
          <cell r="CH314" t="str">
            <v>0511003 -</v>
          </cell>
          <cell r="CI314" t="str">
            <v>PROCESSADOS BATAVO</v>
          </cell>
          <cell r="CJ314">
            <v>2105174.4</v>
          </cell>
          <cell r="CK314">
            <v>2.0567000000000002</v>
          </cell>
          <cell r="CL314">
            <v>4329780.91</v>
          </cell>
        </row>
        <row r="315">
          <cell r="A315">
            <v>816822</v>
          </cell>
          <cell r="B315" t="str">
            <v>BAT129 BATATA PALITO PERD PT 750G CX 9KG</v>
          </cell>
          <cell r="C315">
            <v>3.1459999999999999</v>
          </cell>
          <cell r="D315">
            <v>2.3460000000000001</v>
          </cell>
          <cell r="E315">
            <v>-0.308</v>
          </cell>
          <cell r="F315">
            <v>-0.437</v>
          </cell>
          <cell r="CH315">
            <v>51100300</v>
          </cell>
          <cell r="CI315" t="str">
            <v>1 - CONGELADOS BATAVO</v>
          </cell>
          <cell r="CJ315">
            <v>0</v>
          </cell>
          <cell r="CK315">
            <v>0</v>
          </cell>
          <cell r="CL315">
            <v>0</v>
          </cell>
        </row>
        <row r="316">
          <cell r="A316">
            <v>817142</v>
          </cell>
          <cell r="B316" t="str">
            <v>PHV011 PEITO DEF CHT VARIG CX 10,4KG</v>
          </cell>
          <cell r="C316">
            <v>6.1289999999999996</v>
          </cell>
          <cell r="D316">
            <v>4.5579999999999998</v>
          </cell>
          <cell r="E316">
            <v>-0.22600000000000001</v>
          </cell>
          <cell r="F316">
            <v>-0.75099999999999989</v>
          </cell>
          <cell r="CH316">
            <v>51100300</v>
          </cell>
          <cell r="CI316" t="str">
            <v>1002 - EMPANADOS</v>
          </cell>
          <cell r="CJ316">
            <v>0</v>
          </cell>
          <cell r="CK316">
            <v>0</v>
          </cell>
          <cell r="CL316">
            <v>0</v>
          </cell>
        </row>
        <row r="317">
          <cell r="A317">
            <v>817172</v>
          </cell>
          <cell r="B317" t="str">
            <v>SCH126 SALSICHA CHT LIGHT DOG 12PT 500G</v>
          </cell>
          <cell r="C317">
            <v>2.6469999999999998</v>
          </cell>
          <cell r="D317">
            <v>2.1709999999999998</v>
          </cell>
          <cell r="E317">
            <v>-0.245</v>
          </cell>
          <cell r="F317">
            <v>-0.39200000000000002</v>
          </cell>
          <cell r="CH317">
            <v>3162</v>
          </cell>
          <cell r="CI317" t="str">
            <v>PMOB07 PRES SUI MAGRO OVAL B</v>
          </cell>
          <cell r="CJ317">
            <v>261670.8</v>
          </cell>
          <cell r="CK317">
            <v>3.5657000000000001</v>
          </cell>
          <cell r="CL317">
            <v>933038.24</v>
          </cell>
        </row>
        <row r="318">
          <cell r="A318">
            <v>817562</v>
          </cell>
          <cell r="B318" t="str">
            <v>BPM010 BATATA PALITO MONICA PT 500G</v>
          </cell>
          <cell r="C318">
            <v>3.1829999999999998</v>
          </cell>
          <cell r="D318">
            <v>2.351</v>
          </cell>
          <cell r="E318">
            <v>-0.308</v>
          </cell>
          <cell r="F318">
            <v>-0.45300000000000001</v>
          </cell>
          <cell r="CH318" t="str">
            <v>EMPRESAS</v>
          </cell>
          <cell r="CI318" t="str">
            <v>PERDIGÃO</v>
          </cell>
          <cell r="CJ318">
            <v>20243.599999999999</v>
          </cell>
          <cell r="CK318">
            <v>3.3744999999999998</v>
          </cell>
          <cell r="CL318">
            <v>68311.47</v>
          </cell>
        </row>
        <row r="319">
          <cell r="A319">
            <v>817687</v>
          </cell>
          <cell r="B319" t="str">
            <v>HBE128 HAMBURGUER BOV ENV PERD 12 CART</v>
          </cell>
          <cell r="C319">
            <v>3.8159999999999998</v>
          </cell>
          <cell r="D319">
            <v>2.8639999999999999</v>
          </cell>
          <cell r="E319">
            <v>-0.247</v>
          </cell>
          <cell r="F319">
            <v>-0.50600000000000001</v>
          </cell>
          <cell r="CH319" t="str">
            <v>Z611021 -</v>
          </cell>
          <cell r="CI319" t="str">
            <v>200300103 - PRESUNTO DEF AVE</v>
          </cell>
          <cell r="CJ319">
            <v>123372.6</v>
          </cell>
          <cell r="CK319">
            <v>2.3043999999999998</v>
          </cell>
          <cell r="CL319">
            <v>284305.19</v>
          </cell>
        </row>
        <row r="320">
          <cell r="A320">
            <v>817688</v>
          </cell>
          <cell r="B320" t="str">
            <v>HFE128 HAMBURGUER FGO ENV PERD 12 CART</v>
          </cell>
          <cell r="C320">
            <v>3.6240000000000001</v>
          </cell>
          <cell r="D320">
            <v>2.7269999999999999</v>
          </cell>
          <cell r="E320">
            <v>-0.24099999999999999</v>
          </cell>
          <cell r="F320">
            <v>-0.47599999999999998</v>
          </cell>
          <cell r="CH320" t="str">
            <v>Moeda: RE</v>
          </cell>
          <cell r="CI320" t="str">
            <v>AL</v>
          </cell>
          <cell r="CJ320">
            <v>10438</v>
          </cell>
          <cell r="CK320">
            <v>2.1856</v>
          </cell>
          <cell r="CL320">
            <v>22813.17</v>
          </cell>
        </row>
        <row r="321">
          <cell r="A321">
            <v>817689</v>
          </cell>
          <cell r="B321" t="str">
            <v>HBS128 HAMBURGUER SUINO CALABRESA 12CART</v>
          </cell>
          <cell r="C321">
            <v>3.8029999999999999</v>
          </cell>
          <cell r="D321">
            <v>2.8330000000000002</v>
          </cell>
          <cell r="E321">
            <v>-0.22800000000000001</v>
          </cell>
          <cell r="F321">
            <v>-0.50700000000000001</v>
          </cell>
          <cell r="CH321">
            <v>6011</v>
          </cell>
          <cell r="CI321" t="str">
            <v>PRUB07 PRESUNTO PERU COZ BAT</v>
          </cell>
          <cell r="CJ321">
            <v>74626.600000000006</v>
          </cell>
          <cell r="CK321">
            <v>2.0522</v>
          </cell>
          <cell r="CL321">
            <v>153147.17000000001</v>
          </cell>
        </row>
        <row r="322">
          <cell r="A322">
            <v>817700</v>
          </cell>
          <cell r="B322" t="str">
            <v>HCB128 CHESTERBURGUER PERD CX 8,064KG</v>
          </cell>
          <cell r="C322">
            <v>3.6549999999999998</v>
          </cell>
          <cell r="D322">
            <v>2.7410000000000001</v>
          </cell>
          <cell r="E322">
            <v>-0.25900000000000001</v>
          </cell>
          <cell r="F322">
            <v>-0.47299999999999998</v>
          </cell>
          <cell r="CH322" t="str">
            <v>Relatório</v>
          </cell>
          <cell r="CI322" t="str">
            <v>das Entradas</v>
          </cell>
          <cell r="CJ322">
            <v>5303</v>
          </cell>
          <cell r="CK322">
            <v>2.5146000000000002</v>
          </cell>
          <cell r="CL322">
            <v>13334.8</v>
          </cell>
        </row>
        <row r="323">
          <cell r="A323">
            <v>817701</v>
          </cell>
          <cell r="B323" t="str">
            <v>HME128 HAMBURGUER FGO MONICA CX 8,064KG</v>
          </cell>
          <cell r="C323">
            <v>3.8130000000000002</v>
          </cell>
          <cell r="D323">
            <v>2.8479999999999999</v>
          </cell>
          <cell r="E323">
            <v>-0.248</v>
          </cell>
          <cell r="F323">
            <v>-0.49800000000000005</v>
          </cell>
          <cell r="CH323" t="str">
            <v>Período:</v>
          </cell>
          <cell r="CI323" t="str">
            <v>10.2001  a</v>
          </cell>
          <cell r="CJ323">
            <v>26860</v>
          </cell>
          <cell r="CK323" t="str">
            <v>Centro : 350</v>
          </cell>
          <cell r="CL323" t="e">
            <v>#NAME?</v>
          </cell>
        </row>
        <row r="324">
          <cell r="A324">
            <v>817706</v>
          </cell>
          <cell r="B324" t="str">
            <v>NGF155 EMPANADINHOS FGO PERD 15 CART350G</v>
          </cell>
          <cell r="C324">
            <v>5.5970000000000004</v>
          </cell>
          <cell r="D324">
            <v>4.1660000000000004</v>
          </cell>
          <cell r="E324">
            <v>-0.20499999999999999</v>
          </cell>
          <cell r="F324">
            <v>-0.71300000000000008</v>
          </cell>
          <cell r="CH324">
            <v>6024</v>
          </cell>
          <cell r="CI324" t="str">
            <v>PCMB05 CHARMANT PERU MINI BA</v>
          </cell>
          <cell r="CJ324">
            <v>6145</v>
          </cell>
          <cell r="CK324">
            <v>3.2726000000000002</v>
          </cell>
          <cell r="CL324">
            <v>20110.060000000001</v>
          </cell>
        </row>
        <row r="325">
          <cell r="A325">
            <v>821701</v>
          </cell>
          <cell r="B325" t="str">
            <v>SFA002 STEAK FGO INST PERD CX 2,5KG</v>
          </cell>
          <cell r="C325">
            <v>3.94</v>
          </cell>
          <cell r="D325">
            <v>2.9969999999999999</v>
          </cell>
          <cell r="E325">
            <v>-0.17</v>
          </cell>
          <cell r="F325">
            <v>-0.49799999999999994</v>
          </cell>
          <cell r="CH325">
            <v>51100300</v>
          </cell>
          <cell r="CI325" t="str">
            <v>2003002 - APRESUNTADOS</v>
          </cell>
          <cell r="CJ325">
            <v>53890.400000000001</v>
          </cell>
          <cell r="CK325" t="str">
            <v>Produção</v>
          </cell>
          <cell r="CL325">
            <v>113874.94</v>
          </cell>
        </row>
        <row r="326">
          <cell r="A326">
            <v>822175</v>
          </cell>
          <cell r="B326" t="str">
            <v>RQP804 RONDELINI QUEIJO 8BDJ 550G PERD</v>
          </cell>
          <cell r="C326">
            <v>6.8719999999999999</v>
          </cell>
          <cell r="D326">
            <v>5.1779999999999999</v>
          </cell>
          <cell r="E326">
            <v>-0.27700000000000002</v>
          </cell>
          <cell r="F326">
            <v>-0.82499999999999996</v>
          </cell>
          <cell r="CH326" t="str">
            <v>Código De</v>
          </cell>
          <cell r="CI326" t="str">
            <v>scrição                      UM</v>
          </cell>
          <cell r="CJ326" t="str">
            <v>Qtde</v>
          </cell>
          <cell r="CK326" t="str">
            <v>Unitário</v>
          </cell>
          <cell r="CL326" t="str">
            <v>Vl. Total</v>
          </cell>
        </row>
        <row r="327">
          <cell r="A327">
            <v>822177</v>
          </cell>
          <cell r="B327" t="str">
            <v>PTM004 PATITAS FGO EMP PERD 15 CART 300G</v>
          </cell>
          <cell r="C327">
            <v>5.2670000000000003</v>
          </cell>
          <cell r="D327">
            <v>3.9550000000000001</v>
          </cell>
          <cell r="E327">
            <v>-0.19700000000000001</v>
          </cell>
          <cell r="F327">
            <v>-0.65400000000000003</v>
          </cell>
          <cell r="CH327">
            <v>51100300</v>
          </cell>
          <cell r="CI327" t="str">
            <v>1002001 - EMPANADOS AVES</v>
          </cell>
          <cell r="CJ327">
            <v>0</v>
          </cell>
          <cell r="CK327">
            <v>0</v>
          </cell>
          <cell r="CL327">
            <v>0</v>
          </cell>
        </row>
        <row r="328">
          <cell r="A328">
            <v>822352</v>
          </cell>
          <cell r="B328" t="str">
            <v>PZM005 PIZZA MUSSARELA PERD 12 CART 440G</v>
          </cell>
          <cell r="C328">
            <v>8.2210000000000001</v>
          </cell>
          <cell r="D328">
            <v>6.2320000000000002</v>
          </cell>
          <cell r="E328">
            <v>-0.33300000000000002</v>
          </cell>
          <cell r="F328">
            <v>-0.96100000000000008</v>
          </cell>
          <cell r="CH328">
            <v>824454</v>
          </cell>
          <cell r="CI328" t="str">
            <v>CKFB04 CHICKEN KIDS FGO BAT  KG</v>
          </cell>
          <cell r="CJ328">
            <v>0</v>
          </cell>
          <cell r="CK328">
            <v>0</v>
          </cell>
          <cell r="CL328">
            <v>0</v>
          </cell>
        </row>
        <row r="329">
          <cell r="A329">
            <v>822353</v>
          </cell>
          <cell r="B329" t="str">
            <v>PZC005 PIZZA CALABRESA PERD 12 CART 460G</v>
          </cell>
          <cell r="C329">
            <v>7.9320000000000004</v>
          </cell>
          <cell r="D329">
            <v>6.0270000000000001</v>
          </cell>
          <cell r="E329">
            <v>-0.32400000000000001</v>
          </cell>
          <cell r="F329">
            <v>-0.93600000000000005</v>
          </cell>
          <cell r="CH329">
            <v>51100300</v>
          </cell>
          <cell r="CI329" t="str">
            <v>2 - INDUSTRIALIZADOS BAT</v>
          </cell>
          <cell r="CJ329">
            <v>2105174.4</v>
          </cell>
          <cell r="CK329">
            <v>2.0567000000000002</v>
          </cell>
          <cell r="CL329">
            <v>4329780.91</v>
          </cell>
        </row>
        <row r="330">
          <cell r="A330">
            <v>822354</v>
          </cell>
          <cell r="B330" t="str">
            <v>PZP005 PIZZA PRESUN C/CHAMP 12 CART 460G</v>
          </cell>
          <cell r="C330">
            <v>8.0879999999999992</v>
          </cell>
          <cell r="D330">
            <v>6.1589999999999998</v>
          </cell>
          <cell r="E330">
            <v>-0.33900000000000002</v>
          </cell>
          <cell r="F330">
            <v>-0.92199999999999993</v>
          </cell>
          <cell r="CH330">
            <v>51100300</v>
          </cell>
          <cell r="CI330" t="str">
            <v>2001 - TOTAL LINGUICAS</v>
          </cell>
          <cell r="CJ330">
            <v>1023521.5</v>
          </cell>
          <cell r="CK330">
            <v>1.8806</v>
          </cell>
          <cell r="CL330">
            <v>1924882.79</v>
          </cell>
        </row>
        <row r="331">
          <cell r="A331">
            <v>822539</v>
          </cell>
          <cell r="B331" t="str">
            <v>OSR012 ORELHA SUINA SC 12KG</v>
          </cell>
          <cell r="C331">
            <v>2.4569999999999999</v>
          </cell>
          <cell r="D331">
            <v>1.9970000000000001</v>
          </cell>
          <cell r="E331">
            <v>0</v>
          </cell>
          <cell r="F331">
            <v>0</v>
          </cell>
          <cell r="CH331">
            <v>51100300</v>
          </cell>
          <cell r="CI331" t="str">
            <v>2001001 - LING SUINOS FRESCAL</v>
          </cell>
          <cell r="CJ331">
            <v>282505</v>
          </cell>
          <cell r="CK331">
            <v>2.1175000000000002</v>
          </cell>
          <cell r="CL331">
            <v>598197.42000000004</v>
          </cell>
        </row>
        <row r="332">
          <cell r="A332">
            <v>822661</v>
          </cell>
          <cell r="B332" t="str">
            <v>BIF510 BACON INST DEF FAT 5PT CX 10KG</v>
          </cell>
          <cell r="C332">
            <v>3.524</v>
          </cell>
          <cell r="D332">
            <v>2.6040000000000001</v>
          </cell>
          <cell r="E332">
            <v>-0.17799999999999999</v>
          </cell>
          <cell r="F332">
            <v>-0.49099999999999994</v>
          </cell>
          <cell r="CH332">
            <v>51100300</v>
          </cell>
          <cell r="CI332" t="str">
            <v>200100101 - LING SUI FRESC GRAN</v>
          </cell>
          <cell r="CJ332">
            <v>282505</v>
          </cell>
          <cell r="CK332">
            <v>2.1175000000000002</v>
          </cell>
          <cell r="CL332">
            <v>598197.42000000004</v>
          </cell>
        </row>
        <row r="333">
          <cell r="A333">
            <v>822731</v>
          </cell>
          <cell r="B333" t="str">
            <v>PQP010 PAO DE QUEIJO PERD PT 500G</v>
          </cell>
          <cell r="C333">
            <v>3.7669999999999999</v>
          </cell>
          <cell r="D333">
            <v>3.0630000000000002</v>
          </cell>
          <cell r="E333">
            <v>-0.27600000000000002</v>
          </cell>
          <cell r="F333">
            <v>-0.54100000000000004</v>
          </cell>
          <cell r="CH333">
            <v>825733</v>
          </cell>
          <cell r="CI333" t="str">
            <v>LCHB20 LING CHUR CONG BAT 4P KG</v>
          </cell>
          <cell r="CJ333">
            <v>282505</v>
          </cell>
          <cell r="CK333">
            <v>2.1175000000000002</v>
          </cell>
          <cell r="CL333">
            <v>598197.42000000004</v>
          </cell>
        </row>
        <row r="334">
          <cell r="A334">
            <v>822782</v>
          </cell>
          <cell r="B334" t="str">
            <v>VAL100 VALVULA CORACAO ORTICA SUI CONG</v>
          </cell>
          <cell r="C334">
            <v>5.0220000000000002</v>
          </cell>
          <cell r="D334">
            <v>4.2300000000000004</v>
          </cell>
          <cell r="E334">
            <v>0</v>
          </cell>
          <cell r="F334">
            <v>0</v>
          </cell>
          <cell r="CH334">
            <v>51100300</v>
          </cell>
          <cell r="CI334" t="str">
            <v>2001002 - LING SUINOS CURADAS</v>
          </cell>
          <cell r="CJ334">
            <v>705466.5</v>
          </cell>
          <cell r="CK334">
            <v>1.7891999999999999</v>
          </cell>
          <cell r="CL334">
            <v>1262192.99</v>
          </cell>
        </row>
        <row r="335">
          <cell r="A335">
            <v>823472</v>
          </cell>
          <cell r="B335" t="str">
            <v>SHB006 SALAME HAMBURGUES PERD CX 6KG</v>
          </cell>
          <cell r="C335">
            <v>8.827</v>
          </cell>
          <cell r="D335">
            <v>6.5629999999999997</v>
          </cell>
          <cell r="E335">
            <v>-0.19</v>
          </cell>
          <cell r="F335">
            <v>-1.044</v>
          </cell>
          <cell r="CH335">
            <v>51100300</v>
          </cell>
          <cell r="CI335" t="str">
            <v>200100201 - LING SUI CURADA GRA</v>
          </cell>
          <cell r="CJ335">
            <v>678192</v>
          </cell>
          <cell r="CK335">
            <v>1.7766</v>
          </cell>
          <cell r="CL335">
            <v>1204871.9099999999</v>
          </cell>
        </row>
        <row r="336">
          <cell r="A336">
            <v>824346</v>
          </cell>
          <cell r="B336" t="str">
            <v>COF016 CORACAO FGO PT 1KG CX 16KG</v>
          </cell>
          <cell r="C336">
            <v>3.4049999999999998</v>
          </cell>
          <cell r="D336">
            <v>3.0089999999999999</v>
          </cell>
          <cell r="E336">
            <v>-0.17</v>
          </cell>
          <cell r="F336">
            <v>-0.183</v>
          </cell>
          <cell r="CH336">
            <v>3208</v>
          </cell>
          <cell r="CI336" t="str">
            <v>LCGB09 LING CALAB GRANA BAT  KG</v>
          </cell>
          <cell r="CJ336">
            <v>678192</v>
          </cell>
          <cell r="CK336">
            <v>1.7766</v>
          </cell>
          <cell r="CL336">
            <v>1204871.9099999999</v>
          </cell>
        </row>
        <row r="337">
          <cell r="A337">
            <v>824401</v>
          </cell>
          <cell r="B337" t="str">
            <v>LCV007 LING CALAB RESF VAC 15PT CX 6,75K</v>
          </cell>
          <cell r="C337">
            <v>4.9169999999999998</v>
          </cell>
          <cell r="D337">
            <v>4.0250000000000004</v>
          </cell>
          <cell r="E337">
            <v>-0.21</v>
          </cell>
          <cell r="F337">
            <v>-0.67700000000000005</v>
          </cell>
          <cell r="CH337">
            <v>51100300</v>
          </cell>
          <cell r="CI337" t="str">
            <v>200100202 - LING SUI CURADA EMB</v>
          </cell>
          <cell r="CJ337">
            <v>27274.5</v>
          </cell>
          <cell r="CK337">
            <v>2.1015999999999999</v>
          </cell>
          <cell r="CL337">
            <v>57321.08</v>
          </cell>
        </row>
        <row r="338">
          <cell r="A338">
            <v>824403</v>
          </cell>
          <cell r="B338" t="str">
            <v>LPV007 LING PORT RESF VAC 18PT CX 7,2KG</v>
          </cell>
          <cell r="C338">
            <v>4.976</v>
          </cell>
          <cell r="D338">
            <v>4.1219999999999999</v>
          </cell>
          <cell r="E338">
            <v>-0.21199999999999999</v>
          </cell>
          <cell r="F338">
            <v>-0.69899999999999995</v>
          </cell>
          <cell r="CH338">
            <v>3206</v>
          </cell>
          <cell r="CI338" t="str">
            <v>LCCB05 LING CALAB PT 1KG/VAC KG</v>
          </cell>
          <cell r="CJ338">
            <v>11823</v>
          </cell>
          <cell r="CK338">
            <v>1.9159999999999999</v>
          </cell>
          <cell r="CL338">
            <v>22652.46</v>
          </cell>
        </row>
        <row r="339">
          <cell r="A339">
            <v>824404</v>
          </cell>
          <cell r="B339" t="str">
            <v>PAV009 LING PAIO A VACUO 24PT CX 8,88KG</v>
          </cell>
          <cell r="C339">
            <v>4.9870000000000001</v>
          </cell>
          <cell r="D339">
            <v>4.1109999999999998</v>
          </cell>
          <cell r="E339">
            <v>-0.217</v>
          </cell>
          <cell r="F339">
            <v>-0.69</v>
          </cell>
          <cell r="CH339">
            <v>3692</v>
          </cell>
          <cell r="CI339" t="str">
            <v>LCVB05 LING CALAB BAT PT 500 KG</v>
          </cell>
          <cell r="CJ339">
            <v>15451.5</v>
          </cell>
          <cell r="CK339">
            <v>2.2437</v>
          </cell>
          <cell r="CL339">
            <v>34668.620000000003</v>
          </cell>
        </row>
        <row r="340">
          <cell r="A340">
            <v>824454</v>
          </cell>
          <cell r="B340" t="str">
            <v>CKFB04 CHICKEN KIDS FGO BAT 15CART CX4KG</v>
          </cell>
          <cell r="C340">
            <v>4.8529999999999998</v>
          </cell>
          <cell r="D340">
            <v>3.6720000000000002</v>
          </cell>
          <cell r="E340">
            <v>-0.30199999999999999</v>
          </cell>
          <cell r="F340">
            <v>-0.48</v>
          </cell>
          <cell r="CH340">
            <v>51100300</v>
          </cell>
          <cell r="CI340" t="str">
            <v>2001003 - LINGUICAS AVES</v>
          </cell>
          <cell r="CJ340">
            <v>35550</v>
          </cell>
          <cell r="CK340">
            <v>1.8141</v>
          </cell>
          <cell r="CL340">
            <v>64492.38</v>
          </cell>
        </row>
        <row r="341">
          <cell r="A341">
            <v>824455</v>
          </cell>
          <cell r="B341" t="str">
            <v>CKQB04 CHICKEN KIDS FGO QJO BAT CX 4KG</v>
          </cell>
          <cell r="C341">
            <v>4.8929999999999998</v>
          </cell>
          <cell r="D341">
            <v>3.694</v>
          </cell>
          <cell r="E341">
            <v>-0.30499999999999999</v>
          </cell>
          <cell r="F341">
            <v>-0.47900000000000009</v>
          </cell>
          <cell r="CH341">
            <v>51100300</v>
          </cell>
          <cell r="CI341" t="str">
            <v>200100301 - LING AVES GRANEL</v>
          </cell>
          <cell r="CJ341">
            <v>35550</v>
          </cell>
          <cell r="CK341">
            <v>1.8141</v>
          </cell>
          <cell r="CL341">
            <v>64492.38</v>
          </cell>
        </row>
        <row r="342">
          <cell r="A342">
            <v>824456</v>
          </cell>
          <cell r="B342" t="str">
            <v>STFB09 STEAK FRANGO BAT 15CART CX 9KG</v>
          </cell>
          <cell r="C342">
            <v>3.9769999999999999</v>
          </cell>
          <cell r="D342">
            <v>3.0249999999999999</v>
          </cell>
          <cell r="E342">
            <v>-0.29799999999999999</v>
          </cell>
          <cell r="F342">
            <v>-0.38200000000000001</v>
          </cell>
          <cell r="CH342">
            <v>836153</v>
          </cell>
          <cell r="CI342" t="str">
            <v>LPEB20 LINGUICA PERU CONG 4P KG</v>
          </cell>
          <cell r="CJ342">
            <v>35550</v>
          </cell>
          <cell r="CK342">
            <v>1.8141</v>
          </cell>
          <cell r="CL342">
            <v>64492.38</v>
          </cell>
        </row>
        <row r="343">
          <cell r="A343">
            <v>824457</v>
          </cell>
          <cell r="B343" t="str">
            <v>HBBB08 HAMBURGUER BOV BAT 12CART CX8KG</v>
          </cell>
          <cell r="C343">
            <v>3.3559999999999999</v>
          </cell>
          <cell r="D343">
            <v>2.5449999999999999</v>
          </cell>
          <cell r="E343">
            <v>-0.27500000000000002</v>
          </cell>
          <cell r="F343">
            <v>-0.35599999999999998</v>
          </cell>
          <cell r="CH343">
            <v>51100300</v>
          </cell>
          <cell r="CI343" t="str">
            <v>2002 - TOTAL SALSICHAS</v>
          </cell>
          <cell r="CJ343">
            <v>0</v>
          </cell>
          <cell r="CK343">
            <v>0</v>
          </cell>
          <cell r="CL343">
            <v>0</v>
          </cell>
        </row>
        <row r="344">
          <cell r="A344">
            <v>824458</v>
          </cell>
          <cell r="B344" t="str">
            <v>HBPB08 HAMBURGUER PERU BAT 12CART CX8KG</v>
          </cell>
          <cell r="C344">
            <v>3.883</v>
          </cell>
          <cell r="D344">
            <v>2.911</v>
          </cell>
          <cell r="E344">
            <v>-0.28899999999999998</v>
          </cell>
          <cell r="F344">
            <v>-0.438</v>
          </cell>
          <cell r="CH344">
            <v>51100300</v>
          </cell>
          <cell r="CI344" t="str">
            <v>2002002 - SALSICHA EMBALADA</v>
          </cell>
          <cell r="CJ344">
            <v>0</v>
          </cell>
          <cell r="CK344">
            <v>0</v>
          </cell>
          <cell r="CL344">
            <v>0</v>
          </cell>
        </row>
        <row r="345">
          <cell r="A345">
            <v>824460</v>
          </cell>
          <cell r="B345" t="str">
            <v>LSBB05 LASANHA BOLON BAT 8CART CX 5,2KG</v>
          </cell>
          <cell r="C345">
            <v>5.3109999999999999</v>
          </cell>
          <cell r="D345">
            <v>4.1310000000000002</v>
          </cell>
          <cell r="E345">
            <v>-0.36799999999999999</v>
          </cell>
          <cell r="F345">
            <v>-0.53399999999999992</v>
          </cell>
          <cell r="CH345">
            <v>51100300</v>
          </cell>
          <cell r="CI345" t="str">
            <v>200200201 - SALSICHA AVES EMB</v>
          </cell>
          <cell r="CJ345">
            <v>0</v>
          </cell>
          <cell r="CK345">
            <v>0</v>
          </cell>
          <cell r="CL345">
            <v>0</v>
          </cell>
        </row>
        <row r="346">
          <cell r="A346">
            <v>824468</v>
          </cell>
          <cell r="B346" t="str">
            <v>MBM005 MORTADELA BOLOGNELA MINI PC 500G</v>
          </cell>
          <cell r="C346">
            <v>3.37</v>
          </cell>
          <cell r="D346">
            <v>2.7970000000000002</v>
          </cell>
          <cell r="E346">
            <v>-0.20399999999999999</v>
          </cell>
          <cell r="F346">
            <v>-0.48599999999999999</v>
          </cell>
          <cell r="CH346">
            <v>825332</v>
          </cell>
          <cell r="CI346" t="str">
            <v>SPRB06 SALSICHA PERU BAT 12P KG</v>
          </cell>
          <cell r="CJ346">
            <v>0</v>
          </cell>
          <cell r="CK346">
            <v>0</v>
          </cell>
          <cell r="CL346">
            <v>0</v>
          </cell>
        </row>
        <row r="347">
          <cell r="A347">
            <v>824481</v>
          </cell>
          <cell r="B347" t="str">
            <v>LSMB05 LASANHA MOLHO BRANCO BAT CX 5,2KG</v>
          </cell>
          <cell r="C347">
            <v>5.26</v>
          </cell>
          <cell r="D347">
            <v>4.1040000000000001</v>
          </cell>
          <cell r="E347">
            <v>-0.379</v>
          </cell>
          <cell r="F347">
            <v>-0.53099999999999992</v>
          </cell>
          <cell r="CH347">
            <v>51100300</v>
          </cell>
          <cell r="CI347" t="str">
            <v>200200202 - SALSICHA SUI EMB</v>
          </cell>
          <cell r="CJ347">
            <v>0</v>
          </cell>
          <cell r="CK347">
            <v>0</v>
          </cell>
          <cell r="CL347">
            <v>0</v>
          </cell>
        </row>
        <row r="348">
          <cell r="A348">
            <v>824482</v>
          </cell>
          <cell r="B348" t="str">
            <v>SMLB05 SALAME MILANO BATAVO CX 5KG</v>
          </cell>
          <cell r="C348">
            <v>6.3929999999999998</v>
          </cell>
          <cell r="D348">
            <v>4.8689999999999998</v>
          </cell>
          <cell r="E348">
            <v>-0.33200000000000002</v>
          </cell>
          <cell r="F348">
            <v>-0.58099999999999996</v>
          </cell>
          <cell r="CH348">
            <v>825333</v>
          </cell>
          <cell r="CI348" t="str">
            <v>SASB06 SALSICHA SUINA BAT 12 KG</v>
          </cell>
          <cell r="CJ348">
            <v>0</v>
          </cell>
          <cell r="CK348">
            <v>0</v>
          </cell>
          <cell r="CL348">
            <v>0</v>
          </cell>
        </row>
        <row r="349">
          <cell r="A349">
            <v>824484</v>
          </cell>
          <cell r="B349" t="str">
            <v>BTPB09 BATATA PALITO BAT 12PT CX 9KG</v>
          </cell>
          <cell r="C349">
            <v>3.0960000000000001</v>
          </cell>
          <cell r="D349">
            <v>2.37</v>
          </cell>
          <cell r="E349">
            <v>-0.24199999999999999</v>
          </cell>
          <cell r="F349">
            <v>-0.31</v>
          </cell>
          <cell r="CH349">
            <v>51100300</v>
          </cell>
          <cell r="CI349" t="str">
            <v>2003 - PRESUNTARIA</v>
          </cell>
          <cell r="CJ349">
            <v>840622.3</v>
          </cell>
          <cell r="CK349">
            <v>2.3483000000000001</v>
          </cell>
          <cell r="CL349">
            <v>1973995.61</v>
          </cell>
        </row>
        <row r="350">
          <cell r="A350">
            <v>824711</v>
          </cell>
          <cell r="B350" t="str">
            <v>PHG807 PEITO DEF CHT GONDOLA CX 7,1KG</v>
          </cell>
          <cell r="C350">
            <v>5.3630000000000004</v>
          </cell>
          <cell r="D350">
            <v>4.202</v>
          </cell>
          <cell r="E350">
            <v>0</v>
          </cell>
          <cell r="F350">
            <v>-1.22</v>
          </cell>
          <cell r="CH350">
            <v>51100300</v>
          </cell>
          <cell r="CI350" t="str">
            <v>2003001 - PRESUNTO</v>
          </cell>
          <cell r="CJ350">
            <v>485425.9</v>
          </cell>
          <cell r="CK350">
            <v>2.9624000000000001</v>
          </cell>
          <cell r="CL350">
            <v>1438030</v>
          </cell>
        </row>
        <row r="351">
          <cell r="A351">
            <v>824871</v>
          </cell>
          <cell r="B351" t="str">
            <v>NGC155 EMPANADINHOS CALAB 15 CART 350G</v>
          </cell>
          <cell r="C351">
            <v>6.0570000000000004</v>
          </cell>
          <cell r="D351">
            <v>4.5339999999999998</v>
          </cell>
          <cell r="E351">
            <v>-0.22600000000000001</v>
          </cell>
          <cell r="F351">
            <v>-0.74</v>
          </cell>
          <cell r="CH351">
            <v>51100300</v>
          </cell>
          <cell r="CI351" t="str">
            <v>200300101 - PRESUN COZ SUINOS</v>
          </cell>
          <cell r="CJ351">
            <v>363118.4</v>
          </cell>
          <cell r="CK351">
            <v>3.206</v>
          </cell>
          <cell r="CL351">
            <v>1164150.81</v>
          </cell>
        </row>
        <row r="352">
          <cell r="A352">
            <v>824931</v>
          </cell>
          <cell r="B352" t="str">
            <v>PQM010 PAO DE QUEIJO MONICA 20 PT 500G</v>
          </cell>
          <cell r="C352">
            <v>3.786</v>
          </cell>
          <cell r="D352">
            <v>3.0390000000000001</v>
          </cell>
          <cell r="E352">
            <v>-0.26600000000000001</v>
          </cell>
          <cell r="F352">
            <v>-0.54799999999999993</v>
          </cell>
          <cell r="CH352">
            <v>3159</v>
          </cell>
          <cell r="CI352" t="str">
            <v>PFRB08 PRESUNTO SUI RETANG B KG</v>
          </cell>
          <cell r="CJ352">
            <v>24900</v>
          </cell>
          <cell r="CK352">
            <v>3.1362999999999999</v>
          </cell>
          <cell r="CL352">
            <v>78094.429999999993</v>
          </cell>
        </row>
        <row r="353">
          <cell r="A353">
            <v>825142</v>
          </cell>
          <cell r="B353" t="str">
            <v>MCG010 MORTADELA CONF GDE PERD CX 10,5KG</v>
          </cell>
          <cell r="C353">
            <v>1.7130000000000001</v>
          </cell>
          <cell r="D353">
            <v>1.4690000000000001</v>
          </cell>
          <cell r="E353">
            <v>-0.23499999999999999</v>
          </cell>
          <cell r="F353">
            <v>-0.309</v>
          </cell>
          <cell r="CH353">
            <v>3162</v>
          </cell>
          <cell r="CI353" t="str">
            <v>PMOB07 PRES SUI MAGRO OVAL B KG</v>
          </cell>
          <cell r="CJ353">
            <v>322537.59999999998</v>
          </cell>
          <cell r="CK353">
            <v>3.2183000000000002</v>
          </cell>
          <cell r="CL353">
            <v>1038038.24</v>
          </cell>
        </row>
        <row r="354">
          <cell r="A354">
            <v>825196</v>
          </cell>
          <cell r="B354" t="str">
            <v>MHM005 MORTADELA CHESTER MINI CX 5KG</v>
          </cell>
          <cell r="C354">
            <v>3.6539999999999999</v>
          </cell>
          <cell r="D354">
            <v>2.9630000000000001</v>
          </cell>
          <cell r="E354">
            <v>-0.22700000000000001</v>
          </cell>
          <cell r="F354">
            <v>-0.50299999999999989</v>
          </cell>
          <cell r="CH354">
            <v>3636</v>
          </cell>
          <cell r="CI354" t="str">
            <v>PTOB07 PRES SUI TRAD OVAL BA KG</v>
          </cell>
          <cell r="CJ354">
            <v>15680.8</v>
          </cell>
          <cell r="CK354">
            <v>3.0621999999999998</v>
          </cell>
          <cell r="CL354">
            <v>48018.14</v>
          </cell>
        </row>
        <row r="355">
          <cell r="A355">
            <v>825234</v>
          </cell>
          <cell r="B355" t="str">
            <v>MKM007 MINI KIBE FGO MON 18CART 400G</v>
          </cell>
          <cell r="C355">
            <v>5.0140000000000002</v>
          </cell>
          <cell r="D355">
            <v>3.7719999999999998</v>
          </cell>
          <cell r="E355">
            <v>-0.28000000000000003</v>
          </cell>
          <cell r="F355">
            <v>-0.60899999999999999</v>
          </cell>
          <cell r="CH355">
            <v>51100300</v>
          </cell>
          <cell r="CI355" t="str">
            <v>200300103 - PRESUNTO DEF AVES</v>
          </cell>
          <cell r="CJ355">
            <v>122307.5</v>
          </cell>
          <cell r="CK355">
            <v>2.2393000000000001</v>
          </cell>
          <cell r="CL355">
            <v>273879.19</v>
          </cell>
        </row>
        <row r="356">
          <cell r="A356">
            <v>825332</v>
          </cell>
          <cell r="B356" t="str">
            <v>SPRB06 SALSICHA PERU BAT 12PT CX 6KG</v>
          </cell>
          <cell r="C356">
            <v>2.7229999999999999</v>
          </cell>
          <cell r="D356">
            <v>2.262</v>
          </cell>
          <cell r="E356">
            <v>-0.312</v>
          </cell>
          <cell r="F356">
            <v>-0.3</v>
          </cell>
          <cell r="CH356">
            <v>2679</v>
          </cell>
          <cell r="CI356" t="str">
            <v>PFKB07 PEITO FGO EVID BAT CX KG</v>
          </cell>
          <cell r="CJ356">
            <v>8367.4</v>
          </cell>
          <cell r="CK356">
            <v>2.0568</v>
          </cell>
          <cell r="CL356">
            <v>17210.41</v>
          </cell>
        </row>
        <row r="357">
          <cell r="A357">
            <v>825333</v>
          </cell>
          <cell r="B357" t="str">
            <v>SASB06 SALSICHA SUINA BAT 12PT CX 6KG</v>
          </cell>
          <cell r="C357">
            <v>2.2570000000000001</v>
          </cell>
          <cell r="D357">
            <v>1.909</v>
          </cell>
          <cell r="E357">
            <v>-0.25800000000000001</v>
          </cell>
          <cell r="F357">
            <v>-0.27399999999999997</v>
          </cell>
          <cell r="CH357">
            <v>6011</v>
          </cell>
          <cell r="CI357" t="str">
            <v>PRUB07 PRESUNTO PERU COZ BAT KG</v>
          </cell>
          <cell r="CJ357">
            <v>67799.399999999994</v>
          </cell>
          <cell r="CK357">
            <v>1.8666</v>
          </cell>
          <cell r="CL357">
            <v>126557.11</v>
          </cell>
        </row>
        <row r="358">
          <cell r="A358">
            <v>825334</v>
          </cell>
          <cell r="B358" t="str">
            <v>SSAB12 SALSICHA SUINA BAT PT 2KG CX 12KG</v>
          </cell>
          <cell r="C358">
            <v>1.6319999999999999</v>
          </cell>
          <cell r="D358">
            <v>1.38</v>
          </cell>
          <cell r="E358">
            <v>-0.23799999999999999</v>
          </cell>
          <cell r="F358">
            <v>-0.219</v>
          </cell>
          <cell r="CH358">
            <v>6014</v>
          </cell>
          <cell r="CI358" t="str">
            <v>PRMB05 PRESUNTO COZ PERU MIN KG</v>
          </cell>
          <cell r="CJ358">
            <v>2270.5</v>
          </cell>
          <cell r="CK358">
            <v>2.3258000000000001</v>
          </cell>
          <cell r="CL358">
            <v>5280.75</v>
          </cell>
        </row>
        <row r="359">
          <cell r="A359">
            <v>825335</v>
          </cell>
          <cell r="B359" t="str">
            <v>SFKB06 SALSICHA FGO FRESKI 12PT CX 6KG</v>
          </cell>
          <cell r="C359">
            <v>2.286</v>
          </cell>
          <cell r="D359">
            <v>1.917</v>
          </cell>
          <cell r="E359">
            <v>-0.29099999999999998</v>
          </cell>
          <cell r="F359">
            <v>-0.28200000000000003</v>
          </cell>
          <cell r="CH359">
            <v>6018</v>
          </cell>
          <cell r="CI359" t="str">
            <v>PCHB07 CHARMANT PERU BATAVO  KG</v>
          </cell>
          <cell r="CJ359">
            <v>37270.199999999997</v>
          </cell>
          <cell r="CK359">
            <v>2.7490000000000001</v>
          </cell>
          <cell r="CL359">
            <v>102455.71</v>
          </cell>
        </row>
        <row r="360">
          <cell r="A360">
            <v>825472</v>
          </cell>
          <cell r="B360" t="str">
            <v>PECB12 PESCOCO PERU CONG BAT 12PT CX12KG</v>
          </cell>
          <cell r="C360">
            <v>1.571</v>
          </cell>
          <cell r="D360">
            <v>1.3</v>
          </cell>
          <cell r="E360">
            <v>-0.151</v>
          </cell>
          <cell r="F360">
            <v>-0.12</v>
          </cell>
          <cell r="CH360">
            <v>6024</v>
          </cell>
          <cell r="CI360" t="str">
            <v>PCMB05 CHARMANT PERU MINI BA KG</v>
          </cell>
          <cell r="CJ360">
            <v>6600</v>
          </cell>
          <cell r="CK360">
            <v>3.3902000000000001</v>
          </cell>
          <cell r="CL360">
            <v>22375.21</v>
          </cell>
        </row>
        <row r="361">
          <cell r="A361">
            <v>825473</v>
          </cell>
          <cell r="B361" t="str">
            <v>SPCB12 SAMB PERU CONG BAT 12PT CX 12KG</v>
          </cell>
          <cell r="C361">
            <v>0.59899999999999998</v>
          </cell>
          <cell r="D361">
            <v>0.53500000000000003</v>
          </cell>
          <cell r="E361">
            <v>0</v>
          </cell>
          <cell r="F361">
            <v>0</v>
          </cell>
          <cell r="CH361">
            <v>51100300</v>
          </cell>
          <cell r="CI361" t="str">
            <v>2003002 - APRESUNTADOS</v>
          </cell>
          <cell r="CJ361">
            <v>40128.400000000001</v>
          </cell>
          <cell r="CK361">
            <v>1.9715</v>
          </cell>
          <cell r="CL361">
            <v>79112.87</v>
          </cell>
        </row>
        <row r="362">
          <cell r="A362">
            <v>825474</v>
          </cell>
          <cell r="B362" t="str">
            <v>FPOB12 PEITO FGO C/OP FRESKI 12PT CX12KG</v>
          </cell>
          <cell r="C362">
            <v>3.0259999999999998</v>
          </cell>
          <cell r="D362">
            <v>2.6429999999999998</v>
          </cell>
          <cell r="E362">
            <v>-0.27700000000000002</v>
          </cell>
          <cell r="F362">
            <v>-0.153</v>
          </cell>
          <cell r="CH362">
            <v>3154</v>
          </cell>
          <cell r="CI362" t="str">
            <v>APOB07 APRES SUI OVAL BATAVO KG</v>
          </cell>
          <cell r="CJ362">
            <v>31912.400000000001</v>
          </cell>
          <cell r="CK362">
            <v>1.9843999999999999</v>
          </cell>
          <cell r="CL362">
            <v>63326.17</v>
          </cell>
        </row>
        <row r="363">
          <cell r="A363">
            <v>825475</v>
          </cell>
          <cell r="B363" t="str">
            <v>FPSB12 PEITO FGO S/OP FRESKI 12PT CX12KG</v>
          </cell>
          <cell r="C363">
            <v>4.157</v>
          </cell>
          <cell r="D363">
            <v>3.5339999999999998</v>
          </cell>
          <cell r="E363">
            <v>-0.38400000000000001</v>
          </cell>
          <cell r="F363">
            <v>-0.18199999999999994</v>
          </cell>
          <cell r="CH363">
            <v>3626</v>
          </cell>
          <cell r="CI363" t="str">
            <v>APRB08 APRES SUI RETANG BATA KG</v>
          </cell>
          <cell r="CJ363">
            <v>8216</v>
          </cell>
          <cell r="CK363">
            <v>1.9215</v>
          </cell>
          <cell r="CL363">
            <v>15786.7</v>
          </cell>
        </row>
        <row r="364">
          <cell r="A364">
            <v>825478</v>
          </cell>
          <cell r="B364" t="str">
            <v>SIFB03 SALAME ITAL FAT BAT CX 3,3KG</v>
          </cell>
          <cell r="C364">
            <v>12.574999999999999</v>
          </cell>
          <cell r="D364">
            <v>9.7149999999999999</v>
          </cell>
          <cell r="E364">
            <v>-0.43</v>
          </cell>
          <cell r="F364">
            <v>-1.226</v>
          </cell>
          <cell r="CH364">
            <v>51100300</v>
          </cell>
          <cell r="CI364" t="str">
            <v>2003003 - AFIAMBRADOS</v>
          </cell>
          <cell r="CJ364">
            <v>315068</v>
          </cell>
          <cell r="CK364">
            <v>1.45</v>
          </cell>
          <cell r="CL364">
            <v>456852.74</v>
          </cell>
        </row>
        <row r="365">
          <cell r="A365">
            <v>825479</v>
          </cell>
          <cell r="B365" t="str">
            <v>SHFB03 SALAME HAMBURGUES FAT BAT CX3,3KG</v>
          </cell>
          <cell r="C365">
            <v>11.468</v>
          </cell>
          <cell r="D365">
            <v>8.7880000000000003</v>
          </cell>
          <cell r="E365">
            <v>-0.39900000000000002</v>
          </cell>
          <cell r="F365">
            <v>-1.1020000000000001</v>
          </cell>
          <cell r="CH365">
            <v>51100300</v>
          </cell>
          <cell r="CI365" t="str">
            <v>200300301 - AFIAMBRADOS AVES</v>
          </cell>
          <cell r="CJ365">
            <v>11684</v>
          </cell>
          <cell r="CK365">
            <v>1.7197</v>
          </cell>
          <cell r="CL365">
            <v>20093.55</v>
          </cell>
        </row>
        <row r="366">
          <cell r="A366">
            <v>825517</v>
          </cell>
          <cell r="B366" t="str">
            <v>EPPB04 CARNE EMP PERU BAT 15CART CX4,5KG</v>
          </cell>
          <cell r="C366">
            <v>5.0469999999999997</v>
          </cell>
          <cell r="D366">
            <v>3.8130000000000002</v>
          </cell>
          <cell r="E366">
            <v>-0.308</v>
          </cell>
          <cell r="F366">
            <v>-0.51</v>
          </cell>
          <cell r="CH366">
            <v>6020</v>
          </cell>
          <cell r="CI366" t="str">
            <v>LAPB08 LANCHE PERU BAT 2PC C KG</v>
          </cell>
          <cell r="CJ366">
            <v>11684</v>
          </cell>
          <cell r="CK366">
            <v>1.7197</v>
          </cell>
          <cell r="CL366">
            <v>20093.55</v>
          </cell>
        </row>
        <row r="367">
          <cell r="A367">
            <v>825733</v>
          </cell>
          <cell r="B367" t="str">
            <v>LCHB20 LING CHUR CONG BAT 4PT CX 20KG</v>
          </cell>
          <cell r="C367">
            <v>2.177</v>
          </cell>
          <cell r="D367">
            <v>1.837</v>
          </cell>
          <cell r="E367">
            <v>-0.28100000000000003</v>
          </cell>
          <cell r="F367">
            <v>-0.25</v>
          </cell>
          <cell r="CH367">
            <v>51100300</v>
          </cell>
          <cell r="CI367" t="str">
            <v>200300302 - AFIAMBRADOS SUINOS</v>
          </cell>
          <cell r="CJ367">
            <v>303384</v>
          </cell>
          <cell r="CK367">
            <v>1.4396</v>
          </cell>
          <cell r="CL367">
            <v>436759.19</v>
          </cell>
        </row>
        <row r="368">
          <cell r="A368">
            <v>826140</v>
          </cell>
          <cell r="B368" t="str">
            <v>COI010 COSTELA SUINA INSTIT CX 10KG</v>
          </cell>
          <cell r="C368">
            <v>3.5089999999999999</v>
          </cell>
          <cell r="D368">
            <v>3.1659999999999999</v>
          </cell>
          <cell r="E368">
            <v>-0.38700000000000001</v>
          </cell>
          <cell r="F368">
            <v>-0.57100000000000006</v>
          </cell>
          <cell r="CH368">
            <v>3643</v>
          </cell>
          <cell r="CI368" t="str">
            <v>LANB05 LANCHE BATAVO CX 5KG  KG</v>
          </cell>
          <cell r="CJ368">
            <v>35100</v>
          </cell>
          <cell r="CK368">
            <v>1.5126999999999999</v>
          </cell>
          <cell r="CL368">
            <v>53096.78</v>
          </cell>
        </row>
        <row r="369">
          <cell r="A369">
            <v>826147</v>
          </cell>
          <cell r="B369" t="str">
            <v>SSCB20 SALS SUI CONG BAT 4PT CX 20KG</v>
          </cell>
          <cell r="C369">
            <v>1.363</v>
          </cell>
          <cell r="D369">
            <v>1.1279999999999999</v>
          </cell>
          <cell r="E369">
            <v>-0.26600000000000001</v>
          </cell>
          <cell r="F369">
            <v>-0.16500000000000001</v>
          </cell>
          <cell r="CH369">
            <v>3649</v>
          </cell>
          <cell r="CI369" t="str">
            <v>LANB08 LANCHE BATAVO CX 8KG  KG</v>
          </cell>
          <cell r="CJ369">
            <v>268284</v>
          </cell>
          <cell r="CK369">
            <v>1.4300999999999999</v>
          </cell>
          <cell r="CL369">
            <v>383662.41</v>
          </cell>
        </row>
        <row r="370">
          <cell r="A370">
            <v>826181</v>
          </cell>
          <cell r="B370" t="str">
            <v>SMM126 SALSICHA FGO MONICA MINI 12PT</v>
          </cell>
          <cell r="C370">
            <v>3.5950000000000002</v>
          </cell>
          <cell r="D370">
            <v>2.9620000000000002</v>
          </cell>
          <cell r="E370">
            <v>-0.251</v>
          </cell>
          <cell r="F370">
            <v>-0.51</v>
          </cell>
          <cell r="CH370">
            <v>51100300</v>
          </cell>
          <cell r="CI370" t="str">
            <v>2004 - MORTADELAS</v>
          </cell>
          <cell r="CJ370">
            <v>198516</v>
          </cell>
          <cell r="CK370">
            <v>1.3951</v>
          </cell>
          <cell r="CL370">
            <v>276957.98</v>
          </cell>
        </row>
        <row r="371">
          <cell r="A371">
            <v>826183</v>
          </cell>
          <cell r="B371" t="str">
            <v>CIS013 COSTELA INT SUI SALG CX 13KG</v>
          </cell>
          <cell r="C371">
            <v>3.4550000000000001</v>
          </cell>
          <cell r="D371">
            <v>2.9049999999999998</v>
          </cell>
          <cell r="E371">
            <v>-8.2000000000000003E-2</v>
          </cell>
          <cell r="F371">
            <v>-0.41199999999999998</v>
          </cell>
          <cell r="CH371">
            <v>51100300</v>
          </cell>
          <cell r="CI371" t="str">
            <v>2004001 - MORTADELAS AVES</v>
          </cell>
          <cell r="CJ371">
            <v>39241</v>
          </cell>
          <cell r="CK371">
            <v>1.635</v>
          </cell>
          <cell r="CL371">
            <v>64159.199999999997</v>
          </cell>
        </row>
        <row r="372">
          <cell r="A372">
            <v>826393</v>
          </cell>
          <cell r="B372" t="str">
            <v>MBOB10 MORT TUB BOTICELLI BAT CX 10,5KG</v>
          </cell>
          <cell r="C372">
            <v>2.581</v>
          </cell>
          <cell r="D372">
            <v>2.1970000000000001</v>
          </cell>
          <cell r="E372">
            <v>-0.23899999999999999</v>
          </cell>
          <cell r="F372">
            <v>-0.26800000000000002</v>
          </cell>
          <cell r="CH372">
            <v>2667</v>
          </cell>
          <cell r="CI372" t="str">
            <v>MFKB04 MORT TUB FGO FRESKI C KG</v>
          </cell>
          <cell r="CJ372">
            <v>20329</v>
          </cell>
          <cell r="CK372">
            <v>1.4658</v>
          </cell>
          <cell r="CL372">
            <v>29797.89</v>
          </cell>
        </row>
        <row r="373">
          <cell r="A373">
            <v>826430</v>
          </cell>
          <cell r="B373" t="str">
            <v>RBS013 RABO SUI SALG PERD CX 13KG</v>
          </cell>
          <cell r="C373">
            <v>3.149</v>
          </cell>
          <cell r="D373">
            <v>2.6890000000000001</v>
          </cell>
          <cell r="E373">
            <v>-0.16500000000000001</v>
          </cell>
          <cell r="F373">
            <v>-0.44</v>
          </cell>
          <cell r="CH373">
            <v>6023</v>
          </cell>
          <cell r="CI373" t="str">
            <v>MPMB05 MORT PERU MINI BAT CX KG</v>
          </cell>
          <cell r="CJ373">
            <v>18912</v>
          </cell>
          <cell r="CK373">
            <v>1.8169</v>
          </cell>
          <cell r="CL373">
            <v>34361.31</v>
          </cell>
        </row>
        <row r="374">
          <cell r="A374">
            <v>826472</v>
          </cell>
          <cell r="B374" t="str">
            <v>OCS013 ORELHA/CARA SUINA SALGADA CX 13KG</v>
          </cell>
          <cell r="C374">
            <v>1.1220000000000001</v>
          </cell>
          <cell r="D374">
            <v>0.90800000000000003</v>
          </cell>
          <cell r="E374">
            <v>-0.11700000000000001</v>
          </cell>
          <cell r="F374">
            <v>-0.16799999999999998</v>
          </cell>
          <cell r="CH374">
            <v>828484</v>
          </cell>
          <cell r="CI374" t="str">
            <v>MFKB13 MORTADELA TUB FGO FRE KG</v>
          </cell>
          <cell r="CJ374">
            <v>0</v>
          </cell>
          <cell r="CK374">
            <v>0</v>
          </cell>
          <cell r="CL374">
            <v>0</v>
          </cell>
        </row>
        <row r="375">
          <cell r="A375">
            <v>826826</v>
          </cell>
          <cell r="B375" t="str">
            <v>LCG016 LING CALAB CUBOS PERD 4PT CX 16KG</v>
          </cell>
          <cell r="C375">
            <v>4.0640000000000001</v>
          </cell>
          <cell r="D375">
            <v>3.3250000000000002</v>
          </cell>
          <cell r="E375">
            <v>-0.252</v>
          </cell>
          <cell r="F375">
            <v>-0.53300000000000003</v>
          </cell>
          <cell r="CH375">
            <v>51100300</v>
          </cell>
          <cell r="CI375" t="str">
            <v>2004002 - MORTADELAS SUINOS</v>
          </cell>
          <cell r="CJ375">
            <v>159275</v>
          </cell>
          <cell r="CK375">
            <v>1.3360000000000001</v>
          </cell>
          <cell r="CL375">
            <v>212798.78</v>
          </cell>
        </row>
        <row r="376">
          <cell r="A376">
            <v>826905</v>
          </cell>
          <cell r="B376" t="str">
            <v>SRS612 SALSICHA RESF S/CORANTE PERD 6PT</v>
          </cell>
          <cell r="C376">
            <v>1.5389999999999999</v>
          </cell>
          <cell r="D376">
            <v>1.1259999999999999</v>
          </cell>
          <cell r="E376">
            <v>-0.13200000000000001</v>
          </cell>
          <cell r="F376">
            <v>-0.27200000000000002</v>
          </cell>
          <cell r="CH376">
            <v>3191</v>
          </cell>
          <cell r="CI376" t="str">
            <v>MTUB04 MORT TUBULAR BATAVO C KG</v>
          </cell>
          <cell r="CJ376">
            <v>80555</v>
          </cell>
          <cell r="CK376">
            <v>1.2709999999999999</v>
          </cell>
          <cell r="CL376">
            <v>102381.85</v>
          </cell>
        </row>
        <row r="377">
          <cell r="A377">
            <v>826911</v>
          </cell>
          <cell r="B377" t="str">
            <v>SHR612 SALSICHA RESF PERD 6PT CX 12KG</v>
          </cell>
          <cell r="C377">
            <v>1.75</v>
          </cell>
          <cell r="D377">
            <v>1.452</v>
          </cell>
          <cell r="E377">
            <v>-0.21099999999999999</v>
          </cell>
          <cell r="F377">
            <v>-0.31</v>
          </cell>
          <cell r="CH377">
            <v>3262</v>
          </cell>
          <cell r="CI377" t="str">
            <v>SLEB05 SALSICHAO EXTRA BATAV KG</v>
          </cell>
          <cell r="CJ377">
            <v>14075</v>
          </cell>
          <cell r="CK377">
            <v>1.5591999999999999</v>
          </cell>
          <cell r="CL377">
            <v>21945.82</v>
          </cell>
        </row>
        <row r="378">
          <cell r="A378">
            <v>827422</v>
          </cell>
          <cell r="B378" t="str">
            <v>MZM006 MINI PIZZA MUSSAR MONICA 24 CART</v>
          </cell>
          <cell r="C378">
            <v>7.141</v>
          </cell>
          <cell r="D378">
            <v>5.3659999999999997</v>
          </cell>
          <cell r="E378">
            <v>-0.309</v>
          </cell>
          <cell r="F378">
            <v>-0.89699999999999991</v>
          </cell>
          <cell r="CH378">
            <v>3264</v>
          </cell>
          <cell r="CI378" t="str">
            <v>SLEB06 SALSICHAO EXTRA BATAV KG</v>
          </cell>
          <cell r="CJ378">
            <v>16394</v>
          </cell>
          <cell r="CK378">
            <v>1.3996</v>
          </cell>
          <cell r="CL378">
            <v>22945.45</v>
          </cell>
        </row>
        <row r="379">
          <cell r="A379">
            <v>827423</v>
          </cell>
          <cell r="B379" t="str">
            <v>MZT006 MINI PIZZA TOSCANA PERD CART 250G</v>
          </cell>
          <cell r="C379">
            <v>6.4180000000000001</v>
          </cell>
          <cell r="D379">
            <v>4.92</v>
          </cell>
          <cell r="E379">
            <v>-0.32700000000000001</v>
          </cell>
          <cell r="F379">
            <v>-0.75600000000000001</v>
          </cell>
          <cell r="CH379">
            <v>826393</v>
          </cell>
          <cell r="CI379" t="str">
            <v>MBOB10 MORT TUB BOTICELLI BA KG</v>
          </cell>
          <cell r="CJ379">
            <v>0</v>
          </cell>
          <cell r="CK379">
            <v>0</v>
          </cell>
          <cell r="CL379">
            <v>0</v>
          </cell>
        </row>
        <row r="380">
          <cell r="A380">
            <v>827424</v>
          </cell>
          <cell r="B380" t="str">
            <v>MZC006 MINI PIZZA CHESTER C/REQ 24 CART</v>
          </cell>
          <cell r="C380">
            <v>5.2910000000000004</v>
          </cell>
          <cell r="D380">
            <v>3.9990000000000001</v>
          </cell>
          <cell r="E380">
            <v>-0.33600000000000002</v>
          </cell>
          <cell r="F380">
            <v>-0.71599999999999997</v>
          </cell>
          <cell r="CH380">
            <v>831476</v>
          </cell>
          <cell r="CI380" t="str">
            <v>MTUB13 MORT TUBULAR BATAVO 4 KG</v>
          </cell>
          <cell r="CJ380">
            <v>0</v>
          </cell>
          <cell r="CK380">
            <v>0</v>
          </cell>
          <cell r="CL380">
            <v>0</v>
          </cell>
        </row>
        <row r="381">
          <cell r="A381">
            <v>827461</v>
          </cell>
          <cell r="B381" t="str">
            <v>PEP005 PEITO PERU DEFUMADO PERD CX 5KG</v>
          </cell>
          <cell r="C381">
            <v>6.5250000000000004</v>
          </cell>
          <cell r="D381">
            <v>4.8470000000000004</v>
          </cell>
          <cell r="E381">
            <v>-0.22700000000000001</v>
          </cell>
          <cell r="F381">
            <v>-0.79800000000000004</v>
          </cell>
          <cell r="CH381">
            <v>835419</v>
          </cell>
          <cell r="CI381" t="str">
            <v>MBNB15 MORTADELA TIPO BOLOG  KG</v>
          </cell>
          <cell r="CJ381">
            <v>24570</v>
          </cell>
          <cell r="CK381">
            <v>1.3652</v>
          </cell>
          <cell r="CL381">
            <v>33543.43</v>
          </cell>
        </row>
        <row r="382">
          <cell r="A382">
            <v>827462</v>
          </cell>
          <cell r="B382" t="str">
            <v>SAP006 SALSICHA PERU PERD PT 500G CX 6KG</v>
          </cell>
          <cell r="C382">
            <v>2.8130000000000002</v>
          </cell>
          <cell r="D382">
            <v>2.306</v>
          </cell>
          <cell r="E382">
            <v>-0.247</v>
          </cell>
          <cell r="F382">
            <v>-0.41100000000000003</v>
          </cell>
        </row>
        <row r="383">
          <cell r="A383">
            <v>827463</v>
          </cell>
          <cell r="B383" t="str">
            <v>PPC006 PEITO PERU COZIDO PERD CX 6,8KG</v>
          </cell>
          <cell r="C383">
            <v>5.4640000000000004</v>
          </cell>
          <cell r="D383">
            <v>4.093</v>
          </cell>
          <cell r="E383">
            <v>-0.251</v>
          </cell>
          <cell r="F383">
            <v>-0.67500000000000004</v>
          </cell>
          <cell r="CH383" t="str">
            <v>EMPRESAS</v>
          </cell>
          <cell r="CI383" t="str">
            <v>PERDIGÃO</v>
          </cell>
        </row>
        <row r="384">
          <cell r="A384">
            <v>827464</v>
          </cell>
          <cell r="B384" t="str">
            <v>PPM005 PEITO PERU COZ MINI PERD CX 5,5KG</v>
          </cell>
          <cell r="C384">
            <v>5.681</v>
          </cell>
          <cell r="D384">
            <v>4.266</v>
          </cell>
          <cell r="E384">
            <v>-0.23400000000000001</v>
          </cell>
          <cell r="F384">
            <v>-0.69799999999999995</v>
          </cell>
          <cell r="CH384" t="str">
            <v>Z611021 -</v>
          </cell>
        </row>
        <row r="385">
          <cell r="A385">
            <v>827465</v>
          </cell>
          <cell r="B385" t="str">
            <v>PRP013 PRESUNTO PERU COZIDO PERD CX 13KG</v>
          </cell>
          <cell r="C385">
            <v>4.2720000000000002</v>
          </cell>
          <cell r="D385">
            <v>3.2959999999999998</v>
          </cell>
          <cell r="E385">
            <v>-0.3</v>
          </cell>
          <cell r="F385">
            <v>-0.505</v>
          </cell>
          <cell r="CH385" t="str">
            <v>Moeda: RE</v>
          </cell>
          <cell r="CI385" t="str">
            <v>AL</v>
          </cell>
        </row>
        <row r="386">
          <cell r="A386">
            <v>827466</v>
          </cell>
          <cell r="B386" t="str">
            <v>PPF004 PRESUNTO PERU COZ FAT PERD 200G</v>
          </cell>
          <cell r="C386">
            <v>5.7080000000000002</v>
          </cell>
          <cell r="D386">
            <v>4.2859999999999996</v>
          </cell>
          <cell r="E386">
            <v>-0.22800000000000001</v>
          </cell>
          <cell r="F386">
            <v>-0.69799999999999995</v>
          </cell>
        </row>
        <row r="387">
          <cell r="A387">
            <v>827467</v>
          </cell>
          <cell r="B387" t="str">
            <v>HPE008 HAMBURGUER PERU PERD CART 672G</v>
          </cell>
          <cell r="C387">
            <v>3.75</v>
          </cell>
          <cell r="D387">
            <v>2.819</v>
          </cell>
          <cell r="E387">
            <v>-0.255</v>
          </cell>
          <cell r="F387">
            <v>-0.49199999999999999</v>
          </cell>
          <cell r="CH387" t="str">
            <v>Relatório</v>
          </cell>
          <cell r="CI387" t="str">
            <v>das Entradas</v>
          </cell>
        </row>
        <row r="388">
          <cell r="A388">
            <v>827470</v>
          </cell>
          <cell r="B388" t="str">
            <v>FEP006 FEIJAO PRETO CONG PERD BDJ 400G</v>
          </cell>
          <cell r="C388">
            <v>3.8660000000000001</v>
          </cell>
          <cell r="D388">
            <v>2.8820000000000001</v>
          </cell>
          <cell r="E388">
            <v>-0.27200000000000002</v>
          </cell>
          <cell r="F388">
            <v>-0.51600000000000013</v>
          </cell>
          <cell r="CH388" t="str">
            <v>Período:</v>
          </cell>
          <cell r="CI388" t="str">
            <v>10.2001  a</v>
          </cell>
          <cell r="CK388" t="str">
            <v>Centro : 350</v>
          </cell>
          <cell r="CL388" t="e">
            <v>#NAME?</v>
          </cell>
        </row>
        <row r="389">
          <cell r="A389">
            <v>827481</v>
          </cell>
          <cell r="B389" t="str">
            <v>FET006 FEIJAO TRADIC CONG PERD BDJ 400G</v>
          </cell>
          <cell r="C389">
            <v>3.9409999999999998</v>
          </cell>
          <cell r="D389">
            <v>2.9369999999999998</v>
          </cell>
          <cell r="E389">
            <v>-0.25600000000000001</v>
          </cell>
          <cell r="F389">
            <v>-0.53300000000000003</v>
          </cell>
        </row>
        <row r="390">
          <cell r="A390">
            <v>827482</v>
          </cell>
          <cell r="B390" t="str">
            <v>FEJ004 FEIJOADA CONG PERD 8 BDJ 600G</v>
          </cell>
          <cell r="C390">
            <v>4.53</v>
          </cell>
          <cell r="D390">
            <v>3.3050000000000002</v>
          </cell>
          <cell r="E390">
            <v>-0.26300000000000001</v>
          </cell>
          <cell r="F390">
            <v>-0.60299999999999998</v>
          </cell>
          <cell r="CK390" t="str">
            <v>Produção</v>
          </cell>
        </row>
        <row r="391">
          <cell r="A391">
            <v>827483</v>
          </cell>
          <cell r="B391" t="str">
            <v>COX004 COXINHA FGO PERD 15 CART CX 4,5KG</v>
          </cell>
          <cell r="C391">
            <v>6.1180000000000003</v>
          </cell>
          <cell r="D391">
            <v>4.6230000000000002</v>
          </cell>
          <cell r="E391">
            <v>-0.24099999999999999</v>
          </cell>
          <cell r="F391">
            <v>-0.74099999999999988</v>
          </cell>
          <cell r="CH391" t="str">
            <v>Código De</v>
          </cell>
          <cell r="CI391" t="str">
            <v>scrição                      UM</v>
          </cell>
          <cell r="CJ391" t="str">
            <v>Qtde</v>
          </cell>
          <cell r="CK391" t="str">
            <v>Unitário</v>
          </cell>
          <cell r="CL391" t="str">
            <v>Vl. Total</v>
          </cell>
        </row>
        <row r="392">
          <cell r="A392">
            <v>827484</v>
          </cell>
          <cell r="B392" t="str">
            <v>CQM004 BOLINHO DE AIPIM PERD CART 300G</v>
          </cell>
          <cell r="C392">
            <v>6.1669999999999998</v>
          </cell>
          <cell r="D392">
            <v>4.6159999999999997</v>
          </cell>
          <cell r="E392">
            <v>-0.26600000000000001</v>
          </cell>
          <cell r="F392">
            <v>-0.75</v>
          </cell>
          <cell r="CH392">
            <v>835420</v>
          </cell>
          <cell r="CI392" t="str">
            <v>MBNB17 MORTADELA TIPO BOLOG  KG</v>
          </cell>
          <cell r="CJ392">
            <v>23681</v>
          </cell>
          <cell r="CK392">
            <v>1.3505</v>
          </cell>
          <cell r="CL392">
            <v>31982.23</v>
          </cell>
        </row>
        <row r="393">
          <cell r="A393">
            <v>827485</v>
          </cell>
          <cell r="B393" t="str">
            <v>SQE004 STICK PRESUNTO E QUEIJO CART 300G</v>
          </cell>
          <cell r="C393">
            <v>6.2069999999999999</v>
          </cell>
          <cell r="D393">
            <v>4.6660000000000004</v>
          </cell>
          <cell r="E393">
            <v>-0.28399999999999997</v>
          </cell>
          <cell r="F393">
            <v>-0.76899999999999991</v>
          </cell>
          <cell r="CH393">
            <v>51100300</v>
          </cell>
          <cell r="CI393" t="str">
            <v>2005 - SALAMES</v>
          </cell>
          <cell r="CJ393">
            <v>0</v>
          </cell>
          <cell r="CK393">
            <v>0</v>
          </cell>
          <cell r="CL393">
            <v>0</v>
          </cell>
        </row>
        <row r="394">
          <cell r="A394">
            <v>827753</v>
          </cell>
          <cell r="B394" t="str">
            <v>CSG005 COXA SOB S/O C/P TEMP 185G CX 5KG</v>
          </cell>
          <cell r="C394">
            <v>2.6640000000000001</v>
          </cell>
          <cell r="D394">
            <v>2.2429999999999999</v>
          </cell>
          <cell r="E394">
            <v>-6.4000000000000001E-2</v>
          </cell>
          <cell r="F394">
            <v>-7.1999999999999995E-2</v>
          </cell>
          <cell r="CH394">
            <v>3385</v>
          </cell>
          <cell r="CI394" t="str">
            <v>SHOB05 SALAMINHO BATAVO CX 5 KG</v>
          </cell>
          <cell r="CJ394">
            <v>0</v>
          </cell>
          <cell r="CK394">
            <v>0</v>
          </cell>
          <cell r="CL394">
            <v>0</v>
          </cell>
        </row>
        <row r="395">
          <cell r="A395">
            <v>827754</v>
          </cell>
          <cell r="B395" t="str">
            <v>PTG005 PEITO S/OP FGO TEMP 185G PERD 5KG</v>
          </cell>
          <cell r="C395">
            <v>3.35</v>
          </cell>
          <cell r="D395">
            <v>2.82</v>
          </cell>
          <cell r="E395">
            <v>-6.4000000000000001E-2</v>
          </cell>
          <cell r="F395">
            <v>-9.0999999999999998E-2</v>
          </cell>
          <cell r="CH395">
            <v>3748</v>
          </cell>
          <cell r="CI395" t="str">
            <v>SIVB05 SALAME ITALIANO VAC B KG</v>
          </cell>
          <cell r="CJ395">
            <v>0</v>
          </cell>
          <cell r="CK395">
            <v>0</v>
          </cell>
          <cell r="CL395">
            <v>0</v>
          </cell>
        </row>
        <row r="396">
          <cell r="A396">
            <v>827755</v>
          </cell>
          <cell r="B396" t="str">
            <v>PCG005 PEITO S/OP CHT TEMP 185G PERD 5KG</v>
          </cell>
          <cell r="C396">
            <v>4.3419999999999996</v>
          </cell>
          <cell r="D396">
            <v>3.6549999999999998</v>
          </cell>
          <cell r="E396">
            <v>0</v>
          </cell>
          <cell r="F396">
            <v>-0.26300000000000001</v>
          </cell>
          <cell r="CH396">
            <v>51100300</v>
          </cell>
          <cell r="CI396" t="str">
            <v>2007 - FATIADOS DEFUMADOS</v>
          </cell>
          <cell r="CJ396">
            <v>0</v>
          </cell>
          <cell r="CK396">
            <v>0</v>
          </cell>
          <cell r="CL396">
            <v>0</v>
          </cell>
        </row>
        <row r="397">
          <cell r="A397">
            <v>827756</v>
          </cell>
          <cell r="B397" t="str">
            <v>BSG005 BIFE SUINO TEMP 185G PERD CX 5KG</v>
          </cell>
          <cell r="C397">
            <v>4.6379999999999999</v>
          </cell>
          <cell r="D397">
            <v>3.6859999999999999</v>
          </cell>
          <cell r="E397">
            <v>-7.9000000000000001E-2</v>
          </cell>
          <cell r="F397">
            <v>-0.57400000000000007</v>
          </cell>
          <cell r="CH397">
            <v>51100300</v>
          </cell>
          <cell r="CI397" t="str">
            <v>2007002 - FATIADOS DEF SUINOS</v>
          </cell>
          <cell r="CJ397">
            <v>0</v>
          </cell>
          <cell r="CK397">
            <v>0</v>
          </cell>
          <cell r="CL397">
            <v>0</v>
          </cell>
        </row>
        <row r="398">
          <cell r="A398">
            <v>828111</v>
          </cell>
          <cell r="B398" t="str">
            <v>OSRB20 ORELHA SUINA SC 20KG</v>
          </cell>
          <cell r="C398">
            <v>1.486</v>
          </cell>
          <cell r="D398">
            <v>1.252</v>
          </cell>
          <cell r="E398">
            <v>0</v>
          </cell>
          <cell r="F398">
            <v>0</v>
          </cell>
          <cell r="CH398">
            <v>825478</v>
          </cell>
          <cell r="CI398" t="str">
            <v>SIFB03 SALAME ITAL FAT BAT C KG</v>
          </cell>
          <cell r="CJ398">
            <v>0</v>
          </cell>
          <cell r="CK398">
            <v>0</v>
          </cell>
          <cell r="CL398">
            <v>0</v>
          </cell>
        </row>
        <row r="399">
          <cell r="A399">
            <v>828484</v>
          </cell>
          <cell r="B399" t="str">
            <v>MFKB13 MORTADELA TUB FGO FRESKI CX 13,6K</v>
          </cell>
          <cell r="C399">
            <v>1.73</v>
          </cell>
          <cell r="D399">
            <v>1.4410000000000001</v>
          </cell>
          <cell r="E399">
            <v>-0.29599999999999999</v>
          </cell>
          <cell r="F399">
            <v>-0.188</v>
          </cell>
          <cell r="CH399">
            <v>825479</v>
          </cell>
          <cell r="CI399" t="str">
            <v>SHFB03 SALAME HAMBURGUES FAT KG</v>
          </cell>
          <cell r="CJ399">
            <v>0</v>
          </cell>
          <cell r="CK399">
            <v>0</v>
          </cell>
          <cell r="CL399">
            <v>0</v>
          </cell>
        </row>
        <row r="400">
          <cell r="A400">
            <v>828558</v>
          </cell>
          <cell r="B400" t="str">
            <v>FIL012 FILE MIGNON SUI CONG PERD CX 12KG</v>
          </cell>
          <cell r="C400">
            <v>3.7890000000000001</v>
          </cell>
          <cell r="D400">
            <v>3.3580000000000001</v>
          </cell>
          <cell r="E400">
            <v>-0.20100000000000001</v>
          </cell>
          <cell r="F400">
            <v>-0.58199999999999996</v>
          </cell>
          <cell r="CH400">
            <v>51100300</v>
          </cell>
          <cell r="CI400" t="str">
            <v>2009 - DEFUMADOS</v>
          </cell>
          <cell r="CJ400">
            <v>42514.6</v>
          </cell>
          <cell r="CK400">
            <v>3.621</v>
          </cell>
          <cell r="CL400">
            <v>153944.53</v>
          </cell>
        </row>
        <row r="401">
          <cell r="A401">
            <v>828559</v>
          </cell>
          <cell r="B401" t="str">
            <v>LBM012 LOMBO MEDIO SUI CONG PERD CX 12KG</v>
          </cell>
          <cell r="C401">
            <v>4.5739999999999998</v>
          </cell>
          <cell r="D401">
            <v>4.0490000000000004</v>
          </cell>
          <cell r="E401">
            <v>-0.20499999999999999</v>
          </cell>
          <cell r="F401">
            <v>-0.66500000000000004</v>
          </cell>
          <cell r="CH401">
            <v>51100300</v>
          </cell>
          <cell r="CI401" t="str">
            <v>2009001 - DEFUMADOS AVES</v>
          </cell>
          <cell r="CJ401">
            <v>42514.6</v>
          </cell>
          <cell r="CK401">
            <v>3.621</v>
          </cell>
          <cell r="CL401">
            <v>153944.53</v>
          </cell>
        </row>
        <row r="402">
          <cell r="A402">
            <v>828572</v>
          </cell>
          <cell r="B402" t="str">
            <v>CAZ004 CALZONE PRES/QJO PERD 16 CART300G</v>
          </cell>
          <cell r="C402">
            <v>8.173</v>
          </cell>
          <cell r="D402">
            <v>6.165</v>
          </cell>
          <cell r="E402">
            <v>-0.309</v>
          </cell>
          <cell r="F402">
            <v>-0.93700000000000006</v>
          </cell>
          <cell r="CH402">
            <v>6012</v>
          </cell>
          <cell r="CI402" t="str">
            <v>PRDB05 PEITO PERU DEF BATAVO KG</v>
          </cell>
          <cell r="CJ402">
            <v>38685.5</v>
          </cell>
          <cell r="CK402">
            <v>3.5754000000000001</v>
          </cell>
          <cell r="CL402">
            <v>138316.31</v>
          </cell>
        </row>
        <row r="403">
          <cell r="A403">
            <v>829372</v>
          </cell>
          <cell r="B403" t="str">
            <v>FCSB12 COXA SOBREC C/OP FRESKI CX 12KG</v>
          </cell>
          <cell r="C403">
            <v>2.246</v>
          </cell>
          <cell r="D403">
            <v>1.956</v>
          </cell>
          <cell r="E403">
            <v>-0.27400000000000002</v>
          </cell>
          <cell r="F403">
            <v>-0.128</v>
          </cell>
          <cell r="CH403">
            <v>6015</v>
          </cell>
          <cell r="CI403" t="str">
            <v>PEMB06 PEITO DEF MINI BAT CX KG</v>
          </cell>
          <cell r="CJ403">
            <v>3829.1</v>
          </cell>
          <cell r="CK403">
            <v>4.0814000000000004</v>
          </cell>
          <cell r="CL403">
            <v>15628.22</v>
          </cell>
        </row>
        <row r="404">
          <cell r="A404">
            <v>829727</v>
          </cell>
          <cell r="B404" t="str">
            <v>LIT420 LING CALAB IDEAL TING 4PT 5KG</v>
          </cell>
          <cell r="C404">
            <v>3.0609999999999999</v>
          </cell>
          <cell r="D404">
            <v>2.4329999999999998</v>
          </cell>
          <cell r="E404">
            <v>-0.28899999999999998</v>
          </cell>
          <cell r="F404">
            <v>-0.40600000000000003</v>
          </cell>
          <cell r="CH404">
            <v>51100300</v>
          </cell>
          <cell r="CI404" t="str">
            <v>2009002 - DEFUMADOS SUINOS</v>
          </cell>
          <cell r="CJ404">
            <v>0</v>
          </cell>
          <cell r="CK404">
            <v>0</v>
          </cell>
          <cell r="CL404">
            <v>0</v>
          </cell>
        </row>
        <row r="405">
          <cell r="A405">
            <v>829728</v>
          </cell>
          <cell r="B405" t="str">
            <v>LIT410 LING CALAB IDEAL TING 4PT 2,5KG</v>
          </cell>
          <cell r="C405">
            <v>3.113</v>
          </cell>
          <cell r="D405">
            <v>2.5179999999999998</v>
          </cell>
          <cell r="E405">
            <v>-0.3</v>
          </cell>
          <cell r="F405">
            <v>-0.42</v>
          </cell>
          <cell r="CH405">
            <v>3224</v>
          </cell>
          <cell r="CI405" t="str">
            <v>CODB09 COSTELA DEFUMADA BATA KG</v>
          </cell>
          <cell r="CJ405">
            <v>0</v>
          </cell>
          <cell r="CK405">
            <v>0</v>
          </cell>
          <cell r="CL405">
            <v>0</v>
          </cell>
        </row>
        <row r="406">
          <cell r="A406">
            <v>829890</v>
          </cell>
          <cell r="B406" t="str">
            <v>MHT410 MORTADELA CHESTERELLA 4PC CX 10KG</v>
          </cell>
          <cell r="C406">
            <v>3.5630000000000002</v>
          </cell>
          <cell r="D406">
            <v>2.9990000000000001</v>
          </cell>
          <cell r="E406">
            <v>-0.27800000000000002</v>
          </cell>
          <cell r="F406">
            <v>-0.49299999999999999</v>
          </cell>
          <cell r="CH406">
            <v>3234</v>
          </cell>
          <cell r="CI406" t="str">
            <v>BAPB08 BACON DEF PEDACO 28PC KG</v>
          </cell>
          <cell r="CJ406">
            <v>0</v>
          </cell>
          <cell r="CK406">
            <v>0</v>
          </cell>
          <cell r="CL406">
            <v>0</v>
          </cell>
        </row>
        <row r="407">
          <cell r="A407">
            <v>830526</v>
          </cell>
          <cell r="B407" t="str">
            <v>BAVB14 BACON DEF S/COST VAC BAT CX 14KG</v>
          </cell>
          <cell r="C407">
            <v>3.6589999999999998</v>
          </cell>
          <cell r="D407">
            <v>2.84</v>
          </cell>
          <cell r="E407">
            <v>-0.28299999999999997</v>
          </cell>
          <cell r="F407">
            <v>-0.32700000000000001</v>
          </cell>
          <cell r="CH407">
            <v>830526</v>
          </cell>
          <cell r="CI407" t="str">
            <v>BAVB14 BACON DEF S/COST VAC  KG</v>
          </cell>
          <cell r="CJ407">
            <v>0</v>
          </cell>
          <cell r="CK407">
            <v>0</v>
          </cell>
          <cell r="CL407">
            <v>0</v>
          </cell>
        </row>
        <row r="408">
          <cell r="A408">
            <v>830527</v>
          </cell>
          <cell r="B408" t="str">
            <v>BAVB13 BACON DEF S/COST VAC BAT CX 13KG</v>
          </cell>
          <cell r="C408">
            <v>3.714</v>
          </cell>
          <cell r="D408">
            <v>2.823</v>
          </cell>
          <cell r="E408">
            <v>-0.29299999999999998</v>
          </cell>
          <cell r="F408">
            <v>-0.39899999999999997</v>
          </cell>
          <cell r="CH408">
            <v>830527</v>
          </cell>
          <cell r="CI408" t="str">
            <v>BAVB13 BACON DEF S/COST VAC  KG</v>
          </cell>
          <cell r="CJ408">
            <v>0</v>
          </cell>
          <cell r="CK408">
            <v>0</v>
          </cell>
          <cell r="CL408">
            <v>0</v>
          </cell>
        </row>
        <row r="409">
          <cell r="A409">
            <v>830780</v>
          </cell>
          <cell r="B409" t="str">
            <v>LHOB05 LING CALAB HOLANDESA BAT CX 5KG</v>
          </cell>
          <cell r="C409">
            <v>5.0629999999999997</v>
          </cell>
          <cell r="D409">
            <v>4.2329999999999997</v>
          </cell>
          <cell r="E409">
            <v>-0.35</v>
          </cell>
          <cell r="F409">
            <v>-0.50300000000000011</v>
          </cell>
          <cell r="CH409">
            <v>51100300</v>
          </cell>
          <cell r="CI409" t="str">
            <v>2010 - PATE</v>
          </cell>
          <cell r="CJ409">
            <v>0</v>
          </cell>
          <cell r="CK409">
            <v>0</v>
          </cell>
          <cell r="CL409">
            <v>0</v>
          </cell>
        </row>
        <row r="410">
          <cell r="A410">
            <v>830866</v>
          </cell>
          <cell r="B410" t="str">
            <v>LTP018 LOMBO TEMP CONG PERD 12PC CX 18KG</v>
          </cell>
          <cell r="C410">
            <v>6.0819999999999999</v>
          </cell>
          <cell r="D410">
            <v>5.4340000000000002</v>
          </cell>
          <cell r="E410">
            <v>0</v>
          </cell>
          <cell r="F410">
            <v>-1.3089999999999999</v>
          </cell>
          <cell r="CH410">
            <v>3266</v>
          </cell>
          <cell r="CI410" t="str">
            <v>PFIB03 PATE FIGADO BAT 120G  KG</v>
          </cell>
          <cell r="CJ410">
            <v>0</v>
          </cell>
          <cell r="CK410">
            <v>0</v>
          </cell>
          <cell r="CL410">
            <v>0</v>
          </cell>
        </row>
        <row r="411">
          <cell r="A411">
            <v>831124</v>
          </cell>
          <cell r="B411" t="str">
            <v>HSG020 HAMBURG SUINO PERD 36PC CX 2,02KG</v>
          </cell>
          <cell r="C411">
            <v>2.74</v>
          </cell>
          <cell r="D411">
            <v>2.069</v>
          </cell>
          <cell r="E411">
            <v>-0.24399999999999999</v>
          </cell>
          <cell r="F411">
            <v>-0.38</v>
          </cell>
          <cell r="CH411">
            <v>3276</v>
          </cell>
          <cell r="CI411" t="str">
            <v>PPRB03 PATE DE PRESUNTO BAT  KG</v>
          </cell>
          <cell r="CJ411">
            <v>0</v>
          </cell>
          <cell r="CK411">
            <v>0</v>
          </cell>
          <cell r="CL411">
            <v>0</v>
          </cell>
        </row>
        <row r="412">
          <cell r="A412">
            <v>831142</v>
          </cell>
          <cell r="B412" t="str">
            <v>PZQ005 PIZZA QUATRO QUEIJOS 12 CART 460G</v>
          </cell>
          <cell r="C412">
            <v>8.4779999999999998</v>
          </cell>
          <cell r="D412">
            <v>6.4169999999999998</v>
          </cell>
          <cell r="E412">
            <v>-0.30099999999999999</v>
          </cell>
          <cell r="F412">
            <v>-1.0149999999999999</v>
          </cell>
          <cell r="CH412">
            <v>6027</v>
          </cell>
          <cell r="CI412" t="str">
            <v>PPEB03 PATE DE PEITO PERU DE KG</v>
          </cell>
          <cell r="CJ412">
            <v>0</v>
          </cell>
          <cell r="CK412">
            <v>0</v>
          </cell>
          <cell r="CL412">
            <v>0</v>
          </cell>
        </row>
        <row r="413">
          <cell r="A413">
            <v>831239</v>
          </cell>
          <cell r="B413" t="str">
            <v>MRM006 MINI PIZZA FGO C/REQUEIJAO MONICA</v>
          </cell>
          <cell r="C413">
            <v>6.7569999999999997</v>
          </cell>
          <cell r="D413">
            <v>5.0259999999999998</v>
          </cell>
          <cell r="E413">
            <v>-0.28399999999999997</v>
          </cell>
          <cell r="F413">
            <v>-0.84499999999999997</v>
          </cell>
        </row>
        <row r="414">
          <cell r="A414">
            <v>831476</v>
          </cell>
          <cell r="B414" t="str">
            <v>MTUB13 MORT TUBULAR BATAVO 4PC CX 13,6KG</v>
          </cell>
          <cell r="C414">
            <v>1.365</v>
          </cell>
          <cell r="D414">
            <v>1.139</v>
          </cell>
          <cell r="E414">
            <v>-0.246</v>
          </cell>
          <cell r="F414">
            <v>-0.16899999999999998</v>
          </cell>
          <cell r="CH414" t="str">
            <v>Total Ger</v>
          </cell>
          <cell r="CI414" t="str">
            <v>al</v>
          </cell>
          <cell r="CJ414">
            <v>7826798.2750000004</v>
          </cell>
          <cell r="CK414">
            <v>1.9814000000000001</v>
          </cell>
          <cell r="CL414">
            <v>15507881.720000001</v>
          </cell>
        </row>
        <row r="415">
          <cell r="A415">
            <v>832703</v>
          </cell>
          <cell r="B415" t="str">
            <v>LQI007 LASANHA QUATRO QUEIJOS FAMILIAR</v>
          </cell>
          <cell r="C415">
            <v>4.806</v>
          </cell>
          <cell r="D415">
            <v>3.734</v>
          </cell>
          <cell r="E415">
            <v>-0.32300000000000001</v>
          </cell>
          <cell r="F415">
            <v>-0.59600000000000009</v>
          </cell>
        </row>
        <row r="416">
          <cell r="A416">
            <v>833016</v>
          </cell>
          <cell r="B416" t="str">
            <v>MKB004 MINI KIBE CONG PERD INST CX 3,2KG</v>
          </cell>
          <cell r="C416">
            <v>3.9239999999999999</v>
          </cell>
          <cell r="D416">
            <v>2.9369999999999998</v>
          </cell>
          <cell r="E416">
            <v>-0.22900000000000001</v>
          </cell>
          <cell r="F416">
            <v>-0.53100000000000003</v>
          </cell>
        </row>
        <row r="417">
          <cell r="A417">
            <v>833160</v>
          </cell>
          <cell r="B417" t="str">
            <v>LSPB05 LASANHA PERU 8CART BAT CX 5,2KG</v>
          </cell>
          <cell r="C417">
            <v>5.4539999999999997</v>
          </cell>
          <cell r="D417">
            <v>4.306</v>
          </cell>
          <cell r="E417">
            <v>-0.36399999999999999</v>
          </cell>
          <cell r="F417">
            <v>-0.53100000000000014</v>
          </cell>
        </row>
        <row r="418">
          <cell r="A418">
            <v>833191</v>
          </cell>
          <cell r="B418" t="str">
            <v>FDC408 PEITO FGO COZIDO DESFIADO PT 2KG</v>
          </cell>
          <cell r="C418">
            <v>4.202</v>
          </cell>
          <cell r="D418">
            <v>3.1360000000000001</v>
          </cell>
          <cell r="E418">
            <v>-0.218</v>
          </cell>
          <cell r="F418">
            <v>-0.57299999999999995</v>
          </cell>
        </row>
        <row r="419">
          <cell r="A419">
            <v>833336</v>
          </cell>
          <cell r="B419" t="str">
            <v>SFC804 STROGONOFF CHESTER PERD 8BDJ 550G</v>
          </cell>
          <cell r="C419">
            <v>9.3130000000000006</v>
          </cell>
          <cell r="D419">
            <v>6.91</v>
          </cell>
          <cell r="E419">
            <v>-0.23200000000000001</v>
          </cell>
          <cell r="F419">
            <v>-1.0660000000000003</v>
          </cell>
        </row>
        <row r="420">
          <cell r="A420">
            <v>833360</v>
          </cell>
          <cell r="B420" t="str">
            <v>HSU128 HAMBURGUER BOV SUAVE PERD 12 CART</v>
          </cell>
          <cell r="C420">
            <v>3.45</v>
          </cell>
          <cell r="D420">
            <v>2.6190000000000002</v>
          </cell>
          <cell r="E420">
            <v>-0.26900000000000002</v>
          </cell>
          <cell r="F420">
            <v>-0.45</v>
          </cell>
        </row>
        <row r="421">
          <cell r="A421">
            <v>833402</v>
          </cell>
          <cell r="B421" t="str">
            <v>LBI007 LASANHA BOLONHESA INST CX 7,50 KG</v>
          </cell>
          <cell r="C421">
            <v>4.4580000000000002</v>
          </cell>
          <cell r="D421">
            <v>3.4209999999999998</v>
          </cell>
          <cell r="E421">
            <v>-0.318</v>
          </cell>
          <cell r="F421">
            <v>-0.56300000000000006</v>
          </cell>
        </row>
        <row r="422">
          <cell r="A422">
            <v>833412</v>
          </cell>
          <cell r="B422" t="str">
            <v>SBQ015 SAMBIQUIRA FGO PERD PT1KG CX 15KG</v>
          </cell>
          <cell r="C422">
            <v>0.90300000000000002</v>
          </cell>
          <cell r="D422">
            <v>0.79800000000000004</v>
          </cell>
          <cell r="E422">
            <v>-0.14199999999999999</v>
          </cell>
          <cell r="F422">
            <v>-0.1</v>
          </cell>
        </row>
        <row r="423">
          <cell r="A423">
            <v>833413</v>
          </cell>
          <cell r="B423" t="str">
            <v>MCR013 MASCARA SUINA SALG PERD CX 13KG</v>
          </cell>
          <cell r="C423">
            <v>0.84599999999999997</v>
          </cell>
          <cell r="D423">
            <v>0.70499999999999996</v>
          </cell>
          <cell r="E423">
            <v>-0.14699999999999999</v>
          </cell>
          <cell r="F423">
            <v>-0.16299999999999998</v>
          </cell>
        </row>
        <row r="424">
          <cell r="A424">
            <v>833414</v>
          </cell>
          <cell r="B424" t="str">
            <v>PCS013 PONTA COST SUI SALG PERD CX 13KG</v>
          </cell>
          <cell r="C424">
            <v>1.8919999999999999</v>
          </cell>
          <cell r="D424">
            <v>1.5169999999999999</v>
          </cell>
          <cell r="E424">
            <v>-9.1999999999999998E-2</v>
          </cell>
          <cell r="F424">
            <v>-0.23599999999999993</v>
          </cell>
        </row>
        <row r="425">
          <cell r="A425">
            <v>833415</v>
          </cell>
          <cell r="B425" t="str">
            <v>CCC010 PONTA COST SUI CONG CHURRA CX10KG</v>
          </cell>
          <cell r="C425">
            <v>2.996</v>
          </cell>
          <cell r="D425">
            <v>2.6339999999999999</v>
          </cell>
          <cell r="E425">
            <v>-0.10199999999999999</v>
          </cell>
          <cell r="F425">
            <v>-0.58799999999999997</v>
          </cell>
        </row>
        <row r="426">
          <cell r="A426">
            <v>833416</v>
          </cell>
          <cell r="B426" t="str">
            <v>CDF012 COSTELA SUI DEF PT6KG PERD CX 12K</v>
          </cell>
          <cell r="C426">
            <v>5.3410000000000002</v>
          </cell>
          <cell r="D426">
            <v>4.2990000000000004</v>
          </cell>
          <cell r="E426">
            <v>-0.20599999999999999</v>
          </cell>
          <cell r="F426">
            <v>-0.72799999999999998</v>
          </cell>
        </row>
        <row r="427">
          <cell r="A427">
            <v>833443</v>
          </cell>
          <cell r="B427" t="str">
            <v>PQI010 PAO DE QUEIJO INST PERD PT 1KG</v>
          </cell>
          <cell r="C427">
            <v>3.86</v>
          </cell>
          <cell r="D427">
            <v>3.214</v>
          </cell>
          <cell r="E427">
            <v>-0.25700000000000001</v>
          </cell>
          <cell r="F427">
            <v>-0.60799999999999998</v>
          </cell>
        </row>
        <row r="428">
          <cell r="A428">
            <v>833518</v>
          </cell>
          <cell r="B428" t="str">
            <v>BCU002 BACON CUBOS PERD PT 200G CX 2,4KG</v>
          </cell>
          <cell r="C428">
            <v>6.9610000000000003</v>
          </cell>
          <cell r="D428">
            <v>5.181</v>
          </cell>
          <cell r="E428">
            <v>-0.21299999999999999</v>
          </cell>
          <cell r="F428">
            <v>-0.84899999999999998</v>
          </cell>
        </row>
        <row r="429">
          <cell r="A429">
            <v>833676</v>
          </cell>
          <cell r="B429" t="str">
            <v>SCC420 SALSICHA HOT DOG CONF 4PT CX 20KG</v>
          </cell>
          <cell r="C429">
            <v>1.597</v>
          </cell>
          <cell r="D429">
            <v>1.0640000000000001</v>
          </cell>
          <cell r="E429">
            <v>-0.155</v>
          </cell>
          <cell r="F429">
            <v>-0.28900000000000003</v>
          </cell>
        </row>
        <row r="430">
          <cell r="A430">
            <v>833707</v>
          </cell>
          <cell r="B430" t="str">
            <v>CAEB03 STEAK FGO EMPANADO BAT 20PC CX3KG</v>
          </cell>
          <cell r="C430">
            <v>2.8639999999999999</v>
          </cell>
          <cell r="D430">
            <v>2.19</v>
          </cell>
          <cell r="E430">
            <v>-0.29599999999999999</v>
          </cell>
          <cell r="F430">
            <v>-0.28100000000000003</v>
          </cell>
        </row>
        <row r="431">
          <cell r="A431">
            <v>833717</v>
          </cell>
          <cell r="B431" t="str">
            <v>LITB20 LING CALAB GRANADA TING 4PT 20KG</v>
          </cell>
          <cell r="C431">
            <v>2.782</v>
          </cell>
          <cell r="D431">
            <v>2.1469999999999998</v>
          </cell>
          <cell r="E431">
            <v>-0.41599999999999998</v>
          </cell>
          <cell r="F431">
            <v>-0.20700000000000002</v>
          </cell>
        </row>
        <row r="432">
          <cell r="A432">
            <v>833718</v>
          </cell>
          <cell r="B432" t="str">
            <v>MFC013 MORTADELA FGO CONF 4PC CX 13,6KG</v>
          </cell>
          <cell r="C432">
            <v>1.8089999999999999</v>
          </cell>
          <cell r="D432">
            <v>1.4259999999999999</v>
          </cell>
          <cell r="E432">
            <v>-0.28299999999999997</v>
          </cell>
          <cell r="F432">
            <v>-0.26200000000000001</v>
          </cell>
        </row>
        <row r="433">
          <cell r="A433">
            <v>833828</v>
          </cell>
          <cell r="B433" t="str">
            <v>CHT027 CHESTER INT CONG PERD CX 27 KG</v>
          </cell>
          <cell r="C433">
            <v>3.492</v>
          </cell>
          <cell r="D433">
            <v>2.923</v>
          </cell>
          <cell r="E433">
            <v>-0.26</v>
          </cell>
          <cell r="F433">
            <v>-0.51400000000000012</v>
          </cell>
        </row>
        <row r="434">
          <cell r="A434">
            <v>833893</v>
          </cell>
          <cell r="B434" t="str">
            <v>LBP004 LASANHA BOLON INDIV 12CART 350G</v>
          </cell>
          <cell r="C434">
            <v>8.359</v>
          </cell>
          <cell r="D434">
            <v>6.4470000000000001</v>
          </cell>
          <cell r="E434">
            <v>-0.311</v>
          </cell>
          <cell r="F434">
            <v>-1.0609999999999999</v>
          </cell>
        </row>
        <row r="435">
          <cell r="A435">
            <v>833894</v>
          </cell>
          <cell r="B435" t="str">
            <v>LQP004 LASANHA QUATRO QUEIJOS IND 12CART</v>
          </cell>
          <cell r="C435">
            <v>8.4450000000000003</v>
          </cell>
          <cell r="D435">
            <v>6.5839999999999996</v>
          </cell>
          <cell r="E435">
            <v>-0.34499999999999997</v>
          </cell>
          <cell r="F435">
            <v>-1.0609999999999999</v>
          </cell>
        </row>
        <row r="436">
          <cell r="A436">
            <v>833977</v>
          </cell>
          <cell r="B436" t="str">
            <v>LSC085 LASANHA CHESTER PERD 8 BDJ 650G</v>
          </cell>
          <cell r="C436">
            <v>6.641</v>
          </cell>
          <cell r="D436">
            <v>4.9539999999999997</v>
          </cell>
          <cell r="E436">
            <v>-0.21199999999999999</v>
          </cell>
          <cell r="F436">
            <v>-0.89200000000000013</v>
          </cell>
        </row>
        <row r="437">
          <cell r="A437">
            <v>834282</v>
          </cell>
          <cell r="B437" t="str">
            <v>PPPB05 PIZZA PRES PERU BAT CX 5,52KG</v>
          </cell>
          <cell r="C437">
            <v>7.7169999999999996</v>
          </cell>
          <cell r="D437">
            <v>6.0309999999999997</v>
          </cell>
          <cell r="E437">
            <v>-0.47899999999999998</v>
          </cell>
          <cell r="F437">
            <v>-0.70199999999999996</v>
          </cell>
        </row>
        <row r="438">
          <cell r="A438">
            <v>834283</v>
          </cell>
          <cell r="B438" t="str">
            <v>PFCB05 PIZZA FGO CATUPIRY BAT CX 5,52KG</v>
          </cell>
          <cell r="C438">
            <v>7.8339999999999996</v>
          </cell>
          <cell r="D438">
            <v>6.1589999999999998</v>
          </cell>
          <cell r="E438">
            <v>-0.47599999999999998</v>
          </cell>
          <cell r="F438">
            <v>-0.70800000000000007</v>
          </cell>
        </row>
        <row r="439">
          <cell r="A439">
            <v>834284</v>
          </cell>
          <cell r="B439" t="str">
            <v>DPLB05 DOUBLE PIZZA LING CALAB CX 5,52KG</v>
          </cell>
          <cell r="C439">
            <v>7.5529999999999999</v>
          </cell>
          <cell r="D439">
            <v>5.8419999999999996</v>
          </cell>
          <cell r="E439">
            <v>-0.41</v>
          </cell>
          <cell r="F439">
            <v>-0.71300000000000008</v>
          </cell>
        </row>
        <row r="440">
          <cell r="A440">
            <v>834668</v>
          </cell>
          <cell r="B440" t="str">
            <v>PMM026 PRESUNTO MAGRO 2PC CX 26KG</v>
          </cell>
          <cell r="C440">
            <v>4.1479999999999997</v>
          </cell>
          <cell r="D440">
            <v>3.0339999999999998</v>
          </cell>
          <cell r="E440">
            <v>-0.13200000000000001</v>
          </cell>
          <cell r="F440">
            <v>-0.59899999999999998</v>
          </cell>
        </row>
        <row r="441">
          <cell r="A441">
            <v>834930</v>
          </cell>
          <cell r="B441" t="str">
            <v>PEB313 PERU TEMP BAT 3-3,99KG CX 13KG</v>
          </cell>
          <cell r="C441">
            <v>3.4670000000000001</v>
          </cell>
          <cell r="D441">
            <v>2.8069999999999999</v>
          </cell>
          <cell r="E441">
            <v>-0.33900000000000002</v>
          </cell>
          <cell r="F441">
            <v>-0.39</v>
          </cell>
        </row>
        <row r="442">
          <cell r="A442">
            <v>834931</v>
          </cell>
          <cell r="B442" t="str">
            <v>PEB314 PERU TEMP BAT 3-3,99KG CX 14KG</v>
          </cell>
          <cell r="C442">
            <v>3.0489999999999999</v>
          </cell>
          <cell r="D442">
            <v>2.5049999999999999</v>
          </cell>
          <cell r="E442">
            <v>-0.435</v>
          </cell>
          <cell r="F442">
            <v>-0.30399999999999999</v>
          </cell>
        </row>
        <row r="443">
          <cell r="A443">
            <v>834932</v>
          </cell>
          <cell r="B443" t="str">
            <v>PEB315 PERU TEMP BAT 3-3,99KG CX 15KG</v>
          </cell>
          <cell r="C443">
            <v>2.9689999999999999</v>
          </cell>
          <cell r="D443">
            <v>2.4329999999999998</v>
          </cell>
          <cell r="E443">
            <v>-0.44600000000000001</v>
          </cell>
          <cell r="F443">
            <v>-0.30099999999999999</v>
          </cell>
        </row>
        <row r="444">
          <cell r="A444">
            <v>834934</v>
          </cell>
          <cell r="B444" t="str">
            <v>PEB416 PERU TEMP BAT 4-4,99KG CX 16KG</v>
          </cell>
          <cell r="C444">
            <v>2.9550000000000001</v>
          </cell>
          <cell r="D444">
            <v>2.42</v>
          </cell>
          <cell r="E444">
            <v>-0.44600000000000001</v>
          </cell>
          <cell r="F444">
            <v>-0.30400000000000005</v>
          </cell>
        </row>
        <row r="445">
          <cell r="A445">
            <v>834935</v>
          </cell>
          <cell r="B445" t="str">
            <v>PEB417 PERU TEMP BAT 4-4,99KG CX 17KG</v>
          </cell>
          <cell r="C445">
            <v>2.9609999999999999</v>
          </cell>
          <cell r="D445">
            <v>2.4319999999999999</v>
          </cell>
          <cell r="E445">
            <v>-0.43099999999999999</v>
          </cell>
          <cell r="F445">
            <v>-0.29700000000000004</v>
          </cell>
        </row>
        <row r="446">
          <cell r="A446">
            <v>834939</v>
          </cell>
          <cell r="B446" t="str">
            <v>PEB515 PERU TEMP BAT 5-6KG CX 15KG</v>
          </cell>
          <cell r="C446">
            <v>2.96</v>
          </cell>
          <cell r="D446">
            <v>2.431</v>
          </cell>
          <cell r="E446">
            <v>-0.43099999999999999</v>
          </cell>
          <cell r="F446">
            <v>-0.29600000000000004</v>
          </cell>
        </row>
        <row r="447">
          <cell r="A447">
            <v>835042</v>
          </cell>
          <cell r="B447" t="str">
            <v>MSCB20 MASCARA SUINA CONG SC 20KG</v>
          </cell>
          <cell r="C447">
            <v>0.61299999999999999</v>
          </cell>
          <cell r="D447">
            <v>0.53400000000000003</v>
          </cell>
          <cell r="E447">
            <v>0</v>
          </cell>
          <cell r="F447">
            <v>0</v>
          </cell>
        </row>
        <row r="448">
          <cell r="A448">
            <v>835419</v>
          </cell>
          <cell r="B448" t="str">
            <v>MBNB15 MORTADELA TIPO BOLOG BAT CX 15KG</v>
          </cell>
          <cell r="C448">
            <v>2.0129999999999999</v>
          </cell>
          <cell r="D448">
            <v>1.7</v>
          </cell>
          <cell r="E448">
            <v>-0.249</v>
          </cell>
          <cell r="F448">
            <v>-0.24</v>
          </cell>
        </row>
        <row r="449">
          <cell r="A449">
            <v>835420</v>
          </cell>
          <cell r="B449" t="str">
            <v>MBNB17 MORTADELA TIPO BOLOG BAT CX 17KG</v>
          </cell>
          <cell r="C449">
            <v>1.9890000000000001</v>
          </cell>
          <cell r="D449">
            <v>1.6990000000000001</v>
          </cell>
          <cell r="E449">
            <v>-0.21</v>
          </cell>
          <cell r="F449">
            <v>-0.22100000000000003</v>
          </cell>
        </row>
        <row r="450">
          <cell r="A450">
            <v>835636</v>
          </cell>
          <cell r="B450" t="str">
            <v>CCC012 COSTELA SUI CONG CHURRASCO CX12KG</v>
          </cell>
          <cell r="C450">
            <v>3.8820000000000001</v>
          </cell>
          <cell r="D450">
            <v>3.4359999999999999</v>
          </cell>
          <cell r="E450">
            <v>-0.25</v>
          </cell>
          <cell r="F450">
            <v>-0.59399999999999997</v>
          </cell>
        </row>
        <row r="451">
          <cell r="A451">
            <v>836539</v>
          </cell>
          <cell r="B451" t="str">
            <v>PCH014 PEITO C/OF S/P INT CHT TEMP BDJ 1</v>
          </cell>
          <cell r="C451">
            <v>4.577</v>
          </cell>
          <cell r="D451">
            <v>3.79</v>
          </cell>
          <cell r="E451">
            <v>-0.20599999999999999</v>
          </cell>
          <cell r="F451">
            <v>-0.71499999999999997</v>
          </cell>
        </row>
        <row r="452">
          <cell r="A452">
            <v>836627</v>
          </cell>
          <cell r="B452" t="str">
            <v>HBVB02 HAMBURGUER BOV BAT 36PC CX 2,02KG</v>
          </cell>
          <cell r="C452">
            <v>2.8879999999999999</v>
          </cell>
          <cell r="D452">
            <v>2.226</v>
          </cell>
          <cell r="E452">
            <v>-0.38500000000000001</v>
          </cell>
          <cell r="F452">
            <v>-0.26800000000000002</v>
          </cell>
        </row>
        <row r="453">
          <cell r="A453">
            <v>836934</v>
          </cell>
          <cell r="B453" t="str">
            <v>CGA009 CHESTER GEORGIA PERD CX 9,5KG</v>
          </cell>
          <cell r="C453">
            <v>5.7649999999999997</v>
          </cell>
          <cell r="D453">
            <v>4.327</v>
          </cell>
          <cell r="E453">
            <v>-0.22500000000000001</v>
          </cell>
          <cell r="F453">
            <v>-0.68399999999999994</v>
          </cell>
        </row>
        <row r="454">
          <cell r="A454">
            <v>836963</v>
          </cell>
          <cell r="B454" t="str">
            <v>PHM006 PEITO DEF CHEST MINI CX 5,4KG</v>
          </cell>
          <cell r="C454">
            <v>8.3170000000000002</v>
          </cell>
          <cell r="D454">
            <v>6.2859999999999996</v>
          </cell>
          <cell r="E454">
            <v>-0.27700000000000002</v>
          </cell>
          <cell r="F454">
            <v>-0.90100000000000002</v>
          </cell>
        </row>
        <row r="455">
          <cell r="A455">
            <v>199788</v>
          </cell>
          <cell r="B455" t="str">
            <v>FRANGO BROILER 1500G CONG PERD CINGAP</v>
          </cell>
          <cell r="C455">
            <v>2.5289999999999999</v>
          </cell>
          <cell r="D455">
            <v>2.5289999999999999</v>
          </cell>
          <cell r="E455">
            <v>-0.63900000000000001</v>
          </cell>
          <cell r="F455">
            <v>-6.0999999999999943E-2</v>
          </cell>
        </row>
        <row r="456">
          <cell r="A456">
            <v>202380</v>
          </cell>
          <cell r="B456" t="str">
            <v>COXA SOB SO CP FGO CONG 20-30G K1 BOR JA</v>
          </cell>
          <cell r="C456">
            <v>5.2210000000000001</v>
          </cell>
          <cell r="D456">
            <v>5.2210000000000001</v>
          </cell>
          <cell r="E456">
            <v>-0.68500000000000005</v>
          </cell>
          <cell r="F456">
            <v>-0.13</v>
          </cell>
        </row>
        <row r="457">
          <cell r="A457">
            <v>202398</v>
          </cell>
          <cell r="B457" t="str">
            <v>COXA SOB SO CP FGO CONG 30-40G K2 BOR JA</v>
          </cell>
          <cell r="C457">
            <v>5.1559999999999997</v>
          </cell>
          <cell r="D457">
            <v>5.1559999999999997</v>
          </cell>
          <cell r="E457">
            <v>-0.71099999999999997</v>
          </cell>
          <cell r="F457">
            <v>-0.129</v>
          </cell>
        </row>
        <row r="458">
          <cell r="A458">
            <v>202495</v>
          </cell>
          <cell r="B458" t="str">
            <v>COXA SOB SO CP FGO CONG 160-180G L12 BOR</v>
          </cell>
          <cell r="C458">
            <v>5.0709999999999997</v>
          </cell>
          <cell r="D458">
            <v>5.0709999999999997</v>
          </cell>
          <cell r="E458">
            <v>-0.65400000000000003</v>
          </cell>
          <cell r="F458">
            <v>-0.12599999999999989</v>
          </cell>
        </row>
        <row r="459">
          <cell r="A459">
            <v>202509</v>
          </cell>
          <cell r="B459" t="str">
            <v>COXA SOB SO CP FGO CONG 180-200G BOR JAP</v>
          </cell>
          <cell r="C459">
            <v>4.992</v>
          </cell>
          <cell r="D459">
            <v>4.992</v>
          </cell>
          <cell r="E459">
            <v>-0.67300000000000004</v>
          </cell>
          <cell r="F459">
            <v>-0.125</v>
          </cell>
        </row>
        <row r="460">
          <cell r="A460">
            <v>202517</v>
          </cell>
          <cell r="B460" t="str">
            <v>COXA SOB SO CP FGO CONG 200-220G L41 BOR</v>
          </cell>
          <cell r="C460">
            <v>4.9989999999999997</v>
          </cell>
          <cell r="D460">
            <v>4.9989999999999997</v>
          </cell>
          <cell r="E460">
            <v>-0.67</v>
          </cell>
          <cell r="F460">
            <v>-0.125</v>
          </cell>
        </row>
        <row r="461">
          <cell r="A461">
            <v>202525</v>
          </cell>
          <cell r="B461" t="str">
            <v>COXA SOB SO CP FGO CONG 220-240G L24 BOR</v>
          </cell>
          <cell r="C461">
            <v>4.944</v>
          </cell>
          <cell r="D461">
            <v>4.944</v>
          </cell>
          <cell r="E461">
            <v>-0.67400000000000004</v>
          </cell>
          <cell r="F461">
            <v>-0.12299999999999978</v>
          </cell>
        </row>
        <row r="462">
          <cell r="A462">
            <v>202533</v>
          </cell>
          <cell r="B462" t="str">
            <v>COXA SOB SO CP FGO CONG 240-260G L14 BOR</v>
          </cell>
          <cell r="C462">
            <v>4.97</v>
          </cell>
          <cell r="D462">
            <v>4.97</v>
          </cell>
          <cell r="E462">
            <v>-0.67200000000000004</v>
          </cell>
          <cell r="F462">
            <v>-0.12400000000000011</v>
          </cell>
        </row>
        <row r="463">
          <cell r="A463">
            <v>202541</v>
          </cell>
          <cell r="B463" t="str">
            <v>COXA SOB SO CP FGO CONG 260-280G L26 BOR</v>
          </cell>
          <cell r="C463">
            <v>4.9089999999999998</v>
          </cell>
          <cell r="D463">
            <v>4.9089999999999998</v>
          </cell>
          <cell r="E463">
            <v>-0.64900000000000002</v>
          </cell>
          <cell r="F463">
            <v>-0.12299999999999978</v>
          </cell>
        </row>
        <row r="464">
          <cell r="A464">
            <v>202584</v>
          </cell>
          <cell r="B464" t="str">
            <v>COXA SOB C/OP FGO CONG 240-260G SJ1 BOR</v>
          </cell>
          <cell r="C464">
            <v>3.581</v>
          </cell>
          <cell r="D464">
            <v>3.581</v>
          </cell>
          <cell r="E464">
            <v>-0.75700000000000001</v>
          </cell>
          <cell r="F464">
            <v>-8.6999999999999966E-2</v>
          </cell>
        </row>
        <row r="465">
          <cell r="A465">
            <v>203076</v>
          </cell>
          <cell r="B465" t="str">
            <v>COXA SOB SO CP FGO CONG 15-20G K9 BOR JA</v>
          </cell>
          <cell r="C465">
            <v>5.3230000000000004</v>
          </cell>
          <cell r="D465">
            <v>5.3230000000000004</v>
          </cell>
          <cell r="E465">
            <v>-0.65600000000000003</v>
          </cell>
          <cell r="F465">
            <v>-0.13300000000000001</v>
          </cell>
        </row>
        <row r="466">
          <cell r="A466">
            <v>203084</v>
          </cell>
          <cell r="B466" t="str">
            <v>COXA SOB C/OP FGO CONG 180-200G CL SJ1</v>
          </cell>
          <cell r="C466">
            <v>3.6619999999999999</v>
          </cell>
          <cell r="D466">
            <v>3.6619999999999999</v>
          </cell>
          <cell r="E466">
            <v>-0.66</v>
          </cell>
          <cell r="F466">
            <v>-9.000000000000008E-2</v>
          </cell>
        </row>
        <row r="467">
          <cell r="A467">
            <v>203718</v>
          </cell>
          <cell r="B467" t="str">
            <v>COXA SOB C/OP FGO CONG 220-240G SJ1 BOR</v>
          </cell>
          <cell r="C467">
            <v>3.6429999999999998</v>
          </cell>
          <cell r="D467">
            <v>3.6429999999999998</v>
          </cell>
          <cell r="E467">
            <v>-0.69899999999999995</v>
          </cell>
          <cell r="F467">
            <v>-8.8999999999999968E-2</v>
          </cell>
        </row>
        <row r="468">
          <cell r="A468">
            <v>204137</v>
          </cell>
          <cell r="B468" t="str">
            <v>COXA SOB S/OP FGO CONG M1 BORELLA JAPAO</v>
          </cell>
          <cell r="C468">
            <v>5.4509999999999996</v>
          </cell>
          <cell r="D468">
            <v>5.4509999999999996</v>
          </cell>
          <cell r="E468">
            <v>-0.63200000000000001</v>
          </cell>
          <cell r="F468">
            <v>-0.13700000000000001</v>
          </cell>
        </row>
        <row r="469">
          <cell r="A469">
            <v>217700</v>
          </cell>
          <cell r="B469" t="str">
            <v>COSTELA SUI CONG PERD H.KONG</v>
          </cell>
          <cell r="C469">
            <v>3.5230000000000001</v>
          </cell>
          <cell r="D469">
            <v>3.5230000000000001</v>
          </cell>
          <cell r="E469">
            <v>-0.1</v>
          </cell>
          <cell r="F469">
            <v>-9.099999999999997E-2</v>
          </cell>
        </row>
        <row r="470">
          <cell r="A470">
            <v>217859</v>
          </cell>
          <cell r="B470" t="str">
            <v>ESTOMAGO SUI CONG COZ PERD H.KONG</v>
          </cell>
          <cell r="C470">
            <v>2.766</v>
          </cell>
          <cell r="D470">
            <v>2.766</v>
          </cell>
          <cell r="E470">
            <v>-0.10100000000000001</v>
          </cell>
          <cell r="F470">
            <v>-7.1000000000000174E-2</v>
          </cell>
        </row>
        <row r="471">
          <cell r="A471">
            <v>221864</v>
          </cell>
          <cell r="B471" t="str">
            <v>UTERO SUI CONG COZ ITF PERD H.KONG</v>
          </cell>
          <cell r="C471">
            <v>2.2280000000000002</v>
          </cell>
          <cell r="D471">
            <v>2.2280000000000002</v>
          </cell>
          <cell r="E471">
            <v>-0.10100000000000001</v>
          </cell>
          <cell r="F471">
            <v>-5.8000000000000052E-2</v>
          </cell>
        </row>
        <row r="472">
          <cell r="A472">
            <v>247359</v>
          </cell>
          <cell r="B472" t="str">
            <v>FRANGO GRILLER 900G CONG BOR KUWAIT</v>
          </cell>
          <cell r="C472">
            <v>2.7959999999999998</v>
          </cell>
          <cell r="D472">
            <v>2.7959999999999998</v>
          </cell>
          <cell r="E472">
            <v>-0.69899999999999995</v>
          </cell>
          <cell r="F472">
            <v>-6.7000000000000004E-2</v>
          </cell>
        </row>
        <row r="473">
          <cell r="A473">
            <v>247367</v>
          </cell>
          <cell r="B473" t="str">
            <v>FRANGO GRILLER 1000G CONG BOR KUWAIT</v>
          </cell>
          <cell r="C473">
            <v>2.7959999999999998</v>
          </cell>
          <cell r="D473">
            <v>2.7959999999999998</v>
          </cell>
          <cell r="E473">
            <v>-0.69899999999999995</v>
          </cell>
          <cell r="F473">
            <v>-6.8000000000000005E-2</v>
          </cell>
        </row>
        <row r="474">
          <cell r="A474">
            <v>266833</v>
          </cell>
          <cell r="B474" t="str">
            <v>PE SUI CONG ITF PERD H.KONG</v>
          </cell>
          <cell r="C474">
            <v>1.0089999999999999</v>
          </cell>
          <cell r="D474">
            <v>1.0089999999999999</v>
          </cell>
          <cell r="E474">
            <v>-0.10100000000000001</v>
          </cell>
          <cell r="F474">
            <v>-2.5999999999999995E-2</v>
          </cell>
        </row>
        <row r="475">
          <cell r="A475">
            <v>266841</v>
          </cell>
          <cell r="B475" t="str">
            <v>LINGUA SUI CONG ITF PERD  H.KONG</v>
          </cell>
          <cell r="C475">
            <v>2.2400000000000002</v>
          </cell>
          <cell r="D475">
            <v>2.2400000000000002</v>
          </cell>
          <cell r="E475">
            <v>-0.10100000000000001</v>
          </cell>
          <cell r="F475">
            <v>-5.8000000000000052E-2</v>
          </cell>
        </row>
        <row r="476">
          <cell r="A476">
            <v>314307</v>
          </cell>
          <cell r="B476" t="str">
            <v>LOMBO SUI CONG 1,8KG/UP PERD H.KONG</v>
          </cell>
          <cell r="C476">
            <v>4.6589999999999998</v>
          </cell>
          <cell r="D476">
            <v>4.6589999999999998</v>
          </cell>
          <cell r="E476">
            <v>-0.10100000000000001</v>
          </cell>
          <cell r="F476">
            <v>-0.12</v>
          </cell>
        </row>
        <row r="477">
          <cell r="A477">
            <v>321230</v>
          </cell>
          <cell r="B477" t="str">
            <v>FRANGO BROILER 1000G CONG PERD CINGAP</v>
          </cell>
          <cell r="C477">
            <v>2.5659999999999998</v>
          </cell>
          <cell r="D477">
            <v>2.5659999999999998</v>
          </cell>
          <cell r="E477">
            <v>-0.65400000000000003</v>
          </cell>
          <cell r="F477">
            <v>-6.2E-2</v>
          </cell>
        </row>
        <row r="478">
          <cell r="A478">
            <v>347876</v>
          </cell>
          <cell r="B478" t="str">
            <v>COXA SOB SO CP FGO CONG 25-35G KAK JAP</v>
          </cell>
          <cell r="C478">
            <v>5.18</v>
          </cell>
          <cell r="D478">
            <v>5.18</v>
          </cell>
          <cell r="E478">
            <v>-0.64</v>
          </cell>
          <cell r="F478">
            <v>-0.129</v>
          </cell>
        </row>
        <row r="479">
          <cell r="A479">
            <v>411140</v>
          </cell>
          <cell r="B479" t="str">
            <v>COXA SOB SO CP FGO CONG 25-30G KAK JAP</v>
          </cell>
          <cell r="C479">
            <v>5.077</v>
          </cell>
          <cell r="D479">
            <v>5.077</v>
          </cell>
          <cell r="E479">
            <v>-0.63</v>
          </cell>
          <cell r="F479">
            <v>-0.127</v>
          </cell>
        </row>
        <row r="480">
          <cell r="A480">
            <v>478520</v>
          </cell>
          <cell r="B480" t="str">
            <v>ASA INT FGO CONG 70-80G  WFCK41 H.KONG</v>
          </cell>
          <cell r="C480">
            <v>1.421</v>
          </cell>
          <cell r="D480">
            <v>1.421</v>
          </cell>
          <cell r="E480">
            <v>-0.1</v>
          </cell>
          <cell r="F480">
            <v>-3.6999999999999998E-2</v>
          </cell>
        </row>
        <row r="481">
          <cell r="A481">
            <v>479845</v>
          </cell>
          <cell r="B481" t="str">
            <v>FRANGO BROILER 1600G CONG PERD CINGAP</v>
          </cell>
          <cell r="C481">
            <v>2.5129999999999999</v>
          </cell>
          <cell r="D481">
            <v>2.5129999999999999</v>
          </cell>
          <cell r="E481">
            <v>-0.63</v>
          </cell>
          <cell r="F481">
            <v>-6.1000000000000054E-2</v>
          </cell>
        </row>
        <row r="482">
          <cell r="A482">
            <v>485721</v>
          </cell>
          <cell r="B482" t="str">
            <v>COXA SOB C/OP FGO CONG 200-220G SUJ BOR</v>
          </cell>
          <cell r="C482">
            <v>3.6120000000000001</v>
          </cell>
          <cell r="D482">
            <v>3.6120000000000001</v>
          </cell>
          <cell r="E482">
            <v>-0.64300000000000002</v>
          </cell>
          <cell r="F482">
            <v>-8.8000000000000078E-2</v>
          </cell>
        </row>
        <row r="483">
          <cell r="A483">
            <v>485730</v>
          </cell>
          <cell r="B483" t="str">
            <v>COXA SOB C/OP FGO CONG 160-180 CL SJ1</v>
          </cell>
          <cell r="C483">
            <v>3.67</v>
          </cell>
          <cell r="D483">
            <v>3.67</v>
          </cell>
          <cell r="E483">
            <v>-0.66200000000000003</v>
          </cell>
          <cell r="F483">
            <v>-9.000000000000008E-2</v>
          </cell>
        </row>
        <row r="484">
          <cell r="A484">
            <v>525960</v>
          </cell>
          <cell r="B484" t="str">
            <v>FRANGO GRILLER 900G CONG UNEF EAU</v>
          </cell>
          <cell r="C484">
            <v>2.7490000000000001</v>
          </cell>
          <cell r="D484">
            <v>2.7490000000000001</v>
          </cell>
          <cell r="E484">
            <v>-0.68100000000000005</v>
          </cell>
          <cell r="F484">
            <v>-6.6000000000000003E-2</v>
          </cell>
        </row>
        <row r="485">
          <cell r="A485">
            <v>525979</v>
          </cell>
          <cell r="B485" t="str">
            <v>FRANGO GRILLER 1000G CONG UNEF EAU</v>
          </cell>
          <cell r="C485">
            <v>2.74</v>
          </cell>
          <cell r="D485">
            <v>2.74</v>
          </cell>
          <cell r="E485">
            <v>-0.67900000000000005</v>
          </cell>
          <cell r="F485">
            <v>-6.6000000000000003E-2</v>
          </cell>
        </row>
        <row r="486">
          <cell r="A486">
            <v>525987</v>
          </cell>
          <cell r="B486" t="str">
            <v>FRANGO GRILLER 1100G CONG UNEF EAU</v>
          </cell>
          <cell r="C486">
            <v>2.7410000000000001</v>
          </cell>
          <cell r="D486">
            <v>2.7410000000000001</v>
          </cell>
          <cell r="E486">
            <v>-0.68100000000000005</v>
          </cell>
          <cell r="F486">
            <v>-6.6000000000000003E-2</v>
          </cell>
        </row>
        <row r="487">
          <cell r="A487">
            <v>525995</v>
          </cell>
          <cell r="B487" t="str">
            <v>FRANGO GRILLER 1200G CONG UNEF EAU</v>
          </cell>
          <cell r="C487">
            <v>2.758</v>
          </cell>
          <cell r="D487">
            <v>2.758</v>
          </cell>
          <cell r="E487">
            <v>-0.68200000000000005</v>
          </cell>
          <cell r="F487">
            <v>-6.6999999999999948E-2</v>
          </cell>
        </row>
        <row r="488">
          <cell r="A488">
            <v>526002</v>
          </cell>
          <cell r="B488" t="str">
            <v>FRANGO GRILLER 1300G CONG UNEF EAU</v>
          </cell>
          <cell r="C488">
            <v>2.746</v>
          </cell>
          <cell r="D488">
            <v>2.746</v>
          </cell>
          <cell r="E488">
            <v>-0.68</v>
          </cell>
          <cell r="F488">
            <v>-6.6000000000000059E-2</v>
          </cell>
        </row>
        <row r="489">
          <cell r="A489">
            <v>526010</v>
          </cell>
          <cell r="B489" t="str">
            <v>FRANGO GRILLER 1400G CONG UNEF EAU</v>
          </cell>
          <cell r="C489">
            <v>2.7959999999999998</v>
          </cell>
          <cell r="D489">
            <v>2.7959999999999998</v>
          </cell>
          <cell r="E489">
            <v>-0.67900000000000005</v>
          </cell>
          <cell r="F489">
            <v>-6.7999999999999949E-2</v>
          </cell>
        </row>
        <row r="490">
          <cell r="A490">
            <v>526843</v>
          </cell>
          <cell r="B490" t="str">
            <v>FRANGO GRILLER 800G CONG UNEF EAU</v>
          </cell>
          <cell r="C490">
            <v>2.7679999999999998</v>
          </cell>
          <cell r="D490">
            <v>2.7679999999999998</v>
          </cell>
          <cell r="E490">
            <v>-0.68500000000000005</v>
          </cell>
          <cell r="F490">
            <v>-6.7000000000000004E-2</v>
          </cell>
        </row>
        <row r="491">
          <cell r="A491">
            <v>540889</v>
          </cell>
          <cell r="B491" t="str">
            <v>FRANGO GRILLER 800G CONG UNEF OMAN</v>
          </cell>
          <cell r="C491">
            <v>2.8170000000000002</v>
          </cell>
          <cell r="D491">
            <v>2.8170000000000002</v>
          </cell>
          <cell r="E491">
            <v>-0.72099999999999997</v>
          </cell>
          <cell r="F491">
            <v>-6.8000000000000005E-2</v>
          </cell>
        </row>
        <row r="492">
          <cell r="A492">
            <v>540897</v>
          </cell>
          <cell r="B492" t="str">
            <v>FRANGO GRILLER 900G CONG UNEF OMAN</v>
          </cell>
          <cell r="C492">
            <v>2.8290000000000002</v>
          </cell>
          <cell r="D492">
            <v>2.8290000000000002</v>
          </cell>
          <cell r="E492">
            <v>-0.71</v>
          </cell>
          <cell r="F492">
            <v>-6.7999999999999949E-2</v>
          </cell>
        </row>
        <row r="493">
          <cell r="A493">
            <v>540900</v>
          </cell>
          <cell r="B493" t="str">
            <v>FRANGO GRILLER 1000G CONG UNEF OMAN</v>
          </cell>
          <cell r="C493">
            <v>2.82</v>
          </cell>
          <cell r="D493">
            <v>2.82</v>
          </cell>
          <cell r="E493">
            <v>-0.71799999999999997</v>
          </cell>
          <cell r="F493">
            <v>-6.6999999999999948E-2</v>
          </cell>
        </row>
        <row r="494">
          <cell r="A494">
            <v>540919</v>
          </cell>
          <cell r="B494" t="str">
            <v>FRANGO GRILLER 1100G CONG UNEF OMAN</v>
          </cell>
          <cell r="C494">
            <v>2.82</v>
          </cell>
          <cell r="D494">
            <v>2.82</v>
          </cell>
          <cell r="E494">
            <v>-0.71799999999999997</v>
          </cell>
          <cell r="F494">
            <v>-6.7999999999999949E-2</v>
          </cell>
        </row>
        <row r="495">
          <cell r="A495">
            <v>540927</v>
          </cell>
          <cell r="B495" t="str">
            <v>FRANGO GRILLER 1200G CONG UNEF OMAN</v>
          </cell>
          <cell r="C495">
            <v>2.8210000000000002</v>
          </cell>
          <cell r="D495">
            <v>2.8210000000000002</v>
          </cell>
          <cell r="E495">
            <v>-0.71699999999999997</v>
          </cell>
          <cell r="F495">
            <v>-6.7999999999999949E-2</v>
          </cell>
        </row>
        <row r="496">
          <cell r="A496">
            <v>557862</v>
          </cell>
          <cell r="B496" t="str">
            <v>FRANGO S/O/A/S C/P CONG  BOR A.SAUDITA</v>
          </cell>
          <cell r="C496">
            <v>4.2220000000000004</v>
          </cell>
          <cell r="D496">
            <v>4.2220000000000004</v>
          </cell>
          <cell r="E496">
            <v>-0.66600000000000004</v>
          </cell>
          <cell r="F496">
            <v>-0.105</v>
          </cell>
        </row>
        <row r="497">
          <cell r="A497">
            <v>560480</v>
          </cell>
          <cell r="B497" t="str">
            <v>COXA SOB C/OP FGO CONG 12BD QATAR</v>
          </cell>
          <cell r="C497">
            <v>3.3260000000000001</v>
          </cell>
          <cell r="D497">
            <v>3.3260000000000001</v>
          </cell>
          <cell r="E497">
            <v>-0.79800000000000004</v>
          </cell>
          <cell r="F497">
            <v>-8.1000000000000072E-2</v>
          </cell>
        </row>
        <row r="498">
          <cell r="A498">
            <v>560502</v>
          </cell>
          <cell r="B498" t="str">
            <v>SOBRECOXA C/OP FGO CONG 12BD THIG QATAR</v>
          </cell>
          <cell r="C498">
            <v>3.258</v>
          </cell>
          <cell r="D498">
            <v>3.258</v>
          </cell>
          <cell r="E498">
            <v>-0.79600000000000004</v>
          </cell>
          <cell r="F498">
            <v>-7.8999999999999959E-2</v>
          </cell>
        </row>
        <row r="499">
          <cell r="A499">
            <v>584819</v>
          </cell>
          <cell r="B499" t="str">
            <v>ASA INT FGO CONG 40-70G ITF PERD H.KON</v>
          </cell>
          <cell r="C499">
            <v>1.254</v>
          </cell>
          <cell r="D499">
            <v>1.254</v>
          </cell>
          <cell r="E499">
            <v>-0.1</v>
          </cell>
          <cell r="F499">
            <v>-3.1999999999999973E-2</v>
          </cell>
        </row>
        <row r="500">
          <cell r="A500">
            <v>591068</v>
          </cell>
          <cell r="B500" t="str">
            <v>FRANGO GRILLER 800G CONG HALAL KUWAIT</v>
          </cell>
          <cell r="C500">
            <v>2.8239999999999998</v>
          </cell>
          <cell r="D500">
            <v>2.8239999999999998</v>
          </cell>
          <cell r="E500">
            <v>-0.71199999999999997</v>
          </cell>
          <cell r="F500">
            <v>-6.800000000000006E-2</v>
          </cell>
        </row>
        <row r="501">
          <cell r="A501">
            <v>591114</v>
          </cell>
          <cell r="B501" t="str">
            <v>COXA C/OP FGO CONG 12BD HALAL KUWAIT</v>
          </cell>
          <cell r="C501">
            <v>3.3929999999999998</v>
          </cell>
          <cell r="D501">
            <v>3.3929999999999998</v>
          </cell>
          <cell r="E501">
            <v>-0.77200000000000002</v>
          </cell>
          <cell r="F501">
            <v>-8.3000000000000074E-2</v>
          </cell>
        </row>
        <row r="502">
          <cell r="A502">
            <v>592641</v>
          </cell>
          <cell r="B502" t="str">
            <v>FRANGO GRILLER 1500G CONG UNEF EAU</v>
          </cell>
          <cell r="C502">
            <v>2.7850000000000001</v>
          </cell>
          <cell r="D502">
            <v>2.7850000000000001</v>
          </cell>
          <cell r="E502">
            <v>-0.68100000000000005</v>
          </cell>
          <cell r="F502">
            <v>-6.700000000000006E-2</v>
          </cell>
        </row>
        <row r="503">
          <cell r="A503">
            <v>605263</v>
          </cell>
          <cell r="B503" t="str">
            <v>ASA INT FGO CONG 100-120G PERD CINGAP</v>
          </cell>
          <cell r="C503">
            <v>2.4159999999999999</v>
          </cell>
          <cell r="D503">
            <v>2.4159999999999999</v>
          </cell>
          <cell r="E503">
            <v>-0.65300000000000002</v>
          </cell>
          <cell r="F503">
            <v>-5.7999999999999996E-2</v>
          </cell>
        </row>
        <row r="504">
          <cell r="A504">
            <v>607177</v>
          </cell>
          <cell r="B504" t="str">
            <v>ASA INT FGO CONG 80-100G WFCK51 H.KONG</v>
          </cell>
          <cell r="C504">
            <v>1.5469999999999999</v>
          </cell>
          <cell r="D504">
            <v>1.5469999999999999</v>
          </cell>
          <cell r="E504">
            <v>-0.1</v>
          </cell>
          <cell r="F504">
            <v>-0.04</v>
          </cell>
        </row>
        <row r="505">
          <cell r="A505">
            <v>607185</v>
          </cell>
          <cell r="B505" t="str">
            <v>ASA INT FGO CONG 100-120G WFCK52 H.KON</v>
          </cell>
          <cell r="C505">
            <v>1.5469999999999999</v>
          </cell>
          <cell r="D505">
            <v>1.5469999999999999</v>
          </cell>
          <cell r="E505">
            <v>-9.9000000000000005E-2</v>
          </cell>
          <cell r="F505">
            <v>-0.04</v>
          </cell>
        </row>
        <row r="506">
          <cell r="A506">
            <v>615315</v>
          </cell>
          <cell r="B506" t="str">
            <v>FRANGO GRILLER 800G CONG BOR KUWAIT</v>
          </cell>
          <cell r="C506">
            <v>2.8010000000000002</v>
          </cell>
          <cell r="D506">
            <v>2.8010000000000002</v>
          </cell>
          <cell r="E506">
            <v>-0.74399999999999999</v>
          </cell>
          <cell r="F506">
            <v>-6.800000000000006E-2</v>
          </cell>
        </row>
        <row r="507">
          <cell r="A507">
            <v>630411</v>
          </cell>
          <cell r="B507" t="str">
            <v>ASA INT FGO CONG 12BD  UNEF EAU</v>
          </cell>
          <cell r="C507">
            <v>3.3929999999999998</v>
          </cell>
          <cell r="D507">
            <v>3.3929999999999998</v>
          </cell>
          <cell r="E507">
            <v>-0.753</v>
          </cell>
          <cell r="F507">
            <v>-8.3000000000000074E-2</v>
          </cell>
        </row>
        <row r="508">
          <cell r="A508">
            <v>647047</v>
          </cell>
          <cell r="B508" t="str">
            <v>ASA INT FGO CONG 75-90G PT 2KG PERD CING</v>
          </cell>
          <cell r="C508">
            <v>2.3340000000000001</v>
          </cell>
          <cell r="D508">
            <v>2.3340000000000001</v>
          </cell>
          <cell r="E508">
            <v>-0.65100000000000002</v>
          </cell>
          <cell r="F508">
            <v>-5.5999999999999994E-2</v>
          </cell>
        </row>
        <row r="509">
          <cell r="A509">
            <v>656542</v>
          </cell>
          <cell r="B509" t="str">
            <v>FRANGO GRILLER 900G CONG BOR A.SAUDITA</v>
          </cell>
          <cell r="C509">
            <v>2.8330000000000002</v>
          </cell>
          <cell r="D509">
            <v>2.8330000000000002</v>
          </cell>
          <cell r="E509">
            <v>-0.58099999999999996</v>
          </cell>
          <cell r="F509">
            <v>-7.0000000000000062E-2</v>
          </cell>
        </row>
        <row r="510">
          <cell r="A510">
            <v>656550</v>
          </cell>
          <cell r="B510" t="str">
            <v>FRANGO GRILLER 950G CONG BOR A.SAUDITA</v>
          </cell>
          <cell r="C510">
            <v>2.8180000000000001</v>
          </cell>
          <cell r="D510">
            <v>2.8180000000000001</v>
          </cell>
          <cell r="E510">
            <v>-0.57899999999999996</v>
          </cell>
          <cell r="F510">
            <v>-6.9000000000000061E-2</v>
          </cell>
        </row>
        <row r="511">
          <cell r="A511">
            <v>656569</v>
          </cell>
          <cell r="B511" t="str">
            <v>FRANGO GRILLER 1000G CONG BOR A.SAUDIT</v>
          </cell>
          <cell r="C511">
            <v>2.734</v>
          </cell>
          <cell r="D511">
            <v>2.734</v>
          </cell>
          <cell r="E511">
            <v>-0.56599999999999995</v>
          </cell>
          <cell r="F511">
            <v>-6.700000000000006E-2</v>
          </cell>
        </row>
        <row r="512">
          <cell r="A512">
            <v>656577</v>
          </cell>
          <cell r="B512" t="str">
            <v>FRANGO GRILLER 1050G CONG BOR A.SAUDIT</v>
          </cell>
          <cell r="C512">
            <v>2.798</v>
          </cell>
          <cell r="D512">
            <v>2.798</v>
          </cell>
          <cell r="E512">
            <v>-0.57499999999999996</v>
          </cell>
          <cell r="F512">
            <v>-6.899999999999995E-2</v>
          </cell>
        </row>
        <row r="513">
          <cell r="A513">
            <v>656585</v>
          </cell>
          <cell r="B513" t="str">
            <v>FRANGO GRILLER 1100G CONG BOR A.SAUDIT</v>
          </cell>
          <cell r="C513">
            <v>2.8330000000000002</v>
          </cell>
          <cell r="D513">
            <v>2.8330000000000002</v>
          </cell>
          <cell r="E513">
            <v>-0.58099999999999996</v>
          </cell>
          <cell r="F513">
            <v>-6.899999999999995E-2</v>
          </cell>
        </row>
        <row r="514">
          <cell r="A514">
            <v>656593</v>
          </cell>
          <cell r="B514" t="str">
            <v>FRANGO GRILLER 1200G CONG BOR A.SAUDIT</v>
          </cell>
          <cell r="C514">
            <v>2.8330000000000002</v>
          </cell>
          <cell r="D514">
            <v>2.8330000000000002</v>
          </cell>
          <cell r="E514">
            <v>-0.58099999999999996</v>
          </cell>
          <cell r="F514">
            <v>-6.9999999999999951E-2</v>
          </cell>
        </row>
        <row r="515">
          <cell r="A515">
            <v>656607</v>
          </cell>
          <cell r="B515" t="str">
            <v>FRANGO GRILLER 1300G CONG BOR A.SAUDIT</v>
          </cell>
          <cell r="C515">
            <v>2.8330000000000002</v>
          </cell>
          <cell r="D515">
            <v>2.8330000000000002</v>
          </cell>
          <cell r="E515">
            <v>-0.57999999999999996</v>
          </cell>
          <cell r="F515">
            <v>-7.0000000000000062E-2</v>
          </cell>
        </row>
        <row r="516">
          <cell r="A516">
            <v>657298</v>
          </cell>
          <cell r="B516" t="str">
            <v>COXA SOB C/OP FGO CONG 140-160G H.KONG</v>
          </cell>
          <cell r="C516">
            <v>1.863</v>
          </cell>
          <cell r="D516">
            <v>1.863</v>
          </cell>
          <cell r="E516">
            <v>-0.1</v>
          </cell>
          <cell r="F516">
            <v>-4.7999999999999987E-2</v>
          </cell>
        </row>
        <row r="517">
          <cell r="A517">
            <v>657301</v>
          </cell>
          <cell r="B517" t="str">
            <v>COXA SOB C/OP FGO CONG 120-140G H.KONG</v>
          </cell>
          <cell r="C517">
            <v>1.8180000000000001</v>
          </cell>
          <cell r="D517">
            <v>1.8180000000000001</v>
          </cell>
          <cell r="E517">
            <v>-0.1</v>
          </cell>
          <cell r="F517">
            <v>-4.7000000000000014E-2</v>
          </cell>
        </row>
        <row r="518">
          <cell r="A518">
            <v>657310</v>
          </cell>
          <cell r="B518" t="str">
            <v>COXA SOB C/OP FGO CONG 160-180G H.KONG</v>
          </cell>
          <cell r="C518">
            <v>1.8129999999999999</v>
          </cell>
          <cell r="D518">
            <v>1.8129999999999999</v>
          </cell>
          <cell r="E518">
            <v>-0.1</v>
          </cell>
          <cell r="F518">
            <v>-4.7E-2</v>
          </cell>
        </row>
        <row r="519">
          <cell r="A519">
            <v>657328</v>
          </cell>
          <cell r="B519" t="str">
            <v>COXA SOB C/OP FGO CONG 180-200G H.KONG</v>
          </cell>
          <cell r="C519">
            <v>1.83</v>
          </cell>
          <cell r="D519">
            <v>1.83</v>
          </cell>
          <cell r="E519">
            <v>-0.1</v>
          </cell>
          <cell r="F519">
            <v>-4.7E-2</v>
          </cell>
        </row>
        <row r="520">
          <cell r="A520">
            <v>657336</v>
          </cell>
          <cell r="B520" t="str">
            <v>COXA SOB C/OP FGO CONG 200-220G H.KONG</v>
          </cell>
          <cell r="C520">
            <v>1.9119999999999999</v>
          </cell>
          <cell r="D520">
            <v>1.9119999999999999</v>
          </cell>
          <cell r="E520">
            <v>-0.1</v>
          </cell>
          <cell r="F520">
            <v>-4.8999999999999988E-2</v>
          </cell>
        </row>
        <row r="521">
          <cell r="A521">
            <v>657344</v>
          </cell>
          <cell r="B521" t="str">
            <v>COXA SOB C/OP FGO CONG 220-240G H.KONG</v>
          </cell>
          <cell r="C521">
            <v>1.907</v>
          </cell>
          <cell r="D521">
            <v>1.907</v>
          </cell>
          <cell r="E521">
            <v>-0.1</v>
          </cell>
          <cell r="F521">
            <v>-4.8999999999999988E-2</v>
          </cell>
        </row>
        <row r="522">
          <cell r="A522">
            <v>657352</v>
          </cell>
          <cell r="B522" t="str">
            <v>COXA SOB C/OP FGO CONG 240-260G WFCK70</v>
          </cell>
          <cell r="C522">
            <v>1.9219999999999999</v>
          </cell>
          <cell r="D522">
            <v>1.9219999999999999</v>
          </cell>
          <cell r="E522">
            <v>-0.1</v>
          </cell>
          <cell r="F522">
            <v>-0.05</v>
          </cell>
        </row>
        <row r="523">
          <cell r="A523">
            <v>657360</v>
          </cell>
          <cell r="B523" t="str">
            <v>FRANGO GRILLER 650G CONG PERD H.KONG</v>
          </cell>
          <cell r="C523">
            <v>3.2709999999999999</v>
          </cell>
          <cell r="D523">
            <v>3.2709999999999999</v>
          </cell>
          <cell r="E523">
            <v>-0.10100000000000001</v>
          </cell>
          <cell r="F523">
            <v>-8.5000000000000006E-2</v>
          </cell>
        </row>
        <row r="524">
          <cell r="A524">
            <v>657379</v>
          </cell>
          <cell r="B524" t="str">
            <v>FRANGO GRILLER 700G CONG PERD H.KONG</v>
          </cell>
          <cell r="C524">
            <v>2.3570000000000002</v>
          </cell>
          <cell r="D524">
            <v>2.3570000000000002</v>
          </cell>
          <cell r="E524">
            <v>-0.10100000000000001</v>
          </cell>
          <cell r="F524">
            <v>-6.1000000000000054E-2</v>
          </cell>
        </row>
        <row r="525">
          <cell r="A525">
            <v>657387</v>
          </cell>
          <cell r="B525" t="str">
            <v>FRANGO GRILLER 750G CONG PERD H.KONG</v>
          </cell>
          <cell r="C525">
            <v>2.0379999999999998</v>
          </cell>
          <cell r="D525">
            <v>2.0379999999999998</v>
          </cell>
          <cell r="E525">
            <v>-0.10100000000000001</v>
          </cell>
          <cell r="F525">
            <v>-5.1999999999999991E-2</v>
          </cell>
        </row>
        <row r="526">
          <cell r="A526">
            <v>657395</v>
          </cell>
          <cell r="B526" t="str">
            <v>FRANGO GRILLER 800G CONG PERD H.KONG</v>
          </cell>
          <cell r="C526">
            <v>1.976</v>
          </cell>
          <cell r="D526">
            <v>1.976</v>
          </cell>
          <cell r="E526">
            <v>-0.1</v>
          </cell>
          <cell r="F526">
            <v>-5.1000000000000045E-2</v>
          </cell>
        </row>
        <row r="527">
          <cell r="A527">
            <v>657409</v>
          </cell>
          <cell r="B527" t="str">
            <v>FRANGO GRILLER 850G CONG PERD H. KONG</v>
          </cell>
          <cell r="C527">
            <v>2.069</v>
          </cell>
          <cell r="D527">
            <v>2.069</v>
          </cell>
          <cell r="E527">
            <v>-0.1</v>
          </cell>
          <cell r="F527">
            <v>-5.3999999999999992E-2</v>
          </cell>
        </row>
        <row r="528">
          <cell r="A528">
            <v>657417</v>
          </cell>
          <cell r="B528" t="str">
            <v>FRANGO GRILLER 900G CONG PERD H.KONG</v>
          </cell>
          <cell r="C528">
            <v>2.089</v>
          </cell>
          <cell r="D528">
            <v>2.089</v>
          </cell>
          <cell r="E528">
            <v>-0.10100000000000001</v>
          </cell>
          <cell r="F528">
            <v>-5.3999999999999992E-2</v>
          </cell>
        </row>
        <row r="529">
          <cell r="A529">
            <v>657433</v>
          </cell>
          <cell r="B529" t="str">
            <v>FRANGO GRILLER 1100G CONG PERD H.KONG</v>
          </cell>
          <cell r="C529">
            <v>2.0830000000000002</v>
          </cell>
          <cell r="D529">
            <v>2.0830000000000002</v>
          </cell>
          <cell r="E529">
            <v>-0.1</v>
          </cell>
          <cell r="F529">
            <v>-5.4000000000000048E-2</v>
          </cell>
        </row>
        <row r="530">
          <cell r="A530">
            <v>664847</v>
          </cell>
          <cell r="B530" t="str">
            <v>FRANGO GRILLER 800G CONG PERD EAU</v>
          </cell>
          <cell r="C530">
            <v>2.82</v>
          </cell>
          <cell r="D530">
            <v>2.82</v>
          </cell>
          <cell r="E530">
            <v>-0.71099999999999997</v>
          </cell>
          <cell r="F530">
            <v>-6.8000000000000005E-2</v>
          </cell>
        </row>
        <row r="531">
          <cell r="A531">
            <v>664855</v>
          </cell>
          <cell r="B531" t="str">
            <v>FRANGO GRILLER 900G CONG PERD EAU</v>
          </cell>
          <cell r="C531">
            <v>2.823</v>
          </cell>
          <cell r="D531">
            <v>2.823</v>
          </cell>
          <cell r="E531">
            <v>-0.71099999999999997</v>
          </cell>
          <cell r="F531">
            <v>-6.7999999999999949E-2</v>
          </cell>
        </row>
        <row r="532">
          <cell r="A532">
            <v>664863</v>
          </cell>
          <cell r="B532" t="str">
            <v>FRANGO GRILLER 1000G CONG PERD EAU</v>
          </cell>
          <cell r="C532">
            <v>2.8220000000000001</v>
          </cell>
          <cell r="D532">
            <v>2.8220000000000001</v>
          </cell>
          <cell r="E532">
            <v>-0.71099999999999997</v>
          </cell>
          <cell r="F532">
            <v>-6.800000000000006E-2</v>
          </cell>
        </row>
        <row r="533">
          <cell r="A533">
            <v>664871</v>
          </cell>
          <cell r="B533" t="str">
            <v>FRANGO GRILLER 1100G CONG PERD EAU</v>
          </cell>
          <cell r="C533">
            <v>2.823</v>
          </cell>
          <cell r="D533">
            <v>2.823</v>
          </cell>
          <cell r="E533">
            <v>-0.71099999999999997</v>
          </cell>
          <cell r="F533">
            <v>-6.800000000000006E-2</v>
          </cell>
        </row>
        <row r="534">
          <cell r="A534">
            <v>664880</v>
          </cell>
          <cell r="B534" t="str">
            <v>FRANGO GRILLER 1200G CONG PERD EAU</v>
          </cell>
          <cell r="C534">
            <v>2.823</v>
          </cell>
          <cell r="D534">
            <v>2.823</v>
          </cell>
          <cell r="E534">
            <v>-0.71099999999999997</v>
          </cell>
          <cell r="F534">
            <v>-6.7999999999999949E-2</v>
          </cell>
        </row>
        <row r="535">
          <cell r="A535">
            <v>664898</v>
          </cell>
          <cell r="B535" t="str">
            <v>FRANGO GRILLER 1300G CONG PERD EAU</v>
          </cell>
          <cell r="C535">
            <v>2.823</v>
          </cell>
          <cell r="D535">
            <v>2.823</v>
          </cell>
          <cell r="E535">
            <v>-0.71099999999999997</v>
          </cell>
          <cell r="F535">
            <v>-6.800000000000006E-2</v>
          </cell>
        </row>
        <row r="536">
          <cell r="A536">
            <v>664901</v>
          </cell>
          <cell r="B536" t="str">
            <v>FRANGO GRILLER 1400G CONG PERD EAU</v>
          </cell>
          <cell r="C536">
            <v>2.823</v>
          </cell>
          <cell r="D536">
            <v>2.823</v>
          </cell>
          <cell r="E536">
            <v>-0.71099999999999997</v>
          </cell>
          <cell r="F536">
            <v>-6.7999999999999949E-2</v>
          </cell>
        </row>
        <row r="537">
          <cell r="A537">
            <v>664910</v>
          </cell>
          <cell r="B537" t="str">
            <v>FRANGO GRILLER 1500G CONG PERD EAU</v>
          </cell>
          <cell r="C537">
            <v>2.823</v>
          </cell>
          <cell r="D537">
            <v>2.823</v>
          </cell>
          <cell r="E537">
            <v>-0.71099999999999997</v>
          </cell>
          <cell r="F537">
            <v>-6.8000000000000005E-2</v>
          </cell>
        </row>
        <row r="538">
          <cell r="A538">
            <v>664936</v>
          </cell>
          <cell r="B538" t="str">
            <v>FRANGO GRILLER 900G CONG HALAL KUWAIT</v>
          </cell>
          <cell r="C538">
            <v>2.831</v>
          </cell>
          <cell r="D538">
            <v>2.831</v>
          </cell>
          <cell r="E538">
            <v>-0.71299999999999997</v>
          </cell>
          <cell r="F538">
            <v>-6.7999999999999949E-2</v>
          </cell>
        </row>
        <row r="539">
          <cell r="A539">
            <v>664944</v>
          </cell>
          <cell r="B539" t="str">
            <v>FRANGO GRILLER 1000G CONG HALAL KUWAIT</v>
          </cell>
          <cell r="C539">
            <v>2.8319999999999999</v>
          </cell>
          <cell r="D539">
            <v>2.8319999999999999</v>
          </cell>
          <cell r="E539">
            <v>-0.71</v>
          </cell>
          <cell r="F539">
            <v>-6.7999999999999949E-2</v>
          </cell>
        </row>
        <row r="540">
          <cell r="A540">
            <v>664952</v>
          </cell>
          <cell r="B540" t="str">
            <v>FRANGO GRILLER 1100G CONG HALAL KUWAIT</v>
          </cell>
          <cell r="C540">
            <v>2.83</v>
          </cell>
          <cell r="D540">
            <v>2.83</v>
          </cell>
          <cell r="E540">
            <v>-0.70899999999999996</v>
          </cell>
          <cell r="F540">
            <v>-6.7999999999999949E-2</v>
          </cell>
        </row>
        <row r="541">
          <cell r="A541">
            <v>664960</v>
          </cell>
          <cell r="B541" t="str">
            <v>FRANGO GRILLER 1200G CONG HALAL KUWAIT</v>
          </cell>
          <cell r="C541">
            <v>2.8290000000000002</v>
          </cell>
          <cell r="D541">
            <v>2.8290000000000002</v>
          </cell>
          <cell r="E541">
            <v>-0.70899999999999996</v>
          </cell>
          <cell r="F541">
            <v>-6.7999999999999949E-2</v>
          </cell>
        </row>
        <row r="542">
          <cell r="A542">
            <v>665495</v>
          </cell>
          <cell r="B542" t="str">
            <v>ASA INT FGO CONG 90-110G ITF PERD CING</v>
          </cell>
          <cell r="C542">
            <v>2.399</v>
          </cell>
          <cell r="D542">
            <v>2.399</v>
          </cell>
          <cell r="E542">
            <v>-0.65400000000000003</v>
          </cell>
          <cell r="F542">
            <v>-5.6999999999999995E-2</v>
          </cell>
        </row>
        <row r="543">
          <cell r="A543">
            <v>665517</v>
          </cell>
          <cell r="B543" t="str">
            <v>FRANGO BROILER 1200G CONG PERD CINGAP</v>
          </cell>
          <cell r="C543">
            <v>2.59</v>
          </cell>
          <cell r="D543">
            <v>2.59</v>
          </cell>
          <cell r="E543">
            <v>-0.64500000000000002</v>
          </cell>
          <cell r="F543">
            <v>-6.2999999999999945E-2</v>
          </cell>
        </row>
        <row r="544">
          <cell r="A544">
            <v>665525</v>
          </cell>
          <cell r="B544" t="str">
            <v>FRANGO BROILER 1300G CONG PERD CINGAP</v>
          </cell>
          <cell r="C544">
            <v>2.6030000000000002</v>
          </cell>
          <cell r="D544">
            <v>2.6030000000000002</v>
          </cell>
          <cell r="E544">
            <v>-0.65300000000000002</v>
          </cell>
          <cell r="F544">
            <v>-6.2999999999999945E-2</v>
          </cell>
        </row>
        <row r="545">
          <cell r="A545">
            <v>667145</v>
          </cell>
          <cell r="B545" t="str">
            <v>ASA INT FGO CONG 90-110G ITF BOR CING</v>
          </cell>
          <cell r="C545">
            <v>2.383</v>
          </cell>
          <cell r="D545">
            <v>2.383</v>
          </cell>
          <cell r="E545">
            <v>-0.65600000000000003</v>
          </cell>
          <cell r="F545">
            <v>-5.6999999999999995E-2</v>
          </cell>
        </row>
        <row r="546">
          <cell r="A546">
            <v>667153</v>
          </cell>
          <cell r="B546" t="str">
            <v>ASA INT FGO CONG 100-120G ITF BOR CINGA</v>
          </cell>
          <cell r="C546">
            <v>2.4239999999999999</v>
          </cell>
          <cell r="D546">
            <v>2.4239999999999999</v>
          </cell>
          <cell r="E546">
            <v>-0.65100000000000002</v>
          </cell>
          <cell r="F546">
            <v>-5.7999999999999996E-2</v>
          </cell>
        </row>
        <row r="547">
          <cell r="A547">
            <v>670960</v>
          </cell>
          <cell r="B547" t="str">
            <v>FRANGO S/O/A/S C/P CONG PT 2,5KG EAU</v>
          </cell>
          <cell r="C547">
            <v>4.2069999999999999</v>
          </cell>
          <cell r="D547">
            <v>4.2069999999999999</v>
          </cell>
          <cell r="E547">
            <v>-0.77800000000000002</v>
          </cell>
          <cell r="F547">
            <v>-0.10400000000000009</v>
          </cell>
        </row>
        <row r="548">
          <cell r="A548">
            <v>671045</v>
          </cell>
          <cell r="B548" t="str">
            <v>FRANGO S/O/A/S C/P CONG 2,5K HALAL QATAR</v>
          </cell>
          <cell r="C548">
            <v>4.343</v>
          </cell>
          <cell r="D548">
            <v>4.343</v>
          </cell>
          <cell r="E548">
            <v>-0.82399999999999995</v>
          </cell>
          <cell r="F548">
            <v>-0.10699999999999998</v>
          </cell>
        </row>
        <row r="549">
          <cell r="A549">
            <v>671053</v>
          </cell>
          <cell r="B549" t="str">
            <v>PEITO S/OPFC FGO CONG PT 2,5KG QATAR</v>
          </cell>
          <cell r="C549">
            <v>7.056</v>
          </cell>
          <cell r="D549">
            <v>7.056</v>
          </cell>
          <cell r="E549">
            <v>-0.89500000000000002</v>
          </cell>
          <cell r="F549">
            <v>-0.17700000000000005</v>
          </cell>
        </row>
        <row r="550">
          <cell r="A550">
            <v>672475</v>
          </cell>
          <cell r="B550" t="str">
            <v>FRANGO BROILER 1400G CONG PERD CINGAP</v>
          </cell>
          <cell r="C550">
            <v>2.5459999999999998</v>
          </cell>
          <cell r="D550">
            <v>2.5459999999999998</v>
          </cell>
          <cell r="E550">
            <v>-0.64600000000000002</v>
          </cell>
          <cell r="F550">
            <v>-6.2000000000000055E-2</v>
          </cell>
        </row>
        <row r="551">
          <cell r="A551">
            <v>676705</v>
          </cell>
          <cell r="B551" t="str">
            <v>FRANGO GRILLER 900G CONG HALAL QATAR</v>
          </cell>
          <cell r="C551">
            <v>2.851</v>
          </cell>
          <cell r="D551">
            <v>2.851</v>
          </cell>
          <cell r="E551">
            <v>-0.72599999999999998</v>
          </cell>
          <cell r="F551">
            <v>-6.7999999999999949E-2</v>
          </cell>
        </row>
        <row r="552">
          <cell r="A552">
            <v>676713</v>
          </cell>
          <cell r="B552" t="str">
            <v>FRANGO GRILLER 1000G CONG HALAL QATAR</v>
          </cell>
          <cell r="C552">
            <v>2.851</v>
          </cell>
          <cell r="D552">
            <v>2.851</v>
          </cell>
          <cell r="E552">
            <v>-0.72399999999999998</v>
          </cell>
          <cell r="F552">
            <v>-6.9000000000000006E-2</v>
          </cell>
        </row>
        <row r="553">
          <cell r="A553">
            <v>676721</v>
          </cell>
          <cell r="B553" t="str">
            <v>FRANGO GRILLER 1100G CONG HALAL QATAR</v>
          </cell>
          <cell r="C553">
            <v>2.851</v>
          </cell>
          <cell r="D553">
            <v>2.851</v>
          </cell>
          <cell r="E553">
            <v>-0.72399999999999998</v>
          </cell>
          <cell r="F553">
            <v>-6.7999999999999949E-2</v>
          </cell>
        </row>
        <row r="554">
          <cell r="A554">
            <v>676730</v>
          </cell>
          <cell r="B554" t="str">
            <v>FRANGO GRILLER 1200G CONG HALAL QATAR</v>
          </cell>
          <cell r="C554">
            <v>2.851</v>
          </cell>
          <cell r="D554">
            <v>2.851</v>
          </cell>
          <cell r="E554">
            <v>-0.72399999999999998</v>
          </cell>
          <cell r="F554">
            <v>-6.899999999999995E-2</v>
          </cell>
        </row>
        <row r="555">
          <cell r="A555">
            <v>678830</v>
          </cell>
          <cell r="B555" t="str">
            <v>ASA INT FGO CONG 75-90G PT 2KG BOR CING</v>
          </cell>
          <cell r="C555">
            <v>2.3260000000000001</v>
          </cell>
          <cell r="D555">
            <v>2.3260000000000001</v>
          </cell>
          <cell r="E555">
            <v>-0.64300000000000002</v>
          </cell>
          <cell r="F555">
            <v>-5.5999999999999994E-2</v>
          </cell>
        </row>
        <row r="556">
          <cell r="A556">
            <v>683108</v>
          </cell>
          <cell r="B556" t="str">
            <v>COXA SOB SO CP FGO CONG 180-200G L40 PRI</v>
          </cell>
          <cell r="C556">
            <v>4.3310000000000004</v>
          </cell>
          <cell r="D556">
            <v>4.3310000000000004</v>
          </cell>
          <cell r="E556">
            <v>-0.15</v>
          </cell>
          <cell r="F556">
            <v>-0.1120000000000001</v>
          </cell>
        </row>
        <row r="557">
          <cell r="A557">
            <v>683116</v>
          </cell>
          <cell r="B557" t="str">
            <v>COXA SOB SO CP FGO CONG 200-220G L41 PRI</v>
          </cell>
          <cell r="C557">
            <v>4.2889999999999997</v>
          </cell>
          <cell r="D557">
            <v>4.2889999999999997</v>
          </cell>
          <cell r="E557">
            <v>-0.151</v>
          </cell>
          <cell r="F557">
            <v>-0.11100000000000021</v>
          </cell>
        </row>
        <row r="558">
          <cell r="A558">
            <v>683124</v>
          </cell>
          <cell r="B558" t="str">
            <v>COXA SOB SO CP FGO CONG 220-240G L24 PRI</v>
          </cell>
          <cell r="C558">
            <v>4.2869999999999999</v>
          </cell>
          <cell r="D558">
            <v>4.2869999999999999</v>
          </cell>
          <cell r="E558">
            <v>-0.152</v>
          </cell>
          <cell r="F558">
            <v>-0.11099999999999977</v>
          </cell>
        </row>
        <row r="559">
          <cell r="A559">
            <v>683132</v>
          </cell>
          <cell r="B559" t="str">
            <v>COXA SOB SO CP FGO CONG 240-260G L14 PRI</v>
          </cell>
          <cell r="C559">
            <v>4.2869999999999999</v>
          </cell>
          <cell r="D559">
            <v>4.2869999999999999</v>
          </cell>
          <cell r="E559">
            <v>-0.157</v>
          </cell>
          <cell r="F559">
            <v>-0.11099999999999977</v>
          </cell>
        </row>
        <row r="560">
          <cell r="A560">
            <v>683140</v>
          </cell>
          <cell r="B560" t="str">
            <v>COXA SOB SO CP FGO CONG 260-280G L26 PRI</v>
          </cell>
          <cell r="C560">
            <v>4.2869999999999999</v>
          </cell>
          <cell r="D560">
            <v>4.2869999999999999</v>
          </cell>
          <cell r="E560">
            <v>-0.154</v>
          </cell>
          <cell r="F560">
            <v>-0.11099999999999977</v>
          </cell>
        </row>
        <row r="561">
          <cell r="A561">
            <v>683213</v>
          </cell>
          <cell r="B561" t="str">
            <v>COXA SOB SO CP FGO CONG 15-25G K4 PRIME</v>
          </cell>
          <cell r="C561">
            <v>4.5549999999999997</v>
          </cell>
          <cell r="D561">
            <v>4.5549999999999997</v>
          </cell>
          <cell r="E561">
            <v>-0.188</v>
          </cell>
          <cell r="F561">
            <v>-0.11699999999999999</v>
          </cell>
        </row>
        <row r="562">
          <cell r="A562">
            <v>683230</v>
          </cell>
          <cell r="B562" t="str">
            <v>COXA SOB SO CP FGO CONG 20-30G K1 PRIME</v>
          </cell>
          <cell r="C562">
            <v>4.5549999999999997</v>
          </cell>
          <cell r="D562">
            <v>4.5549999999999997</v>
          </cell>
          <cell r="E562">
            <v>-0.16</v>
          </cell>
          <cell r="F562">
            <v>-0.11699999999999999</v>
          </cell>
        </row>
        <row r="563">
          <cell r="A563">
            <v>683272</v>
          </cell>
          <cell r="B563" t="str">
            <v>COXA SOB SO CP FGO CONG 30-40G K2 PRIME</v>
          </cell>
          <cell r="C563">
            <v>3.9249999999999998</v>
          </cell>
          <cell r="D563">
            <v>3.9249999999999998</v>
          </cell>
          <cell r="E563">
            <v>-0.14699999999999999</v>
          </cell>
          <cell r="F563">
            <v>-0.10200000000000009</v>
          </cell>
        </row>
        <row r="564">
          <cell r="A564">
            <v>683302</v>
          </cell>
          <cell r="B564" t="str">
            <v>COXA SOB SO CP FGO CONG 40-50G K3 PRIME</v>
          </cell>
          <cell r="C564">
            <v>4.5549999999999997</v>
          </cell>
          <cell r="D564">
            <v>4.5549999999999997</v>
          </cell>
          <cell r="E564">
            <v>-0.153</v>
          </cell>
          <cell r="F564">
            <v>-0.11699999999999999</v>
          </cell>
        </row>
        <row r="565">
          <cell r="A565">
            <v>683310</v>
          </cell>
          <cell r="B565" t="str">
            <v>COXA SOB SO SP FGO CONG M1 PRIME JAPAO</v>
          </cell>
          <cell r="C565">
            <v>4.875</v>
          </cell>
          <cell r="D565">
            <v>4.875</v>
          </cell>
          <cell r="E565">
            <v>-0.157</v>
          </cell>
          <cell r="F565">
            <v>-0.12599999999999989</v>
          </cell>
        </row>
        <row r="566">
          <cell r="A566">
            <v>685429</v>
          </cell>
          <cell r="B566" t="str">
            <v>COXA SOB SO CP FGO CONG 280-300G L28 PRI</v>
          </cell>
          <cell r="C566">
            <v>4.2880000000000003</v>
          </cell>
          <cell r="D566">
            <v>4.2880000000000003</v>
          </cell>
          <cell r="E566">
            <v>-0.15</v>
          </cell>
          <cell r="F566">
            <v>-0.11099999999999977</v>
          </cell>
        </row>
        <row r="567">
          <cell r="A567">
            <v>693219</v>
          </cell>
          <cell r="B567" t="str">
            <v>FILEZINHO SUI CONG IND PERD HOLANDA</v>
          </cell>
          <cell r="C567">
            <v>4.4119999999999999</v>
          </cell>
          <cell r="D567">
            <v>4.4119999999999999</v>
          </cell>
          <cell r="E567">
            <v>-0.42499999999999999</v>
          </cell>
          <cell r="F567">
            <v>-0.11099999999999999</v>
          </cell>
        </row>
        <row r="568">
          <cell r="A568">
            <v>695858</v>
          </cell>
          <cell r="B568" t="str">
            <v>FIGADO FGO CONG BL 13,6KG PERD ALEMANHA</v>
          </cell>
          <cell r="C568">
            <v>0.94499999999999995</v>
          </cell>
          <cell r="D568">
            <v>0.94499999999999995</v>
          </cell>
          <cell r="E568">
            <v>-9.6000000000000002E-2</v>
          </cell>
          <cell r="F568">
            <v>-2.4000000000000021E-2</v>
          </cell>
        </row>
        <row r="569">
          <cell r="A569">
            <v>695980</v>
          </cell>
          <cell r="B569" t="str">
            <v>FRANGO GRILLER 900G CONG UNEF A.SAUD</v>
          </cell>
          <cell r="C569">
            <v>2.887</v>
          </cell>
          <cell r="D569">
            <v>2.887</v>
          </cell>
          <cell r="E569">
            <v>-0.58099999999999996</v>
          </cell>
          <cell r="F569">
            <v>-7.0999999999999952E-2</v>
          </cell>
        </row>
        <row r="570">
          <cell r="A570">
            <v>696005</v>
          </cell>
          <cell r="B570" t="str">
            <v>FRANGO GRILLER 950G CONG UNEF A.SAUDIT</v>
          </cell>
          <cell r="C570">
            <v>2.871</v>
          </cell>
          <cell r="D570">
            <v>2.871</v>
          </cell>
          <cell r="E570">
            <v>-0.57799999999999996</v>
          </cell>
          <cell r="F570">
            <v>-6.9999999999999951E-2</v>
          </cell>
        </row>
        <row r="571">
          <cell r="A571">
            <v>696013</v>
          </cell>
          <cell r="B571" t="str">
            <v>FRANGO GRILLER 1000G CONG UNEF A.SAUD</v>
          </cell>
          <cell r="C571">
            <v>2.819</v>
          </cell>
          <cell r="D571">
            <v>2.819</v>
          </cell>
          <cell r="E571">
            <v>-0.56799999999999995</v>
          </cell>
          <cell r="F571">
            <v>-6.899999999999995E-2</v>
          </cell>
        </row>
        <row r="572">
          <cell r="A572">
            <v>696021</v>
          </cell>
          <cell r="B572" t="str">
            <v>FRANGO GRILLER 1050G CONG UNEF A.SAUDIT</v>
          </cell>
          <cell r="C572">
            <v>2.87</v>
          </cell>
          <cell r="D572">
            <v>2.87</v>
          </cell>
          <cell r="E572">
            <v>-0.57799999999999996</v>
          </cell>
          <cell r="F572">
            <v>-6.9999999999999951E-2</v>
          </cell>
        </row>
        <row r="573">
          <cell r="A573">
            <v>696030</v>
          </cell>
          <cell r="B573" t="str">
            <v>FRANGO GRILLER 1100G CONG UNEF A.SAUDIT</v>
          </cell>
          <cell r="C573">
            <v>2.887</v>
          </cell>
          <cell r="D573">
            <v>2.887</v>
          </cell>
          <cell r="E573">
            <v>-0.58099999999999996</v>
          </cell>
          <cell r="F573">
            <v>-7.1000000000000063E-2</v>
          </cell>
        </row>
        <row r="574">
          <cell r="A574">
            <v>696048</v>
          </cell>
          <cell r="B574" t="str">
            <v>FRANGO GRILLER 1200G CONG UNEF A.SAUDIT</v>
          </cell>
          <cell r="C574">
            <v>2.887</v>
          </cell>
          <cell r="D574">
            <v>2.887</v>
          </cell>
          <cell r="E574">
            <v>-0.58099999999999996</v>
          </cell>
          <cell r="F574">
            <v>-7.1000000000000063E-2</v>
          </cell>
        </row>
        <row r="575">
          <cell r="A575">
            <v>696056</v>
          </cell>
          <cell r="B575" t="str">
            <v>FRANGO GRILLER 1300G CONG UNEF A.SAUDIT</v>
          </cell>
          <cell r="C575">
            <v>2.887</v>
          </cell>
          <cell r="D575">
            <v>2.887</v>
          </cell>
          <cell r="E575">
            <v>-0.57999999999999996</v>
          </cell>
          <cell r="F575">
            <v>-7.1000000000000063E-2</v>
          </cell>
        </row>
        <row r="576">
          <cell r="A576">
            <v>696315</v>
          </cell>
          <cell r="B576" t="str">
            <v>PE CHT C/CANELA CONG 55G/UP PT 1KG CIN</v>
          </cell>
          <cell r="C576">
            <v>2.5790000000000002</v>
          </cell>
          <cell r="D576">
            <v>2.5790000000000002</v>
          </cell>
          <cell r="E576">
            <v>-0.66700000000000004</v>
          </cell>
          <cell r="F576">
            <v>-6.2000000000000055E-2</v>
          </cell>
        </row>
        <row r="577">
          <cell r="A577">
            <v>696323</v>
          </cell>
          <cell r="B577" t="str">
            <v>ASA INT FGO CONG 90-110G PT1KG PERD CING</v>
          </cell>
          <cell r="C577">
            <v>2.4249999999999998</v>
          </cell>
          <cell r="D577">
            <v>2.4249999999999998</v>
          </cell>
          <cell r="E577">
            <v>-0.65</v>
          </cell>
          <cell r="F577">
            <v>-5.8000000000000024E-2</v>
          </cell>
        </row>
        <row r="578">
          <cell r="A578">
            <v>696331</v>
          </cell>
          <cell r="B578" t="str">
            <v>ASA 2A JTA FGO CONG 25-30G WFCK46 H.KONG</v>
          </cell>
          <cell r="C578">
            <v>3.5230000000000001</v>
          </cell>
          <cell r="D578">
            <v>3.5230000000000001</v>
          </cell>
          <cell r="E578">
            <v>-0.1</v>
          </cell>
          <cell r="F578">
            <v>-9.099999999999997E-2</v>
          </cell>
        </row>
        <row r="579">
          <cell r="A579">
            <v>696358</v>
          </cell>
          <cell r="B579" t="str">
            <v>PONTA ASA FGO CONG BL 5KG WFCK24 H.KONG</v>
          </cell>
          <cell r="C579">
            <v>0.60299999999999998</v>
          </cell>
          <cell r="D579">
            <v>0.60299999999999998</v>
          </cell>
          <cell r="E579">
            <v>-0.1</v>
          </cell>
          <cell r="F579">
            <v>-1.4999999999999999E-2</v>
          </cell>
        </row>
        <row r="580">
          <cell r="A580">
            <v>696366</v>
          </cell>
          <cell r="B580" t="str">
            <v>PE FGO S/CANELA ESP CONG  25G/UP WFCK09</v>
          </cell>
          <cell r="C580">
            <v>0.42899999999999999</v>
          </cell>
          <cell r="D580">
            <v>0.42899999999999999</v>
          </cell>
          <cell r="E580">
            <v>-0.1</v>
          </cell>
          <cell r="F580">
            <v>-1.0999999999999996E-2</v>
          </cell>
        </row>
        <row r="581">
          <cell r="A581">
            <v>696374</v>
          </cell>
          <cell r="B581" t="str">
            <v>PE CHT S/CANELA CONG ITF WFCK04 H.KONG</v>
          </cell>
          <cell r="C581">
            <v>1.452</v>
          </cell>
          <cell r="D581">
            <v>1.452</v>
          </cell>
          <cell r="E581">
            <v>-0.10100000000000001</v>
          </cell>
          <cell r="F581">
            <v>-3.8000000000000034E-2</v>
          </cell>
        </row>
        <row r="582">
          <cell r="A582">
            <v>696714</v>
          </cell>
          <cell r="B582" t="str">
            <v>FILE PEITO FGO CONG C/TEND PERD H.KONG</v>
          </cell>
          <cell r="C582">
            <v>3.556</v>
          </cell>
          <cell r="D582">
            <v>3.556</v>
          </cell>
          <cell r="E582">
            <v>-0.1</v>
          </cell>
          <cell r="F582">
            <v>-9.1999999999999971E-2</v>
          </cell>
        </row>
        <row r="583">
          <cell r="A583">
            <v>696790</v>
          </cell>
          <cell r="B583" t="str">
            <v>PE FGO S/CANELA CONG 15G BL WFCK42 H.KON</v>
          </cell>
          <cell r="C583">
            <v>0.34899999999999998</v>
          </cell>
          <cell r="D583">
            <v>0.34899999999999998</v>
          </cell>
          <cell r="E583">
            <v>-0.10100000000000001</v>
          </cell>
          <cell r="F583">
            <v>-9.000000000000008E-3</v>
          </cell>
        </row>
        <row r="584">
          <cell r="A584">
            <v>697052</v>
          </cell>
          <cell r="B584" t="str">
            <v>ASA 1A JTA FGO CONG 50G/UP PT2KG JAPAO</v>
          </cell>
          <cell r="C584">
            <v>3.4990000000000001</v>
          </cell>
          <cell r="D584">
            <v>3.4990000000000001</v>
          </cell>
          <cell r="E584">
            <v>-0.14099999999999999</v>
          </cell>
          <cell r="F584">
            <v>-9.000000000000008E-2</v>
          </cell>
        </row>
        <row r="585">
          <cell r="A585">
            <v>700860</v>
          </cell>
          <cell r="B585" t="str">
            <v>PE CHT C/CANELA CONG 55G/UP PT 1KG CIN</v>
          </cell>
          <cell r="C585">
            <v>2.5790000000000002</v>
          </cell>
          <cell r="D585">
            <v>2.5790000000000002</v>
          </cell>
          <cell r="E585">
            <v>-0.66400000000000003</v>
          </cell>
          <cell r="F585">
            <v>-6.2000000000000055E-2</v>
          </cell>
        </row>
        <row r="586">
          <cell r="A586">
            <v>703397</v>
          </cell>
          <cell r="B586" t="str">
            <v>COXA SOB S/OP FGO CONG PT2,5KG KUWAIT</v>
          </cell>
          <cell r="C586">
            <v>4.6139999999999999</v>
          </cell>
          <cell r="D586">
            <v>4.6139999999999999</v>
          </cell>
          <cell r="E586">
            <v>-0.81399999999999995</v>
          </cell>
          <cell r="F586">
            <v>-0.11399999999999988</v>
          </cell>
        </row>
        <row r="587">
          <cell r="A587">
            <v>703400</v>
          </cell>
          <cell r="B587" t="str">
            <v>COXA SOB SO CP FGO CONG PT 2,5KG BOR K</v>
          </cell>
          <cell r="C587">
            <v>4.343</v>
          </cell>
          <cell r="D587">
            <v>4.343</v>
          </cell>
          <cell r="E587">
            <v>-0.80500000000000005</v>
          </cell>
          <cell r="F587">
            <v>-0.10699999999999998</v>
          </cell>
        </row>
        <row r="588">
          <cell r="A588">
            <v>706043</v>
          </cell>
          <cell r="B588" t="str">
            <v>FRANGO BROILER 1100G CONG PERD RUSSIA</v>
          </cell>
          <cell r="C588">
            <v>1.87</v>
          </cell>
          <cell r="D588">
            <v>1.87</v>
          </cell>
          <cell r="E588">
            <v>-0.155</v>
          </cell>
          <cell r="F588">
            <v>-4.8999999999999988E-2</v>
          </cell>
        </row>
        <row r="589">
          <cell r="A589">
            <v>709123</v>
          </cell>
          <cell r="B589" t="str">
            <v>ASA 1A JTA FGO CONG PT 1KG MONT CANARIAS</v>
          </cell>
          <cell r="C589">
            <v>2.3410000000000002</v>
          </cell>
          <cell r="D589">
            <v>2.3410000000000002</v>
          </cell>
          <cell r="E589">
            <v>-0.45300000000000001</v>
          </cell>
          <cell r="F589">
            <v>-5.7999999999999996E-2</v>
          </cell>
        </row>
        <row r="590">
          <cell r="A590">
            <v>709395</v>
          </cell>
          <cell r="B590" t="str">
            <v>COXA C/OP FGO CONG DRUM PT 1KG CANARIAS</v>
          </cell>
          <cell r="C590">
            <v>2.335</v>
          </cell>
          <cell r="D590">
            <v>2.335</v>
          </cell>
          <cell r="E590">
            <v>-0.45800000000000002</v>
          </cell>
          <cell r="F590">
            <v>-5.7999999999999996E-2</v>
          </cell>
        </row>
        <row r="591">
          <cell r="A591">
            <v>711373</v>
          </cell>
          <cell r="B591" t="str">
            <v>PEITO S/OPC C/F FGO CONG 250G/UP CANAR</v>
          </cell>
          <cell r="C591">
            <v>6.484</v>
          </cell>
          <cell r="D591">
            <v>6.484</v>
          </cell>
          <cell r="E591">
            <v>-0.53600000000000003</v>
          </cell>
          <cell r="F591">
            <v>-0.16500000000000001</v>
          </cell>
        </row>
        <row r="592">
          <cell r="A592">
            <v>711381</v>
          </cell>
          <cell r="B592" t="str">
            <v>PEITO S/OPFC FGO CONG FAT 50-90G CANAR</v>
          </cell>
          <cell r="C592">
            <v>7.65</v>
          </cell>
          <cell r="D592">
            <v>7.65</v>
          </cell>
          <cell r="E592">
            <v>-0.57999999999999996</v>
          </cell>
          <cell r="F592">
            <v>-0.19500000000000001</v>
          </cell>
        </row>
        <row r="593">
          <cell r="A593">
            <v>712876</v>
          </cell>
          <cell r="B593" t="str">
            <v>FRANGO GRILLER 1600G CONG PERD ARGENT</v>
          </cell>
          <cell r="C593">
            <v>1.891</v>
          </cell>
          <cell r="D593">
            <v>1.891</v>
          </cell>
          <cell r="E593">
            <v>-0.55100000000000005</v>
          </cell>
          <cell r="F593">
            <v>-4.4999999999999998E-2</v>
          </cell>
        </row>
        <row r="594">
          <cell r="A594">
            <v>712884</v>
          </cell>
          <cell r="B594" t="str">
            <v>FRANGO GRILLER 1700G CONG PERD ARGENT</v>
          </cell>
          <cell r="C594">
            <v>1.823</v>
          </cell>
          <cell r="D594">
            <v>1.823</v>
          </cell>
          <cell r="E594">
            <v>-0.55500000000000005</v>
          </cell>
          <cell r="F594">
            <v>-4.3999999999999997E-2</v>
          </cell>
        </row>
        <row r="595">
          <cell r="A595">
            <v>712892</v>
          </cell>
          <cell r="B595" t="str">
            <v>FRANGO GRILLER 1800G CONG PERD ARGENT</v>
          </cell>
          <cell r="C595">
            <v>1.823</v>
          </cell>
          <cell r="D595">
            <v>1.823</v>
          </cell>
          <cell r="E595">
            <v>-0.55000000000000004</v>
          </cell>
          <cell r="F595">
            <v>-4.2999999999999997E-2</v>
          </cell>
        </row>
        <row r="596">
          <cell r="A596">
            <v>712906</v>
          </cell>
          <cell r="B596" t="str">
            <v>FRANGO GRILLER 1900G CONG PERD ARGENT</v>
          </cell>
          <cell r="C596">
            <v>1.823</v>
          </cell>
          <cell r="D596">
            <v>1.823</v>
          </cell>
          <cell r="E596">
            <v>-0.55100000000000005</v>
          </cell>
          <cell r="F596">
            <v>-4.3999999999999997E-2</v>
          </cell>
        </row>
        <row r="597">
          <cell r="A597">
            <v>713538</v>
          </cell>
          <cell r="B597" t="str">
            <v>FRANGO S/O/A/S C/P CONG 800-1400G A.SA</v>
          </cell>
          <cell r="C597">
            <v>4.359</v>
          </cell>
          <cell r="D597">
            <v>4.359</v>
          </cell>
          <cell r="E597">
            <v>-0.66600000000000004</v>
          </cell>
          <cell r="F597">
            <v>-0.10899999999999999</v>
          </cell>
        </row>
        <row r="598">
          <cell r="A598">
            <v>713554</v>
          </cell>
          <cell r="B598" t="str">
            <v>FRANGO S/O/A/S C/P CONG 800-1400G A.SA</v>
          </cell>
          <cell r="C598">
            <v>4.343</v>
          </cell>
          <cell r="D598">
            <v>4.343</v>
          </cell>
          <cell r="E598">
            <v>-0.66600000000000004</v>
          </cell>
          <cell r="F598">
            <v>-0.1080000000000001</v>
          </cell>
        </row>
        <row r="599">
          <cell r="A599">
            <v>727776</v>
          </cell>
          <cell r="B599" t="str">
            <v>COXA SOB SO CP FGO CONG 300G/UP L-34 PRI</v>
          </cell>
          <cell r="C599">
            <v>4.2869999999999999</v>
          </cell>
          <cell r="D599">
            <v>4.2869999999999999</v>
          </cell>
          <cell r="E599">
            <v>-0.157</v>
          </cell>
          <cell r="F599">
            <v>-0.11099999999999977</v>
          </cell>
        </row>
        <row r="600">
          <cell r="A600">
            <v>731862</v>
          </cell>
          <cell r="B600" t="str">
            <v>COXA SOB SO CP FGO CONG 280-300G L28 BOR</v>
          </cell>
          <cell r="C600">
            <v>4.8860000000000001</v>
          </cell>
          <cell r="D600">
            <v>4.8860000000000001</v>
          </cell>
          <cell r="E600">
            <v>-0.64500000000000002</v>
          </cell>
          <cell r="F600">
            <v>-0.12200000000000033</v>
          </cell>
        </row>
        <row r="601">
          <cell r="A601">
            <v>741345</v>
          </cell>
          <cell r="B601" t="str">
            <v>ASA 1A JTA FGO CONG PT 1KG PERD CINGAPU</v>
          </cell>
          <cell r="C601">
            <v>2.94</v>
          </cell>
          <cell r="D601">
            <v>2.94</v>
          </cell>
          <cell r="E601">
            <v>-0.65100000000000002</v>
          </cell>
          <cell r="F601">
            <v>-7.2000000000000008E-2</v>
          </cell>
        </row>
        <row r="602">
          <cell r="A602">
            <v>741663</v>
          </cell>
          <cell r="B602" t="str">
            <v>ASA 2A JTA FGO CONG 30-40G WFCK105 H.KO</v>
          </cell>
          <cell r="C602">
            <v>3.9430000000000001</v>
          </cell>
          <cell r="D602">
            <v>3.9430000000000001</v>
          </cell>
          <cell r="E602">
            <v>-0.1</v>
          </cell>
          <cell r="F602">
            <v>-0.10199999999999987</v>
          </cell>
        </row>
        <row r="603">
          <cell r="A603">
            <v>741680</v>
          </cell>
          <cell r="B603" t="str">
            <v>ASA 2A JTA FGO CONG 40G/UP WWCK106 H.KON</v>
          </cell>
          <cell r="C603">
            <v>4.0229999999999997</v>
          </cell>
          <cell r="D603">
            <v>4.0229999999999997</v>
          </cell>
          <cell r="E603">
            <v>-0.1</v>
          </cell>
          <cell r="F603">
            <v>-0.1030000000000002</v>
          </cell>
        </row>
        <row r="604">
          <cell r="A604">
            <v>741698</v>
          </cell>
          <cell r="B604" t="str">
            <v>ASA 2A JTA FGO CONG 40G/UP WFCK110 H.KO</v>
          </cell>
          <cell r="C604">
            <v>4.2469999999999999</v>
          </cell>
          <cell r="D604">
            <v>4.2469999999999999</v>
          </cell>
          <cell r="E604">
            <v>-0.10100000000000001</v>
          </cell>
          <cell r="F604">
            <v>-0.11</v>
          </cell>
        </row>
        <row r="605">
          <cell r="A605">
            <v>743240</v>
          </cell>
          <cell r="B605" t="str">
            <v>ASA INT FGO CONG 90-110G PT1KG BOR CING</v>
          </cell>
          <cell r="C605">
            <v>2.444</v>
          </cell>
          <cell r="D605">
            <v>2.444</v>
          </cell>
          <cell r="E605">
            <v>-0.66100000000000003</v>
          </cell>
          <cell r="F605">
            <v>-5.8999999999999997E-2</v>
          </cell>
        </row>
        <row r="606">
          <cell r="A606">
            <v>743305</v>
          </cell>
          <cell r="B606" t="str">
            <v>FRANGO GRILLER 1000G CONG PERD H.KONG</v>
          </cell>
          <cell r="C606">
            <v>2.069</v>
          </cell>
          <cell r="D606">
            <v>2.069</v>
          </cell>
          <cell r="E606">
            <v>-0.1</v>
          </cell>
          <cell r="F606">
            <v>-5.3999999999999992E-2</v>
          </cell>
        </row>
        <row r="607">
          <cell r="A607">
            <v>744727</v>
          </cell>
          <cell r="B607" t="str">
            <v>SOBRECOXA S/OP FGO CONG ITF PERD CARIB</v>
          </cell>
          <cell r="C607">
            <v>3.6629999999999998</v>
          </cell>
          <cell r="D607">
            <v>3.6629999999999998</v>
          </cell>
          <cell r="E607">
            <v>-9.6000000000000002E-2</v>
          </cell>
          <cell r="F607">
            <v>-9.5000000000000001E-2</v>
          </cell>
        </row>
        <row r="608">
          <cell r="A608">
            <v>745316</v>
          </cell>
          <cell r="B608" t="str">
            <v>FRANGO GRILLER 1000G CONG HALAL OMAN</v>
          </cell>
          <cell r="C608">
            <v>2.802</v>
          </cell>
          <cell r="D608">
            <v>2.802</v>
          </cell>
          <cell r="E608">
            <v>-0.70099999999999996</v>
          </cell>
          <cell r="F608">
            <v>-6.700000000000006E-2</v>
          </cell>
        </row>
        <row r="609">
          <cell r="A609">
            <v>745324</v>
          </cell>
          <cell r="B609" t="str">
            <v>FRANGO GRILLER 1100G CONG HALAL OMAN</v>
          </cell>
          <cell r="C609">
            <v>2.7450000000000001</v>
          </cell>
          <cell r="D609">
            <v>2.7450000000000001</v>
          </cell>
          <cell r="E609">
            <v>-0.69099999999999995</v>
          </cell>
          <cell r="F609">
            <v>-6.6000000000000003E-2</v>
          </cell>
        </row>
        <row r="610">
          <cell r="A610">
            <v>745332</v>
          </cell>
          <cell r="B610" t="str">
            <v>FRANGO GRILLER 1200G CONG HALAL OMAN</v>
          </cell>
          <cell r="C610">
            <v>2.758</v>
          </cell>
          <cell r="D610">
            <v>2.758</v>
          </cell>
          <cell r="E610">
            <v>-0.69</v>
          </cell>
          <cell r="F610">
            <v>-6.7000000000000004E-2</v>
          </cell>
        </row>
        <row r="611">
          <cell r="A611">
            <v>745359</v>
          </cell>
          <cell r="B611" t="str">
            <v>FRANGO GRILLER 1400G CONG HALAL OMAN</v>
          </cell>
          <cell r="C611">
            <v>2.802</v>
          </cell>
          <cell r="D611">
            <v>2.802</v>
          </cell>
          <cell r="E611">
            <v>-0.70099999999999996</v>
          </cell>
          <cell r="F611">
            <v>-6.800000000000006E-2</v>
          </cell>
        </row>
        <row r="612">
          <cell r="A612">
            <v>747378</v>
          </cell>
          <cell r="B612" t="str">
            <v>FRANGO BROILER 1200G CONG PERD RUSSIA</v>
          </cell>
          <cell r="C612">
            <v>1.9730000000000001</v>
          </cell>
          <cell r="D612">
            <v>1.9730000000000001</v>
          </cell>
          <cell r="E612">
            <v>-0.23899999999999999</v>
          </cell>
          <cell r="F612">
            <v>-0.05</v>
          </cell>
        </row>
        <row r="613">
          <cell r="A613">
            <v>747386</v>
          </cell>
          <cell r="B613" t="str">
            <v>FRANGO BROILER 1300G CONG PERD RUSSIA</v>
          </cell>
          <cell r="C613">
            <v>1.9550000000000001</v>
          </cell>
          <cell r="D613">
            <v>1.9550000000000001</v>
          </cell>
          <cell r="E613">
            <v>-0.21299999999999999</v>
          </cell>
          <cell r="F613">
            <v>-4.8999999999999988E-2</v>
          </cell>
        </row>
        <row r="614">
          <cell r="A614">
            <v>747394</v>
          </cell>
          <cell r="B614" t="str">
            <v>FRANGO BROILER 1400G CONG PERD RUSSIA</v>
          </cell>
          <cell r="C614">
            <v>2.1219999999999999</v>
          </cell>
          <cell r="D614">
            <v>2.1219999999999999</v>
          </cell>
          <cell r="E614">
            <v>-0.35599999999999998</v>
          </cell>
          <cell r="F614">
            <v>-5.2999999999999992E-2</v>
          </cell>
        </row>
        <row r="615">
          <cell r="A615">
            <v>747408</v>
          </cell>
          <cell r="B615" t="str">
            <v>FRANGO BROILER 1500G CONG PERD RUSSIA</v>
          </cell>
          <cell r="C615">
            <v>1.9339999999999999</v>
          </cell>
          <cell r="D615">
            <v>1.9339999999999999</v>
          </cell>
          <cell r="E615">
            <v>-0.193</v>
          </cell>
          <cell r="F615">
            <v>-4.9000000000000044E-2</v>
          </cell>
        </row>
        <row r="616">
          <cell r="A616">
            <v>747416</v>
          </cell>
          <cell r="B616" t="str">
            <v>FRANGO BROILER 1600G CONG PERD RUSSIA</v>
          </cell>
          <cell r="C616">
            <v>2.0019999999999998</v>
          </cell>
          <cell r="D616">
            <v>2.0019999999999998</v>
          </cell>
          <cell r="E616">
            <v>-0.38600000000000001</v>
          </cell>
          <cell r="F616">
            <v>-0.05</v>
          </cell>
        </row>
        <row r="617">
          <cell r="A617">
            <v>747424</v>
          </cell>
          <cell r="B617" t="str">
            <v>FRANGO BROILER 1700G CONG PERD RUSSIA</v>
          </cell>
          <cell r="C617">
            <v>1.958</v>
          </cell>
          <cell r="D617">
            <v>1.958</v>
          </cell>
          <cell r="E617">
            <v>-0.376</v>
          </cell>
          <cell r="F617">
            <v>-4.8000000000000043E-2</v>
          </cell>
        </row>
        <row r="618">
          <cell r="A618">
            <v>747432</v>
          </cell>
          <cell r="B618" t="str">
            <v>FRANGO BROILER 1800G CONG PERD RUSSIA</v>
          </cell>
          <cell r="C618">
            <v>1.9770000000000001</v>
          </cell>
          <cell r="D618">
            <v>1.9770000000000001</v>
          </cell>
          <cell r="E618">
            <v>-0.40300000000000002</v>
          </cell>
          <cell r="F618">
            <v>-4.8000000000000043E-2</v>
          </cell>
        </row>
        <row r="619">
          <cell r="A619">
            <v>753300</v>
          </cell>
          <cell r="B619" t="str">
            <v>PEITO S/OPC C/F FGO CONG 250G/UP VAC CAN</v>
          </cell>
          <cell r="C619">
            <v>7.58</v>
          </cell>
          <cell r="D619">
            <v>7.58</v>
          </cell>
          <cell r="E619">
            <v>-0.60499999999999998</v>
          </cell>
          <cell r="F619">
            <v>-0.19300000000000006</v>
          </cell>
        </row>
        <row r="620">
          <cell r="A620">
            <v>753424</v>
          </cell>
          <cell r="B620" t="str">
            <v>PEITO S/OPC C/F FGO CONG ITF PERD CANAR</v>
          </cell>
          <cell r="C620">
            <v>7.4450000000000003</v>
          </cell>
          <cell r="D620">
            <v>7.4450000000000003</v>
          </cell>
          <cell r="E620">
            <v>-0.59599999999999997</v>
          </cell>
          <cell r="F620">
            <v>-0.19</v>
          </cell>
        </row>
        <row r="621">
          <cell r="A621">
            <v>753530</v>
          </cell>
          <cell r="B621" t="str">
            <v>PEITO S/OPFC FGO CONG 50-90G VAC CANAR</v>
          </cell>
          <cell r="C621">
            <v>7.6420000000000003</v>
          </cell>
          <cell r="D621">
            <v>7.6420000000000003</v>
          </cell>
          <cell r="E621">
            <v>-0.438</v>
          </cell>
          <cell r="F621">
            <v>-0.19399999999999995</v>
          </cell>
        </row>
        <row r="622">
          <cell r="A622">
            <v>753610</v>
          </cell>
          <cell r="B622" t="str">
            <v>PEITO S/OPFC FGO CONG 50-90G ITF CANAR</v>
          </cell>
          <cell r="C622">
            <v>7.851</v>
          </cell>
          <cell r="D622">
            <v>7.851</v>
          </cell>
          <cell r="E622">
            <v>-0.60799999999999998</v>
          </cell>
          <cell r="F622">
            <v>-0.19899999999999984</v>
          </cell>
        </row>
        <row r="623">
          <cell r="A623">
            <v>753904</v>
          </cell>
          <cell r="B623" t="str">
            <v>COXA SOB S/OP FGO CONG IND/VAC CANARIAS</v>
          </cell>
          <cell r="C623">
            <v>3.9260000000000002</v>
          </cell>
          <cell r="D623">
            <v>3.9260000000000002</v>
          </cell>
          <cell r="E623">
            <v>-0.438</v>
          </cell>
          <cell r="F623">
            <v>-9.7999999999999865E-2</v>
          </cell>
        </row>
        <row r="624">
          <cell r="A624">
            <v>753998</v>
          </cell>
          <cell r="B624" t="str">
            <v>COXA SOB S/OP FGO CONG ITF PERD CANARIAS</v>
          </cell>
          <cell r="C624">
            <v>3.8860000000000001</v>
          </cell>
          <cell r="D624">
            <v>3.8860000000000001</v>
          </cell>
          <cell r="E624">
            <v>-0.438</v>
          </cell>
          <cell r="F624">
            <v>-9.6999999999999975E-2</v>
          </cell>
        </row>
        <row r="625">
          <cell r="A625">
            <v>754072</v>
          </cell>
          <cell r="B625" t="str">
            <v>COXA C/OP FGO CONG DRUM PT 1KG CANARIAS</v>
          </cell>
          <cell r="C625">
            <v>2.573</v>
          </cell>
          <cell r="D625">
            <v>2.573</v>
          </cell>
          <cell r="E625">
            <v>-0.497</v>
          </cell>
          <cell r="F625">
            <v>-6.3999999999999946E-2</v>
          </cell>
        </row>
        <row r="626">
          <cell r="A626">
            <v>754080</v>
          </cell>
          <cell r="B626" t="str">
            <v>COXA C/OP FGO CONG DRUM PT 1KG CANARIAS</v>
          </cell>
          <cell r="C626">
            <v>2.7080000000000002</v>
          </cell>
          <cell r="D626">
            <v>2.7080000000000002</v>
          </cell>
          <cell r="E626">
            <v>-0.438</v>
          </cell>
          <cell r="F626">
            <v>-6.6999999999999948E-2</v>
          </cell>
        </row>
        <row r="627">
          <cell r="A627">
            <v>754285</v>
          </cell>
          <cell r="B627" t="str">
            <v>ASA 1A JTA FGO CONG PT 1KG PERD CANARIAS</v>
          </cell>
          <cell r="C627">
            <v>2.573</v>
          </cell>
          <cell r="D627">
            <v>2.573</v>
          </cell>
          <cell r="E627">
            <v>-0.497</v>
          </cell>
          <cell r="F627">
            <v>-6.3E-2</v>
          </cell>
        </row>
        <row r="628">
          <cell r="A628">
            <v>755435</v>
          </cell>
          <cell r="B628" t="str">
            <v>COXA SOB SO CP FGO CONG PT 2,5KG PERD</v>
          </cell>
          <cell r="C628">
            <v>4.2249999999999996</v>
          </cell>
          <cell r="D628">
            <v>4.2249999999999996</v>
          </cell>
          <cell r="E628">
            <v>-0.78700000000000003</v>
          </cell>
          <cell r="F628">
            <v>-0.105</v>
          </cell>
        </row>
        <row r="629">
          <cell r="A629">
            <v>755486</v>
          </cell>
          <cell r="B629" t="str">
            <v>ESTOMAGO SUI CONG GRAU B PERD H.KONG</v>
          </cell>
          <cell r="C629">
            <v>2.2330000000000001</v>
          </cell>
          <cell r="D629">
            <v>2.2330000000000001</v>
          </cell>
          <cell r="E629">
            <v>-0.10100000000000001</v>
          </cell>
          <cell r="F629">
            <v>-5.799999999999994E-2</v>
          </cell>
        </row>
        <row r="630">
          <cell r="A630">
            <v>756679</v>
          </cell>
          <cell r="B630" t="str">
            <v>COXA C/OP FGO CONG 12BD UNEF OMAN</v>
          </cell>
          <cell r="C630">
            <v>3.3929999999999998</v>
          </cell>
          <cell r="D630">
            <v>3.3929999999999998</v>
          </cell>
          <cell r="E630">
            <v>-0.77100000000000002</v>
          </cell>
          <cell r="F630">
            <v>-8.2999999999999963E-2</v>
          </cell>
        </row>
        <row r="631">
          <cell r="A631">
            <v>756857</v>
          </cell>
          <cell r="B631" t="str">
            <v>FRANGO GRILLER 1500G CONG HALAL OMAN</v>
          </cell>
          <cell r="C631">
            <v>2.8</v>
          </cell>
          <cell r="D631">
            <v>2.8</v>
          </cell>
          <cell r="E631">
            <v>-0.69699999999999995</v>
          </cell>
          <cell r="F631">
            <v>-6.6999999999999948E-2</v>
          </cell>
        </row>
        <row r="632">
          <cell r="A632">
            <v>758051</v>
          </cell>
          <cell r="B632" t="str">
            <v>COXA SOB S/OP FGO CONG ITF PERD CANARI</v>
          </cell>
          <cell r="C632">
            <v>3.6389999999999998</v>
          </cell>
          <cell r="D632">
            <v>3.6389999999999998</v>
          </cell>
          <cell r="E632">
            <v>-0.47499999999999998</v>
          </cell>
          <cell r="F632">
            <v>-9.099999999999997E-2</v>
          </cell>
        </row>
        <row r="633">
          <cell r="A633">
            <v>758760</v>
          </cell>
          <cell r="B633" t="str">
            <v>PEITO S/OPFC FGO CONG MET 100G TAMB ING</v>
          </cell>
          <cell r="C633">
            <v>8.1170000000000009</v>
          </cell>
          <cell r="D633">
            <v>8.1170000000000009</v>
          </cell>
          <cell r="E633">
            <v>-0.57899999999999996</v>
          </cell>
          <cell r="F633">
            <v>-0.22</v>
          </cell>
        </row>
        <row r="634">
          <cell r="A634">
            <v>758949</v>
          </cell>
          <cell r="B634" t="str">
            <v>CARTILAGEM PEITO FGO CONG BL PERD ARGE</v>
          </cell>
          <cell r="C634">
            <v>5.1310000000000002</v>
          </cell>
          <cell r="D634">
            <v>5.1310000000000002</v>
          </cell>
          <cell r="E634">
            <v>-8.5999999999999993E-2</v>
          </cell>
          <cell r="F634">
            <v>-0.13200000000000012</v>
          </cell>
        </row>
        <row r="635">
          <cell r="A635">
            <v>760846</v>
          </cell>
          <cell r="B635" t="str">
            <v>COXA SOB C/OP FGO CONG 200G/UP ITF CAN</v>
          </cell>
          <cell r="C635">
            <v>2.2200000000000002</v>
          </cell>
          <cell r="D635">
            <v>2.2200000000000002</v>
          </cell>
          <cell r="E635">
            <v>-0.46800000000000003</v>
          </cell>
          <cell r="F635">
            <v>-5.5000000000000049E-2</v>
          </cell>
        </row>
        <row r="636">
          <cell r="A636">
            <v>761982</v>
          </cell>
          <cell r="B636" t="str">
            <v>PERNIL S/OCG SUI CONG 4-5KG PERD URUG</v>
          </cell>
          <cell r="C636">
            <v>3.9</v>
          </cell>
          <cell r="D636">
            <v>3.9</v>
          </cell>
          <cell r="E636">
            <v>-0.27200000000000002</v>
          </cell>
          <cell r="F636">
            <v>-0.10100000000000001</v>
          </cell>
        </row>
        <row r="637">
          <cell r="A637">
            <v>761990</v>
          </cell>
          <cell r="B637" t="str">
            <v>FRANGO BROILER 900G CONG PERD RUSSIA</v>
          </cell>
          <cell r="C637">
            <v>2.0880000000000001</v>
          </cell>
          <cell r="D637">
            <v>2.0880000000000001</v>
          </cell>
          <cell r="E637">
            <v>-0.48099999999999998</v>
          </cell>
          <cell r="F637">
            <v>-5.0999999999999934E-2</v>
          </cell>
        </row>
        <row r="638">
          <cell r="A638">
            <v>762008</v>
          </cell>
          <cell r="B638" t="str">
            <v>FRANGO BROILER 1000G CONG PERD RUSSIA</v>
          </cell>
          <cell r="C638">
            <v>1.9350000000000001</v>
          </cell>
          <cell r="D638">
            <v>1.9350000000000001</v>
          </cell>
          <cell r="E638">
            <v>-0.19900000000000001</v>
          </cell>
          <cell r="F638">
            <v>-4.8999999999999988E-2</v>
          </cell>
        </row>
        <row r="639">
          <cell r="A639">
            <v>765619</v>
          </cell>
          <cell r="B639" t="str">
            <v>ORELHA SUI CONG ITF PERD H.KONG</v>
          </cell>
          <cell r="C639">
            <v>3.0339999999999998</v>
          </cell>
          <cell r="D639">
            <v>3.0339999999999998</v>
          </cell>
          <cell r="E639">
            <v>-0.10100000000000001</v>
          </cell>
          <cell r="F639">
            <v>-7.9000000000000181E-2</v>
          </cell>
        </row>
        <row r="640">
          <cell r="A640">
            <v>766453</v>
          </cell>
          <cell r="B640" t="str">
            <v>PEITO S/OPFC FGO CONG MET 80G/UP PERD H</v>
          </cell>
          <cell r="C640">
            <v>4.8099999999999996</v>
          </cell>
          <cell r="D640">
            <v>4.8099999999999996</v>
          </cell>
          <cell r="E640">
            <v>-0.40600000000000003</v>
          </cell>
          <cell r="F640">
            <v>-0.12199999999999989</v>
          </cell>
        </row>
        <row r="641">
          <cell r="A641">
            <v>770299</v>
          </cell>
          <cell r="B641" t="str">
            <v>FRANGO GRILLER 1300G CONG UNEF OMAN</v>
          </cell>
          <cell r="C641">
            <v>2.8370000000000002</v>
          </cell>
          <cell r="D641">
            <v>2.8370000000000002</v>
          </cell>
          <cell r="E641">
            <v>-0.70199999999999996</v>
          </cell>
          <cell r="F641">
            <v>-6.800000000000006E-2</v>
          </cell>
        </row>
        <row r="642">
          <cell r="A642">
            <v>771520</v>
          </cell>
          <cell r="B642" t="str">
            <v>ASA 2A JTA FGO CONG 40G/UP ITF CINGAP</v>
          </cell>
          <cell r="C642">
            <v>4.6859999999999999</v>
          </cell>
          <cell r="D642">
            <v>4.6859999999999999</v>
          </cell>
          <cell r="E642">
            <v>-0.69899999999999995</v>
          </cell>
          <cell r="F642">
            <v>-0.11699999999999999</v>
          </cell>
        </row>
        <row r="643">
          <cell r="A643">
            <v>772100</v>
          </cell>
          <cell r="B643" t="str">
            <v>PALETA S/OCGC SUI CONG IWP 1,5-3KG URU</v>
          </cell>
          <cell r="C643">
            <v>3.63</v>
          </cell>
          <cell r="D643">
            <v>3.63</v>
          </cell>
          <cell r="E643">
            <v>-0.26</v>
          </cell>
          <cell r="F643">
            <v>-9.4000000000000014E-2</v>
          </cell>
        </row>
        <row r="644">
          <cell r="A644">
            <v>772380</v>
          </cell>
          <cell r="B644" t="str">
            <v>MOELA FGO CONG PT 1KG CONF PORUGAL</v>
          </cell>
          <cell r="C644">
            <v>2.4910000000000001</v>
          </cell>
          <cell r="D644">
            <v>2.4910000000000001</v>
          </cell>
          <cell r="E644">
            <v>-0.38900000000000001</v>
          </cell>
          <cell r="F644">
            <v>-6.0999999999999943E-2</v>
          </cell>
        </row>
        <row r="645">
          <cell r="A645">
            <v>772453</v>
          </cell>
          <cell r="B645" t="str">
            <v>FRANGO GRILLER  1200G CONG PERD CANARI</v>
          </cell>
          <cell r="C645">
            <v>2.7080000000000002</v>
          </cell>
          <cell r="D645">
            <v>2.7080000000000002</v>
          </cell>
          <cell r="E645">
            <v>-0.439</v>
          </cell>
          <cell r="F645">
            <v>-6.6999999999999948E-2</v>
          </cell>
        </row>
        <row r="646">
          <cell r="A646">
            <v>773123</v>
          </cell>
          <cell r="B646" t="str">
            <v>PEITO S/OPFC FGO CONG CUB 15MM TAMB ING</v>
          </cell>
          <cell r="C646">
            <v>8.9510000000000005</v>
          </cell>
          <cell r="D646">
            <v>8.9510000000000005</v>
          </cell>
          <cell r="E646">
            <v>-0.58899999999999997</v>
          </cell>
          <cell r="F646">
            <v>-0.22</v>
          </cell>
        </row>
        <row r="647">
          <cell r="A647">
            <v>776220</v>
          </cell>
          <cell r="B647" t="str">
            <v>FRANGO GRILLER 1200G CONG PERD  RUSSIA</v>
          </cell>
          <cell r="C647">
            <v>1.948</v>
          </cell>
          <cell r="D647">
            <v>1.948</v>
          </cell>
          <cell r="E647">
            <v>-0.10100000000000001</v>
          </cell>
          <cell r="F647">
            <v>-0.05</v>
          </cell>
        </row>
        <row r="648">
          <cell r="A648">
            <v>776238</v>
          </cell>
          <cell r="B648" t="str">
            <v>FRANGO GRILLER 1300G CONG PERD RUSSIA</v>
          </cell>
          <cell r="C648">
            <v>1.948</v>
          </cell>
          <cell r="D648">
            <v>1.948</v>
          </cell>
          <cell r="E648">
            <v>-0.1</v>
          </cell>
          <cell r="F648">
            <v>-0.05</v>
          </cell>
        </row>
        <row r="649">
          <cell r="A649">
            <v>777072</v>
          </cell>
          <cell r="B649" t="str">
            <v>BIG CHICKEN FGO C/QUEIJO CONG JAPAO</v>
          </cell>
          <cell r="C649">
            <v>9.1579999999999995</v>
          </cell>
          <cell r="D649">
            <v>9.1579999999999995</v>
          </cell>
          <cell r="E649">
            <v>-0.10299999999999999</v>
          </cell>
          <cell r="F649">
            <v>-0.23599999999999977</v>
          </cell>
        </row>
        <row r="650">
          <cell r="A650">
            <v>777099</v>
          </cell>
          <cell r="B650" t="str">
            <v>FILEZINHO FGO CONG EMP MON CART 300G JA</v>
          </cell>
          <cell r="C650">
            <v>8.4860000000000007</v>
          </cell>
          <cell r="D650">
            <v>8.4860000000000007</v>
          </cell>
          <cell r="E650">
            <v>-0.104</v>
          </cell>
          <cell r="F650">
            <v>-0.22</v>
          </cell>
        </row>
        <row r="651">
          <cell r="A651">
            <v>777110</v>
          </cell>
          <cell r="B651" t="str">
            <v>FILEZINHO FGO CONG EMP CART 500G JAP</v>
          </cell>
          <cell r="C651">
            <v>8.3460000000000001</v>
          </cell>
          <cell r="D651">
            <v>8.3460000000000001</v>
          </cell>
          <cell r="E651">
            <v>-0.10299999999999999</v>
          </cell>
          <cell r="F651">
            <v>-0.21600000000000019</v>
          </cell>
        </row>
        <row r="652">
          <cell r="A652">
            <v>777404</v>
          </cell>
          <cell r="B652" t="str">
            <v>COXA SOB SO CP FGO CONG 180-200G PERD DI</v>
          </cell>
          <cell r="C652">
            <v>4.1959999999999997</v>
          </cell>
          <cell r="D652">
            <v>4.1959999999999997</v>
          </cell>
          <cell r="E652">
            <v>-0.192</v>
          </cell>
          <cell r="F652">
            <v>-0.10799999999999987</v>
          </cell>
        </row>
        <row r="653">
          <cell r="A653">
            <v>777412</v>
          </cell>
          <cell r="B653" t="str">
            <v>COXA SOB SO CP FGO CONG 220-240G PERD DI</v>
          </cell>
          <cell r="C653">
            <v>4.1840000000000002</v>
          </cell>
          <cell r="D653">
            <v>4.1840000000000002</v>
          </cell>
          <cell r="E653">
            <v>-0.17199999999999999</v>
          </cell>
          <cell r="F653">
            <v>-0.1080000000000001</v>
          </cell>
        </row>
        <row r="654">
          <cell r="A654">
            <v>777420</v>
          </cell>
          <cell r="B654" t="str">
            <v>COXA SOB SO CP FGO CONG 240-260G PERD</v>
          </cell>
          <cell r="C654">
            <v>4.2130000000000001</v>
          </cell>
          <cell r="D654">
            <v>4.2130000000000001</v>
          </cell>
          <cell r="E654">
            <v>-0.19600000000000001</v>
          </cell>
          <cell r="F654">
            <v>-0.10899999999999999</v>
          </cell>
        </row>
        <row r="655">
          <cell r="A655">
            <v>777439</v>
          </cell>
          <cell r="B655" t="str">
            <v>COXA SOB SO CP FGO CONG 260-280G PERD DI</v>
          </cell>
          <cell r="C655">
            <v>4.2759999999999998</v>
          </cell>
          <cell r="D655">
            <v>4.2759999999999998</v>
          </cell>
          <cell r="E655">
            <v>-0.27300000000000002</v>
          </cell>
          <cell r="F655">
            <v>-0.10899999999999999</v>
          </cell>
        </row>
        <row r="656">
          <cell r="A656">
            <v>777447</v>
          </cell>
          <cell r="B656" t="str">
            <v>COXA SOB SO CP FGO CONG 280-300G PERD DI</v>
          </cell>
          <cell r="C656">
            <v>4.1859999999999999</v>
          </cell>
          <cell r="D656">
            <v>4.1859999999999999</v>
          </cell>
          <cell r="E656">
            <v>-0.17499999999999999</v>
          </cell>
          <cell r="F656">
            <v>-0.1080000000000001</v>
          </cell>
        </row>
        <row r="657">
          <cell r="A657">
            <v>777463</v>
          </cell>
          <cell r="B657" t="str">
            <v>COXA SOB SO CP FGO CONG 300-320G JAPAO</v>
          </cell>
          <cell r="C657">
            <v>4.7629999999999999</v>
          </cell>
          <cell r="D657">
            <v>4.7629999999999999</v>
          </cell>
          <cell r="E657">
            <v>-0.65200000000000002</v>
          </cell>
          <cell r="F657">
            <v>-0.11799999999999988</v>
          </cell>
        </row>
        <row r="658">
          <cell r="A658">
            <v>780243</v>
          </cell>
          <cell r="B658" t="str">
            <v>PEITO S/OPFC FGO CONG 280/UP TAMB INGL</v>
          </cell>
          <cell r="C658">
            <v>8.0980000000000008</v>
          </cell>
          <cell r="D658">
            <v>8.0980000000000008</v>
          </cell>
          <cell r="E658">
            <v>-0.375</v>
          </cell>
          <cell r="F658">
            <v>-0.20699999999999985</v>
          </cell>
        </row>
        <row r="659">
          <cell r="A659">
            <v>780782</v>
          </cell>
          <cell r="B659" t="str">
            <v>MOELA FGO CONG BL 13KG PERD ALEMANHA</v>
          </cell>
          <cell r="C659">
            <v>1.363</v>
          </cell>
          <cell r="D659">
            <v>1.363</v>
          </cell>
          <cell r="E659">
            <v>-9.6000000000000002E-2</v>
          </cell>
          <cell r="F659">
            <v>-3.499999999999992E-2</v>
          </cell>
        </row>
        <row r="660">
          <cell r="A660">
            <v>784397</v>
          </cell>
          <cell r="B660" t="str">
            <v>PE CHT S/CANELA CONG PT 1KG PERD CINGAP</v>
          </cell>
          <cell r="C660">
            <v>2.6440000000000001</v>
          </cell>
          <cell r="D660">
            <v>2.6440000000000001</v>
          </cell>
          <cell r="E660">
            <v>-0.66200000000000003</v>
          </cell>
          <cell r="F660">
            <v>-6.4000000000000057E-2</v>
          </cell>
        </row>
        <row r="661">
          <cell r="A661">
            <v>785423</v>
          </cell>
          <cell r="B661" t="str">
            <v>COXA SOB SO CP FGO CONG 160-180G L48 PRI</v>
          </cell>
          <cell r="C661">
            <v>3.1949999999999998</v>
          </cell>
          <cell r="D661">
            <v>3.1949999999999998</v>
          </cell>
          <cell r="E661">
            <v>-0.13700000000000001</v>
          </cell>
          <cell r="F661">
            <v>-8.2000000000000073E-2</v>
          </cell>
        </row>
        <row r="662">
          <cell r="A662">
            <v>785563</v>
          </cell>
          <cell r="B662" t="str">
            <v>COXA SOB SO CP FGO CONG 200G/UP PT KUWAI</v>
          </cell>
          <cell r="C662">
            <v>4.2069999999999999</v>
          </cell>
          <cell r="D662">
            <v>4.2069999999999999</v>
          </cell>
          <cell r="E662">
            <v>-0.79700000000000004</v>
          </cell>
          <cell r="F662">
            <v>-0.1030000000000002</v>
          </cell>
        </row>
        <row r="663">
          <cell r="A663">
            <v>785725</v>
          </cell>
          <cell r="B663" t="str">
            <v>FRANGO GRILLER 1400G CONG UNEF OMAN</v>
          </cell>
          <cell r="C663">
            <v>2.823</v>
          </cell>
          <cell r="D663">
            <v>2.823</v>
          </cell>
          <cell r="E663">
            <v>-0.71499999999999997</v>
          </cell>
          <cell r="F663">
            <v>-6.800000000000006E-2</v>
          </cell>
        </row>
        <row r="664">
          <cell r="A664">
            <v>785806</v>
          </cell>
          <cell r="B664" t="str">
            <v>PEITO S/OPC C/F FGO CONG 250G/UP ITF CA</v>
          </cell>
          <cell r="C664">
            <v>6.5430000000000001</v>
          </cell>
          <cell r="D664">
            <v>6.5430000000000001</v>
          </cell>
          <cell r="E664">
            <v>-0.54100000000000004</v>
          </cell>
          <cell r="F664">
            <v>-0.16599999999999993</v>
          </cell>
        </row>
        <row r="665">
          <cell r="A665">
            <v>786705</v>
          </cell>
          <cell r="B665" t="str">
            <v>FIGADO FGO CONG BL 13KG PERD ALEMANHA</v>
          </cell>
          <cell r="C665">
            <v>0.92900000000000005</v>
          </cell>
          <cell r="D665">
            <v>0.92900000000000005</v>
          </cell>
          <cell r="E665">
            <v>-9.6000000000000002E-2</v>
          </cell>
          <cell r="F665">
            <v>-2.4000000000000021E-2</v>
          </cell>
        </row>
        <row r="666">
          <cell r="A666">
            <v>786748</v>
          </cell>
          <cell r="B666" t="str">
            <v>TORTUGUITA SUI CONG SC 5KG PERD URUG</v>
          </cell>
          <cell r="C666">
            <v>3.1110000000000002</v>
          </cell>
          <cell r="D666">
            <v>3.1110000000000002</v>
          </cell>
          <cell r="E666">
            <v>-0.23499999999999999</v>
          </cell>
          <cell r="F666">
            <v>-0.08</v>
          </cell>
        </row>
        <row r="667">
          <cell r="A667">
            <v>787051</v>
          </cell>
          <cell r="B667" t="str">
            <v>COXA SOB SO CP FGO CONG 160-180G PERD</v>
          </cell>
          <cell r="C667">
            <v>4.16</v>
          </cell>
          <cell r="D667">
            <v>4.16</v>
          </cell>
          <cell r="E667">
            <v>-0.21099999999999999</v>
          </cell>
          <cell r="F667">
            <v>-0.10699999999999998</v>
          </cell>
        </row>
        <row r="668">
          <cell r="A668">
            <v>787060</v>
          </cell>
          <cell r="B668" t="str">
            <v>COXA SOB SO CP FGO CONG 200-220G PERD DI</v>
          </cell>
          <cell r="C668">
            <v>4.1890000000000001</v>
          </cell>
          <cell r="D668">
            <v>4.1890000000000001</v>
          </cell>
          <cell r="E668">
            <v>-0.18099999999999999</v>
          </cell>
          <cell r="F668">
            <v>-0.1080000000000001</v>
          </cell>
        </row>
        <row r="669">
          <cell r="A669">
            <v>787183</v>
          </cell>
          <cell r="B669" t="str">
            <v>MOELA FGO CONG PT 1KG PERD H.KONG CX16KG</v>
          </cell>
          <cell r="C669">
            <v>1.744</v>
          </cell>
          <cell r="D669">
            <v>1.744</v>
          </cell>
          <cell r="E669">
            <v>-0.1</v>
          </cell>
          <cell r="F669">
            <v>-4.4999999999999929E-2</v>
          </cell>
        </row>
        <row r="670">
          <cell r="A670">
            <v>788473</v>
          </cell>
          <cell r="B670" t="str">
            <v>FRANGO GRILLER 1200G CONG BOR JAPAO</v>
          </cell>
          <cell r="C670">
            <v>3.5539999999999998</v>
          </cell>
          <cell r="D670">
            <v>3.5539999999999998</v>
          </cell>
          <cell r="E670">
            <v>-0.64400000000000002</v>
          </cell>
          <cell r="F670">
            <v>-8.8000000000000078E-2</v>
          </cell>
        </row>
        <row r="671">
          <cell r="A671">
            <v>788481</v>
          </cell>
          <cell r="B671" t="str">
            <v>FRANGO GRILLER 1250G CONG BOR JAPAO</v>
          </cell>
          <cell r="C671">
            <v>3.5390000000000001</v>
          </cell>
          <cell r="D671">
            <v>3.5390000000000001</v>
          </cell>
          <cell r="E671">
            <v>-0.64400000000000002</v>
          </cell>
          <cell r="F671">
            <v>-8.6999999999999966E-2</v>
          </cell>
        </row>
        <row r="672">
          <cell r="A672">
            <v>789267</v>
          </cell>
          <cell r="B672" t="str">
            <v>COXA SOB C/OP FGO CONG 160-180G CL JAPAO</v>
          </cell>
          <cell r="C672">
            <v>3.5539999999999998</v>
          </cell>
          <cell r="D672">
            <v>3.5539999999999998</v>
          </cell>
          <cell r="E672">
            <v>-0.65700000000000003</v>
          </cell>
          <cell r="F672">
            <v>-8.6999999999999966E-2</v>
          </cell>
        </row>
        <row r="673">
          <cell r="A673">
            <v>789291</v>
          </cell>
          <cell r="B673" t="str">
            <v>COXA SOB C/OP FGO CONG 220-240G BORE JAP</v>
          </cell>
          <cell r="C673">
            <v>3.5539999999999998</v>
          </cell>
          <cell r="D673">
            <v>3.5539999999999998</v>
          </cell>
          <cell r="E673">
            <v>-0.64600000000000002</v>
          </cell>
          <cell r="F673">
            <v>-8.8000000000000078E-2</v>
          </cell>
        </row>
        <row r="674">
          <cell r="A674">
            <v>793167</v>
          </cell>
          <cell r="B674" t="str">
            <v>PEITO S/OPFC FGO CONG MET TAMB INGL</v>
          </cell>
          <cell r="C674">
            <v>7.5069999999999997</v>
          </cell>
          <cell r="D674">
            <v>7.5069999999999997</v>
          </cell>
          <cell r="E674">
            <v>-0.58799999999999997</v>
          </cell>
          <cell r="F674">
            <v>-0.19</v>
          </cell>
        </row>
        <row r="675">
          <cell r="A675">
            <v>794961</v>
          </cell>
          <cell r="B675" t="str">
            <v>COXA SOB SO CP FGO CONG 8-12G BOREL JAP</v>
          </cell>
          <cell r="C675">
            <v>5.3230000000000004</v>
          </cell>
          <cell r="D675">
            <v>5.3230000000000004</v>
          </cell>
          <cell r="E675">
            <v>-0.65600000000000003</v>
          </cell>
          <cell r="F675">
            <v>-0.13300000000000001</v>
          </cell>
        </row>
        <row r="676">
          <cell r="A676">
            <v>797391</v>
          </cell>
          <cell r="B676" t="str">
            <v>ASA INT FGO CONG 90-110G WFCK108 H.KONG</v>
          </cell>
          <cell r="C676">
            <v>1.4330000000000001</v>
          </cell>
          <cell r="D676">
            <v>1.4330000000000001</v>
          </cell>
          <cell r="E676">
            <v>-0.1</v>
          </cell>
          <cell r="F676">
            <v>-3.6999999999999998E-2</v>
          </cell>
        </row>
        <row r="677">
          <cell r="A677">
            <v>808272</v>
          </cell>
          <cell r="B677" t="str">
            <v>FRANGO GRILLER 1050G CONG PERD JAPAO</v>
          </cell>
          <cell r="C677">
            <v>3.4740000000000002</v>
          </cell>
          <cell r="D677">
            <v>3.4740000000000002</v>
          </cell>
          <cell r="E677">
            <v>-0.64900000000000002</v>
          </cell>
          <cell r="F677">
            <v>-8.6000000000000076E-2</v>
          </cell>
        </row>
        <row r="678">
          <cell r="A678">
            <v>808321</v>
          </cell>
          <cell r="B678" t="str">
            <v>FRANGO GRILLER 1500G CONG UNEF OMAN</v>
          </cell>
          <cell r="C678">
            <v>2.8370000000000002</v>
          </cell>
          <cell r="D678">
            <v>2.8370000000000002</v>
          </cell>
          <cell r="E678">
            <v>-0.70199999999999996</v>
          </cell>
          <cell r="F678">
            <v>-6.800000000000006E-2</v>
          </cell>
        </row>
        <row r="679">
          <cell r="A679">
            <v>808489</v>
          </cell>
          <cell r="B679" t="str">
            <v>FRANGO GRILLER 1100G CONG BOR A.SAUDIT</v>
          </cell>
          <cell r="C679">
            <v>2.8330000000000002</v>
          </cell>
          <cell r="D679">
            <v>2.8330000000000002</v>
          </cell>
          <cell r="E679">
            <v>-0.63100000000000001</v>
          </cell>
          <cell r="F679">
            <v>-6.899999999999995E-2</v>
          </cell>
        </row>
        <row r="680">
          <cell r="A680">
            <v>808490</v>
          </cell>
          <cell r="B680" t="str">
            <v>FRANGO GRILLER 1300G CONG BOR A.SAUDIT</v>
          </cell>
          <cell r="C680">
            <v>2.8330000000000002</v>
          </cell>
          <cell r="D680">
            <v>2.8330000000000002</v>
          </cell>
          <cell r="E680">
            <v>-0.63100000000000001</v>
          </cell>
          <cell r="F680">
            <v>-6.899999999999995E-2</v>
          </cell>
        </row>
        <row r="681">
          <cell r="A681">
            <v>808492</v>
          </cell>
          <cell r="B681" t="str">
            <v>FRANGO GRILLER 900G CONG BOR A.SAUDITA</v>
          </cell>
          <cell r="C681">
            <v>2.8330000000000002</v>
          </cell>
          <cell r="D681">
            <v>2.8330000000000002</v>
          </cell>
          <cell r="E681">
            <v>-0.63100000000000001</v>
          </cell>
          <cell r="F681">
            <v>-6.899999999999995E-2</v>
          </cell>
        </row>
        <row r="682">
          <cell r="A682">
            <v>808493</v>
          </cell>
          <cell r="B682" t="str">
            <v>FRANGO GRILLER 950G CONG BOR A.SAUDITA</v>
          </cell>
          <cell r="C682">
            <v>2.8330000000000002</v>
          </cell>
          <cell r="D682">
            <v>2.8330000000000002</v>
          </cell>
          <cell r="E682">
            <v>-0.63100000000000001</v>
          </cell>
          <cell r="F682">
            <v>-6.899999999999995E-2</v>
          </cell>
        </row>
        <row r="683">
          <cell r="A683">
            <v>808494</v>
          </cell>
          <cell r="B683" t="str">
            <v>FRANGO GRILLER 1000G CONG BOR A.SAUDIT</v>
          </cell>
          <cell r="C683">
            <v>2.8330000000000002</v>
          </cell>
          <cell r="D683">
            <v>2.8330000000000002</v>
          </cell>
          <cell r="E683">
            <v>-0.63100000000000001</v>
          </cell>
          <cell r="F683">
            <v>-6.9000000000000061E-2</v>
          </cell>
        </row>
        <row r="684">
          <cell r="A684">
            <v>808495</v>
          </cell>
          <cell r="B684" t="str">
            <v>FRANGO GRILLER 1050G CONG BOR A.SAUDIT</v>
          </cell>
          <cell r="C684">
            <v>2.8330000000000002</v>
          </cell>
          <cell r="D684">
            <v>2.8330000000000002</v>
          </cell>
          <cell r="E684">
            <v>-0.63100000000000001</v>
          </cell>
          <cell r="F684">
            <v>-6.9000000000000061E-2</v>
          </cell>
        </row>
        <row r="685">
          <cell r="A685">
            <v>808496</v>
          </cell>
          <cell r="B685" t="str">
            <v>FRANGO GRILLER 1200G CONG BOR A.SAUD</v>
          </cell>
          <cell r="C685">
            <v>2.8330000000000002</v>
          </cell>
          <cell r="D685">
            <v>2.8330000000000002</v>
          </cell>
          <cell r="E685">
            <v>-0.63100000000000001</v>
          </cell>
          <cell r="F685">
            <v>-6.899999999999995E-2</v>
          </cell>
        </row>
        <row r="686">
          <cell r="A686">
            <v>808515</v>
          </cell>
          <cell r="B686" t="str">
            <v>FRANGO BROILER 900G CONG PERD CINGAP</v>
          </cell>
          <cell r="C686">
            <v>2.5990000000000002</v>
          </cell>
          <cell r="D686">
            <v>2.5990000000000002</v>
          </cell>
          <cell r="E686">
            <v>-0.64300000000000002</v>
          </cell>
          <cell r="F686">
            <v>-6.2000000000000055E-2</v>
          </cell>
        </row>
        <row r="687">
          <cell r="A687">
            <v>808681</v>
          </cell>
          <cell r="B687" t="str">
            <v>MOELA FGO CONG BL 5KG PERD PORTUGAL</v>
          </cell>
          <cell r="C687">
            <v>2.089</v>
          </cell>
          <cell r="D687">
            <v>2.089</v>
          </cell>
          <cell r="E687">
            <v>-0.39200000000000002</v>
          </cell>
          <cell r="F687">
            <v>-5.1000000000000045E-2</v>
          </cell>
        </row>
        <row r="688">
          <cell r="A688">
            <v>808832</v>
          </cell>
          <cell r="B688" t="str">
            <v>COXA SOB SO CP FGO CONG 220G/UP PERD DIR</v>
          </cell>
          <cell r="C688">
            <v>4.7910000000000004</v>
          </cell>
          <cell r="D688">
            <v>4.7910000000000004</v>
          </cell>
          <cell r="E688">
            <v>-0.66600000000000004</v>
          </cell>
          <cell r="F688">
            <v>-0.11900000000000022</v>
          </cell>
        </row>
        <row r="689">
          <cell r="A689">
            <v>808855</v>
          </cell>
          <cell r="B689" t="str">
            <v>ASA 2A JTA FGO CONG 40G/UP PT 1KG CINGA</v>
          </cell>
          <cell r="C689">
            <v>4.7480000000000002</v>
          </cell>
          <cell r="D689">
            <v>4.7480000000000002</v>
          </cell>
          <cell r="E689">
            <v>-0.70099999999999996</v>
          </cell>
          <cell r="F689">
            <v>-0.11799999999999988</v>
          </cell>
        </row>
        <row r="690">
          <cell r="A690">
            <v>809349</v>
          </cell>
          <cell r="B690" t="str">
            <v>PEITO S/OPFC FGO CONG CUB 12MM TA/CO ING</v>
          </cell>
          <cell r="C690">
            <v>8.6370000000000005</v>
          </cell>
          <cell r="D690">
            <v>8.6370000000000005</v>
          </cell>
          <cell r="E690">
            <v>-0.56000000000000005</v>
          </cell>
          <cell r="F690">
            <v>-0.21899999999999986</v>
          </cell>
        </row>
        <row r="691">
          <cell r="A691">
            <v>809398</v>
          </cell>
          <cell r="B691" t="str">
            <v>FRANGO GRILLER 1400G CONG PERD ARGENT</v>
          </cell>
          <cell r="C691">
            <v>1.891</v>
          </cell>
          <cell r="D691">
            <v>1.891</v>
          </cell>
          <cell r="E691">
            <v>-0.55100000000000005</v>
          </cell>
          <cell r="F691">
            <v>-4.4999999999999998E-2</v>
          </cell>
        </row>
        <row r="692">
          <cell r="A692">
            <v>809443</v>
          </cell>
          <cell r="B692" t="str">
            <v>APRESUNTADO SUI RESF PERD PARAGUAI</v>
          </cell>
          <cell r="C692">
            <v>2.9260000000000002</v>
          </cell>
          <cell r="D692">
            <v>2.9260000000000002</v>
          </cell>
          <cell r="E692">
            <v>-8.5999999999999993E-2</v>
          </cell>
          <cell r="F692">
            <v>-7.6000000000000012E-2</v>
          </cell>
        </row>
        <row r="693">
          <cell r="A693">
            <v>809445</v>
          </cell>
          <cell r="B693" t="str">
            <v>MORTADELA BOLOGNELA RESF PARAG</v>
          </cell>
          <cell r="C693">
            <v>2.6179999999999999</v>
          </cell>
          <cell r="D693">
            <v>2.6179999999999999</v>
          </cell>
          <cell r="E693">
            <v>-8.5999999999999993E-2</v>
          </cell>
          <cell r="F693">
            <v>-6.7999999999999949E-2</v>
          </cell>
        </row>
        <row r="694">
          <cell r="A694">
            <v>809497</v>
          </cell>
          <cell r="B694" t="str">
            <v>SOBRECOXA C/OP FGO CONG 90-110G THIG J</v>
          </cell>
          <cell r="C694">
            <v>3.9279999999999999</v>
          </cell>
          <cell r="D694">
            <v>3.9279999999999999</v>
          </cell>
          <cell r="E694">
            <v>-0.64100000000000001</v>
          </cell>
          <cell r="F694">
            <v>-9.6999999999999975E-2</v>
          </cell>
        </row>
        <row r="695">
          <cell r="A695">
            <v>809732</v>
          </cell>
          <cell r="B695" t="str">
            <v>COXA SOB SO CP FGO CONG 30-40G PERD JAP</v>
          </cell>
          <cell r="C695">
            <v>4.6379999999999999</v>
          </cell>
          <cell r="D695">
            <v>4.6379999999999999</v>
          </cell>
          <cell r="E695">
            <v>-0.36599999999999999</v>
          </cell>
          <cell r="F695">
            <v>-0.11699999999999999</v>
          </cell>
        </row>
        <row r="696">
          <cell r="A696">
            <v>809819</v>
          </cell>
          <cell r="B696" t="str">
            <v>ORELHA S/M/C SUI CONG 80-120G PERD USA</v>
          </cell>
          <cell r="C696">
            <v>4.0090000000000003</v>
          </cell>
          <cell r="D696">
            <v>4.0090000000000003</v>
          </cell>
          <cell r="E696">
            <v>-1.2070000000000001</v>
          </cell>
          <cell r="F696">
            <v>-9.3999999999999861E-2</v>
          </cell>
        </row>
        <row r="697">
          <cell r="A697">
            <v>810740</v>
          </cell>
          <cell r="B697" t="str">
            <v>FRANGO GRILLER 1000G CONG BOR JAPAO</v>
          </cell>
          <cell r="C697">
            <v>3.5539999999999998</v>
          </cell>
          <cell r="D697">
            <v>3.5539999999999998</v>
          </cell>
          <cell r="E697">
            <v>-0.64400000000000002</v>
          </cell>
          <cell r="F697">
            <v>-8.7000000000000188E-2</v>
          </cell>
        </row>
        <row r="698">
          <cell r="A698">
            <v>810812</v>
          </cell>
          <cell r="B698" t="str">
            <v>PEITO S/OPC C/F FGO CONG 250G/UP CANAR</v>
          </cell>
          <cell r="C698">
            <v>6.8419999999999996</v>
          </cell>
          <cell r="D698">
            <v>6.8419999999999996</v>
          </cell>
          <cell r="E698">
            <v>-0.57099999999999995</v>
          </cell>
          <cell r="F698">
            <v>-0.17399999999999993</v>
          </cell>
        </row>
        <row r="699">
          <cell r="A699">
            <v>810890</v>
          </cell>
          <cell r="B699" t="str">
            <v>PEITO S/OFC C/P FGO CONG MET 100G TAM I</v>
          </cell>
          <cell r="C699">
            <v>9.2080000000000002</v>
          </cell>
          <cell r="D699">
            <v>9.2080000000000002</v>
          </cell>
          <cell r="E699">
            <v>-0.57199999999999995</v>
          </cell>
          <cell r="F699">
            <v>-0.23399999999999999</v>
          </cell>
        </row>
        <row r="700">
          <cell r="A700">
            <v>811046</v>
          </cell>
          <cell r="B700" t="str">
            <v>COXA SOB S/OP FGO CONG PT 2KG PERD JAPA</v>
          </cell>
          <cell r="C700">
            <v>5.1189999999999998</v>
          </cell>
          <cell r="D700">
            <v>5.1189999999999998</v>
          </cell>
          <cell r="E700">
            <v>-0.311</v>
          </cell>
          <cell r="F700">
            <v>-0.13100000000000023</v>
          </cell>
        </row>
        <row r="701">
          <cell r="A701">
            <v>811047</v>
          </cell>
          <cell r="B701" t="str">
            <v>COXA SOB SO CP FGO CONG 20-30G PERD JAP</v>
          </cell>
          <cell r="C701">
            <v>4.6120000000000001</v>
          </cell>
          <cell r="D701">
            <v>4.6120000000000001</v>
          </cell>
          <cell r="E701">
            <v>-0.20300000000000001</v>
          </cell>
          <cell r="F701">
            <v>-0.11899999999999977</v>
          </cell>
        </row>
        <row r="702">
          <cell r="A702">
            <v>811048</v>
          </cell>
          <cell r="B702" t="str">
            <v>COXA SOB SO CP FGO CONG 25-35G PERD JAP</v>
          </cell>
          <cell r="C702">
            <v>4.8920000000000003</v>
          </cell>
          <cell r="D702">
            <v>4.8920000000000003</v>
          </cell>
          <cell r="E702">
            <v>-0.38700000000000001</v>
          </cell>
          <cell r="F702">
            <v>-0.125</v>
          </cell>
        </row>
        <row r="703">
          <cell r="A703">
            <v>811212</v>
          </cell>
          <cell r="B703" t="str">
            <v>BIG CHICKEN FGO CONG TRAD PERD URUGUAI</v>
          </cell>
          <cell r="C703">
            <v>6.093</v>
          </cell>
          <cell r="D703">
            <v>6.093</v>
          </cell>
          <cell r="E703">
            <v>-8.5999999999999993E-2</v>
          </cell>
          <cell r="F703">
            <v>-0.15800000000000036</v>
          </cell>
        </row>
        <row r="704">
          <cell r="A704">
            <v>811213</v>
          </cell>
          <cell r="B704" t="str">
            <v>FILEZINHO FGO CONG EMP CART 500G URUGU</v>
          </cell>
          <cell r="C704">
            <v>7.13</v>
          </cell>
          <cell r="D704">
            <v>7.13</v>
          </cell>
          <cell r="E704">
            <v>-8.5999999999999993E-2</v>
          </cell>
          <cell r="F704">
            <v>-0.18399999999999972</v>
          </cell>
        </row>
        <row r="705">
          <cell r="A705">
            <v>811215</v>
          </cell>
          <cell r="B705" t="str">
            <v>HAMBURGUER FGO CONG EMP CAR 540G URUG</v>
          </cell>
          <cell r="C705">
            <v>5.5739999999999998</v>
          </cell>
          <cell r="D705">
            <v>5.5739999999999998</v>
          </cell>
          <cell r="E705">
            <v>-8.5999999999999993E-2</v>
          </cell>
          <cell r="F705">
            <v>-0.14400000000000013</v>
          </cell>
        </row>
        <row r="706">
          <cell r="A706">
            <v>811218</v>
          </cell>
          <cell r="B706" t="str">
            <v>FILEZINHO FGO CONG EMP  PERD URUGUAI</v>
          </cell>
          <cell r="C706">
            <v>6.093</v>
          </cell>
          <cell r="D706">
            <v>6.093</v>
          </cell>
          <cell r="E706">
            <v>-8.5999999999999993E-2</v>
          </cell>
          <cell r="F706">
            <v>-0.15700000000000003</v>
          </cell>
        </row>
        <row r="707">
          <cell r="A707">
            <v>811265</v>
          </cell>
          <cell r="B707" t="str">
            <v>ASA 2A JTA+PTA FGO CONG 50G/UP TEB JAP</v>
          </cell>
          <cell r="C707">
            <v>4.6230000000000002</v>
          </cell>
          <cell r="D707">
            <v>4.6230000000000002</v>
          </cell>
          <cell r="E707">
            <v>-0.65300000000000002</v>
          </cell>
          <cell r="F707">
            <v>-0.115</v>
          </cell>
        </row>
        <row r="708">
          <cell r="A708">
            <v>811293</v>
          </cell>
          <cell r="B708" t="str">
            <v>PEITO S/OPFC FGO CONG CUB 23MM TAMB IN</v>
          </cell>
          <cell r="C708">
            <v>8.9830000000000005</v>
          </cell>
          <cell r="D708">
            <v>8.9830000000000005</v>
          </cell>
          <cell r="E708">
            <v>-0.57799999999999996</v>
          </cell>
          <cell r="F708">
            <v>-0.22799999999999976</v>
          </cell>
        </row>
        <row r="709">
          <cell r="A709">
            <v>811556</v>
          </cell>
          <cell r="B709" t="str">
            <v>FRANGO GRILLER 900G CONG HALAL IEMEN</v>
          </cell>
          <cell r="C709">
            <v>2.6059999999999999</v>
          </cell>
          <cell r="D709">
            <v>2.6059999999999999</v>
          </cell>
          <cell r="E709">
            <v>-0.624</v>
          </cell>
          <cell r="F709">
            <v>-6.3E-2</v>
          </cell>
        </row>
        <row r="710">
          <cell r="A710">
            <v>811557</v>
          </cell>
          <cell r="B710" t="str">
            <v>FRANGO GRILLER 1000G CONG HALAL IEMEN</v>
          </cell>
          <cell r="C710">
            <v>2.6059999999999999</v>
          </cell>
          <cell r="D710">
            <v>2.6059999999999999</v>
          </cell>
          <cell r="E710">
            <v>-0.624</v>
          </cell>
          <cell r="F710">
            <v>-6.3E-2</v>
          </cell>
        </row>
        <row r="711">
          <cell r="A711">
            <v>811558</v>
          </cell>
          <cell r="B711" t="str">
            <v>FRANGO GRILLER 1100G CONG HALAL IEMEN</v>
          </cell>
          <cell r="C711">
            <v>2.6059999999999999</v>
          </cell>
          <cell r="D711">
            <v>2.6059999999999999</v>
          </cell>
          <cell r="E711">
            <v>-0.624</v>
          </cell>
          <cell r="F711">
            <v>-6.4000000000000001E-2</v>
          </cell>
        </row>
        <row r="712">
          <cell r="A712">
            <v>811559</v>
          </cell>
          <cell r="B712" t="str">
            <v>FRANGO GRILLER 1200G CONG HALAL IEMEN</v>
          </cell>
          <cell r="C712">
            <v>2.6059999999999999</v>
          </cell>
          <cell r="D712">
            <v>2.6059999999999999</v>
          </cell>
          <cell r="E712">
            <v>-0.624</v>
          </cell>
          <cell r="F712">
            <v>-6.3E-2</v>
          </cell>
        </row>
        <row r="713">
          <cell r="A713">
            <v>811746</v>
          </cell>
          <cell r="B713" t="str">
            <v>COXA SOB SO CP FGO CONG 180-200G PERD DI</v>
          </cell>
          <cell r="C713">
            <v>5.0709999999999997</v>
          </cell>
          <cell r="D713">
            <v>5.0709999999999997</v>
          </cell>
          <cell r="E713">
            <v>-0.71799999999999997</v>
          </cell>
          <cell r="F713">
            <v>-0.12599999999999989</v>
          </cell>
        </row>
        <row r="714">
          <cell r="A714">
            <v>811747</v>
          </cell>
          <cell r="B714" t="str">
            <v>COXA SOB SO CP FGO CONG 200-220G PERD DI</v>
          </cell>
          <cell r="C714">
            <v>4.9329999999999998</v>
          </cell>
          <cell r="D714">
            <v>4.9329999999999998</v>
          </cell>
          <cell r="E714">
            <v>-0.64700000000000002</v>
          </cell>
          <cell r="F714">
            <v>-0.12299999999999978</v>
          </cell>
        </row>
        <row r="715">
          <cell r="A715">
            <v>811748</v>
          </cell>
          <cell r="B715" t="str">
            <v>COXA SOB SO CP FGO CONG 220-240G PERD DI</v>
          </cell>
          <cell r="C715">
            <v>5.01</v>
          </cell>
          <cell r="D715">
            <v>5.01</v>
          </cell>
          <cell r="E715">
            <v>-0.66700000000000004</v>
          </cell>
          <cell r="F715">
            <v>-0.125</v>
          </cell>
        </row>
        <row r="716">
          <cell r="A716">
            <v>811750</v>
          </cell>
          <cell r="B716" t="str">
            <v>COXA SOB SO CP FGO CONG 280-300G PERD DI</v>
          </cell>
          <cell r="C716">
            <v>4.9470000000000001</v>
          </cell>
          <cell r="D716">
            <v>4.9470000000000001</v>
          </cell>
          <cell r="E716">
            <v>-0.61399999999999999</v>
          </cell>
          <cell r="F716">
            <v>-0.12299999999999978</v>
          </cell>
        </row>
        <row r="717">
          <cell r="A717">
            <v>811889</v>
          </cell>
          <cell r="B717" t="str">
            <v>COXA SOB SO CP FGO CONG 40-50G PERD JAP</v>
          </cell>
          <cell r="C717">
            <v>4.5890000000000004</v>
          </cell>
          <cell r="D717">
            <v>4.5890000000000004</v>
          </cell>
          <cell r="E717">
            <v>-0.16600000000000001</v>
          </cell>
          <cell r="F717">
            <v>-0.11899999999999977</v>
          </cell>
        </row>
        <row r="718">
          <cell r="A718">
            <v>811890</v>
          </cell>
          <cell r="B718" t="str">
            <v>COXA SOB SO CP FGO CONG 200G/UP PT JAP</v>
          </cell>
          <cell r="C718">
            <v>4.6139999999999999</v>
          </cell>
          <cell r="D718">
            <v>4.6139999999999999</v>
          </cell>
          <cell r="E718">
            <v>-0.64700000000000002</v>
          </cell>
          <cell r="F718">
            <v>-0.115</v>
          </cell>
        </row>
        <row r="719">
          <cell r="A719">
            <v>811915</v>
          </cell>
          <cell r="B719" t="str">
            <v>PEITO S/OFC C/P FGO CONG 105G TAM INGL</v>
          </cell>
          <cell r="C719">
            <v>9.798</v>
          </cell>
          <cell r="D719">
            <v>9.798</v>
          </cell>
          <cell r="E719">
            <v>-0.57399999999999995</v>
          </cell>
          <cell r="F719">
            <v>-0.24900000000000055</v>
          </cell>
        </row>
        <row r="720">
          <cell r="A720">
            <v>812623</v>
          </cell>
          <cell r="B720" t="str">
            <v>FRANGO GRILLER 800G CONG BOR JAPAO</v>
          </cell>
          <cell r="C720">
            <v>3.5259999999999998</v>
          </cell>
          <cell r="D720">
            <v>3.5259999999999998</v>
          </cell>
          <cell r="E720">
            <v>-0.64400000000000002</v>
          </cell>
          <cell r="F720">
            <v>-8.6000000000000076E-2</v>
          </cell>
        </row>
        <row r="721">
          <cell r="A721">
            <v>812626</v>
          </cell>
          <cell r="B721" t="str">
            <v>FRANGO GRILLER 1100G CONG BOR JAPAO</v>
          </cell>
          <cell r="C721">
            <v>3.5539999999999998</v>
          </cell>
          <cell r="D721">
            <v>3.5539999999999998</v>
          </cell>
          <cell r="E721">
            <v>-0.64400000000000002</v>
          </cell>
          <cell r="F721">
            <v>-8.8000000000000078E-2</v>
          </cell>
        </row>
        <row r="722">
          <cell r="A722">
            <v>812782</v>
          </cell>
          <cell r="B722" t="str">
            <v>COXA SOB C/OP FGO CONG 120-140G CL JAP</v>
          </cell>
          <cell r="C722">
            <v>3.4769999999999999</v>
          </cell>
          <cell r="D722">
            <v>3.4769999999999999</v>
          </cell>
          <cell r="E722">
            <v>-0.63200000000000001</v>
          </cell>
          <cell r="F722">
            <v>-8.5000000000000075E-2</v>
          </cell>
        </row>
        <row r="723">
          <cell r="A723">
            <v>812783</v>
          </cell>
          <cell r="B723" t="str">
            <v>COXA SOB C/OP FGO CONG 140-160G CL JAP</v>
          </cell>
          <cell r="C723">
            <v>3.5219999999999998</v>
          </cell>
          <cell r="D723">
            <v>3.5219999999999998</v>
          </cell>
          <cell r="E723">
            <v>-0.63700000000000001</v>
          </cell>
          <cell r="F723">
            <v>-8.6999999999999966E-2</v>
          </cell>
        </row>
        <row r="724">
          <cell r="A724">
            <v>812784</v>
          </cell>
          <cell r="B724" t="str">
            <v>COXA SOB C/OP FGO CONG 160-180G CL JAP</v>
          </cell>
          <cell r="C724">
            <v>3.58</v>
          </cell>
          <cell r="D724">
            <v>3.58</v>
          </cell>
          <cell r="E724">
            <v>-0.65200000000000002</v>
          </cell>
          <cell r="F724">
            <v>-8.8000000000000078E-2</v>
          </cell>
        </row>
        <row r="725">
          <cell r="A725">
            <v>812786</v>
          </cell>
          <cell r="B725" t="str">
            <v>COXA SOB C/OP FGO CONG 200-220G CL JAP</v>
          </cell>
          <cell r="C725">
            <v>3.5619999999999998</v>
          </cell>
          <cell r="D725">
            <v>3.5619999999999998</v>
          </cell>
          <cell r="E725">
            <v>-0.64900000000000002</v>
          </cell>
          <cell r="F725">
            <v>-8.6999999999999966E-2</v>
          </cell>
        </row>
        <row r="726">
          <cell r="A726">
            <v>812847</v>
          </cell>
          <cell r="B726" t="str">
            <v>FRANGO GRILLER 1200G CONG BOR OMAN</v>
          </cell>
          <cell r="C726">
            <v>2.7829999999999999</v>
          </cell>
          <cell r="D726">
            <v>2.7829999999999999</v>
          </cell>
          <cell r="E726">
            <v>-0.69499999999999995</v>
          </cell>
          <cell r="F726">
            <v>-6.700000000000006E-2</v>
          </cell>
        </row>
        <row r="727">
          <cell r="A727">
            <v>812973</v>
          </cell>
          <cell r="B727" t="str">
            <v>ASA 1A JTA FGO CONG 45-55G PT 1KG JAPA</v>
          </cell>
          <cell r="C727">
            <v>3.875</v>
          </cell>
          <cell r="D727">
            <v>3.875</v>
          </cell>
          <cell r="E727">
            <v>-0.78600000000000003</v>
          </cell>
          <cell r="F727">
            <v>-9.5000000000000001E-2</v>
          </cell>
        </row>
        <row r="728">
          <cell r="A728">
            <v>813064</v>
          </cell>
          <cell r="B728" t="str">
            <v>SALAME ITAL CACULA RESF PARAGUAI</v>
          </cell>
          <cell r="C728">
            <v>9.2669999999999995</v>
          </cell>
          <cell r="D728">
            <v>9.2669999999999995</v>
          </cell>
          <cell r="E728">
            <v>-8.5999999999999993E-2</v>
          </cell>
          <cell r="F728">
            <v>-0.23899999999999988</v>
          </cell>
        </row>
        <row r="729">
          <cell r="A729">
            <v>813065</v>
          </cell>
          <cell r="B729" t="str">
            <v>SALAME MILANO CACULA RESF PARAG</v>
          </cell>
          <cell r="C729">
            <v>9.3179999999999996</v>
          </cell>
          <cell r="D729">
            <v>9.3179999999999996</v>
          </cell>
          <cell r="E729">
            <v>-8.5999999999999993E-2</v>
          </cell>
          <cell r="F729">
            <v>-0.2410000000000001</v>
          </cell>
        </row>
        <row r="730">
          <cell r="A730">
            <v>813074</v>
          </cell>
          <cell r="B730" t="str">
            <v>FILE PEITO FGO CONG C/TEND SALM PT ALEMA</v>
          </cell>
          <cell r="C730">
            <v>4.3940000000000001</v>
          </cell>
          <cell r="D730">
            <v>4.3940000000000001</v>
          </cell>
          <cell r="E730">
            <v>-0.38900000000000001</v>
          </cell>
          <cell r="F730">
            <v>-0.11099999999999999</v>
          </cell>
        </row>
        <row r="731">
          <cell r="A731">
            <v>813180</v>
          </cell>
          <cell r="B731" t="str">
            <v>COPA LOMBO S/O SUI CONG 1,2-1,4KG H.KO</v>
          </cell>
          <cell r="C731">
            <v>3.6339999999999999</v>
          </cell>
          <cell r="D731">
            <v>3.6339999999999999</v>
          </cell>
          <cell r="E731">
            <v>-0.10100000000000001</v>
          </cell>
          <cell r="F731">
            <v>-9.4000000000000083E-2</v>
          </cell>
        </row>
        <row r="732">
          <cell r="A732">
            <v>813181</v>
          </cell>
          <cell r="B732" t="str">
            <v>COPA LOMBO S/O SUI CONG 1,5-1,9KG H.KO</v>
          </cell>
          <cell r="C732">
            <v>4.0129999999999999</v>
          </cell>
          <cell r="D732">
            <v>4.0129999999999999</v>
          </cell>
          <cell r="E732">
            <v>-0.10100000000000001</v>
          </cell>
          <cell r="F732">
            <v>-0.10299999999999998</v>
          </cell>
        </row>
        <row r="733">
          <cell r="A733">
            <v>813182</v>
          </cell>
          <cell r="B733" t="str">
            <v>COPA LOMBO S/O SUI CONG 2,0-2,5KG H.KO</v>
          </cell>
          <cell r="C733">
            <v>4.0149999999999997</v>
          </cell>
          <cell r="D733">
            <v>4.0149999999999997</v>
          </cell>
          <cell r="E733">
            <v>-0.10100000000000001</v>
          </cell>
          <cell r="F733">
            <v>-0.10400000000000009</v>
          </cell>
        </row>
        <row r="734">
          <cell r="A734">
            <v>813449</v>
          </cell>
          <cell r="B734" t="str">
            <v>FRANGO GRILLER 900G CONG SPRING A.SAUD</v>
          </cell>
          <cell r="C734">
            <v>2.8450000000000002</v>
          </cell>
          <cell r="D734">
            <v>2.8450000000000002</v>
          </cell>
          <cell r="E734">
            <v>-0.58799999999999997</v>
          </cell>
          <cell r="F734">
            <v>-6.899999999999995E-2</v>
          </cell>
        </row>
        <row r="735">
          <cell r="A735">
            <v>813450</v>
          </cell>
          <cell r="B735" t="str">
            <v>FRANGO GRILLER 950G CONG SPRING A.SAUD</v>
          </cell>
          <cell r="C735">
            <v>2.827</v>
          </cell>
          <cell r="D735">
            <v>2.827</v>
          </cell>
          <cell r="E735">
            <v>-0.58199999999999996</v>
          </cell>
          <cell r="F735">
            <v>-6.899999999999995E-2</v>
          </cell>
        </row>
        <row r="736">
          <cell r="A736">
            <v>813451</v>
          </cell>
          <cell r="B736" t="str">
            <v>FRANGO GRILLER 1000G CONG SPRING A.SAU</v>
          </cell>
          <cell r="C736">
            <v>2.8559999999999999</v>
          </cell>
          <cell r="D736">
            <v>2.8559999999999999</v>
          </cell>
          <cell r="E736">
            <v>-0.59399999999999997</v>
          </cell>
          <cell r="F736">
            <v>-6.9999999999999951E-2</v>
          </cell>
        </row>
        <row r="737">
          <cell r="A737">
            <v>813452</v>
          </cell>
          <cell r="B737" t="str">
            <v>FRANGO GRILLER 1050G CONG SPRING A.SAU</v>
          </cell>
          <cell r="C737">
            <v>2.8479999999999999</v>
          </cell>
          <cell r="D737">
            <v>2.8479999999999999</v>
          </cell>
          <cell r="E737">
            <v>-0.59499999999999997</v>
          </cell>
          <cell r="F737">
            <v>-6.899999999999995E-2</v>
          </cell>
        </row>
        <row r="738">
          <cell r="A738">
            <v>813453</v>
          </cell>
          <cell r="B738" t="str">
            <v>FRANGO GRILLER 1100G CONG SPRING A.SAU</v>
          </cell>
          <cell r="C738">
            <v>2.887</v>
          </cell>
          <cell r="D738">
            <v>2.887</v>
          </cell>
          <cell r="E738">
            <v>-0.63200000000000001</v>
          </cell>
          <cell r="F738">
            <v>-6.9999999999999951E-2</v>
          </cell>
        </row>
        <row r="739">
          <cell r="A739">
            <v>813949</v>
          </cell>
          <cell r="B739" t="str">
            <v>COXA SOB SO CP FGO CONG 300G/UP PERD (DI</v>
          </cell>
          <cell r="C739">
            <v>4.2759999999999998</v>
          </cell>
          <cell r="D739">
            <v>4.2759999999999998</v>
          </cell>
          <cell r="E739">
            <v>-0.67</v>
          </cell>
          <cell r="F739">
            <v>-0.10599999999999987</v>
          </cell>
        </row>
        <row r="740">
          <cell r="A740">
            <v>814051</v>
          </cell>
          <cell r="B740" t="str">
            <v>PALETA SUI CONG COZ RET PC 3,75KG PARA</v>
          </cell>
          <cell r="C740">
            <v>3.1320000000000001</v>
          </cell>
          <cell r="D740">
            <v>3.1320000000000001</v>
          </cell>
          <cell r="E740">
            <v>-8.5999999999999993E-2</v>
          </cell>
          <cell r="F740">
            <v>-8.1000000000000016E-2</v>
          </cell>
        </row>
        <row r="741">
          <cell r="A741">
            <v>814124</v>
          </cell>
          <cell r="B741" t="str">
            <v>COXA SOB SO CP FGO CONG 300G/UP PERD DIR</v>
          </cell>
          <cell r="C741">
            <v>4.1710000000000003</v>
          </cell>
          <cell r="D741">
            <v>4.1710000000000003</v>
          </cell>
          <cell r="E741">
            <v>-0.17100000000000001</v>
          </cell>
          <cell r="F741">
            <v>-0.1080000000000001</v>
          </cell>
        </row>
        <row r="742">
          <cell r="A742">
            <v>814165</v>
          </cell>
          <cell r="B742" t="str">
            <v>MORTADELA CONF RESF PARAGUAI</v>
          </cell>
          <cell r="C742">
            <v>1.5660000000000001</v>
          </cell>
          <cell r="D742">
            <v>1.5660000000000001</v>
          </cell>
          <cell r="E742">
            <v>-8.5999999999999993E-2</v>
          </cell>
          <cell r="F742">
            <v>-4.1000000000000036E-2</v>
          </cell>
        </row>
        <row r="743">
          <cell r="A743">
            <v>814167</v>
          </cell>
          <cell r="B743" t="str">
            <v>MORTADELA CONF MINI RESF PARAG</v>
          </cell>
          <cell r="C743">
            <v>1.8740000000000001</v>
          </cell>
          <cell r="D743">
            <v>1.8740000000000001</v>
          </cell>
          <cell r="E743">
            <v>-8.5999999999999993E-2</v>
          </cell>
          <cell r="F743">
            <v>-4.8000000000000043E-2</v>
          </cell>
        </row>
        <row r="744">
          <cell r="A744">
            <v>814169</v>
          </cell>
          <cell r="B744" t="str">
            <v>PEITO DEF CHT VARIG RESF PERD PARAGUAI</v>
          </cell>
          <cell r="C744">
            <v>4.8259999999999996</v>
          </cell>
          <cell r="D744">
            <v>4.8259999999999996</v>
          </cell>
          <cell r="E744">
            <v>-8.5999999999999993E-2</v>
          </cell>
          <cell r="F744">
            <v>-0.12400000000000011</v>
          </cell>
        </row>
        <row r="745">
          <cell r="A745">
            <v>814172</v>
          </cell>
          <cell r="B745" t="str">
            <v>CARNE DEF CHT (ROLL) CONG PERD PARAGUAI</v>
          </cell>
          <cell r="C745">
            <v>5.5190000000000001</v>
          </cell>
          <cell r="D745">
            <v>5.5190000000000001</v>
          </cell>
          <cell r="E745">
            <v>-8.5999999999999993E-2</v>
          </cell>
          <cell r="F745">
            <v>-0.1419999999999999</v>
          </cell>
        </row>
        <row r="746">
          <cell r="A746">
            <v>814173</v>
          </cell>
          <cell r="B746" t="str">
            <v>CHESTER LANCHE RESF PERD PARAGUAI</v>
          </cell>
          <cell r="C746">
            <v>2.952</v>
          </cell>
          <cell r="D746">
            <v>2.952</v>
          </cell>
          <cell r="E746">
            <v>-8.5999999999999993E-2</v>
          </cell>
          <cell r="F746">
            <v>-7.6000000000000068E-2</v>
          </cell>
        </row>
        <row r="747">
          <cell r="A747">
            <v>814174</v>
          </cell>
          <cell r="B747" t="str">
            <v>CHESTER LANCHE MINI RESF PERD PARAG</v>
          </cell>
          <cell r="C747">
            <v>3.645</v>
          </cell>
          <cell r="D747">
            <v>3.645</v>
          </cell>
          <cell r="E747">
            <v>-8.5999999999999993E-2</v>
          </cell>
          <cell r="F747">
            <v>-9.4E-2</v>
          </cell>
        </row>
        <row r="748">
          <cell r="A748">
            <v>814321</v>
          </cell>
          <cell r="B748" t="str">
            <v>PEITO S/OPFC FGO CONG MET 50-100G SALM</v>
          </cell>
          <cell r="C748">
            <v>6.2370000000000001</v>
          </cell>
          <cell r="D748">
            <v>6.2370000000000001</v>
          </cell>
          <cell r="E748">
            <v>-0.44800000000000001</v>
          </cell>
          <cell r="F748">
            <v>-0.15899999999999981</v>
          </cell>
        </row>
        <row r="749">
          <cell r="A749">
            <v>815130</v>
          </cell>
          <cell r="B749" t="str">
            <v>CARTILAGEM JOELHO FGO CONG PERD DIREX JA</v>
          </cell>
          <cell r="C749">
            <v>6.569</v>
          </cell>
          <cell r="D749">
            <v>6.569</v>
          </cell>
          <cell r="E749">
            <v>-0.626</v>
          </cell>
          <cell r="F749">
            <v>-0.16500000000000001</v>
          </cell>
        </row>
        <row r="750">
          <cell r="A750">
            <v>815176</v>
          </cell>
          <cell r="B750" t="str">
            <v>FIGADO FGO CONG BD 450G UNEF EAU</v>
          </cell>
          <cell r="C750">
            <v>2.919</v>
          </cell>
          <cell r="D750">
            <v>2.919</v>
          </cell>
          <cell r="E750">
            <v>-0.73799999999999999</v>
          </cell>
          <cell r="F750">
            <v>-7.1000000000000174E-2</v>
          </cell>
        </row>
        <row r="751">
          <cell r="A751">
            <v>815177</v>
          </cell>
          <cell r="B751" t="str">
            <v>MOELA FGO CONG BD 450G UNEF EAU</v>
          </cell>
          <cell r="C751">
            <v>2.9860000000000002</v>
          </cell>
          <cell r="D751">
            <v>2.9860000000000002</v>
          </cell>
          <cell r="E751">
            <v>-0.74</v>
          </cell>
          <cell r="F751">
            <v>-7.2000000000000064E-2</v>
          </cell>
        </row>
        <row r="752">
          <cell r="A752">
            <v>816375</v>
          </cell>
          <cell r="B752" t="str">
            <v>COXA SOB SO CP FGO CONG 160-180G PERD JA</v>
          </cell>
          <cell r="C752">
            <v>3.206</v>
          </cell>
          <cell r="D752">
            <v>3.206</v>
          </cell>
          <cell r="E752">
            <v>-0.10100000000000001</v>
          </cell>
          <cell r="F752">
            <v>-8.2999999999999963E-2</v>
          </cell>
        </row>
        <row r="753">
          <cell r="A753">
            <v>816541</v>
          </cell>
          <cell r="B753" t="str">
            <v>COXA C/OP FGO CONG DRUM BD 900G EAU</v>
          </cell>
          <cell r="C753">
            <v>3.3929999999999998</v>
          </cell>
          <cell r="D753">
            <v>3.3929999999999998</v>
          </cell>
          <cell r="E753">
            <v>-0.77200000000000002</v>
          </cell>
          <cell r="F753">
            <v>-8.1999999999999962E-2</v>
          </cell>
        </row>
        <row r="754">
          <cell r="A754">
            <v>816542</v>
          </cell>
          <cell r="B754" t="str">
            <v>ASA INT FGO CONG 12BD PERD EAU</v>
          </cell>
          <cell r="C754">
            <v>3.3260000000000001</v>
          </cell>
          <cell r="D754">
            <v>3.3260000000000001</v>
          </cell>
          <cell r="E754">
            <v>-0.77</v>
          </cell>
          <cell r="F754">
            <v>-8.0000000000000071E-2</v>
          </cell>
        </row>
        <row r="755">
          <cell r="A755">
            <v>816544</v>
          </cell>
          <cell r="B755" t="str">
            <v>FIGADO FGO CONG BD 450G PERD EAU</v>
          </cell>
          <cell r="C755">
            <v>2.6930000000000001</v>
          </cell>
          <cell r="D755">
            <v>2.6930000000000001</v>
          </cell>
          <cell r="E755">
            <v>-0.77400000000000002</v>
          </cell>
          <cell r="F755">
            <v>-6.3999999999999946E-2</v>
          </cell>
        </row>
        <row r="756">
          <cell r="A756">
            <v>816545</v>
          </cell>
          <cell r="B756" t="str">
            <v>MOELA FGO CONG BD 450G PERD EAU</v>
          </cell>
          <cell r="C756">
            <v>2.831</v>
          </cell>
          <cell r="D756">
            <v>2.831</v>
          </cell>
          <cell r="E756">
            <v>-0.77700000000000002</v>
          </cell>
          <cell r="F756">
            <v>-6.800000000000006E-2</v>
          </cell>
        </row>
        <row r="757">
          <cell r="A757">
            <v>816571</v>
          </cell>
          <cell r="B757" t="str">
            <v>MOELA FGO CONG BL 5KG CONF PORTUGAL</v>
          </cell>
          <cell r="C757">
            <v>2.077</v>
          </cell>
          <cell r="D757">
            <v>2.077</v>
          </cell>
          <cell r="E757">
            <v>-0.45500000000000002</v>
          </cell>
          <cell r="F757">
            <v>-5.0999999999999934E-2</v>
          </cell>
        </row>
        <row r="758">
          <cell r="A758">
            <v>816680</v>
          </cell>
          <cell r="B758" t="str">
            <v>PEITO S/OPF FGO CONG MET TAMB/COZ URUG</v>
          </cell>
          <cell r="C758">
            <v>8.0370000000000008</v>
          </cell>
          <cell r="D758">
            <v>8.0370000000000008</v>
          </cell>
          <cell r="E758">
            <v>-8.5999999999999993E-2</v>
          </cell>
          <cell r="F758">
            <v>-0.20800000000000018</v>
          </cell>
        </row>
        <row r="759">
          <cell r="A759">
            <v>816681</v>
          </cell>
          <cell r="B759" t="str">
            <v>COXA SOB S/OPT FGO CONG TAMB/COZ URUGUAI</v>
          </cell>
          <cell r="C759">
            <v>7.26</v>
          </cell>
          <cell r="D759">
            <v>7.26</v>
          </cell>
          <cell r="E759">
            <v>-8.5999999999999993E-2</v>
          </cell>
          <cell r="F759">
            <v>-0.18799999999999972</v>
          </cell>
        </row>
        <row r="760">
          <cell r="A760">
            <v>816687</v>
          </cell>
          <cell r="B760" t="str">
            <v>LOMBO SUI CONG 1,5-2,5KG PERD RUSSIA</v>
          </cell>
          <cell r="C760">
            <v>6.6</v>
          </cell>
          <cell r="D760">
            <v>6.6</v>
          </cell>
          <cell r="E760">
            <v>-0.56100000000000005</v>
          </cell>
          <cell r="F760">
            <v>-0.16699999999999982</v>
          </cell>
        </row>
        <row r="761">
          <cell r="A761">
            <v>816688</v>
          </cell>
          <cell r="B761" t="str">
            <v>COPA LOMBO S/O SUI CONG 1,5-2,2KG RUSSI</v>
          </cell>
          <cell r="C761">
            <v>5.5259999999999998</v>
          </cell>
          <cell r="D761">
            <v>5.5259999999999998</v>
          </cell>
          <cell r="E761">
            <v>-0.57199999999999995</v>
          </cell>
          <cell r="F761">
            <v>-0.13900000000000023</v>
          </cell>
        </row>
        <row r="762">
          <cell r="A762">
            <v>816728</v>
          </cell>
          <cell r="B762" t="str">
            <v>FIGADO FGO CONG BL 13,6KG PERD ALEMANHA</v>
          </cell>
          <cell r="C762">
            <v>1.1519999999999999</v>
          </cell>
          <cell r="D762">
            <v>1.1519999999999999</v>
          </cell>
          <cell r="E762">
            <v>-0.33400000000000002</v>
          </cell>
          <cell r="F762">
            <v>-2.7000000000000024E-2</v>
          </cell>
        </row>
        <row r="763">
          <cell r="A763">
            <v>816762</v>
          </cell>
          <cell r="B763" t="str">
            <v>FRANGO GRILLER 1700G CONG HALAL IEMEN</v>
          </cell>
          <cell r="C763">
            <v>2.6059999999999999</v>
          </cell>
          <cell r="D763">
            <v>2.6059999999999999</v>
          </cell>
          <cell r="E763">
            <v>-0.58199999999999996</v>
          </cell>
          <cell r="F763">
            <v>-6.3000000000000056E-2</v>
          </cell>
        </row>
        <row r="764">
          <cell r="A764">
            <v>817056</v>
          </cell>
          <cell r="B764" t="str">
            <v>COXA SOB S/OP FGO CONG 200G/UP KUWAIT</v>
          </cell>
          <cell r="C764">
            <v>4.4790000000000001</v>
          </cell>
          <cell r="D764">
            <v>4.4790000000000001</v>
          </cell>
          <cell r="E764">
            <v>-0.80500000000000005</v>
          </cell>
          <cell r="F764">
            <v>-0.11099999999999999</v>
          </cell>
        </row>
        <row r="765">
          <cell r="A765">
            <v>817078</v>
          </cell>
          <cell r="B765" t="str">
            <v>MOELA FGO CONG BD 450G HALAL QATAR</v>
          </cell>
          <cell r="C765">
            <v>2.851</v>
          </cell>
          <cell r="D765">
            <v>2.851</v>
          </cell>
          <cell r="E765">
            <v>-0.78500000000000003</v>
          </cell>
          <cell r="F765">
            <v>-6.7999999999999949E-2</v>
          </cell>
        </row>
        <row r="766">
          <cell r="A766">
            <v>817191</v>
          </cell>
          <cell r="B766" t="str">
            <v>FRANGO GRILLER 900G CONG HALAL OMAN</v>
          </cell>
          <cell r="C766">
            <v>2.802</v>
          </cell>
          <cell r="D766">
            <v>2.802</v>
          </cell>
          <cell r="E766">
            <v>-0.70099999999999996</v>
          </cell>
          <cell r="F766">
            <v>-6.6999999999999948E-2</v>
          </cell>
        </row>
        <row r="767">
          <cell r="A767">
            <v>817398</v>
          </cell>
          <cell r="B767" t="str">
            <v>MOELA FGO CONG PT 1KG PERD PORTUGAL</v>
          </cell>
          <cell r="C767">
            <v>2.54</v>
          </cell>
          <cell r="D767">
            <v>2.54</v>
          </cell>
          <cell r="E767">
            <v>-0.503</v>
          </cell>
          <cell r="F767">
            <v>-6.1999999999999833E-2</v>
          </cell>
        </row>
        <row r="768">
          <cell r="A768">
            <v>817560</v>
          </cell>
          <cell r="B768" t="str">
            <v>PEITO S/OPFC FGO CONG MET 140G/UP SALM</v>
          </cell>
          <cell r="C768">
            <v>5.726</v>
          </cell>
          <cell r="D768">
            <v>5.726</v>
          </cell>
          <cell r="E768">
            <v>-0.41299999999999998</v>
          </cell>
          <cell r="F768">
            <v>-0.14499999999999999</v>
          </cell>
        </row>
        <row r="769">
          <cell r="A769">
            <v>817691</v>
          </cell>
          <cell r="B769" t="str">
            <v>FIGADO FGO CONG BL 13KG PERD ALEMANHA</v>
          </cell>
          <cell r="C769">
            <v>1.161</v>
          </cell>
          <cell r="D769">
            <v>1.161</v>
          </cell>
          <cell r="E769">
            <v>-0.33100000000000002</v>
          </cell>
          <cell r="F769">
            <v>-2.7999999999999914E-2</v>
          </cell>
        </row>
        <row r="770">
          <cell r="A770">
            <v>817713</v>
          </cell>
          <cell r="B770" t="str">
            <v>FRANGO GRILLER 700G CONG BOR CINGAP</v>
          </cell>
          <cell r="C770">
            <v>3.464</v>
          </cell>
          <cell r="D770">
            <v>3.464</v>
          </cell>
          <cell r="E770">
            <v>-0.63200000000000001</v>
          </cell>
          <cell r="F770">
            <v>-8.5000000000000006E-2</v>
          </cell>
        </row>
        <row r="771">
          <cell r="A771">
            <v>817794</v>
          </cell>
          <cell r="B771" t="str">
            <v>PEITO S/OPFC FGO CONG MET 100G SALM HOL</v>
          </cell>
          <cell r="C771">
            <v>5.35</v>
          </cell>
          <cell r="D771">
            <v>5.35</v>
          </cell>
          <cell r="E771">
            <v>-0.40500000000000003</v>
          </cell>
          <cell r="F771">
            <v>-0.13500000000000001</v>
          </cell>
        </row>
        <row r="772">
          <cell r="A772">
            <v>821336</v>
          </cell>
          <cell r="B772" t="str">
            <v>PEITO S/OPFC FGO CONG MET 140G/UP SALM</v>
          </cell>
          <cell r="C772">
            <v>5.5439999999999996</v>
          </cell>
          <cell r="D772">
            <v>5.5439999999999996</v>
          </cell>
          <cell r="E772">
            <v>-0.41499999999999998</v>
          </cell>
          <cell r="F772">
            <v>-0.14000000000000001</v>
          </cell>
        </row>
        <row r="773">
          <cell r="A773">
            <v>821782</v>
          </cell>
          <cell r="B773" t="str">
            <v>COXA SOB SO CP FGO CONG 200-240G PT CI</v>
          </cell>
          <cell r="C773">
            <v>4.0510000000000002</v>
          </cell>
          <cell r="D773">
            <v>4.0510000000000002</v>
          </cell>
          <cell r="E773">
            <v>-0.69299999999999995</v>
          </cell>
          <cell r="F773">
            <v>-0.1</v>
          </cell>
        </row>
        <row r="774">
          <cell r="A774">
            <v>821879</v>
          </cell>
          <cell r="B774" t="str">
            <v>COXA SOB S/OP FGO CONG BL SALM HOANDA</v>
          </cell>
          <cell r="C774">
            <v>4.0129999999999999</v>
          </cell>
          <cell r="D774">
            <v>4.0129999999999999</v>
          </cell>
          <cell r="E774">
            <v>-0.40500000000000003</v>
          </cell>
          <cell r="F774">
            <v>-0.10099999999999998</v>
          </cell>
        </row>
        <row r="775">
          <cell r="A775">
            <v>822186</v>
          </cell>
          <cell r="B775" t="str">
            <v>FRANGO GRILLER 1100G CONG PERD RUSSIA</v>
          </cell>
          <cell r="C775">
            <v>1.948</v>
          </cell>
          <cell r="D775">
            <v>1.948</v>
          </cell>
          <cell r="E775">
            <v>-0.10100000000000001</v>
          </cell>
          <cell r="F775">
            <v>-0.05</v>
          </cell>
        </row>
        <row r="776">
          <cell r="A776">
            <v>822187</v>
          </cell>
          <cell r="B776" t="str">
            <v>FRANGO GRILLER 1100G CONG PERD INGLAT</v>
          </cell>
          <cell r="C776">
            <v>2.7810000000000001</v>
          </cell>
          <cell r="D776">
            <v>2.7810000000000001</v>
          </cell>
          <cell r="E776">
            <v>-0.47699999999999998</v>
          </cell>
          <cell r="F776">
            <v>-6.899999999999995E-2</v>
          </cell>
        </row>
        <row r="777">
          <cell r="A777">
            <v>822347</v>
          </cell>
          <cell r="B777" t="str">
            <v>PEITO S/OPFC FGO CONG MET VEG BL INGL</v>
          </cell>
          <cell r="C777">
            <v>7.577</v>
          </cell>
          <cell r="D777">
            <v>7.577</v>
          </cell>
          <cell r="E777">
            <v>-0.48599999999999999</v>
          </cell>
          <cell r="F777">
            <v>-0.19199999999999973</v>
          </cell>
        </row>
        <row r="778">
          <cell r="A778">
            <v>822402</v>
          </cell>
          <cell r="B778" t="str">
            <v>FIGADO FGO CONG BD 450G HALAL QATAR</v>
          </cell>
          <cell r="C778">
            <v>2.7149999999999999</v>
          </cell>
          <cell r="D778">
            <v>2.7149999999999999</v>
          </cell>
          <cell r="E778">
            <v>-0.78200000000000003</v>
          </cell>
          <cell r="F778">
            <v>-6.3999999999999946E-2</v>
          </cell>
        </row>
        <row r="779">
          <cell r="A779">
            <v>822902</v>
          </cell>
          <cell r="B779" t="str">
            <v>FIGADO FGO CONG BD 450G UNEF OMAN</v>
          </cell>
          <cell r="C779">
            <v>2.6469999999999998</v>
          </cell>
          <cell r="D779">
            <v>2.6469999999999998</v>
          </cell>
          <cell r="E779">
            <v>-0.749</v>
          </cell>
          <cell r="F779">
            <v>-6.2999999999999945E-2</v>
          </cell>
        </row>
        <row r="780">
          <cell r="A780">
            <v>822903</v>
          </cell>
          <cell r="B780" t="str">
            <v>MOELA FGO CONG BD 450G UNEF OMAN</v>
          </cell>
          <cell r="C780">
            <v>2.7829999999999999</v>
          </cell>
          <cell r="D780">
            <v>2.7829999999999999</v>
          </cell>
          <cell r="E780">
            <v>-0.753</v>
          </cell>
          <cell r="F780">
            <v>-6.700000000000006E-2</v>
          </cell>
        </row>
        <row r="781">
          <cell r="A781">
            <v>822961</v>
          </cell>
          <cell r="B781" t="str">
            <v>ASA INT CHT CONG 150G/UP WFCK111 H.KONG</v>
          </cell>
          <cell r="C781">
            <v>2.0760000000000001</v>
          </cell>
          <cell r="D781">
            <v>2.0760000000000001</v>
          </cell>
          <cell r="E781">
            <v>-0.1</v>
          </cell>
          <cell r="F781">
            <v>-5.2999999999999992E-2</v>
          </cell>
        </row>
        <row r="782">
          <cell r="A782">
            <v>823061</v>
          </cell>
          <cell r="B782" t="str">
            <v>PE CHT S/CANELA CONG PT 1KG BOR CINGAP</v>
          </cell>
          <cell r="C782">
            <v>2.661</v>
          </cell>
          <cell r="D782">
            <v>2.661</v>
          </cell>
          <cell r="E782">
            <v>-0.66500000000000004</v>
          </cell>
          <cell r="F782">
            <v>-6.4000000000000057E-2</v>
          </cell>
        </row>
        <row r="783">
          <cell r="A783">
            <v>823396</v>
          </cell>
          <cell r="B783" t="str">
            <v>ASA INT FGO CONG 120-150G ITF PERD CING</v>
          </cell>
          <cell r="C783">
            <v>2.5470000000000002</v>
          </cell>
          <cell r="D783">
            <v>2.5470000000000002</v>
          </cell>
          <cell r="E783">
            <v>-0.65100000000000002</v>
          </cell>
          <cell r="F783">
            <v>-6.0999999999999943E-2</v>
          </cell>
        </row>
        <row r="784">
          <cell r="A784">
            <v>823516</v>
          </cell>
          <cell r="B784" t="str">
            <v>COXA SOB C/OP FGO CONG 500G/UP PERD (DIR</v>
          </cell>
          <cell r="C784">
            <v>3.6080000000000001</v>
          </cell>
          <cell r="D784">
            <v>3.6080000000000001</v>
          </cell>
          <cell r="E784">
            <v>-0.66400000000000003</v>
          </cell>
          <cell r="F784">
            <v>-8.8999999999999968E-2</v>
          </cell>
        </row>
        <row r="785">
          <cell r="A785">
            <v>823555</v>
          </cell>
          <cell r="B785" t="str">
            <v>PEITO S/OPFC FGO CONG MET 80G/UP SALM H</v>
          </cell>
          <cell r="C785">
            <v>4.8639999999999999</v>
          </cell>
          <cell r="D785">
            <v>4.8639999999999999</v>
          </cell>
          <cell r="E785">
            <v>-0.439</v>
          </cell>
          <cell r="F785">
            <v>-0.123</v>
          </cell>
        </row>
        <row r="786">
          <cell r="A786">
            <v>823556</v>
          </cell>
          <cell r="B786" t="str">
            <v>PEITO S/OPFC FGO CONG MET 120G/UP SALM</v>
          </cell>
          <cell r="C786">
            <v>6.9139999999999997</v>
          </cell>
          <cell r="D786">
            <v>6.9139999999999997</v>
          </cell>
          <cell r="E786">
            <v>-0.40500000000000003</v>
          </cell>
          <cell r="F786">
            <v>-0.17599999999999971</v>
          </cell>
        </row>
        <row r="787">
          <cell r="A787">
            <v>824046</v>
          </cell>
          <cell r="B787" t="str">
            <v>PEITO S/OPFC FGO CONG MET 140G/UP SALM</v>
          </cell>
          <cell r="C787">
            <v>6.4909999999999997</v>
          </cell>
          <cell r="D787">
            <v>6.4909999999999997</v>
          </cell>
          <cell r="E787">
            <v>-0.496</v>
          </cell>
          <cell r="F787">
            <v>-0.16400000000000015</v>
          </cell>
        </row>
        <row r="788">
          <cell r="A788">
            <v>824213</v>
          </cell>
          <cell r="B788" t="str">
            <v>COXA SOB S/OP FGO CONG PT 2,5KG BAHRAIN</v>
          </cell>
          <cell r="C788">
            <v>4.5890000000000004</v>
          </cell>
          <cell r="D788">
            <v>4.5890000000000004</v>
          </cell>
          <cell r="E788">
            <v>-0.79800000000000004</v>
          </cell>
          <cell r="F788">
            <v>-0.11399999999999988</v>
          </cell>
        </row>
        <row r="789">
          <cell r="A789">
            <v>824261</v>
          </cell>
          <cell r="B789" t="str">
            <v>SOBREPALETA S/O SUI CONG IND H.KONG</v>
          </cell>
          <cell r="C789">
            <v>4.5410000000000004</v>
          </cell>
          <cell r="D789">
            <v>4.5410000000000004</v>
          </cell>
          <cell r="E789">
            <v>-0.55800000000000005</v>
          </cell>
          <cell r="F789">
            <v>-0.11399999999999999</v>
          </cell>
        </row>
        <row r="790">
          <cell r="A790">
            <v>824262</v>
          </cell>
          <cell r="B790" t="str">
            <v>CARRE SUI CONG IND BAT H.KONG</v>
          </cell>
          <cell r="C790">
            <v>3.8069999999999999</v>
          </cell>
          <cell r="D790">
            <v>3.8069999999999999</v>
          </cell>
          <cell r="E790">
            <v>-0.56299999999999994</v>
          </cell>
          <cell r="F790">
            <v>-9.5000000000000001E-2</v>
          </cell>
        </row>
        <row r="791">
          <cell r="A791">
            <v>824406</v>
          </cell>
          <cell r="B791" t="str">
            <v>PEITO S/OPFC FGO CONG TIRAS 12MM COZ ING</v>
          </cell>
          <cell r="C791">
            <v>8.4410000000000007</v>
          </cell>
          <cell r="D791">
            <v>8.4410000000000007</v>
          </cell>
          <cell r="E791">
            <v>-0.56499999999999995</v>
          </cell>
          <cell r="F791">
            <v>-0.21399999999999997</v>
          </cell>
        </row>
        <row r="792">
          <cell r="A792">
            <v>824432</v>
          </cell>
          <cell r="B792" t="str">
            <v>SALAME ITAL RESF FAT CART 100G PARAG</v>
          </cell>
          <cell r="C792">
            <v>15.840999999999999</v>
          </cell>
          <cell r="D792">
            <v>15.840999999999999</v>
          </cell>
          <cell r="E792">
            <v>-8.5999999999999993E-2</v>
          </cell>
          <cell r="F792">
            <v>-0.40899999999999981</v>
          </cell>
        </row>
        <row r="793">
          <cell r="A793">
            <v>824624</v>
          </cell>
          <cell r="B793" t="str">
            <v>CARRE SUI CONG IND PERD RUSSIA</v>
          </cell>
          <cell r="C793">
            <v>4.6319999999999997</v>
          </cell>
          <cell r="D793">
            <v>4.6319999999999997</v>
          </cell>
          <cell r="E793">
            <v>-0.58799999999999997</v>
          </cell>
          <cell r="F793">
            <v>-0.115</v>
          </cell>
        </row>
        <row r="794">
          <cell r="A794">
            <v>825021</v>
          </cell>
          <cell r="B794" t="str">
            <v>ASA 2A JTA FGO CONG 25-30G WFCK112 H.K</v>
          </cell>
          <cell r="C794">
            <v>3.7080000000000002</v>
          </cell>
          <cell r="D794">
            <v>3.7080000000000002</v>
          </cell>
          <cell r="E794">
            <v>-0.10100000000000001</v>
          </cell>
          <cell r="F794">
            <v>-9.5000000000000001E-2</v>
          </cell>
        </row>
        <row r="795">
          <cell r="A795">
            <v>825031</v>
          </cell>
          <cell r="B795" t="str">
            <v>FRANGO GRILLER 1200G CONG PERD INGLATER</v>
          </cell>
          <cell r="C795">
            <v>2.7810000000000001</v>
          </cell>
          <cell r="D795">
            <v>2.7810000000000001</v>
          </cell>
          <cell r="E795">
            <v>-0.47599999999999998</v>
          </cell>
          <cell r="F795">
            <v>-6.9000000000000061E-2</v>
          </cell>
        </row>
        <row r="796">
          <cell r="A796">
            <v>825120</v>
          </cell>
          <cell r="B796" t="str">
            <v>ESTOMAGO SUI CONG COZ ITF BAT H.KONG</v>
          </cell>
          <cell r="C796">
            <v>3.5670000000000002</v>
          </cell>
          <cell r="D796">
            <v>3.5670000000000002</v>
          </cell>
          <cell r="E796">
            <v>-0.58199999999999996</v>
          </cell>
          <cell r="F796">
            <v>-8.7999999999999856E-2</v>
          </cell>
        </row>
        <row r="797">
          <cell r="A797">
            <v>825174</v>
          </cell>
          <cell r="B797" t="str">
            <v>FRANGO GRILLER 950G CONG PERD JAPAO</v>
          </cell>
          <cell r="C797">
            <v>3.484</v>
          </cell>
          <cell r="D797">
            <v>3.484</v>
          </cell>
          <cell r="E797">
            <v>-0.65200000000000002</v>
          </cell>
          <cell r="F797">
            <v>-8.5000000000000006E-2</v>
          </cell>
        </row>
        <row r="798">
          <cell r="A798">
            <v>825235</v>
          </cell>
          <cell r="B798" t="str">
            <v>COSTELA SUI CONG IWP BAT H.KONG</v>
          </cell>
          <cell r="C798">
            <v>3.9489999999999998</v>
          </cell>
          <cell r="D798">
            <v>3.9489999999999998</v>
          </cell>
          <cell r="E798">
            <v>-0.56999999999999995</v>
          </cell>
          <cell r="F798">
            <v>-9.8000000000000087E-2</v>
          </cell>
        </row>
        <row r="799">
          <cell r="A799">
            <v>825457</v>
          </cell>
          <cell r="B799" t="str">
            <v>FRANGO GRILLER 900G CONG PERD JAPAO</v>
          </cell>
          <cell r="C799">
            <v>3.4740000000000002</v>
          </cell>
          <cell r="D799">
            <v>3.4740000000000002</v>
          </cell>
          <cell r="E799">
            <v>-0.65900000000000003</v>
          </cell>
          <cell r="F799">
            <v>-8.6000000000000076E-2</v>
          </cell>
        </row>
        <row r="800">
          <cell r="A800">
            <v>825459</v>
          </cell>
          <cell r="B800" t="str">
            <v>FRANGO GRILLER 1250G CONG PERD JAPAO</v>
          </cell>
          <cell r="C800">
            <v>3.5539999999999998</v>
          </cell>
          <cell r="D800">
            <v>3.5539999999999998</v>
          </cell>
          <cell r="E800">
            <v>-0.67200000000000004</v>
          </cell>
          <cell r="F800">
            <v>-8.6999999999999966E-2</v>
          </cell>
        </row>
        <row r="801">
          <cell r="A801">
            <v>825460</v>
          </cell>
          <cell r="B801" t="str">
            <v>FRANGO GRILLER 1300G CONG PERD JAPAO</v>
          </cell>
          <cell r="C801">
            <v>3.4740000000000002</v>
          </cell>
          <cell r="D801">
            <v>3.4740000000000002</v>
          </cell>
          <cell r="E801">
            <v>-0.65900000000000003</v>
          </cell>
          <cell r="F801">
            <v>-8.5999999999999854E-2</v>
          </cell>
        </row>
        <row r="802">
          <cell r="A802">
            <v>826120</v>
          </cell>
          <cell r="B802" t="str">
            <v>PE FGO C/CANELA CONG ITF PERD CARIBE</v>
          </cell>
          <cell r="C802">
            <v>0.67800000000000005</v>
          </cell>
          <cell r="D802">
            <v>0.67800000000000005</v>
          </cell>
          <cell r="E802">
            <v>-9.6000000000000002E-2</v>
          </cell>
          <cell r="F802">
            <v>-1.8000000000000016E-2</v>
          </cell>
        </row>
        <row r="803">
          <cell r="A803">
            <v>826150</v>
          </cell>
          <cell r="B803" t="str">
            <v>FRANGO GRILLER 1000G CONG AL-NOOR EAU</v>
          </cell>
          <cell r="C803">
            <v>2.8239999999999998</v>
          </cell>
          <cell r="D803">
            <v>2.8239999999999998</v>
          </cell>
          <cell r="E803">
            <v>-0.76600000000000001</v>
          </cell>
          <cell r="F803">
            <v>-6.7000000000000004E-2</v>
          </cell>
        </row>
        <row r="804">
          <cell r="A804">
            <v>826170</v>
          </cell>
          <cell r="B804" t="str">
            <v>COXA SOB C/OP FGO CONG 260-280G WFCK11</v>
          </cell>
          <cell r="C804">
            <v>1.93</v>
          </cell>
          <cell r="D804">
            <v>1.93</v>
          </cell>
          <cell r="E804">
            <v>-0.1</v>
          </cell>
          <cell r="F804">
            <v>-0.05</v>
          </cell>
        </row>
        <row r="805">
          <cell r="A805">
            <v>826171</v>
          </cell>
          <cell r="B805" t="str">
            <v>FRANGO GRILLER 1100G CONG AL-NOOR EAU</v>
          </cell>
          <cell r="C805">
            <v>2.8239999999999998</v>
          </cell>
          <cell r="D805">
            <v>2.8239999999999998</v>
          </cell>
          <cell r="E805">
            <v>-0.76600000000000001</v>
          </cell>
          <cell r="F805">
            <v>-6.7000000000000004E-2</v>
          </cell>
        </row>
        <row r="806">
          <cell r="A806">
            <v>826172</v>
          </cell>
          <cell r="B806" t="str">
            <v>FRANGO GRILLER 1200G CONG AL-NOOR EAU</v>
          </cell>
          <cell r="C806">
            <v>2.8239999999999998</v>
          </cell>
          <cell r="D806">
            <v>2.8239999999999998</v>
          </cell>
          <cell r="E806">
            <v>-0.76600000000000001</v>
          </cell>
          <cell r="F806">
            <v>-6.700000000000006E-2</v>
          </cell>
        </row>
        <row r="807">
          <cell r="A807">
            <v>826173</v>
          </cell>
          <cell r="B807" t="str">
            <v>FRANGO GRILLER 1300G CONG AL-NOOR EAU</v>
          </cell>
          <cell r="C807">
            <v>2.8239999999999998</v>
          </cell>
          <cell r="D807">
            <v>2.8239999999999998</v>
          </cell>
          <cell r="E807">
            <v>-0.76600000000000001</v>
          </cell>
          <cell r="F807">
            <v>-6.7000000000000004E-2</v>
          </cell>
        </row>
        <row r="808">
          <cell r="A808">
            <v>826174</v>
          </cell>
          <cell r="B808" t="str">
            <v>FRANGO GRILLER 1400G CONG AL-NOOR EAU</v>
          </cell>
          <cell r="C808">
            <v>2.8239999999999998</v>
          </cell>
          <cell r="D808">
            <v>2.8239999999999998</v>
          </cell>
          <cell r="E808">
            <v>-0.76600000000000001</v>
          </cell>
          <cell r="F808">
            <v>-6.7000000000000004E-2</v>
          </cell>
        </row>
        <row r="809">
          <cell r="A809">
            <v>826175</v>
          </cell>
          <cell r="B809" t="str">
            <v>FRANGO GRILLER 1500G CONG AL-NOOR EAU</v>
          </cell>
          <cell r="C809">
            <v>2.8250000000000002</v>
          </cell>
          <cell r="D809">
            <v>2.8250000000000002</v>
          </cell>
          <cell r="E809">
            <v>-1.377</v>
          </cell>
          <cell r="F809">
            <v>-6.1999999999999986E-2</v>
          </cell>
        </row>
        <row r="810">
          <cell r="A810">
            <v>826233</v>
          </cell>
          <cell r="B810" t="str">
            <v>ASA INT FGO CONG 120-150G WFCK113 H.KO</v>
          </cell>
          <cell r="C810">
            <v>1.3120000000000001</v>
          </cell>
          <cell r="D810">
            <v>1.3120000000000001</v>
          </cell>
          <cell r="E810">
            <v>-9.9000000000000005E-2</v>
          </cell>
          <cell r="F810">
            <v>-3.4000000000000016E-2</v>
          </cell>
        </row>
        <row r="811">
          <cell r="A811">
            <v>826234</v>
          </cell>
          <cell r="B811" t="str">
            <v>FIGADO FGO CONG BD 450G AL-NOOR KUWAIT</v>
          </cell>
          <cell r="C811">
            <v>2.6469999999999998</v>
          </cell>
          <cell r="D811">
            <v>2.6469999999999998</v>
          </cell>
          <cell r="E811">
            <v>-0.75800000000000001</v>
          </cell>
          <cell r="F811">
            <v>-6.1999999999999944E-2</v>
          </cell>
        </row>
        <row r="812">
          <cell r="A812">
            <v>826235</v>
          </cell>
          <cell r="B812" t="str">
            <v>MOELA FGO CONG BD 450G AL-NOOR KUWAIT</v>
          </cell>
          <cell r="C812">
            <v>2.7829999999999999</v>
          </cell>
          <cell r="D812">
            <v>2.7829999999999999</v>
          </cell>
          <cell r="E812">
            <v>-0.75800000000000001</v>
          </cell>
          <cell r="F812">
            <v>-6.700000000000006E-2</v>
          </cell>
        </row>
        <row r="813">
          <cell r="A813">
            <v>826391</v>
          </cell>
          <cell r="B813" t="str">
            <v>ASA 2A JTA FGO CONG 30-40G WFCK114 H.KO</v>
          </cell>
          <cell r="C813">
            <v>4.1340000000000003</v>
          </cell>
          <cell r="D813">
            <v>4.1340000000000003</v>
          </cell>
          <cell r="E813">
            <v>-0.10100000000000001</v>
          </cell>
          <cell r="F813">
            <v>-0.10700000000000021</v>
          </cell>
        </row>
        <row r="814">
          <cell r="A814">
            <v>826444</v>
          </cell>
          <cell r="B814" t="str">
            <v>CARRE SUI CONG IWP 5PC PERD H.KONG</v>
          </cell>
          <cell r="C814">
            <v>3.4630000000000001</v>
          </cell>
          <cell r="D814">
            <v>3.4630000000000001</v>
          </cell>
          <cell r="E814">
            <v>-9.9000000000000005E-2</v>
          </cell>
          <cell r="F814">
            <v>-8.8999999999999968E-2</v>
          </cell>
        </row>
        <row r="815">
          <cell r="A815">
            <v>826445</v>
          </cell>
          <cell r="B815" t="str">
            <v>CARRE SUI CONG IWP 6PC PERD H.KONG</v>
          </cell>
          <cell r="C815">
            <v>3.4769999999999999</v>
          </cell>
          <cell r="D815">
            <v>3.4769999999999999</v>
          </cell>
          <cell r="E815">
            <v>-9.9000000000000005E-2</v>
          </cell>
          <cell r="F815">
            <v>-8.8999999999999968E-2</v>
          </cell>
        </row>
        <row r="816">
          <cell r="A816">
            <v>826446</v>
          </cell>
          <cell r="B816" t="str">
            <v>CARRE SUI CONG IWP 7PC PERD H.KONG</v>
          </cell>
          <cell r="C816">
            <v>3.1739999999999999</v>
          </cell>
          <cell r="D816">
            <v>3.1739999999999999</v>
          </cell>
          <cell r="E816">
            <v>-0.10100000000000001</v>
          </cell>
          <cell r="F816">
            <v>-8.2000000000000017E-2</v>
          </cell>
        </row>
        <row r="817">
          <cell r="A817">
            <v>826449</v>
          </cell>
          <cell r="B817" t="str">
            <v>RIM SUI CONG ITF PERD H.KONG</v>
          </cell>
          <cell r="C817">
            <v>0.54900000000000004</v>
          </cell>
          <cell r="D817">
            <v>0.54900000000000004</v>
          </cell>
          <cell r="E817">
            <v>-0.10100000000000001</v>
          </cell>
          <cell r="F817">
            <v>-1.4000000000000012E-2</v>
          </cell>
        </row>
        <row r="818">
          <cell r="A818">
            <v>826483</v>
          </cell>
          <cell r="B818" t="str">
            <v>PEITO S/OPFC FGO CONG MET 140G/UP SALM</v>
          </cell>
          <cell r="C818">
            <v>5.5339999999999998</v>
          </cell>
          <cell r="D818">
            <v>5.5339999999999998</v>
          </cell>
          <cell r="E818">
            <v>-0.48199999999999998</v>
          </cell>
          <cell r="F818">
            <v>-0.13900000000000023</v>
          </cell>
        </row>
        <row r="819">
          <cell r="A819">
            <v>826505</v>
          </cell>
          <cell r="B819" t="str">
            <v>PE FGO S/CANELA CONG 15G/UP BAT H.KONG</v>
          </cell>
          <cell r="C819">
            <v>0.97599999999999998</v>
          </cell>
          <cell r="D819">
            <v>0.97599999999999998</v>
          </cell>
          <cell r="E819">
            <v>-0.56499999999999995</v>
          </cell>
          <cell r="F819">
            <v>-2.0999999999999991E-2</v>
          </cell>
        </row>
        <row r="820">
          <cell r="A820">
            <v>826631</v>
          </cell>
          <cell r="B820" t="str">
            <v>BISTECA SUI CONG TEMP BD 454G PERD H.K</v>
          </cell>
          <cell r="C820">
            <v>3.9390000000000001</v>
          </cell>
          <cell r="D820">
            <v>3.9390000000000001</v>
          </cell>
          <cell r="E820">
            <v>-0.10100000000000001</v>
          </cell>
          <cell r="F820">
            <v>-0.10199999999999998</v>
          </cell>
        </row>
        <row r="821">
          <cell r="A821">
            <v>826755</v>
          </cell>
          <cell r="B821" t="str">
            <v>FRANGO GRILLER 1200G CONG PERD FILIPINAS</v>
          </cell>
          <cell r="C821">
            <v>1.952</v>
          </cell>
          <cell r="D821">
            <v>1.952</v>
          </cell>
          <cell r="E821">
            <v>-0.61</v>
          </cell>
          <cell r="F821">
            <v>-4.6000000000000006E-2</v>
          </cell>
        </row>
        <row r="822">
          <cell r="A822">
            <v>826756</v>
          </cell>
          <cell r="B822" t="str">
            <v>FRANGO GRILLER 1300G CONG PERD FILIPINAS</v>
          </cell>
          <cell r="C822">
            <v>1.952</v>
          </cell>
          <cell r="D822">
            <v>1.952</v>
          </cell>
          <cell r="E822">
            <v>-0.61</v>
          </cell>
          <cell r="F822">
            <v>-4.6999999999999993E-2</v>
          </cell>
        </row>
        <row r="823">
          <cell r="A823">
            <v>826764</v>
          </cell>
          <cell r="B823" t="str">
            <v>FRANGO GRILLER 1400G CONG PERD FILIPINAS</v>
          </cell>
          <cell r="C823">
            <v>1.952</v>
          </cell>
          <cell r="D823">
            <v>1.952</v>
          </cell>
          <cell r="E823">
            <v>-0.61</v>
          </cell>
          <cell r="F823">
            <v>-4.5999999999999999E-2</v>
          </cell>
        </row>
        <row r="824">
          <cell r="A824">
            <v>826765</v>
          </cell>
          <cell r="B824" t="str">
            <v>FRANGO GRILLER 1500G CONG PERD FILIPINAS</v>
          </cell>
          <cell r="C824">
            <v>1.952</v>
          </cell>
          <cell r="D824">
            <v>1.952</v>
          </cell>
          <cell r="E824">
            <v>-0.61</v>
          </cell>
          <cell r="F824">
            <v>-4.5999999999999999E-2</v>
          </cell>
        </row>
        <row r="825">
          <cell r="A825">
            <v>826769</v>
          </cell>
          <cell r="B825" t="str">
            <v>FRANGO GRILLER 700G CONG HALAL OMAN</v>
          </cell>
          <cell r="C825">
            <v>2.802</v>
          </cell>
          <cell r="D825">
            <v>2.802</v>
          </cell>
          <cell r="E825">
            <v>-0.70099999999999996</v>
          </cell>
          <cell r="F825">
            <v>-6.800000000000006E-2</v>
          </cell>
        </row>
        <row r="826">
          <cell r="A826">
            <v>826770</v>
          </cell>
          <cell r="B826" t="str">
            <v>FRANGO GRILLER 800G CONG HALAL OMAN</v>
          </cell>
          <cell r="C826">
            <v>2.802</v>
          </cell>
          <cell r="D826">
            <v>2.802</v>
          </cell>
          <cell r="E826">
            <v>-0.70099999999999996</v>
          </cell>
          <cell r="F826">
            <v>-6.700000000000006E-2</v>
          </cell>
        </row>
        <row r="827">
          <cell r="A827">
            <v>826960</v>
          </cell>
          <cell r="B827" t="str">
            <v>ASA INT FGO CONG 40G/UP ITF BAT H.KONG</v>
          </cell>
          <cell r="C827">
            <v>1.925</v>
          </cell>
          <cell r="D827">
            <v>1.925</v>
          </cell>
          <cell r="E827">
            <v>-0.54700000000000004</v>
          </cell>
          <cell r="F827">
            <v>-4.4999999999999998E-2</v>
          </cell>
        </row>
        <row r="828">
          <cell r="A828">
            <v>826982</v>
          </cell>
          <cell r="B828" t="str">
            <v>COXA SOB C/OP FGO CONG 120-140G ITF H.</v>
          </cell>
          <cell r="C828">
            <v>2.3820000000000001</v>
          </cell>
          <cell r="D828">
            <v>2.3820000000000001</v>
          </cell>
          <cell r="E828">
            <v>-0.57599999999999996</v>
          </cell>
          <cell r="F828">
            <v>-5.7000000000000009E-2</v>
          </cell>
        </row>
        <row r="829">
          <cell r="A829">
            <v>826983</v>
          </cell>
          <cell r="B829" t="str">
            <v>COXA SOB C/OP FGO CONG 140-160G ITF H.</v>
          </cell>
          <cell r="C829">
            <v>2.3679999999999999</v>
          </cell>
          <cell r="D829">
            <v>2.3679999999999999</v>
          </cell>
          <cell r="E829">
            <v>-0.56799999999999995</v>
          </cell>
          <cell r="F829">
            <v>-5.6999999999999995E-2</v>
          </cell>
        </row>
        <row r="830">
          <cell r="A830">
            <v>826984</v>
          </cell>
          <cell r="B830" t="str">
            <v>COXA SOB C/OP FGO CONG 160-180G ITF H.</v>
          </cell>
          <cell r="C830">
            <v>2.3620000000000001</v>
          </cell>
          <cell r="D830">
            <v>2.3620000000000001</v>
          </cell>
          <cell r="E830">
            <v>-0.56399999999999995</v>
          </cell>
          <cell r="F830">
            <v>-5.7000000000000023E-2</v>
          </cell>
        </row>
        <row r="831">
          <cell r="A831">
            <v>826985</v>
          </cell>
          <cell r="B831" t="str">
            <v>COXA SOB C/OP FGO CONG 180-200G ITF H.</v>
          </cell>
          <cell r="C831">
            <v>2.3719999999999999</v>
          </cell>
          <cell r="D831">
            <v>2.3719999999999999</v>
          </cell>
          <cell r="E831">
            <v>-0.56999999999999995</v>
          </cell>
          <cell r="F831">
            <v>-5.6999999999999995E-2</v>
          </cell>
        </row>
        <row r="832">
          <cell r="A832">
            <v>827047</v>
          </cell>
          <cell r="B832" t="str">
            <v>PEITO S/OPC C/F PERU CONG MET 1200-250</v>
          </cell>
          <cell r="C832">
            <v>6.359</v>
          </cell>
          <cell r="D832">
            <v>6.359</v>
          </cell>
          <cell r="E832">
            <v>-0.41</v>
          </cell>
          <cell r="F832">
            <v>-0.16199999999999992</v>
          </cell>
        </row>
        <row r="833">
          <cell r="A833">
            <v>827062</v>
          </cell>
          <cell r="B833" t="str">
            <v>PEITO S/OPC C/F PERU CONG MET 1200-250</v>
          </cell>
          <cell r="C833">
            <v>6.35</v>
          </cell>
          <cell r="D833">
            <v>6.35</v>
          </cell>
          <cell r="E833">
            <v>-0.41099999999999998</v>
          </cell>
          <cell r="F833">
            <v>-0.16099999999999981</v>
          </cell>
        </row>
        <row r="834">
          <cell r="A834">
            <v>827093</v>
          </cell>
          <cell r="B834" t="str">
            <v>COXA SOB SO CP FGO CONG 200-300G WFCK116</v>
          </cell>
          <cell r="C834">
            <v>3.2250000000000001</v>
          </cell>
          <cell r="D834">
            <v>3.2250000000000001</v>
          </cell>
          <cell r="E834">
            <v>-9.9000000000000005E-2</v>
          </cell>
          <cell r="F834">
            <v>-8.2999999999999963E-2</v>
          </cell>
        </row>
        <row r="835">
          <cell r="A835">
            <v>827124</v>
          </cell>
          <cell r="B835" t="str">
            <v>CARCACA SUI CONG MET IWP PERD RUSSIA</v>
          </cell>
          <cell r="C835">
            <v>3.37</v>
          </cell>
          <cell r="D835">
            <v>3.37</v>
          </cell>
          <cell r="E835">
            <v>-0.53200000000000003</v>
          </cell>
          <cell r="F835">
            <v>-8.2999999999999963E-2</v>
          </cell>
        </row>
        <row r="836">
          <cell r="A836">
            <v>827387</v>
          </cell>
          <cell r="B836" t="str">
            <v>CARTILAGEM PEITO FGO CONG PERD (DIREX)JA</v>
          </cell>
          <cell r="C836">
            <v>5.9909999999999997</v>
          </cell>
          <cell r="D836">
            <v>5.9909999999999997</v>
          </cell>
          <cell r="E836">
            <v>-0.65500000000000003</v>
          </cell>
          <cell r="F836">
            <v>-0.15</v>
          </cell>
        </row>
        <row r="837">
          <cell r="A837">
            <v>827425</v>
          </cell>
          <cell r="B837" t="str">
            <v>PEITO S/OPFC FGO CONG CUB 25MM TAMB HO</v>
          </cell>
          <cell r="C837">
            <v>8.5589999999999993</v>
          </cell>
          <cell r="D837">
            <v>8.5589999999999993</v>
          </cell>
          <cell r="E837">
            <v>-0.46600000000000003</v>
          </cell>
          <cell r="F837">
            <v>-0.21799999999999997</v>
          </cell>
        </row>
        <row r="838">
          <cell r="A838">
            <v>827496</v>
          </cell>
          <cell r="B838" t="str">
            <v>CODORNA CONG BD 1KG PERD EAU</v>
          </cell>
          <cell r="C838">
            <v>6.2089999999999996</v>
          </cell>
          <cell r="D838">
            <v>6.2089999999999996</v>
          </cell>
          <cell r="E838">
            <v>-0.68100000000000005</v>
          </cell>
          <cell r="F838">
            <v>-0.15599999999999992</v>
          </cell>
        </row>
        <row r="839">
          <cell r="A839">
            <v>827498</v>
          </cell>
          <cell r="B839" t="str">
            <v>INTESTINO SUI CONG ITF BAT H.KONG</v>
          </cell>
          <cell r="C839">
            <v>2.681</v>
          </cell>
          <cell r="D839">
            <v>2.681</v>
          </cell>
          <cell r="E839">
            <v>-0.55900000000000005</v>
          </cell>
          <cell r="F839">
            <v>-6.4999999999999947E-2</v>
          </cell>
        </row>
        <row r="840">
          <cell r="A840">
            <v>827499</v>
          </cell>
          <cell r="B840" t="str">
            <v>LINGUA SUI CONG ITF BAT H.KONG</v>
          </cell>
          <cell r="C840">
            <v>2.6760000000000002</v>
          </cell>
          <cell r="D840">
            <v>2.6760000000000002</v>
          </cell>
          <cell r="E840">
            <v>-0.55900000000000005</v>
          </cell>
          <cell r="F840">
            <v>-6.5000000000000002E-2</v>
          </cell>
        </row>
        <row r="841">
          <cell r="A841">
            <v>827893</v>
          </cell>
          <cell r="B841" t="str">
            <v>ASA INT FGO CONG 60G/UP ITF BAT H.KONG</v>
          </cell>
          <cell r="C841">
            <v>1.9410000000000001</v>
          </cell>
          <cell r="D841">
            <v>1.9410000000000001</v>
          </cell>
          <cell r="E841">
            <v>-0.56299999999999994</v>
          </cell>
          <cell r="F841">
            <v>-4.5999999999999999E-2</v>
          </cell>
        </row>
        <row r="842">
          <cell r="A842">
            <v>827960</v>
          </cell>
          <cell r="B842" t="str">
            <v>TESTICULO PERUCONG PT 1KG BAT H.KONG</v>
          </cell>
          <cell r="C842">
            <v>13.336</v>
          </cell>
          <cell r="D842">
            <v>13.336</v>
          </cell>
          <cell r="E842">
            <v>-0.55900000000000005</v>
          </cell>
          <cell r="F842">
            <v>-0.34</v>
          </cell>
        </row>
        <row r="843">
          <cell r="A843">
            <v>828050</v>
          </cell>
          <cell r="B843" t="str">
            <v>ASA INT FGO CONG 100G/UP ITF PERD CARIBE</v>
          </cell>
          <cell r="C843">
            <v>1.9039999999999999</v>
          </cell>
          <cell r="D843">
            <v>1.9039999999999999</v>
          </cell>
          <cell r="E843">
            <v>-9.6000000000000002E-2</v>
          </cell>
          <cell r="F843">
            <v>-4.8999999999999988E-2</v>
          </cell>
        </row>
        <row r="844">
          <cell r="A844">
            <v>828070</v>
          </cell>
          <cell r="B844" t="str">
            <v>FRANGO DES S/ASA/SAMB CONG PT 2,5KG OM</v>
          </cell>
          <cell r="C844">
            <v>4.4790000000000001</v>
          </cell>
          <cell r="D844">
            <v>4.4790000000000001</v>
          </cell>
          <cell r="E844">
            <v>-0.79800000000000004</v>
          </cell>
          <cell r="F844">
            <v>-0.11099999999999999</v>
          </cell>
        </row>
        <row r="845">
          <cell r="A845">
            <v>828344</v>
          </cell>
          <cell r="B845" t="str">
            <v>FRANGO GRILLER 700G CONG PERD JAPAO</v>
          </cell>
          <cell r="C845">
            <v>3.4740000000000002</v>
          </cell>
          <cell r="D845">
            <v>3.4740000000000002</v>
          </cell>
          <cell r="E845">
            <v>-0.64</v>
          </cell>
          <cell r="F845">
            <v>-8.6000000000000076E-2</v>
          </cell>
        </row>
        <row r="846">
          <cell r="A846">
            <v>828402</v>
          </cell>
          <cell r="B846" t="str">
            <v>FRANGO GRILLER 1150G CONG PERD JAPAO</v>
          </cell>
          <cell r="C846">
            <v>3.4740000000000002</v>
          </cell>
          <cell r="D846">
            <v>3.4740000000000002</v>
          </cell>
          <cell r="E846">
            <v>-0.65900000000000003</v>
          </cell>
          <cell r="F846">
            <v>-8.5000000000000187E-2</v>
          </cell>
        </row>
        <row r="847">
          <cell r="A847">
            <v>828553</v>
          </cell>
          <cell r="B847" t="str">
            <v>COXA SOB C/OP FGO CONG 280-300G WFCK11</v>
          </cell>
          <cell r="C847">
            <v>1.879</v>
          </cell>
          <cell r="D847">
            <v>1.879</v>
          </cell>
          <cell r="E847">
            <v>-0.1</v>
          </cell>
          <cell r="F847">
            <v>-4.7999999999999987E-2</v>
          </cell>
        </row>
        <row r="848">
          <cell r="A848">
            <v>828554</v>
          </cell>
          <cell r="B848" t="str">
            <v>COXA SOB C/OP FGO CONG 300-360G WFCK11</v>
          </cell>
          <cell r="C848">
            <v>1.879</v>
          </cell>
          <cell r="D848">
            <v>1.879</v>
          </cell>
          <cell r="E848">
            <v>-0.1</v>
          </cell>
          <cell r="F848">
            <v>-4.9000000000000016E-2</v>
          </cell>
        </row>
        <row r="849">
          <cell r="A849">
            <v>828590</v>
          </cell>
          <cell r="B849" t="str">
            <v>MOELA PERU CONG 90-150G BUT BAT H.KONG</v>
          </cell>
          <cell r="C849">
            <v>1.8740000000000001</v>
          </cell>
          <cell r="D849">
            <v>1.8740000000000001</v>
          </cell>
          <cell r="E849">
            <v>-0.55800000000000005</v>
          </cell>
          <cell r="F849">
            <v>-4.4999999999999998E-2</v>
          </cell>
        </row>
        <row r="850">
          <cell r="A850">
            <v>828591</v>
          </cell>
          <cell r="B850" t="str">
            <v>MOELA PERU CONG 40-90G BUT BAT H.KONG</v>
          </cell>
          <cell r="C850">
            <v>1.8740000000000001</v>
          </cell>
          <cell r="D850">
            <v>1.8740000000000001</v>
          </cell>
          <cell r="E850">
            <v>-0.55800000000000005</v>
          </cell>
          <cell r="F850">
            <v>-4.3999999999999984E-2</v>
          </cell>
        </row>
        <row r="851">
          <cell r="A851">
            <v>828610</v>
          </cell>
          <cell r="B851" t="str">
            <v>CODORNA CONG BD 1KG HALAL QATAR</v>
          </cell>
          <cell r="C851">
            <v>6.242</v>
          </cell>
          <cell r="D851">
            <v>6.242</v>
          </cell>
          <cell r="E851">
            <v>-0.88600000000000001</v>
          </cell>
          <cell r="F851">
            <v>-0.15599999999999992</v>
          </cell>
        </row>
        <row r="852">
          <cell r="A852">
            <v>828802</v>
          </cell>
          <cell r="B852" t="str">
            <v>FRANGO GRILLER 800G CONG PERD JAPAO</v>
          </cell>
          <cell r="C852">
            <v>3.4740000000000002</v>
          </cell>
          <cell r="D852">
            <v>3.4740000000000002</v>
          </cell>
          <cell r="E852">
            <v>-0.64900000000000002</v>
          </cell>
          <cell r="F852">
            <v>-8.6000000000000076E-2</v>
          </cell>
        </row>
        <row r="853">
          <cell r="A853">
            <v>828803</v>
          </cell>
          <cell r="B853" t="str">
            <v>FRANGO GRILLER 850G CONG PERD JAPAO</v>
          </cell>
          <cell r="C853">
            <v>3.5139999999999998</v>
          </cell>
          <cell r="D853">
            <v>3.5139999999999998</v>
          </cell>
          <cell r="E853">
            <v>-0.65600000000000003</v>
          </cell>
          <cell r="F853">
            <v>-8.5999999999999854E-2</v>
          </cell>
        </row>
        <row r="854">
          <cell r="A854">
            <v>828944</v>
          </cell>
          <cell r="B854" t="str">
            <v>FRANGO GRILLER 900G CONG AL-NOOR QATAR</v>
          </cell>
          <cell r="C854">
            <v>2.7959999999999998</v>
          </cell>
          <cell r="D854">
            <v>2.7959999999999998</v>
          </cell>
          <cell r="E854">
            <v>-0.67900000000000005</v>
          </cell>
          <cell r="F854">
            <v>-6.700000000000006E-2</v>
          </cell>
        </row>
        <row r="855">
          <cell r="A855">
            <v>828945</v>
          </cell>
          <cell r="B855" t="str">
            <v>FRANGO GRILLER 1000G CONG AL-NOOR QATAR</v>
          </cell>
          <cell r="C855">
            <v>2.7959999999999998</v>
          </cell>
          <cell r="D855">
            <v>2.7959999999999998</v>
          </cell>
          <cell r="E855">
            <v>-0.67900000000000005</v>
          </cell>
          <cell r="F855">
            <v>-6.700000000000006E-2</v>
          </cell>
        </row>
        <row r="856">
          <cell r="A856">
            <v>828946</v>
          </cell>
          <cell r="B856" t="str">
            <v>FRANGO GRILLER 1100G CONG AL-NOOR QATAR</v>
          </cell>
          <cell r="C856">
            <v>2.7959999999999998</v>
          </cell>
          <cell r="D856">
            <v>2.7959999999999998</v>
          </cell>
          <cell r="E856">
            <v>-0.67900000000000005</v>
          </cell>
          <cell r="F856">
            <v>-6.7999999999999949E-2</v>
          </cell>
        </row>
        <row r="857">
          <cell r="A857">
            <v>828947</v>
          </cell>
          <cell r="B857" t="str">
            <v>FRANGO GRILLER 1200G CONG AL-NOOR QATAR</v>
          </cell>
          <cell r="C857">
            <v>2.7959999999999998</v>
          </cell>
          <cell r="D857">
            <v>2.7959999999999998</v>
          </cell>
          <cell r="E857">
            <v>-0.67900000000000005</v>
          </cell>
          <cell r="F857">
            <v>-6.800000000000006E-2</v>
          </cell>
        </row>
        <row r="858">
          <cell r="A858">
            <v>828948</v>
          </cell>
          <cell r="B858" t="str">
            <v>FRANGO GRILLER 1300G CONG AL-NOOR QATAR</v>
          </cell>
          <cell r="C858">
            <v>2.7959999999999998</v>
          </cell>
          <cell r="D858">
            <v>2.7959999999999998</v>
          </cell>
          <cell r="E858">
            <v>-0.67900000000000005</v>
          </cell>
          <cell r="F858">
            <v>-6.6999999999999948E-2</v>
          </cell>
        </row>
        <row r="859">
          <cell r="A859">
            <v>828952</v>
          </cell>
          <cell r="B859" t="str">
            <v>FRANGO GRILLER 800G CONG AL-NOOR OMAN</v>
          </cell>
          <cell r="C859">
            <v>2.8260000000000001</v>
          </cell>
          <cell r="D859">
            <v>2.8260000000000001</v>
          </cell>
          <cell r="E859">
            <v>-0.70899999999999996</v>
          </cell>
          <cell r="F859">
            <v>-6.800000000000006E-2</v>
          </cell>
        </row>
        <row r="860">
          <cell r="A860">
            <v>828953</v>
          </cell>
          <cell r="B860" t="str">
            <v>FRANGO GRILLER 900G CONG AL-NOOR OMAN</v>
          </cell>
          <cell r="C860">
            <v>2.8250000000000002</v>
          </cell>
          <cell r="D860">
            <v>2.8250000000000002</v>
          </cell>
          <cell r="E860">
            <v>-0.69599999999999995</v>
          </cell>
          <cell r="F860">
            <v>-6.7999999999999949E-2</v>
          </cell>
        </row>
        <row r="861">
          <cell r="A861">
            <v>828954</v>
          </cell>
          <cell r="B861" t="str">
            <v>FRANGO GRILLER 1000G CONG AL-NOOR OMAN</v>
          </cell>
          <cell r="C861">
            <v>2.8290000000000002</v>
          </cell>
          <cell r="D861">
            <v>2.8290000000000002</v>
          </cell>
          <cell r="E861">
            <v>-0.80100000000000005</v>
          </cell>
          <cell r="F861">
            <v>-6.7999999999999949E-2</v>
          </cell>
        </row>
        <row r="862">
          <cell r="A862">
            <v>828955</v>
          </cell>
          <cell r="B862" t="str">
            <v>FRANGO GRILLER 1100G CONG AL-NOOR OMAN</v>
          </cell>
          <cell r="C862">
            <v>2.8180000000000001</v>
          </cell>
          <cell r="D862">
            <v>2.8180000000000001</v>
          </cell>
          <cell r="E862">
            <v>-0.97399999999999998</v>
          </cell>
          <cell r="F862">
            <v>-6.5000000000000002E-2</v>
          </cell>
        </row>
        <row r="863">
          <cell r="A863">
            <v>828956</v>
          </cell>
          <cell r="B863" t="str">
            <v>FRANGO GRILLER 1200G CONG AL-NOOR OMAN</v>
          </cell>
          <cell r="C863">
            <v>2.823</v>
          </cell>
          <cell r="D863">
            <v>2.823</v>
          </cell>
          <cell r="E863">
            <v>-0.91900000000000004</v>
          </cell>
          <cell r="F863">
            <v>-6.6000000000000003E-2</v>
          </cell>
        </row>
        <row r="864">
          <cell r="A864">
            <v>828957</v>
          </cell>
          <cell r="B864" t="str">
            <v>FRANGO GRILLER 1300G CONG AL-NOOR OMAN</v>
          </cell>
          <cell r="C864">
            <v>2.8220000000000001</v>
          </cell>
          <cell r="D864">
            <v>2.8220000000000001</v>
          </cell>
          <cell r="E864">
            <v>-0.93200000000000005</v>
          </cell>
          <cell r="F864">
            <v>-6.6000000000000003E-2</v>
          </cell>
        </row>
        <row r="865">
          <cell r="A865">
            <v>828958</v>
          </cell>
          <cell r="B865" t="str">
            <v>FRANGO GRILLER 1400G CONG AL-NOOR OMAN</v>
          </cell>
          <cell r="C865">
            <v>2.8170000000000002</v>
          </cell>
          <cell r="D865">
            <v>2.8170000000000002</v>
          </cell>
          <cell r="E865">
            <v>-0.97799999999999998</v>
          </cell>
          <cell r="F865">
            <v>-6.5000000000000002E-2</v>
          </cell>
        </row>
        <row r="866">
          <cell r="A866">
            <v>828959</v>
          </cell>
          <cell r="B866" t="str">
            <v>FRANGO GRILLER 1500G CONG AL-NOOR OMAN</v>
          </cell>
          <cell r="C866">
            <v>2.8119999999999998</v>
          </cell>
          <cell r="D866">
            <v>2.8119999999999998</v>
          </cell>
          <cell r="E866">
            <v>-1.0640000000000001</v>
          </cell>
          <cell r="F866">
            <v>-6.5000000000000002E-2</v>
          </cell>
        </row>
        <row r="867">
          <cell r="A867">
            <v>828985</v>
          </cell>
          <cell r="B867" t="str">
            <v>COXA SOB SO CP FGO CONG 200-300G H.KONG</v>
          </cell>
          <cell r="C867">
            <v>3.1339999999999999</v>
          </cell>
          <cell r="D867">
            <v>3.1339999999999999</v>
          </cell>
          <cell r="E867">
            <v>-0.1</v>
          </cell>
          <cell r="F867">
            <v>-8.0999999999999961E-2</v>
          </cell>
        </row>
        <row r="868">
          <cell r="A868">
            <v>828986</v>
          </cell>
          <cell r="B868" t="str">
            <v>ASA INT FGO CONG GRAU B WFCK119 H.KONG</v>
          </cell>
          <cell r="C868">
            <v>0.82499999999999996</v>
          </cell>
          <cell r="D868">
            <v>0.82499999999999996</v>
          </cell>
          <cell r="E868">
            <v>-0.10100000000000001</v>
          </cell>
          <cell r="F868">
            <v>-2.1999999999999992E-2</v>
          </cell>
        </row>
        <row r="869">
          <cell r="A869">
            <v>829046</v>
          </cell>
          <cell r="B869" t="str">
            <v>PEITO S/OPFC FGO CONG MET 80-130G PERD H</v>
          </cell>
          <cell r="C869">
            <v>6.1859999999999999</v>
          </cell>
          <cell r="D869">
            <v>6.1859999999999999</v>
          </cell>
          <cell r="E869">
            <v>-0.41099999999999998</v>
          </cell>
          <cell r="F869">
            <v>-0.15700000000000003</v>
          </cell>
        </row>
        <row r="870">
          <cell r="A870">
            <v>829094</v>
          </cell>
          <cell r="B870" t="str">
            <v>PERU INT S/M S/TEMP CONG 3,5-4KG BAT JA</v>
          </cell>
          <cell r="C870">
            <v>4.875</v>
          </cell>
          <cell r="D870">
            <v>4.875</v>
          </cell>
          <cell r="E870">
            <v>-0.623</v>
          </cell>
          <cell r="F870">
            <v>-0.121</v>
          </cell>
        </row>
        <row r="871">
          <cell r="A871">
            <v>829204</v>
          </cell>
          <cell r="B871" t="str">
            <v>PEITO S/OPFC FGO CONG MET 90G TAMB ING</v>
          </cell>
          <cell r="C871">
            <v>8.1620000000000008</v>
          </cell>
          <cell r="D871">
            <v>8.1620000000000008</v>
          </cell>
          <cell r="E871">
            <v>-0.54700000000000004</v>
          </cell>
          <cell r="F871">
            <v>-0.20700000000000029</v>
          </cell>
        </row>
        <row r="872">
          <cell r="A872">
            <v>829419</v>
          </cell>
          <cell r="B872" t="str">
            <v>PEITO S/OPFC FGO CONG MET DESC REP.TCH</v>
          </cell>
          <cell r="C872">
            <v>4.944</v>
          </cell>
          <cell r="D872">
            <v>4.944</v>
          </cell>
          <cell r="E872">
            <v>-0.59799999999999998</v>
          </cell>
          <cell r="F872">
            <v>-0.12399999999999989</v>
          </cell>
        </row>
        <row r="873">
          <cell r="A873">
            <v>829499</v>
          </cell>
          <cell r="B873" t="str">
            <v>UTERO SUI CONG CRU ITF BAT H.KONG</v>
          </cell>
          <cell r="C873">
            <v>2.8</v>
          </cell>
          <cell r="D873">
            <v>2.8</v>
          </cell>
          <cell r="E873">
            <v>-0.58499999999999996</v>
          </cell>
          <cell r="F873">
            <v>-6.899999999999995E-2</v>
          </cell>
        </row>
        <row r="874">
          <cell r="A874">
            <v>829507</v>
          </cell>
          <cell r="B874" t="str">
            <v>PEITO S/OPFC FGO CONG TAMB CAJUN PER ING</v>
          </cell>
          <cell r="C874">
            <v>7.875</v>
          </cell>
          <cell r="D874">
            <v>7.875</v>
          </cell>
          <cell r="E874">
            <v>-0.56200000000000006</v>
          </cell>
          <cell r="F874">
            <v>-0.19899999999999984</v>
          </cell>
        </row>
        <row r="875">
          <cell r="A875">
            <v>829508</v>
          </cell>
          <cell r="B875" t="str">
            <v>PEITO S/OPFC FGO CONG TAMB PLAIN PERD IN</v>
          </cell>
          <cell r="C875">
            <v>7.8769999999999998</v>
          </cell>
          <cell r="D875">
            <v>7.8769999999999998</v>
          </cell>
          <cell r="E875">
            <v>-0.56200000000000006</v>
          </cell>
          <cell r="F875">
            <v>-0.19899999999999984</v>
          </cell>
        </row>
        <row r="876">
          <cell r="A876">
            <v>829549</v>
          </cell>
          <cell r="B876" t="str">
            <v>COXA SOB C/OP FGO CONG 340G/UP CC JAPA</v>
          </cell>
          <cell r="C876">
            <v>2.2410000000000001</v>
          </cell>
          <cell r="D876">
            <v>2.2410000000000001</v>
          </cell>
          <cell r="E876">
            <v>-0.16</v>
          </cell>
          <cell r="F876">
            <v>-5.7000000000000051E-2</v>
          </cell>
        </row>
        <row r="877">
          <cell r="A877">
            <v>829578</v>
          </cell>
          <cell r="B877" t="str">
            <v>FRANGO GRILLER 1800G CONG HALAL OMAN</v>
          </cell>
          <cell r="C877">
            <v>2.7959999999999998</v>
          </cell>
          <cell r="D877">
            <v>2.7959999999999998</v>
          </cell>
          <cell r="E877">
            <v>-0.69299999999999995</v>
          </cell>
          <cell r="F877">
            <v>-6.7999999999999949E-2</v>
          </cell>
        </row>
        <row r="878">
          <cell r="A878">
            <v>829579</v>
          </cell>
          <cell r="B878" t="str">
            <v>FRANGO GRILLER 1900G CONG HALAL OMAN</v>
          </cell>
          <cell r="C878">
            <v>2.7959999999999998</v>
          </cell>
          <cell r="D878">
            <v>2.7959999999999998</v>
          </cell>
          <cell r="E878">
            <v>-0.69299999999999995</v>
          </cell>
          <cell r="F878">
            <v>-6.700000000000006E-2</v>
          </cell>
        </row>
        <row r="879">
          <cell r="A879">
            <v>829580</v>
          </cell>
          <cell r="B879" t="str">
            <v>FRANGO GRILLER 2000G CONG HALAL OMAN</v>
          </cell>
          <cell r="C879">
            <v>2.7959999999999998</v>
          </cell>
          <cell r="D879">
            <v>2.7959999999999998</v>
          </cell>
          <cell r="E879">
            <v>-0.69299999999999995</v>
          </cell>
          <cell r="F879">
            <v>-6.800000000000006E-2</v>
          </cell>
        </row>
        <row r="880">
          <cell r="A880">
            <v>829588</v>
          </cell>
          <cell r="B880" t="str">
            <v>FIGADO FGO CONG BL 13KG PERD FRANCA</v>
          </cell>
          <cell r="C880">
            <v>1.1910000000000001</v>
          </cell>
          <cell r="D880">
            <v>1.1910000000000001</v>
          </cell>
          <cell r="E880">
            <v>-0.33500000000000002</v>
          </cell>
          <cell r="F880">
            <v>-2.8000000000000025E-2</v>
          </cell>
        </row>
        <row r="881">
          <cell r="A881">
            <v>829875</v>
          </cell>
          <cell r="B881" t="str">
            <v>FRANGO GRILLER 900G CONG HALAL A.SAUD</v>
          </cell>
          <cell r="C881">
            <v>2.9369999999999998</v>
          </cell>
          <cell r="D881">
            <v>2.9369999999999998</v>
          </cell>
          <cell r="E881">
            <v>-0.57499999999999996</v>
          </cell>
          <cell r="F881">
            <v>-7.2000000000000064E-2</v>
          </cell>
        </row>
        <row r="882">
          <cell r="A882">
            <v>829876</v>
          </cell>
          <cell r="B882" t="str">
            <v>FRANGO GRILLER 950G CONG HALAL A.SAUD</v>
          </cell>
          <cell r="C882">
            <v>2.9940000000000002</v>
          </cell>
          <cell r="D882">
            <v>2.9940000000000002</v>
          </cell>
          <cell r="E882">
            <v>-0.58199999999999996</v>
          </cell>
          <cell r="F882">
            <v>-7.2999999999999954E-2</v>
          </cell>
        </row>
        <row r="883">
          <cell r="A883">
            <v>829877</v>
          </cell>
          <cell r="B883" t="str">
            <v>FRANGO GRILLER 1000G CONG HALAL A.SAUD</v>
          </cell>
          <cell r="C883">
            <v>2.9940000000000002</v>
          </cell>
          <cell r="D883">
            <v>2.9940000000000002</v>
          </cell>
          <cell r="E883">
            <v>-0.58199999999999996</v>
          </cell>
          <cell r="F883">
            <v>-7.3999999999999955E-2</v>
          </cell>
        </row>
        <row r="884">
          <cell r="A884">
            <v>829878</v>
          </cell>
          <cell r="B884" t="str">
            <v>FRANGO GRILLER 1050G CONG HALAL A.SAUD</v>
          </cell>
          <cell r="C884">
            <v>2.86</v>
          </cell>
          <cell r="D884">
            <v>2.86</v>
          </cell>
          <cell r="E884">
            <v>-0.55500000000000005</v>
          </cell>
          <cell r="F884">
            <v>-7.0000000000000062E-2</v>
          </cell>
        </row>
        <row r="885">
          <cell r="A885">
            <v>829879</v>
          </cell>
          <cell r="B885" t="str">
            <v>FRANGO GRILLER 1100G CONG HALAL A.SAUD</v>
          </cell>
          <cell r="C885">
            <v>2.94</v>
          </cell>
          <cell r="D885">
            <v>2.94</v>
          </cell>
          <cell r="E885">
            <v>-0.57999999999999996</v>
          </cell>
          <cell r="F885">
            <v>-7.2000000000000064E-2</v>
          </cell>
        </row>
        <row r="886">
          <cell r="A886">
            <v>829880</v>
          </cell>
          <cell r="B886" t="str">
            <v>FRANGO GRILLER 1200G CONG HALAL A.SAUD</v>
          </cell>
          <cell r="C886">
            <v>2.94</v>
          </cell>
          <cell r="D886">
            <v>2.94</v>
          </cell>
          <cell r="E886">
            <v>-0.57999999999999996</v>
          </cell>
          <cell r="F886">
            <v>-7.2999999999999954E-2</v>
          </cell>
        </row>
        <row r="887">
          <cell r="A887">
            <v>829956</v>
          </cell>
          <cell r="B887" t="str">
            <v>COXA C/OP FGO CONG DRUM BD 908G OMAN</v>
          </cell>
          <cell r="C887">
            <v>3.3260000000000001</v>
          </cell>
          <cell r="D887">
            <v>3.3260000000000001</v>
          </cell>
          <cell r="E887">
            <v>-0.76300000000000001</v>
          </cell>
          <cell r="F887">
            <v>-8.0999999999999961E-2</v>
          </cell>
        </row>
        <row r="888">
          <cell r="A888">
            <v>829957</v>
          </cell>
          <cell r="B888" t="str">
            <v>CODORNA CONG BD 1KG HALAL OMAN</v>
          </cell>
          <cell r="C888">
            <v>5.9710000000000001</v>
          </cell>
          <cell r="D888">
            <v>5.9710000000000001</v>
          </cell>
          <cell r="E888">
            <v>-0.83699999999999997</v>
          </cell>
          <cell r="F888">
            <v>-0.14900000000000002</v>
          </cell>
        </row>
        <row r="889">
          <cell r="A889">
            <v>829967</v>
          </cell>
          <cell r="B889" t="str">
            <v>FRANGO GRILLER 1500G CONG PERD ARGENT</v>
          </cell>
          <cell r="C889">
            <v>1.891</v>
          </cell>
          <cell r="D889">
            <v>1.891</v>
          </cell>
          <cell r="E889">
            <v>-0.55000000000000004</v>
          </cell>
          <cell r="F889">
            <v>-4.4999999999999998E-2</v>
          </cell>
        </row>
        <row r="890">
          <cell r="A890">
            <v>830018</v>
          </cell>
          <cell r="B890" t="str">
            <v>MOELA FGO CONG BL 15KG VEG FRANCA</v>
          </cell>
          <cell r="C890">
            <v>1.7609999999999999</v>
          </cell>
          <cell r="D890">
            <v>1.7609999999999999</v>
          </cell>
          <cell r="E890">
            <v>-0.46</v>
          </cell>
          <cell r="F890">
            <v>-4.1999999999999926E-2</v>
          </cell>
        </row>
        <row r="891">
          <cell r="A891">
            <v>830267</v>
          </cell>
          <cell r="B891" t="str">
            <v>PEITO S/OPFC FGO CONG MET 140G/UP SALM</v>
          </cell>
          <cell r="C891">
            <v>7.1289999999999996</v>
          </cell>
          <cell r="D891">
            <v>7.1289999999999996</v>
          </cell>
          <cell r="E891">
            <v>-0.68500000000000005</v>
          </cell>
          <cell r="F891">
            <v>-0.18</v>
          </cell>
        </row>
        <row r="892">
          <cell r="A892">
            <v>830269</v>
          </cell>
          <cell r="B892" t="str">
            <v>ASA 2A JTA FGO CONG 15G/UP S.TEB PERD JA</v>
          </cell>
          <cell r="C892">
            <v>4.3140000000000001</v>
          </cell>
          <cell r="D892">
            <v>4.3140000000000001</v>
          </cell>
          <cell r="E892">
            <v>-0.192</v>
          </cell>
          <cell r="F892">
            <v>-0.11099999999999977</v>
          </cell>
        </row>
        <row r="893">
          <cell r="A893">
            <v>830277</v>
          </cell>
          <cell r="B893" t="str">
            <v>PEITO S/OPFC FGO CONG MET DESC REP.TCH</v>
          </cell>
          <cell r="C893">
            <v>4.944</v>
          </cell>
          <cell r="D893">
            <v>4.944</v>
          </cell>
          <cell r="E893">
            <v>-0.59799999999999998</v>
          </cell>
          <cell r="F893">
            <v>-0.123</v>
          </cell>
        </row>
        <row r="894">
          <cell r="A894">
            <v>830411</v>
          </cell>
          <cell r="B894" t="str">
            <v>FRANGO GRILLER 650G CONG (SFI) PERD CI</v>
          </cell>
          <cell r="C894">
            <v>4.0590000000000002</v>
          </cell>
          <cell r="D894">
            <v>4.0590000000000002</v>
          </cell>
          <cell r="E894">
            <v>-0.67800000000000005</v>
          </cell>
          <cell r="F894">
            <v>-9.9999999999999867E-2</v>
          </cell>
        </row>
        <row r="895">
          <cell r="A895">
            <v>830433</v>
          </cell>
          <cell r="B895" t="str">
            <v>PE CHT S/CANELA CONG PT 1KG PERD CINGA</v>
          </cell>
          <cell r="C895">
            <v>2.653</v>
          </cell>
          <cell r="D895">
            <v>2.653</v>
          </cell>
          <cell r="E895">
            <v>-0.65900000000000003</v>
          </cell>
          <cell r="F895">
            <v>-6.3999999999999835E-2</v>
          </cell>
        </row>
        <row r="896">
          <cell r="A896">
            <v>830436</v>
          </cell>
          <cell r="B896" t="str">
            <v>ASA 2A JTA FGO CONG 40G/UP PT 1KG CINGA</v>
          </cell>
          <cell r="C896">
            <v>4.7080000000000002</v>
          </cell>
          <cell r="D896">
            <v>4.7080000000000002</v>
          </cell>
          <cell r="E896">
            <v>-0.69</v>
          </cell>
          <cell r="F896">
            <v>-0.11699999999999999</v>
          </cell>
        </row>
        <row r="897">
          <cell r="A897">
            <v>830438</v>
          </cell>
          <cell r="B897" t="str">
            <v>ASA INT FGO CONG 75-90G PT 2KG PERD CI</v>
          </cell>
          <cell r="C897">
            <v>2.3460000000000001</v>
          </cell>
          <cell r="D897">
            <v>2.3460000000000001</v>
          </cell>
          <cell r="E897">
            <v>-0.65800000000000003</v>
          </cell>
          <cell r="F897">
            <v>-5.5999999999999994E-2</v>
          </cell>
        </row>
        <row r="898">
          <cell r="A898">
            <v>830439</v>
          </cell>
          <cell r="B898" t="str">
            <v>ASA INT FGO CONG 90-110G PT1KG CING</v>
          </cell>
          <cell r="C898">
            <v>2.5219999999999998</v>
          </cell>
          <cell r="D898">
            <v>2.5219999999999998</v>
          </cell>
          <cell r="E898">
            <v>-0.67300000000000004</v>
          </cell>
          <cell r="F898">
            <v>-0.06</v>
          </cell>
        </row>
        <row r="899">
          <cell r="A899">
            <v>830440</v>
          </cell>
          <cell r="B899" t="str">
            <v>ASA INT FGO CONG 90-110G ITF (SFI) CIN</v>
          </cell>
          <cell r="C899">
            <v>2.3940000000000001</v>
          </cell>
          <cell r="D899">
            <v>2.3940000000000001</v>
          </cell>
          <cell r="E899">
            <v>-0.65</v>
          </cell>
          <cell r="F899">
            <v>-5.6999999999999995E-2</v>
          </cell>
        </row>
        <row r="900">
          <cell r="A900">
            <v>830441</v>
          </cell>
          <cell r="B900" t="str">
            <v>ASA INT FGO CONG 100-120G ITF (SFI) CI</v>
          </cell>
          <cell r="C900">
            <v>2.4740000000000002</v>
          </cell>
          <cell r="D900">
            <v>2.4740000000000002</v>
          </cell>
          <cell r="E900">
            <v>-0.66</v>
          </cell>
          <cell r="F900">
            <v>-0.06</v>
          </cell>
        </row>
        <row r="901">
          <cell r="A901">
            <v>830467</v>
          </cell>
          <cell r="B901" t="str">
            <v>FRANGO BROILER 1400G CONG (SFI) CINGAP</v>
          </cell>
          <cell r="C901">
            <v>2.5409999999999999</v>
          </cell>
          <cell r="D901">
            <v>2.5409999999999999</v>
          </cell>
          <cell r="E901">
            <v>-0.63200000000000001</v>
          </cell>
          <cell r="F901">
            <v>-6.0999999999999943E-2</v>
          </cell>
        </row>
        <row r="902">
          <cell r="A902">
            <v>830469</v>
          </cell>
          <cell r="B902" t="str">
            <v>FRANGO BROILER 1600G CONG (SFI) CINGAP</v>
          </cell>
          <cell r="C902">
            <v>2.5609999999999999</v>
          </cell>
          <cell r="D902">
            <v>2.5609999999999999</v>
          </cell>
          <cell r="E902">
            <v>-0.65100000000000002</v>
          </cell>
          <cell r="F902">
            <v>-6.1999999999999944E-2</v>
          </cell>
        </row>
        <row r="903">
          <cell r="A903">
            <v>830475</v>
          </cell>
          <cell r="B903" t="str">
            <v>COXA C/OP FGO CONG 100-120G (SFI) CING</v>
          </cell>
          <cell r="C903">
            <v>3.0710000000000002</v>
          </cell>
          <cell r="D903">
            <v>3.0710000000000002</v>
          </cell>
          <cell r="E903">
            <v>-0.64900000000000002</v>
          </cell>
          <cell r="F903">
            <v>-7.5000000000000178E-2</v>
          </cell>
        </row>
        <row r="904">
          <cell r="A904">
            <v>830476</v>
          </cell>
          <cell r="B904" t="str">
            <v>COXA C/OP FGO CONG 120-140G (SFI) CING</v>
          </cell>
          <cell r="C904">
            <v>3.1339999999999999</v>
          </cell>
          <cell r="D904">
            <v>3.1339999999999999</v>
          </cell>
          <cell r="E904">
            <v>-0.66100000000000003</v>
          </cell>
          <cell r="F904">
            <v>-7.6999999999999957E-2</v>
          </cell>
        </row>
        <row r="905">
          <cell r="A905">
            <v>830482</v>
          </cell>
          <cell r="B905" t="str">
            <v>COXA SOB SO CP FGO CONG PT 1KG (SFI) CI</v>
          </cell>
          <cell r="C905">
            <v>4.04</v>
          </cell>
          <cell r="D905">
            <v>4.04</v>
          </cell>
          <cell r="E905">
            <v>-0.67800000000000005</v>
          </cell>
          <cell r="F905">
            <v>-0.1</v>
          </cell>
        </row>
        <row r="906">
          <cell r="A906">
            <v>830483</v>
          </cell>
          <cell r="B906" t="str">
            <v>COXA SOB SO CP FGO CONG PT 5KG (SFI) CI</v>
          </cell>
          <cell r="C906">
            <v>3.9790000000000001</v>
          </cell>
          <cell r="D906">
            <v>3.9790000000000001</v>
          </cell>
          <cell r="E906">
            <v>-0.70399999999999996</v>
          </cell>
          <cell r="F906">
            <v>-9.8000000000000087E-2</v>
          </cell>
        </row>
        <row r="907">
          <cell r="A907">
            <v>830485</v>
          </cell>
          <cell r="B907" t="str">
            <v>PE CHT C/CANELA CONG 55G/UP PERD CINGA</v>
          </cell>
          <cell r="C907">
            <v>2.5720000000000001</v>
          </cell>
          <cell r="D907">
            <v>2.5720000000000001</v>
          </cell>
          <cell r="E907">
            <v>-0.65700000000000003</v>
          </cell>
          <cell r="F907">
            <v>-6.2000000000000055E-2</v>
          </cell>
        </row>
        <row r="908">
          <cell r="A908">
            <v>830492</v>
          </cell>
          <cell r="B908" t="str">
            <v>ASA INT FGO CONG 120-150G ITF (SFI) CI</v>
          </cell>
          <cell r="C908">
            <v>2.6059999999999999</v>
          </cell>
          <cell r="D908">
            <v>2.6059999999999999</v>
          </cell>
          <cell r="E908">
            <v>-0.67300000000000004</v>
          </cell>
          <cell r="F908">
            <v>-6.2999999999999945E-2</v>
          </cell>
        </row>
        <row r="909">
          <cell r="A909">
            <v>830597</v>
          </cell>
          <cell r="B909" t="str">
            <v>COXA SOB SO CP FGO CONG 15-20G PERD JAP</v>
          </cell>
          <cell r="C909">
            <v>4.5679999999999996</v>
          </cell>
          <cell r="D909">
            <v>4.5679999999999996</v>
          </cell>
          <cell r="E909">
            <v>-0.18099999999999999</v>
          </cell>
          <cell r="F909">
            <v>-0.1180000000000001</v>
          </cell>
        </row>
        <row r="910">
          <cell r="A910">
            <v>830599</v>
          </cell>
          <cell r="B910" t="str">
            <v>COXA SOB SO CP FGO CONG 25-30G PERD JAP</v>
          </cell>
          <cell r="C910">
            <v>5.1749999999999998</v>
          </cell>
          <cell r="D910">
            <v>5.1749999999999998</v>
          </cell>
          <cell r="E910">
            <v>-0.63200000000000001</v>
          </cell>
          <cell r="F910">
            <v>-0.129</v>
          </cell>
        </row>
        <row r="911">
          <cell r="A911">
            <v>830600</v>
          </cell>
          <cell r="B911" t="str">
            <v>COXA SOB SO CP FGO CONG 22-27G PERD (DIR</v>
          </cell>
          <cell r="C911">
            <v>5.2</v>
          </cell>
          <cell r="D911">
            <v>5.2</v>
          </cell>
          <cell r="E911">
            <v>-0.67100000000000004</v>
          </cell>
          <cell r="F911">
            <v>-0.13</v>
          </cell>
        </row>
        <row r="912">
          <cell r="A912">
            <v>830601</v>
          </cell>
          <cell r="B912" t="str">
            <v>COXA SOB SO CP FGO CONG 28-32G PERD JAP</v>
          </cell>
          <cell r="C912">
            <v>5.157</v>
          </cell>
          <cell r="D912">
            <v>5.157</v>
          </cell>
          <cell r="E912">
            <v>-0.65</v>
          </cell>
          <cell r="F912">
            <v>-0.12799999999999967</v>
          </cell>
        </row>
        <row r="913">
          <cell r="A913">
            <v>830654</v>
          </cell>
          <cell r="B913" t="str">
            <v>PEITO S/OPFC FGO CONG MET 140G/UP TAMB</v>
          </cell>
          <cell r="C913">
            <v>8.5589999999999993</v>
          </cell>
          <cell r="D913">
            <v>8.5589999999999993</v>
          </cell>
          <cell r="E913">
            <v>-0.57899999999999996</v>
          </cell>
          <cell r="F913">
            <v>-0.21700000000000008</v>
          </cell>
        </row>
        <row r="914">
          <cell r="A914">
            <v>830689</v>
          </cell>
          <cell r="B914" t="str">
            <v>COXA SOB SO CP FGO CONG 160-180G PT JA</v>
          </cell>
          <cell r="C914">
            <v>3.9630000000000001</v>
          </cell>
          <cell r="D914">
            <v>3.9630000000000001</v>
          </cell>
          <cell r="E914">
            <v>-0.63300000000000001</v>
          </cell>
          <cell r="F914">
            <v>-9.8000000000000087E-2</v>
          </cell>
        </row>
        <row r="915">
          <cell r="A915">
            <v>830691</v>
          </cell>
          <cell r="B915" t="str">
            <v>COXA SOB SO CP FGO CONG 200-220G PT JA</v>
          </cell>
          <cell r="C915">
            <v>4.9580000000000002</v>
          </cell>
          <cell r="D915">
            <v>4.9580000000000002</v>
          </cell>
          <cell r="E915">
            <v>-0.63500000000000001</v>
          </cell>
          <cell r="F915">
            <v>-0.12299999999999978</v>
          </cell>
        </row>
        <row r="916">
          <cell r="A916">
            <v>830692</v>
          </cell>
          <cell r="B916" t="str">
            <v>COXA SOB SO CP FGO CONG 220-240G SUN JAP</v>
          </cell>
          <cell r="C916">
            <v>4.9820000000000002</v>
          </cell>
          <cell r="D916">
            <v>4.9820000000000002</v>
          </cell>
          <cell r="E916">
            <v>-0.622</v>
          </cell>
          <cell r="F916">
            <v>-0.12400000000000011</v>
          </cell>
        </row>
        <row r="917">
          <cell r="A917">
            <v>830693</v>
          </cell>
          <cell r="B917" t="str">
            <v>COXA SOB SO CP FGO CONG 240-260G SUN</v>
          </cell>
          <cell r="C917">
            <v>4.9720000000000004</v>
          </cell>
          <cell r="D917">
            <v>4.9720000000000004</v>
          </cell>
          <cell r="E917">
            <v>-0.61799999999999999</v>
          </cell>
          <cell r="F917">
            <v>-0.12399999999999967</v>
          </cell>
        </row>
        <row r="918">
          <cell r="A918">
            <v>830694</v>
          </cell>
          <cell r="B918" t="str">
            <v>COXA SOB SO CP FGO CONG 260-280G SUN</v>
          </cell>
          <cell r="C918">
            <v>4.8979999999999997</v>
          </cell>
          <cell r="D918">
            <v>4.8979999999999997</v>
          </cell>
          <cell r="E918">
            <v>-0.61899999999999999</v>
          </cell>
          <cell r="F918">
            <v>-0.12199999999999989</v>
          </cell>
        </row>
        <row r="919">
          <cell r="A919">
            <v>830695</v>
          </cell>
          <cell r="B919" t="str">
            <v>COXA SOB SO CP FGO CONG 280-300G SUN</v>
          </cell>
          <cell r="C919">
            <v>4.8940000000000001</v>
          </cell>
          <cell r="D919">
            <v>4.8940000000000001</v>
          </cell>
          <cell r="E919">
            <v>-0.61599999999999999</v>
          </cell>
          <cell r="F919">
            <v>-0.12200000000000033</v>
          </cell>
        </row>
        <row r="920">
          <cell r="A920">
            <v>830868</v>
          </cell>
          <cell r="B920" t="str">
            <v>ASA 2A JTA+PTA PERU CONG 100-300G CAMAR</v>
          </cell>
          <cell r="C920">
            <v>2.0259999999999998</v>
          </cell>
          <cell r="D920">
            <v>2.0259999999999998</v>
          </cell>
          <cell r="E920">
            <v>-0.85899999999999999</v>
          </cell>
          <cell r="F920">
            <v>-4.599999999999993E-2</v>
          </cell>
        </row>
        <row r="921">
          <cell r="A921">
            <v>830869</v>
          </cell>
          <cell r="B921" t="str">
            <v>ASA 1A JTA PERU CONG 300-500G ITF BENIN</v>
          </cell>
          <cell r="C921">
            <v>1.9570000000000001</v>
          </cell>
          <cell r="D921">
            <v>1.9570000000000001</v>
          </cell>
          <cell r="E921">
            <v>-0.623</v>
          </cell>
          <cell r="F921">
            <v>-4.6000000000000041E-2</v>
          </cell>
        </row>
        <row r="922">
          <cell r="A922">
            <v>830870</v>
          </cell>
          <cell r="B922" t="str">
            <v>ASA 1A JTA PERU CONG 100-300G ITF BENIN</v>
          </cell>
          <cell r="C922">
            <v>1.931</v>
          </cell>
          <cell r="D922">
            <v>1.931</v>
          </cell>
          <cell r="E922">
            <v>-0.53800000000000003</v>
          </cell>
          <cell r="F922">
            <v>-4.599999999999993E-2</v>
          </cell>
        </row>
        <row r="923">
          <cell r="A923">
            <v>831088</v>
          </cell>
          <cell r="B923" t="str">
            <v>PEITO S/OPFC FGO CONG MET DESC SALM HO</v>
          </cell>
          <cell r="C923">
            <v>4.49</v>
          </cell>
          <cell r="D923">
            <v>4.49</v>
          </cell>
          <cell r="E923">
            <v>-0.43</v>
          </cell>
          <cell r="F923">
            <v>-0.11299999999999999</v>
          </cell>
        </row>
        <row r="924">
          <cell r="A924">
            <v>831122</v>
          </cell>
          <cell r="B924" t="str">
            <v>PEITO S/OPFC FGO CONG TIRAS TAMB/COZ I</v>
          </cell>
          <cell r="C924">
            <v>9.5310000000000006</v>
          </cell>
          <cell r="D924">
            <v>9.5310000000000006</v>
          </cell>
          <cell r="E924">
            <v>-0.54300000000000004</v>
          </cell>
          <cell r="F924">
            <v>-0.24199999999999999</v>
          </cell>
        </row>
        <row r="925">
          <cell r="A925">
            <v>831123</v>
          </cell>
          <cell r="B925" t="str">
            <v>PEITO S/OPFC FGO CONG TIRAS TAMB/COZ I</v>
          </cell>
          <cell r="C925">
            <v>11.471</v>
          </cell>
          <cell r="D925">
            <v>11.471</v>
          </cell>
          <cell r="E925">
            <v>-0.56000000000000005</v>
          </cell>
          <cell r="F925">
            <v>-0.29199999999999982</v>
          </cell>
        </row>
        <row r="926">
          <cell r="A926">
            <v>831206</v>
          </cell>
          <cell r="B926" t="str">
            <v>FILEZINHO FGO CONG EMP CART 500G OMAN</v>
          </cell>
          <cell r="C926">
            <v>8.1419999999999995</v>
          </cell>
          <cell r="D926">
            <v>8.1419999999999995</v>
          </cell>
          <cell r="E926">
            <v>-0.91800000000000004</v>
          </cell>
          <cell r="F926">
            <v>-0.20499999999999999</v>
          </cell>
        </row>
        <row r="927">
          <cell r="A927">
            <v>831207</v>
          </cell>
          <cell r="B927" t="str">
            <v>PEITO S/OFC C/P FGO CONG PT 1KG OMAN</v>
          </cell>
          <cell r="C927">
            <v>6.7169999999999996</v>
          </cell>
          <cell r="D927">
            <v>6.7169999999999996</v>
          </cell>
          <cell r="E927">
            <v>-0.78800000000000003</v>
          </cell>
          <cell r="F927">
            <v>-0.16900000000000004</v>
          </cell>
        </row>
        <row r="928">
          <cell r="A928">
            <v>831282</v>
          </cell>
          <cell r="B928" t="str">
            <v>FRANGO GRILLER 800G CONG PERD CARIBE</v>
          </cell>
          <cell r="C928">
            <v>2.266</v>
          </cell>
          <cell r="D928">
            <v>2.266</v>
          </cell>
          <cell r="E928">
            <v>-0.376</v>
          </cell>
          <cell r="F928">
            <v>-5.5999999999999994E-2</v>
          </cell>
        </row>
        <row r="929">
          <cell r="A929">
            <v>831560</v>
          </cell>
          <cell r="B929" t="str">
            <v>COPA LOMBO SUI CONG 1,5-2,5KG RUSSIA BAT</v>
          </cell>
          <cell r="C929">
            <v>5.6120000000000001</v>
          </cell>
          <cell r="D929">
            <v>5.6120000000000001</v>
          </cell>
          <cell r="E929">
            <v>-0.57899999999999996</v>
          </cell>
          <cell r="F929">
            <v>-0.14100000000000001</v>
          </cell>
        </row>
        <row r="930">
          <cell r="A930">
            <v>831713</v>
          </cell>
          <cell r="B930" t="str">
            <v>MOELA FGO BL 5KG PERD PORTUGAL CX 15KG</v>
          </cell>
          <cell r="C930">
            <v>2.2719999999999998</v>
          </cell>
          <cell r="D930">
            <v>2.2719999999999998</v>
          </cell>
          <cell r="E930">
            <v>-0.5</v>
          </cell>
          <cell r="F930">
            <v>-5.4999999999999938E-2</v>
          </cell>
        </row>
        <row r="931">
          <cell r="A931">
            <v>831734</v>
          </cell>
          <cell r="B931" t="str">
            <v>PEITO S/OPFC FGO MET 50-100G BL PERD ING</v>
          </cell>
          <cell r="C931">
            <v>5.4550000000000001</v>
          </cell>
          <cell r="D931">
            <v>5.4550000000000001</v>
          </cell>
          <cell r="E931">
            <v>-0.40799999999999997</v>
          </cell>
          <cell r="F931">
            <v>-0.13800000000000012</v>
          </cell>
        </row>
        <row r="932">
          <cell r="A932">
            <v>831737</v>
          </cell>
          <cell r="B932" t="str">
            <v>LINGUA SUI CONG GRAU B ITF H.KONG</v>
          </cell>
          <cell r="C932">
            <v>1.6679999999999999</v>
          </cell>
          <cell r="D932">
            <v>1.6679999999999999</v>
          </cell>
          <cell r="E932">
            <v>-0.1</v>
          </cell>
          <cell r="F932">
            <v>-4.2999999999999997E-2</v>
          </cell>
        </row>
        <row r="933">
          <cell r="A933">
            <v>831769</v>
          </cell>
          <cell r="B933" t="str">
            <v>PEITO S/OP FGO REC C.BLEU 15CART URUGUAI</v>
          </cell>
          <cell r="C933">
            <v>7.8819999999999997</v>
          </cell>
          <cell r="D933">
            <v>7.8819999999999997</v>
          </cell>
          <cell r="E933">
            <v>-8.5999999999999993E-2</v>
          </cell>
          <cell r="F933">
            <v>-0.20300000000000029</v>
          </cell>
        </row>
        <row r="934">
          <cell r="A934">
            <v>832114</v>
          </cell>
          <cell r="B934" t="str">
            <v>FRANGO GRILLER 900G PERD CARIBE 10,8KG</v>
          </cell>
          <cell r="C934">
            <v>2.5249999999999999</v>
          </cell>
          <cell r="D934">
            <v>2.5249999999999999</v>
          </cell>
          <cell r="E934">
            <v>-0.64500000000000002</v>
          </cell>
          <cell r="F934">
            <v>-0.06</v>
          </cell>
        </row>
        <row r="935">
          <cell r="A935">
            <v>832128</v>
          </cell>
          <cell r="B935" t="str">
            <v>FRANGO GRILLER 1100G PERD (DIREX) JAPAO</v>
          </cell>
          <cell r="C935">
            <v>3.4740000000000002</v>
          </cell>
          <cell r="D935">
            <v>3.4740000000000002</v>
          </cell>
          <cell r="E935">
            <v>-0.65900000000000003</v>
          </cell>
          <cell r="F935">
            <v>-8.5000000000000006E-2</v>
          </cell>
        </row>
        <row r="936">
          <cell r="A936">
            <v>832602</v>
          </cell>
          <cell r="B936" t="str">
            <v>COXA C/OP FGO CONG 140-170G PT PERD CING</v>
          </cell>
          <cell r="C936">
            <v>2.6850000000000001</v>
          </cell>
          <cell r="D936">
            <v>2.6850000000000001</v>
          </cell>
          <cell r="E936">
            <v>-0.65900000000000003</v>
          </cell>
          <cell r="F936">
            <v>-6.4999999999999947E-2</v>
          </cell>
        </row>
        <row r="937">
          <cell r="A937">
            <v>832862</v>
          </cell>
          <cell r="B937" t="str">
            <v>COXA SOB S/OP SALM BL 7,5KG PERD FRANCA</v>
          </cell>
          <cell r="C937">
            <v>4.1529999999999996</v>
          </cell>
          <cell r="D937">
            <v>4.1529999999999996</v>
          </cell>
          <cell r="E937">
            <v>-0.41299999999999998</v>
          </cell>
          <cell r="F937">
            <v>-0.10400000000000009</v>
          </cell>
        </row>
        <row r="938">
          <cell r="A938">
            <v>832891</v>
          </cell>
          <cell r="B938" t="str">
            <v>COXA SOB S/O C/P CONG 160-180G SUN JAP</v>
          </cell>
          <cell r="C938">
            <v>3.8279999999999998</v>
          </cell>
          <cell r="D938">
            <v>3.8279999999999998</v>
          </cell>
          <cell r="E938">
            <v>-0.63300000000000001</v>
          </cell>
          <cell r="F938">
            <v>-9.4000000000000083E-2</v>
          </cell>
        </row>
        <row r="939">
          <cell r="A939">
            <v>833054</v>
          </cell>
          <cell r="B939" t="str">
            <v>COPA LOMBO SUINO 1,2KG/UP IND PERD HOLAN</v>
          </cell>
          <cell r="C939">
            <v>4.2119999999999997</v>
          </cell>
          <cell r="D939">
            <v>4.2119999999999997</v>
          </cell>
          <cell r="E939">
            <v>-0.41099999999999998</v>
          </cell>
          <cell r="F939">
            <v>-0.10599999999999998</v>
          </cell>
        </row>
        <row r="940">
          <cell r="A940">
            <v>833055</v>
          </cell>
          <cell r="B940" t="str">
            <v>COXA SOB C/OP 200G/UP ITF PERD CANARIAS</v>
          </cell>
          <cell r="C940">
            <v>2.0579999999999998</v>
          </cell>
          <cell r="D940">
            <v>2.0579999999999998</v>
          </cell>
          <cell r="E940">
            <v>-0.46</v>
          </cell>
          <cell r="F940">
            <v>-0.05</v>
          </cell>
        </row>
        <row r="941">
          <cell r="A941">
            <v>833070</v>
          </cell>
          <cell r="B941" t="str">
            <v>FRANGO GRILLER 1200G PERD CANARIAS 12KG</v>
          </cell>
          <cell r="C941">
            <v>2.4780000000000002</v>
          </cell>
          <cell r="D941">
            <v>2.4780000000000002</v>
          </cell>
          <cell r="E941">
            <v>-0.441</v>
          </cell>
          <cell r="F941">
            <v>-6.2E-2</v>
          </cell>
        </row>
        <row r="942">
          <cell r="A942">
            <v>833071</v>
          </cell>
          <cell r="B942" t="str">
            <v>FRANGO GRILLER 1300G PERD CANARIAS 13KG</v>
          </cell>
          <cell r="C942">
            <v>2.573</v>
          </cell>
          <cell r="D942">
            <v>2.573</v>
          </cell>
          <cell r="E942">
            <v>-0.46</v>
          </cell>
          <cell r="F942">
            <v>-6.2999999999999945E-2</v>
          </cell>
        </row>
        <row r="943">
          <cell r="A943">
            <v>833072</v>
          </cell>
          <cell r="B943" t="str">
            <v>FRANGO GRILLER 1400G PERD CANARIAS 14KG</v>
          </cell>
          <cell r="C943">
            <v>2.573</v>
          </cell>
          <cell r="D943">
            <v>2.573</v>
          </cell>
          <cell r="E943">
            <v>-0.45300000000000001</v>
          </cell>
          <cell r="F943">
            <v>-6.4000000000000057E-2</v>
          </cell>
        </row>
        <row r="944">
          <cell r="A944">
            <v>833073</v>
          </cell>
          <cell r="B944" t="str">
            <v>COXA SOBREC S/OP IND/VAC PERD CANARIAS</v>
          </cell>
          <cell r="C944">
            <v>3.706</v>
          </cell>
          <cell r="D944">
            <v>3.706</v>
          </cell>
          <cell r="E944">
            <v>-0.48899999999999999</v>
          </cell>
          <cell r="F944">
            <v>-9.2999999999999861E-2</v>
          </cell>
        </row>
        <row r="945">
          <cell r="A945">
            <v>833074</v>
          </cell>
          <cell r="B945" t="str">
            <v>PEITO S/OPC C/F FGO INT CONG PERD CAN</v>
          </cell>
          <cell r="C945">
            <v>6.9009999999999998</v>
          </cell>
          <cell r="D945">
            <v>6.9009999999999998</v>
          </cell>
          <cell r="E945">
            <v>-0.58799999999999997</v>
          </cell>
          <cell r="F945">
            <v>-0.17499999999999999</v>
          </cell>
        </row>
        <row r="946">
          <cell r="A946">
            <v>833076</v>
          </cell>
          <cell r="B946" t="str">
            <v>PEITO S/OPFC FGO FAT 50-90G IND PERD CAN</v>
          </cell>
          <cell r="C946">
            <v>7.5179999999999998</v>
          </cell>
          <cell r="D946">
            <v>7.5179999999999998</v>
          </cell>
          <cell r="E946">
            <v>-0.58599999999999997</v>
          </cell>
          <cell r="F946">
            <v>-0.19099999999999984</v>
          </cell>
        </row>
        <row r="947">
          <cell r="A947">
            <v>833273</v>
          </cell>
          <cell r="B947" t="str">
            <v>PEITO S/OPC C/F PERU CONG ITF BAT CANAR</v>
          </cell>
          <cell r="C947">
            <v>7.09</v>
          </cell>
          <cell r="D947">
            <v>7.09</v>
          </cell>
          <cell r="E947">
            <v>-0.56399999999999995</v>
          </cell>
          <cell r="F947">
            <v>-0.18</v>
          </cell>
        </row>
        <row r="948">
          <cell r="A948">
            <v>833314</v>
          </cell>
          <cell r="B948" t="str">
            <v>COPA LOMBO SUI CONG 1,5-2,2KG IND CING</v>
          </cell>
          <cell r="C948">
            <v>4.8620000000000001</v>
          </cell>
          <cell r="D948">
            <v>4.8620000000000001</v>
          </cell>
          <cell r="E948">
            <v>-0.77900000000000003</v>
          </cell>
          <cell r="F948">
            <v>-0.121</v>
          </cell>
        </row>
        <row r="949">
          <cell r="A949">
            <v>833420</v>
          </cell>
          <cell r="B949" t="str">
            <v>JARRETE SUI CONG 800-1000G ITF PERD H.KO</v>
          </cell>
          <cell r="C949">
            <v>1.7130000000000001</v>
          </cell>
          <cell r="D949">
            <v>1.7130000000000001</v>
          </cell>
          <cell r="E949">
            <v>-0.10100000000000001</v>
          </cell>
          <cell r="F949">
            <v>-4.3999999999999997E-2</v>
          </cell>
        </row>
        <row r="950">
          <cell r="A950">
            <v>833492</v>
          </cell>
          <cell r="B950" t="str">
            <v>ASA INT FGO DESCL ITF UNEF H.K. WFCK125</v>
          </cell>
          <cell r="C950">
            <v>0.88600000000000001</v>
          </cell>
          <cell r="D950">
            <v>0.88600000000000001</v>
          </cell>
          <cell r="E950">
            <v>-0.10100000000000001</v>
          </cell>
          <cell r="F950">
            <v>-2.2999999999999909E-2</v>
          </cell>
        </row>
        <row r="951">
          <cell r="A951">
            <v>833493</v>
          </cell>
          <cell r="B951" t="str">
            <v>ASA 2A JTA FGO 25G/UP DESCL ITF UNEF H.K</v>
          </cell>
          <cell r="C951">
            <v>3.4780000000000002</v>
          </cell>
          <cell r="D951">
            <v>3.4780000000000002</v>
          </cell>
          <cell r="E951">
            <v>-9.9000000000000005E-2</v>
          </cell>
          <cell r="F951">
            <v>-9.000000000000008E-2</v>
          </cell>
        </row>
        <row r="952">
          <cell r="A952">
            <v>833512</v>
          </cell>
          <cell r="B952" t="str">
            <v>COXA SOB C/OP FGO 160G/UP CONG ITF CANAR</v>
          </cell>
          <cell r="C952">
            <v>2.032</v>
          </cell>
          <cell r="D952">
            <v>2.032</v>
          </cell>
          <cell r="E952">
            <v>-0.41599999999999998</v>
          </cell>
          <cell r="F952">
            <v>-0.05</v>
          </cell>
        </row>
        <row r="953">
          <cell r="A953">
            <v>833527</v>
          </cell>
          <cell r="B953" t="str">
            <v>SOBRECOXA C/OP FGO CONG 160-180G ITF CIN</v>
          </cell>
          <cell r="C953">
            <v>2.681</v>
          </cell>
          <cell r="D953">
            <v>2.681</v>
          </cell>
          <cell r="E953">
            <v>-0.65800000000000003</v>
          </cell>
          <cell r="F953">
            <v>-6.4000000000000001E-2</v>
          </cell>
        </row>
        <row r="954">
          <cell r="A954">
            <v>833584</v>
          </cell>
          <cell r="B954" t="str">
            <v>FRANGO GRILLER 700G CONG PERD (SFI) CING</v>
          </cell>
          <cell r="C954">
            <v>3.3940000000000001</v>
          </cell>
          <cell r="D954">
            <v>3.3940000000000001</v>
          </cell>
          <cell r="E954">
            <v>-0.64900000000000002</v>
          </cell>
          <cell r="F954">
            <v>-8.4000000000000075E-2</v>
          </cell>
        </row>
        <row r="955">
          <cell r="A955">
            <v>833633</v>
          </cell>
          <cell r="B955" t="str">
            <v>TIRAS COSTELA SUI CONG ITF PERD H.KONG</v>
          </cell>
          <cell r="C955">
            <v>2.2080000000000002</v>
          </cell>
          <cell r="D955">
            <v>2.2080000000000002</v>
          </cell>
          <cell r="E955">
            <v>-0.1</v>
          </cell>
          <cell r="F955">
            <v>-5.6999999999999995E-2</v>
          </cell>
        </row>
        <row r="956">
          <cell r="A956">
            <v>833634</v>
          </cell>
          <cell r="B956" t="str">
            <v>RETALHOS COSTELA SUI CONG ITF PERD H.KON</v>
          </cell>
          <cell r="C956">
            <v>2.2080000000000002</v>
          </cell>
          <cell r="D956">
            <v>2.2080000000000002</v>
          </cell>
          <cell r="E956">
            <v>-0.1</v>
          </cell>
          <cell r="F956">
            <v>-5.7000000000000051E-2</v>
          </cell>
        </row>
        <row r="957">
          <cell r="A957">
            <v>833656</v>
          </cell>
          <cell r="B957" t="str">
            <v>SOBRECOXA C/OP FGO CONG 120-140G PT CING</v>
          </cell>
          <cell r="C957">
            <v>3.226</v>
          </cell>
          <cell r="D957">
            <v>3.226</v>
          </cell>
          <cell r="E957">
            <v>-0.67800000000000005</v>
          </cell>
          <cell r="F957">
            <v>-7.8000000000000069E-2</v>
          </cell>
        </row>
        <row r="958">
          <cell r="A958">
            <v>833657</v>
          </cell>
          <cell r="B958" t="str">
            <v>SOBRECOXA C/OP FGO CONG 140-160G PT CING</v>
          </cell>
          <cell r="C958">
            <v>3.1549999999999998</v>
          </cell>
          <cell r="D958">
            <v>3.1549999999999998</v>
          </cell>
          <cell r="E958">
            <v>-0.66500000000000004</v>
          </cell>
          <cell r="F958">
            <v>-7.6999999999999957E-2</v>
          </cell>
        </row>
        <row r="959">
          <cell r="A959">
            <v>833658</v>
          </cell>
          <cell r="B959" t="str">
            <v>COXA SOB C/OP FGO CONG 205-220G PERD CIN</v>
          </cell>
          <cell r="C959">
            <v>3.1539999999999999</v>
          </cell>
          <cell r="D959">
            <v>3.1539999999999999</v>
          </cell>
          <cell r="E959">
            <v>-0.67</v>
          </cell>
          <cell r="F959">
            <v>-7.7000000000000068E-2</v>
          </cell>
        </row>
        <row r="960">
          <cell r="A960">
            <v>833659</v>
          </cell>
          <cell r="B960" t="str">
            <v>COXA SOB C/OP FGO CONG 220-240G PERD CIN</v>
          </cell>
          <cell r="C960">
            <v>3.0880000000000001</v>
          </cell>
          <cell r="D960">
            <v>3.0880000000000001</v>
          </cell>
          <cell r="E960">
            <v>-0.66100000000000003</v>
          </cell>
          <cell r="F960">
            <v>-7.4999999999999997E-2</v>
          </cell>
        </row>
        <row r="961">
          <cell r="A961">
            <v>833681</v>
          </cell>
          <cell r="B961" t="str">
            <v>PEITO S/OPFC FGO CONG 160G/UP SALM HOLAN</v>
          </cell>
          <cell r="C961">
            <v>5.1639999999999997</v>
          </cell>
          <cell r="D961">
            <v>5.1639999999999997</v>
          </cell>
          <cell r="E961">
            <v>-0.41699999999999998</v>
          </cell>
          <cell r="F961">
            <v>-0.13</v>
          </cell>
        </row>
        <row r="962">
          <cell r="A962">
            <v>833712</v>
          </cell>
          <cell r="B962" t="str">
            <v>SOBRECOXA C/OP FGO CONG 90-110G TAMB FRA</v>
          </cell>
          <cell r="C962">
            <v>5.056</v>
          </cell>
          <cell r="D962">
            <v>5.056</v>
          </cell>
          <cell r="E962">
            <v>-0.48699999999999999</v>
          </cell>
          <cell r="F962">
            <v>-0.12800000000000011</v>
          </cell>
        </row>
        <row r="963">
          <cell r="A963">
            <v>833719</v>
          </cell>
          <cell r="B963" t="str">
            <v>FILEZINHO FGO C/TEND CONG TAMB/COZ INGLA</v>
          </cell>
          <cell r="C963">
            <v>7.8280000000000003</v>
          </cell>
          <cell r="D963">
            <v>7.8280000000000003</v>
          </cell>
          <cell r="E963">
            <v>-0.56000000000000005</v>
          </cell>
          <cell r="F963">
            <v>-0.19799999999999995</v>
          </cell>
        </row>
        <row r="964">
          <cell r="A964">
            <v>833858</v>
          </cell>
          <cell r="B964" t="str">
            <v>PEITO S/OFC C/P FGO CONG 75-95G TAMB FRA</v>
          </cell>
          <cell r="C964">
            <v>8.8170000000000002</v>
          </cell>
          <cell r="D964">
            <v>8.8170000000000002</v>
          </cell>
          <cell r="E964">
            <v>-0.441</v>
          </cell>
          <cell r="F964">
            <v>-0.22</v>
          </cell>
        </row>
        <row r="965">
          <cell r="A965">
            <v>833859</v>
          </cell>
          <cell r="B965" t="str">
            <v>ASA INT FGO CONG 90-110G PERD (SFI) CING</v>
          </cell>
          <cell r="C965">
            <v>2.3530000000000002</v>
          </cell>
          <cell r="D965">
            <v>2.3530000000000002</v>
          </cell>
          <cell r="E965">
            <v>-0.64600000000000002</v>
          </cell>
          <cell r="F965">
            <v>-5.7000000000000023E-2</v>
          </cell>
        </row>
        <row r="966">
          <cell r="A966">
            <v>833865</v>
          </cell>
          <cell r="B966" t="str">
            <v>PEITO S/OPFC FGO CONG FAT 50-90G VAC CAN</v>
          </cell>
          <cell r="C966">
            <v>7.5750000000000002</v>
          </cell>
          <cell r="D966">
            <v>7.5750000000000002</v>
          </cell>
          <cell r="E966">
            <v>-0.57099999999999995</v>
          </cell>
          <cell r="F966">
            <v>-0.19300000000000006</v>
          </cell>
        </row>
        <row r="967">
          <cell r="A967">
            <v>833873</v>
          </cell>
          <cell r="B967" t="str">
            <v>COXA SOB SO CP FGO CONG 30-40G SUN JAPAO</v>
          </cell>
          <cell r="C967">
            <v>5.2880000000000003</v>
          </cell>
          <cell r="D967">
            <v>5.2880000000000003</v>
          </cell>
          <cell r="E967">
            <v>-0.60399999999999998</v>
          </cell>
          <cell r="F967">
            <v>-0.13300000000000001</v>
          </cell>
        </row>
        <row r="968">
          <cell r="A968">
            <v>833883</v>
          </cell>
          <cell r="B968" t="str">
            <v>COXA SOB SO CP FGO CONG 200-220G PT JAPA</v>
          </cell>
          <cell r="C968">
            <v>4.024</v>
          </cell>
          <cell r="D968">
            <v>4.024</v>
          </cell>
          <cell r="E968">
            <v>-0.11600000000000001</v>
          </cell>
          <cell r="F968">
            <v>-0.10299999999999998</v>
          </cell>
        </row>
        <row r="969">
          <cell r="A969">
            <v>833884</v>
          </cell>
          <cell r="B969" t="str">
            <v>CARCACA SUI CONG MET IWP (DANICA) RUSSIA</v>
          </cell>
          <cell r="C969">
            <v>3.3490000000000002</v>
          </cell>
          <cell r="D969">
            <v>3.3490000000000002</v>
          </cell>
          <cell r="E969">
            <v>-0.56499999999999995</v>
          </cell>
          <cell r="F969">
            <v>-8.2000000000000073E-2</v>
          </cell>
        </row>
        <row r="970">
          <cell r="A970">
            <v>833944</v>
          </cell>
          <cell r="B970" t="str">
            <v>PEITO S/OPFC TIRAS 15MM TAMB/COZ PERD IN</v>
          </cell>
          <cell r="C970">
            <v>9.234</v>
          </cell>
          <cell r="D970">
            <v>9.234</v>
          </cell>
          <cell r="E970">
            <v>-0.56100000000000005</v>
          </cell>
          <cell r="F970">
            <v>-0.23499999999999943</v>
          </cell>
        </row>
        <row r="971">
          <cell r="A971">
            <v>833983</v>
          </cell>
          <cell r="B971" t="str">
            <v>ASA INT PERU CONG (MACHO) 600-1000G HAIT</v>
          </cell>
          <cell r="C971">
            <v>1.39</v>
          </cell>
          <cell r="D971">
            <v>1.39</v>
          </cell>
          <cell r="E971">
            <v>-9.6000000000000002E-2</v>
          </cell>
          <cell r="F971">
            <v>-3.6000000000000032E-2</v>
          </cell>
        </row>
        <row r="972">
          <cell r="A972">
            <v>833985</v>
          </cell>
          <cell r="B972" t="str">
            <v>ASA INT PERU CONG (FEMEA) 200-600G HAITI</v>
          </cell>
          <cell r="C972">
            <v>1.39</v>
          </cell>
          <cell r="D972">
            <v>1.39</v>
          </cell>
          <cell r="E972">
            <v>-9.6000000000000002E-2</v>
          </cell>
          <cell r="F972">
            <v>-3.6000000000000032E-2</v>
          </cell>
        </row>
        <row r="973">
          <cell r="A973">
            <v>833992</v>
          </cell>
          <cell r="B973" t="str">
            <v>ASA 1A JTA DRUM FGO CONG 50G/UP PERD DIR</v>
          </cell>
          <cell r="C973">
            <v>2.673</v>
          </cell>
          <cell r="D973">
            <v>2.673</v>
          </cell>
          <cell r="E973">
            <v>-0.7</v>
          </cell>
          <cell r="F973">
            <v>-6.3999999999999987E-2</v>
          </cell>
        </row>
        <row r="974">
          <cell r="A974">
            <v>834022</v>
          </cell>
          <cell r="B974" t="str">
            <v>FILEZINHO SUI CONG TEMP FAT BDJ H.KONG</v>
          </cell>
          <cell r="C974">
            <v>3.9390000000000001</v>
          </cell>
          <cell r="D974">
            <v>3.9390000000000001</v>
          </cell>
          <cell r="E974">
            <v>-0.106</v>
          </cell>
          <cell r="F974">
            <v>-0.10199999999999998</v>
          </cell>
        </row>
        <row r="975">
          <cell r="A975">
            <v>834084</v>
          </cell>
          <cell r="B975" t="str">
            <v>ASA 1A JTA DRUM FGO CONG PT PERD CANARIA</v>
          </cell>
          <cell r="C975">
            <v>2.4460000000000002</v>
          </cell>
          <cell r="D975">
            <v>2.4460000000000002</v>
          </cell>
          <cell r="E975">
            <v>-0.48</v>
          </cell>
          <cell r="F975">
            <v>-6.0999999999999999E-2</v>
          </cell>
        </row>
        <row r="976">
          <cell r="A976">
            <v>834085</v>
          </cell>
          <cell r="B976" t="str">
            <v>COXA C/OP DRUMS FGO CONG PT PERD CANARIA</v>
          </cell>
          <cell r="C976">
            <v>2.496</v>
          </cell>
          <cell r="D976">
            <v>2.496</v>
          </cell>
          <cell r="E976">
            <v>-0.45100000000000001</v>
          </cell>
          <cell r="F976">
            <v>-6.1999999999999944E-2</v>
          </cell>
        </row>
        <row r="977">
          <cell r="A977">
            <v>834086</v>
          </cell>
          <cell r="B977" t="str">
            <v>PEITO S/OPC C/F FGO CONG ITF PERD CANAR</v>
          </cell>
          <cell r="C977">
            <v>6.4969999999999999</v>
          </cell>
          <cell r="D977">
            <v>6.4969999999999999</v>
          </cell>
          <cell r="E977">
            <v>-0.58599999999999997</v>
          </cell>
          <cell r="F977">
            <v>-0.16500000000000001</v>
          </cell>
        </row>
        <row r="978">
          <cell r="A978">
            <v>834108</v>
          </cell>
          <cell r="B978" t="str">
            <v>PEITO S/OPFC FGO CONG FAT 50-90G ITF CAN</v>
          </cell>
          <cell r="C978">
            <v>7.1369999999999996</v>
          </cell>
          <cell r="D978">
            <v>7.1369999999999996</v>
          </cell>
          <cell r="E978">
            <v>-0.56599999999999995</v>
          </cell>
          <cell r="F978">
            <v>-0.18100000000000005</v>
          </cell>
        </row>
        <row r="979">
          <cell r="A979">
            <v>834109</v>
          </cell>
          <cell r="B979" t="str">
            <v>COXINHA ASA FGO CONG EMP PT 1KG PERD CAN</v>
          </cell>
          <cell r="C979">
            <v>6.2320000000000002</v>
          </cell>
          <cell r="D979">
            <v>6.2320000000000002</v>
          </cell>
          <cell r="E979">
            <v>-0.53700000000000003</v>
          </cell>
          <cell r="F979">
            <v>-0.15799999999999992</v>
          </cell>
        </row>
        <row r="980">
          <cell r="A980">
            <v>834110</v>
          </cell>
          <cell r="B980" t="str">
            <v>MINI CHICKEN FGO CONG PT 1KG PERD CANARI</v>
          </cell>
          <cell r="C980">
            <v>5.1950000000000003</v>
          </cell>
          <cell r="D980">
            <v>5.1950000000000003</v>
          </cell>
          <cell r="E980">
            <v>-0.51400000000000001</v>
          </cell>
          <cell r="F980">
            <v>-0.13100000000000023</v>
          </cell>
        </row>
        <row r="981">
          <cell r="A981">
            <v>834152</v>
          </cell>
          <cell r="B981" t="str">
            <v>ASA 1A JTA DRUM FGO CONG 40-50G PERD CIN</v>
          </cell>
          <cell r="C981">
            <v>3.827</v>
          </cell>
          <cell r="D981">
            <v>3.827</v>
          </cell>
          <cell r="E981">
            <v>-0.69499999999999995</v>
          </cell>
          <cell r="F981">
            <v>-9.5000000000000001E-2</v>
          </cell>
        </row>
        <row r="982">
          <cell r="A982">
            <v>834362</v>
          </cell>
          <cell r="B982" t="str">
            <v>PEITO S/OPC C/F CHT CONG ITF PERD CANARI</v>
          </cell>
          <cell r="C982">
            <v>7.5209999999999999</v>
          </cell>
          <cell r="D982">
            <v>7.5209999999999999</v>
          </cell>
          <cell r="E982">
            <v>-0.56399999999999995</v>
          </cell>
          <cell r="F982">
            <v>-0.19100000000000028</v>
          </cell>
        </row>
        <row r="983">
          <cell r="A983">
            <v>834373</v>
          </cell>
          <cell r="B983" t="str">
            <v>SOBREPALETA SUI CONG 800-1200G IND CINGA</v>
          </cell>
          <cell r="C983">
            <v>4.4550000000000001</v>
          </cell>
          <cell r="D983">
            <v>4.4550000000000001</v>
          </cell>
          <cell r="E983">
            <v>-0.76900000000000002</v>
          </cell>
          <cell r="F983">
            <v>-0.11099999999999999</v>
          </cell>
        </row>
        <row r="984">
          <cell r="A984">
            <v>834441</v>
          </cell>
          <cell r="B984" t="str">
            <v>COXA SOB S/OP FGO CONG CUBOS 15-25G CING</v>
          </cell>
          <cell r="C984">
            <v>5.0019999999999998</v>
          </cell>
          <cell r="D984">
            <v>5.0019999999999998</v>
          </cell>
          <cell r="E984">
            <v>-0.72</v>
          </cell>
          <cell r="F984">
            <v>-0.12399999999999989</v>
          </cell>
        </row>
        <row r="985">
          <cell r="A985">
            <v>834673</v>
          </cell>
          <cell r="B985" t="str">
            <v>PEITO S/OPC C/F PERU 2000G/UP PERD CANAR</v>
          </cell>
          <cell r="C985">
            <v>7.0910000000000002</v>
          </cell>
          <cell r="D985">
            <v>7.0910000000000002</v>
          </cell>
          <cell r="E985">
            <v>-0.45600000000000002</v>
          </cell>
          <cell r="F985">
            <v>-0.18</v>
          </cell>
        </row>
        <row r="986">
          <cell r="A986">
            <v>834746</v>
          </cell>
          <cell r="B986" t="str">
            <v>COXA SOB C/OP FGO CONG 260-300G CURT JAP</v>
          </cell>
          <cell r="C986">
            <v>2.7</v>
          </cell>
          <cell r="D986">
            <v>2.7</v>
          </cell>
          <cell r="E986">
            <v>-0.628</v>
          </cell>
          <cell r="F986">
            <v>-6.5999999999999948E-2</v>
          </cell>
        </row>
        <row r="987">
          <cell r="A987">
            <v>834790</v>
          </cell>
          <cell r="B987" t="str">
            <v>COXA SOB C/OP FGO CONG 160-200G CURT JAP</v>
          </cell>
          <cell r="C987">
            <v>2.681</v>
          </cell>
          <cell r="D987">
            <v>2.681</v>
          </cell>
          <cell r="E987">
            <v>-0.63800000000000001</v>
          </cell>
          <cell r="F987">
            <v>-6.3999999999999946E-2</v>
          </cell>
        </row>
        <row r="988">
          <cell r="A988">
            <v>834791</v>
          </cell>
          <cell r="B988" t="str">
            <v>COXA SOB C/OP FGO CONG 200-260G PERD JAP</v>
          </cell>
          <cell r="C988">
            <v>2.7149999999999999</v>
          </cell>
          <cell r="D988">
            <v>2.7149999999999999</v>
          </cell>
          <cell r="E988">
            <v>-0.65300000000000002</v>
          </cell>
          <cell r="F988">
            <v>-6.5000000000000058E-2</v>
          </cell>
        </row>
        <row r="989">
          <cell r="A989">
            <v>834812</v>
          </cell>
          <cell r="B989" t="str">
            <v>COXA SOB C/OP FGO CONG 300-340G CURT JAP</v>
          </cell>
          <cell r="C989">
            <v>2.802</v>
          </cell>
          <cell r="D989">
            <v>2.802</v>
          </cell>
          <cell r="E989">
            <v>-0.68400000000000005</v>
          </cell>
          <cell r="F989">
            <v>-6.800000000000006E-2</v>
          </cell>
        </row>
        <row r="990">
          <cell r="A990">
            <v>834819</v>
          </cell>
          <cell r="B990" t="str">
            <v>COXA SOB C/OP FGO CONG PT 1KG PERD ITALI</v>
          </cell>
          <cell r="C990">
            <v>2.4609999999999999</v>
          </cell>
          <cell r="D990">
            <v>2.4609999999999999</v>
          </cell>
          <cell r="E990">
            <v>-0.38100000000000001</v>
          </cell>
          <cell r="F990">
            <v>-6.1000000000000054E-2</v>
          </cell>
        </row>
        <row r="991">
          <cell r="A991">
            <v>834870</v>
          </cell>
          <cell r="B991" t="str">
            <v>FILE PEITO FGO CONG S/PTA TEND SALM INGL</v>
          </cell>
          <cell r="C991">
            <v>4.4690000000000003</v>
          </cell>
          <cell r="D991">
            <v>4.4690000000000003</v>
          </cell>
          <cell r="E991">
            <v>-0.48399999999999999</v>
          </cell>
          <cell r="F991">
            <v>-0.1120000000000001</v>
          </cell>
        </row>
        <row r="992">
          <cell r="A992">
            <v>834892</v>
          </cell>
          <cell r="B992" t="str">
            <v>ESTOMAGO SUI CONG C/CORTE H.KONG WFPK33</v>
          </cell>
          <cell r="C992">
            <v>2.2029999999999998</v>
          </cell>
          <cell r="D992">
            <v>2.2029999999999998</v>
          </cell>
          <cell r="E992">
            <v>-0.1</v>
          </cell>
          <cell r="F992">
            <v>-5.699999999999994E-2</v>
          </cell>
        </row>
        <row r="993">
          <cell r="A993">
            <v>835073</v>
          </cell>
          <cell r="B993" t="str">
            <v>PANCREAS SUI CONG BL 10KG ALEMANHA</v>
          </cell>
          <cell r="C993">
            <v>3.226</v>
          </cell>
          <cell r="D993">
            <v>3.226</v>
          </cell>
          <cell r="E993">
            <v>-0.52500000000000002</v>
          </cell>
          <cell r="F993">
            <v>-8.0000000000000071E-2</v>
          </cell>
        </row>
        <row r="994">
          <cell r="A994">
            <v>835088</v>
          </cell>
          <cell r="B994" t="str">
            <v>CARRE SUINO CONG 2,8KG/UP IND PERD HOLAN</v>
          </cell>
          <cell r="C994">
            <v>3.891</v>
          </cell>
          <cell r="D994">
            <v>3.891</v>
          </cell>
          <cell r="E994">
            <v>-0.41299999999999998</v>
          </cell>
          <cell r="F994">
            <v>-9.7999999999999976E-2</v>
          </cell>
        </row>
        <row r="995">
          <cell r="A995">
            <v>835223</v>
          </cell>
          <cell r="B995" t="str">
            <v>COXA SOB C/OP FGO CONG 320-400G ITF CING</v>
          </cell>
          <cell r="C995">
            <v>2.6339999999999999</v>
          </cell>
          <cell r="D995">
            <v>2.6339999999999999</v>
          </cell>
          <cell r="E995">
            <v>-0.66500000000000004</v>
          </cell>
          <cell r="F995">
            <v>-6.2999999999999945E-2</v>
          </cell>
        </row>
        <row r="996">
          <cell r="A996">
            <v>835224</v>
          </cell>
          <cell r="B996" t="str">
            <v>COXA C/OP FGO CONG 140-170G PT PERD CING</v>
          </cell>
          <cell r="C996">
            <v>2.63</v>
          </cell>
          <cell r="D996">
            <v>2.63</v>
          </cell>
          <cell r="E996">
            <v>-0.64400000000000002</v>
          </cell>
          <cell r="F996">
            <v>-6.3999999999999946E-2</v>
          </cell>
        </row>
        <row r="997">
          <cell r="A997">
            <v>835225</v>
          </cell>
          <cell r="B997" t="str">
            <v>SOBRECOXA C/OP FGO CONG 180-200G PT CING</v>
          </cell>
          <cell r="C997">
            <v>2.734</v>
          </cell>
          <cell r="D997">
            <v>2.734</v>
          </cell>
          <cell r="E997">
            <v>-0.66700000000000004</v>
          </cell>
          <cell r="F997">
            <v>-6.6000000000000059E-2</v>
          </cell>
        </row>
        <row r="998">
          <cell r="A998">
            <v>835278</v>
          </cell>
          <cell r="B998" t="str">
            <v>COXA SOB C/OP FGO CONG 240-260G PERD JAP</v>
          </cell>
          <cell r="C998">
            <v>2.9380000000000002</v>
          </cell>
          <cell r="D998">
            <v>2.9380000000000002</v>
          </cell>
          <cell r="E998">
            <v>-0.1</v>
          </cell>
          <cell r="F998">
            <v>-7.6000000000000068E-2</v>
          </cell>
        </row>
        <row r="999">
          <cell r="A999">
            <v>835398</v>
          </cell>
          <cell r="B999" t="str">
            <v>COXA SOB C/OP FGO CONG 180-220G PERD ITA</v>
          </cell>
          <cell r="C999">
            <v>2.5430000000000001</v>
          </cell>
          <cell r="D999">
            <v>2.5430000000000001</v>
          </cell>
          <cell r="E999">
            <v>-0.372</v>
          </cell>
          <cell r="F999">
            <v>-6.3999999999999946E-2</v>
          </cell>
        </row>
        <row r="1000">
          <cell r="A1000">
            <v>835417</v>
          </cell>
          <cell r="B1000" t="str">
            <v>COXA SOB S/O C/P FGO CONG 135-165G CING</v>
          </cell>
          <cell r="C1000">
            <v>3.827</v>
          </cell>
          <cell r="D1000">
            <v>3.827</v>
          </cell>
          <cell r="E1000">
            <v>-0.69499999999999995</v>
          </cell>
          <cell r="F1000">
            <v>-9.3999999999999972E-2</v>
          </cell>
        </row>
        <row r="1001">
          <cell r="A1001">
            <v>835480</v>
          </cell>
          <cell r="B1001" t="str">
            <v>FRANGO GRILLER 1000G PERD RUSSIA CX 10KG</v>
          </cell>
          <cell r="C1001">
            <v>1.948</v>
          </cell>
          <cell r="D1001">
            <v>1.948</v>
          </cell>
          <cell r="E1001">
            <v>-0.10100000000000001</v>
          </cell>
          <cell r="F1001">
            <v>-0.05</v>
          </cell>
        </row>
        <row r="1002">
          <cell r="A1002">
            <v>835673</v>
          </cell>
          <cell r="B1002" t="str">
            <v>COXA SOB S/O C/P FGO CONG 240-260G CINGA</v>
          </cell>
          <cell r="C1002">
            <v>4.1130000000000004</v>
          </cell>
          <cell r="D1002">
            <v>4.1130000000000004</v>
          </cell>
          <cell r="E1002">
            <v>-0.69</v>
          </cell>
          <cell r="F1002">
            <v>-0.10200000000000009</v>
          </cell>
        </row>
        <row r="1003">
          <cell r="A1003">
            <v>835674</v>
          </cell>
          <cell r="B1003" t="str">
            <v>COXA SOB C/OP FGO CONG 350-400G ITF CING</v>
          </cell>
          <cell r="C1003">
            <v>2.6070000000000002</v>
          </cell>
          <cell r="D1003">
            <v>2.6070000000000002</v>
          </cell>
          <cell r="E1003">
            <v>-0.68799999999999994</v>
          </cell>
          <cell r="F1003">
            <v>-6.3E-2</v>
          </cell>
        </row>
        <row r="1004">
          <cell r="A1004">
            <v>835715</v>
          </cell>
          <cell r="B1004" t="str">
            <v>PRESUNTO COZ RETANG PERD PC 3,25KG PARAG</v>
          </cell>
          <cell r="C1004">
            <v>4.1840000000000002</v>
          </cell>
          <cell r="D1004">
            <v>4.1840000000000002</v>
          </cell>
          <cell r="E1004">
            <v>-8.5999999999999993E-2</v>
          </cell>
          <cell r="F1004">
            <v>-0.1080000000000001</v>
          </cell>
        </row>
        <row r="1005">
          <cell r="A1005">
            <v>835716</v>
          </cell>
          <cell r="B1005" t="str">
            <v>COXA SOB C/OP FGO CONG 280-300G PERD JAP</v>
          </cell>
          <cell r="C1005">
            <v>2.9849999999999999</v>
          </cell>
          <cell r="D1005">
            <v>2.9849999999999999</v>
          </cell>
          <cell r="E1005">
            <v>-0.10100000000000001</v>
          </cell>
          <cell r="F1005">
            <v>-7.7000000000000179E-2</v>
          </cell>
        </row>
        <row r="1006">
          <cell r="A1006">
            <v>835717</v>
          </cell>
          <cell r="B1006" t="str">
            <v>COXA SOB S/OP FGO CONG ITF PERD CANARIAS</v>
          </cell>
          <cell r="C1006">
            <v>3.6909999999999998</v>
          </cell>
          <cell r="D1006">
            <v>3.6909999999999998</v>
          </cell>
          <cell r="E1006">
            <v>-0.502</v>
          </cell>
          <cell r="F1006">
            <v>-9.2000000000000082E-2</v>
          </cell>
        </row>
        <row r="1007">
          <cell r="A1007">
            <v>835833</v>
          </cell>
          <cell r="B1007" t="str">
            <v>PE FGO CONG C/CANELA BL PERD AFRICA SUL</v>
          </cell>
          <cell r="C1007">
            <v>1.0509999999999999</v>
          </cell>
          <cell r="D1007">
            <v>1.0509999999999999</v>
          </cell>
          <cell r="E1007">
            <v>-0.503</v>
          </cell>
          <cell r="F1007">
            <v>-2.300000000000002E-2</v>
          </cell>
        </row>
        <row r="1008">
          <cell r="A1008">
            <v>835835</v>
          </cell>
          <cell r="B1008" t="str">
            <v>COPA LOMBO S/O SUI CONG IWP PERD RUSSIA</v>
          </cell>
          <cell r="C1008">
            <v>5.7</v>
          </cell>
          <cell r="D1008">
            <v>5.7</v>
          </cell>
          <cell r="E1008">
            <v>-0.83699999999999997</v>
          </cell>
          <cell r="F1008">
            <v>-0.14100000000000024</v>
          </cell>
        </row>
        <row r="1009">
          <cell r="A1009">
            <v>835908</v>
          </cell>
          <cell r="B1009" t="str">
            <v>PEITO S/OPFC FGO CONG 110G/UP SALM HOLAN</v>
          </cell>
          <cell r="C1009">
            <v>4.9660000000000002</v>
          </cell>
          <cell r="D1009">
            <v>4.9660000000000002</v>
          </cell>
          <cell r="E1009">
            <v>-0.42</v>
          </cell>
          <cell r="F1009">
            <v>-0.12600000000000011</v>
          </cell>
        </row>
        <row r="1010">
          <cell r="A1010">
            <v>835928</v>
          </cell>
          <cell r="B1010" t="str">
            <v>COXA SOB C/OP FGO CONG 200G/UP PERD CANA</v>
          </cell>
          <cell r="C1010">
            <v>2.569</v>
          </cell>
          <cell r="D1010">
            <v>2.569</v>
          </cell>
          <cell r="E1010">
            <v>-0.45200000000000001</v>
          </cell>
          <cell r="F1010">
            <v>-6.4000000000000057E-2</v>
          </cell>
        </row>
        <row r="1011">
          <cell r="A1011">
            <v>835961</v>
          </cell>
          <cell r="B1011" t="str">
            <v>PEITO+COXA SOB FGO CONG FORM/EMP/COZ ING</v>
          </cell>
          <cell r="C1011">
            <v>4.6189999999999998</v>
          </cell>
          <cell r="D1011">
            <v>4.6189999999999998</v>
          </cell>
          <cell r="E1011">
            <v>-0.48699999999999999</v>
          </cell>
          <cell r="F1011">
            <v>-0.11599999999999988</v>
          </cell>
        </row>
        <row r="1012">
          <cell r="A1012">
            <v>836024</v>
          </cell>
          <cell r="B1012" t="str">
            <v>ASA INT FGO CONG BDJ PERD CARIBE CX 12KG</v>
          </cell>
          <cell r="C1012">
            <v>2.496</v>
          </cell>
          <cell r="D1012">
            <v>2.496</v>
          </cell>
          <cell r="E1012">
            <v>-9.6000000000000002E-2</v>
          </cell>
          <cell r="F1012">
            <v>-6.5000000000000058E-2</v>
          </cell>
        </row>
        <row r="1013">
          <cell r="A1013">
            <v>836051</v>
          </cell>
          <cell r="B1013" t="str">
            <v>PEITO S/O FGO CONG FORM/EMP/COZ PT CANAR</v>
          </cell>
          <cell r="C1013">
            <v>5.9560000000000004</v>
          </cell>
          <cell r="D1013">
            <v>5.9560000000000004</v>
          </cell>
          <cell r="E1013">
            <v>-0.438</v>
          </cell>
          <cell r="F1013">
            <v>-0.1509999999999998</v>
          </cell>
        </row>
        <row r="1014">
          <cell r="A1014">
            <v>836164</v>
          </cell>
          <cell r="B1014" t="str">
            <v>COXA SOB C/OP FGO CONG 160-180G CURT JAP</v>
          </cell>
          <cell r="C1014">
            <v>2.7250000000000001</v>
          </cell>
          <cell r="D1014">
            <v>2.7250000000000001</v>
          </cell>
          <cell r="E1014">
            <v>-0.64400000000000002</v>
          </cell>
          <cell r="F1014">
            <v>-6.6000000000000003E-2</v>
          </cell>
        </row>
        <row r="1015">
          <cell r="A1015">
            <v>836165</v>
          </cell>
          <cell r="B1015" t="str">
            <v>COXA SOB C/OP FGO CONG 180-260G CURT JAP</v>
          </cell>
          <cell r="C1015">
            <v>2.6930000000000001</v>
          </cell>
          <cell r="D1015">
            <v>2.6930000000000001</v>
          </cell>
          <cell r="E1015">
            <v>-0.623</v>
          </cell>
          <cell r="F1015">
            <v>-6.5000000000000002E-2</v>
          </cell>
        </row>
        <row r="1016">
          <cell r="A1016">
            <v>836166</v>
          </cell>
          <cell r="B1016" t="str">
            <v>MOELA FGO CONG PT 5KG VAC PERD JAPAO</v>
          </cell>
          <cell r="C1016">
            <v>2.4540000000000002</v>
          </cell>
          <cell r="D1016">
            <v>2.4540000000000002</v>
          </cell>
          <cell r="E1016">
            <v>-0.65500000000000003</v>
          </cell>
          <cell r="F1016">
            <v>-5.8999999999999941E-2</v>
          </cell>
        </row>
        <row r="1017">
          <cell r="A1017">
            <v>836215</v>
          </cell>
          <cell r="B1017" t="str">
            <v>ASA INT FGO CONG 120-150G ITF AFRICA SUL</v>
          </cell>
          <cell r="C1017">
            <v>2.1859999999999999</v>
          </cell>
          <cell r="D1017">
            <v>2.1859999999999999</v>
          </cell>
          <cell r="E1017">
            <v>-0.59299999999999997</v>
          </cell>
          <cell r="F1017">
            <v>-5.1999999999999991E-2</v>
          </cell>
        </row>
        <row r="1018">
          <cell r="A1018">
            <v>836273</v>
          </cell>
          <cell r="B1018" t="str">
            <v>FRANGO DESOSS C/P S/ASA/SAMBIQ CONG OMAN</v>
          </cell>
          <cell r="C1018">
            <v>4.4790000000000001</v>
          </cell>
          <cell r="D1018">
            <v>4.4790000000000001</v>
          </cell>
          <cell r="E1018">
            <v>-0.80300000000000005</v>
          </cell>
          <cell r="F1018">
            <v>-0.11</v>
          </cell>
        </row>
        <row r="1019">
          <cell r="A1019">
            <v>836275</v>
          </cell>
          <cell r="B1019" t="str">
            <v>CARNE MEC SEPAR FGO PERD AFR. SUL 1100KG</v>
          </cell>
          <cell r="C1019">
            <v>1.2050000000000001</v>
          </cell>
          <cell r="D1019">
            <v>1.2050000000000001</v>
          </cell>
          <cell r="E1019">
            <v>-0.498</v>
          </cell>
          <cell r="F1019">
            <v>-2.8000000000000004E-2</v>
          </cell>
        </row>
        <row r="1020">
          <cell r="A1020">
            <v>836315</v>
          </cell>
          <cell r="B1020" t="str">
            <v>ASA INT FGO CONG 100-120G ITF PERD RUSSI</v>
          </cell>
          <cell r="C1020">
            <v>1.865</v>
          </cell>
          <cell r="D1020">
            <v>1.865</v>
          </cell>
          <cell r="E1020">
            <v>-0.53600000000000003</v>
          </cell>
          <cell r="F1020">
            <v>-4.3999999999999997E-2</v>
          </cell>
        </row>
        <row r="1021">
          <cell r="A1021">
            <v>836316</v>
          </cell>
          <cell r="B1021" t="str">
            <v>ASA INT FGO CONG 120-150G ITF PERD RUSSI</v>
          </cell>
          <cell r="C1021">
            <v>1.8779999999999999</v>
          </cell>
          <cell r="D1021">
            <v>1.8779999999999999</v>
          </cell>
          <cell r="E1021">
            <v>-0.53800000000000003</v>
          </cell>
          <cell r="F1021">
            <v>-4.4999999999999998E-2</v>
          </cell>
        </row>
        <row r="1022">
          <cell r="A1022">
            <v>836317</v>
          </cell>
          <cell r="B1022" t="str">
            <v>PEITO S/OPC C/F CHT CONG IND/VAC CANARIA</v>
          </cell>
          <cell r="C1022">
            <v>7.3890000000000002</v>
          </cell>
          <cell r="D1022">
            <v>7.3890000000000002</v>
          </cell>
          <cell r="E1022">
            <v>-0.57599999999999996</v>
          </cell>
          <cell r="F1022">
            <v>-0.18799999999999972</v>
          </cell>
        </row>
        <row r="1023">
          <cell r="A1023">
            <v>836350</v>
          </cell>
          <cell r="B1023" t="str">
            <v>INTESTINO SUI CONG COZ 25-30CM ITF H.KON</v>
          </cell>
          <cell r="C1023">
            <v>2.4910000000000001</v>
          </cell>
          <cell r="D1023">
            <v>2.4910000000000001</v>
          </cell>
          <cell r="E1023">
            <v>-0.10100000000000001</v>
          </cell>
          <cell r="F1023">
            <v>-6.3999999999999946E-2</v>
          </cell>
        </row>
        <row r="1024">
          <cell r="A1024">
            <v>836420</v>
          </cell>
          <cell r="B1024" t="str">
            <v>ASA INT PERU CONG ITF PERD AFRICA SUL</v>
          </cell>
          <cell r="C1024">
            <v>1.847</v>
          </cell>
          <cell r="D1024">
            <v>1.847</v>
          </cell>
          <cell r="E1024">
            <v>-0.49</v>
          </cell>
          <cell r="F1024">
            <v>-4.4999999999999998E-2</v>
          </cell>
        </row>
        <row r="1025">
          <cell r="A1025">
            <v>836507</v>
          </cell>
          <cell r="B1025" t="str">
            <v>COXA C/OP FGO CONG 75-100G TA/CO/AS FRAN</v>
          </cell>
          <cell r="C1025">
            <v>5.056</v>
          </cell>
          <cell r="D1025">
            <v>5.056</v>
          </cell>
          <cell r="E1025">
            <v>-0.48699999999999999</v>
          </cell>
          <cell r="F1025">
            <v>-0.12699999999999978</v>
          </cell>
        </row>
        <row r="1026">
          <cell r="A1026">
            <v>836561</v>
          </cell>
          <cell r="B1026" t="str">
            <v>ASA INT FGO CONG 90-110G ITF PERD RUSSIA</v>
          </cell>
          <cell r="C1026">
            <v>1.7869999999999999</v>
          </cell>
          <cell r="D1026">
            <v>1.7869999999999999</v>
          </cell>
          <cell r="E1026">
            <v>-0.54100000000000004</v>
          </cell>
          <cell r="F1026">
            <v>-4.1999999999999996E-2</v>
          </cell>
        </row>
        <row r="1027">
          <cell r="A1027">
            <v>836597</v>
          </cell>
          <cell r="B1027" t="str">
            <v>SOBREC C/OP FGO CONG 160-180G PERD CINGA</v>
          </cell>
          <cell r="C1027">
            <v>2.5529999999999999</v>
          </cell>
          <cell r="D1027">
            <v>2.5529999999999999</v>
          </cell>
          <cell r="E1027">
            <v>-0.63300000000000001</v>
          </cell>
          <cell r="F1027">
            <v>-6.0999999999999999E-2</v>
          </cell>
        </row>
        <row r="1028">
          <cell r="A1028">
            <v>836598</v>
          </cell>
          <cell r="B1028" t="str">
            <v>SOBREC C/OP FGO CONG 180-200G PERD CINGA</v>
          </cell>
          <cell r="C1028">
            <v>2.6659999999999999</v>
          </cell>
          <cell r="D1028">
            <v>2.6659999999999999</v>
          </cell>
          <cell r="E1028">
            <v>-0.65300000000000002</v>
          </cell>
          <cell r="F1028">
            <v>-6.5000000000000002E-2</v>
          </cell>
        </row>
        <row r="1029">
          <cell r="A1029">
            <v>836655</v>
          </cell>
          <cell r="B1029" t="str">
            <v>LASANHA 4 QUEIJOS CONG CART 650G JAPAO</v>
          </cell>
          <cell r="C1029">
            <v>4.7610000000000001</v>
          </cell>
          <cell r="D1029">
            <v>4.7610000000000001</v>
          </cell>
          <cell r="E1029">
            <v>-6.6000000000000003E-2</v>
          </cell>
          <cell r="F1029">
            <v>-0.123</v>
          </cell>
        </row>
        <row r="1030">
          <cell r="A1030">
            <v>836656</v>
          </cell>
          <cell r="B1030" t="str">
            <v>PIZZA MUSSARELA 12 CART 440G PERD JAPAO</v>
          </cell>
          <cell r="C1030">
            <v>9.8019999999999996</v>
          </cell>
          <cell r="D1030">
            <v>9.8019999999999996</v>
          </cell>
          <cell r="E1030">
            <v>-6.5000000000000002E-2</v>
          </cell>
          <cell r="F1030">
            <v>-0.253</v>
          </cell>
        </row>
        <row r="1031">
          <cell r="A1031">
            <v>836657</v>
          </cell>
          <cell r="B1031" t="str">
            <v>PAO QUEIJO CONG PT 500G MONICA JAPAO</v>
          </cell>
          <cell r="C1031">
            <v>4.6210000000000004</v>
          </cell>
          <cell r="D1031">
            <v>4.6210000000000004</v>
          </cell>
          <cell r="E1031">
            <v>-6.5000000000000002E-2</v>
          </cell>
          <cell r="F1031">
            <v>-0.11899999999999999</v>
          </cell>
        </row>
        <row r="1032">
          <cell r="A1032">
            <v>836658</v>
          </cell>
          <cell r="B1032" t="str">
            <v>MINI PIZZA MUSSARELA MONICA JAPAO</v>
          </cell>
          <cell r="C1032">
            <v>9.8019999999999996</v>
          </cell>
          <cell r="D1032">
            <v>9.8019999999999996</v>
          </cell>
          <cell r="E1032">
            <v>-6.5000000000000002E-2</v>
          </cell>
          <cell r="F1032">
            <v>-0.25299999999999989</v>
          </cell>
        </row>
        <row r="1033">
          <cell r="A1033">
            <v>836671</v>
          </cell>
          <cell r="B1033" t="str">
            <v>COXA C/OP FGO CONG DRUM HALAL A.SAUDITA</v>
          </cell>
          <cell r="C1033">
            <v>3.3410000000000002</v>
          </cell>
          <cell r="D1033">
            <v>3.3410000000000002</v>
          </cell>
          <cell r="E1033">
            <v>-0.64200000000000002</v>
          </cell>
          <cell r="F1033">
            <v>-8.1999999999999962E-2</v>
          </cell>
        </row>
        <row r="1034">
          <cell r="A1034">
            <v>836713</v>
          </cell>
          <cell r="B1034" t="str">
            <v>SOBRECOXA S/OP PERU CONG BL ILHAS CANARI</v>
          </cell>
          <cell r="C1034">
            <v>4.673</v>
          </cell>
          <cell r="D1034">
            <v>4.673</v>
          </cell>
          <cell r="E1034">
            <v>-0.502</v>
          </cell>
          <cell r="F1034">
            <v>-0.11799999999999988</v>
          </cell>
        </row>
        <row r="1035">
          <cell r="A1035">
            <v>836796</v>
          </cell>
          <cell r="B1035" t="str">
            <v>PEITO S/OPFC FGO CONG MET TAMB/COZ INGLA</v>
          </cell>
          <cell r="C1035">
            <v>8.1829999999999998</v>
          </cell>
          <cell r="D1035">
            <v>8.1829999999999998</v>
          </cell>
          <cell r="E1035">
            <v>-0.56799999999999995</v>
          </cell>
          <cell r="F1035">
            <v>-0.20699999999999985</v>
          </cell>
        </row>
        <row r="1036">
          <cell r="A1036">
            <v>836798</v>
          </cell>
          <cell r="B1036" t="str">
            <v>PEITO S/OPFC FGO CONG CUB 12MM TA/CO ING</v>
          </cell>
          <cell r="C1036">
            <v>8.1639999999999997</v>
          </cell>
          <cell r="D1036">
            <v>8.1639999999999997</v>
          </cell>
          <cell r="E1036">
            <v>-0.57399999999999995</v>
          </cell>
          <cell r="F1036">
            <v>-0.22</v>
          </cell>
        </row>
        <row r="1037">
          <cell r="A1037">
            <v>836799</v>
          </cell>
          <cell r="B1037" t="str">
            <v>ASA 1A JTA FGO CONG 30G/UP PERD CING 16K</v>
          </cell>
          <cell r="C1037">
            <v>2.94</v>
          </cell>
          <cell r="D1037">
            <v>2.94</v>
          </cell>
          <cell r="E1037">
            <v>-0.66</v>
          </cell>
          <cell r="F1037">
            <v>-7.1000000000000008E-2</v>
          </cell>
        </row>
        <row r="1038">
          <cell r="A1038">
            <v>836827</v>
          </cell>
          <cell r="B1038" t="str">
            <v>COXA SOB C/OP FGO CONG 180-200G CURT JAP</v>
          </cell>
          <cell r="C1038">
            <v>3.48</v>
          </cell>
          <cell r="D1038">
            <v>3.48</v>
          </cell>
          <cell r="E1038">
            <v>-0.64500000000000002</v>
          </cell>
          <cell r="F1038">
            <v>-8.5000000000000006E-2</v>
          </cell>
        </row>
        <row r="1039">
          <cell r="A1039">
            <v>836828</v>
          </cell>
          <cell r="B1039" t="str">
            <v>COXA SOB C/OP FGO CONG 200-220G CURT JAP</v>
          </cell>
          <cell r="C1039">
            <v>3.4740000000000002</v>
          </cell>
          <cell r="D1039">
            <v>3.4740000000000002</v>
          </cell>
          <cell r="E1039">
            <v>-0.64</v>
          </cell>
          <cell r="F1039">
            <v>-8.5000000000000006E-2</v>
          </cell>
        </row>
        <row r="1040">
          <cell r="A1040">
            <v>836831</v>
          </cell>
          <cell r="B1040" t="str">
            <v>COXA SOB C/OP FGO CONG 260-300G PT CINGA</v>
          </cell>
          <cell r="C1040">
            <v>3.0190000000000001</v>
          </cell>
          <cell r="D1040">
            <v>3.0190000000000001</v>
          </cell>
          <cell r="E1040">
            <v>-0.66600000000000004</v>
          </cell>
          <cell r="F1040">
            <v>-7.3999999999999955E-2</v>
          </cell>
        </row>
        <row r="1041">
          <cell r="A1041">
            <v>836888</v>
          </cell>
          <cell r="B1041" t="str">
            <v>FRANGO INT C/TEMP S/M CONG PERD JAPAO</v>
          </cell>
          <cell r="C1041">
            <v>3.5569999999999999</v>
          </cell>
          <cell r="D1041">
            <v>3.5569999999999999</v>
          </cell>
          <cell r="E1041">
            <v>-0.10100000000000001</v>
          </cell>
          <cell r="F1041">
            <v>-9.2000000000000082E-2</v>
          </cell>
        </row>
        <row r="1042">
          <cell r="A1042">
            <v>836889</v>
          </cell>
          <cell r="B1042" t="str">
            <v>PEITO PERU S/OPC MET TEMP BL PERD ITALIA</v>
          </cell>
          <cell r="C1042">
            <v>7.1059999999999999</v>
          </cell>
          <cell r="D1042">
            <v>7.1059999999999999</v>
          </cell>
          <cell r="E1042">
            <v>-0.59899999999999998</v>
          </cell>
          <cell r="F1042">
            <v>-0.17900000000000027</v>
          </cell>
        </row>
        <row r="1043">
          <cell r="A1043">
            <v>836955</v>
          </cell>
          <cell r="B1043" t="str">
            <v>COXA SOB S/O C/P FGO CONG 250-350G H.KON</v>
          </cell>
          <cell r="C1043">
            <v>3.1930000000000001</v>
          </cell>
          <cell r="D1043">
            <v>3.1930000000000001</v>
          </cell>
          <cell r="E1043">
            <v>-0.1</v>
          </cell>
          <cell r="F1043">
            <v>-8.2999999999999963E-2</v>
          </cell>
        </row>
        <row r="1044">
          <cell r="A1044">
            <v>836998</v>
          </cell>
          <cell r="B1044" t="str">
            <v>PEITO S/OPFC FGO CONG PT 1KG SALM ITALIA</v>
          </cell>
          <cell r="C1044">
            <v>6.5590000000000002</v>
          </cell>
          <cell r="D1044">
            <v>6.5590000000000002</v>
          </cell>
          <cell r="E1044">
            <v>-0.59499999999999997</v>
          </cell>
          <cell r="F1044">
            <v>-0.16500000000000001</v>
          </cell>
        </row>
        <row r="1045">
          <cell r="A1045">
            <v>836999</v>
          </cell>
          <cell r="B1045" t="str">
            <v>PEITO S/OPFC FGO CONG PT 1KG SALM ITALIA</v>
          </cell>
          <cell r="C1045">
            <v>6.5590000000000002</v>
          </cell>
          <cell r="D1045">
            <v>6.5590000000000002</v>
          </cell>
          <cell r="E1045">
            <v>-0.59499999999999997</v>
          </cell>
          <cell r="F1045">
            <v>-0.16599999999999993</v>
          </cell>
        </row>
        <row r="1046">
          <cell r="A1046">
            <v>837053</v>
          </cell>
          <cell r="B1046" t="str">
            <v>ASA INT FGO CONG 80-100G ITF PERD RUSSIA</v>
          </cell>
          <cell r="C1046">
            <v>1.9059999999999999</v>
          </cell>
          <cell r="D1046">
            <v>1.9059999999999999</v>
          </cell>
          <cell r="E1046">
            <v>-0.53600000000000003</v>
          </cell>
          <cell r="F1046">
            <v>-4.5999999999999999E-2</v>
          </cell>
        </row>
        <row r="1047">
          <cell r="A1047">
            <v>837061</v>
          </cell>
          <cell r="B1047" t="str">
            <v>SALSICHA SUI HOT DOG CONG S/COR CARIBE</v>
          </cell>
          <cell r="C1047">
            <v>2.165</v>
          </cell>
          <cell r="D1047">
            <v>2.165</v>
          </cell>
          <cell r="E1047">
            <v>-9.6000000000000002E-2</v>
          </cell>
          <cell r="F1047">
            <v>-5.600000000000005E-2</v>
          </cell>
        </row>
        <row r="1048">
          <cell r="A1048">
            <v>837122</v>
          </cell>
          <cell r="B1048" t="str">
            <v>PEITO PERU S/O C/P TEMP BUT 2,5KG/UP ING</v>
          </cell>
          <cell r="C1048">
            <v>6.6130000000000004</v>
          </cell>
          <cell r="D1048">
            <v>6.6130000000000004</v>
          </cell>
          <cell r="E1048">
            <v>-0.41099999999999998</v>
          </cell>
          <cell r="F1048">
            <v>-0.16800000000000015</v>
          </cell>
        </row>
        <row r="1049">
          <cell r="A1049">
            <v>837123</v>
          </cell>
          <cell r="B1049" t="str">
            <v>PEITO S/OPFC FGO CONG MET SALM 110-130G</v>
          </cell>
          <cell r="C1049">
            <v>6.359</v>
          </cell>
          <cell r="D1049">
            <v>6.359</v>
          </cell>
          <cell r="E1049">
            <v>-0.67700000000000005</v>
          </cell>
          <cell r="F1049">
            <v>-0.16100000000000003</v>
          </cell>
        </row>
        <row r="1050">
          <cell r="A1050">
            <v>837124</v>
          </cell>
          <cell r="B1050" t="str">
            <v>PEITO S/OPFC FGO CONG MET 90GR/UP R.TCHE</v>
          </cell>
          <cell r="C1050">
            <v>5.9249999999999998</v>
          </cell>
          <cell r="D1050">
            <v>5.9249999999999998</v>
          </cell>
          <cell r="E1050">
            <v>-0.60199999999999998</v>
          </cell>
          <cell r="F1050">
            <v>-0.14900000000000002</v>
          </cell>
        </row>
        <row r="1051">
          <cell r="A1051">
            <v>837125</v>
          </cell>
          <cell r="B1051" t="str">
            <v>PEITO S/OPFC FGO CONG MET 90GR/UP R.TCHE</v>
          </cell>
          <cell r="C1051">
            <v>5.8609999999999998</v>
          </cell>
          <cell r="D1051">
            <v>5.8609999999999998</v>
          </cell>
          <cell r="E1051">
            <v>-0.59099999999999997</v>
          </cell>
          <cell r="F1051">
            <v>-0.1469999999999998</v>
          </cell>
        </row>
        <row r="1052">
          <cell r="A1052">
            <v>837126</v>
          </cell>
          <cell r="B1052" t="str">
            <v>MORTADELA CONFIANCA MINI CONG PERD CARIB</v>
          </cell>
          <cell r="C1052">
            <v>2.048</v>
          </cell>
          <cell r="D1052">
            <v>2.048</v>
          </cell>
          <cell r="E1052">
            <v>-9.6000000000000002E-2</v>
          </cell>
          <cell r="F1052">
            <v>-5.3000000000000047E-2</v>
          </cell>
        </row>
        <row r="1053">
          <cell r="A1053">
            <v>837155</v>
          </cell>
          <cell r="B1053" t="str">
            <v>COXA SOB C/OP FGO CONG ITF PERD CARIBE</v>
          </cell>
          <cell r="C1053">
            <v>2.2959999999999998</v>
          </cell>
          <cell r="D1053">
            <v>2.2959999999999998</v>
          </cell>
          <cell r="E1053">
            <v>-0.48</v>
          </cell>
          <cell r="F1053">
            <v>-5.600000000000005E-2</v>
          </cell>
        </row>
        <row r="1054">
          <cell r="A1054">
            <v>837156</v>
          </cell>
          <cell r="B1054" t="str">
            <v>ASA INT FGO CONG 80G/UP ITF PERD CARIBE</v>
          </cell>
          <cell r="C1054">
            <v>1.899</v>
          </cell>
          <cell r="D1054">
            <v>1.899</v>
          </cell>
          <cell r="E1054">
            <v>-9.6000000000000002E-2</v>
          </cell>
          <cell r="F1054">
            <v>-4.8999999999999988E-2</v>
          </cell>
        </row>
        <row r="1055">
          <cell r="A1055">
            <v>837171</v>
          </cell>
          <cell r="B1055" t="str">
            <v>PEITO S/OPFC FGO CONG PT 2,5KG BOREL EAU</v>
          </cell>
          <cell r="C1055">
            <v>7.2839999999999998</v>
          </cell>
          <cell r="D1055">
            <v>7.2839999999999998</v>
          </cell>
          <cell r="E1055">
            <v>-0.88100000000000001</v>
          </cell>
          <cell r="F1055">
            <v>-0.18399999999999972</v>
          </cell>
        </row>
        <row r="1056">
          <cell r="A1056">
            <v>837187</v>
          </cell>
          <cell r="B1056" t="str">
            <v>FILE PEITO FGO CONG S/PTA TEND BOREL EAU</v>
          </cell>
          <cell r="C1056">
            <v>6.1630000000000003</v>
          </cell>
          <cell r="D1056">
            <v>6.1630000000000003</v>
          </cell>
          <cell r="E1056">
            <v>-0.84599999999999997</v>
          </cell>
          <cell r="F1056">
            <v>-0.15399999999999991</v>
          </cell>
        </row>
        <row r="1057">
          <cell r="A1057">
            <v>837188</v>
          </cell>
          <cell r="B1057" t="str">
            <v>COXA SOB S/OP FGO CONG BL PERD JAPAO</v>
          </cell>
          <cell r="C1057">
            <v>4.0720000000000001</v>
          </cell>
          <cell r="D1057">
            <v>4.0720000000000001</v>
          </cell>
          <cell r="E1057">
            <v>-0.67300000000000004</v>
          </cell>
          <cell r="F1057">
            <v>-0.10099999999999998</v>
          </cell>
        </row>
        <row r="1058">
          <cell r="A1058">
            <v>837255</v>
          </cell>
          <cell r="B1058" t="str">
            <v>PEITO S/OPFC FGO CONG MET 120G/UP HOLAND</v>
          </cell>
          <cell r="C1058">
            <v>5.4740000000000002</v>
          </cell>
          <cell r="D1058">
            <v>5.4740000000000002</v>
          </cell>
          <cell r="E1058">
            <v>-0.41399999999999998</v>
          </cell>
          <cell r="F1058">
            <v>-0.13900000000000023</v>
          </cell>
        </row>
        <row r="1059">
          <cell r="A1059">
            <v>837327</v>
          </cell>
          <cell r="B1059" t="str">
            <v>FRANGO BROILER 1000G CONG PERD FILIPINAS</v>
          </cell>
          <cell r="C1059">
            <v>2.5640000000000001</v>
          </cell>
          <cell r="D1059">
            <v>2.5640000000000001</v>
          </cell>
          <cell r="E1059">
            <v>-0.67300000000000004</v>
          </cell>
          <cell r="F1059">
            <v>-6.2000000000000055E-2</v>
          </cell>
        </row>
        <row r="1060">
          <cell r="A1060">
            <v>837328</v>
          </cell>
          <cell r="B1060" t="str">
            <v>FRANGO BROILER 1100G CONG PERD FILIPINAS</v>
          </cell>
          <cell r="C1060">
            <v>2.5640000000000001</v>
          </cell>
          <cell r="D1060">
            <v>2.5640000000000001</v>
          </cell>
          <cell r="E1060">
            <v>-0.67300000000000004</v>
          </cell>
          <cell r="F1060">
            <v>-6.0999999999999943E-2</v>
          </cell>
        </row>
        <row r="1061">
          <cell r="A1061">
            <v>837329</v>
          </cell>
          <cell r="B1061" t="str">
            <v>FRANGO BROILER 1200G CONG PERD FILIPINAS</v>
          </cell>
          <cell r="C1061">
            <v>2.5640000000000001</v>
          </cell>
          <cell r="D1061">
            <v>2.5640000000000001</v>
          </cell>
          <cell r="E1061">
            <v>-0.67300000000000004</v>
          </cell>
          <cell r="F1061">
            <v>-6.0999999999999943E-2</v>
          </cell>
        </row>
        <row r="1062">
          <cell r="A1062">
            <v>837330</v>
          </cell>
          <cell r="B1062" t="str">
            <v>FRANGO BROILER 1300G CONG PERD FILIPINAS</v>
          </cell>
          <cell r="C1062">
            <v>2.5640000000000001</v>
          </cell>
          <cell r="D1062">
            <v>2.5640000000000001</v>
          </cell>
          <cell r="E1062">
            <v>-0.67300000000000004</v>
          </cell>
          <cell r="F1062">
            <v>-6.0999999999999943E-2</v>
          </cell>
        </row>
        <row r="1063">
          <cell r="A1063">
            <v>837331</v>
          </cell>
          <cell r="B1063" t="str">
            <v>FRANGO BROILER 1400G CONG PERD FILIPINAS</v>
          </cell>
          <cell r="C1063">
            <v>2.5640000000000001</v>
          </cell>
          <cell r="D1063">
            <v>2.5640000000000001</v>
          </cell>
          <cell r="E1063">
            <v>-0.67300000000000004</v>
          </cell>
          <cell r="F1063">
            <v>-6.1999999999999944E-2</v>
          </cell>
        </row>
        <row r="1064">
          <cell r="A1064">
            <v>837342</v>
          </cell>
          <cell r="B1064" t="str">
            <v>FRANGO BROILER 1500G CONG PERD FILIPINAS</v>
          </cell>
          <cell r="C1064">
            <v>2.5640000000000001</v>
          </cell>
          <cell r="D1064">
            <v>2.5640000000000001</v>
          </cell>
          <cell r="E1064">
            <v>-0.67300000000000004</v>
          </cell>
          <cell r="F1064">
            <v>-6.2000000000000055E-2</v>
          </cell>
        </row>
        <row r="1065">
          <cell r="A1065">
            <v>837346</v>
          </cell>
          <cell r="B1065" t="str">
            <v>PEITO S/OPFC FGO CONG MET 80G/UP BL ROME</v>
          </cell>
          <cell r="C1065">
            <v>5.4550000000000001</v>
          </cell>
          <cell r="D1065">
            <v>5.4550000000000001</v>
          </cell>
          <cell r="E1065">
            <v>-0.66300000000000003</v>
          </cell>
          <cell r="F1065">
            <v>-0.13600000000000012</v>
          </cell>
        </row>
        <row r="1066">
          <cell r="A1066">
            <v>837395</v>
          </cell>
          <cell r="B1066" t="str">
            <v>FRANGO BROILER 1400G CONG PERD EAU</v>
          </cell>
          <cell r="C1066">
            <v>2.3370000000000002</v>
          </cell>
          <cell r="D1066">
            <v>2.3370000000000002</v>
          </cell>
          <cell r="E1066">
            <v>-0.73599999999999999</v>
          </cell>
          <cell r="F1066">
            <v>-5.5E-2</v>
          </cell>
        </row>
        <row r="1067">
          <cell r="A1067">
            <v>837396</v>
          </cell>
          <cell r="B1067" t="str">
            <v>FRANGO BROILER 1500G CONG PERD EAU</v>
          </cell>
          <cell r="C1067">
            <v>2.3370000000000002</v>
          </cell>
          <cell r="D1067">
            <v>2.3370000000000002</v>
          </cell>
          <cell r="E1067">
            <v>-0.73599999999999999</v>
          </cell>
          <cell r="F1067">
            <v>-5.5E-2</v>
          </cell>
        </row>
        <row r="1068">
          <cell r="A1068">
            <v>837397</v>
          </cell>
          <cell r="B1068" t="str">
            <v>FRANGO BROILER 1600G CONG PERD EAU</v>
          </cell>
          <cell r="C1068">
            <v>2.3370000000000002</v>
          </cell>
          <cell r="D1068">
            <v>2.3370000000000002</v>
          </cell>
          <cell r="E1068">
            <v>-0.73599999999999999</v>
          </cell>
          <cell r="F1068">
            <v>-5.5E-2</v>
          </cell>
        </row>
        <row r="1069">
          <cell r="A1069">
            <v>837398</v>
          </cell>
          <cell r="B1069" t="str">
            <v>FRANGO BROILER 1700G CONG PERD EAU</v>
          </cell>
          <cell r="C1069">
            <v>2.3370000000000002</v>
          </cell>
          <cell r="D1069">
            <v>2.3370000000000002</v>
          </cell>
          <cell r="E1069">
            <v>-0.73599999999999999</v>
          </cell>
          <cell r="F1069">
            <v>-5.5E-2</v>
          </cell>
        </row>
        <row r="1070">
          <cell r="A1070">
            <v>837399</v>
          </cell>
          <cell r="B1070" t="str">
            <v>FRANGO BROILER 1800G CONG PERD EAU</v>
          </cell>
          <cell r="C1070">
            <v>2.3370000000000002</v>
          </cell>
          <cell r="D1070">
            <v>2.3370000000000002</v>
          </cell>
          <cell r="E1070">
            <v>-0.73599999999999999</v>
          </cell>
          <cell r="F1070">
            <v>-5.5E-2</v>
          </cell>
        </row>
        <row r="1071">
          <cell r="A1071">
            <v>837492</v>
          </cell>
          <cell r="B1071" t="str">
            <v>FRANGO GRILLER CONG 1600G ALNOOR OMAN</v>
          </cell>
          <cell r="C1071">
            <v>2.8370000000000002</v>
          </cell>
          <cell r="D1071">
            <v>2.8370000000000002</v>
          </cell>
          <cell r="E1071">
            <v>-0.65500000000000003</v>
          </cell>
          <cell r="F1071">
            <v>-6.899999999999995E-2</v>
          </cell>
        </row>
        <row r="1072">
          <cell r="A1072">
            <v>837494</v>
          </cell>
          <cell r="B1072" t="str">
            <v>COXA C/OP FGO CONG DRUM ALNOOR EAU</v>
          </cell>
          <cell r="C1072">
            <v>3.282</v>
          </cell>
          <cell r="D1072">
            <v>3.282</v>
          </cell>
          <cell r="E1072">
            <v>-0.75700000000000001</v>
          </cell>
          <cell r="F1072">
            <v>-7.8999999999999959E-2</v>
          </cell>
        </row>
        <row r="1073">
          <cell r="A1073">
            <v>837499</v>
          </cell>
          <cell r="B1073" t="str">
            <v>PEITO S/OPFC FGO CONG MET TAMB/COZ ITALI</v>
          </cell>
          <cell r="C1073">
            <v>7.5759999999999996</v>
          </cell>
          <cell r="D1073">
            <v>7.5759999999999996</v>
          </cell>
          <cell r="E1073">
            <v>-0.71499999999999997</v>
          </cell>
          <cell r="F1073">
            <v>-0.19</v>
          </cell>
        </row>
        <row r="1074">
          <cell r="A1074">
            <v>837500</v>
          </cell>
          <cell r="B1074" t="str">
            <v>PEITO S/OPFC FGO CONG MET 90G/UP R.THECA</v>
          </cell>
          <cell r="C1074">
            <v>5.077</v>
          </cell>
          <cell r="D1074">
            <v>5.077</v>
          </cell>
          <cell r="E1074">
            <v>-0.56100000000000005</v>
          </cell>
          <cell r="F1074">
            <v>-0.127</v>
          </cell>
        </row>
        <row r="1075">
          <cell r="A1075">
            <v>837562</v>
          </cell>
          <cell r="B1075" t="str">
            <v>COXA SOB S/O C/P FGO CONG 20-25G SUN JAP</v>
          </cell>
          <cell r="C1075">
            <v>5.1310000000000002</v>
          </cell>
          <cell r="D1075">
            <v>5.1310000000000002</v>
          </cell>
          <cell r="E1075">
            <v>-0.60199999999999998</v>
          </cell>
          <cell r="F1075">
            <v>-0.12800000000000011</v>
          </cell>
        </row>
        <row r="1076">
          <cell r="A1076">
            <v>837563</v>
          </cell>
          <cell r="B1076" t="str">
            <v>COXA SOB S/O C/P FGO CONG 25-30G SUN JAP</v>
          </cell>
          <cell r="C1076">
            <v>5.242</v>
          </cell>
          <cell r="D1076">
            <v>5.242</v>
          </cell>
          <cell r="E1076">
            <v>-0.61699999999999999</v>
          </cell>
          <cell r="F1076">
            <v>-0.13100000000000023</v>
          </cell>
        </row>
        <row r="1077">
          <cell r="A1077">
            <v>837564</v>
          </cell>
          <cell r="B1077" t="str">
            <v>COXA SOB SO CP FGO CONG 210G/UP SUN JAPA</v>
          </cell>
          <cell r="C1077">
            <v>4.7910000000000004</v>
          </cell>
          <cell r="D1077">
            <v>4.7910000000000004</v>
          </cell>
          <cell r="E1077">
            <v>-0.625</v>
          </cell>
          <cell r="F1077">
            <v>-0.11900000000000022</v>
          </cell>
        </row>
        <row r="1078">
          <cell r="A1078">
            <v>837795</v>
          </cell>
          <cell r="B1078" t="str">
            <v>ASA 2A JTA FGO CONG 40-50G PT PERD JAPAO</v>
          </cell>
          <cell r="C1078">
            <v>5.2110000000000003</v>
          </cell>
          <cell r="D1078">
            <v>5.2110000000000003</v>
          </cell>
          <cell r="E1078">
            <v>-0.66100000000000003</v>
          </cell>
          <cell r="F1078">
            <v>-0.13</v>
          </cell>
        </row>
        <row r="1079">
          <cell r="A1079">
            <v>837796</v>
          </cell>
          <cell r="B1079" t="str">
            <v>ASA 2A JTA FGO CONG 35G/UP PERD JAPAO</v>
          </cell>
          <cell r="C1079">
            <v>4.7830000000000004</v>
          </cell>
          <cell r="D1079">
            <v>4.7830000000000004</v>
          </cell>
          <cell r="E1079">
            <v>-0.65500000000000003</v>
          </cell>
          <cell r="F1079">
            <v>-0.11899999999999977</v>
          </cell>
        </row>
        <row r="1080">
          <cell r="A1080">
            <v>837798</v>
          </cell>
          <cell r="B1080" t="str">
            <v>ASA 2A JTA FGO CONG 45-55G PERD JAPAO</v>
          </cell>
          <cell r="C1080">
            <v>4.7830000000000004</v>
          </cell>
          <cell r="D1080">
            <v>4.7830000000000004</v>
          </cell>
          <cell r="E1080">
            <v>-0.65500000000000003</v>
          </cell>
          <cell r="F1080">
            <v>-0.11900000000000022</v>
          </cell>
        </row>
        <row r="1081">
          <cell r="A1081">
            <v>194689</v>
          </cell>
          <cell r="B1081" t="str">
            <v>ADI015 ASA 1A JTA FGO ITF PERD CX 15KG</v>
          </cell>
          <cell r="C1081">
            <v>2.0110000000000001</v>
          </cell>
          <cell r="D1081">
            <v>1.786</v>
          </cell>
          <cell r="E1081">
            <v>-0.12</v>
          </cell>
          <cell r="F1081">
            <v>-0.11899999999999999</v>
          </cell>
        </row>
        <row r="1082">
          <cell r="A1082">
            <v>827566</v>
          </cell>
          <cell r="B1082" t="str">
            <v>CISB13 COSTELA SUI SALG BAT CX 13KG</v>
          </cell>
          <cell r="C1082">
            <v>2.3319999999999999</v>
          </cell>
          <cell r="D1082">
            <v>1.964</v>
          </cell>
          <cell r="E1082">
            <v>-0.152</v>
          </cell>
          <cell r="F1082">
            <v>-0.19400000000000006</v>
          </cell>
        </row>
        <row r="1083">
          <cell r="A1083">
            <v>822176</v>
          </cell>
          <cell r="B1083" t="str">
            <v>CPZ007 CHICKEN PIZZA PERD 12 CART 600G</v>
          </cell>
          <cell r="C1083">
            <v>0.627</v>
          </cell>
          <cell r="D1083">
            <v>0.46300000000000002</v>
          </cell>
          <cell r="E1083">
            <v>-0.28999999999999998</v>
          </cell>
          <cell r="F1083">
            <v>-0.49699999999999989</v>
          </cell>
        </row>
        <row r="1084">
          <cell r="A1084">
            <v>2088</v>
          </cell>
          <cell r="B1084" t="str">
            <v>CSCB15 COXA SOB C/OP CONG BAT ITF CX15KG</v>
          </cell>
          <cell r="C1084">
            <v>1.915</v>
          </cell>
          <cell r="D1084">
            <v>1.7090000000000001</v>
          </cell>
          <cell r="E1084">
            <v>-0.19700000000000001</v>
          </cell>
          <cell r="F1084">
            <v>-0.14400000000000002</v>
          </cell>
        </row>
        <row r="1085">
          <cell r="A1085">
            <v>729035</v>
          </cell>
          <cell r="B1085" t="str">
            <v>FIL010 FILE MIGNON SUI CONG PERD CX 10KG</v>
          </cell>
          <cell r="C1085">
            <v>3.7210000000000001</v>
          </cell>
          <cell r="D1085">
            <v>3.5430000000000001</v>
          </cell>
          <cell r="E1085">
            <v>-0.32100000000000001</v>
          </cell>
          <cell r="F1085">
            <v>-0.38100000000000001</v>
          </cell>
        </row>
        <row r="1086">
          <cell r="A1086">
            <v>3155</v>
          </cell>
          <cell r="B1086" t="str">
            <v>FILB20 FILEZINHO SUI CONG BAT CX 20KG</v>
          </cell>
          <cell r="C1086">
            <v>3.097</v>
          </cell>
          <cell r="D1086">
            <v>2.7589999999999999</v>
          </cell>
          <cell r="E1086">
            <v>-0.20399999999999999</v>
          </cell>
          <cell r="F1086">
            <v>-0.38200000000000001</v>
          </cell>
        </row>
        <row r="1087">
          <cell r="A1087">
            <v>326879</v>
          </cell>
          <cell r="B1087" t="str">
            <v>LEI001 LEITAO CONG 8KG ACIMA</v>
          </cell>
          <cell r="C1087">
            <v>3.5219999999999998</v>
          </cell>
          <cell r="D1087">
            <v>3.1469999999999998</v>
          </cell>
          <cell r="E1087">
            <v>0</v>
          </cell>
          <cell r="F1087">
            <v>-0.30800000000000005</v>
          </cell>
        </row>
        <row r="1088">
          <cell r="A1088">
            <v>812609</v>
          </cell>
          <cell r="B1088" t="str">
            <v>MHT210 MORTADELA CHESTEREL 2PC CX 10,5KG</v>
          </cell>
          <cell r="C1088">
            <v>2.0419999999999998</v>
          </cell>
          <cell r="D1088">
            <v>1.62</v>
          </cell>
          <cell r="E1088">
            <v>0</v>
          </cell>
          <cell r="F1088">
            <v>-0.44899999999999995</v>
          </cell>
        </row>
        <row r="1089">
          <cell r="A1089">
            <v>797413</v>
          </cell>
          <cell r="B1089" t="str">
            <v>MKB003 MINI KIBE CONG PERD INST CX 3KG</v>
          </cell>
          <cell r="C1089">
            <v>0.98799999999999999</v>
          </cell>
          <cell r="D1089">
            <v>0.749</v>
          </cell>
          <cell r="E1089">
            <v>-0.378</v>
          </cell>
          <cell r="F1089">
            <v>-0.10699999999999998</v>
          </cell>
        </row>
        <row r="1090">
          <cell r="A1090">
            <v>6017</v>
          </cell>
          <cell r="B1090" t="str">
            <v>MPRB07 MORT PERU BAT 4PC CX 6,8KG</v>
          </cell>
          <cell r="C1090">
            <v>2.4980000000000002</v>
          </cell>
          <cell r="D1090">
            <v>2.2290000000000001</v>
          </cell>
          <cell r="E1090">
            <v>-3.1789999999999998</v>
          </cell>
          <cell r="F1090">
            <v>-0.16299999999999981</v>
          </cell>
        </row>
        <row r="1091">
          <cell r="A1091">
            <v>3194</v>
          </cell>
          <cell r="B1091" t="str">
            <v>MTUB12 MORT TUBULAR BATAVO CX 12KG</v>
          </cell>
          <cell r="C1091">
            <v>1.5189999999999999</v>
          </cell>
          <cell r="D1091">
            <v>1.3220000000000001</v>
          </cell>
          <cell r="E1091">
            <v>-0.185</v>
          </cell>
          <cell r="F1091">
            <v>-0.17399999999999999</v>
          </cell>
        </row>
        <row r="1092">
          <cell r="A1092">
            <v>3011</v>
          </cell>
          <cell r="B1092" t="str">
            <v>PALB08 PALETA DESOS TEMP CONG BATAVO</v>
          </cell>
          <cell r="C1092">
            <v>3.0859999999999999</v>
          </cell>
          <cell r="D1092">
            <v>2.6720000000000002</v>
          </cell>
          <cell r="E1092">
            <v>-0.20300000000000001</v>
          </cell>
          <cell r="F1092">
            <v>-0.38100000000000001</v>
          </cell>
        </row>
        <row r="1093">
          <cell r="A1093">
            <v>3001</v>
          </cell>
          <cell r="B1093" t="str">
            <v>PENB08 PERNIL S/O TEMP CONG BATAV CX 8KG</v>
          </cell>
          <cell r="C1093">
            <v>3.9729999999999999</v>
          </cell>
          <cell r="D1093">
            <v>3.4569999999999999</v>
          </cell>
          <cell r="E1093">
            <v>-0.221</v>
          </cell>
          <cell r="F1093">
            <v>-0.497</v>
          </cell>
        </row>
        <row r="1094">
          <cell r="A1094">
            <v>6037</v>
          </cell>
          <cell r="B1094" t="str">
            <v>PERB16 PERU INT TEMP BAT 7,1 A 9KG F7</v>
          </cell>
          <cell r="C1094">
            <v>3.4940000000000002</v>
          </cell>
          <cell r="D1094">
            <v>2.8534000000000002</v>
          </cell>
          <cell r="E1094">
            <v>-0.50360000000000005</v>
          </cell>
          <cell r="F1094">
            <v>-0.3085</v>
          </cell>
        </row>
        <row r="1095">
          <cell r="A1095">
            <v>6035</v>
          </cell>
          <cell r="B1095" t="str">
            <v>PERB17 PERU INT TEMP BAT 5,01 A 6KG F5</v>
          </cell>
          <cell r="C1095">
            <v>3.4630999999999998</v>
          </cell>
          <cell r="D1095">
            <v>2.8633999999999999</v>
          </cell>
          <cell r="E1095">
            <v>-0.3407</v>
          </cell>
          <cell r="F1095">
            <v>-0.3362</v>
          </cell>
        </row>
        <row r="1096">
          <cell r="A1096">
            <v>6036</v>
          </cell>
          <cell r="B1096" t="str">
            <v>PERB19 PERU INT TEMP BAT 6,01 A 7KG F6</v>
          </cell>
          <cell r="C1096">
            <v>3.4872000000000001</v>
          </cell>
          <cell r="D1096">
            <v>2.8313999999999999</v>
          </cell>
          <cell r="E1096">
            <v>-0.4365</v>
          </cell>
          <cell r="F1096">
            <v>-0.34360000000000002</v>
          </cell>
        </row>
        <row r="1097">
          <cell r="A1097">
            <v>825336</v>
          </cell>
          <cell r="B1097" t="str">
            <v>SFFB12 SALSICHA FGO FRESKI PT2KG CX 12KG</v>
          </cell>
          <cell r="C1097">
            <v>1.958</v>
          </cell>
          <cell r="D1097">
            <v>1.6990000000000001</v>
          </cell>
          <cell r="E1097">
            <v>-0.19700000000000001</v>
          </cell>
          <cell r="F1097">
            <v>-0.19500000000000001</v>
          </cell>
        </row>
        <row r="1098">
          <cell r="A1098">
            <v>199567</v>
          </cell>
          <cell r="B1098" t="str">
            <v>FRANGO GRILLER 1100G CONG PERD BAHRAIN</v>
          </cell>
          <cell r="C1098">
            <v>2.5019999999999998</v>
          </cell>
          <cell r="D1098">
            <v>2.5019999999999998</v>
          </cell>
          <cell r="E1098">
            <v>-0.64600000000000002</v>
          </cell>
          <cell r="F1098">
            <v>-5.4000000000000048E-2</v>
          </cell>
        </row>
        <row r="1099">
          <cell r="A1099">
            <v>199753</v>
          </cell>
          <cell r="B1099" t="str">
            <v>FRANGO BROILER 1400G CONG PERD CINGAP</v>
          </cell>
          <cell r="C1099">
            <v>2.286</v>
          </cell>
          <cell r="D1099">
            <v>2.286</v>
          </cell>
          <cell r="E1099">
            <v>-0.59899999999999998</v>
          </cell>
          <cell r="F1099">
            <v>-0.05</v>
          </cell>
        </row>
        <row r="1100">
          <cell r="A1100">
            <v>200107</v>
          </cell>
          <cell r="B1100" t="str">
            <v>FRANGO GRILLER 900G CONG PERD KUWAIT</v>
          </cell>
          <cell r="C1100">
            <v>2.7189999999999999</v>
          </cell>
          <cell r="D1100">
            <v>2.7189999999999999</v>
          </cell>
          <cell r="E1100">
            <v>-0.70099999999999996</v>
          </cell>
          <cell r="F1100">
            <v>-5.9000000000000052E-2</v>
          </cell>
        </row>
        <row r="1101">
          <cell r="A1101">
            <v>200115</v>
          </cell>
          <cell r="B1101" t="str">
            <v>FRANGO GRILLER 1000G CONG PERD KUWAIT</v>
          </cell>
          <cell r="C1101">
            <v>2.7189999999999999</v>
          </cell>
          <cell r="D1101">
            <v>2.7189999999999999</v>
          </cell>
          <cell r="E1101">
            <v>-0.70099999999999996</v>
          </cell>
          <cell r="F1101">
            <v>-5.8999999999999941E-2</v>
          </cell>
        </row>
        <row r="1102">
          <cell r="A1102">
            <v>200123</v>
          </cell>
          <cell r="B1102" t="str">
            <v>FRANGO GRILLER 1100G CONG PERD KUWAIT</v>
          </cell>
          <cell r="C1102">
            <v>2.7189999999999999</v>
          </cell>
          <cell r="D1102">
            <v>2.7189999999999999</v>
          </cell>
          <cell r="E1102">
            <v>-0.70099999999999996</v>
          </cell>
          <cell r="F1102">
            <v>-5.799999999999994E-2</v>
          </cell>
        </row>
        <row r="1103">
          <cell r="A1103">
            <v>224243</v>
          </cell>
          <cell r="B1103" t="str">
            <v>INTESTINO SUI COZIDO CONG ITF PER H.KONG</v>
          </cell>
          <cell r="C1103">
            <v>1.8340000000000001</v>
          </cell>
          <cell r="D1103">
            <v>1.8340000000000001</v>
          </cell>
          <cell r="E1103">
            <v>-0.11</v>
          </cell>
          <cell r="F1103">
            <v>-4.1999999999999926E-2</v>
          </cell>
        </row>
        <row r="1104">
          <cell r="A1104">
            <v>247375</v>
          </cell>
          <cell r="B1104" t="str">
            <v>FRANGO GRILLER 1100G CONG BOR KUWAIT</v>
          </cell>
          <cell r="C1104">
            <v>2.6789999999999998</v>
          </cell>
          <cell r="D1104">
            <v>2.6789999999999998</v>
          </cell>
          <cell r="E1104">
            <v>-0.70699999999999996</v>
          </cell>
          <cell r="F1104">
            <v>-5.6999999999999995E-2</v>
          </cell>
        </row>
        <row r="1105">
          <cell r="A1105">
            <v>466026</v>
          </cell>
          <cell r="B1105" t="str">
            <v>FRANGO GRILLER 1400G CONG PERD KUWAIT</v>
          </cell>
          <cell r="C1105">
            <v>2.7189999999999999</v>
          </cell>
          <cell r="D1105">
            <v>2.7189999999999999</v>
          </cell>
          <cell r="E1105">
            <v>-0.70099999999999996</v>
          </cell>
          <cell r="F1105">
            <v>-5.9000000000000052E-2</v>
          </cell>
        </row>
        <row r="1106">
          <cell r="A1106">
            <v>481858</v>
          </cell>
          <cell r="B1106" t="str">
            <v>COXA SOB C/OP FGO CONG 140-160G CL JAP</v>
          </cell>
          <cell r="C1106">
            <v>3.2109999999999999</v>
          </cell>
          <cell r="D1106">
            <v>3.2109999999999999</v>
          </cell>
          <cell r="E1106">
            <v>-0.59199999999999997</v>
          </cell>
          <cell r="F1106">
            <v>-7.0999999999999952E-2</v>
          </cell>
        </row>
        <row r="1107">
          <cell r="A1107">
            <v>483192</v>
          </cell>
          <cell r="B1107" t="str">
            <v>FRANGO GRILLER 800G CONG UNEF KUWAIT</v>
          </cell>
          <cell r="C1107">
            <v>2.7189999999999999</v>
          </cell>
          <cell r="D1107">
            <v>2.7189999999999999</v>
          </cell>
          <cell r="E1107">
            <v>-0.67900000000000005</v>
          </cell>
          <cell r="F1107">
            <v>-5.8999999999999941E-2</v>
          </cell>
        </row>
        <row r="1108">
          <cell r="A1108">
            <v>483281</v>
          </cell>
          <cell r="B1108" t="str">
            <v>COXA C/OP FGO CONG DRUMS 12BD KUWAIT</v>
          </cell>
          <cell r="C1108">
            <v>3.3250000000000002</v>
          </cell>
          <cell r="D1108">
            <v>3.3250000000000002</v>
          </cell>
          <cell r="E1108">
            <v>-0.74099999999999999</v>
          </cell>
          <cell r="F1108">
            <v>-7.2999999999999954E-2</v>
          </cell>
        </row>
        <row r="1109">
          <cell r="A1109">
            <v>497800</v>
          </cell>
          <cell r="B1109" t="str">
            <v>FRANGO BROILER 1700G CONG PERD CINGAP</v>
          </cell>
          <cell r="C1109">
            <v>2.2629999999999999</v>
          </cell>
          <cell r="D1109">
            <v>2.2629999999999999</v>
          </cell>
          <cell r="E1109">
            <v>-0.59699999999999998</v>
          </cell>
          <cell r="F1109">
            <v>-4.8999999999999988E-2</v>
          </cell>
        </row>
        <row r="1110">
          <cell r="A1110">
            <v>524654</v>
          </cell>
          <cell r="B1110" t="str">
            <v>COXA C/OP FGO CONG 12BD UNEF EAU</v>
          </cell>
          <cell r="C1110">
            <v>3.3170000000000002</v>
          </cell>
          <cell r="D1110">
            <v>3.3170000000000002</v>
          </cell>
          <cell r="E1110">
            <v>-0.745</v>
          </cell>
          <cell r="F1110">
            <v>-7.2000000000000064E-2</v>
          </cell>
        </row>
        <row r="1111">
          <cell r="A1111">
            <v>560499</v>
          </cell>
          <cell r="B1111" t="str">
            <v>COXA C/OP FGO CONG 12BD HALAL QATAR</v>
          </cell>
          <cell r="C1111">
            <v>3.2309999999999999</v>
          </cell>
          <cell r="D1111">
            <v>3.2309999999999999</v>
          </cell>
          <cell r="E1111">
            <v>-0.82199999999999995</v>
          </cell>
          <cell r="F1111">
            <v>-7.0000000000000062E-2</v>
          </cell>
        </row>
        <row r="1112">
          <cell r="A1112">
            <v>562289</v>
          </cell>
          <cell r="B1112" t="str">
            <v>FRANGO BROILER 1800G CONG PERD CINGAP</v>
          </cell>
          <cell r="C1112">
            <v>2.2629999999999999</v>
          </cell>
          <cell r="D1112">
            <v>2.2629999999999999</v>
          </cell>
          <cell r="E1112">
            <v>-0.59699999999999998</v>
          </cell>
          <cell r="F1112">
            <v>-4.8999999999999988E-2</v>
          </cell>
        </row>
        <row r="1113">
          <cell r="A1113">
            <v>585050</v>
          </cell>
          <cell r="B1113" t="str">
            <v>FRANGO GRILLER 800G CONG PERD KUWAIT</v>
          </cell>
          <cell r="C1113">
            <v>2.7189999999999999</v>
          </cell>
          <cell r="D1113">
            <v>2.7189999999999999</v>
          </cell>
          <cell r="E1113">
            <v>-0.70099999999999996</v>
          </cell>
          <cell r="F1113">
            <v>-5.9000000000000052E-2</v>
          </cell>
        </row>
        <row r="1114">
          <cell r="A1114">
            <v>592757</v>
          </cell>
          <cell r="B1114" t="str">
            <v>FRANGO GRILLER 1500G CONG UNEF KUWAIT</v>
          </cell>
          <cell r="C1114">
            <v>2.7189999999999999</v>
          </cell>
          <cell r="D1114">
            <v>2.7189999999999999</v>
          </cell>
          <cell r="E1114">
            <v>-0.67900000000000005</v>
          </cell>
          <cell r="F1114">
            <v>-5.9000000000000052E-2</v>
          </cell>
        </row>
        <row r="1115">
          <cell r="A1115">
            <v>651559</v>
          </cell>
          <cell r="B1115" t="str">
            <v>COXA SOB SO CP FGO CONG PT 2,5KG PERD KU</v>
          </cell>
          <cell r="C1115">
            <v>4.22</v>
          </cell>
          <cell r="D1115">
            <v>4.22</v>
          </cell>
          <cell r="E1115">
            <v>-0.78400000000000003</v>
          </cell>
          <cell r="F1115">
            <v>-9.3000000000000194E-2</v>
          </cell>
        </row>
        <row r="1116">
          <cell r="A1116">
            <v>657425</v>
          </cell>
          <cell r="B1116" t="str">
            <v>FRANGO GRILLER 950G CONG PERD H.KONG</v>
          </cell>
          <cell r="C1116">
            <v>1.9710000000000001</v>
          </cell>
          <cell r="D1116">
            <v>1.9710000000000001</v>
          </cell>
          <cell r="E1116">
            <v>-0.111</v>
          </cell>
          <cell r="F1116">
            <v>-4.6000000000000041E-2</v>
          </cell>
        </row>
        <row r="1117">
          <cell r="A1117">
            <v>657441</v>
          </cell>
          <cell r="B1117" t="str">
            <v>FRANGO GRILLER 1200G CONG PERD H.KONG</v>
          </cell>
          <cell r="C1117">
            <v>1.972</v>
          </cell>
          <cell r="D1117">
            <v>1.972</v>
          </cell>
          <cell r="E1117">
            <v>-0.111</v>
          </cell>
          <cell r="F1117">
            <v>-4.599999999999993E-2</v>
          </cell>
        </row>
        <row r="1118">
          <cell r="A1118">
            <v>657484</v>
          </cell>
          <cell r="B1118" t="str">
            <v>FRANGO GRILLER 900G CONG UNEF KUWAIT</v>
          </cell>
          <cell r="C1118">
            <v>2.7189999999999999</v>
          </cell>
          <cell r="D1118">
            <v>2.7189999999999999</v>
          </cell>
          <cell r="E1118">
            <v>-0.67900000000000005</v>
          </cell>
          <cell r="F1118">
            <v>-5.8999999999999941E-2</v>
          </cell>
        </row>
        <row r="1119">
          <cell r="A1119">
            <v>657492</v>
          </cell>
          <cell r="B1119" t="str">
            <v>FRANGO GRILLER 1000G CONG UNEF KUWAIT</v>
          </cell>
          <cell r="C1119">
            <v>2.7240000000000002</v>
          </cell>
          <cell r="D1119">
            <v>2.7240000000000002</v>
          </cell>
          <cell r="E1119">
            <v>-0.67600000000000005</v>
          </cell>
          <cell r="F1119">
            <v>-5.8999999999999997E-2</v>
          </cell>
        </row>
        <row r="1120">
          <cell r="A1120">
            <v>657514</v>
          </cell>
          <cell r="B1120" t="str">
            <v>FRANGO GRILLER 1200G CONG UNEF KUWAIT</v>
          </cell>
          <cell r="C1120">
            <v>2.7240000000000002</v>
          </cell>
          <cell r="D1120">
            <v>2.7240000000000002</v>
          </cell>
          <cell r="E1120">
            <v>-0.67600000000000005</v>
          </cell>
          <cell r="F1120">
            <v>-5.8999999999999997E-2</v>
          </cell>
        </row>
        <row r="1121">
          <cell r="A1121">
            <v>664162</v>
          </cell>
          <cell r="B1121" t="str">
            <v>PEITO S/OPFC FGO CONG UNEF KUWAIT</v>
          </cell>
          <cell r="C1121">
            <v>6.7759999999999998</v>
          </cell>
          <cell r="D1121">
            <v>6.7759999999999998</v>
          </cell>
          <cell r="E1121">
            <v>-0.84499999999999997</v>
          </cell>
          <cell r="F1121">
            <v>-0.15300000000000002</v>
          </cell>
        </row>
        <row r="1122">
          <cell r="A1122">
            <v>664170</v>
          </cell>
          <cell r="B1122" t="str">
            <v>COXA SOB SO CP FGO CONG UNEF KUWAIT</v>
          </cell>
          <cell r="C1122">
            <v>4.4749999999999996</v>
          </cell>
          <cell r="D1122">
            <v>4.4749999999999996</v>
          </cell>
          <cell r="E1122">
            <v>-0.77600000000000002</v>
          </cell>
          <cell r="F1122">
            <v>-9.9999999999999867E-2</v>
          </cell>
        </row>
        <row r="1123">
          <cell r="A1123">
            <v>665509</v>
          </cell>
          <cell r="B1123" t="str">
            <v>FRANGO BROILER 1100G CONG PERD CINGAP</v>
          </cell>
          <cell r="C1123">
            <v>2.2629999999999999</v>
          </cell>
          <cell r="D1123">
            <v>2.2629999999999999</v>
          </cell>
          <cell r="E1123">
            <v>-0.59799999999999998</v>
          </cell>
          <cell r="F1123">
            <v>-4.8000000000000043E-2</v>
          </cell>
        </row>
        <row r="1124">
          <cell r="A1124">
            <v>666947</v>
          </cell>
          <cell r="B1124" t="str">
            <v>ASA INT FGO CONG 100-120G ITF CINGAP</v>
          </cell>
          <cell r="C1124">
            <v>2.476</v>
          </cell>
          <cell r="D1124">
            <v>2.476</v>
          </cell>
          <cell r="E1124">
            <v>-0.60899999999999999</v>
          </cell>
          <cell r="F1124">
            <v>-5.3999999999999937E-2</v>
          </cell>
        </row>
        <row r="1125">
          <cell r="A1125">
            <v>679259</v>
          </cell>
          <cell r="B1125" t="str">
            <v>ASA INT FGO CONG 90-110G PT 1KG CINGAP</v>
          </cell>
          <cell r="C1125">
            <v>2.4710000000000001</v>
          </cell>
          <cell r="D1125">
            <v>2.4710000000000001</v>
          </cell>
          <cell r="E1125">
            <v>-0.61499999999999999</v>
          </cell>
          <cell r="F1125">
            <v>-5.2999999999999992E-2</v>
          </cell>
        </row>
        <row r="1126">
          <cell r="A1126">
            <v>681873</v>
          </cell>
          <cell r="B1126" t="str">
            <v>ASA INT FGO CONG 90-110G ITF UNEF CING</v>
          </cell>
          <cell r="C1126">
            <v>2.4500000000000002</v>
          </cell>
          <cell r="D1126">
            <v>2.4500000000000002</v>
          </cell>
          <cell r="E1126">
            <v>-0.63400000000000001</v>
          </cell>
          <cell r="F1126">
            <v>-5.3000000000000047E-2</v>
          </cell>
        </row>
        <row r="1127">
          <cell r="A1127">
            <v>685275</v>
          </cell>
          <cell r="B1127" t="str">
            <v>ASA INT FGO CONG 75-90G PT 2KG UNEF CING</v>
          </cell>
          <cell r="C1127">
            <v>2.44</v>
          </cell>
          <cell r="D1127">
            <v>2.44</v>
          </cell>
          <cell r="E1127">
            <v>-0.63</v>
          </cell>
          <cell r="F1127">
            <v>-5.2000000000000046E-2</v>
          </cell>
        </row>
        <row r="1128">
          <cell r="A1128">
            <v>688797</v>
          </cell>
          <cell r="B1128" t="str">
            <v>SOBRECOXA S/OP FGO CONG PT 2,5KG EAU</v>
          </cell>
          <cell r="C1128">
            <v>3.6989999999999998</v>
          </cell>
          <cell r="D1128">
            <v>3.6989999999999998</v>
          </cell>
          <cell r="E1128">
            <v>-0.75700000000000001</v>
          </cell>
          <cell r="F1128">
            <v>-8.1000000000000072E-2</v>
          </cell>
        </row>
        <row r="1129">
          <cell r="A1129">
            <v>696234</v>
          </cell>
          <cell r="B1129" t="str">
            <v>FRANGO BROILER 1800G CONG UNEF CINGAP</v>
          </cell>
          <cell r="C1129">
            <v>2.6160000000000001</v>
          </cell>
          <cell r="D1129">
            <v>2.6160000000000001</v>
          </cell>
          <cell r="E1129">
            <v>-0.63300000000000001</v>
          </cell>
          <cell r="F1129">
            <v>-5.7000000000000051E-2</v>
          </cell>
        </row>
        <row r="1130">
          <cell r="A1130">
            <v>696293</v>
          </cell>
          <cell r="B1130" t="str">
            <v>FRANGO BROILER 1700G CONG BOR CINGAP</v>
          </cell>
          <cell r="C1130">
            <v>2.5019999999999998</v>
          </cell>
          <cell r="D1130">
            <v>2.5019999999999998</v>
          </cell>
          <cell r="E1130">
            <v>-0.627</v>
          </cell>
          <cell r="F1130">
            <v>-5.4000000000000048E-2</v>
          </cell>
        </row>
        <row r="1131">
          <cell r="A1131">
            <v>696307</v>
          </cell>
          <cell r="B1131" t="str">
            <v>FRANGO BROILER 1900G CONG PERD CINGAP</v>
          </cell>
          <cell r="C1131">
            <v>2.2629999999999999</v>
          </cell>
          <cell r="D1131">
            <v>2.2629999999999999</v>
          </cell>
          <cell r="E1131">
            <v>-0.59699999999999998</v>
          </cell>
          <cell r="F1131">
            <v>-4.7999999999999987E-2</v>
          </cell>
        </row>
        <row r="1132">
          <cell r="A1132">
            <v>697460</v>
          </cell>
          <cell r="B1132" t="str">
            <v>FRANGO GRILLER 1300G CONG HALAL QATAR</v>
          </cell>
          <cell r="C1132">
            <v>2.6349999999999998</v>
          </cell>
          <cell r="D1132">
            <v>2.6349999999999998</v>
          </cell>
          <cell r="E1132">
            <v>-0.68400000000000005</v>
          </cell>
          <cell r="F1132">
            <v>-5.6999999999999995E-2</v>
          </cell>
        </row>
        <row r="1133">
          <cell r="A1133">
            <v>700355</v>
          </cell>
          <cell r="B1133" t="str">
            <v>CARRE SUI CONG IWP PERD ALBANIA</v>
          </cell>
          <cell r="C1133">
            <v>4.5439999999999996</v>
          </cell>
          <cell r="D1133">
            <v>4.5439999999999996</v>
          </cell>
          <cell r="E1133">
            <v>-0.54500000000000004</v>
          </cell>
          <cell r="F1133">
            <v>-0.10199999999999987</v>
          </cell>
        </row>
        <row r="1134">
          <cell r="A1134">
            <v>700819</v>
          </cell>
          <cell r="B1134" t="str">
            <v>FRANGO BROILER 1800G CONG BOR CINGAP</v>
          </cell>
          <cell r="C1134">
            <v>2.5019999999999998</v>
          </cell>
          <cell r="D1134">
            <v>2.5019999999999998</v>
          </cell>
          <cell r="E1134">
            <v>-0.627</v>
          </cell>
          <cell r="F1134">
            <v>-5.4000000000000048E-2</v>
          </cell>
        </row>
        <row r="1135">
          <cell r="A1135">
            <v>703281</v>
          </cell>
          <cell r="B1135" t="str">
            <v>FRANGO GRILLER 700G CONG PERD CINGAP</v>
          </cell>
          <cell r="C1135">
            <v>3.242</v>
          </cell>
          <cell r="D1135">
            <v>3.242</v>
          </cell>
          <cell r="E1135">
            <v>-0.61599999999999999</v>
          </cell>
          <cell r="F1135">
            <v>-7.1000000000000174E-2</v>
          </cell>
        </row>
        <row r="1136">
          <cell r="A1136">
            <v>703443</v>
          </cell>
          <cell r="B1136" t="str">
            <v>COXA SOB S/OP FGO CONG PT2,5KG KUWAIT</v>
          </cell>
          <cell r="C1136">
            <v>4.5510000000000002</v>
          </cell>
          <cell r="D1136">
            <v>4.5510000000000002</v>
          </cell>
          <cell r="E1136">
            <v>-0.77300000000000002</v>
          </cell>
          <cell r="F1136">
            <v>-0.10200000000000009</v>
          </cell>
        </row>
        <row r="1137">
          <cell r="A1137">
            <v>706728</v>
          </cell>
          <cell r="B1137" t="str">
            <v>COXA SOB S/OP FGO CONG 200G/UP KUWAIT</v>
          </cell>
          <cell r="C1137">
            <v>4.6029999999999998</v>
          </cell>
          <cell r="D1137">
            <v>4.6029999999999998</v>
          </cell>
          <cell r="E1137">
            <v>-0.78</v>
          </cell>
          <cell r="F1137">
            <v>-0.10199999999999987</v>
          </cell>
        </row>
        <row r="1138">
          <cell r="A1138">
            <v>741710</v>
          </cell>
          <cell r="B1138" t="str">
            <v>COXA SOB SO CP FGO CONG PT 5KG UNEF CING</v>
          </cell>
          <cell r="C1138">
            <v>3.923</v>
          </cell>
          <cell r="D1138">
            <v>3.923</v>
          </cell>
          <cell r="E1138">
            <v>-0.68600000000000005</v>
          </cell>
          <cell r="F1138">
            <v>-8.8000000000000078E-2</v>
          </cell>
        </row>
        <row r="1139">
          <cell r="A1139">
            <v>754048</v>
          </cell>
          <cell r="B1139" t="str">
            <v>COXA C/OP FGO CONG DRUM PT 1KG CANARIA</v>
          </cell>
          <cell r="C1139">
            <v>2.7669999999999999</v>
          </cell>
          <cell r="D1139">
            <v>2.7669999999999999</v>
          </cell>
          <cell r="E1139">
            <v>-0.47299999999999998</v>
          </cell>
          <cell r="F1139">
            <v>-6.1999999999999944E-2</v>
          </cell>
        </row>
        <row r="1140">
          <cell r="A1140">
            <v>754250</v>
          </cell>
          <cell r="B1140" t="str">
            <v>ASA 1A JTA FGO CONG PT 1KG PERD CANARIAS</v>
          </cell>
          <cell r="C1140">
            <v>2.7669999999999999</v>
          </cell>
          <cell r="D1140">
            <v>2.7669999999999999</v>
          </cell>
          <cell r="E1140">
            <v>-0.47299999999999998</v>
          </cell>
          <cell r="F1140">
            <v>-6.1999999999999944E-2</v>
          </cell>
        </row>
        <row r="1141">
          <cell r="A1141">
            <v>758086</v>
          </cell>
          <cell r="B1141" t="str">
            <v>ASA 1A JTA FGO CONG 30-50G  PT 1KG CIN</v>
          </cell>
          <cell r="C1141">
            <v>3.0640000000000001</v>
          </cell>
          <cell r="D1141">
            <v>3.0640000000000001</v>
          </cell>
          <cell r="E1141">
            <v>-0.626</v>
          </cell>
          <cell r="F1141">
            <v>-6.700000000000006E-2</v>
          </cell>
        </row>
        <row r="1142">
          <cell r="A1142">
            <v>759643</v>
          </cell>
          <cell r="B1142" t="str">
            <v>FRANGO S/O/A/S C/P CONG PT 2,5KG KUWAIT</v>
          </cell>
          <cell r="C1142">
            <v>4.4640000000000004</v>
          </cell>
          <cell r="D1142">
            <v>4.4640000000000004</v>
          </cell>
          <cell r="E1142">
            <v>-0.76100000000000001</v>
          </cell>
          <cell r="F1142">
            <v>-9.9999999999999867E-2</v>
          </cell>
        </row>
        <row r="1143">
          <cell r="A1143">
            <v>766488</v>
          </cell>
          <cell r="B1143" t="str">
            <v>FRANGO GRILLER 1100G CONG PERD CANARIAS</v>
          </cell>
          <cell r="C1143">
            <v>2.8069999999999999</v>
          </cell>
          <cell r="D1143">
            <v>2.8069999999999999</v>
          </cell>
          <cell r="E1143">
            <v>-0.44800000000000001</v>
          </cell>
          <cell r="F1143">
            <v>-6.3000000000000056E-2</v>
          </cell>
        </row>
        <row r="1144">
          <cell r="A1144">
            <v>766496</v>
          </cell>
          <cell r="B1144" t="str">
            <v>FRANGO GRILLER 1200G CONG PERD CANARIAS</v>
          </cell>
          <cell r="C1144">
            <v>2.8069999999999999</v>
          </cell>
          <cell r="D1144">
            <v>2.8069999999999999</v>
          </cell>
          <cell r="E1144">
            <v>-0.44800000000000001</v>
          </cell>
          <cell r="F1144">
            <v>-6.2999999999999945E-2</v>
          </cell>
        </row>
        <row r="1145">
          <cell r="A1145">
            <v>766500</v>
          </cell>
          <cell r="B1145" t="str">
            <v>FRANGO GRILLER 1300G CONG PERD CANARIAS</v>
          </cell>
          <cell r="C1145">
            <v>2.8069999999999999</v>
          </cell>
          <cell r="D1145">
            <v>2.8069999999999999</v>
          </cell>
          <cell r="E1145">
            <v>-0.44800000000000001</v>
          </cell>
          <cell r="F1145">
            <v>-6.2000000000000055E-2</v>
          </cell>
        </row>
        <row r="1146">
          <cell r="A1146">
            <v>772399</v>
          </cell>
          <cell r="B1146" t="str">
            <v>MOELA FGO CONG PT 1KG BOR PORTUGAL</v>
          </cell>
          <cell r="C1146">
            <v>2.3490000000000002</v>
          </cell>
          <cell r="D1146">
            <v>2.3490000000000002</v>
          </cell>
          <cell r="E1146">
            <v>-0.441</v>
          </cell>
          <cell r="F1146">
            <v>-5.2000000000000046E-2</v>
          </cell>
        </row>
        <row r="1147">
          <cell r="A1147">
            <v>772402</v>
          </cell>
          <cell r="B1147" t="str">
            <v>MOELA FGO CONG PT 1KG BOR PORTUGAL</v>
          </cell>
          <cell r="C1147">
            <v>2.3490000000000002</v>
          </cell>
          <cell r="D1147">
            <v>2.3490000000000002</v>
          </cell>
          <cell r="E1147">
            <v>-0.441</v>
          </cell>
          <cell r="F1147">
            <v>-5.2000000000000046E-2</v>
          </cell>
        </row>
        <row r="1148">
          <cell r="A1148">
            <v>774901</v>
          </cell>
          <cell r="B1148" t="str">
            <v>BACON DEF CONG S/COST PERD ANGOLA</v>
          </cell>
          <cell r="C1148">
            <v>3.2810000000000001</v>
          </cell>
          <cell r="D1148">
            <v>3.2810000000000001</v>
          </cell>
          <cell r="E1148">
            <v>0</v>
          </cell>
          <cell r="F1148">
            <v>-7.6999999999999957E-2</v>
          </cell>
        </row>
        <row r="1149">
          <cell r="A1149">
            <v>777382</v>
          </cell>
          <cell r="B1149" t="str">
            <v>MOELA FGO CONG PT 1KG CONF PORTUGAL</v>
          </cell>
          <cell r="C1149">
            <v>2.2120000000000002</v>
          </cell>
          <cell r="D1149">
            <v>2.2120000000000002</v>
          </cell>
          <cell r="E1149">
            <v>-0.436</v>
          </cell>
          <cell r="F1149">
            <v>-4.8000000000000043E-2</v>
          </cell>
        </row>
        <row r="1150">
          <cell r="A1150">
            <v>778966</v>
          </cell>
          <cell r="B1150" t="str">
            <v>COXA SOB C/OP FGO CONG 300G/UP ITF CAN</v>
          </cell>
          <cell r="C1150">
            <v>2.339</v>
          </cell>
          <cell r="D1150">
            <v>2.339</v>
          </cell>
          <cell r="E1150">
            <v>-0.41199999999999998</v>
          </cell>
          <cell r="F1150">
            <v>-5.2000000000000046E-2</v>
          </cell>
        </row>
        <row r="1151">
          <cell r="A1151">
            <v>780898</v>
          </cell>
          <cell r="B1151" t="str">
            <v>PEITO S/OPFC FGO CONG MET 70G PERD ALE</v>
          </cell>
          <cell r="C1151">
            <v>5.0819999999999999</v>
          </cell>
          <cell r="D1151">
            <v>5.0819999999999999</v>
          </cell>
          <cell r="E1151">
            <v>-0.40200000000000002</v>
          </cell>
          <cell r="F1151">
            <v>-0.11599999999999988</v>
          </cell>
        </row>
        <row r="1152">
          <cell r="A1152">
            <v>780901</v>
          </cell>
          <cell r="B1152" t="str">
            <v>PEITO S/OPFC FGO CONG MET 80G PERD ALE</v>
          </cell>
          <cell r="C1152">
            <v>5.0819999999999999</v>
          </cell>
          <cell r="D1152">
            <v>5.0819999999999999</v>
          </cell>
          <cell r="E1152">
            <v>-0.40200000000000002</v>
          </cell>
          <cell r="F1152">
            <v>-0.11599999999999988</v>
          </cell>
        </row>
        <row r="1153">
          <cell r="A1153">
            <v>780910</v>
          </cell>
          <cell r="B1153" t="str">
            <v>PEITO S/OPFC FGO CONG MET 90G PERD ALE</v>
          </cell>
          <cell r="C1153">
            <v>5.0819999999999999</v>
          </cell>
          <cell r="D1153">
            <v>5.0819999999999999</v>
          </cell>
          <cell r="E1153">
            <v>-0.40200000000000002</v>
          </cell>
          <cell r="F1153">
            <v>-0.115</v>
          </cell>
        </row>
        <row r="1154">
          <cell r="A1154">
            <v>780928</v>
          </cell>
          <cell r="B1154" t="str">
            <v>PEITO S/OPFC FGO CONG MET 60G PERD ALE</v>
          </cell>
          <cell r="C1154">
            <v>5.0819999999999999</v>
          </cell>
          <cell r="D1154">
            <v>5.0819999999999999</v>
          </cell>
          <cell r="E1154">
            <v>-0.40200000000000002</v>
          </cell>
          <cell r="F1154">
            <v>-0.11599999999999988</v>
          </cell>
        </row>
        <row r="1155">
          <cell r="A1155">
            <v>788465</v>
          </cell>
          <cell r="B1155" t="str">
            <v>FRANGO GRILLER 1150G CONG BOR JAPAO</v>
          </cell>
          <cell r="C1155">
            <v>3.3130000000000002</v>
          </cell>
          <cell r="D1155">
            <v>3.3130000000000002</v>
          </cell>
          <cell r="E1155">
            <v>-0.59899999999999998</v>
          </cell>
          <cell r="F1155">
            <v>-7.2999999999999954E-2</v>
          </cell>
        </row>
        <row r="1156">
          <cell r="A1156">
            <v>788490</v>
          </cell>
          <cell r="B1156" t="str">
            <v>FRANGO GRILLER 1300G CONG BOR JAPAO</v>
          </cell>
          <cell r="C1156">
            <v>3.3050000000000002</v>
          </cell>
          <cell r="D1156">
            <v>3.3050000000000002</v>
          </cell>
          <cell r="E1156">
            <v>-0.59899999999999998</v>
          </cell>
          <cell r="F1156">
            <v>-7.2999999999999954E-2</v>
          </cell>
        </row>
        <row r="1157">
          <cell r="A1157">
            <v>808756</v>
          </cell>
          <cell r="B1157" t="str">
            <v>MINI CHICKEN FGO CONG MON CART 300G H.KO</v>
          </cell>
          <cell r="C1157">
            <v>3.593</v>
          </cell>
          <cell r="D1157">
            <v>3.593</v>
          </cell>
          <cell r="E1157">
            <v>-0.113</v>
          </cell>
          <cell r="F1157">
            <v>-8.3999999999999964E-2</v>
          </cell>
        </row>
        <row r="1158">
          <cell r="A1158">
            <v>809061</v>
          </cell>
          <cell r="B1158" t="str">
            <v>CARRE BISTECA SUI CONG PERD ALBANIA</v>
          </cell>
          <cell r="C1158">
            <v>4.7300000000000004</v>
          </cell>
          <cell r="D1158">
            <v>4.7300000000000004</v>
          </cell>
          <cell r="E1158">
            <v>-0.53900000000000003</v>
          </cell>
          <cell r="F1158">
            <v>-0.10599999999999998</v>
          </cell>
        </row>
        <row r="1159">
          <cell r="A1159">
            <v>809307</v>
          </cell>
          <cell r="B1159" t="str">
            <v>COXA C/OP FGO CONG DRUM 12BD UNEF A.SAUD</v>
          </cell>
          <cell r="C1159">
            <v>3.1909999999999998</v>
          </cell>
          <cell r="D1159">
            <v>3.1909999999999998</v>
          </cell>
          <cell r="E1159">
            <v>-0.57399999999999995</v>
          </cell>
          <cell r="F1159">
            <v>-6.9999999999999951E-2</v>
          </cell>
        </row>
        <row r="1160">
          <cell r="A1160">
            <v>809365</v>
          </cell>
          <cell r="B1160" t="str">
            <v>COXA SOB S/OP FGO CONG S/FXA PERD JAPAO</v>
          </cell>
          <cell r="C1160">
            <v>3.9359999999999999</v>
          </cell>
          <cell r="D1160">
            <v>3.9359999999999999</v>
          </cell>
          <cell r="E1160">
            <v>-0.248</v>
          </cell>
          <cell r="F1160">
            <v>-9.099999999999997E-2</v>
          </cell>
        </row>
        <row r="1161">
          <cell r="A1161">
            <v>809438</v>
          </cell>
          <cell r="B1161" t="str">
            <v>PRESUNTO COZ RESF PERD PARAG CX 13KG</v>
          </cell>
          <cell r="C1161">
            <v>4.133</v>
          </cell>
          <cell r="D1161">
            <v>4.133</v>
          </cell>
          <cell r="E1161">
            <v>-9.5000000000000001E-2</v>
          </cell>
          <cell r="F1161">
            <v>-9.6999999999999975E-2</v>
          </cell>
        </row>
        <row r="1162">
          <cell r="A1162">
            <v>809440</v>
          </cell>
          <cell r="B1162" t="str">
            <v>BACON RESF PT 5KG VAC PERD PARAG</v>
          </cell>
          <cell r="C1162">
            <v>5.556</v>
          </cell>
          <cell r="D1162">
            <v>5.556</v>
          </cell>
          <cell r="E1162">
            <v>-9.5000000000000001E-2</v>
          </cell>
          <cell r="F1162">
            <v>-0.129</v>
          </cell>
        </row>
        <row r="1163">
          <cell r="A1163">
            <v>809933</v>
          </cell>
          <cell r="B1163" t="str">
            <v>CHESTER INT C/TEMP C/M CONG PERD ALBAN</v>
          </cell>
          <cell r="C1163">
            <v>2.8140000000000001</v>
          </cell>
          <cell r="D1163">
            <v>2.8140000000000001</v>
          </cell>
          <cell r="E1163">
            <v>-0.66600000000000004</v>
          </cell>
          <cell r="F1163">
            <v>-6.0999999999999943E-2</v>
          </cell>
        </row>
        <row r="1164">
          <cell r="A1164">
            <v>810131</v>
          </cell>
          <cell r="B1164" t="str">
            <v>MOELA FGO CONG PT 1KG CONF PORTUGAL</v>
          </cell>
          <cell r="C1164">
            <v>2.3149999999999999</v>
          </cell>
          <cell r="D1164">
            <v>2.3149999999999999</v>
          </cell>
          <cell r="E1164">
            <v>-0.41599999999999998</v>
          </cell>
          <cell r="F1164">
            <v>-5.1000000000000156E-2</v>
          </cell>
        </row>
        <row r="1165">
          <cell r="A1165">
            <v>810741</v>
          </cell>
          <cell r="B1165" t="str">
            <v>FRANGO GRILLER 1050G CONG BOR JAPAO</v>
          </cell>
          <cell r="C1165">
            <v>3.2930000000000001</v>
          </cell>
          <cell r="D1165">
            <v>3.2930000000000001</v>
          </cell>
          <cell r="E1165">
            <v>-0.60099999999999998</v>
          </cell>
          <cell r="F1165">
            <v>-7.2999999999999954E-2</v>
          </cell>
        </row>
        <row r="1166">
          <cell r="A1166">
            <v>811045</v>
          </cell>
          <cell r="B1166" t="str">
            <v>ASA 1A JTA FGO CONG 35-45G IQF PERD (DIR</v>
          </cell>
          <cell r="C1166">
            <v>4.32</v>
          </cell>
          <cell r="D1166">
            <v>4.32</v>
          </cell>
          <cell r="E1166">
            <v>-0.60599999999999998</v>
          </cell>
          <cell r="F1166">
            <v>-9.5999999999999863E-2</v>
          </cell>
        </row>
        <row r="1167">
          <cell r="A1167">
            <v>811214</v>
          </cell>
          <cell r="B1167" t="str">
            <v>PEITO FGO CONG RECONS EMP CART URUGUAI</v>
          </cell>
          <cell r="C1167">
            <v>7.1870000000000003</v>
          </cell>
          <cell r="D1167">
            <v>7.1870000000000003</v>
          </cell>
          <cell r="E1167">
            <v>-9.6000000000000002E-2</v>
          </cell>
          <cell r="F1167">
            <v>-0.16800000000000015</v>
          </cell>
        </row>
        <row r="1168">
          <cell r="A1168">
            <v>811745</v>
          </cell>
          <cell r="B1168" t="str">
            <v>COXA SOB SO CP FGO CONG 160-180G PERD JA</v>
          </cell>
          <cell r="C1168">
            <v>3.6579999999999999</v>
          </cell>
          <cell r="D1168">
            <v>3.6579999999999999</v>
          </cell>
          <cell r="E1168">
            <v>-0.61599999999999999</v>
          </cell>
          <cell r="F1168">
            <v>-8.0999999999999961E-2</v>
          </cell>
        </row>
        <row r="1169">
          <cell r="A1169">
            <v>811749</v>
          </cell>
          <cell r="B1169" t="str">
            <v>COXA SOB SO CP FGO CONG 260-280G JAPAO</v>
          </cell>
          <cell r="C1169">
            <v>3.8620000000000001</v>
          </cell>
          <cell r="D1169">
            <v>3.8620000000000001</v>
          </cell>
          <cell r="E1169">
            <v>-0.622</v>
          </cell>
          <cell r="F1169">
            <v>-8.6000000000000076E-2</v>
          </cell>
        </row>
        <row r="1170">
          <cell r="A1170">
            <v>812300</v>
          </cell>
          <cell r="B1170" t="str">
            <v>PEITO S/OPFC FGO CONG MET 80G/UP R.TCH</v>
          </cell>
          <cell r="C1170">
            <v>5.76</v>
          </cell>
          <cell r="D1170">
            <v>5.76</v>
          </cell>
          <cell r="E1170">
            <v>-0.58399999999999996</v>
          </cell>
          <cell r="F1170">
            <v>-0.13</v>
          </cell>
        </row>
        <row r="1171">
          <cell r="A1171">
            <v>812514</v>
          </cell>
          <cell r="B1171" t="str">
            <v>FRANGO GRILLER 900G CONG BOR JAPAO</v>
          </cell>
          <cell r="C1171">
            <v>3.3050000000000002</v>
          </cell>
          <cell r="D1171">
            <v>3.3050000000000002</v>
          </cell>
          <cell r="E1171">
            <v>-0.60199999999999998</v>
          </cell>
          <cell r="F1171">
            <v>-7.2999999999999954E-2</v>
          </cell>
        </row>
        <row r="1172">
          <cell r="A1172">
            <v>812622</v>
          </cell>
          <cell r="B1172" t="str">
            <v>FRANGO GRILLER 750G CONG BOR JAPAO</v>
          </cell>
          <cell r="C1172">
            <v>3.27</v>
          </cell>
          <cell r="D1172">
            <v>3.27</v>
          </cell>
          <cell r="E1172">
            <v>-0.59799999999999998</v>
          </cell>
          <cell r="F1172">
            <v>-7.2000000000000064E-2</v>
          </cell>
        </row>
        <row r="1173">
          <cell r="A1173">
            <v>812624</v>
          </cell>
          <cell r="B1173" t="str">
            <v>FRANGO GRILLER 850G CONG BOR JAPAO</v>
          </cell>
          <cell r="C1173">
            <v>3.3130000000000002</v>
          </cell>
          <cell r="D1173">
            <v>3.3130000000000002</v>
          </cell>
          <cell r="E1173">
            <v>-0.60399999999999998</v>
          </cell>
          <cell r="F1173">
            <v>-7.3000000000000176E-2</v>
          </cell>
        </row>
        <row r="1174">
          <cell r="A1174">
            <v>812625</v>
          </cell>
          <cell r="B1174" t="str">
            <v>FRANGO GRILLER 950G CONG BOR JAPAO</v>
          </cell>
          <cell r="C1174">
            <v>3.3109999999999999</v>
          </cell>
          <cell r="D1174">
            <v>3.3109999999999999</v>
          </cell>
          <cell r="E1174">
            <v>-0.60299999999999998</v>
          </cell>
          <cell r="F1174">
            <v>-7.3000000000000176E-2</v>
          </cell>
        </row>
        <row r="1175">
          <cell r="A1175">
            <v>812758</v>
          </cell>
          <cell r="B1175" t="str">
            <v>PERNIL S/OCG S/TORT S/MEMB SUI CONG ARG</v>
          </cell>
          <cell r="C1175">
            <v>5.2039999999999997</v>
          </cell>
          <cell r="D1175">
            <v>5.2039999999999997</v>
          </cell>
          <cell r="E1175">
            <v>-0.377</v>
          </cell>
          <cell r="F1175">
            <v>-0.12</v>
          </cell>
        </row>
        <row r="1176">
          <cell r="A1176">
            <v>812785</v>
          </cell>
          <cell r="B1176" t="str">
            <v>COXA SOB C/OP FGO CONG 180-200G CL JAP</v>
          </cell>
          <cell r="C1176">
            <v>3.2109999999999999</v>
          </cell>
          <cell r="D1176">
            <v>3.2109999999999999</v>
          </cell>
          <cell r="E1176">
            <v>-0.61899999999999999</v>
          </cell>
          <cell r="F1176">
            <v>-7.0000000000000062E-2</v>
          </cell>
        </row>
        <row r="1177">
          <cell r="A1177">
            <v>812842</v>
          </cell>
          <cell r="B1177" t="str">
            <v>PALETA S/OCGC SUI CONG 1,5-3KG BL ARGE</v>
          </cell>
          <cell r="C1177">
            <v>4.71</v>
          </cell>
          <cell r="D1177">
            <v>4.71</v>
          </cell>
          <cell r="E1177">
            <v>-0.36599999999999999</v>
          </cell>
          <cell r="F1177">
            <v>-0.10799999999999998</v>
          </cell>
        </row>
        <row r="1178">
          <cell r="A1178">
            <v>813454</v>
          </cell>
          <cell r="B1178" t="str">
            <v>FRANGO GRILLER 1200G CONG SPRING A.SAU</v>
          </cell>
          <cell r="C1178">
            <v>2.758</v>
          </cell>
          <cell r="D1178">
            <v>2.758</v>
          </cell>
          <cell r="E1178">
            <v>-0.53500000000000003</v>
          </cell>
          <cell r="F1178">
            <v>-6.1000000000000054E-2</v>
          </cell>
        </row>
        <row r="1179">
          <cell r="A1179">
            <v>813455</v>
          </cell>
          <cell r="B1179" t="str">
            <v>FRANGO GRILLER 1300G CONG SPRING A.SAU</v>
          </cell>
          <cell r="C1179">
            <v>2.758</v>
          </cell>
          <cell r="D1179">
            <v>2.758</v>
          </cell>
          <cell r="E1179">
            <v>-0.53500000000000003</v>
          </cell>
          <cell r="F1179">
            <v>-6.1000000000000054E-2</v>
          </cell>
        </row>
        <row r="1180">
          <cell r="A1180">
            <v>814170</v>
          </cell>
          <cell r="B1180" t="str">
            <v>CHESTER GEORGIA RESF PERD PARAG CX 9,5KG</v>
          </cell>
          <cell r="C1180">
            <v>4.9020000000000001</v>
          </cell>
          <cell r="D1180">
            <v>4.9020000000000001</v>
          </cell>
          <cell r="E1180">
            <v>-9.6000000000000002E-2</v>
          </cell>
          <cell r="F1180">
            <v>-0.11399999999999988</v>
          </cell>
        </row>
        <row r="1181">
          <cell r="A1181">
            <v>814171</v>
          </cell>
          <cell r="B1181" t="str">
            <v>CHESTER GEORGIA MINI RESF PERD PARAG</v>
          </cell>
          <cell r="C1181">
            <v>5.657</v>
          </cell>
          <cell r="D1181">
            <v>5.657</v>
          </cell>
          <cell r="E1181">
            <v>-9.6000000000000002E-2</v>
          </cell>
          <cell r="F1181">
            <v>-0.1319999999999999</v>
          </cell>
        </row>
        <row r="1182">
          <cell r="A1182">
            <v>814175</v>
          </cell>
          <cell r="B1182" t="str">
            <v>SALSICHA CHT LIGTH DOG RESF PT 500G PA</v>
          </cell>
          <cell r="C1182">
            <v>2.8650000000000002</v>
          </cell>
          <cell r="D1182">
            <v>2.8650000000000002</v>
          </cell>
          <cell r="E1182">
            <v>-9.6000000000000002E-2</v>
          </cell>
          <cell r="F1182">
            <v>-6.7000000000000171E-2</v>
          </cell>
        </row>
        <row r="1183">
          <cell r="A1183">
            <v>814281</v>
          </cell>
          <cell r="B1183" t="str">
            <v>COXA SOB SO CP FGO CONG 15-25G PERD JAP</v>
          </cell>
          <cell r="C1183">
            <v>3.1539999999999999</v>
          </cell>
          <cell r="D1183">
            <v>3.1539999999999999</v>
          </cell>
          <cell r="E1183">
            <v>-0.14399999999999999</v>
          </cell>
          <cell r="F1183">
            <v>-7.3999999999999955E-2</v>
          </cell>
        </row>
        <row r="1184">
          <cell r="A1184">
            <v>814984</v>
          </cell>
          <cell r="B1184" t="str">
            <v>PEITO S/OPFC FGO CONG CUB 20-25G TAMB</v>
          </cell>
          <cell r="C1184">
            <v>8.8829999999999991</v>
          </cell>
          <cell r="D1184">
            <v>8.8829999999999991</v>
          </cell>
          <cell r="E1184">
            <v>-0.59899999999999998</v>
          </cell>
          <cell r="F1184">
            <v>-0.20299999999999985</v>
          </cell>
        </row>
        <row r="1185">
          <cell r="A1185">
            <v>815408</v>
          </cell>
          <cell r="B1185" t="str">
            <v>PEITO S/OP FGO CONG PT 2,5KG PERD KUWAIT</v>
          </cell>
          <cell r="C1185">
            <v>7.524</v>
          </cell>
          <cell r="D1185">
            <v>7.524</v>
          </cell>
          <cell r="E1185">
            <v>-0.84599999999999997</v>
          </cell>
          <cell r="F1185">
            <v>-0.17100000000000026</v>
          </cell>
        </row>
        <row r="1186">
          <cell r="A1186">
            <v>816374</v>
          </cell>
          <cell r="B1186" t="str">
            <v>COXA SOB S/OP FGO CONG PERD (DIREX) JAPA</v>
          </cell>
          <cell r="C1186">
            <v>4.0220000000000002</v>
          </cell>
          <cell r="D1186">
            <v>4.0220000000000002</v>
          </cell>
          <cell r="E1186">
            <v>-0.628</v>
          </cell>
          <cell r="F1186">
            <v>-8.9999999999999858E-2</v>
          </cell>
        </row>
        <row r="1187">
          <cell r="A1187">
            <v>816376</v>
          </cell>
          <cell r="B1187" t="str">
            <v>COXA SOB SO CP FGO CONG 180-200G PERD</v>
          </cell>
          <cell r="C1187">
            <v>3.4580000000000002</v>
          </cell>
          <cell r="D1187">
            <v>3.4580000000000002</v>
          </cell>
          <cell r="E1187">
            <v>-0.57799999999999996</v>
          </cell>
          <cell r="F1187">
            <v>-7.6999999999999957E-2</v>
          </cell>
        </row>
        <row r="1188">
          <cell r="A1188">
            <v>816377</v>
          </cell>
          <cell r="B1188" t="str">
            <v>COXA SOB SO CP FGO CONG 200-220G PERDIGA</v>
          </cell>
          <cell r="C1188">
            <v>3.028</v>
          </cell>
          <cell r="D1188">
            <v>3.028</v>
          </cell>
          <cell r="E1188">
            <v>-0.14299999999999999</v>
          </cell>
          <cell r="F1188">
            <v>-7.0999999999999952E-2</v>
          </cell>
        </row>
        <row r="1189">
          <cell r="A1189">
            <v>816591</v>
          </cell>
          <cell r="B1189" t="str">
            <v>PEITO S/OPFC FGO CONG 100G/UP SALM HOL</v>
          </cell>
          <cell r="C1189">
            <v>6.0540000000000003</v>
          </cell>
          <cell r="D1189">
            <v>6.0540000000000003</v>
          </cell>
          <cell r="E1189">
            <v>-0.38200000000000001</v>
          </cell>
          <cell r="F1189">
            <v>-0.13800000000000034</v>
          </cell>
        </row>
        <row r="1190">
          <cell r="A1190">
            <v>817453</v>
          </cell>
          <cell r="B1190" t="str">
            <v>ASA 2A JTA FGO CONG 40G/UP S.TEB PERD JA</v>
          </cell>
          <cell r="C1190">
            <v>4.4640000000000004</v>
          </cell>
          <cell r="D1190">
            <v>4.4640000000000004</v>
          </cell>
          <cell r="E1190">
            <v>-0.64900000000000002</v>
          </cell>
          <cell r="F1190">
            <v>-0.1</v>
          </cell>
        </row>
        <row r="1191">
          <cell r="A1191">
            <v>817566</v>
          </cell>
          <cell r="B1191" t="str">
            <v>MOELA FGO CONG BD 450G UNEF KUWAIT</v>
          </cell>
          <cell r="C1191">
            <v>2.8780000000000001</v>
          </cell>
          <cell r="D1191">
            <v>2.8780000000000001</v>
          </cell>
          <cell r="E1191">
            <v>-0.72699999999999998</v>
          </cell>
          <cell r="F1191">
            <v>-6.2000000000000055E-2</v>
          </cell>
        </row>
        <row r="1192">
          <cell r="A1192">
            <v>817567</v>
          </cell>
          <cell r="B1192" t="str">
            <v>FIGADO FGO CONG BD 450G UNEF KUWAIT</v>
          </cell>
          <cell r="C1192">
            <v>2.75</v>
          </cell>
          <cell r="D1192">
            <v>2.75</v>
          </cell>
          <cell r="E1192">
            <v>-0.72299999999999998</v>
          </cell>
          <cell r="F1192">
            <v>-5.8999999999999941E-2</v>
          </cell>
        </row>
        <row r="1193">
          <cell r="A1193">
            <v>817611</v>
          </cell>
          <cell r="B1193" t="str">
            <v>COXA SOB SO CP FGO CONG 160-180G PER BCA</v>
          </cell>
          <cell r="C1193">
            <v>3.6469999999999998</v>
          </cell>
          <cell r="D1193">
            <v>3.6469999999999998</v>
          </cell>
          <cell r="E1193">
            <v>-0.59499999999999997</v>
          </cell>
          <cell r="F1193">
            <v>-8.0999999999999961E-2</v>
          </cell>
        </row>
        <row r="1194">
          <cell r="A1194">
            <v>817612</v>
          </cell>
          <cell r="B1194" t="str">
            <v>COXA SOB SO CP FGO CONG 180-200G PER BCA</v>
          </cell>
          <cell r="C1194">
            <v>3.6469999999999998</v>
          </cell>
          <cell r="D1194">
            <v>3.6469999999999998</v>
          </cell>
          <cell r="E1194">
            <v>-0.59899999999999998</v>
          </cell>
          <cell r="F1194">
            <v>-8.0999999999999961E-2</v>
          </cell>
        </row>
        <row r="1195">
          <cell r="A1195">
            <v>817613</v>
          </cell>
          <cell r="B1195" t="str">
            <v>COXA SOBR SO CP FGO CONG 200-220G PERDI</v>
          </cell>
          <cell r="C1195">
            <v>3.6469999999999998</v>
          </cell>
          <cell r="D1195">
            <v>3.6469999999999998</v>
          </cell>
          <cell r="E1195">
            <v>-0.59599999999999997</v>
          </cell>
          <cell r="F1195">
            <v>-8.0999999999999961E-2</v>
          </cell>
        </row>
        <row r="1196">
          <cell r="A1196">
            <v>817615</v>
          </cell>
          <cell r="B1196" t="str">
            <v>COXA SOB SO CP FGO CONG 240-260G PER BCA</v>
          </cell>
          <cell r="C1196">
            <v>3.6469999999999998</v>
          </cell>
          <cell r="D1196">
            <v>3.6469999999999998</v>
          </cell>
          <cell r="E1196">
            <v>-0.59599999999999997</v>
          </cell>
          <cell r="F1196">
            <v>-8.0999999999999961E-2</v>
          </cell>
        </row>
        <row r="1197">
          <cell r="A1197">
            <v>817621</v>
          </cell>
          <cell r="B1197" t="str">
            <v>ASA 1A JTA FGO CONG 45-55G PERD BCA</v>
          </cell>
          <cell r="C1197">
            <v>4.1500000000000004</v>
          </cell>
          <cell r="D1197">
            <v>4.1500000000000004</v>
          </cell>
          <cell r="E1197">
            <v>-0.60799999999999998</v>
          </cell>
          <cell r="F1197">
            <v>-9.3000000000000194E-2</v>
          </cell>
        </row>
        <row r="1198">
          <cell r="A1198">
            <v>817712</v>
          </cell>
          <cell r="B1198" t="str">
            <v>FRANGO GRILLER 650G CONG BOR CINGAP</v>
          </cell>
          <cell r="C1198">
            <v>3.8119999999999998</v>
          </cell>
          <cell r="D1198">
            <v>3.8119999999999998</v>
          </cell>
          <cell r="E1198">
            <v>-0.66500000000000004</v>
          </cell>
          <cell r="F1198">
            <v>-8.4000000000000075E-2</v>
          </cell>
        </row>
        <row r="1199">
          <cell r="A1199">
            <v>821337</v>
          </cell>
          <cell r="B1199" t="str">
            <v>CARRE BISTECA SUI CONG PERD ALBANIA</v>
          </cell>
          <cell r="C1199">
            <v>4.74</v>
          </cell>
          <cell r="D1199">
            <v>4.74</v>
          </cell>
          <cell r="E1199">
            <v>-0.55800000000000005</v>
          </cell>
          <cell r="F1199">
            <v>-0.10699999999999998</v>
          </cell>
        </row>
        <row r="1200">
          <cell r="A1200">
            <v>822173</v>
          </cell>
          <cell r="B1200" t="str">
            <v>COXA SOB SO CP FGO CONG 180-200G PERD JA</v>
          </cell>
          <cell r="C1200">
            <v>3.5819999999999999</v>
          </cell>
          <cell r="D1200">
            <v>3.5819999999999999</v>
          </cell>
          <cell r="E1200">
            <v>-0.63800000000000001</v>
          </cell>
          <cell r="F1200">
            <v>-7.900000000000007E-2</v>
          </cell>
        </row>
        <row r="1201">
          <cell r="A1201">
            <v>822174</v>
          </cell>
          <cell r="B1201" t="str">
            <v>COXA SOBR SO CP FGO CONG 200-220G PERD</v>
          </cell>
          <cell r="C1201">
            <v>3.6840000000000002</v>
          </cell>
          <cell r="D1201">
            <v>3.6840000000000002</v>
          </cell>
          <cell r="E1201">
            <v>-0.63200000000000001</v>
          </cell>
          <cell r="F1201">
            <v>-8.0999999999999961E-2</v>
          </cell>
        </row>
        <row r="1202">
          <cell r="A1202">
            <v>822415</v>
          </cell>
          <cell r="B1202" t="str">
            <v>FILEZINHO FGO CONG EMP CART 500G KUWAIT</v>
          </cell>
          <cell r="C1202">
            <v>7.6710000000000003</v>
          </cell>
          <cell r="D1202">
            <v>7.6710000000000003</v>
          </cell>
          <cell r="E1202">
            <v>-0.85899999999999999</v>
          </cell>
          <cell r="F1202">
            <v>-0.17399999999999993</v>
          </cell>
        </row>
        <row r="1203">
          <cell r="A1203">
            <v>822722</v>
          </cell>
          <cell r="B1203" t="str">
            <v>FIGADO FGO CONG BD 450G PER KUWAIT</v>
          </cell>
          <cell r="C1203">
            <v>2.75</v>
          </cell>
          <cell r="D1203">
            <v>2.75</v>
          </cell>
          <cell r="E1203">
            <v>-0.73899999999999999</v>
          </cell>
          <cell r="F1203">
            <v>-5.8999999999999941E-2</v>
          </cell>
        </row>
        <row r="1204">
          <cell r="A1204">
            <v>823978</v>
          </cell>
          <cell r="B1204" t="str">
            <v>ASA INT FGO CONG 12BD PERD KUWAIT</v>
          </cell>
          <cell r="C1204">
            <v>3.2610000000000001</v>
          </cell>
          <cell r="D1204">
            <v>3.2610000000000001</v>
          </cell>
          <cell r="E1204">
            <v>-0.754</v>
          </cell>
          <cell r="F1204">
            <v>-7.1000000000000063E-2</v>
          </cell>
        </row>
        <row r="1205">
          <cell r="A1205">
            <v>824120</v>
          </cell>
          <cell r="B1205" t="str">
            <v>PEITO S/OPFC FGO CONG SALM 100-180G HOL</v>
          </cell>
          <cell r="C1205">
            <v>5.726</v>
          </cell>
          <cell r="D1205">
            <v>5.726</v>
          </cell>
          <cell r="E1205">
            <v>-0.432</v>
          </cell>
          <cell r="F1205">
            <v>-0.13099999999999978</v>
          </cell>
        </row>
        <row r="1206">
          <cell r="A1206">
            <v>824433</v>
          </cell>
          <cell r="B1206" t="str">
            <v>LING CALAB SUI CONG PT 5KG PER PARAG</v>
          </cell>
          <cell r="C1206">
            <v>4.5</v>
          </cell>
          <cell r="D1206">
            <v>4.5</v>
          </cell>
          <cell r="E1206">
            <v>-9.5000000000000001E-2</v>
          </cell>
          <cell r="F1206">
            <v>-0.105</v>
          </cell>
        </row>
        <row r="1207">
          <cell r="A1207">
            <v>824437</v>
          </cell>
          <cell r="B1207" t="str">
            <v>SALAME ITAL GIGANTE RESF PERD PARAG</v>
          </cell>
          <cell r="C1207">
            <v>10.654</v>
          </cell>
          <cell r="D1207">
            <v>10.654</v>
          </cell>
          <cell r="E1207">
            <v>-9.5000000000000001E-2</v>
          </cell>
          <cell r="F1207">
            <v>-0.24800000000000022</v>
          </cell>
        </row>
        <row r="1208">
          <cell r="A1208">
            <v>824453</v>
          </cell>
          <cell r="B1208" t="str">
            <v>PEITO S/OPFC FGO CONG MET 80G TAMB ING</v>
          </cell>
          <cell r="C1208">
            <v>8.3019999999999996</v>
          </cell>
          <cell r="D1208">
            <v>8.3019999999999996</v>
          </cell>
          <cell r="E1208">
            <v>-0.55100000000000005</v>
          </cell>
          <cell r="F1208">
            <v>-0.19</v>
          </cell>
        </row>
        <row r="1209">
          <cell r="A1209">
            <v>824466</v>
          </cell>
          <cell r="B1209" t="str">
            <v>MOELA FGO CONG PT 1KG  PERD PORTUGAL</v>
          </cell>
          <cell r="C1209">
            <v>2.4</v>
          </cell>
          <cell r="D1209">
            <v>2.4</v>
          </cell>
          <cell r="E1209">
            <v>-0.40899999999999997</v>
          </cell>
          <cell r="F1209">
            <v>-5.4000000000000048E-2</v>
          </cell>
        </row>
        <row r="1210">
          <cell r="A1210">
            <v>825175</v>
          </cell>
          <cell r="B1210" t="str">
            <v>FRANGO GRILLER 1000G CONG PERD JAPAO</v>
          </cell>
          <cell r="C1210">
            <v>3.3010000000000002</v>
          </cell>
          <cell r="D1210">
            <v>3.3010000000000002</v>
          </cell>
          <cell r="E1210">
            <v>-0.60599999999999998</v>
          </cell>
          <cell r="F1210">
            <v>-7.2999999999999954E-2</v>
          </cell>
        </row>
        <row r="1211">
          <cell r="A1211">
            <v>825394</v>
          </cell>
          <cell r="B1211" t="str">
            <v>PEITO S/OPFC FGO CONG MET 80G/UP HOLAN</v>
          </cell>
          <cell r="C1211">
            <v>6.2619999999999996</v>
          </cell>
          <cell r="D1211">
            <v>6.2619999999999996</v>
          </cell>
          <cell r="E1211">
            <v>-0.38100000000000001</v>
          </cell>
          <cell r="F1211">
            <v>-0.14400000000000013</v>
          </cell>
        </row>
        <row r="1212">
          <cell r="A1212">
            <v>825458</v>
          </cell>
          <cell r="B1212" t="str">
            <v>FRANGO GRILLER 1200G CONG PERD JAPAO</v>
          </cell>
          <cell r="C1212">
            <v>3.3119999999999998</v>
          </cell>
          <cell r="D1212">
            <v>3.3119999999999998</v>
          </cell>
          <cell r="E1212">
            <v>-0.61399999999999999</v>
          </cell>
          <cell r="F1212">
            <v>-7.2999999999999954E-2</v>
          </cell>
        </row>
        <row r="1213">
          <cell r="A1213">
            <v>825508</v>
          </cell>
          <cell r="B1213" t="str">
            <v>COXA SOB C/OP FGO CONG 140-160G CC JAPAO</v>
          </cell>
          <cell r="C1213">
            <v>3.3130000000000002</v>
          </cell>
          <cell r="D1213">
            <v>3.3130000000000002</v>
          </cell>
          <cell r="E1213">
            <v>-0.59899999999999998</v>
          </cell>
          <cell r="F1213">
            <v>-7.2999999999999843E-2</v>
          </cell>
        </row>
        <row r="1214">
          <cell r="A1214">
            <v>825509</v>
          </cell>
          <cell r="B1214" t="str">
            <v>COXA SOB C/OP FGO CONG 160-180G CC JAPAO</v>
          </cell>
          <cell r="C1214">
            <v>3.3130000000000002</v>
          </cell>
          <cell r="D1214">
            <v>3.3130000000000002</v>
          </cell>
          <cell r="E1214">
            <v>-0.59899999999999998</v>
          </cell>
          <cell r="F1214">
            <v>-7.2999999999999954E-2</v>
          </cell>
        </row>
        <row r="1215">
          <cell r="A1215">
            <v>825510</v>
          </cell>
          <cell r="B1215" t="str">
            <v>COXA SOB C/OP FGO CONG 180-200G CC JAPAO</v>
          </cell>
          <cell r="C1215">
            <v>3.282</v>
          </cell>
          <cell r="D1215">
            <v>3.282</v>
          </cell>
          <cell r="E1215">
            <v>-0.59299999999999997</v>
          </cell>
          <cell r="F1215">
            <v>-7.2999999999999954E-2</v>
          </cell>
        </row>
        <row r="1216">
          <cell r="A1216">
            <v>825513</v>
          </cell>
          <cell r="B1216" t="str">
            <v>COXA SOB C/OP FGO CONG 240-260G PERD JAP</v>
          </cell>
          <cell r="C1216">
            <v>3.3039999999999998</v>
          </cell>
          <cell r="D1216">
            <v>3.3039999999999998</v>
          </cell>
          <cell r="E1216">
            <v>-0.60099999999999998</v>
          </cell>
          <cell r="F1216">
            <v>-7.1999999999999842E-2</v>
          </cell>
        </row>
        <row r="1217">
          <cell r="A1217">
            <v>825515</v>
          </cell>
          <cell r="B1217" t="str">
            <v>CODORNA CONG BD 1KG PERD KUWAIT</v>
          </cell>
          <cell r="C1217">
            <v>5.9980000000000002</v>
          </cell>
          <cell r="D1217">
            <v>5.9980000000000002</v>
          </cell>
          <cell r="E1217">
            <v>-0.84299999999999997</v>
          </cell>
          <cell r="F1217">
            <v>-0.1339999999999999</v>
          </cell>
        </row>
        <row r="1218">
          <cell r="A1218">
            <v>825723</v>
          </cell>
          <cell r="B1218" t="str">
            <v>ASA INT FGO CONG 120-150G ITF UNEF CING</v>
          </cell>
          <cell r="C1218">
            <v>2.641</v>
          </cell>
          <cell r="D1218">
            <v>2.641</v>
          </cell>
          <cell r="E1218">
            <v>-0.63500000000000001</v>
          </cell>
          <cell r="F1218">
            <v>-5.8000000000000052E-2</v>
          </cell>
        </row>
        <row r="1219">
          <cell r="A1219">
            <v>825732</v>
          </cell>
          <cell r="B1219" t="str">
            <v>PEITO S/OPFC FGO CONG MET 80-130G SALM</v>
          </cell>
          <cell r="C1219">
            <v>6.0659999999999998</v>
          </cell>
          <cell r="D1219">
            <v>6.0659999999999998</v>
          </cell>
          <cell r="E1219">
            <v>-0.38900000000000001</v>
          </cell>
          <cell r="F1219">
            <v>-0.13899999999999979</v>
          </cell>
        </row>
        <row r="1220">
          <cell r="A1220">
            <v>826246</v>
          </cell>
          <cell r="B1220" t="str">
            <v>SALSICHA VIENA S/COR RESF PT 500G PARAG</v>
          </cell>
          <cell r="C1220">
            <v>2.4089999999999998</v>
          </cell>
          <cell r="D1220">
            <v>2.4089999999999998</v>
          </cell>
          <cell r="E1220">
            <v>-9.5000000000000001E-2</v>
          </cell>
          <cell r="F1220">
            <v>-5.5999999999999939E-2</v>
          </cell>
        </row>
        <row r="1221">
          <cell r="A1221">
            <v>826781</v>
          </cell>
          <cell r="B1221" t="str">
            <v>CODORNA CONG BD 1KG HALAL KUWAIT</v>
          </cell>
          <cell r="C1221">
            <v>5.9980000000000002</v>
          </cell>
          <cell r="D1221">
            <v>5.9980000000000002</v>
          </cell>
          <cell r="E1221">
            <v>-0.85699999999999998</v>
          </cell>
          <cell r="F1221">
            <v>-0.13400000000000001</v>
          </cell>
        </row>
        <row r="1222">
          <cell r="A1222">
            <v>826986</v>
          </cell>
          <cell r="B1222" t="str">
            <v>COXA SOB C/OP FGO CONG 200-220G ITF H.</v>
          </cell>
          <cell r="C1222">
            <v>2.0699999999999998</v>
          </cell>
          <cell r="D1222">
            <v>2.0699999999999998</v>
          </cell>
          <cell r="E1222">
            <v>-0.56000000000000005</v>
          </cell>
          <cell r="F1222">
            <v>-4.4999999999999998E-2</v>
          </cell>
        </row>
        <row r="1223">
          <cell r="A1223">
            <v>827055</v>
          </cell>
          <cell r="B1223" t="str">
            <v>PEITO S/OPC C/F PERU CONG MET 500-1200</v>
          </cell>
          <cell r="C1223">
            <v>7.3689999999999998</v>
          </cell>
          <cell r="D1223">
            <v>7.3689999999999998</v>
          </cell>
          <cell r="E1223">
            <v>-0.46700000000000003</v>
          </cell>
          <cell r="F1223">
            <v>-0.16900000000000004</v>
          </cell>
        </row>
        <row r="1224">
          <cell r="A1224">
            <v>827091</v>
          </cell>
          <cell r="B1224" t="str">
            <v>FILE PEITO FGO CONG C/TEND BL 7,5KG HO</v>
          </cell>
          <cell r="C1224">
            <v>4.4829999999999997</v>
          </cell>
          <cell r="D1224">
            <v>4.4829999999999997</v>
          </cell>
          <cell r="E1224">
            <v>-0.38500000000000001</v>
          </cell>
          <cell r="F1224">
            <v>-0.10200000000000009</v>
          </cell>
        </row>
        <row r="1225">
          <cell r="A1225">
            <v>827094</v>
          </cell>
          <cell r="B1225" t="str">
            <v>FRANGO GRILLER 700G CONG BOR KUWAIT</v>
          </cell>
          <cell r="C1225">
            <v>2.681</v>
          </cell>
          <cell r="D1225">
            <v>2.681</v>
          </cell>
          <cell r="E1225">
            <v>-0.71399999999999997</v>
          </cell>
          <cell r="F1225">
            <v>-5.8000000000000052E-2</v>
          </cell>
        </row>
        <row r="1226">
          <cell r="A1226">
            <v>827272</v>
          </cell>
          <cell r="B1226" t="str">
            <v>FIGADO PERU CONG BL 13KG BAT ALEMANHA</v>
          </cell>
          <cell r="C1226">
            <v>0.876</v>
          </cell>
          <cell r="D1226">
            <v>0.876</v>
          </cell>
          <cell r="E1226">
            <v>-0.111</v>
          </cell>
          <cell r="F1226">
            <v>-2.1000000000000019E-2</v>
          </cell>
        </row>
        <row r="1227">
          <cell r="A1227">
            <v>827332</v>
          </cell>
          <cell r="B1227" t="str">
            <v>FRANGO GRILLER 700G CONG HALAL KUWAIT</v>
          </cell>
          <cell r="C1227">
            <v>2.7069999999999999</v>
          </cell>
          <cell r="D1227">
            <v>2.7069999999999999</v>
          </cell>
          <cell r="E1227">
            <v>-0.70899999999999996</v>
          </cell>
          <cell r="F1227">
            <v>-5.7999999999999996E-2</v>
          </cell>
        </row>
        <row r="1228">
          <cell r="A1228">
            <v>827656</v>
          </cell>
          <cell r="B1228" t="str">
            <v>SOBRECOXA S/OP PERU CONG BL 7,5KG TEMP</v>
          </cell>
          <cell r="C1228">
            <v>4.0670000000000002</v>
          </cell>
          <cell r="D1228">
            <v>4.0670000000000002</v>
          </cell>
          <cell r="E1228">
            <v>-0.40200000000000002</v>
          </cell>
          <cell r="F1228">
            <v>-9.2999999999999972E-2</v>
          </cell>
        </row>
        <row r="1229">
          <cell r="A1229">
            <v>828071</v>
          </cell>
          <cell r="B1229" t="str">
            <v>PE DIANT SUI CONG ITF BAT H.KONG</v>
          </cell>
          <cell r="C1229">
            <v>1.9359999999999999</v>
          </cell>
          <cell r="D1229">
            <v>1.9359999999999999</v>
          </cell>
          <cell r="E1229">
            <v>-0.58299999999999996</v>
          </cell>
          <cell r="F1229">
            <v>-4.2000000000000037E-2</v>
          </cell>
        </row>
        <row r="1230">
          <cell r="A1230">
            <v>828422</v>
          </cell>
          <cell r="B1230" t="str">
            <v>ASA 2A JTA FGO CONG 40G/UP PT 1KG CINGA</v>
          </cell>
          <cell r="C1230">
            <v>4.577</v>
          </cell>
          <cell r="D1230">
            <v>4.577</v>
          </cell>
          <cell r="E1230">
            <v>-0.67500000000000004</v>
          </cell>
          <cell r="F1230">
            <v>-0.10199999999999987</v>
          </cell>
        </row>
        <row r="1231">
          <cell r="A1231">
            <v>828612</v>
          </cell>
          <cell r="B1231" t="str">
            <v>LOMBO SUI CONG IWP BAT H.KONG</v>
          </cell>
          <cell r="C1231">
            <v>4.6639999999999997</v>
          </cell>
          <cell r="D1231">
            <v>4.6639999999999997</v>
          </cell>
          <cell r="E1231">
            <v>-0.55300000000000005</v>
          </cell>
          <cell r="F1231">
            <v>-0.10400000000000004</v>
          </cell>
        </row>
        <row r="1232">
          <cell r="A1232">
            <v>829202</v>
          </cell>
          <cell r="B1232" t="str">
            <v>PEITO S/OPFC FGO CONG MET 50-100G SALM</v>
          </cell>
          <cell r="C1232">
            <v>6.0540000000000003</v>
          </cell>
          <cell r="D1232">
            <v>6.0540000000000003</v>
          </cell>
          <cell r="E1232">
            <v>-0.38200000000000001</v>
          </cell>
          <cell r="F1232">
            <v>-0.13900000000000023</v>
          </cell>
        </row>
        <row r="1233">
          <cell r="A1233">
            <v>829335</v>
          </cell>
          <cell r="B1233" t="str">
            <v>SALSICHA FGO CONG PT 375G PERD KUWAIT</v>
          </cell>
          <cell r="C1233">
            <v>2.8140000000000001</v>
          </cell>
          <cell r="D1233">
            <v>2.8140000000000001</v>
          </cell>
          <cell r="E1233">
            <v>-0.66300000000000003</v>
          </cell>
          <cell r="F1233">
            <v>-6.1000000000000054E-2</v>
          </cell>
        </row>
        <row r="1234">
          <cell r="A1234">
            <v>829337</v>
          </cell>
          <cell r="B1234" t="str">
            <v>SALSICHA FGO CONG PT 375G HALAL KUWAIT</v>
          </cell>
          <cell r="C1234">
            <v>2.8140000000000001</v>
          </cell>
          <cell r="D1234">
            <v>2.8140000000000001</v>
          </cell>
          <cell r="E1234">
            <v>-0.67600000000000005</v>
          </cell>
          <cell r="F1234">
            <v>-6.1000000000000054E-2</v>
          </cell>
        </row>
        <row r="1235">
          <cell r="A1235">
            <v>829339</v>
          </cell>
          <cell r="B1235" t="str">
            <v>SALSICHA FGO CONG PT 375G UNEF OMAN</v>
          </cell>
          <cell r="C1235">
            <v>2.9670000000000001</v>
          </cell>
          <cell r="D1235">
            <v>2.9670000000000001</v>
          </cell>
          <cell r="E1235">
            <v>-0.78800000000000003</v>
          </cell>
          <cell r="F1235">
            <v>-6.4000000000000057E-2</v>
          </cell>
        </row>
        <row r="1236">
          <cell r="A1236">
            <v>829410</v>
          </cell>
          <cell r="B1236" t="str">
            <v>PEITO S/OPFC FGO CONG MET 100-180G HOL</v>
          </cell>
          <cell r="C1236">
            <v>5.7030000000000003</v>
          </cell>
          <cell r="D1236">
            <v>5.7030000000000003</v>
          </cell>
          <cell r="E1236">
            <v>-0.38800000000000001</v>
          </cell>
          <cell r="F1236">
            <v>-0.13100000000000023</v>
          </cell>
        </row>
        <row r="1237">
          <cell r="A1237">
            <v>829453</v>
          </cell>
          <cell r="B1237" t="str">
            <v>SALAME ITAL EXTRA CONG PERD ANGOLA</v>
          </cell>
          <cell r="C1237">
            <v>7.5709999999999997</v>
          </cell>
          <cell r="D1237">
            <v>7.5709999999999997</v>
          </cell>
          <cell r="E1237">
            <v>0</v>
          </cell>
          <cell r="F1237">
            <v>-0.17600000000000005</v>
          </cell>
        </row>
        <row r="1238">
          <cell r="A1238">
            <v>829574</v>
          </cell>
          <cell r="B1238" t="str">
            <v>FRANGO GRILLER 700G CONG AL-NOOR OMAN</v>
          </cell>
          <cell r="C1238">
            <v>2.6339999999999999</v>
          </cell>
          <cell r="D1238">
            <v>2.6339999999999999</v>
          </cell>
          <cell r="E1238">
            <v>-0.67100000000000004</v>
          </cell>
          <cell r="F1238">
            <v>-5.699999999999994E-2</v>
          </cell>
        </row>
        <row r="1239">
          <cell r="A1239">
            <v>829576</v>
          </cell>
          <cell r="B1239" t="str">
            <v>FRANGO GRILLER 1600G CONG HALAL OMAN</v>
          </cell>
          <cell r="C1239">
            <v>2.585</v>
          </cell>
          <cell r="D1239">
            <v>2.585</v>
          </cell>
          <cell r="E1239">
            <v>-0.63600000000000001</v>
          </cell>
          <cell r="F1239">
            <v>-5.600000000000005E-2</v>
          </cell>
        </row>
        <row r="1240">
          <cell r="A1240">
            <v>829581</v>
          </cell>
          <cell r="B1240" t="str">
            <v>FRANGO GRILLER 700G CONG PERD KUWAIT</v>
          </cell>
          <cell r="C1240">
            <v>2.7189999999999999</v>
          </cell>
          <cell r="D1240">
            <v>2.7189999999999999</v>
          </cell>
          <cell r="E1240">
            <v>-0.70099999999999996</v>
          </cell>
          <cell r="F1240">
            <v>-5.8000000000000052E-2</v>
          </cell>
        </row>
        <row r="1241">
          <cell r="A1241">
            <v>829881</v>
          </cell>
          <cell r="B1241" t="str">
            <v>FRANGO GRILLER 1300G CONG HALAL A.SAUD</v>
          </cell>
          <cell r="C1241">
            <v>2.681</v>
          </cell>
          <cell r="D1241">
            <v>2.681</v>
          </cell>
          <cell r="E1241">
            <v>-0.53500000000000003</v>
          </cell>
          <cell r="F1241">
            <v>-5.8999999999999941E-2</v>
          </cell>
        </row>
        <row r="1242">
          <cell r="A1242">
            <v>830092</v>
          </cell>
          <cell r="B1242" t="str">
            <v>SALSICHA FGO CONG PT 375G UNEF EAU</v>
          </cell>
          <cell r="C1242">
            <v>2.8140000000000001</v>
          </cell>
          <cell r="D1242">
            <v>2.8140000000000001</v>
          </cell>
          <cell r="E1242">
            <v>-0.67400000000000004</v>
          </cell>
          <cell r="F1242">
            <v>-6.0999999999999943E-2</v>
          </cell>
        </row>
        <row r="1243">
          <cell r="A1243">
            <v>830447</v>
          </cell>
          <cell r="B1243" t="str">
            <v>MOELA FGO CONG PT 1KG CONF PORTUGAL</v>
          </cell>
          <cell r="C1243">
            <v>2.2250000000000001</v>
          </cell>
          <cell r="D1243">
            <v>2.2250000000000001</v>
          </cell>
          <cell r="E1243">
            <v>-0.441</v>
          </cell>
          <cell r="F1243">
            <v>-4.8999999999999932E-2</v>
          </cell>
        </row>
        <row r="1244">
          <cell r="A1244">
            <v>830448</v>
          </cell>
          <cell r="B1244" t="str">
            <v>MOELA FGO CONG PT 1KG CONF PORTUGAL</v>
          </cell>
          <cell r="C1244">
            <v>2.2250000000000001</v>
          </cell>
          <cell r="D1244">
            <v>2.2250000000000001</v>
          </cell>
          <cell r="E1244">
            <v>-0.441</v>
          </cell>
          <cell r="F1244">
            <v>-4.8999999999999932E-2</v>
          </cell>
        </row>
        <row r="1245">
          <cell r="A1245">
            <v>830468</v>
          </cell>
          <cell r="B1245" t="str">
            <v>FRANGO BROILER 1500G CONG (SFI) CINGAP</v>
          </cell>
          <cell r="C1245">
            <v>2.5019999999999998</v>
          </cell>
          <cell r="D1245">
            <v>2.5019999999999998</v>
          </cell>
          <cell r="E1245">
            <v>-0.63300000000000001</v>
          </cell>
          <cell r="F1245">
            <v>-5.5000000000000049E-2</v>
          </cell>
        </row>
        <row r="1246">
          <cell r="A1246">
            <v>830470</v>
          </cell>
          <cell r="B1246" t="str">
            <v>FRANGO BROILER 1700G CONG (SFI) CINGAP</v>
          </cell>
          <cell r="C1246">
            <v>2.5019999999999998</v>
          </cell>
          <cell r="D1246">
            <v>2.5019999999999998</v>
          </cell>
          <cell r="E1246">
            <v>-0.63300000000000001</v>
          </cell>
          <cell r="F1246">
            <v>-5.4000000000000048E-2</v>
          </cell>
        </row>
        <row r="1247">
          <cell r="A1247">
            <v>830477</v>
          </cell>
          <cell r="B1247" t="str">
            <v>SOBRECOXA C/OP FGO CONG 120-140G CING</v>
          </cell>
          <cell r="C1247">
            <v>2.9990000000000001</v>
          </cell>
          <cell r="D1247">
            <v>2.9990000000000001</v>
          </cell>
          <cell r="E1247">
            <v>-0.65300000000000002</v>
          </cell>
          <cell r="F1247">
            <v>-6.6000000000000059E-2</v>
          </cell>
        </row>
        <row r="1248">
          <cell r="A1248">
            <v>830478</v>
          </cell>
          <cell r="B1248" t="str">
            <v>SOBRECOXA C/OP FGO CONG 140-160G CINGA</v>
          </cell>
          <cell r="C1248">
            <v>3.0009999999999999</v>
          </cell>
          <cell r="D1248">
            <v>3.0009999999999999</v>
          </cell>
          <cell r="E1248">
            <v>-0.65</v>
          </cell>
          <cell r="F1248">
            <v>-6.5999999999999948E-2</v>
          </cell>
        </row>
        <row r="1249">
          <cell r="A1249">
            <v>830481</v>
          </cell>
          <cell r="B1249" t="str">
            <v>COXA SOB C/OP FGO CONG 350-400G ITF CI</v>
          </cell>
          <cell r="C1249">
            <v>2.4769999999999999</v>
          </cell>
          <cell r="D1249">
            <v>2.4769999999999999</v>
          </cell>
          <cell r="E1249">
            <v>-0.63200000000000001</v>
          </cell>
          <cell r="F1249">
            <v>-5.4000000000000048E-2</v>
          </cell>
        </row>
        <row r="1250">
          <cell r="A1250">
            <v>830596</v>
          </cell>
          <cell r="B1250" t="str">
            <v>COXA SOB SO CP FGO CONG 10-15G PERD JAP</v>
          </cell>
          <cell r="C1250">
            <v>4.875</v>
          </cell>
          <cell r="D1250">
            <v>4.875</v>
          </cell>
          <cell r="E1250">
            <v>-0.63500000000000001</v>
          </cell>
          <cell r="F1250">
            <v>-0.11</v>
          </cell>
        </row>
        <row r="1251">
          <cell r="A1251">
            <v>830598</v>
          </cell>
          <cell r="B1251" t="str">
            <v>COXA SOB SO CP FGO CONG 20-25G PERD JAP</v>
          </cell>
          <cell r="C1251">
            <v>4.7569999999999997</v>
          </cell>
          <cell r="D1251">
            <v>4.7569999999999997</v>
          </cell>
          <cell r="E1251">
            <v>-0.61799999999999999</v>
          </cell>
          <cell r="F1251">
            <v>-0.10700000000000021</v>
          </cell>
        </row>
        <row r="1252">
          <cell r="A1252">
            <v>830696</v>
          </cell>
          <cell r="B1252" t="str">
            <v>COXA SOB SO CP FGO CONG 300G/UP SUN</v>
          </cell>
          <cell r="C1252">
            <v>3.6059999999999999</v>
          </cell>
          <cell r="D1252">
            <v>3.6059999999999999</v>
          </cell>
          <cell r="E1252">
            <v>-0.59199999999999997</v>
          </cell>
          <cell r="F1252">
            <v>-8.0000000000000071E-2</v>
          </cell>
        </row>
        <row r="1253">
          <cell r="A1253">
            <v>830772</v>
          </cell>
          <cell r="B1253" t="str">
            <v>MOELA FGO CONG BL 13KG PERD ALEMANHA</v>
          </cell>
          <cell r="C1253">
            <v>1.4590000000000001</v>
          </cell>
          <cell r="D1253">
            <v>1.4590000000000001</v>
          </cell>
          <cell r="E1253">
            <v>-0.32300000000000001</v>
          </cell>
          <cell r="F1253">
            <v>-3.2999999999999918E-2</v>
          </cell>
        </row>
        <row r="1254">
          <cell r="A1254">
            <v>830867</v>
          </cell>
          <cell r="B1254" t="str">
            <v>ASA 2A JTA+PTA PERU CONG 300-500G CAMAR</v>
          </cell>
          <cell r="C1254">
            <v>1.901</v>
          </cell>
          <cell r="D1254">
            <v>1.901</v>
          </cell>
          <cell r="E1254">
            <v>-0.82199999999999995</v>
          </cell>
          <cell r="F1254">
            <v>-3.9000000000000035E-2</v>
          </cell>
        </row>
        <row r="1255">
          <cell r="A1255">
            <v>831090</v>
          </cell>
          <cell r="B1255" t="str">
            <v>PERNIL S/O SUI CONG 82-85CL IND CINGAP</v>
          </cell>
          <cell r="C1255">
            <v>4.875</v>
          </cell>
          <cell r="D1255">
            <v>4.875</v>
          </cell>
          <cell r="E1255">
            <v>-0.63900000000000001</v>
          </cell>
          <cell r="F1255">
            <v>-0.10899999999999999</v>
          </cell>
        </row>
        <row r="1256">
          <cell r="A1256">
            <v>831093</v>
          </cell>
          <cell r="B1256" t="str">
            <v>LOMBO S/O SUI CONG IND SULINA CINGAP</v>
          </cell>
          <cell r="C1256">
            <v>6.734</v>
          </cell>
          <cell r="D1256">
            <v>6.734</v>
          </cell>
          <cell r="E1256">
            <v>-0.73399999999999999</v>
          </cell>
          <cell r="F1256">
            <v>-0.15300000000000002</v>
          </cell>
        </row>
        <row r="1257">
          <cell r="A1257">
            <v>831331</v>
          </cell>
          <cell r="B1257" t="str">
            <v>LOMBO SUI CONG 1,2KG/UP IND HOLANDA</v>
          </cell>
          <cell r="C1257">
            <v>5.0990000000000002</v>
          </cell>
          <cell r="D1257">
            <v>5.0990000000000002</v>
          </cell>
          <cell r="E1257">
            <v>-0.40300000000000002</v>
          </cell>
          <cell r="F1257">
            <v>-0.1160000000000001</v>
          </cell>
        </row>
        <row r="1258">
          <cell r="A1258">
            <v>831561</v>
          </cell>
          <cell r="B1258" t="str">
            <v>LOMBO SUI CONG 1,5-2,5KG BAT RUSSIA</v>
          </cell>
          <cell r="C1258">
            <v>6.3810000000000002</v>
          </cell>
          <cell r="D1258">
            <v>6.3810000000000002</v>
          </cell>
          <cell r="E1258">
            <v>-0.53900000000000003</v>
          </cell>
          <cell r="F1258">
            <v>-0.14499999999999999</v>
          </cell>
        </row>
        <row r="1259">
          <cell r="A1259">
            <v>831922</v>
          </cell>
          <cell r="B1259" t="str">
            <v>PEITO S/OFC C/P FGO MET CONG 120G/UP ING</v>
          </cell>
          <cell r="C1259">
            <v>8.3849999999999998</v>
          </cell>
          <cell r="D1259">
            <v>8.3849999999999998</v>
          </cell>
          <cell r="E1259">
            <v>-0.52100000000000002</v>
          </cell>
          <cell r="F1259">
            <v>-0.19199999999999973</v>
          </cell>
        </row>
        <row r="1260">
          <cell r="A1260">
            <v>832122</v>
          </cell>
          <cell r="B1260" t="str">
            <v>COXA SOB S/OP FGO CONG SALM BL PERD ALEM</v>
          </cell>
          <cell r="C1260">
            <v>3.508</v>
          </cell>
          <cell r="D1260">
            <v>3.508</v>
          </cell>
          <cell r="E1260">
            <v>-0.43099999999999999</v>
          </cell>
          <cell r="F1260">
            <v>-7.8999999999999959E-2</v>
          </cell>
        </row>
        <row r="1261">
          <cell r="A1261">
            <v>832123</v>
          </cell>
          <cell r="B1261" t="str">
            <v>COXA SOB S/O C/P FGO CONG SALM PERD ALEM</v>
          </cell>
          <cell r="C1261">
            <v>3.1280000000000001</v>
          </cell>
          <cell r="D1261">
            <v>3.1280000000000001</v>
          </cell>
          <cell r="E1261">
            <v>-0.42299999999999999</v>
          </cell>
          <cell r="F1261">
            <v>-6.9999999999999951E-2</v>
          </cell>
        </row>
        <row r="1262">
          <cell r="A1262">
            <v>832346</v>
          </cell>
          <cell r="B1262" t="str">
            <v>COXA SOB S/OP FGO CONG SALM VEG BL FRANC</v>
          </cell>
          <cell r="C1262">
            <v>3.7280000000000002</v>
          </cell>
          <cell r="D1262">
            <v>3.7280000000000002</v>
          </cell>
          <cell r="E1262">
            <v>-0.38700000000000001</v>
          </cell>
          <cell r="F1262">
            <v>-8.4000000000000075E-2</v>
          </cell>
        </row>
        <row r="1263">
          <cell r="A1263">
            <v>832359</v>
          </cell>
          <cell r="B1263" t="str">
            <v>PERNIL S/OC SUI CONG BL 20KG PERD RUSSIA</v>
          </cell>
          <cell r="C1263">
            <v>4.7960000000000003</v>
          </cell>
          <cell r="D1263">
            <v>4.7960000000000003</v>
          </cell>
          <cell r="E1263">
            <v>-0.53300000000000003</v>
          </cell>
          <cell r="F1263">
            <v>-0.1080000000000001</v>
          </cell>
        </row>
        <row r="1264">
          <cell r="A1264">
            <v>832482</v>
          </cell>
          <cell r="B1264" t="str">
            <v>PEITO S/OPFC FGO CONG MET 90G SAL BL ALE</v>
          </cell>
          <cell r="C1264">
            <v>6.3520000000000003</v>
          </cell>
          <cell r="D1264">
            <v>6.3520000000000003</v>
          </cell>
          <cell r="E1264">
            <v>-0.40200000000000002</v>
          </cell>
          <cell r="F1264">
            <v>-0.14499999999999999</v>
          </cell>
        </row>
        <row r="1265">
          <cell r="A1265">
            <v>832513</v>
          </cell>
          <cell r="B1265" t="str">
            <v>COXA C/OP FGO CONG 140-170G PT BOR CING</v>
          </cell>
          <cell r="C1265">
            <v>2.5019999999999998</v>
          </cell>
          <cell r="D1265">
            <v>2.5019999999999998</v>
          </cell>
          <cell r="E1265">
            <v>-0.61499999999999999</v>
          </cell>
          <cell r="F1265">
            <v>-5.5000000000000049E-2</v>
          </cell>
        </row>
        <row r="1266">
          <cell r="A1266">
            <v>832702</v>
          </cell>
          <cell r="B1266" t="str">
            <v>ASA 2A JTA CHT CONG 55G/UP ITF PERD CING</v>
          </cell>
          <cell r="C1266">
            <v>5.1020000000000003</v>
          </cell>
          <cell r="D1266">
            <v>5.1020000000000003</v>
          </cell>
          <cell r="E1266">
            <v>-0.69399999999999995</v>
          </cell>
          <cell r="F1266">
            <v>-0.115</v>
          </cell>
        </row>
        <row r="1267">
          <cell r="A1267">
            <v>832884</v>
          </cell>
          <cell r="B1267" t="str">
            <v>SOBREC C/OP 160-180G PT 2,27KG UNEF CING</v>
          </cell>
          <cell r="C1267">
            <v>2.516</v>
          </cell>
          <cell r="D1267">
            <v>2.516</v>
          </cell>
          <cell r="E1267">
            <v>-0.63400000000000001</v>
          </cell>
          <cell r="F1267">
            <v>-5.5E-2</v>
          </cell>
        </row>
        <row r="1268">
          <cell r="A1268">
            <v>832962</v>
          </cell>
          <cell r="B1268" t="str">
            <v>COXA SOB S/O C/P 180-200G 2,09KG SUN JAP</v>
          </cell>
          <cell r="C1268">
            <v>3.544</v>
          </cell>
          <cell r="D1268">
            <v>3.544</v>
          </cell>
          <cell r="E1268">
            <v>-0.59199999999999997</v>
          </cell>
          <cell r="F1268">
            <v>-7.7999999999999847E-2</v>
          </cell>
        </row>
        <row r="1269">
          <cell r="A1269">
            <v>832963</v>
          </cell>
          <cell r="B1269" t="str">
            <v>COXA SOB S/O C/P 200-220G 2,10KG SUN JAP</v>
          </cell>
          <cell r="C1269">
            <v>3.5179999999999998</v>
          </cell>
          <cell r="D1269">
            <v>3.5179999999999998</v>
          </cell>
          <cell r="E1269">
            <v>-0.60799999999999998</v>
          </cell>
          <cell r="F1269">
            <v>-7.7999999999999958E-2</v>
          </cell>
        </row>
        <row r="1270">
          <cell r="A1270">
            <v>833068</v>
          </cell>
          <cell r="B1270" t="str">
            <v>FRANGO GRILLER 1400G PERD ESPANHA 14KG</v>
          </cell>
          <cell r="C1270">
            <v>2.7389999999999999</v>
          </cell>
          <cell r="D1270">
            <v>2.7389999999999999</v>
          </cell>
          <cell r="E1270">
            <v>-0.53100000000000003</v>
          </cell>
          <cell r="F1270">
            <v>-6.0999999999999943E-2</v>
          </cell>
        </row>
        <row r="1271">
          <cell r="A1271">
            <v>833163</v>
          </cell>
          <cell r="B1271" t="str">
            <v>STEAK FGO EMPANADO 15 CART H.KONG CX 9KG</v>
          </cell>
          <cell r="C1271">
            <v>3.4239999999999999</v>
          </cell>
          <cell r="D1271">
            <v>3.4239999999999999</v>
          </cell>
          <cell r="E1271">
            <v>-0.112</v>
          </cell>
          <cell r="F1271">
            <v>-0.08</v>
          </cell>
        </row>
        <row r="1272">
          <cell r="A1272">
            <v>833164</v>
          </cell>
          <cell r="B1272" t="str">
            <v>PEITO FGO EMP FRITO K.KONG CART 500G</v>
          </cell>
          <cell r="C1272">
            <v>4.3879999999999999</v>
          </cell>
          <cell r="D1272">
            <v>4.3879999999999999</v>
          </cell>
          <cell r="E1272">
            <v>-0.113</v>
          </cell>
          <cell r="F1272">
            <v>-0.10199999999999998</v>
          </cell>
        </row>
        <row r="1273">
          <cell r="A1273">
            <v>833274</v>
          </cell>
          <cell r="B1273" t="str">
            <v>FILEZINHO SUINO 140-500G IWP BAT HOLANDA</v>
          </cell>
          <cell r="C1273">
            <v>4.2050000000000001</v>
          </cell>
          <cell r="D1273">
            <v>4.2050000000000001</v>
          </cell>
          <cell r="E1273">
            <v>-0.40200000000000002</v>
          </cell>
          <cell r="F1273">
            <v>-9.5999999999999974E-2</v>
          </cell>
        </row>
        <row r="1274">
          <cell r="A1274">
            <v>833389</v>
          </cell>
          <cell r="B1274" t="str">
            <v>COXA SOB C/OP 320G-400g ITF UNEF CING</v>
          </cell>
          <cell r="C1274">
            <v>2.4649999999999999</v>
          </cell>
          <cell r="D1274">
            <v>2.4649999999999999</v>
          </cell>
          <cell r="E1274">
            <v>-0.63300000000000001</v>
          </cell>
          <cell r="F1274">
            <v>-5.3000000000000047E-2</v>
          </cell>
        </row>
        <row r="1275">
          <cell r="A1275">
            <v>833514</v>
          </cell>
          <cell r="B1275" t="str">
            <v>FILE PEITO FGO CONG DESC C/TEND SALM HOL</v>
          </cell>
          <cell r="C1275">
            <v>4.5540000000000003</v>
          </cell>
          <cell r="D1275">
            <v>4.5540000000000003</v>
          </cell>
          <cell r="E1275">
            <v>-0.39600000000000002</v>
          </cell>
          <cell r="F1275">
            <v>-0.10400000000000009</v>
          </cell>
        </row>
        <row r="1276">
          <cell r="A1276">
            <v>833573</v>
          </cell>
          <cell r="B1276" t="str">
            <v>COXA C/OP FGO CONG 140-170G PT UNEF CING</v>
          </cell>
          <cell r="C1276">
            <v>2.516</v>
          </cell>
          <cell r="D1276">
            <v>2.516</v>
          </cell>
          <cell r="E1276">
            <v>-0.63400000000000001</v>
          </cell>
          <cell r="F1276">
            <v>-5.3999999999999992E-2</v>
          </cell>
        </row>
        <row r="1277">
          <cell r="A1277">
            <v>833653</v>
          </cell>
          <cell r="B1277" t="str">
            <v>ASA 1A JTA DRUM FGO CONG 45-55G PERD JAP</v>
          </cell>
          <cell r="C1277">
            <v>3.69</v>
          </cell>
          <cell r="D1277">
            <v>3.69</v>
          </cell>
          <cell r="E1277">
            <v>-0.622</v>
          </cell>
          <cell r="F1277">
            <v>-8.1999999999999851E-2</v>
          </cell>
        </row>
        <row r="1278">
          <cell r="A1278">
            <v>833654</v>
          </cell>
          <cell r="B1278" t="str">
            <v>COXA C/OP FGO CONG 100-120G (SFI) CINGAP</v>
          </cell>
          <cell r="C1278">
            <v>3.0129999999999999</v>
          </cell>
          <cell r="D1278">
            <v>3.0129999999999999</v>
          </cell>
          <cell r="E1278">
            <v>-0.64100000000000001</v>
          </cell>
          <cell r="F1278">
            <v>-6.6000000000000059E-2</v>
          </cell>
        </row>
        <row r="1279">
          <cell r="A1279">
            <v>833655</v>
          </cell>
          <cell r="B1279" t="str">
            <v>COXA C/OP FGO CONG 120-140G (SFI) CINGAP</v>
          </cell>
          <cell r="C1279">
            <v>3.0129999999999999</v>
          </cell>
          <cell r="D1279">
            <v>3.0129999999999999</v>
          </cell>
          <cell r="E1279">
            <v>-0.64300000000000002</v>
          </cell>
          <cell r="F1279">
            <v>-6.5999999999999948E-2</v>
          </cell>
        </row>
        <row r="1280">
          <cell r="A1280">
            <v>833803</v>
          </cell>
          <cell r="B1280" t="str">
            <v>ASA 1A JTA PERU (MACHO) ITF BAT RUSSIA</v>
          </cell>
          <cell r="C1280">
            <v>1.6080000000000001</v>
          </cell>
          <cell r="D1280">
            <v>1.6080000000000001</v>
          </cell>
          <cell r="E1280">
            <v>-0.48399999999999999</v>
          </cell>
          <cell r="F1280">
            <v>-3.400000000000003E-2</v>
          </cell>
        </row>
        <row r="1281">
          <cell r="A1281">
            <v>833871</v>
          </cell>
          <cell r="B1281" t="str">
            <v>COXA SOB SO CP FGO CONG 23-28G SUN JAPAO</v>
          </cell>
          <cell r="C1281">
            <v>3.6059999999999999</v>
          </cell>
          <cell r="D1281">
            <v>3.6059999999999999</v>
          </cell>
          <cell r="E1281">
            <v>-0.59099999999999997</v>
          </cell>
          <cell r="F1281">
            <v>-0.08</v>
          </cell>
        </row>
        <row r="1282">
          <cell r="A1282">
            <v>833872</v>
          </cell>
          <cell r="B1282" t="str">
            <v>COXA SOB SO CP FGO CONG 25-35G SUN JAPAO</v>
          </cell>
          <cell r="C1282">
            <v>3.6059999999999999</v>
          </cell>
          <cell r="D1282">
            <v>3.6059999999999999</v>
          </cell>
          <cell r="E1282">
            <v>-0.59099999999999997</v>
          </cell>
          <cell r="F1282">
            <v>-8.0000000000000071E-2</v>
          </cell>
        </row>
        <row r="1283">
          <cell r="A1283">
            <v>833882</v>
          </cell>
          <cell r="B1283" t="str">
            <v>COXA SOB S/OP FGO CONG CUB 25MM TA/CO HO</v>
          </cell>
          <cell r="C1283">
            <v>6.9569999999999999</v>
          </cell>
          <cell r="D1283">
            <v>6.9569999999999999</v>
          </cell>
          <cell r="E1283">
            <v>-0.435</v>
          </cell>
          <cell r="F1283">
            <v>-0.16</v>
          </cell>
        </row>
        <row r="1284">
          <cell r="A1284">
            <v>833896</v>
          </cell>
          <cell r="B1284" t="str">
            <v>COPA LOMBO S/O SUI CONG IWP PERD RUSSIA</v>
          </cell>
          <cell r="C1284">
            <v>5.2039999999999997</v>
          </cell>
          <cell r="D1284">
            <v>5.2039999999999997</v>
          </cell>
          <cell r="E1284">
            <v>-0.52100000000000002</v>
          </cell>
          <cell r="F1284">
            <v>-0.11699999999999999</v>
          </cell>
        </row>
        <row r="1285">
          <cell r="A1285">
            <v>833897</v>
          </cell>
          <cell r="B1285" t="str">
            <v>LOMBO SUI CONG 1,2KG/UP IWP PERD RUSSIA</v>
          </cell>
          <cell r="C1285">
            <v>5.9530000000000003</v>
          </cell>
          <cell r="D1285">
            <v>5.9530000000000003</v>
          </cell>
          <cell r="E1285">
            <v>-0.54600000000000004</v>
          </cell>
          <cell r="F1285">
            <v>-0.13500000000000001</v>
          </cell>
        </row>
        <row r="1286">
          <cell r="A1286">
            <v>834080</v>
          </cell>
          <cell r="B1286" t="str">
            <v>ASA INT FGO CONG 75-90G ITF BORELLA CING</v>
          </cell>
          <cell r="C1286">
            <v>2.222</v>
          </cell>
          <cell r="D1286">
            <v>2.222</v>
          </cell>
          <cell r="E1286">
            <v>-0.63500000000000001</v>
          </cell>
          <cell r="F1286">
            <v>-4.7000000000000014E-2</v>
          </cell>
        </row>
        <row r="1287">
          <cell r="A1287">
            <v>834081</v>
          </cell>
          <cell r="B1287" t="str">
            <v>SOBRECOXA C/OP FGO CONG 180-200G PT CING</v>
          </cell>
          <cell r="C1287">
            <v>2.5249999999999999</v>
          </cell>
          <cell r="D1287">
            <v>2.5249999999999999</v>
          </cell>
          <cell r="E1287">
            <v>-0.61499999999999999</v>
          </cell>
          <cell r="F1287">
            <v>-5.5E-2</v>
          </cell>
        </row>
        <row r="1288">
          <cell r="A1288">
            <v>834363</v>
          </cell>
          <cell r="B1288" t="str">
            <v>PERNIL S/OC SUI CONG IND BAT RUSSIA 25KG</v>
          </cell>
          <cell r="C1288">
            <v>4.6210000000000004</v>
          </cell>
          <cell r="D1288">
            <v>4.6210000000000004</v>
          </cell>
          <cell r="E1288">
            <v>-0.55200000000000005</v>
          </cell>
          <cell r="F1288">
            <v>-0.10400000000000009</v>
          </cell>
        </row>
        <row r="1289">
          <cell r="A1289">
            <v>834672</v>
          </cell>
          <cell r="B1289" t="str">
            <v>FIGADO FGO CONG BDJ 500G PERD CANARIAS</v>
          </cell>
          <cell r="C1289">
            <v>2.552</v>
          </cell>
          <cell r="D1289">
            <v>2.552</v>
          </cell>
          <cell r="E1289">
            <v>-0.47399999999999998</v>
          </cell>
          <cell r="F1289">
            <v>-5.699999999999994E-2</v>
          </cell>
        </row>
        <row r="1290">
          <cell r="A1290">
            <v>834816</v>
          </cell>
          <cell r="B1290" t="str">
            <v>PEITO S/OPFC FGO CONG CUB 20MM TA/CO ING</v>
          </cell>
          <cell r="C1290">
            <v>8.1999999999999993</v>
          </cell>
          <cell r="D1290">
            <v>8.1999999999999993</v>
          </cell>
          <cell r="E1290">
            <v>-0.66400000000000003</v>
          </cell>
          <cell r="F1290">
            <v>-0.18600000000000039</v>
          </cell>
        </row>
        <row r="1291">
          <cell r="A1291">
            <v>834893</v>
          </cell>
          <cell r="B1291" t="str">
            <v>PEITO S/OPFC FGO CONG 160-190G SALM BUT</v>
          </cell>
          <cell r="C1291">
            <v>7.0979999999999999</v>
          </cell>
          <cell r="D1291">
            <v>7.0979999999999999</v>
          </cell>
          <cell r="E1291">
            <v>-0.46800000000000003</v>
          </cell>
          <cell r="F1291">
            <v>-0.16200000000000037</v>
          </cell>
        </row>
        <row r="1292">
          <cell r="A1292">
            <v>835279</v>
          </cell>
          <cell r="B1292" t="str">
            <v>ASA INT FGO CONG 100-150G ITF PERD CHINA</v>
          </cell>
          <cell r="C1292">
            <v>0.82799999999999996</v>
          </cell>
          <cell r="D1292">
            <v>0.82799999999999996</v>
          </cell>
          <cell r="E1292">
            <v>-0.11</v>
          </cell>
          <cell r="F1292">
            <v>-1.9000000000000017E-2</v>
          </cell>
        </row>
        <row r="1293">
          <cell r="A1293">
            <v>835542</v>
          </cell>
          <cell r="B1293" t="str">
            <v>ASA 2A JTA+PTA FGO CONG TEBAS 50G/UP JAP</v>
          </cell>
          <cell r="C1293">
            <v>4.2759999999999998</v>
          </cell>
          <cell r="D1293">
            <v>4.2759999999999998</v>
          </cell>
          <cell r="E1293">
            <v>-0.63500000000000001</v>
          </cell>
          <cell r="F1293">
            <v>-9.6000000000000085E-2</v>
          </cell>
        </row>
        <row r="1294">
          <cell r="A1294">
            <v>835605</v>
          </cell>
          <cell r="B1294" t="str">
            <v>COXA SOB C/OP FGO CONG 200-220G PERD JAP</v>
          </cell>
          <cell r="C1294">
            <v>2.7749999999999999</v>
          </cell>
          <cell r="D1294">
            <v>2.7749999999999999</v>
          </cell>
          <cell r="E1294">
            <v>-0.14000000000000001</v>
          </cell>
          <cell r="F1294">
            <v>-6.5000000000000169E-2</v>
          </cell>
        </row>
        <row r="1295">
          <cell r="A1295">
            <v>836060</v>
          </cell>
          <cell r="B1295" t="str">
            <v>PEITO S/OPC C/F PERU CONG 2000G/UP ESPAN</v>
          </cell>
          <cell r="C1295">
            <v>7.34</v>
          </cell>
          <cell r="D1295">
            <v>7.34</v>
          </cell>
          <cell r="E1295">
            <v>-0.627</v>
          </cell>
          <cell r="F1295">
            <v>-0.16699999999999982</v>
          </cell>
        </row>
        <row r="1296">
          <cell r="A1296">
            <v>836212</v>
          </cell>
          <cell r="B1296" t="str">
            <v>PEITO S/OPFC FGO CONG CUB 19MM TA/CO ING</v>
          </cell>
          <cell r="C1296">
            <v>7.827</v>
          </cell>
          <cell r="D1296">
            <v>7.827</v>
          </cell>
          <cell r="E1296">
            <v>-0.53900000000000003</v>
          </cell>
          <cell r="F1296">
            <v>-0.17899999999999983</v>
          </cell>
        </row>
        <row r="1297">
          <cell r="A1297">
            <v>836274</v>
          </cell>
          <cell r="B1297" t="str">
            <v>PEITO S/OPC C/F PERU CONG MET BAT KUWAIT</v>
          </cell>
          <cell r="C1297">
            <v>8.1620000000000008</v>
          </cell>
          <cell r="D1297">
            <v>8.1620000000000008</v>
          </cell>
          <cell r="E1297">
            <v>-0.872</v>
          </cell>
          <cell r="F1297">
            <v>-0.18599999999999994</v>
          </cell>
        </row>
        <row r="1298">
          <cell r="A1298">
            <v>836304</v>
          </cell>
          <cell r="B1298" t="str">
            <v>CHESTER ROLL CONG PT PERD KOSOVO CX 4,8K</v>
          </cell>
          <cell r="C1298">
            <v>5.1150000000000002</v>
          </cell>
          <cell r="D1298">
            <v>5.1150000000000002</v>
          </cell>
          <cell r="E1298">
            <v>-0.755</v>
          </cell>
          <cell r="F1298">
            <v>-0.1140000000000001</v>
          </cell>
        </row>
        <row r="1299">
          <cell r="A1299">
            <v>836305</v>
          </cell>
          <cell r="B1299" t="str">
            <v>LASANHA 4 QUEIJOS BDJ CONG PERD KOSOVO</v>
          </cell>
          <cell r="C1299">
            <v>4.593</v>
          </cell>
          <cell r="D1299">
            <v>4.593</v>
          </cell>
          <cell r="E1299">
            <v>-0.58899999999999997</v>
          </cell>
          <cell r="F1299">
            <v>-0.10200000000000009</v>
          </cell>
        </row>
        <row r="1300">
          <cell r="A1300">
            <v>836306</v>
          </cell>
          <cell r="B1300" t="str">
            <v>LASANHA BOLONHESA BDJ CONG PERD KOSOVO</v>
          </cell>
          <cell r="C1300">
            <v>4.4649999999999999</v>
          </cell>
          <cell r="D1300">
            <v>4.4649999999999999</v>
          </cell>
          <cell r="E1300">
            <v>-0.58899999999999997</v>
          </cell>
          <cell r="F1300">
            <v>-9.9000000000000199E-2</v>
          </cell>
        </row>
        <row r="1301">
          <cell r="A1301">
            <v>836307</v>
          </cell>
          <cell r="B1301" t="str">
            <v>LASANHA VERDE CONG BDJ PERD KOSOVO</v>
          </cell>
          <cell r="C1301">
            <v>4.2869999999999999</v>
          </cell>
          <cell r="D1301">
            <v>4.2869999999999999</v>
          </cell>
          <cell r="E1301">
            <v>-0.58899999999999997</v>
          </cell>
          <cell r="F1301">
            <v>-9.5000000000000001E-2</v>
          </cell>
        </row>
        <row r="1302">
          <cell r="A1302">
            <v>836308</v>
          </cell>
          <cell r="B1302" t="str">
            <v>PIZZA CALABRESA CONG PERD KOSOVO</v>
          </cell>
          <cell r="C1302">
            <v>7.2720000000000002</v>
          </cell>
          <cell r="D1302">
            <v>7.2720000000000002</v>
          </cell>
          <cell r="E1302">
            <v>-0.58899999999999997</v>
          </cell>
          <cell r="F1302">
            <v>-0.16400000000000015</v>
          </cell>
        </row>
        <row r="1303">
          <cell r="A1303">
            <v>836309</v>
          </cell>
          <cell r="B1303" t="str">
            <v>PIZZA MUSSARELA CONG PERD KOSOVO</v>
          </cell>
          <cell r="C1303">
            <v>9.5690000000000008</v>
          </cell>
          <cell r="D1303">
            <v>9.5690000000000008</v>
          </cell>
          <cell r="E1303">
            <v>-0.58899999999999997</v>
          </cell>
          <cell r="F1303">
            <v>-0.21799999999999997</v>
          </cell>
        </row>
        <row r="1304">
          <cell r="A1304">
            <v>836310</v>
          </cell>
          <cell r="B1304" t="str">
            <v>PIZZA PRESUNTO/CHAMPIGNON PERD KOSOVO</v>
          </cell>
          <cell r="C1304">
            <v>7.91</v>
          </cell>
          <cell r="D1304">
            <v>7.91</v>
          </cell>
          <cell r="E1304">
            <v>-0.58899999999999997</v>
          </cell>
          <cell r="F1304">
            <v>-0.17899999999999983</v>
          </cell>
        </row>
        <row r="1305">
          <cell r="A1305">
            <v>836311</v>
          </cell>
          <cell r="B1305" t="str">
            <v>CORDON BLEU CONG PERD KOSOVO CX 7,5KG</v>
          </cell>
          <cell r="C1305">
            <v>5.8810000000000002</v>
          </cell>
          <cell r="D1305">
            <v>5.8810000000000002</v>
          </cell>
          <cell r="E1305">
            <v>-0.66600000000000004</v>
          </cell>
          <cell r="F1305">
            <v>-0.13300000000000001</v>
          </cell>
        </row>
        <row r="1306">
          <cell r="A1306">
            <v>836318</v>
          </cell>
          <cell r="B1306" t="str">
            <v>SALSICHA VIENA C/COR CONG PT500G PERD KO</v>
          </cell>
          <cell r="C1306">
            <v>2.6859999999999999</v>
          </cell>
          <cell r="D1306">
            <v>2.6859999999999999</v>
          </cell>
          <cell r="E1306">
            <v>-0.66500000000000004</v>
          </cell>
          <cell r="F1306">
            <v>-5.8000000000000052E-2</v>
          </cell>
        </row>
        <row r="1307">
          <cell r="A1307">
            <v>836319</v>
          </cell>
          <cell r="B1307" t="str">
            <v>SALAME ITALIANO CONG PERD KOSOVO CX 5KG</v>
          </cell>
          <cell r="C1307">
            <v>9.9719999999999995</v>
          </cell>
          <cell r="D1307">
            <v>9.9719999999999995</v>
          </cell>
          <cell r="E1307">
            <v>-0.64800000000000002</v>
          </cell>
          <cell r="F1307">
            <v>-0.22799999999999976</v>
          </cell>
        </row>
        <row r="1308">
          <cell r="A1308">
            <v>836320</v>
          </cell>
          <cell r="B1308" t="str">
            <v>LINGUICA FGO CONG PT 5KG PERD KOSOVO</v>
          </cell>
          <cell r="C1308">
            <v>3.702</v>
          </cell>
          <cell r="D1308">
            <v>3.702</v>
          </cell>
          <cell r="E1308">
            <v>-0.64200000000000002</v>
          </cell>
          <cell r="F1308">
            <v>-8.0999999999999961E-2</v>
          </cell>
        </row>
        <row r="1309">
          <cell r="A1309">
            <v>836322</v>
          </cell>
          <cell r="B1309" t="str">
            <v>RECHEADO CREME CHAMPIGNON PERD KOSOVO</v>
          </cell>
          <cell r="C1309">
            <v>5.7539999999999996</v>
          </cell>
          <cell r="D1309">
            <v>5.7539999999999996</v>
          </cell>
          <cell r="E1309">
            <v>-0.66700000000000004</v>
          </cell>
          <cell r="F1309">
            <v>-0.129</v>
          </cell>
        </row>
        <row r="1310">
          <cell r="A1310">
            <v>836323</v>
          </cell>
          <cell r="B1310" t="str">
            <v>BIG CHICKEN FGO CONG PERD KOSOVO CX 6KG</v>
          </cell>
          <cell r="C1310">
            <v>4.7309999999999999</v>
          </cell>
          <cell r="D1310">
            <v>4.7309999999999999</v>
          </cell>
          <cell r="E1310">
            <v>-0.66600000000000004</v>
          </cell>
          <cell r="F1310">
            <v>-0.10599999999999987</v>
          </cell>
        </row>
        <row r="1311">
          <cell r="A1311">
            <v>836324</v>
          </cell>
          <cell r="B1311" t="str">
            <v>PEITO FGO CONG EMPANADO PERD KOSOVO</v>
          </cell>
          <cell r="C1311">
            <v>5.4980000000000002</v>
          </cell>
          <cell r="D1311">
            <v>5.4980000000000002</v>
          </cell>
          <cell r="E1311">
            <v>-0.66700000000000004</v>
          </cell>
          <cell r="F1311">
            <v>-0.123</v>
          </cell>
        </row>
        <row r="1312">
          <cell r="A1312">
            <v>836325</v>
          </cell>
          <cell r="B1312" t="str">
            <v>SOBRECOXA FGO CONG EMPANADO PERD KOSOVO</v>
          </cell>
          <cell r="C1312">
            <v>5.4980000000000002</v>
          </cell>
          <cell r="D1312">
            <v>5.4980000000000002</v>
          </cell>
          <cell r="E1312">
            <v>-0.66700000000000004</v>
          </cell>
          <cell r="F1312">
            <v>-0.12399999999999989</v>
          </cell>
        </row>
        <row r="1313">
          <cell r="A1313">
            <v>836326</v>
          </cell>
          <cell r="B1313" t="str">
            <v>STEAK FGO CONG PERD KOSOVO CX 9KG</v>
          </cell>
          <cell r="C1313">
            <v>4.4749999999999996</v>
          </cell>
          <cell r="D1313">
            <v>4.4749999999999996</v>
          </cell>
          <cell r="E1313">
            <v>-0.66800000000000004</v>
          </cell>
          <cell r="F1313">
            <v>-9.8999999999999977E-2</v>
          </cell>
        </row>
        <row r="1314">
          <cell r="A1314">
            <v>836327</v>
          </cell>
          <cell r="B1314" t="str">
            <v>HAMBURGUER FGO CONG PERD KOSOV CX 8,064k</v>
          </cell>
          <cell r="C1314">
            <v>3.2480000000000002</v>
          </cell>
          <cell r="D1314">
            <v>3.2480000000000002</v>
          </cell>
          <cell r="E1314">
            <v>-0.755</v>
          </cell>
          <cell r="F1314">
            <v>-6.9999999999999951E-2</v>
          </cell>
        </row>
        <row r="1315">
          <cell r="A1315">
            <v>836328</v>
          </cell>
          <cell r="B1315" t="str">
            <v>FRANGO INT DESOS TEMP PERD KOSOVO CX 10K</v>
          </cell>
          <cell r="C1315">
            <v>4.22</v>
          </cell>
          <cell r="D1315">
            <v>4.22</v>
          </cell>
          <cell r="E1315">
            <v>-0.66600000000000004</v>
          </cell>
          <cell r="F1315">
            <v>-9.4000000000000083E-2</v>
          </cell>
        </row>
        <row r="1316">
          <cell r="A1316">
            <v>836329</v>
          </cell>
          <cell r="B1316" t="str">
            <v>CODORNA CONG PERD KOSOVO CX 9,7KG</v>
          </cell>
          <cell r="C1316">
            <v>7.1459999999999999</v>
          </cell>
          <cell r="D1316">
            <v>7.1459999999999999</v>
          </cell>
          <cell r="E1316">
            <v>-0.64200000000000002</v>
          </cell>
          <cell r="F1316">
            <v>-0.16199999999999992</v>
          </cell>
        </row>
        <row r="1317">
          <cell r="A1317">
            <v>836341</v>
          </cell>
          <cell r="B1317" t="str">
            <v>PEITO S/OPFC FGO CONG 160G/UP SALM HOLAN</v>
          </cell>
          <cell r="C1317">
            <v>6.548</v>
          </cell>
          <cell r="D1317">
            <v>6.548</v>
          </cell>
          <cell r="E1317">
            <v>-0.38200000000000001</v>
          </cell>
          <cell r="F1317">
            <v>-0.15</v>
          </cell>
        </row>
        <row r="1318">
          <cell r="A1318">
            <v>836344</v>
          </cell>
          <cell r="B1318" t="str">
            <v>RONDELINI CONG BDJ PERD KOSOVO CX 4,4KG</v>
          </cell>
          <cell r="C1318">
            <v>5.7919999999999998</v>
          </cell>
          <cell r="D1318">
            <v>5.7919999999999998</v>
          </cell>
          <cell r="E1318">
            <v>-0.58899999999999997</v>
          </cell>
          <cell r="F1318">
            <v>-0.13</v>
          </cell>
        </row>
        <row r="1319">
          <cell r="A1319">
            <v>836462</v>
          </cell>
          <cell r="B1319" t="str">
            <v>SALSICHA FGO CONG PT 375G PERD EAU</v>
          </cell>
          <cell r="C1319">
            <v>2.8140000000000001</v>
          </cell>
          <cell r="D1319">
            <v>2.8140000000000001</v>
          </cell>
          <cell r="E1319">
            <v>-0.67400000000000004</v>
          </cell>
          <cell r="F1319">
            <v>-6.1000000000000054E-2</v>
          </cell>
        </row>
        <row r="1320">
          <cell r="A1320">
            <v>836502</v>
          </cell>
          <cell r="B1320" t="str">
            <v>COXA SOB S/O C/P FGO CONG 220-240G CINGA</v>
          </cell>
          <cell r="C1320">
            <v>4.0119999999999996</v>
          </cell>
          <cell r="D1320">
            <v>4.0119999999999996</v>
          </cell>
          <cell r="E1320">
            <v>-0.66500000000000004</v>
          </cell>
          <cell r="F1320">
            <v>-8.8999999999999968E-2</v>
          </cell>
        </row>
        <row r="1321">
          <cell r="A1321">
            <v>836556</v>
          </cell>
          <cell r="B1321" t="str">
            <v>ASA 1A JTA FGO CONG 30-40G PT PERD KUWAI</v>
          </cell>
          <cell r="C1321">
            <v>3.3170000000000002</v>
          </cell>
          <cell r="D1321">
            <v>3.3170000000000002</v>
          </cell>
          <cell r="E1321">
            <v>-0.73</v>
          </cell>
          <cell r="F1321">
            <v>-7.2999999999999954E-2</v>
          </cell>
        </row>
        <row r="1322">
          <cell r="A1322">
            <v>836557</v>
          </cell>
          <cell r="B1322" t="str">
            <v>COXA C/OP FGO CONG DRUM 70-90G PT KUWAIT</v>
          </cell>
          <cell r="C1322">
            <v>4.2089999999999996</v>
          </cell>
          <cell r="D1322">
            <v>4.2089999999999996</v>
          </cell>
          <cell r="E1322">
            <v>-0.754</v>
          </cell>
          <cell r="F1322">
            <v>-9.2999999999999972E-2</v>
          </cell>
        </row>
        <row r="1323">
          <cell r="A1323">
            <v>836558</v>
          </cell>
          <cell r="B1323" t="str">
            <v>SOBRECOXA C/OP FGO CONG 80-100G PT KUWAI</v>
          </cell>
          <cell r="C1323">
            <v>3.9540000000000002</v>
          </cell>
          <cell r="D1323">
            <v>3.9540000000000002</v>
          </cell>
          <cell r="E1323">
            <v>-0.747</v>
          </cell>
          <cell r="F1323">
            <v>-8.7999999999999856E-2</v>
          </cell>
        </row>
        <row r="1324">
          <cell r="A1324">
            <v>836560</v>
          </cell>
          <cell r="B1324" t="str">
            <v>ASA S/PTA FGO CONG 50-70G PT PERD KUWAIT</v>
          </cell>
          <cell r="C1324">
            <v>3.38</v>
          </cell>
          <cell r="D1324">
            <v>3.38</v>
          </cell>
          <cell r="E1324">
            <v>-0.73099999999999998</v>
          </cell>
          <cell r="F1324">
            <v>-7.4000000000000066E-2</v>
          </cell>
        </row>
        <row r="1325">
          <cell r="A1325">
            <v>836652</v>
          </cell>
          <cell r="B1325" t="str">
            <v>ASA INT FGO CONG 100G/UP BDJ PERD CARIBE</v>
          </cell>
          <cell r="C1325">
            <v>2.39</v>
          </cell>
          <cell r="D1325">
            <v>2.39</v>
          </cell>
          <cell r="E1325">
            <v>-0.67800000000000005</v>
          </cell>
          <cell r="F1325">
            <v>-5.099999999999999E-2</v>
          </cell>
        </row>
        <row r="1326">
          <cell r="A1326">
            <v>836653</v>
          </cell>
          <cell r="B1326" t="str">
            <v>COXA SOB S/OP FGO CONG ITF PERD CARIBE</v>
          </cell>
          <cell r="C1326">
            <v>4.181</v>
          </cell>
          <cell r="D1326">
            <v>4.181</v>
          </cell>
          <cell r="E1326">
            <v>-0.71499999999999997</v>
          </cell>
          <cell r="F1326">
            <v>-9.2000000000000082E-2</v>
          </cell>
        </row>
        <row r="1327">
          <cell r="A1327">
            <v>836654</v>
          </cell>
          <cell r="B1327" t="str">
            <v>COXA SOB C/OP FGO CONG 300-350G ITF CING</v>
          </cell>
          <cell r="C1327">
            <v>2.5019999999999998</v>
          </cell>
          <cell r="D1327">
            <v>2.5019999999999998</v>
          </cell>
          <cell r="E1327">
            <v>-0.61399999999999999</v>
          </cell>
          <cell r="F1327">
            <v>-5.4000000000000048E-2</v>
          </cell>
        </row>
        <row r="1328">
          <cell r="A1328">
            <v>836669</v>
          </cell>
          <cell r="B1328" t="str">
            <v>PEITO S/OPFC FGO CONG MET 80G/UP BELGICA</v>
          </cell>
          <cell r="C1328">
            <v>7.4130000000000003</v>
          </cell>
          <cell r="D1328">
            <v>7.4130000000000003</v>
          </cell>
          <cell r="E1328">
            <v>-0.38</v>
          </cell>
          <cell r="F1328">
            <v>-0.17099999999999982</v>
          </cell>
        </row>
        <row r="1329">
          <cell r="A1329">
            <v>836712</v>
          </cell>
          <cell r="B1329" t="str">
            <v>COXA C/OP FGO CONG DRUM BORELA A.SAUDITA</v>
          </cell>
          <cell r="C1329">
            <v>3.1909999999999998</v>
          </cell>
          <cell r="D1329">
            <v>3.1909999999999998</v>
          </cell>
          <cell r="E1329">
            <v>-0.53600000000000003</v>
          </cell>
          <cell r="F1329">
            <v>-6.9999999999999951E-2</v>
          </cell>
        </row>
        <row r="1330">
          <cell r="A1330">
            <v>836797</v>
          </cell>
          <cell r="B1330" t="str">
            <v>PEITO S/OFC C/P FGO MET CONG 100G INGLAT</v>
          </cell>
          <cell r="C1330">
            <v>8.6389999999999993</v>
          </cell>
          <cell r="D1330">
            <v>8.6389999999999993</v>
          </cell>
          <cell r="E1330">
            <v>-0.53600000000000003</v>
          </cell>
          <cell r="F1330">
            <v>-0.19799999999999951</v>
          </cell>
        </row>
        <row r="1331">
          <cell r="A1331">
            <v>836915</v>
          </cell>
          <cell r="B1331" t="str">
            <v>PEITO S/OPFC FGO CONG MET 80G/UP ITF HOL</v>
          </cell>
          <cell r="C1331">
            <v>5.5640000000000001</v>
          </cell>
          <cell r="D1331">
            <v>5.5640000000000001</v>
          </cell>
          <cell r="E1331">
            <v>-0.46100000000000002</v>
          </cell>
          <cell r="F1331">
            <v>-0.12699999999999978</v>
          </cell>
        </row>
        <row r="1332">
          <cell r="A1332">
            <v>837009</v>
          </cell>
          <cell r="B1332" t="str">
            <v>ASA INT FGO CONG 40-70G ITF PERD RUSSIA</v>
          </cell>
          <cell r="C1332">
            <v>1.403</v>
          </cell>
          <cell r="D1332">
            <v>1.403</v>
          </cell>
          <cell r="E1332">
            <v>-0.14000000000000001</v>
          </cell>
          <cell r="F1332">
            <v>-3.3000000000000002E-2</v>
          </cell>
        </row>
        <row r="1333">
          <cell r="A1333">
            <v>837055</v>
          </cell>
          <cell r="B1333" t="str">
            <v>SALSICHA FGO CONG PT 375G PERD KOSOVO</v>
          </cell>
          <cell r="C1333">
            <v>2.8090000000000002</v>
          </cell>
          <cell r="D1333">
            <v>2.8090000000000002</v>
          </cell>
          <cell r="E1333">
            <v>-0.59799999999999998</v>
          </cell>
          <cell r="F1333">
            <v>-6.0999999999999943E-2</v>
          </cell>
        </row>
        <row r="1334">
          <cell r="A1334">
            <v>837079</v>
          </cell>
          <cell r="B1334" t="str">
            <v>ASA 1A JTA FGO CONG 30G/UP PT UNEF CINGA</v>
          </cell>
          <cell r="C1334">
            <v>3.1909999999999998</v>
          </cell>
          <cell r="D1334">
            <v>3.1909999999999998</v>
          </cell>
          <cell r="E1334">
            <v>-0.65400000000000003</v>
          </cell>
          <cell r="F1334">
            <v>-7.0999999999999952E-2</v>
          </cell>
        </row>
        <row r="1335">
          <cell r="A1335">
            <v>2120</v>
          </cell>
          <cell r="B1335" t="str">
            <v>COCB15 CORACAO FGO CONG BAT 2,5KG CX15KG</v>
          </cell>
          <cell r="C1335">
            <v>3.052</v>
          </cell>
          <cell r="D1335">
            <v>2.7250000000000001</v>
          </cell>
          <cell r="E1335">
            <v>-0.21099999999999999</v>
          </cell>
          <cell r="F1335">
            <v>-0.17499999999999999</v>
          </cell>
        </row>
        <row r="1336">
          <cell r="A1336">
            <v>3150</v>
          </cell>
          <cell r="B1336" t="str">
            <v>COVB20 COSTELA SUI CONG BATAVO CX 20KG</v>
          </cell>
          <cell r="C1336">
            <v>2.7530000000000001</v>
          </cell>
          <cell r="D1336">
            <v>2.4620000000000002</v>
          </cell>
          <cell r="E1336">
            <v>-0.19600000000000001</v>
          </cell>
          <cell r="F1336">
            <v>-0.27599999999999997</v>
          </cell>
        </row>
        <row r="1337">
          <cell r="A1337">
            <v>3151</v>
          </cell>
          <cell r="B1337" t="str">
            <v>APOB05 APRES SUI CACULA OVAL BAT CX 5KG</v>
          </cell>
          <cell r="C1337">
            <v>4.5860000000000003</v>
          </cell>
          <cell r="D1337">
            <v>3.637</v>
          </cell>
          <cell r="E1337">
            <v>-0.75800000000000001</v>
          </cell>
          <cell r="F1337">
            <v>-0.23400000000000004</v>
          </cell>
        </row>
        <row r="1338">
          <cell r="A1338">
            <v>218855</v>
          </cell>
          <cell r="B1338" t="str">
            <v>PES010 PE SUI SALG CX 10KG</v>
          </cell>
          <cell r="C1338">
            <v>0.81299999999999994</v>
          </cell>
          <cell r="D1338">
            <v>0.66200000000000003</v>
          </cell>
          <cell r="E1338">
            <v>-1.7000000000000001E-2</v>
          </cell>
          <cell r="F1338">
            <v>-0.44</v>
          </cell>
        </row>
        <row r="1339">
          <cell r="A1339">
            <v>690163</v>
          </cell>
          <cell r="B1339" t="str">
            <v>SIG001 SALAME ITALIANO PERD PT 1KG</v>
          </cell>
          <cell r="C1339">
            <v>2</v>
          </cell>
          <cell r="D1339">
            <v>1.587</v>
          </cell>
          <cell r="E1339">
            <v>-1.0999999999999999E-2</v>
          </cell>
          <cell r="F1339">
            <v>-9.6000000000000002E-2</v>
          </cell>
        </row>
        <row r="1340">
          <cell r="A1340">
            <v>758868</v>
          </cell>
          <cell r="B1340" t="str">
            <v>CHI003 CHUKAR INSTITUCIONAL CX 3KG</v>
          </cell>
          <cell r="C1340">
            <v>7.1</v>
          </cell>
          <cell r="D1340">
            <v>6.34</v>
          </cell>
          <cell r="E1340">
            <v>-0.26300000000000001</v>
          </cell>
          <cell r="F1340">
            <v>-0.93600000000000005</v>
          </cell>
        </row>
        <row r="1341">
          <cell r="A1341">
            <v>809839</v>
          </cell>
          <cell r="B1341" t="str">
            <v>PQM010 PAO DE QUEIJO MONICA PT 500G</v>
          </cell>
          <cell r="C1341">
            <v>3.7770000000000001</v>
          </cell>
          <cell r="D1341">
            <v>3.3410000000000002</v>
          </cell>
          <cell r="E1341">
            <v>-2.7E-2</v>
          </cell>
          <cell r="F1341">
            <v>-0.93300000000000005</v>
          </cell>
        </row>
        <row r="1342">
          <cell r="A1342">
            <v>824459</v>
          </cell>
          <cell r="B1342" t="str">
            <v>ALPB06 ALMONDEGA PERU BAT 12CART CX 6KG</v>
          </cell>
          <cell r="C1342">
            <v>2.8119999999999998</v>
          </cell>
          <cell r="D1342">
            <v>2.1520000000000001</v>
          </cell>
          <cell r="E1342">
            <v>-0.23799999999999999</v>
          </cell>
          <cell r="F1342">
            <v>-0.34099999999999997</v>
          </cell>
        </row>
        <row r="1343">
          <cell r="A1343">
            <v>825337</v>
          </cell>
          <cell r="B1343" t="str">
            <v>ALFB06 ALMONDEGA FGO BAT 12CART CX 6KG</v>
          </cell>
          <cell r="C1343">
            <v>2.4670000000000001</v>
          </cell>
          <cell r="D1343">
            <v>1.8919999999999999</v>
          </cell>
          <cell r="E1343">
            <v>-0.27600000000000002</v>
          </cell>
          <cell r="F1343">
            <v>-0.28300000000000014</v>
          </cell>
        </row>
        <row r="1344">
          <cell r="A1344">
            <v>827569</v>
          </cell>
          <cell r="B1344" t="str">
            <v>RBSB13 RABO SUI SALG BAT CX 13KG</v>
          </cell>
          <cell r="C1344">
            <v>1.964</v>
          </cell>
          <cell r="D1344">
            <v>1.5529999999999999</v>
          </cell>
          <cell r="E1344">
            <v>-0.20899999999999999</v>
          </cell>
          <cell r="F1344">
            <v>-0.25600000000000001</v>
          </cell>
        </row>
        <row r="1345">
          <cell r="A1345">
            <v>830370</v>
          </cell>
          <cell r="B1345" t="str">
            <v>HBPB02 HAMBURGUER PERU BAT INST 2,02KG</v>
          </cell>
          <cell r="C1345">
            <v>1.532</v>
          </cell>
          <cell r="D1345">
            <v>1.359</v>
          </cell>
          <cell r="E1345">
            <v>-0.27500000000000002</v>
          </cell>
          <cell r="F1345">
            <v>-0.16900000000000004</v>
          </cell>
        </row>
        <row r="1346">
          <cell r="A1346">
            <v>834929</v>
          </cell>
          <cell r="B1346" t="str">
            <v>PEB312 PERU TEMP BAT 3-3,99KG CX 12KG</v>
          </cell>
          <cell r="C1346">
            <v>3.4287000000000001</v>
          </cell>
          <cell r="D1346">
            <v>2.8121</v>
          </cell>
          <cell r="E1346">
            <v>-0.37819999999999998</v>
          </cell>
          <cell r="F1346">
            <v>-0.35449999999999998</v>
          </cell>
        </row>
        <row r="1347">
          <cell r="A1347">
            <v>202630</v>
          </cell>
          <cell r="B1347" t="str">
            <v>ASA 2A JTA FGO CONG 40G/UP S.TE R1 BOREL</v>
          </cell>
          <cell r="C1347">
            <v>4.3609999999999998</v>
          </cell>
          <cell r="D1347">
            <v>4.3609999999999998</v>
          </cell>
          <cell r="E1347">
            <v>-0.58099999999999996</v>
          </cell>
          <cell r="F1347">
            <v>-0.1</v>
          </cell>
        </row>
        <row r="1348">
          <cell r="A1348">
            <v>218057</v>
          </cell>
          <cell r="B1348" t="str">
            <v>CARRE BISTECA SUI CONG PER HOLANDA</v>
          </cell>
          <cell r="C1348">
            <v>4.694</v>
          </cell>
          <cell r="D1348">
            <v>4.694</v>
          </cell>
          <cell r="E1348">
            <v>-0.36499999999999999</v>
          </cell>
          <cell r="F1348">
            <v>-0.11</v>
          </cell>
        </row>
        <row r="1349">
          <cell r="A1349">
            <v>307890</v>
          </cell>
          <cell r="B1349" t="str">
            <v>CARRE SUI CONG PERD CARIBE</v>
          </cell>
          <cell r="C1349">
            <v>4.0129999999999999</v>
          </cell>
          <cell r="D1349">
            <v>4.0129999999999999</v>
          </cell>
          <cell r="E1349">
            <v>-0.47199999999999998</v>
          </cell>
          <cell r="F1349">
            <v>-9.2999999999999972E-2</v>
          </cell>
        </row>
        <row r="1350">
          <cell r="A1350">
            <v>468371</v>
          </cell>
          <cell r="B1350" t="str">
            <v>APRESUNTADO SUI RETANG CONG ANGOLA</v>
          </cell>
          <cell r="C1350">
            <v>3.988</v>
          </cell>
          <cell r="D1350">
            <v>3.988</v>
          </cell>
          <cell r="E1350">
            <v>-9.7000000000000003E-2</v>
          </cell>
          <cell r="F1350">
            <v>-9.5000000000000001E-2</v>
          </cell>
        </row>
        <row r="1351">
          <cell r="A1351">
            <v>520008</v>
          </cell>
          <cell r="B1351" t="str">
            <v>ASA 1A JTA FGO CONG 50G/UP BORELLA JAPAO</v>
          </cell>
          <cell r="C1351">
            <v>4.1219999999999999</v>
          </cell>
          <cell r="D1351">
            <v>4.1219999999999999</v>
          </cell>
          <cell r="E1351">
            <v>-0.59599999999999997</v>
          </cell>
          <cell r="F1351">
            <v>-9.5000000000000001E-2</v>
          </cell>
        </row>
        <row r="1352">
          <cell r="A1352">
            <v>557234</v>
          </cell>
          <cell r="B1352" t="str">
            <v>COXA SOB C/OP FGO CONG 120-140G CL JAP</v>
          </cell>
          <cell r="C1352">
            <v>3.1360000000000001</v>
          </cell>
          <cell r="D1352">
            <v>3.1360000000000001</v>
          </cell>
          <cell r="E1352">
            <v>-0.56100000000000005</v>
          </cell>
          <cell r="F1352">
            <v>-7.0999999999999952E-2</v>
          </cell>
        </row>
        <row r="1353">
          <cell r="A1353">
            <v>592749</v>
          </cell>
          <cell r="B1353" t="str">
            <v>FRANGO GRILLER 1500G CONG PERD KUWAIT</v>
          </cell>
          <cell r="C1353">
            <v>2.6890000000000001</v>
          </cell>
          <cell r="D1353">
            <v>2.6890000000000001</v>
          </cell>
          <cell r="E1353">
            <v>-0.68899999999999995</v>
          </cell>
          <cell r="F1353">
            <v>-6.0000000000000053E-2</v>
          </cell>
        </row>
        <row r="1354">
          <cell r="A1354">
            <v>661236</v>
          </cell>
          <cell r="B1354" t="str">
            <v>FRANGO BROILER 1400G CONG UNEF CINGAP</v>
          </cell>
          <cell r="C1354">
            <v>2.5249999999999999</v>
          </cell>
          <cell r="D1354">
            <v>2.5249999999999999</v>
          </cell>
          <cell r="E1354">
            <v>-0.59499999999999997</v>
          </cell>
          <cell r="F1354">
            <v>-5.7000000000000051E-2</v>
          </cell>
        </row>
        <row r="1355">
          <cell r="A1355">
            <v>666963</v>
          </cell>
          <cell r="B1355" t="str">
            <v>FRANGO BROILER 1300G CONG BOR CINGAP</v>
          </cell>
          <cell r="C1355">
            <v>2.6509999999999998</v>
          </cell>
          <cell r="D1355">
            <v>2.6509999999999998</v>
          </cell>
          <cell r="E1355">
            <v>-0.60399999999999998</v>
          </cell>
          <cell r="F1355">
            <v>-5.9999999999999942E-2</v>
          </cell>
        </row>
        <row r="1356">
          <cell r="A1356">
            <v>675130</v>
          </cell>
          <cell r="B1356" t="str">
            <v>FRANGO BROILER 1300G CONG UNEF CINGAP</v>
          </cell>
          <cell r="C1356">
            <v>2.581</v>
          </cell>
          <cell r="D1356">
            <v>2.581</v>
          </cell>
          <cell r="E1356">
            <v>-0.59599999999999997</v>
          </cell>
          <cell r="F1356">
            <v>-5.8000000000000052E-2</v>
          </cell>
        </row>
        <row r="1357">
          <cell r="A1357">
            <v>678430</v>
          </cell>
          <cell r="B1357" t="str">
            <v>FRANGO BROILER 1100G CONG BOR CINGAP</v>
          </cell>
          <cell r="C1357">
            <v>2.6480000000000001</v>
          </cell>
          <cell r="D1357">
            <v>2.6480000000000001</v>
          </cell>
          <cell r="E1357">
            <v>-0.60399999999999998</v>
          </cell>
          <cell r="F1357">
            <v>-5.9000000000000052E-2</v>
          </cell>
        </row>
        <row r="1358">
          <cell r="A1358">
            <v>678449</v>
          </cell>
          <cell r="B1358" t="str">
            <v>FRANGO BROILER 1000G CONG BOR CINGAP</v>
          </cell>
          <cell r="C1358">
            <v>2.65</v>
          </cell>
          <cell r="D1358">
            <v>2.65</v>
          </cell>
          <cell r="E1358">
            <v>-0.60399999999999998</v>
          </cell>
          <cell r="F1358">
            <v>-6.0000000000000053E-2</v>
          </cell>
        </row>
        <row r="1359">
          <cell r="A1359">
            <v>678457</v>
          </cell>
          <cell r="B1359" t="str">
            <v>FRANGO BROILER 1200G CONG BOR CINGAP</v>
          </cell>
          <cell r="C1359">
            <v>2.65</v>
          </cell>
          <cell r="D1359">
            <v>2.65</v>
          </cell>
          <cell r="E1359">
            <v>-0.60399999999999998</v>
          </cell>
          <cell r="F1359">
            <v>-5.9999999999999942E-2</v>
          </cell>
        </row>
        <row r="1360">
          <cell r="A1360">
            <v>679240</v>
          </cell>
          <cell r="B1360" t="str">
            <v>FRANGO BROILER 1200G CONG UNEF CINGAP</v>
          </cell>
          <cell r="C1360">
            <v>2.58</v>
          </cell>
          <cell r="D1360">
            <v>2.58</v>
          </cell>
          <cell r="E1360">
            <v>-0.59599999999999997</v>
          </cell>
          <cell r="F1360">
            <v>-5.8000000000000052E-2</v>
          </cell>
        </row>
        <row r="1361">
          <cell r="A1361">
            <v>690201</v>
          </cell>
          <cell r="B1361" t="str">
            <v>FRANGO GRILLER 650G CONG PERD CINGAP</v>
          </cell>
          <cell r="C1361">
            <v>3.6419999999999999</v>
          </cell>
          <cell r="D1361">
            <v>3.6419999999999999</v>
          </cell>
          <cell r="E1361">
            <v>-0.59399999999999997</v>
          </cell>
          <cell r="F1361">
            <v>-8.4000000000000075E-2</v>
          </cell>
        </row>
        <row r="1362">
          <cell r="A1362">
            <v>691380</v>
          </cell>
          <cell r="B1362" t="str">
            <v>FRANGO BROILER 1000G CONG UNEF CINGAP</v>
          </cell>
          <cell r="C1362">
            <v>2.58</v>
          </cell>
          <cell r="D1362">
            <v>2.58</v>
          </cell>
          <cell r="E1362">
            <v>-0.59599999999999997</v>
          </cell>
          <cell r="F1362">
            <v>-5.8000000000000052E-2</v>
          </cell>
        </row>
        <row r="1363">
          <cell r="A1363">
            <v>691399</v>
          </cell>
          <cell r="B1363" t="str">
            <v>FRANGO BROILER 1100G CONG UNEF CINGAP</v>
          </cell>
          <cell r="C1363">
            <v>2.5779999999999998</v>
          </cell>
          <cell r="D1363">
            <v>2.5779999999999998</v>
          </cell>
          <cell r="E1363">
            <v>-0.59599999999999997</v>
          </cell>
          <cell r="F1363">
            <v>-5.8000000000000052E-2</v>
          </cell>
        </row>
        <row r="1364">
          <cell r="A1364">
            <v>696200</v>
          </cell>
          <cell r="B1364" t="str">
            <v>FRANGO BROILER 1500G CONG UNEF CINGAP</v>
          </cell>
          <cell r="C1364">
            <v>2.5329999999999999</v>
          </cell>
          <cell r="D1364">
            <v>2.5329999999999999</v>
          </cell>
          <cell r="E1364">
            <v>-0.59099999999999997</v>
          </cell>
          <cell r="F1364">
            <v>-5.699999999999994E-2</v>
          </cell>
        </row>
        <row r="1365">
          <cell r="A1365">
            <v>696218</v>
          </cell>
          <cell r="B1365" t="str">
            <v>FRANGO BROILER 1600G CONG UNEF CINGAP</v>
          </cell>
          <cell r="C1365">
            <v>2.5339999999999998</v>
          </cell>
          <cell r="D1365">
            <v>2.5339999999999998</v>
          </cell>
          <cell r="E1365">
            <v>-0.59099999999999997</v>
          </cell>
          <cell r="F1365">
            <v>-5.699999999999994E-2</v>
          </cell>
        </row>
        <row r="1366">
          <cell r="A1366">
            <v>696226</v>
          </cell>
          <cell r="B1366" t="str">
            <v>FRANGO BROILER 1700G CONG UNEF CINGAP</v>
          </cell>
          <cell r="C1366">
            <v>2.5350000000000001</v>
          </cell>
          <cell r="D1366">
            <v>2.5350000000000001</v>
          </cell>
          <cell r="E1366">
            <v>-0.59099999999999997</v>
          </cell>
          <cell r="F1366">
            <v>-5.699999999999994E-2</v>
          </cell>
        </row>
        <row r="1367">
          <cell r="A1367">
            <v>696242</v>
          </cell>
          <cell r="B1367" t="str">
            <v>FRANGO BROILER 1900G CONG UNEF CINGAP</v>
          </cell>
          <cell r="C1367">
            <v>2.5369999999999999</v>
          </cell>
          <cell r="D1367">
            <v>2.5369999999999999</v>
          </cell>
          <cell r="E1367">
            <v>-0.59099999999999997</v>
          </cell>
          <cell r="F1367">
            <v>-5.699999999999994E-2</v>
          </cell>
        </row>
        <row r="1368">
          <cell r="A1368">
            <v>696250</v>
          </cell>
          <cell r="B1368" t="str">
            <v>PE CHT C/CANELA CONG 55G/UP PT 1KG UNE</v>
          </cell>
          <cell r="C1368">
            <v>2.3109999999999999</v>
          </cell>
          <cell r="D1368">
            <v>2.3109999999999999</v>
          </cell>
          <cell r="E1368">
            <v>-0.60499999999999998</v>
          </cell>
          <cell r="F1368">
            <v>-5.1999999999999824E-2</v>
          </cell>
        </row>
        <row r="1369">
          <cell r="A1369">
            <v>696404</v>
          </cell>
          <cell r="B1369" t="str">
            <v>FRANGO BROILER 1500G CONG WFCK21 H.KONG</v>
          </cell>
          <cell r="C1369">
            <v>1.915</v>
          </cell>
          <cell r="D1369">
            <v>1.915</v>
          </cell>
          <cell r="E1369">
            <v>-0.10199999999999999</v>
          </cell>
          <cell r="F1369">
            <v>-4.599999999999993E-2</v>
          </cell>
        </row>
        <row r="1370">
          <cell r="A1370">
            <v>696994</v>
          </cell>
          <cell r="B1370" t="str">
            <v>TESTICULO FGO CONG PT 1KG WFCK14 H.KON</v>
          </cell>
          <cell r="C1370">
            <v>14.161</v>
          </cell>
          <cell r="D1370">
            <v>14.161</v>
          </cell>
          <cell r="E1370">
            <v>-0.10299999999999999</v>
          </cell>
          <cell r="F1370">
            <v>-0.33699999999999974</v>
          </cell>
        </row>
        <row r="1371">
          <cell r="A1371">
            <v>700827</v>
          </cell>
          <cell r="B1371" t="str">
            <v>FRANGO BROILER 1900G CONG BOR CINGAP</v>
          </cell>
          <cell r="C1371">
            <v>2.6030000000000002</v>
          </cell>
          <cell r="D1371">
            <v>2.6030000000000002</v>
          </cell>
          <cell r="E1371">
            <v>-0.60799999999999998</v>
          </cell>
          <cell r="F1371">
            <v>-5.799999999999994E-2</v>
          </cell>
        </row>
        <row r="1372">
          <cell r="A1372">
            <v>717185</v>
          </cell>
          <cell r="B1372" t="str">
            <v>FRANGO GRILLER 2000G CONG PERD ARGENT</v>
          </cell>
          <cell r="C1372">
            <v>2.4790000000000001</v>
          </cell>
          <cell r="D1372">
            <v>2.4790000000000001</v>
          </cell>
          <cell r="E1372">
            <v>-0.09</v>
          </cell>
          <cell r="F1372">
            <v>-5.8999999999999941E-2</v>
          </cell>
        </row>
        <row r="1373">
          <cell r="A1373">
            <v>720933</v>
          </cell>
          <cell r="B1373" t="str">
            <v>COXA SOB SO CP CHT CONG 290-310G CH21J</v>
          </cell>
          <cell r="C1373">
            <v>3.8290000000000002</v>
          </cell>
          <cell r="D1373">
            <v>3.8290000000000002</v>
          </cell>
          <cell r="E1373">
            <v>-0.58399999999999996</v>
          </cell>
          <cell r="F1373">
            <v>-8.8000000000000078E-2</v>
          </cell>
        </row>
        <row r="1374">
          <cell r="A1374">
            <v>720941</v>
          </cell>
          <cell r="B1374" t="str">
            <v>COXA SOB SO CP CHT CONG 310-330G CH22</v>
          </cell>
          <cell r="C1374">
            <v>3.83</v>
          </cell>
          <cell r="D1374">
            <v>3.83</v>
          </cell>
          <cell r="E1374">
            <v>-0.58399999999999996</v>
          </cell>
          <cell r="F1374">
            <v>-8.7000000000000188E-2</v>
          </cell>
        </row>
        <row r="1375">
          <cell r="A1375">
            <v>720950</v>
          </cell>
          <cell r="B1375" t="str">
            <v>COXA SOB SO CP CHT CONG 330-350G CH23</v>
          </cell>
          <cell r="C1375">
            <v>3.8319999999999999</v>
          </cell>
          <cell r="D1375">
            <v>3.8319999999999999</v>
          </cell>
          <cell r="E1375">
            <v>-0.58399999999999996</v>
          </cell>
          <cell r="F1375">
            <v>-8.8000000000000078E-2</v>
          </cell>
        </row>
        <row r="1376">
          <cell r="A1376">
            <v>720968</v>
          </cell>
          <cell r="B1376" t="str">
            <v>COXA SOB SO CP CHT CONG 350-370G CH24</v>
          </cell>
          <cell r="C1376">
            <v>3.8330000000000002</v>
          </cell>
          <cell r="D1376">
            <v>3.8330000000000002</v>
          </cell>
          <cell r="E1376">
            <v>-0.58399999999999996</v>
          </cell>
          <cell r="F1376">
            <v>-8.8000000000000078E-2</v>
          </cell>
        </row>
        <row r="1377">
          <cell r="A1377">
            <v>720976</v>
          </cell>
          <cell r="B1377" t="str">
            <v>COXA SOB SO CP CHT CONG 370-390G CH25</v>
          </cell>
          <cell r="C1377">
            <v>3.8340000000000001</v>
          </cell>
          <cell r="D1377">
            <v>3.8340000000000001</v>
          </cell>
          <cell r="E1377">
            <v>-0.58399999999999996</v>
          </cell>
          <cell r="F1377">
            <v>-8.8000000000000078E-2</v>
          </cell>
        </row>
        <row r="1378">
          <cell r="A1378">
            <v>753050</v>
          </cell>
          <cell r="B1378" t="str">
            <v>FRANGO GRILLER 1400G CONG PERD JAPAO</v>
          </cell>
          <cell r="C1378">
            <v>3.327</v>
          </cell>
          <cell r="D1378">
            <v>3.327</v>
          </cell>
          <cell r="E1378">
            <v>-0.60199999999999998</v>
          </cell>
          <cell r="F1378">
            <v>-7.5000000000000178E-2</v>
          </cell>
        </row>
        <row r="1379">
          <cell r="A1379">
            <v>753289</v>
          </cell>
          <cell r="B1379" t="str">
            <v>PEITO S/OPC C/F FGO CONG 250G/UP PERD CA</v>
          </cell>
          <cell r="C1379">
            <v>7.5510000000000002</v>
          </cell>
          <cell r="D1379">
            <v>7.5510000000000002</v>
          </cell>
          <cell r="E1379">
            <v>-0.51600000000000001</v>
          </cell>
          <cell r="F1379">
            <v>-0.17799999999999994</v>
          </cell>
        </row>
        <row r="1380">
          <cell r="A1380">
            <v>753408</v>
          </cell>
          <cell r="B1380" t="str">
            <v>PEITO S/OPC C/F FGO CONG ITF PERD CANAR</v>
          </cell>
          <cell r="C1380">
            <v>7.4249999999999998</v>
          </cell>
          <cell r="D1380">
            <v>7.4249999999999998</v>
          </cell>
          <cell r="E1380">
            <v>-0.51400000000000001</v>
          </cell>
          <cell r="F1380">
            <v>-0.17399999999999949</v>
          </cell>
        </row>
        <row r="1381">
          <cell r="A1381">
            <v>753483</v>
          </cell>
          <cell r="B1381" t="str">
            <v>PEITO S/OPFC FGO CONG 50-90G VAC CANAR</v>
          </cell>
          <cell r="C1381">
            <v>7.125</v>
          </cell>
          <cell r="D1381">
            <v>7.125</v>
          </cell>
          <cell r="E1381">
            <v>-0.504</v>
          </cell>
          <cell r="F1381">
            <v>-0.16699999999999982</v>
          </cell>
        </row>
        <row r="1382">
          <cell r="A1382">
            <v>753726</v>
          </cell>
          <cell r="B1382" t="str">
            <v>PEITO S/OPC C/F CHT CONG VAC PERD CANAR</v>
          </cell>
          <cell r="C1382">
            <v>7.1989999999999998</v>
          </cell>
          <cell r="D1382">
            <v>7.1989999999999998</v>
          </cell>
          <cell r="E1382">
            <v>-0.39400000000000002</v>
          </cell>
          <cell r="F1382">
            <v>-0.16900000000000004</v>
          </cell>
        </row>
        <row r="1383">
          <cell r="A1383">
            <v>771422</v>
          </cell>
          <cell r="B1383" t="str">
            <v>FRANGO BROILER 900G CONG UNEF CINGAP</v>
          </cell>
          <cell r="C1383">
            <v>2.5779999999999998</v>
          </cell>
          <cell r="D1383">
            <v>2.5779999999999998</v>
          </cell>
          <cell r="E1383">
            <v>-0.59599999999999997</v>
          </cell>
          <cell r="F1383">
            <v>-5.799999999999994E-2</v>
          </cell>
        </row>
        <row r="1384">
          <cell r="A1384">
            <v>777129</v>
          </cell>
          <cell r="B1384" t="str">
            <v>FRANGO INT C/TEMP S/M CONG PERD JAP(IMAI</v>
          </cell>
          <cell r="C1384">
            <v>3.2429999999999999</v>
          </cell>
          <cell r="D1384">
            <v>3.2429999999999999</v>
          </cell>
          <cell r="E1384">
            <v>-0.104</v>
          </cell>
          <cell r="F1384">
            <v>-7.6999999999999957E-2</v>
          </cell>
        </row>
        <row r="1385">
          <cell r="A1385">
            <v>784664</v>
          </cell>
          <cell r="B1385" t="str">
            <v>ASA 2A JTA FGO CONG 40G/UP PT 1KG CING</v>
          </cell>
          <cell r="C1385">
            <v>4.5460000000000003</v>
          </cell>
          <cell r="D1385">
            <v>4.5460000000000003</v>
          </cell>
          <cell r="E1385">
            <v>-0.64700000000000002</v>
          </cell>
          <cell r="F1385">
            <v>-0.105</v>
          </cell>
        </row>
        <row r="1386">
          <cell r="A1386">
            <v>809450</v>
          </cell>
          <cell r="B1386" t="str">
            <v>LINGUICA TOSC CHUR CONG PT PERD PARAG</v>
          </cell>
          <cell r="C1386">
            <v>2.387</v>
          </cell>
          <cell r="D1386">
            <v>2.387</v>
          </cell>
          <cell r="E1386">
            <v>-8.7999999999999995E-2</v>
          </cell>
          <cell r="F1386">
            <v>-5.699999999999994E-2</v>
          </cell>
        </row>
        <row r="1387">
          <cell r="A1387">
            <v>809456</v>
          </cell>
          <cell r="B1387" t="str">
            <v>AFIAMBRADO SUI RETANG RESF CONF PARAG</v>
          </cell>
          <cell r="C1387">
            <v>2.266</v>
          </cell>
          <cell r="D1387">
            <v>2.266</v>
          </cell>
          <cell r="E1387">
            <v>-8.7999999999999995E-2</v>
          </cell>
          <cell r="F1387">
            <v>-5.4000000000000048E-2</v>
          </cell>
        </row>
        <row r="1388">
          <cell r="A1388">
            <v>809556</v>
          </cell>
          <cell r="B1388" t="str">
            <v>COXA SOB SO CP FGO CONG 220/UP PT 2KG</v>
          </cell>
          <cell r="C1388">
            <v>3.2839999999999998</v>
          </cell>
          <cell r="D1388">
            <v>3.2839999999999998</v>
          </cell>
          <cell r="E1388">
            <v>-0.60399999999999998</v>
          </cell>
          <cell r="F1388">
            <v>-7.4999999999999997E-2</v>
          </cell>
        </row>
        <row r="1389">
          <cell r="A1389">
            <v>809603</v>
          </cell>
          <cell r="B1389" t="str">
            <v>FRANGO GRILLER 700G CONG UNEF CINGAP</v>
          </cell>
          <cell r="C1389">
            <v>3.0830000000000002</v>
          </cell>
          <cell r="D1389">
            <v>3.0830000000000002</v>
          </cell>
          <cell r="E1389">
            <v>-0.60199999999999998</v>
          </cell>
          <cell r="F1389">
            <v>-6.999999999999984E-2</v>
          </cell>
        </row>
        <row r="1390">
          <cell r="A1390">
            <v>809604</v>
          </cell>
          <cell r="B1390" t="str">
            <v>COXA SOB SO CP FGO CONG 240-280G PT CIN</v>
          </cell>
          <cell r="C1390">
            <v>3.5030000000000001</v>
          </cell>
          <cell r="D1390">
            <v>3.5030000000000001</v>
          </cell>
          <cell r="E1390">
            <v>-0.68200000000000005</v>
          </cell>
          <cell r="F1390">
            <v>-7.9999999999999849E-2</v>
          </cell>
        </row>
        <row r="1391">
          <cell r="A1391">
            <v>809820</v>
          </cell>
          <cell r="B1391" t="str">
            <v>FRANGO BROILER 900G CONG BOR CINGAP</v>
          </cell>
          <cell r="C1391">
            <v>2.6469999999999998</v>
          </cell>
          <cell r="D1391">
            <v>2.6469999999999998</v>
          </cell>
          <cell r="E1391">
            <v>-0.60399999999999998</v>
          </cell>
          <cell r="F1391">
            <v>-5.9000000000000052E-2</v>
          </cell>
        </row>
        <row r="1392">
          <cell r="A1392">
            <v>811760</v>
          </cell>
          <cell r="B1392" t="str">
            <v>FILEZINHO SUI CONG PERD ALBANIA</v>
          </cell>
          <cell r="C1392">
            <v>4.7009999999999996</v>
          </cell>
          <cell r="D1392">
            <v>4.7009999999999996</v>
          </cell>
          <cell r="E1392">
            <v>-0.56299999999999994</v>
          </cell>
          <cell r="F1392">
            <v>-0.10899999999999987</v>
          </cell>
        </row>
        <row r="1393">
          <cell r="A1393">
            <v>811761</v>
          </cell>
          <cell r="B1393" t="str">
            <v>COPA LOMBO S/O SUI CONG ALBANIA</v>
          </cell>
          <cell r="C1393">
            <v>5.0679999999999996</v>
          </cell>
          <cell r="D1393">
            <v>5.0679999999999996</v>
          </cell>
          <cell r="E1393">
            <v>-0.56299999999999994</v>
          </cell>
          <cell r="F1393">
            <v>-0.11699999999999999</v>
          </cell>
        </row>
        <row r="1394">
          <cell r="A1394">
            <v>812260</v>
          </cell>
          <cell r="B1394" t="str">
            <v>CARRE BISTECA SUI CONG PERD CABO VERDE</v>
          </cell>
          <cell r="C1394">
            <v>5.3490000000000002</v>
          </cell>
          <cell r="D1394">
            <v>5.3490000000000002</v>
          </cell>
          <cell r="E1394">
            <v>-9.8000000000000004E-2</v>
          </cell>
          <cell r="F1394">
            <v>-0.12700000000000022</v>
          </cell>
        </row>
        <row r="1395">
          <cell r="A1395">
            <v>812264</v>
          </cell>
          <cell r="B1395" t="str">
            <v>HAMBURGUER BOV CONG INST CABO VERDE</v>
          </cell>
          <cell r="C1395">
            <v>4.2450000000000001</v>
          </cell>
          <cell r="D1395">
            <v>4.2450000000000001</v>
          </cell>
          <cell r="E1395">
            <v>-9.8000000000000004E-2</v>
          </cell>
          <cell r="F1395">
            <v>-0.10099999999999998</v>
          </cell>
        </row>
        <row r="1396">
          <cell r="A1396">
            <v>812268</v>
          </cell>
          <cell r="B1396" t="str">
            <v>LING TOSC CHUR CONG PERD CABO VERDE</v>
          </cell>
          <cell r="C1396">
            <v>3.4039999999999999</v>
          </cell>
          <cell r="D1396">
            <v>3.4039999999999999</v>
          </cell>
          <cell r="E1396">
            <v>-9.7000000000000003E-2</v>
          </cell>
          <cell r="F1396">
            <v>-8.1000000000000183E-2</v>
          </cell>
        </row>
        <row r="1397">
          <cell r="A1397">
            <v>812787</v>
          </cell>
          <cell r="B1397" t="str">
            <v>COXA SOB C/OP FGO CONG 220-240G PERD JAP</v>
          </cell>
          <cell r="C1397">
            <v>3.14</v>
          </cell>
          <cell r="D1397">
            <v>3.14</v>
          </cell>
          <cell r="E1397">
            <v>-0.56100000000000005</v>
          </cell>
          <cell r="F1397">
            <v>-7.0999999999999952E-2</v>
          </cell>
        </row>
        <row r="1398">
          <cell r="A1398">
            <v>813271</v>
          </cell>
          <cell r="B1398" t="str">
            <v>SOBRECOXA S/OP FGO CONG PT 1KG OMAN</v>
          </cell>
          <cell r="C1398">
            <v>4.1369999999999996</v>
          </cell>
          <cell r="D1398">
            <v>4.1369999999999996</v>
          </cell>
          <cell r="E1398">
            <v>-0.72199999999999998</v>
          </cell>
          <cell r="F1398">
            <v>-9.3999999999999861E-2</v>
          </cell>
        </row>
        <row r="1399">
          <cell r="A1399">
            <v>816381</v>
          </cell>
          <cell r="B1399" t="str">
            <v>COXA SOB SO CP FGO CONG 200-220G BOR JAP</v>
          </cell>
          <cell r="C1399">
            <v>3.5270000000000001</v>
          </cell>
          <cell r="D1399">
            <v>3.5270000000000001</v>
          </cell>
          <cell r="E1399">
            <v>-0.58599999999999997</v>
          </cell>
          <cell r="F1399">
            <v>-8.1000000000000072E-2</v>
          </cell>
        </row>
        <row r="1400">
          <cell r="A1400">
            <v>817614</v>
          </cell>
          <cell r="B1400" t="str">
            <v>COXA SOB SO CP FGO CONG 220-240G PER BCA</v>
          </cell>
          <cell r="C1400">
            <v>3.7690000000000001</v>
          </cell>
          <cell r="D1400">
            <v>3.7690000000000001</v>
          </cell>
          <cell r="E1400">
            <v>-0.58799999999999997</v>
          </cell>
          <cell r="F1400">
            <v>-8.6999999999999966E-2</v>
          </cell>
        </row>
        <row r="1401">
          <cell r="A1401">
            <v>821338</v>
          </cell>
          <cell r="B1401" t="str">
            <v>MINI CHICKEN FGO CONG MON 20G PT H.KON</v>
          </cell>
          <cell r="C1401">
            <v>2.7890000000000001</v>
          </cell>
          <cell r="D1401">
            <v>2.7890000000000001</v>
          </cell>
          <cell r="E1401">
            <v>-0.104</v>
          </cell>
          <cell r="F1401">
            <v>-6.5999999999999948E-2</v>
          </cell>
        </row>
        <row r="1402">
          <cell r="A1402">
            <v>822699</v>
          </cell>
          <cell r="B1402" t="str">
            <v>FRANGO GRILLER 1300G CONG PERD KUWAIT</v>
          </cell>
          <cell r="C1402">
            <v>2.6909999999999998</v>
          </cell>
          <cell r="D1402">
            <v>2.6909999999999998</v>
          </cell>
          <cell r="E1402">
            <v>-0.68899999999999995</v>
          </cell>
          <cell r="F1402">
            <v>-5.9999999999999942E-2</v>
          </cell>
        </row>
        <row r="1403">
          <cell r="A1403">
            <v>822880</v>
          </cell>
          <cell r="B1403" t="str">
            <v>ASA S/PTA FGO CONG 12BD UNEF OMAN</v>
          </cell>
          <cell r="C1403">
            <v>3.1040000000000001</v>
          </cell>
          <cell r="D1403">
            <v>3.1040000000000001</v>
          </cell>
          <cell r="E1403">
            <v>-0.70199999999999996</v>
          </cell>
          <cell r="F1403">
            <v>-7.0000000000000007E-2</v>
          </cell>
        </row>
        <row r="1404">
          <cell r="A1404">
            <v>823021</v>
          </cell>
          <cell r="B1404" t="str">
            <v>ASA INT FGO CONG 120-150G ITF BOR CINGA</v>
          </cell>
          <cell r="C1404">
            <v>2.5059999999999998</v>
          </cell>
          <cell r="D1404">
            <v>2.5059999999999998</v>
          </cell>
          <cell r="E1404">
            <v>-0.60099999999999998</v>
          </cell>
          <cell r="F1404">
            <v>-5.5999999999999939E-2</v>
          </cell>
        </row>
        <row r="1405">
          <cell r="A1405">
            <v>823110</v>
          </cell>
          <cell r="B1405" t="str">
            <v>PEITO S/OPC C/F CHT CONG VAC BAT CANAR</v>
          </cell>
          <cell r="C1405">
            <v>7.3029999999999999</v>
          </cell>
          <cell r="D1405">
            <v>7.3029999999999999</v>
          </cell>
          <cell r="E1405">
            <v>-0.38800000000000001</v>
          </cell>
          <cell r="F1405">
            <v>-0.17200000000000015</v>
          </cell>
        </row>
        <row r="1406">
          <cell r="A1406">
            <v>823141</v>
          </cell>
          <cell r="B1406" t="str">
            <v>ASA 1A JTA FGO CONG PT 1KG BAT CANARIAS</v>
          </cell>
          <cell r="C1406">
            <v>2.7959999999999998</v>
          </cell>
          <cell r="D1406">
            <v>2.7959999999999998</v>
          </cell>
          <cell r="E1406">
            <v>-0.38800000000000001</v>
          </cell>
          <cell r="F1406">
            <v>-6.3999999999999946E-2</v>
          </cell>
        </row>
        <row r="1407">
          <cell r="A1407">
            <v>823143</v>
          </cell>
          <cell r="B1407" t="str">
            <v>COXA SOB C/OP FGO CONG 300G/UP ITF CANAR</v>
          </cell>
          <cell r="C1407">
            <v>2.3140000000000001</v>
          </cell>
          <cell r="D1407">
            <v>2.3140000000000001</v>
          </cell>
          <cell r="E1407">
            <v>-0.38800000000000001</v>
          </cell>
          <cell r="F1407">
            <v>-5.2999999999999936E-2</v>
          </cell>
        </row>
        <row r="1408">
          <cell r="A1408">
            <v>823534</v>
          </cell>
          <cell r="B1408" t="str">
            <v>HAMBURGUER BOV CONG PER PARAG</v>
          </cell>
          <cell r="C1408">
            <v>3.23</v>
          </cell>
          <cell r="D1408">
            <v>3.23</v>
          </cell>
          <cell r="E1408">
            <v>-8.7999999999999995E-2</v>
          </cell>
          <cell r="F1408">
            <v>-7.6999999999999957E-2</v>
          </cell>
        </row>
        <row r="1409">
          <cell r="A1409">
            <v>824762</v>
          </cell>
          <cell r="B1409" t="str">
            <v>PEITO S/OPFC FGO CONG MET 160G TAMB IN</v>
          </cell>
          <cell r="C1409">
            <v>6.1189999999999998</v>
          </cell>
          <cell r="D1409">
            <v>6.1189999999999998</v>
          </cell>
          <cell r="E1409">
            <v>-0.43099999999999999</v>
          </cell>
          <cell r="F1409">
            <v>-0.14300000000000024</v>
          </cell>
        </row>
        <row r="1410">
          <cell r="A1410">
            <v>825033</v>
          </cell>
          <cell r="B1410" t="str">
            <v>ASA 2A JTA+PTA FGO CONG 50G/UP TEB JAP</v>
          </cell>
          <cell r="C1410">
            <v>4.2569999999999997</v>
          </cell>
          <cell r="D1410">
            <v>4.2569999999999997</v>
          </cell>
          <cell r="E1410">
            <v>-0.60399999999999998</v>
          </cell>
          <cell r="F1410">
            <v>-9.7999999999999865E-2</v>
          </cell>
        </row>
        <row r="1411">
          <cell r="A1411">
            <v>825735</v>
          </cell>
          <cell r="B1411" t="str">
            <v>PEITO S/OPFC FGO CONG MET 130G SALM  HO</v>
          </cell>
          <cell r="C1411">
            <v>4.867</v>
          </cell>
          <cell r="D1411">
            <v>4.867</v>
          </cell>
          <cell r="E1411">
            <v>-0.373</v>
          </cell>
          <cell r="F1411">
            <v>-0.11300000000000021</v>
          </cell>
        </row>
        <row r="1412">
          <cell r="A1412">
            <v>826485</v>
          </cell>
          <cell r="B1412" t="str">
            <v>COXA SOB S/OP FGO CONG ITF BAT CANARIAS</v>
          </cell>
          <cell r="C1412">
            <v>3.653</v>
          </cell>
          <cell r="D1412">
            <v>3.653</v>
          </cell>
          <cell r="E1412">
            <v>-0.38800000000000001</v>
          </cell>
          <cell r="F1412">
            <v>-8.5000000000000187E-2</v>
          </cell>
        </row>
        <row r="1413">
          <cell r="A1413">
            <v>826486</v>
          </cell>
          <cell r="B1413" t="str">
            <v>PEITO S/OPC C/F CHT CONG ITF BAT CANAR</v>
          </cell>
          <cell r="C1413">
            <v>7.181</v>
          </cell>
          <cell r="D1413">
            <v>7.181</v>
          </cell>
          <cell r="E1413">
            <v>-0.38800000000000001</v>
          </cell>
          <cell r="F1413">
            <v>-0.16899999999999959</v>
          </cell>
        </row>
        <row r="1414">
          <cell r="A1414">
            <v>826493</v>
          </cell>
          <cell r="B1414" t="str">
            <v>COXA SOB S/OP FGO CONG IND/VAC CANARIA</v>
          </cell>
          <cell r="C1414">
            <v>3.774</v>
          </cell>
          <cell r="D1414">
            <v>3.774</v>
          </cell>
          <cell r="E1414">
            <v>-0.38800000000000001</v>
          </cell>
          <cell r="F1414">
            <v>-8.6999999999999966E-2</v>
          </cell>
        </row>
        <row r="1415">
          <cell r="A1415">
            <v>826609</v>
          </cell>
          <cell r="B1415" t="str">
            <v>ASA 2A JTA FGO CONG 12G/UP S.TEB PERD JA</v>
          </cell>
          <cell r="C1415">
            <v>4.1100000000000003</v>
          </cell>
          <cell r="D1415">
            <v>4.1100000000000003</v>
          </cell>
          <cell r="E1415">
            <v>-0.57899999999999996</v>
          </cell>
          <cell r="F1415">
            <v>-9.5000000000000195E-2</v>
          </cell>
        </row>
        <row r="1416">
          <cell r="A1416">
            <v>826785</v>
          </cell>
          <cell r="B1416" t="str">
            <v>PEITO S/OPFC FGO CONG 240G/UP SALM HOL</v>
          </cell>
          <cell r="C1416">
            <v>4.9169999999999998</v>
          </cell>
          <cell r="D1416">
            <v>4.9169999999999998</v>
          </cell>
          <cell r="E1416">
            <v>-0.37</v>
          </cell>
          <cell r="F1416">
            <v>-0.115</v>
          </cell>
        </row>
        <row r="1417">
          <cell r="A1417">
            <v>826816</v>
          </cell>
          <cell r="B1417" t="str">
            <v>PALETA SUI CONG COZ BAT PC 3,25KG ARGE</v>
          </cell>
          <cell r="C1417">
            <v>3.6819999999999999</v>
          </cell>
          <cell r="D1417">
            <v>3.6819999999999999</v>
          </cell>
          <cell r="E1417">
            <v>-8.7999999999999995E-2</v>
          </cell>
          <cell r="F1417">
            <v>-8.8000000000000078E-2</v>
          </cell>
        </row>
        <row r="1418">
          <cell r="A1418">
            <v>826817</v>
          </cell>
          <cell r="B1418" t="str">
            <v>PRESUNTO COZ RESF BAT PC 3,25KG ARGEN</v>
          </cell>
          <cell r="C1418">
            <v>3.9990000000000001</v>
          </cell>
          <cell r="D1418">
            <v>3.9990000000000001</v>
          </cell>
          <cell r="E1418">
            <v>-8.7999999999999995E-2</v>
          </cell>
          <cell r="F1418">
            <v>-9.5000000000000001E-2</v>
          </cell>
        </row>
        <row r="1419">
          <cell r="A1419">
            <v>826949</v>
          </cell>
          <cell r="B1419" t="str">
            <v>PEITO S/OPFC FGO CONG MET 80G/UP SALM</v>
          </cell>
          <cell r="C1419">
            <v>5.62</v>
          </cell>
          <cell r="D1419">
            <v>5.62</v>
          </cell>
          <cell r="E1419">
            <v>-0.43</v>
          </cell>
          <cell r="F1419">
            <v>-0.13099999999999978</v>
          </cell>
        </row>
        <row r="1420">
          <cell r="A1420">
            <v>827035</v>
          </cell>
          <cell r="B1420" t="str">
            <v>PEITO S/OPC C/F PERU CONG MET 1200-2500G</v>
          </cell>
          <cell r="C1420">
            <v>5.9290000000000003</v>
          </cell>
          <cell r="D1420">
            <v>5.9290000000000003</v>
          </cell>
          <cell r="E1420">
            <v>-0.36899999999999999</v>
          </cell>
          <cell r="F1420">
            <v>-0.13900000000000023</v>
          </cell>
        </row>
        <row r="1421">
          <cell r="A1421">
            <v>827056</v>
          </cell>
          <cell r="B1421" t="str">
            <v>PEITO S/OPC C/F PERU CONG MET 500-1200</v>
          </cell>
          <cell r="C1421">
            <v>4.9690000000000003</v>
          </cell>
          <cell r="D1421">
            <v>4.9690000000000003</v>
          </cell>
          <cell r="E1421">
            <v>-0.36899999999999999</v>
          </cell>
          <cell r="F1421">
            <v>-0.11699999999999988</v>
          </cell>
        </row>
        <row r="1422">
          <cell r="A1422">
            <v>827168</v>
          </cell>
          <cell r="B1422" t="str">
            <v>FIGADO FGO CONG BL 13KG BAT ALEMANHA</v>
          </cell>
          <cell r="C1422">
            <v>0.85199999999999998</v>
          </cell>
          <cell r="D1422">
            <v>0.85199999999999998</v>
          </cell>
          <cell r="E1422">
            <v>-9.9000000000000005E-2</v>
          </cell>
          <cell r="F1422">
            <v>-2.1000000000000019E-2</v>
          </cell>
        </row>
        <row r="1423">
          <cell r="A1423">
            <v>827520</v>
          </cell>
          <cell r="B1423" t="str">
            <v>COXA C/OP FGO CONG DRUM PT 1KG CANARIA</v>
          </cell>
          <cell r="C1423">
            <v>2.915</v>
          </cell>
          <cell r="D1423">
            <v>2.915</v>
          </cell>
          <cell r="E1423">
            <v>-0.42499999999999999</v>
          </cell>
          <cell r="F1423">
            <v>-6.6999999999999948E-2</v>
          </cell>
        </row>
        <row r="1424">
          <cell r="A1424">
            <v>827521</v>
          </cell>
          <cell r="B1424" t="str">
            <v>COXA SOB C/OP FGO CONG 200G/UP ITF CANA</v>
          </cell>
          <cell r="C1424">
            <v>2.4329999999999998</v>
          </cell>
          <cell r="D1424">
            <v>2.4329999999999998</v>
          </cell>
          <cell r="E1424">
            <v>-0.41499999999999998</v>
          </cell>
          <cell r="F1424">
            <v>-5.600000000000005E-2</v>
          </cell>
        </row>
        <row r="1425">
          <cell r="A1425">
            <v>827522</v>
          </cell>
          <cell r="B1425" t="str">
            <v>FRANGO GRILLER 1300G CONG PERD CANARIAS</v>
          </cell>
          <cell r="C1425">
            <v>2.867</v>
          </cell>
          <cell r="D1425">
            <v>2.867</v>
          </cell>
          <cell r="E1425">
            <v>-0.51900000000000002</v>
          </cell>
          <cell r="F1425">
            <v>-6.5999999999999948E-2</v>
          </cell>
        </row>
        <row r="1426">
          <cell r="A1426">
            <v>827523</v>
          </cell>
          <cell r="B1426" t="str">
            <v>PEITO S/OPC C/F FGO CONG ITF PERD CANAR</v>
          </cell>
          <cell r="C1426">
            <v>7.0949999999999998</v>
          </cell>
          <cell r="D1426">
            <v>7.0949999999999998</v>
          </cell>
          <cell r="E1426">
            <v>-0.60399999999999998</v>
          </cell>
          <cell r="F1426">
            <v>-0.16700000000000026</v>
          </cell>
        </row>
        <row r="1427">
          <cell r="A1427">
            <v>827956</v>
          </cell>
          <cell r="B1427" t="str">
            <v>FILEZINHO SUI CONG PERD RUSSIA</v>
          </cell>
          <cell r="C1427">
            <v>4.7009999999999996</v>
          </cell>
          <cell r="D1427">
            <v>4.7009999999999996</v>
          </cell>
          <cell r="E1427">
            <v>-9.7000000000000003E-2</v>
          </cell>
          <cell r="F1427">
            <v>-0.1120000000000001</v>
          </cell>
        </row>
        <row r="1428">
          <cell r="A1428">
            <v>828116</v>
          </cell>
          <cell r="B1428" t="str">
            <v>MINI CHICKEN FGO CONG PT 1KG PERD CANA</v>
          </cell>
          <cell r="C1428">
            <v>4.173</v>
          </cell>
          <cell r="D1428">
            <v>4.173</v>
          </cell>
          <cell r="E1428">
            <v>-0.39500000000000002</v>
          </cell>
          <cell r="F1428">
            <v>-9.7000000000000197E-2</v>
          </cell>
        </row>
        <row r="1429">
          <cell r="A1429">
            <v>828874</v>
          </cell>
          <cell r="B1429" t="str">
            <v>COXA SOB S/OP FGO CONG VAC PERD CANARIAS</v>
          </cell>
          <cell r="C1429">
            <v>3.988</v>
          </cell>
          <cell r="D1429">
            <v>3.988</v>
          </cell>
          <cell r="E1429">
            <v>-0.56899999999999995</v>
          </cell>
          <cell r="F1429">
            <v>-9.3000000000000194E-2</v>
          </cell>
        </row>
        <row r="1430">
          <cell r="A1430">
            <v>828984</v>
          </cell>
          <cell r="B1430" t="str">
            <v>PEITO S/OPC C/F FGO CONG ITF PERD CANAR</v>
          </cell>
          <cell r="C1430">
            <v>6.9119999999999999</v>
          </cell>
          <cell r="D1430">
            <v>6.9119999999999999</v>
          </cell>
          <cell r="E1430">
            <v>-0.53200000000000003</v>
          </cell>
          <cell r="F1430">
            <v>-0.16199999999999992</v>
          </cell>
        </row>
        <row r="1431">
          <cell r="A1431">
            <v>829049</v>
          </cell>
          <cell r="B1431" t="str">
            <v>PEITO S/OPFC FGO CONG MET 60-80G SALM</v>
          </cell>
          <cell r="C1431">
            <v>4.8639999999999999</v>
          </cell>
          <cell r="D1431">
            <v>4.8639999999999999</v>
          </cell>
          <cell r="E1431">
            <v>-0.375</v>
          </cell>
          <cell r="F1431">
            <v>-0.1140000000000001</v>
          </cell>
        </row>
        <row r="1432">
          <cell r="A1432">
            <v>829050</v>
          </cell>
          <cell r="B1432" t="str">
            <v>PEITO S/OPFC FGO CONG MET 70-90G SALM</v>
          </cell>
          <cell r="C1432">
            <v>4.9690000000000003</v>
          </cell>
          <cell r="D1432">
            <v>4.9690000000000003</v>
          </cell>
          <cell r="E1432">
            <v>-0.36899999999999999</v>
          </cell>
          <cell r="F1432">
            <v>-0.11599999999999988</v>
          </cell>
        </row>
        <row r="1433">
          <cell r="A1433">
            <v>829051</v>
          </cell>
          <cell r="B1433" t="str">
            <v>PEITO S/OPFC FGO CONG MET 80-100G SALM</v>
          </cell>
          <cell r="C1433">
            <v>4.867</v>
          </cell>
          <cell r="D1433">
            <v>4.867</v>
          </cell>
          <cell r="E1433">
            <v>-0.373</v>
          </cell>
          <cell r="F1433">
            <v>-0.1140000000000001</v>
          </cell>
        </row>
        <row r="1434">
          <cell r="A1434">
            <v>829054</v>
          </cell>
          <cell r="B1434" t="str">
            <v>COXA C/OP FGO CONG DRUM PT 1KG CANARIA</v>
          </cell>
          <cell r="C1434">
            <v>2.5680000000000001</v>
          </cell>
          <cell r="D1434">
            <v>2.5680000000000001</v>
          </cell>
          <cell r="E1434">
            <v>-0.42699999999999999</v>
          </cell>
          <cell r="F1434">
            <v>-5.9000000000000052E-2</v>
          </cell>
        </row>
        <row r="1435">
          <cell r="A1435">
            <v>829340</v>
          </cell>
          <cell r="B1435" t="str">
            <v>SALSICHA FGO CONG PT 375G HALA OMAN</v>
          </cell>
          <cell r="C1435">
            <v>2.798</v>
          </cell>
          <cell r="D1435">
            <v>2.798</v>
          </cell>
          <cell r="E1435">
            <v>-0.61199999999999999</v>
          </cell>
          <cell r="F1435">
            <v>-6.3000000000000056E-2</v>
          </cell>
        </row>
        <row r="1436">
          <cell r="A1436">
            <v>829857</v>
          </cell>
          <cell r="B1436" t="str">
            <v>FRANGO GRILLER 1400G CONG PERD INGLAT</v>
          </cell>
          <cell r="C1436">
            <v>2.7730000000000001</v>
          </cell>
          <cell r="D1436">
            <v>2.7730000000000001</v>
          </cell>
          <cell r="E1436">
            <v>-0.44400000000000001</v>
          </cell>
          <cell r="F1436">
            <v>-6.3000000000000167E-2</v>
          </cell>
        </row>
        <row r="1437">
          <cell r="A1437">
            <v>829953</v>
          </cell>
          <cell r="B1437" t="str">
            <v>COXA SOB S/OP FGO CONG VEG SALM BL HOL</v>
          </cell>
          <cell r="C1437">
            <v>3.9489999999999998</v>
          </cell>
          <cell r="D1437">
            <v>3.9489999999999998</v>
          </cell>
          <cell r="E1437">
            <v>-0.37</v>
          </cell>
          <cell r="F1437">
            <v>-9.199999999999986E-2</v>
          </cell>
        </row>
        <row r="1438">
          <cell r="A1438">
            <v>830000</v>
          </cell>
          <cell r="B1438" t="str">
            <v>FILE PEITO FGO CONG C/TEND SALM BL FRA</v>
          </cell>
          <cell r="C1438">
            <v>4.375</v>
          </cell>
          <cell r="D1438">
            <v>4.375</v>
          </cell>
          <cell r="E1438">
            <v>-0.38200000000000001</v>
          </cell>
          <cell r="F1438">
            <v>-0.10200000000000009</v>
          </cell>
        </row>
        <row r="1439">
          <cell r="A1439">
            <v>830434</v>
          </cell>
          <cell r="B1439" t="str">
            <v>ASA 1A JTA FGO CONG 30-50G PT 1KG CING</v>
          </cell>
          <cell r="C1439">
            <v>2.6779999999999999</v>
          </cell>
          <cell r="D1439">
            <v>2.6779999999999999</v>
          </cell>
          <cell r="E1439">
            <v>-0.60299999999999998</v>
          </cell>
          <cell r="F1439">
            <v>-0.06</v>
          </cell>
        </row>
        <row r="1440">
          <cell r="A1440">
            <v>830462</v>
          </cell>
          <cell r="B1440" t="str">
            <v>FRANGO BROILER 900G CONG (SFI) CINGAP</v>
          </cell>
          <cell r="C1440">
            <v>2.5089999999999999</v>
          </cell>
          <cell r="D1440">
            <v>2.5089999999999999</v>
          </cell>
          <cell r="E1440">
            <v>-0.58099999999999996</v>
          </cell>
          <cell r="F1440">
            <v>-5.600000000000005E-2</v>
          </cell>
        </row>
        <row r="1441">
          <cell r="A1441">
            <v>830465</v>
          </cell>
          <cell r="B1441" t="str">
            <v>FRANGO BROILER 1200G CONG (SFI) CINGAP</v>
          </cell>
          <cell r="C1441">
            <v>2.5569999999999999</v>
          </cell>
          <cell r="D1441">
            <v>2.5569999999999999</v>
          </cell>
          <cell r="E1441">
            <v>-0.59699999999999998</v>
          </cell>
          <cell r="F1441">
            <v>-5.799999999999994E-2</v>
          </cell>
        </row>
        <row r="1442">
          <cell r="A1442">
            <v>830790</v>
          </cell>
          <cell r="B1442" t="str">
            <v>PEITO S/OP FGO CONG MET 100-180G VEG F</v>
          </cell>
          <cell r="C1442">
            <v>7.2859999999999996</v>
          </cell>
          <cell r="D1442">
            <v>7.2859999999999996</v>
          </cell>
          <cell r="E1442">
            <v>-0.45300000000000001</v>
          </cell>
          <cell r="F1442">
            <v>-0.17099999999999982</v>
          </cell>
        </row>
        <row r="1443">
          <cell r="A1443">
            <v>831117</v>
          </cell>
          <cell r="B1443" t="str">
            <v>ASA 1A JTA FGO CONG PT 1KG PERD CANARI</v>
          </cell>
          <cell r="C1443">
            <v>2.5659999999999998</v>
          </cell>
          <cell r="D1443">
            <v>2.5659999999999998</v>
          </cell>
          <cell r="E1443">
            <v>-0.438</v>
          </cell>
          <cell r="F1443">
            <v>-5.9000000000000052E-2</v>
          </cell>
        </row>
        <row r="1444">
          <cell r="A1444">
            <v>831347</v>
          </cell>
          <cell r="B1444" t="str">
            <v>LOMBO SUI CONG PERD ANGOLA</v>
          </cell>
          <cell r="C1444">
            <v>6.8079999999999998</v>
          </cell>
          <cell r="D1444">
            <v>6.8079999999999998</v>
          </cell>
          <cell r="E1444">
            <v>-9.7000000000000003E-2</v>
          </cell>
          <cell r="F1444">
            <v>-0.16199999999999992</v>
          </cell>
        </row>
        <row r="1445">
          <cell r="A1445">
            <v>831559</v>
          </cell>
          <cell r="B1445" t="str">
            <v>CARRE SUI CONG 3,5-5KG BAT RUSSIA</v>
          </cell>
          <cell r="C1445">
            <v>4.3529999999999998</v>
          </cell>
          <cell r="D1445">
            <v>4.3529999999999998</v>
          </cell>
          <cell r="E1445">
            <v>-0.51500000000000001</v>
          </cell>
          <cell r="F1445">
            <v>-0.10099999999999998</v>
          </cell>
        </row>
        <row r="1446">
          <cell r="A1446">
            <v>832127</v>
          </cell>
          <cell r="B1446" t="str">
            <v>FRANGO GRILLER 750G PERD (DIREX) JAPAO</v>
          </cell>
          <cell r="C1446">
            <v>3.2370000000000001</v>
          </cell>
          <cell r="D1446">
            <v>3.2370000000000001</v>
          </cell>
          <cell r="E1446">
            <v>-0.58899999999999997</v>
          </cell>
          <cell r="F1446">
            <v>-7.2999999999999954E-2</v>
          </cell>
        </row>
        <row r="1447">
          <cell r="A1447">
            <v>832170</v>
          </cell>
          <cell r="B1447" t="str">
            <v>PEITO S/OPC C/F PERU CONG 2000G/UP CANAR</v>
          </cell>
          <cell r="C1447">
            <v>6.7439999999999998</v>
          </cell>
          <cell r="D1447">
            <v>6.7439999999999998</v>
          </cell>
          <cell r="E1447">
            <v>-0.39400000000000002</v>
          </cell>
          <cell r="F1447">
            <v>-0.15799999999999992</v>
          </cell>
        </row>
        <row r="1448">
          <cell r="A1448">
            <v>832221</v>
          </cell>
          <cell r="B1448" t="str">
            <v>LINGUICA SUI TOSC CHUR TORC CONG PT PARA</v>
          </cell>
          <cell r="C1448">
            <v>2.5070000000000001</v>
          </cell>
          <cell r="D1448">
            <v>2.5070000000000001</v>
          </cell>
          <cell r="E1448">
            <v>-8.7999999999999995E-2</v>
          </cell>
          <cell r="F1448">
            <v>-5.8999999999999941E-2</v>
          </cell>
        </row>
        <row r="1449">
          <cell r="A1449">
            <v>832528</v>
          </cell>
          <cell r="B1449" t="str">
            <v>CARRE SUI CONG BAT ALBANIA CX 25KG</v>
          </cell>
          <cell r="C1449">
            <v>4.5229999999999997</v>
          </cell>
          <cell r="D1449">
            <v>4.5229999999999997</v>
          </cell>
          <cell r="E1449">
            <v>-0.51900000000000002</v>
          </cell>
          <cell r="F1449">
            <v>-0.105</v>
          </cell>
        </row>
        <row r="1450">
          <cell r="A1450">
            <v>832529</v>
          </cell>
          <cell r="B1450" t="str">
            <v>FILEZINHO SUI CONG BAT ALBANIA CX 25KG</v>
          </cell>
          <cell r="C1450">
            <v>4.8730000000000002</v>
          </cell>
          <cell r="D1450">
            <v>4.8730000000000002</v>
          </cell>
          <cell r="E1450">
            <v>-0.51200000000000001</v>
          </cell>
          <cell r="F1450">
            <v>-0.11299999999999999</v>
          </cell>
        </row>
        <row r="1451">
          <cell r="A1451">
            <v>832531</v>
          </cell>
          <cell r="B1451" t="str">
            <v>FRANGO BROILER 1200G BAT ALBANIA CX 12KG</v>
          </cell>
          <cell r="C1451">
            <v>2.556</v>
          </cell>
          <cell r="D1451">
            <v>2.556</v>
          </cell>
          <cell r="E1451">
            <v>-0.52400000000000002</v>
          </cell>
          <cell r="F1451">
            <v>-5.8000000000000052E-2</v>
          </cell>
        </row>
        <row r="1452">
          <cell r="A1452">
            <v>832532</v>
          </cell>
          <cell r="B1452" t="str">
            <v>FRANGO BROILER 1300G BAT ALBANIA CX 13KG</v>
          </cell>
          <cell r="C1452">
            <v>2.5569999999999999</v>
          </cell>
          <cell r="D1452">
            <v>2.5569999999999999</v>
          </cell>
          <cell r="E1452">
            <v>-0.52400000000000002</v>
          </cell>
          <cell r="F1452">
            <v>-5.8000000000000052E-2</v>
          </cell>
        </row>
        <row r="1453">
          <cell r="A1453">
            <v>832677</v>
          </cell>
          <cell r="B1453" t="str">
            <v>SALSICHA FGO MON CONG S/COR PT 500G CARI</v>
          </cell>
          <cell r="C1453">
            <v>2.5459999999999998</v>
          </cell>
          <cell r="D1453">
            <v>2.5459999999999998</v>
          </cell>
          <cell r="E1453">
            <v>-0.1</v>
          </cell>
          <cell r="F1453">
            <v>-6.1000000000000054E-2</v>
          </cell>
        </row>
        <row r="1454">
          <cell r="A1454">
            <v>832678</v>
          </cell>
          <cell r="B1454" t="str">
            <v>SALSICHA FGO CONG S/CORANTE PT 2,5KG CAR</v>
          </cell>
          <cell r="C1454">
            <v>2.3029999999999999</v>
          </cell>
          <cell r="D1454">
            <v>2.3029999999999999</v>
          </cell>
          <cell r="E1454">
            <v>-9.9000000000000005E-2</v>
          </cell>
          <cell r="F1454">
            <v>-5.4999999999999938E-2</v>
          </cell>
        </row>
        <row r="1455">
          <cell r="A1455">
            <v>832679</v>
          </cell>
          <cell r="B1455" t="str">
            <v>LINGUICA FGO CONG PT 5KG PERD CARIBE</v>
          </cell>
          <cell r="C1455">
            <v>3.637</v>
          </cell>
          <cell r="D1455">
            <v>3.637</v>
          </cell>
          <cell r="E1455">
            <v>-9.9000000000000005E-2</v>
          </cell>
          <cell r="F1455">
            <v>-8.6999999999999966E-2</v>
          </cell>
        </row>
        <row r="1456">
          <cell r="A1456">
            <v>832680</v>
          </cell>
          <cell r="B1456" t="str">
            <v>LINGUICA SUI TOSC CHUR TORC CONG PT CARI</v>
          </cell>
          <cell r="C1456">
            <v>3.637</v>
          </cell>
          <cell r="D1456">
            <v>3.637</v>
          </cell>
          <cell r="E1456">
            <v>-9.7000000000000003E-2</v>
          </cell>
          <cell r="F1456">
            <v>-8.6999999999999966E-2</v>
          </cell>
        </row>
        <row r="1457">
          <cell r="A1457">
            <v>832886</v>
          </cell>
          <cell r="B1457" t="str">
            <v>CARRE SUI CONG PERD GABAO CX 25KG</v>
          </cell>
          <cell r="C1457">
            <v>4.0119999999999996</v>
          </cell>
          <cell r="D1457">
            <v>4.0119999999999996</v>
          </cell>
          <cell r="E1457">
            <v>-9.7000000000000003E-2</v>
          </cell>
          <cell r="F1457">
            <v>-9.5000000000000001E-2</v>
          </cell>
        </row>
        <row r="1458">
          <cell r="A1458">
            <v>832929</v>
          </cell>
          <cell r="B1458" t="str">
            <v>CARCACA SUINA CONG MET IWP BAT RUSSIA</v>
          </cell>
          <cell r="C1458">
            <v>3.2719999999999998</v>
          </cell>
          <cell r="D1458">
            <v>3.2719999999999998</v>
          </cell>
          <cell r="E1458">
            <v>-0.51200000000000001</v>
          </cell>
          <cell r="F1458">
            <v>-7.5000000000000067E-2</v>
          </cell>
        </row>
        <row r="1459">
          <cell r="A1459">
            <v>832964</v>
          </cell>
          <cell r="B1459" t="str">
            <v>COXA SOB S/O C/P 220-240G 2,07KG SUN JAP</v>
          </cell>
          <cell r="C1459">
            <v>3.4009999999999998</v>
          </cell>
          <cell r="D1459">
            <v>3.4009999999999998</v>
          </cell>
          <cell r="E1459">
            <v>-0.56599999999999995</v>
          </cell>
          <cell r="F1459">
            <v>-7.8000000000000069E-2</v>
          </cell>
        </row>
        <row r="1460">
          <cell r="A1460">
            <v>833069</v>
          </cell>
          <cell r="B1460" t="str">
            <v>FRANGO GRILLER 1100G PERD CANARIAS 11KG</v>
          </cell>
          <cell r="C1460">
            <v>2.7839999999999998</v>
          </cell>
          <cell r="D1460">
            <v>2.7839999999999998</v>
          </cell>
          <cell r="E1460">
            <v>-0.46899999999999997</v>
          </cell>
          <cell r="F1460">
            <v>-6.3999999999999946E-2</v>
          </cell>
        </row>
        <row r="1461">
          <cell r="A1461">
            <v>833192</v>
          </cell>
          <cell r="B1461" t="str">
            <v>ASA 1A JTA S/O C/P PERU TEMP BL BAT ALEM</v>
          </cell>
          <cell r="C1461">
            <v>3.61</v>
          </cell>
          <cell r="D1461">
            <v>3.61</v>
          </cell>
          <cell r="E1461">
            <v>-0.40799999999999997</v>
          </cell>
          <cell r="F1461">
            <v>-8.4000000000000075E-2</v>
          </cell>
        </row>
        <row r="1462">
          <cell r="A1462">
            <v>833395</v>
          </cell>
          <cell r="B1462" t="str">
            <v>COXA SOBREC S/OP BL 7,5KG PERD ROMENIA</v>
          </cell>
          <cell r="C1462">
            <v>3.5059999999999998</v>
          </cell>
          <cell r="D1462">
            <v>3.5059999999999998</v>
          </cell>
          <cell r="E1462">
            <v>-9.9000000000000005E-2</v>
          </cell>
          <cell r="F1462">
            <v>-8.4000000000000075E-2</v>
          </cell>
        </row>
        <row r="1463">
          <cell r="A1463">
            <v>833529</v>
          </cell>
          <cell r="B1463" t="str">
            <v>PEITO+COXA SOB FGO CONG FORM/EMP/COZ HOL</v>
          </cell>
          <cell r="C1463">
            <v>4.4969999999999999</v>
          </cell>
          <cell r="D1463">
            <v>4.4969999999999999</v>
          </cell>
          <cell r="E1463">
            <v>-0.48399999999999999</v>
          </cell>
          <cell r="F1463">
            <v>-0.105</v>
          </cell>
        </row>
        <row r="1464">
          <cell r="A1464">
            <v>833553</v>
          </cell>
          <cell r="B1464" t="str">
            <v>MOELA FGO CONG PT 1KG PERD PORTUGAL 16KG</v>
          </cell>
          <cell r="C1464">
            <v>2.323</v>
          </cell>
          <cell r="D1464">
            <v>2.323</v>
          </cell>
          <cell r="E1464">
            <v>-0.39200000000000002</v>
          </cell>
          <cell r="F1464">
            <v>-5.2999999999999936E-2</v>
          </cell>
        </row>
        <row r="1465">
          <cell r="A1465">
            <v>833652</v>
          </cell>
          <cell r="B1465" t="str">
            <v>ASA 1A JTA DRUM FGO CONG 35-45G PERD JAP</v>
          </cell>
          <cell r="C1465">
            <v>3.778</v>
          </cell>
          <cell r="D1465">
            <v>3.778</v>
          </cell>
          <cell r="E1465">
            <v>-0.61299999999999999</v>
          </cell>
          <cell r="F1465">
            <v>-8.6999999999999966E-2</v>
          </cell>
        </row>
        <row r="1466">
          <cell r="A1466">
            <v>833679</v>
          </cell>
          <cell r="B1466" t="str">
            <v>SOBRECOXA S/O C/P PERU CONG TEMP BAT ALE</v>
          </cell>
          <cell r="C1466">
            <v>3.8919999999999999</v>
          </cell>
          <cell r="D1466">
            <v>3.8919999999999999</v>
          </cell>
          <cell r="E1466">
            <v>-0.41599999999999998</v>
          </cell>
          <cell r="F1466">
            <v>-9.099999999999997E-2</v>
          </cell>
        </row>
        <row r="1467">
          <cell r="A1467">
            <v>833862</v>
          </cell>
          <cell r="B1467" t="str">
            <v>PEITO S/OPFC FGO CONG MET 110-130G ITALI</v>
          </cell>
          <cell r="C1467">
            <v>6.8150000000000004</v>
          </cell>
          <cell r="D1467">
            <v>6.8150000000000004</v>
          </cell>
          <cell r="E1467">
            <v>-0.41099999999999998</v>
          </cell>
          <cell r="F1467">
            <v>-0.16</v>
          </cell>
        </row>
        <row r="1468">
          <cell r="A1468">
            <v>833864</v>
          </cell>
          <cell r="B1468" t="str">
            <v>MOELA FGO BD 500G PERD CANARIAS CX 12KG</v>
          </cell>
          <cell r="C1468">
            <v>2.3140000000000001</v>
          </cell>
          <cell r="D1468">
            <v>2.3140000000000001</v>
          </cell>
          <cell r="E1468">
            <v>-0.435</v>
          </cell>
          <cell r="F1468">
            <v>-5.3000000000000047E-2</v>
          </cell>
        </row>
        <row r="1469">
          <cell r="A1469">
            <v>833869</v>
          </cell>
          <cell r="B1469" t="str">
            <v>COXA SOB SO CP FGO CONG 20-30G SUN JAPAO</v>
          </cell>
          <cell r="C1469">
            <v>3.629</v>
          </cell>
          <cell r="D1469">
            <v>3.629</v>
          </cell>
          <cell r="E1469">
            <v>-0.57299999999999995</v>
          </cell>
          <cell r="F1469">
            <v>-8.2999999999999963E-2</v>
          </cell>
        </row>
        <row r="1470">
          <cell r="A1470">
            <v>833870</v>
          </cell>
          <cell r="B1470" t="str">
            <v>COXA SOB SO CP FGO CONG 23-27G SUN JAPAO</v>
          </cell>
          <cell r="C1470">
            <v>3.6030000000000002</v>
          </cell>
          <cell r="D1470">
            <v>3.6030000000000002</v>
          </cell>
          <cell r="E1470">
            <v>-0.57099999999999995</v>
          </cell>
          <cell r="F1470">
            <v>-8.3000000000000074E-2</v>
          </cell>
        </row>
        <row r="1471">
          <cell r="A1471">
            <v>833892</v>
          </cell>
          <cell r="B1471" t="str">
            <v>FRANGO GRILLER 1600G PERD INGLAT 12,8KG</v>
          </cell>
          <cell r="C1471">
            <v>2.7719999999999998</v>
          </cell>
          <cell r="D1471">
            <v>2.7719999999999998</v>
          </cell>
          <cell r="E1471">
            <v>-0.44400000000000001</v>
          </cell>
          <cell r="F1471">
            <v>-6.2999999999999945E-2</v>
          </cell>
        </row>
        <row r="1472">
          <cell r="A1472">
            <v>833895</v>
          </cell>
          <cell r="B1472" t="str">
            <v>FRANGO GRILLER 1700G PERD INGLAT 13,6KG</v>
          </cell>
          <cell r="C1472">
            <v>2.7719999999999998</v>
          </cell>
          <cell r="D1472">
            <v>2.7719999999999998</v>
          </cell>
          <cell r="E1472">
            <v>-0.44400000000000001</v>
          </cell>
          <cell r="F1472">
            <v>-6.2999999999999945E-2</v>
          </cell>
        </row>
        <row r="1473">
          <cell r="A1473">
            <v>833900</v>
          </cell>
          <cell r="B1473" t="str">
            <v>PERNIL S/OC SUI CONG BL 20KG BAT RUSSIA</v>
          </cell>
          <cell r="C1473">
            <v>4.71</v>
          </cell>
          <cell r="D1473">
            <v>4.71</v>
          </cell>
          <cell r="E1473">
            <v>-0.49399999999999999</v>
          </cell>
          <cell r="F1473">
            <v>-0.10899999999999999</v>
          </cell>
        </row>
        <row r="1474">
          <cell r="A1474">
            <v>833901</v>
          </cell>
          <cell r="B1474" t="str">
            <v>ASA 1JTA SO CP PERU TEMP BL BAT FRANCA</v>
          </cell>
          <cell r="C1474">
            <v>4.077</v>
          </cell>
          <cell r="D1474">
            <v>4.077</v>
          </cell>
          <cell r="E1474">
            <v>-0.435</v>
          </cell>
          <cell r="F1474">
            <v>-9.5000000000000001E-2</v>
          </cell>
        </row>
        <row r="1475">
          <cell r="A1475">
            <v>833928</v>
          </cell>
          <cell r="B1475" t="str">
            <v>PEITO S/OPFC FGO CONG MET 100-120G ITALI</v>
          </cell>
          <cell r="C1475">
            <v>7.12</v>
          </cell>
          <cell r="D1475">
            <v>7.12</v>
          </cell>
          <cell r="E1475">
            <v>-0.45500000000000002</v>
          </cell>
          <cell r="F1475">
            <v>-0.16699999999999982</v>
          </cell>
        </row>
        <row r="1476">
          <cell r="A1476">
            <v>833929</v>
          </cell>
          <cell r="B1476" t="str">
            <v>PEITO S/OPFC FGO CONG MET 120-140G ITALI</v>
          </cell>
          <cell r="C1476">
            <v>7.12</v>
          </cell>
          <cell r="D1476">
            <v>7.12</v>
          </cell>
          <cell r="E1476">
            <v>-0.45500000000000002</v>
          </cell>
          <cell r="F1476">
            <v>-0.16699999999999982</v>
          </cell>
        </row>
        <row r="1477">
          <cell r="A1477">
            <v>833986</v>
          </cell>
          <cell r="B1477" t="str">
            <v>FRANGO GRILLER 1500G PERD JAPAO CX 12KG</v>
          </cell>
          <cell r="C1477">
            <v>3.3239999999999998</v>
          </cell>
          <cell r="D1477">
            <v>3.3239999999999998</v>
          </cell>
          <cell r="E1477">
            <v>-0.60199999999999998</v>
          </cell>
          <cell r="F1477">
            <v>-7.6000000000000068E-2</v>
          </cell>
        </row>
        <row r="1478">
          <cell r="A1478">
            <v>834079</v>
          </cell>
          <cell r="B1478" t="str">
            <v>SOBRECOXA C/OP FGO CONG 180-200G PT CING</v>
          </cell>
          <cell r="C1478">
            <v>2.4950000000000001</v>
          </cell>
          <cell r="D1478">
            <v>2.4950000000000001</v>
          </cell>
          <cell r="E1478">
            <v>-0.66200000000000003</v>
          </cell>
          <cell r="F1478">
            <v>-5.600000000000005E-2</v>
          </cell>
        </row>
        <row r="1479">
          <cell r="A1479">
            <v>834391</v>
          </cell>
          <cell r="B1479" t="str">
            <v>FRANGO BROILER 1400G CONG BAT ALBANIA</v>
          </cell>
          <cell r="C1479">
            <v>2.5579999999999998</v>
          </cell>
          <cell r="D1479">
            <v>2.5579999999999998</v>
          </cell>
          <cell r="E1479">
            <v>-0.52400000000000002</v>
          </cell>
          <cell r="F1479">
            <v>-5.8000000000000052E-2</v>
          </cell>
        </row>
        <row r="1480">
          <cell r="A1480">
            <v>834516</v>
          </cell>
          <cell r="B1480" t="str">
            <v>PALETA S/OCGC SUI CONG 1,5-3KG BAT RUSSI</v>
          </cell>
          <cell r="C1480">
            <v>4.3179999999999996</v>
          </cell>
          <cell r="D1480">
            <v>4.3179999999999996</v>
          </cell>
          <cell r="E1480">
            <v>-0.501</v>
          </cell>
          <cell r="F1480">
            <v>-0.1</v>
          </cell>
        </row>
        <row r="1481">
          <cell r="A1481">
            <v>834517</v>
          </cell>
          <cell r="B1481" t="str">
            <v>COXA SOB C/OP FGO CONG PT 1KG PERD ITALI</v>
          </cell>
          <cell r="C1481">
            <v>2.29</v>
          </cell>
          <cell r="D1481">
            <v>2.29</v>
          </cell>
          <cell r="E1481">
            <v>-0.44500000000000001</v>
          </cell>
          <cell r="F1481">
            <v>-5.2000000000000046E-2</v>
          </cell>
        </row>
        <row r="1482">
          <cell r="A1482">
            <v>834669</v>
          </cell>
          <cell r="B1482" t="str">
            <v>COXA SOB S/OP FGO CONG SALM BL PERD ITAL</v>
          </cell>
          <cell r="C1482">
            <v>3.7130000000000001</v>
          </cell>
          <cell r="D1482">
            <v>3.7130000000000001</v>
          </cell>
          <cell r="E1482">
            <v>-0.38300000000000001</v>
          </cell>
          <cell r="F1482">
            <v>-8.5999999999999854E-2</v>
          </cell>
        </row>
        <row r="1483">
          <cell r="A1483">
            <v>834674</v>
          </cell>
          <cell r="B1483" t="str">
            <v>FRANGO GRILLER 1200G PERD CANARIAS 12KG</v>
          </cell>
          <cell r="C1483">
            <v>2.5590000000000002</v>
          </cell>
          <cell r="D1483">
            <v>2.5590000000000002</v>
          </cell>
          <cell r="E1483">
            <v>-0.38900000000000001</v>
          </cell>
          <cell r="F1483">
            <v>-5.9000000000000052E-2</v>
          </cell>
        </row>
        <row r="1484">
          <cell r="A1484">
            <v>834675</v>
          </cell>
          <cell r="B1484" t="str">
            <v>FRANGO GRILLER 1300G PERD CANARIAS 13KG</v>
          </cell>
          <cell r="C1484">
            <v>2.56</v>
          </cell>
          <cell r="D1484">
            <v>2.56</v>
          </cell>
          <cell r="E1484">
            <v>-0.38900000000000001</v>
          </cell>
          <cell r="F1484">
            <v>-5.8999999999999941E-2</v>
          </cell>
        </row>
        <row r="1485">
          <cell r="A1485">
            <v>834676</v>
          </cell>
          <cell r="B1485" t="str">
            <v>PEITO S/OPFC FGO CONG 90-110G TA/COZ HOL</v>
          </cell>
          <cell r="C1485">
            <v>8.4290000000000003</v>
          </cell>
          <cell r="D1485">
            <v>8.4290000000000003</v>
          </cell>
          <cell r="E1485">
            <v>-0.53100000000000003</v>
          </cell>
          <cell r="F1485">
            <v>-0.1980000000000004</v>
          </cell>
        </row>
        <row r="1486">
          <cell r="A1486">
            <v>834867</v>
          </cell>
          <cell r="B1486" t="str">
            <v>FILE PEITO FGO CONG S/PTA TEND PERD INGL</v>
          </cell>
          <cell r="C1486">
            <v>4.8600000000000003</v>
          </cell>
          <cell r="D1486">
            <v>4.8600000000000003</v>
          </cell>
          <cell r="E1486">
            <v>-0.47699999999999998</v>
          </cell>
          <cell r="F1486">
            <v>-0.11300000000000021</v>
          </cell>
        </row>
        <row r="1487">
          <cell r="A1487">
            <v>834871</v>
          </cell>
          <cell r="B1487" t="str">
            <v>FILE PEITO FGO CONG S/PONTA TEND SALM H0</v>
          </cell>
          <cell r="C1487">
            <v>4.8639999999999999</v>
          </cell>
          <cell r="D1487">
            <v>4.8639999999999999</v>
          </cell>
          <cell r="E1487">
            <v>-0.37</v>
          </cell>
          <cell r="F1487">
            <v>-0.1140000000000001</v>
          </cell>
        </row>
        <row r="1488">
          <cell r="A1488">
            <v>834902</v>
          </cell>
          <cell r="B1488" t="str">
            <v>PEITO S/OPFC FGO CONG MET 120G SALM HOLA</v>
          </cell>
          <cell r="C1488">
            <v>4.9690000000000003</v>
          </cell>
          <cell r="D1488">
            <v>4.9690000000000003</v>
          </cell>
          <cell r="E1488">
            <v>-0.36899999999999999</v>
          </cell>
          <cell r="F1488">
            <v>-0.1160000000000001</v>
          </cell>
        </row>
        <row r="1489">
          <cell r="A1489">
            <v>835090</v>
          </cell>
          <cell r="B1489" t="str">
            <v>PEITO S/OPFC FGO CONG MET SALM VEG BL FR</v>
          </cell>
          <cell r="C1489">
            <v>4.8639999999999999</v>
          </cell>
          <cell r="D1489">
            <v>4.8639999999999999</v>
          </cell>
          <cell r="E1489">
            <v>-0.376</v>
          </cell>
          <cell r="F1489">
            <v>-0.11299999999999999</v>
          </cell>
        </row>
        <row r="1490">
          <cell r="A1490">
            <v>835106</v>
          </cell>
          <cell r="B1490" t="str">
            <v>PEITO S/OPFC FGO CONG MET SALM VEG BL FR</v>
          </cell>
          <cell r="C1490">
            <v>4.8620000000000001</v>
          </cell>
          <cell r="D1490">
            <v>4.8620000000000001</v>
          </cell>
          <cell r="E1490">
            <v>-0.374</v>
          </cell>
          <cell r="F1490">
            <v>-0.1140000000000001</v>
          </cell>
        </row>
        <row r="1491">
          <cell r="A1491">
            <v>835172</v>
          </cell>
          <cell r="B1491" t="str">
            <v>MINI CHICKEN FGO CONG PT 1KG PERD CANARI</v>
          </cell>
          <cell r="C1491">
            <v>4.6520000000000001</v>
          </cell>
          <cell r="D1491">
            <v>4.6520000000000001</v>
          </cell>
          <cell r="E1491">
            <v>-0.53600000000000003</v>
          </cell>
          <cell r="F1491">
            <v>-0.10799999999999965</v>
          </cell>
        </row>
        <row r="1492">
          <cell r="A1492">
            <v>835173</v>
          </cell>
          <cell r="B1492" t="str">
            <v>MINI CHICKEN FGO CONG PT 1KG PERD CANARI</v>
          </cell>
          <cell r="C1492">
            <v>4.6520000000000001</v>
          </cell>
          <cell r="D1492">
            <v>4.6520000000000001</v>
          </cell>
          <cell r="E1492">
            <v>-0.46800000000000003</v>
          </cell>
          <cell r="F1492">
            <v>-0.1080000000000001</v>
          </cell>
        </row>
        <row r="1493">
          <cell r="A1493">
            <v>835174</v>
          </cell>
          <cell r="B1493" t="str">
            <v>PEITO S/OPC C/F FGO CONG ITF PERD CANAR</v>
          </cell>
          <cell r="C1493">
            <v>7.5350000000000001</v>
          </cell>
          <cell r="D1493">
            <v>7.5350000000000001</v>
          </cell>
          <cell r="E1493">
            <v>-0.52300000000000002</v>
          </cell>
          <cell r="F1493">
            <v>-0.17799999999999994</v>
          </cell>
        </row>
        <row r="1494">
          <cell r="A1494">
            <v>835176</v>
          </cell>
          <cell r="B1494" t="str">
            <v>FRANGO GRILLER 1100G PERD CANARIAS 11KG</v>
          </cell>
          <cell r="C1494">
            <v>2.9369999999999998</v>
          </cell>
          <cell r="D1494">
            <v>2.9369999999999998</v>
          </cell>
          <cell r="E1494">
            <v>-0.42399999999999999</v>
          </cell>
          <cell r="F1494">
            <v>-6.800000000000006E-2</v>
          </cell>
        </row>
        <row r="1495">
          <cell r="A1495">
            <v>835177</v>
          </cell>
          <cell r="B1495" t="str">
            <v>FRANGO GRILLER 1200G PERD CANARIAS 12KG</v>
          </cell>
          <cell r="C1495">
            <v>2.9380000000000002</v>
          </cell>
          <cell r="D1495">
            <v>2.9380000000000002</v>
          </cell>
          <cell r="E1495">
            <v>-0.42399999999999999</v>
          </cell>
          <cell r="F1495">
            <v>-6.800000000000006E-2</v>
          </cell>
        </row>
        <row r="1496">
          <cell r="A1496">
            <v>835178</v>
          </cell>
          <cell r="B1496" t="str">
            <v>FRANGO GRILLER 1300G PERD CANARIAS 13KG</v>
          </cell>
          <cell r="C1496">
            <v>2.9390000000000001</v>
          </cell>
          <cell r="D1496">
            <v>2.9390000000000001</v>
          </cell>
          <cell r="E1496">
            <v>-0.42399999999999999</v>
          </cell>
          <cell r="F1496">
            <v>-6.800000000000006E-2</v>
          </cell>
        </row>
        <row r="1497">
          <cell r="A1497">
            <v>835179</v>
          </cell>
          <cell r="B1497" t="str">
            <v>FRANGO GRILLER 1400G PERD CANARIAS 14KG</v>
          </cell>
          <cell r="C1497">
            <v>2.94</v>
          </cell>
          <cell r="D1497">
            <v>2.94</v>
          </cell>
          <cell r="E1497">
            <v>-0.42399999999999999</v>
          </cell>
          <cell r="F1497">
            <v>-6.7999999999999838E-2</v>
          </cell>
        </row>
        <row r="1498">
          <cell r="A1498">
            <v>835181</v>
          </cell>
          <cell r="B1498" t="str">
            <v>PEITO S/OPC C/F FGO CONG ITF PERD CANAR</v>
          </cell>
          <cell r="C1498">
            <v>6.8609999999999998</v>
          </cell>
          <cell r="D1498">
            <v>6.8609999999999998</v>
          </cell>
          <cell r="E1498">
            <v>-0.49399999999999999</v>
          </cell>
          <cell r="F1498">
            <v>-0.16100000000000003</v>
          </cell>
        </row>
        <row r="1499">
          <cell r="A1499">
            <v>835182</v>
          </cell>
          <cell r="B1499" t="str">
            <v>PEITO S/OPC C/F FGO CONG IND/VAC PERD CA</v>
          </cell>
          <cell r="C1499">
            <v>6.9779999999999998</v>
          </cell>
          <cell r="D1499">
            <v>6.9779999999999998</v>
          </cell>
          <cell r="E1499">
            <v>-0.496</v>
          </cell>
          <cell r="F1499">
            <v>-0.1639999999999997</v>
          </cell>
        </row>
        <row r="1500">
          <cell r="A1500">
            <v>835183</v>
          </cell>
          <cell r="B1500" t="str">
            <v>ASA 1A JTA DRUM FGO CONG PT IF PERD CANA</v>
          </cell>
          <cell r="C1500">
            <v>2.718</v>
          </cell>
          <cell r="D1500">
            <v>2.718</v>
          </cell>
          <cell r="E1500">
            <v>-0.42899999999999999</v>
          </cell>
          <cell r="F1500">
            <v>-6.2999999999999945E-2</v>
          </cell>
        </row>
        <row r="1501">
          <cell r="A1501">
            <v>835184</v>
          </cell>
          <cell r="B1501" t="str">
            <v>COXA C/OP DRUMST FGO CONG PT IF PERD CAN</v>
          </cell>
          <cell r="C1501">
            <v>2.718</v>
          </cell>
          <cell r="D1501">
            <v>2.718</v>
          </cell>
          <cell r="E1501">
            <v>-0.42899999999999999</v>
          </cell>
          <cell r="F1501">
            <v>-6.3000000000000056E-2</v>
          </cell>
        </row>
        <row r="1502">
          <cell r="A1502">
            <v>835185</v>
          </cell>
          <cell r="B1502" t="str">
            <v>COXA SOB S/OP FGO CONG ITF PERD CANARIAS</v>
          </cell>
          <cell r="C1502">
            <v>3.6070000000000002</v>
          </cell>
          <cell r="D1502">
            <v>3.6070000000000002</v>
          </cell>
          <cell r="E1502">
            <v>-0.443</v>
          </cell>
          <cell r="F1502">
            <v>-8.4000000000000075E-2</v>
          </cell>
        </row>
        <row r="1503">
          <cell r="A1503">
            <v>835186</v>
          </cell>
          <cell r="B1503" t="str">
            <v>FRANGO GRILLER 1100G PERD CANARIAS 11KG</v>
          </cell>
          <cell r="C1503">
            <v>2.7919999999999998</v>
          </cell>
          <cell r="D1503">
            <v>2.7919999999999998</v>
          </cell>
          <cell r="E1503">
            <v>-0.40600000000000003</v>
          </cell>
          <cell r="F1503">
            <v>-6.4999999999999947E-2</v>
          </cell>
        </row>
        <row r="1504">
          <cell r="A1504">
            <v>835188</v>
          </cell>
          <cell r="B1504" t="str">
            <v>PEITO S/OPC C/F PERU CONG INT 2000G/UP C</v>
          </cell>
          <cell r="C1504">
            <v>7.0529999999999999</v>
          </cell>
          <cell r="D1504">
            <v>7.0529999999999999</v>
          </cell>
          <cell r="E1504">
            <v>-0.501</v>
          </cell>
          <cell r="F1504">
            <v>-0.16599999999999993</v>
          </cell>
        </row>
        <row r="1505">
          <cell r="A1505">
            <v>835222</v>
          </cell>
          <cell r="B1505" t="str">
            <v>COXA SOB C/OP FGO CONG 200G/UP ITF CANAR</v>
          </cell>
          <cell r="C1505">
            <v>2.3279999999999998</v>
          </cell>
          <cell r="D1505">
            <v>2.3279999999999998</v>
          </cell>
          <cell r="E1505">
            <v>-0.42199999999999999</v>
          </cell>
          <cell r="F1505">
            <v>-5.2999999999999936E-2</v>
          </cell>
        </row>
        <row r="1506">
          <cell r="A1506">
            <v>835392</v>
          </cell>
          <cell r="B1506" t="str">
            <v>CARNE MEC SEPAR FGO PERD AFR. SUL 1000KG</v>
          </cell>
          <cell r="C1506">
            <v>1.3109999999999999</v>
          </cell>
          <cell r="D1506">
            <v>1.3109999999999999</v>
          </cell>
          <cell r="E1506">
            <v>-0.52100000000000002</v>
          </cell>
          <cell r="F1506">
            <v>-2.8999999999999998E-2</v>
          </cell>
        </row>
        <row r="1507">
          <cell r="A1507">
            <v>835431</v>
          </cell>
          <cell r="B1507" t="str">
            <v>ASA INT FGO CONG ITF PERD CANARIAS 16KG</v>
          </cell>
          <cell r="C1507">
            <v>2.4260000000000002</v>
          </cell>
          <cell r="D1507">
            <v>2.4260000000000002</v>
          </cell>
          <cell r="E1507">
            <v>-0.46100000000000002</v>
          </cell>
          <cell r="F1507">
            <v>-5.4999999999999938E-2</v>
          </cell>
        </row>
        <row r="1508">
          <cell r="A1508">
            <v>835543</v>
          </cell>
          <cell r="B1508" t="str">
            <v>CODORNA 140-160G BDJ PERD FRAN CX 4,8KG</v>
          </cell>
          <cell r="C1508">
            <v>6.1740000000000004</v>
          </cell>
          <cell r="D1508">
            <v>6.1740000000000004</v>
          </cell>
          <cell r="E1508">
            <v>-0.39700000000000002</v>
          </cell>
          <cell r="F1508">
            <v>-0.14499999999999999</v>
          </cell>
        </row>
        <row r="1509">
          <cell r="A1509">
            <v>835544</v>
          </cell>
          <cell r="B1509" t="str">
            <v>CODORNA 160-180G BDJ PERD FRANC CX 5,4KG</v>
          </cell>
          <cell r="C1509">
            <v>6.1769999999999996</v>
          </cell>
          <cell r="D1509">
            <v>6.1769999999999996</v>
          </cell>
          <cell r="E1509">
            <v>-0.39700000000000002</v>
          </cell>
          <cell r="F1509">
            <v>-0.14499999999999999</v>
          </cell>
        </row>
        <row r="1510">
          <cell r="A1510">
            <v>835676</v>
          </cell>
          <cell r="B1510" t="str">
            <v>PEITO S/OPFC FGO CONG MET TAMB/COZ INGLA</v>
          </cell>
          <cell r="C1510">
            <v>7.0529999999999999</v>
          </cell>
          <cell r="D1510">
            <v>7.0529999999999999</v>
          </cell>
          <cell r="E1510">
            <v>-0.55100000000000005</v>
          </cell>
          <cell r="F1510">
            <v>-0.16500000000000001</v>
          </cell>
        </row>
        <row r="1511">
          <cell r="A1511">
            <v>835727</v>
          </cell>
          <cell r="B1511" t="str">
            <v>FILE PEITO FGO CONG S/PTA TEND PERD INGL</v>
          </cell>
          <cell r="C1511">
            <v>6.3209999999999997</v>
          </cell>
          <cell r="D1511">
            <v>6.3209999999999997</v>
          </cell>
          <cell r="E1511">
            <v>-0.55100000000000005</v>
          </cell>
          <cell r="F1511">
            <v>-0.1469999999999998</v>
          </cell>
        </row>
        <row r="1512">
          <cell r="A1512">
            <v>835929</v>
          </cell>
          <cell r="B1512" t="str">
            <v>MINI CHICKEN FGO CONG PT PERD HONG KONG</v>
          </cell>
          <cell r="C1512">
            <v>2.516</v>
          </cell>
          <cell r="D1512">
            <v>2.516</v>
          </cell>
          <cell r="E1512">
            <v>-0.10299999999999999</v>
          </cell>
          <cell r="F1512">
            <v>-6.0000000000000053E-2</v>
          </cell>
        </row>
        <row r="1513">
          <cell r="A1513">
            <v>836043</v>
          </cell>
          <cell r="B1513" t="str">
            <v>FILE PEITO FGO CONG C/TENDAO PERD KOSOVO</v>
          </cell>
          <cell r="C1513">
            <v>5.306</v>
          </cell>
          <cell r="D1513">
            <v>5.306</v>
          </cell>
          <cell r="E1513">
            <v>-0.56299999999999994</v>
          </cell>
          <cell r="F1513">
            <v>-0.12300000000000022</v>
          </cell>
        </row>
        <row r="1514">
          <cell r="A1514">
            <v>836046</v>
          </cell>
          <cell r="B1514" t="str">
            <v>COXA C/OP FGO CONG BDJ PERD KOSOVO</v>
          </cell>
          <cell r="C1514">
            <v>3.0390000000000001</v>
          </cell>
          <cell r="D1514">
            <v>3.0390000000000001</v>
          </cell>
          <cell r="E1514">
            <v>-0.56299999999999994</v>
          </cell>
          <cell r="F1514">
            <v>-6.9000000000000061E-2</v>
          </cell>
        </row>
        <row r="1515">
          <cell r="A1515">
            <v>836047</v>
          </cell>
          <cell r="B1515" t="str">
            <v>SOBRECOXA C/OP FGO CONG BDJ PERD KOSOVO</v>
          </cell>
          <cell r="C1515">
            <v>3.1360000000000001</v>
          </cell>
          <cell r="D1515">
            <v>3.1360000000000001</v>
          </cell>
          <cell r="E1515">
            <v>-0.56299999999999994</v>
          </cell>
          <cell r="F1515">
            <v>-7.1000000000000063E-2</v>
          </cell>
        </row>
        <row r="1516">
          <cell r="A1516">
            <v>836048</v>
          </cell>
          <cell r="B1516" t="str">
            <v>MORTADELA CONF MINI CONG PERD KOSOVO</v>
          </cell>
          <cell r="C1516">
            <v>2.774</v>
          </cell>
          <cell r="D1516">
            <v>2.774</v>
          </cell>
          <cell r="E1516">
            <v>-0.57899999999999996</v>
          </cell>
          <cell r="F1516">
            <v>-6.2999999999999945E-2</v>
          </cell>
        </row>
        <row r="1517">
          <cell r="A1517">
            <v>836049</v>
          </cell>
          <cell r="B1517" t="str">
            <v>MORTADELA BOLOGNELA MINI CONG PERD KOSOV</v>
          </cell>
          <cell r="C1517">
            <v>3.6190000000000002</v>
          </cell>
          <cell r="D1517">
            <v>3.6190000000000002</v>
          </cell>
          <cell r="E1517">
            <v>-0.57899999999999996</v>
          </cell>
          <cell r="F1517">
            <v>-8.1999999999999962E-2</v>
          </cell>
        </row>
        <row r="1518">
          <cell r="A1518">
            <v>836058</v>
          </cell>
          <cell r="B1518" t="str">
            <v>PEITO S/OPC C/F FGO CONG ITF PERD ESPANH</v>
          </cell>
          <cell r="C1518">
            <v>6.8090000000000002</v>
          </cell>
          <cell r="D1518">
            <v>6.8090000000000002</v>
          </cell>
          <cell r="E1518">
            <v>-0.51700000000000002</v>
          </cell>
          <cell r="F1518">
            <v>-0.16</v>
          </cell>
        </row>
        <row r="1519">
          <cell r="A1519">
            <v>836059</v>
          </cell>
          <cell r="B1519" t="str">
            <v>COXA SOB C/OP FGO CONG 200G/UP PERD ESPA</v>
          </cell>
          <cell r="C1519">
            <v>2.3109999999999999</v>
          </cell>
          <cell r="D1519">
            <v>2.3109999999999999</v>
          </cell>
          <cell r="E1519">
            <v>-0.44600000000000001</v>
          </cell>
          <cell r="F1519">
            <v>-5.3000000000000047E-2</v>
          </cell>
        </row>
        <row r="1520">
          <cell r="A1520">
            <v>836146</v>
          </cell>
          <cell r="B1520" t="str">
            <v>PEITO S/O C/P FGO CONG BDJ HALAL OMAN</v>
          </cell>
          <cell r="C1520">
            <v>6.6849999999999996</v>
          </cell>
          <cell r="D1520">
            <v>6.6849999999999996</v>
          </cell>
          <cell r="E1520">
            <v>-0.77700000000000002</v>
          </cell>
          <cell r="F1520">
            <v>-0.155</v>
          </cell>
        </row>
        <row r="1521">
          <cell r="A1521">
            <v>836152</v>
          </cell>
          <cell r="B1521" t="str">
            <v>SOBRECOXA S/O C/P FGO CONG HALAL OMAN</v>
          </cell>
          <cell r="C1521">
            <v>4.26</v>
          </cell>
          <cell r="D1521">
            <v>4.26</v>
          </cell>
          <cell r="E1521">
            <v>-0.71</v>
          </cell>
          <cell r="F1521">
            <v>-9.8000000000000087E-2</v>
          </cell>
        </row>
        <row r="1522">
          <cell r="A1522">
            <v>836302</v>
          </cell>
          <cell r="B1522" t="str">
            <v>SALSICHA FGO CONG PT 375G PERD BAHRAIN</v>
          </cell>
          <cell r="C1522">
            <v>2.4329999999999998</v>
          </cell>
          <cell r="D1522">
            <v>2.4329999999999998</v>
          </cell>
          <cell r="E1522">
            <v>-0.71899999999999997</v>
          </cell>
          <cell r="F1522">
            <v>-5.3999999999999992E-2</v>
          </cell>
        </row>
        <row r="1523">
          <cell r="A1523">
            <v>836303</v>
          </cell>
          <cell r="B1523" t="str">
            <v>SALSICHA FGO CONG PT 375G HALAL QATAR</v>
          </cell>
          <cell r="C1523">
            <v>2.5550000000000002</v>
          </cell>
          <cell r="D1523">
            <v>2.5550000000000002</v>
          </cell>
          <cell r="E1523">
            <v>-0.73299999999999998</v>
          </cell>
          <cell r="F1523">
            <v>-5.7000000000000051E-2</v>
          </cell>
        </row>
        <row r="1524">
          <cell r="A1524">
            <v>836357</v>
          </cell>
          <cell r="B1524" t="str">
            <v>MINI CHICKEN FGO CONG PT 1KG PERD CARIBE</v>
          </cell>
          <cell r="C1524">
            <v>3.121</v>
          </cell>
          <cell r="D1524">
            <v>3.121</v>
          </cell>
          <cell r="E1524">
            <v>-0.10100000000000001</v>
          </cell>
          <cell r="F1524">
            <v>-7.4999999999999997E-2</v>
          </cell>
        </row>
        <row r="1525">
          <cell r="A1525">
            <v>836421</v>
          </cell>
          <cell r="B1525" t="str">
            <v>FRANGO GRILLER 1600G CONG PERD FRANCA</v>
          </cell>
          <cell r="C1525">
            <v>2.5950000000000002</v>
          </cell>
          <cell r="D1525">
            <v>2.5950000000000002</v>
          </cell>
          <cell r="E1525">
            <v>-0.437</v>
          </cell>
          <cell r="F1525">
            <v>-5.9000000000000052E-2</v>
          </cell>
        </row>
        <row r="1526">
          <cell r="A1526">
            <v>836536</v>
          </cell>
          <cell r="B1526" t="str">
            <v>COXA SOB C/OP FGO CONG 200G/UP CABO VERD</v>
          </cell>
          <cell r="C1526">
            <v>1.998</v>
          </cell>
          <cell r="D1526">
            <v>1.998</v>
          </cell>
          <cell r="E1526">
            <v>-9.9000000000000005E-2</v>
          </cell>
          <cell r="F1526">
            <v>-4.7000000000000042E-2</v>
          </cell>
        </row>
        <row r="1527">
          <cell r="A1527">
            <v>836537</v>
          </cell>
          <cell r="B1527" t="str">
            <v>ASA INT FGO CONG 100-120G PERD CABO VERD</v>
          </cell>
          <cell r="C1527">
            <v>1.998</v>
          </cell>
          <cell r="D1527">
            <v>1.998</v>
          </cell>
          <cell r="E1527">
            <v>-9.9000000000000005E-2</v>
          </cell>
          <cell r="F1527">
            <v>-4.8000000000000043E-2</v>
          </cell>
        </row>
        <row r="1528">
          <cell r="A1528">
            <v>836538</v>
          </cell>
          <cell r="B1528" t="str">
            <v>ASA INT FGO CONG 120-150G PERD CABO VERD</v>
          </cell>
          <cell r="C1528">
            <v>1.998</v>
          </cell>
          <cell r="D1528">
            <v>1.998</v>
          </cell>
          <cell r="E1528">
            <v>-9.9000000000000005E-2</v>
          </cell>
          <cell r="F1528">
            <v>-4.6999999999999931E-2</v>
          </cell>
        </row>
        <row r="1529">
          <cell r="A1529">
            <v>2086</v>
          </cell>
          <cell r="B1529" t="str">
            <v>ACOB15 ASA INT CONG BATAVO ITF CX 15KG</v>
          </cell>
          <cell r="C1529">
            <v>1.2569999999999999</v>
          </cell>
          <cell r="D1529">
            <v>1.0649999999999999</v>
          </cell>
          <cell r="E1529">
            <v>-0.127</v>
          </cell>
          <cell r="F1529">
            <v>-7.0000000000000007E-2</v>
          </cell>
        </row>
        <row r="1530">
          <cell r="A1530">
            <v>2116</v>
          </cell>
          <cell r="B1530" t="str">
            <v>MOCB15 MOELA FGO CONG BAT 2,5KG CX 15KG</v>
          </cell>
          <cell r="C1530">
            <v>1.3169999999999999</v>
          </cell>
          <cell r="D1530">
            <v>1.1719999999999999</v>
          </cell>
          <cell r="E1530">
            <v>-0.21099999999999999</v>
          </cell>
          <cell r="F1530">
            <v>-5.2999999999999992E-2</v>
          </cell>
        </row>
        <row r="1531">
          <cell r="A1531">
            <v>2622.5714285714298</v>
          </cell>
          <cell r="B1531" t="str">
            <v>FACB18 FGO INT C/M CONG BATAVO CX 13KG</v>
          </cell>
          <cell r="C1531">
            <v>2.7213571428571401</v>
          </cell>
          <cell r="D1531">
            <v>2.3014999999999999</v>
          </cell>
          <cell r="E1531">
            <v>-0.30989285714285703</v>
          </cell>
          <cell r="F1531">
            <v>-0.215821428571429</v>
          </cell>
        </row>
        <row r="1532">
          <cell r="A1532">
            <v>2708.2261904761899</v>
          </cell>
          <cell r="B1532" t="str">
            <v>ACOB15 ASA INT CONG BATAVO ITF CX 15KG</v>
          </cell>
          <cell r="C1532">
            <v>2.8999642857142902</v>
          </cell>
          <cell r="D1532">
            <v>2.4448333333333299</v>
          </cell>
          <cell r="E1532">
            <v>-0.34361904761904799</v>
          </cell>
          <cell r="F1532">
            <v>-0.24089285714285699</v>
          </cell>
        </row>
        <row r="1533">
          <cell r="A1533">
            <v>2793.88095238095</v>
          </cell>
          <cell r="B1533" t="str">
            <v>CSCB15 COXA SOB C/OP CONG BAT ITF CX15KG</v>
          </cell>
          <cell r="C1533">
            <v>3.0785714285714301</v>
          </cell>
          <cell r="D1533">
            <v>2.5881666666666598</v>
          </cell>
          <cell r="E1533">
            <v>-0.37734523809523801</v>
          </cell>
          <cell r="F1533">
            <v>-0.26596428571428599</v>
          </cell>
        </row>
        <row r="1534">
          <cell r="A1534">
            <v>2879.5357142857101</v>
          </cell>
          <cell r="B1534" t="str">
            <v>POCB15 PEITO C/OPF CONG BAT ITF CX 15KG</v>
          </cell>
          <cell r="C1534">
            <v>3.2571785714285699</v>
          </cell>
          <cell r="D1534">
            <v>2.7314999999999898</v>
          </cell>
          <cell r="E1534">
            <v>-0.41107142857142898</v>
          </cell>
          <cell r="F1534">
            <v>-0.29103571428571501</v>
          </cell>
        </row>
        <row r="1535">
          <cell r="A1535">
            <v>2965.1904761904698</v>
          </cell>
          <cell r="B1535" t="str">
            <v>MOCB15 MOELA FGO CONG BAT 2,5KG CX 15KG</v>
          </cell>
          <cell r="C1535">
            <v>3.43578571428572</v>
          </cell>
          <cell r="D1535">
            <v>2.87483333333333</v>
          </cell>
          <cell r="E1535">
            <v>-0.444797619047619</v>
          </cell>
          <cell r="F1535">
            <v>-0.31610714285714298</v>
          </cell>
        </row>
        <row r="1536">
          <cell r="A1536">
            <v>3050.8452380952299</v>
          </cell>
          <cell r="B1536" t="str">
            <v>COCB15 CORACAO FGO CONG BAT 2,5KG CX15KG</v>
          </cell>
          <cell r="C1536">
            <v>3.6143928571428598</v>
          </cell>
          <cell r="D1536">
            <v>3.01816666666666</v>
          </cell>
          <cell r="E1536">
            <v>-0.47852380952380902</v>
          </cell>
          <cell r="F1536">
            <v>-0.341178571428572</v>
          </cell>
        </row>
        <row r="1537">
          <cell r="A1537">
            <v>3136.49999999999</v>
          </cell>
          <cell r="B1537" t="str">
            <v>MFKB12 MORT TUB FGO FRESKI CX 12KG</v>
          </cell>
          <cell r="C1537">
            <v>3.7930000000000001</v>
          </cell>
          <cell r="D1537">
            <v>3.16149999999999</v>
          </cell>
          <cell r="E1537">
            <v>-0.51224999999999998</v>
          </cell>
          <cell r="F1537">
            <v>-0.36625000000000002</v>
          </cell>
        </row>
        <row r="1538">
          <cell r="A1538">
            <v>3222.1547619047501</v>
          </cell>
          <cell r="B1538" t="str">
            <v>MFKB05 MORT TUB FGO FRESKI CX 4KG</v>
          </cell>
          <cell r="C1538">
            <v>3.97160714285714</v>
          </cell>
          <cell r="D1538">
            <v>3.3048333333333302</v>
          </cell>
          <cell r="E1538">
            <v>-0.54597619047618995</v>
          </cell>
          <cell r="F1538">
            <v>-0.39132142857142899</v>
          </cell>
        </row>
        <row r="1539">
          <cell r="A1539">
            <v>3307.8095238095202</v>
          </cell>
          <cell r="B1539" t="str">
            <v>FACB18 FGO INT C/M CONG BATAVO CX 13KG</v>
          </cell>
          <cell r="C1539">
            <v>4.1502142857142896</v>
          </cell>
          <cell r="D1539">
            <v>3.4481666666666602</v>
          </cell>
          <cell r="E1539">
            <v>-0.57970238095238102</v>
          </cell>
          <cell r="F1539">
            <v>-0.41639285714285801</v>
          </cell>
        </row>
        <row r="1540">
          <cell r="A1540">
            <v>6013</v>
          </cell>
          <cell r="B1540" t="str">
            <v>PPDB05 PRESUNTO PERU DEF BATAVO CX 5KG</v>
          </cell>
          <cell r="C1540">
            <v>4.5060000000000002</v>
          </cell>
          <cell r="D1540">
            <v>3.5339999999999998</v>
          </cell>
          <cell r="E1540">
            <v>-1.5760000000000001</v>
          </cell>
          <cell r="F1540">
            <v>-0.20400000000000007</v>
          </cell>
        </row>
        <row r="1541">
          <cell r="A1541">
            <v>218790</v>
          </cell>
          <cell r="B1541" t="str">
            <v>RBS010 RABO SUI SALG CX 10KG</v>
          </cell>
          <cell r="C1541">
            <v>2.6139999999999999</v>
          </cell>
          <cell r="D1541">
            <v>2.1280000000000001</v>
          </cell>
          <cell r="E1541">
            <v>0</v>
          </cell>
          <cell r="F1541">
            <v>-0.56199999999999994</v>
          </cell>
        </row>
        <row r="1542">
          <cell r="A1542">
            <v>323675</v>
          </cell>
          <cell r="B1542" t="str">
            <v>HFE040 HAMBURGUER FGO ENV PERD 6 CART</v>
          </cell>
          <cell r="C1542">
            <v>3.6829999999999998</v>
          </cell>
          <cell r="D1542">
            <v>2.8849999999999998</v>
          </cell>
          <cell r="E1542">
            <v>0</v>
          </cell>
          <cell r="F1542">
            <v>-1.1859999999999999</v>
          </cell>
        </row>
        <row r="1543">
          <cell r="A1543">
            <v>323691</v>
          </cell>
          <cell r="B1543" t="str">
            <v>HBE040 HAMBURGUER BOV ENV PERD 6 CART</v>
          </cell>
          <cell r="C1543">
            <v>-1.6E-2</v>
          </cell>
          <cell r="D1543">
            <v>-5.1999999999999998E-2</v>
          </cell>
          <cell r="E1543">
            <v>0</v>
          </cell>
          <cell r="F1543">
            <v>-1.1589999999999998</v>
          </cell>
        </row>
        <row r="1544">
          <cell r="A1544">
            <v>741973</v>
          </cell>
          <cell r="B1544" t="str">
            <v>BAC002 BACON CUBOS PERD PT 100G CX 2,4KG</v>
          </cell>
          <cell r="C1544">
            <v>4.4779999999999998</v>
          </cell>
          <cell r="D1544">
            <v>3.32</v>
          </cell>
          <cell r="E1544">
            <v>-0.23599999999999999</v>
          </cell>
          <cell r="F1544">
            <v>-0.6180000000000001</v>
          </cell>
        </row>
        <row r="1545">
          <cell r="A1545">
            <v>761443</v>
          </cell>
          <cell r="B1545" t="str">
            <v>LOC005 LOMBO CANADENSE DEF PERD CX 6KG</v>
          </cell>
          <cell r="C1545">
            <v>7.39</v>
          </cell>
          <cell r="D1545">
            <v>5.8650000000000002</v>
          </cell>
          <cell r="E1545">
            <v>0</v>
          </cell>
          <cell r="F1545">
            <v>-0.78600000000000003</v>
          </cell>
        </row>
        <row r="1546">
          <cell r="A1546">
            <v>775703</v>
          </cell>
          <cell r="B1546" t="str">
            <v>SHR306 SALSICHA RESF PERD 3PT CX 6KG</v>
          </cell>
          <cell r="C1546">
            <v>2.2829999999999999</v>
          </cell>
          <cell r="D1546">
            <v>2.04</v>
          </cell>
          <cell r="E1546">
            <v>0</v>
          </cell>
          <cell r="F1546">
            <v>-1.0960000000000001</v>
          </cell>
        </row>
        <row r="1547">
          <cell r="A1547">
            <v>809501</v>
          </cell>
          <cell r="B1547" t="str">
            <v>SHT006 SALAME HAMB GIGANTE PERD CX 6,5KG</v>
          </cell>
          <cell r="C1547">
            <v>0.84599999999999997</v>
          </cell>
          <cell r="D1547">
            <v>0.40200000000000002</v>
          </cell>
          <cell r="E1547">
            <v>-0.33300000000000002</v>
          </cell>
          <cell r="F1547">
            <v>-0.63300000000000001</v>
          </cell>
        </row>
        <row r="1548">
          <cell r="A1548">
            <v>815633</v>
          </cell>
          <cell r="B1548" t="str">
            <v>CRA003 CROQUETE CARNE APERITIVO 3 PT 1KG</v>
          </cell>
          <cell r="C1548">
            <v>4.9640000000000004</v>
          </cell>
          <cell r="D1548">
            <v>3.64</v>
          </cell>
          <cell r="E1548">
            <v>-0.121</v>
          </cell>
          <cell r="F1548">
            <v>-0.6419999999999999</v>
          </cell>
        </row>
        <row r="1549">
          <cell r="A1549">
            <v>823537</v>
          </cell>
          <cell r="B1549" t="str">
            <v>MBP010 MORT BOLOG C/PISTACHE CX 10,5KG</v>
          </cell>
          <cell r="C1549">
            <v>6.141</v>
          </cell>
          <cell r="D1549">
            <v>4.7160000000000002</v>
          </cell>
          <cell r="E1549">
            <v>-0.24</v>
          </cell>
          <cell r="F1549">
            <v>-0.58400000000000007</v>
          </cell>
        </row>
        <row r="1550">
          <cell r="A1550">
            <v>827567</v>
          </cell>
          <cell r="B1550" t="str">
            <v>GSSB13 GARGANTA SUINA SALG BAT CX 13KG</v>
          </cell>
          <cell r="C1550">
            <v>1.482</v>
          </cell>
          <cell r="D1550">
            <v>1.248</v>
          </cell>
          <cell r="E1550">
            <v>-0.154</v>
          </cell>
          <cell r="F1550">
            <v>-0.125</v>
          </cell>
        </row>
        <row r="1551">
          <cell r="A1551">
            <v>827570</v>
          </cell>
          <cell r="B1551" t="str">
            <v>PESB13 PE SUI SALG BAT CX 13KG</v>
          </cell>
          <cell r="C1551">
            <v>1.7729999999999999</v>
          </cell>
          <cell r="D1551">
            <v>1.4039999999999999</v>
          </cell>
          <cell r="E1551">
            <v>-0.30099999999999999</v>
          </cell>
          <cell r="F1551">
            <v>-0.18699999999999997</v>
          </cell>
        </row>
        <row r="1552">
          <cell r="A1552">
            <v>827774</v>
          </cell>
          <cell r="B1552" t="str">
            <v>SMT006 SALAME MILANO EXTRA CX 5,2KG</v>
          </cell>
          <cell r="C1552">
            <v>10.363</v>
          </cell>
          <cell r="D1552">
            <v>8.2379999999999995</v>
          </cell>
          <cell r="E1552">
            <v>-0.27700000000000002</v>
          </cell>
          <cell r="F1552">
            <v>-1.5620000000000001</v>
          </cell>
        </row>
        <row r="1553">
          <cell r="A1553">
            <v>199540</v>
          </cell>
          <cell r="B1553" t="str">
            <v>FRANGO GRILLER 900G CONG PERD BAHRAIN</v>
          </cell>
          <cell r="C1553">
            <v>2.4430000000000001</v>
          </cell>
          <cell r="D1553">
            <v>2.4430000000000001</v>
          </cell>
          <cell r="E1553">
            <v>-0.58499999999999996</v>
          </cell>
          <cell r="F1553">
            <v>-5.9000000000000052E-2</v>
          </cell>
        </row>
        <row r="1554">
          <cell r="A1554">
            <v>199559</v>
          </cell>
          <cell r="B1554" t="str">
            <v>FRANGO GRILLER  1000G CONG PERD BAHRAI</v>
          </cell>
          <cell r="C1554">
            <v>2.4460000000000002</v>
          </cell>
          <cell r="D1554">
            <v>2.4460000000000002</v>
          </cell>
          <cell r="E1554">
            <v>-0.58499999999999996</v>
          </cell>
          <cell r="F1554">
            <v>-5.8999999999999941E-2</v>
          </cell>
        </row>
        <row r="1555">
          <cell r="A1555">
            <v>199575</v>
          </cell>
          <cell r="B1555" t="str">
            <v>FRANGO GRILLER 1200G CONG PERD BAHRAIN</v>
          </cell>
          <cell r="C1555">
            <v>2.4489999999999998</v>
          </cell>
          <cell r="D1555">
            <v>2.4489999999999998</v>
          </cell>
          <cell r="E1555">
            <v>-0.58499999999999996</v>
          </cell>
          <cell r="F1555">
            <v>-5.9000000000000052E-2</v>
          </cell>
        </row>
        <row r="1556">
          <cell r="A1556">
            <v>199583</v>
          </cell>
          <cell r="B1556" t="str">
            <v>FRANGO GRILLER 1300G CONG PERD BAHRAIN</v>
          </cell>
          <cell r="C1556">
            <v>2.4470000000000001</v>
          </cell>
          <cell r="D1556">
            <v>2.4470000000000001</v>
          </cell>
          <cell r="E1556">
            <v>-0.58499999999999996</v>
          </cell>
          <cell r="F1556">
            <v>-5.9000000000000052E-2</v>
          </cell>
        </row>
        <row r="1557">
          <cell r="A1557">
            <v>199591</v>
          </cell>
          <cell r="B1557" t="str">
            <v>FRANGO GRILLER 1400G CONG PERD BAHRAIN</v>
          </cell>
          <cell r="C1557">
            <v>2.452</v>
          </cell>
          <cell r="D1557">
            <v>2.452</v>
          </cell>
          <cell r="E1557">
            <v>-0.58499999999999996</v>
          </cell>
          <cell r="F1557">
            <v>-5.8999999999999941E-2</v>
          </cell>
        </row>
        <row r="1558">
          <cell r="A1558">
            <v>203408</v>
          </cell>
          <cell r="B1558" t="str">
            <v>COXA C/OP FGO CONG DRUM BD 908G BAHRAIN</v>
          </cell>
          <cell r="C1558">
            <v>2.9740000000000002</v>
          </cell>
          <cell r="D1558">
            <v>2.9740000000000002</v>
          </cell>
          <cell r="E1558">
            <v>-0.64500000000000002</v>
          </cell>
          <cell r="F1558">
            <v>-7.3000000000000065E-2</v>
          </cell>
        </row>
        <row r="1559">
          <cell r="A1559">
            <v>203416</v>
          </cell>
          <cell r="B1559" t="str">
            <v>SOBRECOXA C/OP FGO CONG BD THIG BAHRAIN</v>
          </cell>
          <cell r="C1559">
            <v>2.9169999999999998</v>
          </cell>
          <cell r="D1559">
            <v>2.9169999999999998</v>
          </cell>
          <cell r="E1559">
            <v>-0.64300000000000002</v>
          </cell>
          <cell r="F1559">
            <v>-7.0999999999999952E-2</v>
          </cell>
        </row>
        <row r="1560">
          <cell r="A1560">
            <v>203777</v>
          </cell>
          <cell r="B1560" t="str">
            <v>COXA SOB C/OP FGO CONG BD 908G BAHRAIN</v>
          </cell>
          <cell r="C1560">
            <v>2.9169999999999998</v>
          </cell>
          <cell r="D1560">
            <v>2.9169999999999998</v>
          </cell>
          <cell r="E1560">
            <v>-0.64300000000000002</v>
          </cell>
          <cell r="F1560">
            <v>-7.0999999999999952E-2</v>
          </cell>
        </row>
        <row r="1561">
          <cell r="A1561">
            <v>247383</v>
          </cell>
          <cell r="B1561" t="str">
            <v>FRANGO GRILLER 1200G CONG BOR KUWAIT</v>
          </cell>
          <cell r="C1561">
            <v>2.54</v>
          </cell>
          <cell r="D1561">
            <v>2.54</v>
          </cell>
          <cell r="E1561">
            <v>-0.61</v>
          </cell>
          <cell r="F1561">
            <v>-6.2000000000000055E-2</v>
          </cell>
        </row>
        <row r="1562">
          <cell r="A1562">
            <v>585076</v>
          </cell>
          <cell r="B1562" t="str">
            <v>FRANGO GRILLER 1000G CONG HALAL EAU</v>
          </cell>
          <cell r="C1562">
            <v>2.601</v>
          </cell>
          <cell r="D1562">
            <v>2.601</v>
          </cell>
          <cell r="E1562">
            <v>-0.59199999999999997</v>
          </cell>
          <cell r="F1562">
            <v>-6.2000000000000055E-2</v>
          </cell>
        </row>
        <row r="1563">
          <cell r="A1563">
            <v>585084</v>
          </cell>
          <cell r="B1563" t="str">
            <v>FRANGO GRILLER 1100G CONG HALAL EAU</v>
          </cell>
          <cell r="C1563">
            <v>2.6030000000000002</v>
          </cell>
          <cell r="D1563">
            <v>2.6030000000000002</v>
          </cell>
          <cell r="E1563">
            <v>-0.59199999999999997</v>
          </cell>
          <cell r="F1563">
            <v>-6.2999999999999945E-2</v>
          </cell>
        </row>
        <row r="1564">
          <cell r="A1564">
            <v>585092</v>
          </cell>
          <cell r="B1564" t="str">
            <v>FRANGO GRILLER 1200G CONG HALAL EAU</v>
          </cell>
          <cell r="C1564">
            <v>2.6040000000000001</v>
          </cell>
          <cell r="D1564">
            <v>2.6040000000000001</v>
          </cell>
          <cell r="E1564">
            <v>-0.59199999999999997</v>
          </cell>
          <cell r="F1564">
            <v>-6.2999999999999945E-2</v>
          </cell>
        </row>
        <row r="1565">
          <cell r="A1565">
            <v>585106</v>
          </cell>
          <cell r="B1565" t="str">
            <v>FRANGO GRILLER 1300G CONG HALAL EAU</v>
          </cell>
          <cell r="C1565">
            <v>2.6059999999999999</v>
          </cell>
          <cell r="D1565">
            <v>2.6059999999999999</v>
          </cell>
          <cell r="E1565">
            <v>-0.59199999999999997</v>
          </cell>
          <cell r="F1565">
            <v>-6.2999999999999945E-2</v>
          </cell>
        </row>
        <row r="1566">
          <cell r="A1566">
            <v>587389</v>
          </cell>
          <cell r="B1566" t="str">
            <v>FRANGO GRILLER 1400G CONG HALAL EAU</v>
          </cell>
          <cell r="C1566">
            <v>2.6070000000000002</v>
          </cell>
          <cell r="D1566">
            <v>2.6070000000000002</v>
          </cell>
          <cell r="E1566">
            <v>-0.59199999999999997</v>
          </cell>
          <cell r="F1566">
            <v>-6.3000000000000056E-2</v>
          </cell>
        </row>
        <row r="1567">
          <cell r="A1567">
            <v>592676</v>
          </cell>
          <cell r="B1567" t="str">
            <v>FRANGO GRILLER 1500G CONG PERD BAHRAIN</v>
          </cell>
          <cell r="C1567">
            <v>2.4489999999999998</v>
          </cell>
          <cell r="D1567">
            <v>2.4489999999999998</v>
          </cell>
          <cell r="E1567">
            <v>-0.58499999999999996</v>
          </cell>
          <cell r="F1567">
            <v>-5.8999999999999941E-2</v>
          </cell>
        </row>
        <row r="1568">
          <cell r="A1568">
            <v>592714</v>
          </cell>
          <cell r="B1568" t="str">
            <v>FRANGO GRILLER 1500G CONG HALAL EAU</v>
          </cell>
          <cell r="C1568">
            <v>2.6040000000000001</v>
          </cell>
          <cell r="D1568">
            <v>2.6040000000000001</v>
          </cell>
          <cell r="E1568">
            <v>-0.59199999999999997</v>
          </cell>
          <cell r="F1568">
            <v>-6.3000000000000056E-2</v>
          </cell>
        </row>
        <row r="1569">
          <cell r="A1569">
            <v>656976</v>
          </cell>
          <cell r="B1569" t="str">
            <v>FRANGO GRILLER 900G CONG HALAL EAU</v>
          </cell>
          <cell r="C1569">
            <v>2.5979999999999999</v>
          </cell>
          <cell r="D1569">
            <v>2.5979999999999999</v>
          </cell>
          <cell r="E1569">
            <v>-0.59199999999999997</v>
          </cell>
          <cell r="F1569">
            <v>-6.1999999999999944E-2</v>
          </cell>
        </row>
        <row r="1570">
          <cell r="A1570">
            <v>657450</v>
          </cell>
          <cell r="B1570" t="str">
            <v>FRANGO GRILLER 1400G CONG PERD H. KONG</v>
          </cell>
          <cell r="C1570">
            <v>1.855</v>
          </cell>
          <cell r="D1570">
            <v>1.855</v>
          </cell>
          <cell r="E1570">
            <v>-8.1000000000000003E-2</v>
          </cell>
          <cell r="F1570">
            <v>-4.6999999999999931E-2</v>
          </cell>
        </row>
        <row r="1571">
          <cell r="A1571">
            <v>657506</v>
          </cell>
          <cell r="B1571" t="str">
            <v>FRANGO GRILLER 1100G CONG UNEF KUWAIT</v>
          </cell>
          <cell r="C1571">
            <v>2.5409999999999999</v>
          </cell>
          <cell r="D1571">
            <v>2.5409999999999999</v>
          </cell>
          <cell r="E1571">
            <v>-0.61499999999999999</v>
          </cell>
          <cell r="F1571">
            <v>-6.0999999999999999E-2</v>
          </cell>
        </row>
        <row r="1572">
          <cell r="A1572">
            <v>664146</v>
          </cell>
          <cell r="B1572" t="str">
            <v>FRANGO GRILLER 800G CONG HALAL EAU</v>
          </cell>
          <cell r="C1572">
            <v>2.589</v>
          </cell>
          <cell r="D1572">
            <v>2.589</v>
          </cell>
          <cell r="E1572">
            <v>-0.59199999999999997</v>
          </cell>
          <cell r="F1572">
            <v>-6.2999999999999945E-2</v>
          </cell>
        </row>
        <row r="1573">
          <cell r="A1573">
            <v>683256</v>
          </cell>
          <cell r="B1573" t="str">
            <v>COXA SOB SO CP FGO CONG 25-35G K6 PRIME</v>
          </cell>
          <cell r="C1573">
            <v>2.8119999999999998</v>
          </cell>
          <cell r="D1573">
            <v>2.8119999999999998</v>
          </cell>
          <cell r="E1573">
            <v>-0.14000000000000001</v>
          </cell>
          <cell r="F1573">
            <v>-7.0999999999999952E-2</v>
          </cell>
        </row>
        <row r="1574">
          <cell r="A1574">
            <v>688940</v>
          </cell>
          <cell r="B1574" t="str">
            <v>COXA SOB SO CP FGO CONG 200G/UP PT KUW</v>
          </cell>
          <cell r="C1574">
            <v>3.3559999999999999</v>
          </cell>
          <cell r="D1574">
            <v>3.3559999999999999</v>
          </cell>
          <cell r="E1574">
            <v>-0.68400000000000005</v>
          </cell>
          <cell r="F1574">
            <v>-8.1999999999999962E-2</v>
          </cell>
        </row>
        <row r="1575">
          <cell r="A1575">
            <v>696196</v>
          </cell>
          <cell r="B1575" t="str">
            <v>FRANGO BROILER 1400G CONG UNEF CINGAP</v>
          </cell>
          <cell r="C1575">
            <v>2.52</v>
          </cell>
          <cell r="D1575">
            <v>2.52</v>
          </cell>
          <cell r="E1575">
            <v>-0.56100000000000005</v>
          </cell>
          <cell r="F1575">
            <v>-6.0999999999999943E-2</v>
          </cell>
        </row>
        <row r="1576">
          <cell r="A1576">
            <v>696269</v>
          </cell>
          <cell r="B1576" t="str">
            <v>FRANGO BROILER 1400G CONG BOR CINGAP</v>
          </cell>
          <cell r="C1576">
            <v>2.411</v>
          </cell>
          <cell r="D1576">
            <v>2.411</v>
          </cell>
          <cell r="E1576">
            <v>-0.55100000000000005</v>
          </cell>
          <cell r="F1576">
            <v>-5.799999999999994E-2</v>
          </cell>
        </row>
        <row r="1577">
          <cell r="A1577">
            <v>696277</v>
          </cell>
          <cell r="B1577" t="str">
            <v>FRANGO BROILER 1500G CONG BOR CINGAP</v>
          </cell>
          <cell r="C1577">
            <v>2.3959999999999999</v>
          </cell>
          <cell r="D1577">
            <v>2.3959999999999999</v>
          </cell>
          <cell r="E1577">
            <v>-0.54200000000000004</v>
          </cell>
          <cell r="F1577">
            <v>-5.8000000000000052E-2</v>
          </cell>
        </row>
        <row r="1578">
          <cell r="A1578">
            <v>696285</v>
          </cell>
          <cell r="B1578" t="str">
            <v>FRANGO BROILER 1600G CONG BOR CINGAP</v>
          </cell>
          <cell r="C1578">
            <v>2.3940000000000001</v>
          </cell>
          <cell r="D1578">
            <v>2.3940000000000001</v>
          </cell>
          <cell r="E1578">
            <v>-0.54200000000000004</v>
          </cell>
          <cell r="F1578">
            <v>-5.8000000000000052E-2</v>
          </cell>
        </row>
        <row r="1579">
          <cell r="A1579">
            <v>697060</v>
          </cell>
          <cell r="B1579" t="str">
            <v>ASA 2A JTA FGO CONG 15G/UP SEC TEB R9</v>
          </cell>
          <cell r="C1579">
            <v>3.6909999999999998</v>
          </cell>
          <cell r="D1579">
            <v>3.6909999999999998</v>
          </cell>
          <cell r="E1579">
            <v>-0.11799999999999999</v>
          </cell>
          <cell r="F1579">
            <v>-9.3999999999999861E-2</v>
          </cell>
        </row>
        <row r="1580">
          <cell r="A1580">
            <v>753360</v>
          </cell>
          <cell r="B1580" t="str">
            <v>PEITO S/OPC C/F FGO CONG 250G/UP VAC CA</v>
          </cell>
          <cell r="C1580">
            <v>7.3380000000000001</v>
          </cell>
          <cell r="D1580">
            <v>7.3380000000000001</v>
          </cell>
          <cell r="E1580">
            <v>-0.503</v>
          </cell>
          <cell r="F1580">
            <v>-0.18599999999999994</v>
          </cell>
        </row>
        <row r="1581">
          <cell r="A1581">
            <v>753459</v>
          </cell>
          <cell r="B1581" t="str">
            <v>PEITO S/OPC C/F FGO CONG ITF PERD CANA</v>
          </cell>
          <cell r="C1581">
            <v>7.0979999999999999</v>
          </cell>
          <cell r="D1581">
            <v>7.0979999999999999</v>
          </cell>
          <cell r="E1581">
            <v>-0.498</v>
          </cell>
          <cell r="F1581">
            <v>-0.17900000000000027</v>
          </cell>
        </row>
        <row r="1582">
          <cell r="A1582">
            <v>753505</v>
          </cell>
          <cell r="B1582" t="str">
            <v>PEITO S/OPFC FGO CONG 50-90G VAC CANAR</v>
          </cell>
          <cell r="C1582">
            <v>7.0449999999999999</v>
          </cell>
          <cell r="D1582">
            <v>7.0449999999999999</v>
          </cell>
          <cell r="E1582">
            <v>-0.49299999999999999</v>
          </cell>
          <cell r="F1582">
            <v>-0.17799999999999994</v>
          </cell>
        </row>
        <row r="1583">
          <cell r="A1583">
            <v>753513</v>
          </cell>
          <cell r="B1583" t="str">
            <v>PEITO S/OPFC FGO CONG 50-90G VAC CANAR</v>
          </cell>
          <cell r="C1583">
            <v>7.0919999999999996</v>
          </cell>
          <cell r="D1583">
            <v>7.0919999999999996</v>
          </cell>
          <cell r="E1583">
            <v>-0.49</v>
          </cell>
          <cell r="F1583">
            <v>-0.17899999999999983</v>
          </cell>
        </row>
        <row r="1584">
          <cell r="A1584">
            <v>753700</v>
          </cell>
          <cell r="B1584" t="str">
            <v>PEITO S/OPC C/F CHT CONG VAC PERD CANAR</v>
          </cell>
          <cell r="C1584">
            <v>7.0460000000000003</v>
          </cell>
          <cell r="D1584">
            <v>7.0460000000000003</v>
          </cell>
          <cell r="E1584">
            <v>-0.48899999999999999</v>
          </cell>
          <cell r="F1584">
            <v>-0.17799999999999994</v>
          </cell>
        </row>
        <row r="1585">
          <cell r="A1585">
            <v>753742</v>
          </cell>
          <cell r="B1585" t="str">
            <v>PEITO S/OPC C/F CHT CONG VAC PERD CANA</v>
          </cell>
          <cell r="C1585">
            <v>7.4589999999999996</v>
          </cell>
          <cell r="D1585">
            <v>7.4589999999999996</v>
          </cell>
          <cell r="E1585">
            <v>-0.505</v>
          </cell>
          <cell r="F1585">
            <v>-0.18800000000000017</v>
          </cell>
        </row>
        <row r="1586">
          <cell r="A1586">
            <v>753920</v>
          </cell>
          <cell r="B1586" t="str">
            <v>COXA SOB S/OP FGO CONG IND/VAC CANARIAS</v>
          </cell>
          <cell r="C1586">
            <v>3.97</v>
          </cell>
          <cell r="D1586">
            <v>3.97</v>
          </cell>
          <cell r="E1586">
            <v>-0.435</v>
          </cell>
          <cell r="F1586">
            <v>-9.9999999999999867E-2</v>
          </cell>
        </row>
        <row r="1587">
          <cell r="A1587">
            <v>754013</v>
          </cell>
          <cell r="B1587" t="str">
            <v>COXA SOB S/OP FGO CONG ITF PERD CANARI</v>
          </cell>
          <cell r="C1587">
            <v>3.73</v>
          </cell>
          <cell r="D1587">
            <v>3.73</v>
          </cell>
          <cell r="E1587">
            <v>-0.43</v>
          </cell>
          <cell r="F1587">
            <v>-9.2999999999999972E-2</v>
          </cell>
        </row>
        <row r="1588">
          <cell r="A1588">
            <v>754064</v>
          </cell>
          <cell r="B1588" t="str">
            <v>COXA C/OP FGO CONG DRUM PT 1KG CANARIA</v>
          </cell>
          <cell r="C1588">
            <v>2.653</v>
          </cell>
          <cell r="D1588">
            <v>2.653</v>
          </cell>
          <cell r="E1588">
            <v>-0.44800000000000001</v>
          </cell>
          <cell r="F1588">
            <v>-6.4999999999999947E-2</v>
          </cell>
        </row>
        <row r="1589">
          <cell r="A1589">
            <v>754277</v>
          </cell>
          <cell r="B1589" t="str">
            <v>ASA 1A JTA FGO CONG PT 1KG PERD CANARIAS</v>
          </cell>
          <cell r="C1589">
            <v>2.6619999999999999</v>
          </cell>
          <cell r="D1589">
            <v>2.6619999999999999</v>
          </cell>
          <cell r="E1589">
            <v>-0.42699999999999999</v>
          </cell>
          <cell r="F1589">
            <v>-6.6000000000000059E-2</v>
          </cell>
        </row>
        <row r="1590">
          <cell r="A1590">
            <v>766526</v>
          </cell>
          <cell r="B1590" t="str">
            <v>FIGADO FGO CONG BD 500G PERD CANARIAS</v>
          </cell>
          <cell r="C1590">
            <v>2.3879999999999999</v>
          </cell>
          <cell r="D1590">
            <v>2.3879999999999999</v>
          </cell>
          <cell r="E1590">
            <v>-0.40200000000000002</v>
          </cell>
          <cell r="F1590">
            <v>-5.8999999999999941E-2</v>
          </cell>
        </row>
        <row r="1591">
          <cell r="A1591">
            <v>766534</v>
          </cell>
          <cell r="B1591" t="str">
            <v>MOELA FGO CONG BD 500G PERD CANARIAS</v>
          </cell>
          <cell r="C1591">
            <v>2.3879999999999999</v>
          </cell>
          <cell r="D1591">
            <v>2.3879999999999999</v>
          </cell>
          <cell r="E1591">
            <v>-0.40200000000000002</v>
          </cell>
          <cell r="F1591">
            <v>-5.8999999999999941E-2</v>
          </cell>
        </row>
        <row r="1592">
          <cell r="A1592">
            <v>768944</v>
          </cell>
          <cell r="B1592" t="str">
            <v>PEITO S/OFC C/P FGO CONG PT 2,5KG PERD K</v>
          </cell>
          <cell r="C1592">
            <v>5.8789999999999996</v>
          </cell>
          <cell r="D1592">
            <v>5.8789999999999996</v>
          </cell>
          <cell r="E1592">
            <v>-0.73299999999999998</v>
          </cell>
          <cell r="F1592">
            <v>-0.14599999999999991</v>
          </cell>
        </row>
        <row r="1593">
          <cell r="A1593">
            <v>776246</v>
          </cell>
          <cell r="B1593" t="str">
            <v>FRANGO GRILLER 1400G CONG PERD RUSSIA</v>
          </cell>
          <cell r="C1593">
            <v>2.6560000000000001</v>
          </cell>
          <cell r="D1593">
            <v>2.6560000000000001</v>
          </cell>
          <cell r="E1593">
            <v>-0.73699999999999999</v>
          </cell>
          <cell r="F1593">
            <v>-6.3000000000000056E-2</v>
          </cell>
        </row>
        <row r="1594">
          <cell r="A1594">
            <v>778575</v>
          </cell>
          <cell r="B1594" t="str">
            <v>COXA SOB S/OP FGO CONG ITF PERD CANARI</v>
          </cell>
          <cell r="C1594">
            <v>3.4260000000000002</v>
          </cell>
          <cell r="D1594">
            <v>3.4260000000000002</v>
          </cell>
          <cell r="E1594">
            <v>-0.44700000000000001</v>
          </cell>
          <cell r="F1594">
            <v>-8.5000000000000006E-2</v>
          </cell>
        </row>
        <row r="1595">
          <cell r="A1595">
            <v>778583</v>
          </cell>
          <cell r="B1595" t="str">
            <v>COXA SOB S/OP FGO CONG VAC PERD CANARIAS</v>
          </cell>
          <cell r="C1595">
            <v>3.49</v>
          </cell>
          <cell r="D1595">
            <v>3.49</v>
          </cell>
          <cell r="E1595">
            <v>-0.42399999999999999</v>
          </cell>
          <cell r="F1595">
            <v>-8.7999999999999967E-2</v>
          </cell>
        </row>
        <row r="1596">
          <cell r="A1596">
            <v>778931</v>
          </cell>
          <cell r="B1596" t="str">
            <v>COXA SOB S/OP FGO CONG ITF PERD CANAR</v>
          </cell>
          <cell r="C1596">
            <v>3.4889999999999999</v>
          </cell>
          <cell r="D1596">
            <v>3.4889999999999999</v>
          </cell>
          <cell r="E1596">
            <v>-0.42199999999999999</v>
          </cell>
          <cell r="F1596">
            <v>-8.6999999999999966E-2</v>
          </cell>
        </row>
        <row r="1597">
          <cell r="A1597">
            <v>792993</v>
          </cell>
          <cell r="B1597" t="str">
            <v>COXA SOB SO CP FGO CONG 180-200G BOR JAP</v>
          </cell>
          <cell r="C1597">
            <v>3.6869999999999998</v>
          </cell>
          <cell r="D1597">
            <v>3.6869999999999998</v>
          </cell>
          <cell r="E1597">
            <v>-0.51500000000000001</v>
          </cell>
          <cell r="F1597">
            <v>-9.099999999999997E-2</v>
          </cell>
        </row>
        <row r="1598">
          <cell r="A1598">
            <v>794970</v>
          </cell>
          <cell r="B1598" t="str">
            <v>COXA SOB SO CP FGO CONG 30G BORELLA JAP</v>
          </cell>
          <cell r="C1598">
            <v>3.35</v>
          </cell>
          <cell r="D1598">
            <v>3.35</v>
          </cell>
          <cell r="E1598">
            <v>-0.52300000000000002</v>
          </cell>
          <cell r="F1598">
            <v>-8.2000000000000073E-2</v>
          </cell>
        </row>
        <row r="1599">
          <cell r="A1599">
            <v>805610</v>
          </cell>
          <cell r="B1599" t="str">
            <v>SOBRECOXA SO CP FGO CONG PT 2,5KG BAHR</v>
          </cell>
          <cell r="C1599">
            <v>2.9470000000000001</v>
          </cell>
          <cell r="D1599">
            <v>2.9470000000000001</v>
          </cell>
          <cell r="E1599">
            <v>-0.64300000000000002</v>
          </cell>
          <cell r="F1599">
            <v>-7.2000000000000008E-2</v>
          </cell>
        </row>
        <row r="1600">
          <cell r="A1600">
            <v>807887</v>
          </cell>
          <cell r="B1600" t="str">
            <v>COXA SOB C/OP FGO CONG 200G/UP ITF CAN</v>
          </cell>
          <cell r="C1600">
            <v>2.0779999999999998</v>
          </cell>
          <cell r="D1600">
            <v>2.0779999999999998</v>
          </cell>
          <cell r="E1600">
            <v>-0.38700000000000001</v>
          </cell>
          <cell r="F1600">
            <v>-5.099999999999999E-2</v>
          </cell>
        </row>
        <row r="1601">
          <cell r="A1601">
            <v>807888</v>
          </cell>
          <cell r="B1601" t="str">
            <v>ASA 1A JTA FGO CONG PT 1KG IQF CANARIAS</v>
          </cell>
          <cell r="C1601">
            <v>2.5350000000000001</v>
          </cell>
          <cell r="D1601">
            <v>2.5350000000000001</v>
          </cell>
          <cell r="E1601">
            <v>-0.39600000000000002</v>
          </cell>
          <cell r="F1601">
            <v>-6.3000000000000056E-2</v>
          </cell>
        </row>
        <row r="1602">
          <cell r="A1602">
            <v>807889</v>
          </cell>
          <cell r="B1602" t="str">
            <v>PEITO S/OPC C/F FGO CONG 250G/UP CANAR</v>
          </cell>
          <cell r="C1602">
            <v>6.4580000000000002</v>
          </cell>
          <cell r="D1602">
            <v>6.4580000000000002</v>
          </cell>
          <cell r="E1602">
            <v>-0.47499999999999998</v>
          </cell>
          <cell r="F1602">
            <v>-0.16300000000000026</v>
          </cell>
        </row>
        <row r="1603">
          <cell r="A1603">
            <v>808126</v>
          </cell>
          <cell r="B1603" t="str">
            <v>COXA C/OP FGO CONG DRUM 12BD PERD KUWAI</v>
          </cell>
          <cell r="C1603">
            <v>3.032</v>
          </cell>
          <cell r="D1603">
            <v>3.032</v>
          </cell>
          <cell r="E1603">
            <v>-0.67100000000000004</v>
          </cell>
          <cell r="F1603">
            <v>-7.3000000000000065E-2</v>
          </cell>
        </row>
        <row r="1604">
          <cell r="A1604">
            <v>809455</v>
          </cell>
          <cell r="B1604" t="str">
            <v>MINI CHICKEN FGO CONG MON PERD  PARAG</v>
          </cell>
          <cell r="C1604">
            <v>3.84</v>
          </cell>
          <cell r="D1604">
            <v>3.84</v>
          </cell>
          <cell r="E1604">
            <v>-6.9000000000000006E-2</v>
          </cell>
          <cell r="F1604">
            <v>-9.8999999999999977E-2</v>
          </cell>
        </row>
        <row r="1605">
          <cell r="A1605">
            <v>809481</v>
          </cell>
          <cell r="B1605" t="str">
            <v>COXA SOB SO CP FGO CONG S/FXA BOR CING</v>
          </cell>
          <cell r="C1605">
            <v>3.1240000000000001</v>
          </cell>
          <cell r="D1605">
            <v>3.1240000000000001</v>
          </cell>
          <cell r="E1605">
            <v>-0.61199999999999999</v>
          </cell>
          <cell r="F1605">
            <v>-7.7000000000000068E-2</v>
          </cell>
        </row>
        <row r="1606">
          <cell r="A1606">
            <v>809635</v>
          </cell>
          <cell r="B1606" t="str">
            <v>PEITO S/OPFC FGO CONG MET 80G/UP INGLAT</v>
          </cell>
          <cell r="C1606">
            <v>6.7450000000000001</v>
          </cell>
          <cell r="D1606">
            <v>6.7450000000000001</v>
          </cell>
          <cell r="E1606">
            <v>-0.39700000000000002</v>
          </cell>
          <cell r="F1606">
            <v>-0.17</v>
          </cell>
        </row>
        <row r="1607">
          <cell r="A1607">
            <v>810334</v>
          </cell>
          <cell r="B1607" t="str">
            <v>FRANGO GRILLER 900G CONG AL KAW BAHR</v>
          </cell>
          <cell r="C1607">
            <v>2.7130000000000001</v>
          </cell>
          <cell r="D1607">
            <v>2.7130000000000001</v>
          </cell>
          <cell r="E1607">
            <v>-0.621</v>
          </cell>
          <cell r="F1607">
            <v>-6.5999999999999948E-2</v>
          </cell>
        </row>
        <row r="1608">
          <cell r="A1608">
            <v>810335</v>
          </cell>
          <cell r="B1608" t="str">
            <v>FRANGO GRILLER 1000G CONG AL-KAW BAHR</v>
          </cell>
          <cell r="C1608">
            <v>2.7160000000000002</v>
          </cell>
          <cell r="D1608">
            <v>2.7160000000000002</v>
          </cell>
          <cell r="E1608">
            <v>-0.621</v>
          </cell>
          <cell r="F1608">
            <v>-6.6000000000000059E-2</v>
          </cell>
        </row>
        <row r="1609">
          <cell r="A1609">
            <v>810336</v>
          </cell>
          <cell r="B1609" t="str">
            <v>FRANGO GRILLER 1100G CONG AL KAW BAHR</v>
          </cell>
          <cell r="C1609">
            <v>2.718</v>
          </cell>
          <cell r="D1609">
            <v>2.718</v>
          </cell>
          <cell r="E1609">
            <v>-0.621</v>
          </cell>
          <cell r="F1609">
            <v>-6.6000000000000059E-2</v>
          </cell>
        </row>
        <row r="1610">
          <cell r="A1610">
            <v>810337</v>
          </cell>
          <cell r="B1610" t="str">
            <v>FRANGO GRILLER 1200G CONG AL KAW BAHR</v>
          </cell>
          <cell r="C1610">
            <v>2.72</v>
          </cell>
          <cell r="D1610">
            <v>2.72</v>
          </cell>
          <cell r="E1610">
            <v>-0.621</v>
          </cell>
          <cell r="F1610">
            <v>-6.5999999999999948E-2</v>
          </cell>
        </row>
        <row r="1611">
          <cell r="A1611">
            <v>810338</v>
          </cell>
          <cell r="B1611" t="str">
            <v>FRANGO GRILLER 1300G CONG AL KAW BAHR</v>
          </cell>
          <cell r="C1611">
            <v>2.7210000000000001</v>
          </cell>
          <cell r="D1611">
            <v>2.7210000000000001</v>
          </cell>
          <cell r="E1611">
            <v>-0.621</v>
          </cell>
          <cell r="F1611">
            <v>-6.4999999999999947E-2</v>
          </cell>
        </row>
        <row r="1612">
          <cell r="A1612">
            <v>810339</v>
          </cell>
          <cell r="B1612" t="str">
            <v>FRANGO GRILLER 1400G CONG AL KAW BAHR</v>
          </cell>
          <cell r="C1612">
            <v>2.722</v>
          </cell>
          <cell r="D1612">
            <v>2.722</v>
          </cell>
          <cell r="E1612">
            <v>-0.621</v>
          </cell>
          <cell r="F1612">
            <v>-6.4999999999999947E-2</v>
          </cell>
        </row>
        <row r="1613">
          <cell r="A1613">
            <v>810585</v>
          </cell>
          <cell r="B1613" t="str">
            <v>FRANGO GRILLER 1200G CONG PERD CANARIAS</v>
          </cell>
          <cell r="C1613">
            <v>2.7679999999999998</v>
          </cell>
          <cell r="D1613">
            <v>2.7679999999999998</v>
          </cell>
          <cell r="E1613">
            <v>-0.38900000000000001</v>
          </cell>
          <cell r="F1613">
            <v>-6.899999999999995E-2</v>
          </cell>
        </row>
        <row r="1614">
          <cell r="A1614">
            <v>810606</v>
          </cell>
          <cell r="B1614" t="str">
            <v>COXA SOB C/OP FGO CONG 160G/UP ITF CAN</v>
          </cell>
          <cell r="C1614">
            <v>2.2869999999999999</v>
          </cell>
          <cell r="D1614">
            <v>2.2869999999999999</v>
          </cell>
          <cell r="E1614">
            <v>-0.39600000000000002</v>
          </cell>
          <cell r="F1614">
            <v>-5.5999999999999939E-2</v>
          </cell>
        </row>
        <row r="1615">
          <cell r="A1615">
            <v>811498</v>
          </cell>
          <cell r="B1615" t="str">
            <v>FRANGO GRILLER 800G CONG AL KAW BAHR</v>
          </cell>
          <cell r="C1615">
            <v>2.7090000000000001</v>
          </cell>
          <cell r="D1615">
            <v>2.7090000000000001</v>
          </cell>
          <cell r="E1615">
            <v>-0.621</v>
          </cell>
          <cell r="F1615">
            <v>-6.5999999999999948E-2</v>
          </cell>
        </row>
        <row r="1616">
          <cell r="A1616">
            <v>811500</v>
          </cell>
          <cell r="B1616" t="str">
            <v>COXA SOB C/OP FGO CONG BD 900G BAHRAIN</v>
          </cell>
          <cell r="C1616">
            <v>3.0760000000000001</v>
          </cell>
          <cell r="D1616">
            <v>3.0760000000000001</v>
          </cell>
          <cell r="E1616">
            <v>-0.69099999999999995</v>
          </cell>
          <cell r="F1616">
            <v>-7.4999999999999997E-2</v>
          </cell>
        </row>
        <row r="1617">
          <cell r="A1617">
            <v>811501</v>
          </cell>
          <cell r="B1617" t="str">
            <v>SOBRECOXA C/OP FGO CONG BD 900G BAHRAIN</v>
          </cell>
          <cell r="C1617">
            <v>3.0760000000000001</v>
          </cell>
          <cell r="D1617">
            <v>3.0760000000000001</v>
          </cell>
          <cell r="E1617">
            <v>-0.69099999999999995</v>
          </cell>
          <cell r="F1617">
            <v>-7.4999999999999997E-2</v>
          </cell>
        </row>
        <row r="1618">
          <cell r="A1618">
            <v>811502</v>
          </cell>
          <cell r="B1618" t="str">
            <v>ASA INT FGO CONG 12BD AL-KAWTHER BAHRAIN</v>
          </cell>
          <cell r="C1618">
            <v>3.0760000000000001</v>
          </cell>
          <cell r="D1618">
            <v>3.0760000000000001</v>
          </cell>
          <cell r="E1618">
            <v>-0.69099999999999995</v>
          </cell>
          <cell r="F1618">
            <v>-7.5000000000000067E-2</v>
          </cell>
        </row>
        <row r="1619">
          <cell r="A1619">
            <v>811741</v>
          </cell>
          <cell r="B1619" t="str">
            <v>FRANGO GRILLER 1600G CONG BOR ITALIA</v>
          </cell>
          <cell r="C1619">
            <v>2.407</v>
          </cell>
          <cell r="D1619">
            <v>2.407</v>
          </cell>
          <cell r="E1619">
            <v>-0.41</v>
          </cell>
          <cell r="F1619">
            <v>-5.9000000000000052E-2</v>
          </cell>
        </row>
        <row r="1620">
          <cell r="A1620">
            <v>811744</v>
          </cell>
          <cell r="B1620" t="str">
            <v>MOELA FGO CONG PT 1KG PERD PORTUGAL</v>
          </cell>
          <cell r="C1620">
            <v>2.2490000000000001</v>
          </cell>
          <cell r="D1620">
            <v>2.2490000000000001</v>
          </cell>
          <cell r="E1620">
            <v>-0.35399999999999998</v>
          </cell>
          <cell r="F1620">
            <v>-5.4999999999999938E-2</v>
          </cell>
        </row>
        <row r="1621">
          <cell r="A1621">
            <v>812486</v>
          </cell>
          <cell r="B1621" t="str">
            <v>COXA SOB C/OP FGO CONG 250-300G ITF CANA</v>
          </cell>
          <cell r="C1621">
            <v>2.1680000000000001</v>
          </cell>
          <cell r="D1621">
            <v>2.1680000000000001</v>
          </cell>
          <cell r="E1621">
            <v>-0.39700000000000002</v>
          </cell>
          <cell r="F1621">
            <v>-5.2999999999999992E-2</v>
          </cell>
        </row>
        <row r="1622">
          <cell r="A1622">
            <v>815178</v>
          </cell>
          <cell r="B1622" t="str">
            <v>FIGADO FGO CONG BD 450G AL-KAW BAHRAIN</v>
          </cell>
          <cell r="C1622">
            <v>2.649</v>
          </cell>
          <cell r="D1622">
            <v>2.649</v>
          </cell>
          <cell r="E1622">
            <v>-0.68200000000000005</v>
          </cell>
          <cell r="F1622">
            <v>-6.2999999999999945E-2</v>
          </cell>
        </row>
        <row r="1623">
          <cell r="A1623">
            <v>815179</v>
          </cell>
          <cell r="B1623" t="str">
            <v>MOELA FGO CONG BD 450G AL-KAW BAHRAIN</v>
          </cell>
          <cell r="C1623">
            <v>2.7080000000000002</v>
          </cell>
          <cell r="D1623">
            <v>2.7080000000000002</v>
          </cell>
          <cell r="E1623">
            <v>-0.68300000000000005</v>
          </cell>
          <cell r="F1623">
            <v>-6.4999999999999947E-2</v>
          </cell>
        </row>
        <row r="1624">
          <cell r="A1624">
            <v>816378</v>
          </cell>
          <cell r="B1624" t="str">
            <v>COXA SOB SO CP FGO CONG 220-240G PER</v>
          </cell>
          <cell r="C1624">
            <v>2.766</v>
          </cell>
          <cell r="D1624">
            <v>2.766</v>
          </cell>
          <cell r="E1624">
            <v>-0.14000000000000001</v>
          </cell>
          <cell r="F1624">
            <v>-6.9999999999999951E-2</v>
          </cell>
        </row>
        <row r="1625">
          <cell r="A1625">
            <v>817065</v>
          </cell>
          <cell r="B1625" t="str">
            <v>FIGADO FGO CONG BD 450G PERD BAHRAIN</v>
          </cell>
          <cell r="C1625">
            <v>2.5</v>
          </cell>
          <cell r="D1625">
            <v>2.5</v>
          </cell>
          <cell r="E1625">
            <v>-0.63100000000000001</v>
          </cell>
          <cell r="F1625">
            <v>-5.9999999999999942E-2</v>
          </cell>
        </row>
        <row r="1626">
          <cell r="A1626">
            <v>817616</v>
          </cell>
          <cell r="B1626" t="str">
            <v>COXA SOB SO CP FGO CONG 260-280G PER BCA</v>
          </cell>
          <cell r="C1626">
            <v>3.3460000000000001</v>
          </cell>
          <cell r="D1626">
            <v>3.3460000000000001</v>
          </cell>
          <cell r="E1626">
            <v>-0.52500000000000002</v>
          </cell>
          <cell r="F1626">
            <v>-8.2000000000000073E-2</v>
          </cell>
        </row>
        <row r="1627">
          <cell r="A1627">
            <v>817617</v>
          </cell>
          <cell r="B1627" t="str">
            <v>COXA SOB SO CP FGO CONG 280-300G PER BCA</v>
          </cell>
          <cell r="C1627">
            <v>3.3250000000000002</v>
          </cell>
          <cell r="D1627">
            <v>3.3250000000000002</v>
          </cell>
          <cell r="E1627">
            <v>-0.52400000000000002</v>
          </cell>
          <cell r="F1627">
            <v>-8.1999999999999962E-2</v>
          </cell>
        </row>
        <row r="1628">
          <cell r="A1628">
            <v>822159</v>
          </cell>
          <cell r="B1628" t="str">
            <v>FRANGO GRILLER 1500G CONG AL-KAW OMAN</v>
          </cell>
          <cell r="C1628">
            <v>2.72</v>
          </cell>
          <cell r="D1628">
            <v>2.72</v>
          </cell>
          <cell r="E1628">
            <v>-0.621</v>
          </cell>
          <cell r="F1628">
            <v>-6.5999999999999948E-2</v>
          </cell>
        </row>
        <row r="1629">
          <cell r="A1629">
            <v>822160</v>
          </cell>
          <cell r="B1629" t="str">
            <v>COXA C/OP FGO CONG BD 900G AL-KAW OMAN</v>
          </cell>
          <cell r="C1629">
            <v>3.1349999999999998</v>
          </cell>
          <cell r="D1629">
            <v>3.1349999999999998</v>
          </cell>
          <cell r="E1629">
            <v>-0.69199999999999995</v>
          </cell>
          <cell r="F1629">
            <v>-7.5999999999999956E-2</v>
          </cell>
        </row>
        <row r="1630">
          <cell r="A1630">
            <v>822732</v>
          </cell>
          <cell r="B1630" t="str">
            <v>ASA INT FGO CONG 12BD UNEF KUWAIT</v>
          </cell>
          <cell r="C1630">
            <v>2.964</v>
          </cell>
          <cell r="D1630">
            <v>2.964</v>
          </cell>
          <cell r="E1630">
            <v>-0.70099999999999996</v>
          </cell>
          <cell r="F1630">
            <v>-7.2000000000000064E-2</v>
          </cell>
        </row>
        <row r="1631">
          <cell r="A1631">
            <v>823062</v>
          </cell>
          <cell r="B1631" t="str">
            <v>COXA SOB SO CP FGO CONG 240-300G PT CING</v>
          </cell>
          <cell r="C1631">
            <v>3.218</v>
          </cell>
          <cell r="D1631">
            <v>3.218</v>
          </cell>
          <cell r="E1631">
            <v>-0.58899999999999997</v>
          </cell>
          <cell r="F1631">
            <v>-7.900000000000007E-2</v>
          </cell>
        </row>
        <row r="1632">
          <cell r="A1632">
            <v>823106</v>
          </cell>
          <cell r="B1632" t="str">
            <v>PEITO S/OPC C/F FGO CONG 300G/UP IND C</v>
          </cell>
          <cell r="C1632">
            <v>7.0990000000000002</v>
          </cell>
          <cell r="D1632">
            <v>7.0990000000000002</v>
          </cell>
          <cell r="E1632">
            <v>-0.35899999999999999</v>
          </cell>
          <cell r="F1632">
            <v>-0.17899999999999938</v>
          </cell>
        </row>
        <row r="1633">
          <cell r="A1633">
            <v>823107</v>
          </cell>
          <cell r="B1633" t="str">
            <v>PEITO S/OPC C/F FGO CONG 300G/UP ITF C</v>
          </cell>
          <cell r="C1633">
            <v>6.8579999999999997</v>
          </cell>
          <cell r="D1633">
            <v>6.8579999999999997</v>
          </cell>
          <cell r="E1633">
            <v>-0.35899999999999999</v>
          </cell>
          <cell r="F1633">
            <v>-0.1729999999999996</v>
          </cell>
        </row>
        <row r="1634">
          <cell r="A1634">
            <v>823108</v>
          </cell>
          <cell r="B1634" t="str">
            <v>PEITO S/OPFC FGO CONG FAT 50-90G CANAR</v>
          </cell>
          <cell r="C1634">
            <v>7.2190000000000003</v>
          </cell>
          <cell r="D1634">
            <v>7.2190000000000003</v>
          </cell>
          <cell r="E1634">
            <v>-0.35899999999999999</v>
          </cell>
          <cell r="F1634">
            <v>-0.18199999999999994</v>
          </cell>
        </row>
        <row r="1635">
          <cell r="A1635">
            <v>823109</v>
          </cell>
          <cell r="B1635" t="str">
            <v>PEITO S/OPFC FGO CONG FAT 50-90G CANAR</v>
          </cell>
          <cell r="C1635">
            <v>7.0990000000000002</v>
          </cell>
          <cell r="D1635">
            <v>7.0990000000000002</v>
          </cell>
          <cell r="E1635">
            <v>-0.35899999999999999</v>
          </cell>
          <cell r="F1635">
            <v>-0.17900000000000027</v>
          </cell>
        </row>
        <row r="1636">
          <cell r="A1636">
            <v>823307</v>
          </cell>
          <cell r="B1636" t="str">
            <v>FRANGO DES S/ASA/SAMB CONG PT BAHRAIN</v>
          </cell>
          <cell r="C1636">
            <v>3.6960000000000002</v>
          </cell>
          <cell r="D1636">
            <v>3.6960000000000002</v>
          </cell>
          <cell r="E1636">
            <v>-0.66500000000000004</v>
          </cell>
          <cell r="F1636">
            <v>-9.099999999999997E-2</v>
          </cell>
        </row>
        <row r="1637">
          <cell r="A1637">
            <v>823535</v>
          </cell>
          <cell r="B1637" t="str">
            <v>HAMBURGUER FGO CONG MON PARAGUAI</v>
          </cell>
          <cell r="C1637">
            <v>2.7029999999999998</v>
          </cell>
          <cell r="D1637">
            <v>2.7029999999999998</v>
          </cell>
          <cell r="E1637">
            <v>-6.9000000000000006E-2</v>
          </cell>
          <cell r="F1637">
            <v>-6.9000000000000061E-2</v>
          </cell>
        </row>
        <row r="1638">
          <cell r="A1638">
            <v>823557</v>
          </cell>
          <cell r="B1638" t="str">
            <v>ASA 2A JTA FGO CONG 40G/UP S.TEB PERD JA</v>
          </cell>
          <cell r="C1638">
            <v>4.1520000000000001</v>
          </cell>
          <cell r="D1638">
            <v>4.1520000000000001</v>
          </cell>
          <cell r="E1638">
            <v>-0.52800000000000002</v>
          </cell>
          <cell r="F1638">
            <v>-0.1030000000000002</v>
          </cell>
        </row>
        <row r="1639">
          <cell r="A1639">
            <v>824438</v>
          </cell>
          <cell r="B1639" t="str">
            <v>PAO DE QUEIJO PT 500G PERD PARAGUAI 10KG</v>
          </cell>
          <cell r="C1639">
            <v>3.726</v>
          </cell>
          <cell r="D1639">
            <v>3.726</v>
          </cell>
          <cell r="E1639">
            <v>0</v>
          </cell>
          <cell r="F1639">
            <v>-9.6000000000000085E-2</v>
          </cell>
        </row>
        <row r="1640">
          <cell r="A1640">
            <v>824827</v>
          </cell>
          <cell r="B1640" t="str">
            <v>FRANGO BROILER 1000G CONG HALAL KUWAIT</v>
          </cell>
          <cell r="C1640">
            <v>2.6509999999999998</v>
          </cell>
          <cell r="D1640">
            <v>2.6509999999999998</v>
          </cell>
          <cell r="E1640">
            <v>-0.60799999999999998</v>
          </cell>
          <cell r="F1640">
            <v>-6.3999999999999946E-2</v>
          </cell>
        </row>
        <row r="1641">
          <cell r="A1641">
            <v>825103</v>
          </cell>
          <cell r="B1641" t="str">
            <v>PEITO S/OPFC FGO CONG 100-180G SALM FR</v>
          </cell>
          <cell r="C1641">
            <v>6.6440000000000001</v>
          </cell>
          <cell r="D1641">
            <v>6.6440000000000001</v>
          </cell>
          <cell r="E1641">
            <v>-0.33900000000000002</v>
          </cell>
          <cell r="F1641">
            <v>-0.16800000000000015</v>
          </cell>
        </row>
        <row r="1642">
          <cell r="A1642">
            <v>825514</v>
          </cell>
          <cell r="B1642" t="str">
            <v>CODORNA CONG BD 1KG PERD BAHRAIN</v>
          </cell>
          <cell r="C1642">
            <v>5.4180000000000001</v>
          </cell>
          <cell r="D1642">
            <v>5.4180000000000001</v>
          </cell>
          <cell r="E1642">
            <v>-0.71899999999999997</v>
          </cell>
          <cell r="F1642">
            <v>-0.13400000000000001</v>
          </cell>
        </row>
        <row r="1643">
          <cell r="A1643">
            <v>825567</v>
          </cell>
          <cell r="B1643" t="str">
            <v>FIGADO FGO CONG BD 450G HALAL EAU</v>
          </cell>
          <cell r="C1643">
            <v>2.6509999999999998</v>
          </cell>
          <cell r="D1643">
            <v>2.6509999999999998</v>
          </cell>
          <cell r="E1643">
            <v>-0.67</v>
          </cell>
          <cell r="F1643">
            <v>-6.2999999999999945E-2</v>
          </cell>
        </row>
        <row r="1644">
          <cell r="A1644">
            <v>825568</v>
          </cell>
          <cell r="B1644" t="str">
            <v>MOELA FGO CONG BD 450G HALAL EAU</v>
          </cell>
          <cell r="C1644">
            <v>2.7709999999999999</v>
          </cell>
          <cell r="D1644">
            <v>2.7709999999999999</v>
          </cell>
          <cell r="E1644">
            <v>-0.67300000000000004</v>
          </cell>
          <cell r="F1644">
            <v>-6.700000000000006E-2</v>
          </cell>
        </row>
        <row r="1645">
          <cell r="A1645">
            <v>826724</v>
          </cell>
          <cell r="B1645" t="str">
            <v>PEITO S/OPFC FGO CONG MET S/FXA SALM FRA</v>
          </cell>
          <cell r="C1645">
            <v>6.7389999999999999</v>
          </cell>
          <cell r="D1645">
            <v>6.7389999999999999</v>
          </cell>
          <cell r="E1645">
            <v>-0.33300000000000002</v>
          </cell>
          <cell r="F1645">
            <v>-0.17</v>
          </cell>
        </row>
        <row r="1646">
          <cell r="A1646">
            <v>827033</v>
          </cell>
          <cell r="B1646" t="str">
            <v>PEITO S/OPC C/F PERU CONG MET 500-1200</v>
          </cell>
          <cell r="C1646">
            <v>6.6859999999999999</v>
          </cell>
          <cell r="D1646">
            <v>6.6859999999999999</v>
          </cell>
          <cell r="E1646">
            <v>-0.33</v>
          </cell>
          <cell r="F1646">
            <v>-0.16900000000000004</v>
          </cell>
        </row>
        <row r="1647">
          <cell r="A1647">
            <v>827444</v>
          </cell>
          <cell r="B1647" t="str">
            <v>FRANGO GRILLER 1100G CONG PERD CANARIAS</v>
          </cell>
          <cell r="C1647">
            <v>2.7669999999999999</v>
          </cell>
          <cell r="D1647">
            <v>2.7669999999999999</v>
          </cell>
          <cell r="E1647">
            <v>-0.39900000000000002</v>
          </cell>
          <cell r="F1647">
            <v>-6.7999999999999949E-2</v>
          </cell>
        </row>
        <row r="1648">
          <cell r="A1648">
            <v>827445</v>
          </cell>
          <cell r="B1648" t="str">
            <v>FRANGO GRILLER 1200G CONG PERD CANARIAS</v>
          </cell>
          <cell r="C1648">
            <v>2.7690000000000001</v>
          </cell>
          <cell r="D1648">
            <v>2.7690000000000001</v>
          </cell>
          <cell r="E1648">
            <v>-0.39900000000000002</v>
          </cell>
          <cell r="F1648">
            <v>-6.7999999999999949E-2</v>
          </cell>
        </row>
        <row r="1649">
          <cell r="A1649">
            <v>827446</v>
          </cell>
          <cell r="B1649" t="str">
            <v>FRANGO GRILLER 1300G CONG PERD CANARIAS</v>
          </cell>
          <cell r="C1649">
            <v>2.7690000000000001</v>
          </cell>
          <cell r="D1649">
            <v>2.7690000000000001</v>
          </cell>
          <cell r="E1649">
            <v>-0.39900000000000002</v>
          </cell>
          <cell r="F1649">
            <v>-6.899999999999995E-2</v>
          </cell>
        </row>
        <row r="1650">
          <cell r="A1650">
            <v>827842</v>
          </cell>
          <cell r="B1650" t="str">
            <v>PEITO S/OPC C/F FGO CONG 250G/UP VAC C</v>
          </cell>
          <cell r="C1650">
            <v>7.194</v>
          </cell>
          <cell r="D1650">
            <v>7.194</v>
          </cell>
          <cell r="E1650">
            <v>-0.50900000000000001</v>
          </cell>
          <cell r="F1650">
            <v>-0.18200000000000038</v>
          </cell>
        </row>
        <row r="1651">
          <cell r="A1651">
            <v>827843</v>
          </cell>
          <cell r="B1651" t="str">
            <v>PEITO S/OPC C/F FGO CONG ITF PERD CANAR</v>
          </cell>
          <cell r="C1651">
            <v>7.07</v>
          </cell>
          <cell r="D1651">
            <v>7.07</v>
          </cell>
          <cell r="E1651">
            <v>-0.50700000000000001</v>
          </cell>
          <cell r="F1651">
            <v>-0.17899999999999983</v>
          </cell>
        </row>
        <row r="1652">
          <cell r="A1652">
            <v>827844</v>
          </cell>
          <cell r="B1652" t="str">
            <v>ASA 1A JTA FGO CONG PT 1KG PERD CANARIA</v>
          </cell>
          <cell r="C1652">
            <v>2.8210000000000002</v>
          </cell>
          <cell r="D1652">
            <v>2.8210000000000002</v>
          </cell>
          <cell r="E1652">
            <v>-0.42199999999999999</v>
          </cell>
          <cell r="F1652">
            <v>-6.9999999999999951E-2</v>
          </cell>
        </row>
        <row r="1653">
          <cell r="A1653">
            <v>827845</v>
          </cell>
          <cell r="B1653" t="str">
            <v>COXA SOB S/OP FGO CONG IND/VAC CANARIAS</v>
          </cell>
          <cell r="C1653">
            <v>3.59</v>
          </cell>
          <cell r="D1653">
            <v>3.59</v>
          </cell>
          <cell r="E1653">
            <v>-0.437</v>
          </cell>
          <cell r="F1653">
            <v>-8.9999999999999858E-2</v>
          </cell>
        </row>
        <row r="1654">
          <cell r="A1654">
            <v>827846</v>
          </cell>
          <cell r="B1654" t="str">
            <v>COXA SOB S/OP FGO CONG ITF PERD CANARIAS</v>
          </cell>
          <cell r="C1654">
            <v>3.4670000000000001</v>
          </cell>
          <cell r="D1654">
            <v>3.4670000000000001</v>
          </cell>
          <cell r="E1654">
            <v>-0.435</v>
          </cell>
          <cell r="F1654">
            <v>-8.6999999999999966E-2</v>
          </cell>
        </row>
        <row r="1655">
          <cell r="A1655">
            <v>827847</v>
          </cell>
          <cell r="B1655" t="str">
            <v>COXA SOB C/OP FGO CONG 200G/UP ITF CANA</v>
          </cell>
          <cell r="C1655">
            <v>2.23</v>
          </cell>
          <cell r="D1655">
            <v>2.23</v>
          </cell>
          <cell r="E1655">
            <v>-0.41</v>
          </cell>
          <cell r="F1655">
            <v>-5.5000000000000049E-2</v>
          </cell>
        </row>
        <row r="1656">
          <cell r="A1656">
            <v>827917</v>
          </cell>
          <cell r="B1656" t="str">
            <v>FRANGO GRILLER 1500G CONG BOR KUWAIT</v>
          </cell>
          <cell r="C1656">
            <v>2.5910000000000002</v>
          </cell>
          <cell r="D1656">
            <v>2.5910000000000002</v>
          </cell>
          <cell r="E1656">
            <v>-0.61899999999999999</v>
          </cell>
          <cell r="F1656">
            <v>-6.1999999999999944E-2</v>
          </cell>
        </row>
        <row r="1657">
          <cell r="A1657">
            <v>828846</v>
          </cell>
          <cell r="B1657" t="str">
            <v>ASA 1A JTA FGO CONG PT 1KG PERD CANARIA</v>
          </cell>
          <cell r="C1657">
            <v>2.7749999999999999</v>
          </cell>
          <cell r="D1657">
            <v>2.7749999999999999</v>
          </cell>
          <cell r="E1657">
            <v>-0.45</v>
          </cell>
          <cell r="F1657">
            <v>-6.7999999999999949E-2</v>
          </cell>
        </row>
        <row r="1658">
          <cell r="A1658">
            <v>829053</v>
          </cell>
          <cell r="B1658" t="str">
            <v>PEITO S/OPC C/F FGO CONG VAC PERD CANAR</v>
          </cell>
          <cell r="C1658">
            <v>6.8579999999999997</v>
          </cell>
          <cell r="D1658">
            <v>6.8579999999999997</v>
          </cell>
          <cell r="E1658">
            <v>-0.49199999999999999</v>
          </cell>
          <cell r="F1658">
            <v>-0.17300000000000004</v>
          </cell>
        </row>
        <row r="1659">
          <cell r="A1659">
            <v>829203</v>
          </cell>
          <cell r="B1659" t="str">
            <v>PEITO S/OPC C/F FGO CONG ITF PERD CANAR</v>
          </cell>
          <cell r="C1659">
            <v>6.64</v>
          </cell>
          <cell r="D1659">
            <v>6.64</v>
          </cell>
          <cell r="E1659">
            <v>-0.48799999999999999</v>
          </cell>
          <cell r="F1659">
            <v>-0.16699999999999982</v>
          </cell>
        </row>
        <row r="1660">
          <cell r="A1660">
            <v>829336</v>
          </cell>
          <cell r="B1660" t="str">
            <v>SALSICHA FGO CONG PT 375G UNEF KUWAIT</v>
          </cell>
          <cell r="C1660">
            <v>3.056</v>
          </cell>
          <cell r="D1660">
            <v>3.056</v>
          </cell>
          <cell r="E1660">
            <v>-0.66200000000000003</v>
          </cell>
          <cell r="F1660">
            <v>-7.3999999999999955E-2</v>
          </cell>
        </row>
        <row r="1661">
          <cell r="A1661">
            <v>829451</v>
          </cell>
          <cell r="B1661" t="str">
            <v>PEITO S/OPFC FGO CONG MET 160G TAMB IN</v>
          </cell>
          <cell r="C1661">
            <v>6.7249999999999996</v>
          </cell>
          <cell r="D1661">
            <v>6.7249999999999996</v>
          </cell>
          <cell r="E1661">
            <v>-0.41899999999999998</v>
          </cell>
          <cell r="F1661">
            <v>-0.16900000000000004</v>
          </cell>
        </row>
        <row r="1662">
          <cell r="A1662">
            <v>829575</v>
          </cell>
          <cell r="B1662" t="str">
            <v>CHUKAR CONG BD 1KG PERD KUWAIT</v>
          </cell>
          <cell r="C1662">
            <v>6.34</v>
          </cell>
          <cell r="D1662">
            <v>6.34</v>
          </cell>
          <cell r="E1662">
            <v>-0.76400000000000001</v>
          </cell>
          <cell r="F1662">
            <v>-0.15800000000000036</v>
          </cell>
        </row>
        <row r="1663">
          <cell r="A1663">
            <v>829866</v>
          </cell>
          <cell r="B1663" t="str">
            <v>COXA SOB S/OP FGO CONG ITF PERD CANARI</v>
          </cell>
          <cell r="C1663">
            <v>3.61</v>
          </cell>
          <cell r="D1663">
            <v>3.61</v>
          </cell>
          <cell r="E1663">
            <v>-0.42399999999999999</v>
          </cell>
          <cell r="F1663">
            <v>-9.000000000000008E-2</v>
          </cell>
        </row>
        <row r="1664">
          <cell r="A1664">
            <v>829867</v>
          </cell>
          <cell r="B1664" t="str">
            <v>PEITO S/OPC C/F FGO CONG 250G/UP PERD</v>
          </cell>
          <cell r="C1664">
            <v>7.05</v>
          </cell>
          <cell r="D1664">
            <v>7.05</v>
          </cell>
          <cell r="E1664">
            <v>-0.49299999999999999</v>
          </cell>
          <cell r="F1664">
            <v>-0.17899999999999983</v>
          </cell>
        </row>
        <row r="1665">
          <cell r="A1665">
            <v>829868</v>
          </cell>
          <cell r="B1665" t="str">
            <v>PEITO S/OPC C/F FGO CONG ITF PERD CANAR</v>
          </cell>
          <cell r="C1665">
            <v>6.8570000000000002</v>
          </cell>
          <cell r="D1665">
            <v>6.8570000000000002</v>
          </cell>
          <cell r="E1665">
            <v>-0.48899999999999999</v>
          </cell>
          <cell r="F1665">
            <v>-0.17300000000000004</v>
          </cell>
        </row>
        <row r="1666">
          <cell r="A1666">
            <v>830200</v>
          </cell>
          <cell r="B1666" t="str">
            <v>PEITO S/OPC C/F PERU CONG MET PT BAT K</v>
          </cell>
          <cell r="C1666">
            <v>7.3780000000000001</v>
          </cell>
          <cell r="D1666">
            <v>7.3780000000000001</v>
          </cell>
          <cell r="E1666">
            <v>-0.76100000000000001</v>
          </cell>
          <cell r="F1666">
            <v>-0.185</v>
          </cell>
        </row>
        <row r="1667">
          <cell r="A1667">
            <v>830369</v>
          </cell>
          <cell r="B1667" t="str">
            <v>PEITO S/OPC C/F PERU CONG 2000G/UP CAN</v>
          </cell>
          <cell r="C1667">
            <v>6.9790000000000001</v>
          </cell>
          <cell r="D1667">
            <v>6.9790000000000001</v>
          </cell>
          <cell r="E1667">
            <v>-0.45300000000000001</v>
          </cell>
          <cell r="F1667">
            <v>-0.17600000000000016</v>
          </cell>
        </row>
        <row r="1668">
          <cell r="A1668">
            <v>830463</v>
          </cell>
          <cell r="B1668" t="str">
            <v>FRANGO BROILER 1000G CONG (SFI) CINGAP</v>
          </cell>
          <cell r="C1668">
            <v>2.4449999999999998</v>
          </cell>
          <cell r="D1668">
            <v>2.4449999999999998</v>
          </cell>
          <cell r="E1668">
            <v>-0.54800000000000004</v>
          </cell>
          <cell r="F1668">
            <v>-5.8999999999999941E-2</v>
          </cell>
        </row>
        <row r="1669">
          <cell r="A1669">
            <v>830466</v>
          </cell>
          <cell r="B1669" t="str">
            <v>FRANGO BROILER 1300G CONG (SFI) CINGAP</v>
          </cell>
          <cell r="C1669">
            <v>2.5539999999999998</v>
          </cell>
          <cell r="D1669">
            <v>2.5539999999999998</v>
          </cell>
          <cell r="E1669">
            <v>-0.56699999999999995</v>
          </cell>
          <cell r="F1669">
            <v>-6.1999999999999944E-2</v>
          </cell>
        </row>
        <row r="1670">
          <cell r="A1670">
            <v>830472</v>
          </cell>
          <cell r="B1670" t="str">
            <v>FRANGO BROILER 1800G CONG (SFI) CINGAP</v>
          </cell>
          <cell r="C1670">
            <v>2.5070000000000001</v>
          </cell>
          <cell r="D1670">
            <v>2.5070000000000001</v>
          </cell>
          <cell r="E1670">
            <v>-0.56699999999999995</v>
          </cell>
          <cell r="F1670">
            <v>-6.1000000000000054E-2</v>
          </cell>
        </row>
        <row r="1671">
          <cell r="A1671">
            <v>830775</v>
          </cell>
          <cell r="B1671" t="str">
            <v>COXA SOB SO CP FGO CONG 300-320G PT JAP</v>
          </cell>
          <cell r="C1671">
            <v>3.3290000000000002</v>
          </cell>
          <cell r="D1671">
            <v>3.3290000000000002</v>
          </cell>
          <cell r="E1671">
            <v>-0.52600000000000002</v>
          </cell>
          <cell r="F1671">
            <v>-8.2000000000000073E-2</v>
          </cell>
        </row>
        <row r="1672">
          <cell r="A1672">
            <v>831091</v>
          </cell>
          <cell r="B1672" t="str">
            <v>PALETA S/O SUI CONG 82-85CL IND CINGAP</v>
          </cell>
          <cell r="C1672">
            <v>4.4580000000000002</v>
          </cell>
          <cell r="D1672">
            <v>4.4580000000000002</v>
          </cell>
          <cell r="E1672">
            <v>-0.60799999999999998</v>
          </cell>
          <cell r="F1672">
            <v>-0.11</v>
          </cell>
        </row>
        <row r="1673">
          <cell r="A1673">
            <v>831092</v>
          </cell>
          <cell r="B1673" t="str">
            <v>COPA LOMBO S/O SUI CONG 1,5-2KG CING</v>
          </cell>
          <cell r="C1673">
            <v>4.1740000000000004</v>
          </cell>
          <cell r="D1673">
            <v>4.1740000000000004</v>
          </cell>
          <cell r="E1673">
            <v>-0.60599999999999998</v>
          </cell>
          <cell r="F1673">
            <v>-0.10399999999999998</v>
          </cell>
        </row>
        <row r="1674">
          <cell r="A1674">
            <v>831118</v>
          </cell>
          <cell r="B1674" t="str">
            <v>PEITO S/OPC C/F FGO CONG ITF PERD CANARI</v>
          </cell>
          <cell r="C1674">
            <v>6.4589999999999996</v>
          </cell>
          <cell r="D1674">
            <v>6.4589999999999996</v>
          </cell>
          <cell r="E1674">
            <v>-0.47499999999999998</v>
          </cell>
          <cell r="F1674">
            <v>-0.16299999999999981</v>
          </cell>
        </row>
        <row r="1675">
          <cell r="A1675">
            <v>831278</v>
          </cell>
          <cell r="B1675" t="str">
            <v>FILE PEITO FGO CONG C/TEND SALM BL ING</v>
          </cell>
          <cell r="C1675">
            <v>4.6210000000000004</v>
          </cell>
          <cell r="D1675">
            <v>4.6210000000000004</v>
          </cell>
          <cell r="E1675">
            <v>-0.42899999999999999</v>
          </cell>
          <cell r="F1675">
            <v>-0.115</v>
          </cell>
        </row>
        <row r="1676">
          <cell r="A1676">
            <v>831745</v>
          </cell>
          <cell r="B1676" t="str">
            <v>PEITO S/OPFC FGO FAT 50-90G ITF PERD CAN</v>
          </cell>
          <cell r="C1676">
            <v>7.3170000000000002</v>
          </cell>
          <cell r="D1676">
            <v>7.3170000000000002</v>
          </cell>
          <cell r="E1676">
            <v>-0.51200000000000001</v>
          </cell>
          <cell r="F1676">
            <v>-0.185</v>
          </cell>
        </row>
        <row r="1677">
          <cell r="A1677">
            <v>831764</v>
          </cell>
          <cell r="B1677" t="str">
            <v>ASA INT ITF PERD CANARIAS CX 16KG</v>
          </cell>
          <cell r="C1677">
            <v>2.4780000000000002</v>
          </cell>
          <cell r="D1677">
            <v>2.4780000000000002</v>
          </cell>
          <cell r="E1677">
            <v>-0.41499999999999998</v>
          </cell>
          <cell r="F1677">
            <v>-6.0999999999999943E-2</v>
          </cell>
        </row>
        <row r="1678">
          <cell r="A1678">
            <v>831765</v>
          </cell>
          <cell r="B1678" t="str">
            <v>COXA C/OP DRUMS PT 1KG PERD CANA CX 10KG</v>
          </cell>
          <cell r="C1678">
            <v>2.8929999999999998</v>
          </cell>
          <cell r="D1678">
            <v>2.8929999999999998</v>
          </cell>
          <cell r="E1678">
            <v>-0.42399999999999999</v>
          </cell>
          <cell r="F1678">
            <v>-7.2000000000000064E-2</v>
          </cell>
        </row>
        <row r="1679">
          <cell r="A1679">
            <v>831992</v>
          </cell>
          <cell r="B1679" t="str">
            <v>COSTELA SUI CONG PERD AFRICA SUL</v>
          </cell>
          <cell r="C1679">
            <v>4.0170000000000003</v>
          </cell>
          <cell r="D1679">
            <v>4.0170000000000003</v>
          </cell>
          <cell r="E1679">
            <v>-0.43099999999999999</v>
          </cell>
          <cell r="F1679">
            <v>-0.1</v>
          </cell>
        </row>
        <row r="1680">
          <cell r="A1680">
            <v>832143</v>
          </cell>
          <cell r="B1680" t="str">
            <v>PEITO S/OPFC FGO CONG 125G TAM/COZ INGLA</v>
          </cell>
          <cell r="C1680">
            <v>6.71</v>
          </cell>
          <cell r="D1680">
            <v>6.71</v>
          </cell>
          <cell r="E1680">
            <v>-0.41899999999999998</v>
          </cell>
          <cell r="F1680">
            <v>-0.16900000000000004</v>
          </cell>
        </row>
        <row r="1681">
          <cell r="A1681">
            <v>832169</v>
          </cell>
          <cell r="B1681" t="str">
            <v>FRANGO GRILLER 1200G PERD CANARIAS 12KG</v>
          </cell>
          <cell r="C1681">
            <v>2.653</v>
          </cell>
          <cell r="D1681">
            <v>2.653</v>
          </cell>
          <cell r="E1681">
            <v>-0.38700000000000001</v>
          </cell>
          <cell r="F1681">
            <v>-6.6000000000000059E-2</v>
          </cell>
        </row>
        <row r="1682">
          <cell r="A1682">
            <v>832171</v>
          </cell>
          <cell r="B1682" t="str">
            <v>PEITO S/OPC C/F PERU CONG 2000G/UP CANAR</v>
          </cell>
          <cell r="C1682">
            <v>6.6859999999999999</v>
          </cell>
          <cell r="D1682">
            <v>6.6859999999999999</v>
          </cell>
          <cell r="E1682">
            <v>-0.49</v>
          </cell>
          <cell r="F1682">
            <v>-0.16900000000000004</v>
          </cell>
        </row>
        <row r="1683">
          <cell r="A1683">
            <v>832182</v>
          </cell>
          <cell r="B1683" t="str">
            <v>PEITO S/OPC C/F PERU CONG 2000G/UP CANAR</v>
          </cell>
          <cell r="C1683">
            <v>6.74</v>
          </cell>
          <cell r="D1683">
            <v>6.74</v>
          </cell>
          <cell r="E1683">
            <v>-0.48</v>
          </cell>
          <cell r="F1683">
            <v>-0.17</v>
          </cell>
        </row>
        <row r="1684">
          <cell r="A1684">
            <v>832345</v>
          </cell>
          <cell r="B1684" t="str">
            <v>SOBRECOXA S/OP FGO CONG SALM VEG BL FRAN</v>
          </cell>
          <cell r="C1684">
            <v>3.7519999999999998</v>
          </cell>
          <cell r="D1684">
            <v>3.7519999999999998</v>
          </cell>
          <cell r="E1684">
            <v>-0.33400000000000002</v>
          </cell>
          <cell r="F1684">
            <v>-9.3999999999999861E-2</v>
          </cell>
        </row>
        <row r="1685">
          <cell r="A1685">
            <v>832958</v>
          </cell>
          <cell r="B1685" t="str">
            <v>PEITO S/OPFC FGO MET 120G SALM PERD FRAN</v>
          </cell>
          <cell r="C1685">
            <v>6.7370000000000001</v>
          </cell>
          <cell r="D1685">
            <v>6.7370000000000001</v>
          </cell>
          <cell r="E1685">
            <v>-0.56999999999999995</v>
          </cell>
          <cell r="F1685">
            <v>-0.17</v>
          </cell>
        </row>
        <row r="1686">
          <cell r="A1686">
            <v>832960</v>
          </cell>
          <cell r="B1686" t="str">
            <v>FRANGO GRILLER 1100G PERD CANARIAS 11KG</v>
          </cell>
          <cell r="C1686">
            <v>2.7669999999999999</v>
          </cell>
          <cell r="D1686">
            <v>2.7669999999999999</v>
          </cell>
          <cell r="E1686">
            <v>-0.38900000000000001</v>
          </cell>
          <cell r="F1686">
            <v>-6.800000000000006E-2</v>
          </cell>
        </row>
        <row r="1687">
          <cell r="A1687">
            <v>832965</v>
          </cell>
          <cell r="B1687" t="str">
            <v>COXA SOB S/O C/P 260-280G 2,16KG SUN JAP</v>
          </cell>
          <cell r="C1687">
            <v>3.331</v>
          </cell>
          <cell r="D1687">
            <v>3.331</v>
          </cell>
          <cell r="E1687">
            <v>-0.54500000000000004</v>
          </cell>
          <cell r="F1687">
            <v>-8.2000000000000073E-2</v>
          </cell>
        </row>
        <row r="1688">
          <cell r="A1688">
            <v>832975</v>
          </cell>
          <cell r="B1688" t="str">
            <v>FILEZINHO FGO C/TEND VEG SAL 7,5KG FRANC</v>
          </cell>
          <cell r="C1688">
            <v>4.782</v>
          </cell>
          <cell r="D1688">
            <v>4.782</v>
          </cell>
          <cell r="E1688">
            <v>-0.33800000000000002</v>
          </cell>
          <cell r="F1688">
            <v>-0.12</v>
          </cell>
        </row>
        <row r="1689">
          <cell r="A1689">
            <v>833057</v>
          </cell>
          <cell r="B1689" t="str">
            <v>COXA SOBREC S/OP IND/VAC PERD CANARIAS</v>
          </cell>
          <cell r="C1689">
            <v>3.3460000000000001</v>
          </cell>
          <cell r="D1689">
            <v>3.3460000000000001</v>
          </cell>
          <cell r="E1689">
            <v>-0.41199999999999998</v>
          </cell>
          <cell r="F1689">
            <v>-8.2999999999999963E-2</v>
          </cell>
        </row>
        <row r="1690">
          <cell r="A1690">
            <v>833058</v>
          </cell>
          <cell r="B1690" t="str">
            <v>PEITO S/OPC C/F FGO CONG INT PERD CAN</v>
          </cell>
          <cell r="C1690">
            <v>6.4580000000000002</v>
          </cell>
          <cell r="D1690">
            <v>6.4580000000000002</v>
          </cell>
          <cell r="E1690">
            <v>-0.47499999999999998</v>
          </cell>
          <cell r="F1690">
            <v>-0.16300000000000026</v>
          </cell>
        </row>
        <row r="1691">
          <cell r="A1691">
            <v>833059</v>
          </cell>
          <cell r="B1691" t="str">
            <v>COXA SOB C/OP 200G/UP ITF PERD CANARIAS</v>
          </cell>
          <cell r="C1691">
            <v>2.335</v>
          </cell>
          <cell r="D1691">
            <v>2.335</v>
          </cell>
          <cell r="E1691">
            <v>-0.39800000000000002</v>
          </cell>
          <cell r="F1691">
            <v>-5.8000000000000052E-2</v>
          </cell>
        </row>
        <row r="1692">
          <cell r="A1692">
            <v>833060</v>
          </cell>
          <cell r="B1692" t="str">
            <v>FRANGO GRILLER 1100G PERD CANARIAS 11KG</v>
          </cell>
          <cell r="C1692">
            <v>2.7669999999999999</v>
          </cell>
          <cell r="D1692">
            <v>2.7669999999999999</v>
          </cell>
          <cell r="E1692">
            <v>-0.38400000000000001</v>
          </cell>
          <cell r="F1692">
            <v>-6.899999999999995E-2</v>
          </cell>
        </row>
        <row r="1693">
          <cell r="A1693">
            <v>833061</v>
          </cell>
          <cell r="B1693" t="str">
            <v>FRANGO GRILLER 1200G PERD CANARIAS 12KG</v>
          </cell>
          <cell r="C1693">
            <v>2.7679999999999998</v>
          </cell>
          <cell r="D1693">
            <v>2.7679999999999998</v>
          </cell>
          <cell r="E1693">
            <v>-0.38400000000000001</v>
          </cell>
          <cell r="F1693">
            <v>-6.899999999999995E-2</v>
          </cell>
        </row>
        <row r="1694">
          <cell r="A1694">
            <v>833062</v>
          </cell>
          <cell r="B1694" t="str">
            <v>FRANGO GRILLER 1300G PERD CANARIAS 13KG</v>
          </cell>
          <cell r="C1694">
            <v>2.7690000000000001</v>
          </cell>
          <cell r="D1694">
            <v>2.7690000000000001</v>
          </cell>
          <cell r="E1694">
            <v>-0.38400000000000001</v>
          </cell>
          <cell r="F1694">
            <v>-6.800000000000006E-2</v>
          </cell>
        </row>
        <row r="1695">
          <cell r="A1695">
            <v>833075</v>
          </cell>
          <cell r="B1695" t="str">
            <v>COXA SOBREC S/OP PT 1KG PERD CANARIAS</v>
          </cell>
          <cell r="C1695">
            <v>3.49</v>
          </cell>
          <cell r="D1695">
            <v>3.49</v>
          </cell>
          <cell r="E1695">
            <v>-0.36299999999999999</v>
          </cell>
          <cell r="F1695">
            <v>-8.6999999999999966E-2</v>
          </cell>
        </row>
        <row r="1696">
          <cell r="A1696">
            <v>833161</v>
          </cell>
          <cell r="B1696" t="str">
            <v>COXA SOB SO CP CHT CONG SALM BL PERD ALE</v>
          </cell>
          <cell r="C1696">
            <v>3.4590000000000001</v>
          </cell>
          <cell r="D1696">
            <v>3.4590000000000001</v>
          </cell>
          <cell r="E1696">
            <v>-0.36099999999999999</v>
          </cell>
          <cell r="F1696">
            <v>-8.6000000000000076E-2</v>
          </cell>
        </row>
        <row r="1697">
          <cell r="A1697">
            <v>833285</v>
          </cell>
          <cell r="B1697" t="str">
            <v>ASA 1A JTA+ASA 2A JTA PT 680G IF H.KONG</v>
          </cell>
          <cell r="C1697">
            <v>3.7919999999999998</v>
          </cell>
          <cell r="D1697">
            <v>3.7919999999999998</v>
          </cell>
          <cell r="E1697">
            <v>-8.1000000000000003E-2</v>
          </cell>
          <cell r="F1697">
            <v>-0.1</v>
          </cell>
        </row>
        <row r="1698">
          <cell r="A1698">
            <v>833287</v>
          </cell>
          <cell r="B1698" t="str">
            <v>ASA 1A JTA FGO TAM/MAR PT908G PERD H.KON</v>
          </cell>
          <cell r="C1698">
            <v>3.8759999999999999</v>
          </cell>
          <cell r="D1698">
            <v>3.8759999999999999</v>
          </cell>
          <cell r="E1698">
            <v>-8.1000000000000003E-2</v>
          </cell>
          <cell r="F1698">
            <v>-9.000000000000008E-2</v>
          </cell>
        </row>
        <row r="1699">
          <cell r="A1699">
            <v>833312</v>
          </cell>
          <cell r="B1699" t="str">
            <v>FILEZINHO SUINO 300-400G CONG IND CING</v>
          </cell>
          <cell r="C1699">
            <v>4.62</v>
          </cell>
          <cell r="D1699">
            <v>4.62</v>
          </cell>
          <cell r="E1699">
            <v>-0.60099999999999998</v>
          </cell>
          <cell r="F1699">
            <v>-0.11399999999999999</v>
          </cell>
        </row>
        <row r="1700">
          <cell r="A1700">
            <v>833318</v>
          </cell>
          <cell r="B1700" t="str">
            <v>PEITO PERU INT S/OP C/F 2,5KG/UP ITF ITA</v>
          </cell>
          <cell r="C1700">
            <v>6.97</v>
          </cell>
          <cell r="D1700">
            <v>6.97</v>
          </cell>
          <cell r="E1700">
            <v>-0.754</v>
          </cell>
          <cell r="F1700">
            <v>-0.17399999999999993</v>
          </cell>
        </row>
        <row r="1701">
          <cell r="A1701">
            <v>833358</v>
          </cell>
          <cell r="B1701" t="str">
            <v>PEITO S/OPFC MET SALM VEG BL 7,5KG HOLAN</v>
          </cell>
          <cell r="C1701">
            <v>6.5490000000000004</v>
          </cell>
          <cell r="D1701">
            <v>6.5490000000000004</v>
          </cell>
          <cell r="E1701">
            <v>-0.33600000000000002</v>
          </cell>
          <cell r="F1701">
            <v>-0.16500000000000001</v>
          </cell>
        </row>
        <row r="1702">
          <cell r="A1702">
            <v>833379</v>
          </cell>
          <cell r="B1702" t="str">
            <v>BARRIGA S/OSSO C/COU SUI CONG SULIN CING</v>
          </cell>
          <cell r="C1702">
            <v>4.7709999999999999</v>
          </cell>
          <cell r="D1702">
            <v>4.7709999999999999</v>
          </cell>
          <cell r="E1702">
            <v>-0.61799999999999999</v>
          </cell>
          <cell r="F1702">
            <v>-0.11799999999999988</v>
          </cell>
        </row>
        <row r="1703">
          <cell r="A1703">
            <v>833418</v>
          </cell>
          <cell r="B1703" t="str">
            <v>FRANGO GRILLER 1200G PERD CANARIAS 12KG</v>
          </cell>
          <cell r="C1703">
            <v>2.6589999999999998</v>
          </cell>
          <cell r="D1703">
            <v>2.6589999999999998</v>
          </cell>
          <cell r="E1703">
            <v>-0.38300000000000001</v>
          </cell>
          <cell r="F1703">
            <v>-6.6000000000000059E-2</v>
          </cell>
        </row>
        <row r="1704">
          <cell r="A1704">
            <v>833419</v>
          </cell>
          <cell r="B1704" t="str">
            <v>FRANGO GRILLER 1100G PERD CANARIAS 11KG</v>
          </cell>
          <cell r="C1704">
            <v>2.6629999999999998</v>
          </cell>
          <cell r="D1704">
            <v>2.6629999999999998</v>
          </cell>
          <cell r="E1704">
            <v>-0.376</v>
          </cell>
          <cell r="F1704">
            <v>-6.6000000000000059E-2</v>
          </cell>
        </row>
        <row r="1705">
          <cell r="A1705">
            <v>833528</v>
          </cell>
          <cell r="B1705" t="str">
            <v>SOBRECOXA C/OP FGO CONG 180-200G ITF CIN</v>
          </cell>
          <cell r="C1705">
            <v>2.3039999999999998</v>
          </cell>
          <cell r="D1705">
            <v>2.3039999999999998</v>
          </cell>
          <cell r="E1705">
            <v>-0.60399999999999998</v>
          </cell>
          <cell r="F1705">
            <v>-5.5E-2</v>
          </cell>
        </row>
        <row r="1706">
          <cell r="A1706">
            <v>833554</v>
          </cell>
          <cell r="B1706" t="str">
            <v>PERU INT C/M S/TEMP CONG 9-11KG BAT CANA</v>
          </cell>
          <cell r="C1706">
            <v>3.61</v>
          </cell>
          <cell r="D1706">
            <v>3.61</v>
          </cell>
          <cell r="E1706">
            <v>-0.374</v>
          </cell>
          <cell r="F1706">
            <v>-9.1000000000000192E-2</v>
          </cell>
        </row>
        <row r="1707">
          <cell r="A1707">
            <v>833578</v>
          </cell>
          <cell r="B1707" t="str">
            <v>PEITO+COXA SOB FGO CONG FORM/EMP/COZ HOL</v>
          </cell>
          <cell r="C1707">
            <v>4.3860000000000001</v>
          </cell>
          <cell r="D1707">
            <v>4.3860000000000001</v>
          </cell>
          <cell r="E1707">
            <v>-0.38600000000000001</v>
          </cell>
          <cell r="F1707">
            <v>-0.11</v>
          </cell>
        </row>
        <row r="1708">
          <cell r="A1708">
            <v>833696</v>
          </cell>
          <cell r="B1708" t="str">
            <v>PEITO S/OPC C/F FGO CONG 250G/UP IND CAN</v>
          </cell>
          <cell r="C1708">
            <v>7.05</v>
          </cell>
          <cell r="D1708">
            <v>7.05</v>
          </cell>
          <cell r="E1708">
            <v>-0.50800000000000001</v>
          </cell>
          <cell r="F1708">
            <v>-0.17799999999999949</v>
          </cell>
        </row>
        <row r="1709">
          <cell r="A1709">
            <v>833697</v>
          </cell>
          <cell r="B1709" t="str">
            <v>PEITO S/OPC C/F FGO CONG ITF PERD CANARI</v>
          </cell>
          <cell r="C1709">
            <v>6.93</v>
          </cell>
          <cell r="D1709">
            <v>6.93</v>
          </cell>
          <cell r="E1709">
            <v>-0.50600000000000001</v>
          </cell>
          <cell r="F1709">
            <v>-0.17499999999999999</v>
          </cell>
        </row>
        <row r="1710">
          <cell r="A1710">
            <v>833698</v>
          </cell>
          <cell r="B1710" t="str">
            <v>PEITO S/OPC C/F CHT CONG ITF PERD CANAR</v>
          </cell>
          <cell r="C1710">
            <v>7.17</v>
          </cell>
          <cell r="D1710">
            <v>7.17</v>
          </cell>
          <cell r="E1710">
            <v>-0.51100000000000001</v>
          </cell>
          <cell r="F1710">
            <v>-0.18100000000000005</v>
          </cell>
        </row>
        <row r="1711">
          <cell r="A1711">
            <v>833699</v>
          </cell>
          <cell r="B1711" t="str">
            <v>FRANGO GRILLER 1000G PERD (EUROMEAT) CAN</v>
          </cell>
          <cell r="C1711">
            <v>2.7690000000000001</v>
          </cell>
          <cell r="D1711">
            <v>2.7690000000000001</v>
          </cell>
          <cell r="E1711">
            <v>-0.40100000000000002</v>
          </cell>
          <cell r="F1711">
            <v>-6.800000000000006E-2</v>
          </cell>
        </row>
        <row r="1712">
          <cell r="A1712">
            <v>833700</v>
          </cell>
          <cell r="B1712" t="str">
            <v>FRANGO GRILLER 1100G PERD (EUROMEAT) CAN</v>
          </cell>
          <cell r="C1712">
            <v>2.7669999999999999</v>
          </cell>
          <cell r="D1712">
            <v>2.7669999999999999</v>
          </cell>
          <cell r="E1712">
            <v>-0.40200000000000002</v>
          </cell>
          <cell r="F1712">
            <v>-6.800000000000006E-2</v>
          </cell>
        </row>
        <row r="1713">
          <cell r="A1713">
            <v>833701</v>
          </cell>
          <cell r="B1713" t="str">
            <v>FRANGO GRILLER 1200G PERD (EUROMEAT) CAN</v>
          </cell>
          <cell r="C1713">
            <v>2.7679999999999998</v>
          </cell>
          <cell r="D1713">
            <v>2.7679999999999998</v>
          </cell>
          <cell r="E1713">
            <v>-0.40200000000000002</v>
          </cell>
          <cell r="F1713">
            <v>-6.899999999999995E-2</v>
          </cell>
        </row>
        <row r="1714">
          <cell r="A1714">
            <v>833706</v>
          </cell>
          <cell r="B1714" t="str">
            <v>FIGADO FGO CONG BDJ 500G PERD CANARIAS</v>
          </cell>
          <cell r="C1714">
            <v>2.3849999999999998</v>
          </cell>
          <cell r="D1714">
            <v>2.3849999999999998</v>
          </cell>
          <cell r="E1714">
            <v>-0.40699999999999997</v>
          </cell>
          <cell r="F1714">
            <v>-5.8999999999999941E-2</v>
          </cell>
        </row>
        <row r="1715">
          <cell r="A1715">
            <v>833824</v>
          </cell>
          <cell r="B1715" t="str">
            <v>COXA SOB S/OP FGO CONG SALM PT 2KG FRANC</v>
          </cell>
          <cell r="C1715">
            <v>3.629</v>
          </cell>
          <cell r="D1715">
            <v>3.629</v>
          </cell>
          <cell r="E1715">
            <v>-0.33400000000000002</v>
          </cell>
          <cell r="F1715">
            <v>-9.099999999999997E-2</v>
          </cell>
        </row>
        <row r="1716">
          <cell r="A1716">
            <v>833866</v>
          </cell>
          <cell r="B1716" t="str">
            <v>FRANGO GRILLER 1300G PERD CANARIAS 13KG</v>
          </cell>
          <cell r="C1716">
            <v>2.7690000000000001</v>
          </cell>
          <cell r="D1716">
            <v>2.7690000000000001</v>
          </cell>
          <cell r="E1716">
            <v>-0.40400000000000003</v>
          </cell>
          <cell r="F1716">
            <v>-6.899999999999995E-2</v>
          </cell>
        </row>
        <row r="1717">
          <cell r="A1717">
            <v>833867</v>
          </cell>
          <cell r="B1717" t="str">
            <v>FRANGO GRILLER 1400G PERD CANARIAS 14KG</v>
          </cell>
          <cell r="C1717">
            <v>2.77</v>
          </cell>
          <cell r="D1717">
            <v>2.77</v>
          </cell>
          <cell r="E1717">
            <v>-0.40400000000000003</v>
          </cell>
          <cell r="F1717">
            <v>-6.899999999999995E-2</v>
          </cell>
        </row>
        <row r="1718">
          <cell r="A1718">
            <v>833868</v>
          </cell>
          <cell r="B1718" t="str">
            <v>COXA SOB SO CP FGO CONG 250G/UP PT JAPAO</v>
          </cell>
          <cell r="C1718">
            <v>3.2370000000000001</v>
          </cell>
          <cell r="D1718">
            <v>3.2370000000000001</v>
          </cell>
          <cell r="E1718">
            <v>-0.51300000000000001</v>
          </cell>
          <cell r="F1718">
            <v>-0.08</v>
          </cell>
        </row>
        <row r="1719">
          <cell r="A1719">
            <v>833914</v>
          </cell>
          <cell r="B1719" t="str">
            <v>COXA SOB C/OP FGO CONG 200-220G PERD ALE</v>
          </cell>
          <cell r="C1719">
            <v>2.645</v>
          </cell>
          <cell r="D1719">
            <v>2.645</v>
          </cell>
          <cell r="E1719">
            <v>-0.33700000000000002</v>
          </cell>
          <cell r="F1719">
            <v>-6.6000000000000059E-2</v>
          </cell>
        </row>
        <row r="1720">
          <cell r="A1720">
            <v>833916</v>
          </cell>
          <cell r="B1720" t="str">
            <v>COXA SOB C/OP FGO CONG 220-240G PERD ALE</v>
          </cell>
          <cell r="C1720">
            <v>2.6440000000000001</v>
          </cell>
          <cell r="D1720">
            <v>2.6440000000000001</v>
          </cell>
          <cell r="E1720">
            <v>-0.33700000000000002</v>
          </cell>
          <cell r="F1720">
            <v>-6.6000000000000059E-2</v>
          </cell>
        </row>
        <row r="1721">
          <cell r="A1721">
            <v>833918</v>
          </cell>
          <cell r="B1721" t="str">
            <v>COXA SOB C/OP FGO CONG 240-260G PERD ALE</v>
          </cell>
          <cell r="C1721">
            <v>2.63</v>
          </cell>
          <cell r="D1721">
            <v>2.63</v>
          </cell>
          <cell r="E1721">
            <v>-0.33800000000000002</v>
          </cell>
          <cell r="F1721">
            <v>-6.5000000000000058E-2</v>
          </cell>
        </row>
        <row r="1722">
          <cell r="A1722">
            <v>833920</v>
          </cell>
          <cell r="B1722" t="str">
            <v>COXA SOB C/OP FGO CONG 260-280G PERD ALE</v>
          </cell>
          <cell r="C1722">
            <v>2.6219999999999999</v>
          </cell>
          <cell r="D1722">
            <v>2.6219999999999999</v>
          </cell>
          <cell r="E1722">
            <v>-0.33800000000000002</v>
          </cell>
          <cell r="F1722">
            <v>-6.5000000000000058E-2</v>
          </cell>
        </row>
        <row r="1723">
          <cell r="A1723">
            <v>833942</v>
          </cell>
          <cell r="B1723" t="str">
            <v>FRANGO GRILLER 1200G PERD CANARIAS 12KG</v>
          </cell>
          <cell r="C1723">
            <v>2.7679999999999998</v>
          </cell>
          <cell r="D1723">
            <v>2.7679999999999998</v>
          </cell>
          <cell r="E1723">
            <v>-0.38800000000000001</v>
          </cell>
          <cell r="F1723">
            <v>-6.8999999999999839E-2</v>
          </cell>
        </row>
        <row r="1724">
          <cell r="A1724">
            <v>833943</v>
          </cell>
          <cell r="B1724" t="str">
            <v>FRANGO GRILLER 1300G PERD CANARIAS 13KG</v>
          </cell>
          <cell r="C1724">
            <v>2.7690000000000001</v>
          </cell>
          <cell r="D1724">
            <v>2.7690000000000001</v>
          </cell>
          <cell r="E1724">
            <v>-0.38800000000000001</v>
          </cell>
          <cell r="F1724">
            <v>-6.9000000000000061E-2</v>
          </cell>
        </row>
        <row r="1725">
          <cell r="A1725">
            <v>834376</v>
          </cell>
          <cell r="B1725" t="str">
            <v>TORTUGUITA SUI CONG ITF SULINA CING 25KG</v>
          </cell>
          <cell r="C1725">
            <v>3.9750000000000001</v>
          </cell>
          <cell r="D1725">
            <v>3.9750000000000001</v>
          </cell>
          <cell r="E1725">
            <v>-0.61099999999999999</v>
          </cell>
          <cell r="F1725">
            <v>-9.8000000000000004E-2</v>
          </cell>
        </row>
        <row r="1726">
          <cell r="A1726">
            <v>834520</v>
          </cell>
          <cell r="B1726" t="str">
            <v>COPA LOMBO SUI CONG 1,8-2KG IND SUL CING</v>
          </cell>
          <cell r="C1726">
            <v>4.4050000000000002</v>
          </cell>
          <cell r="D1726">
            <v>4.4050000000000002</v>
          </cell>
          <cell r="E1726">
            <v>-0.77100000000000002</v>
          </cell>
          <cell r="F1726">
            <v>-0.1080000000000001</v>
          </cell>
        </row>
        <row r="1727">
          <cell r="A1727">
            <v>834560</v>
          </cell>
          <cell r="B1727" t="str">
            <v>ASA 1A JTA DRUM FGO CONG PT 1KG PERD CAN</v>
          </cell>
          <cell r="C1727">
            <v>2.649</v>
          </cell>
          <cell r="D1727">
            <v>2.649</v>
          </cell>
          <cell r="E1727">
            <v>-0.41499999999999998</v>
          </cell>
          <cell r="F1727">
            <v>-6.5999999999999948E-2</v>
          </cell>
        </row>
        <row r="1728">
          <cell r="A1728">
            <v>834562</v>
          </cell>
          <cell r="B1728" t="str">
            <v>PEITO S/OPFC FGO CONG CUB 19MM TA/CO HOL</v>
          </cell>
          <cell r="C1728">
            <v>8.0519999999999996</v>
          </cell>
          <cell r="D1728">
            <v>8.0519999999999996</v>
          </cell>
          <cell r="E1728">
            <v>-0.45800000000000002</v>
          </cell>
          <cell r="F1728">
            <v>-0.20300000000000029</v>
          </cell>
        </row>
        <row r="1729">
          <cell r="A1729">
            <v>834563</v>
          </cell>
          <cell r="B1729" t="str">
            <v>PEITO S/OPFC FGO CONG CUB 19MM TA/CO HOL</v>
          </cell>
          <cell r="C1729">
            <v>7.6079999999999997</v>
          </cell>
          <cell r="D1729">
            <v>7.6079999999999997</v>
          </cell>
          <cell r="E1729">
            <v>-0.47299999999999998</v>
          </cell>
          <cell r="F1729">
            <v>-0.19200000000000017</v>
          </cell>
        </row>
        <row r="1730">
          <cell r="A1730">
            <v>834564</v>
          </cell>
          <cell r="B1730" t="str">
            <v>PEITO S/OPFC FGO CONG TIRA 12MM TA/CO HO</v>
          </cell>
          <cell r="C1730">
            <v>6.6379999999999999</v>
          </cell>
          <cell r="D1730">
            <v>6.6379999999999999</v>
          </cell>
          <cell r="E1730">
            <v>-0.47299999999999998</v>
          </cell>
          <cell r="F1730">
            <v>-0.16699999999999982</v>
          </cell>
        </row>
        <row r="1731">
          <cell r="A1731">
            <v>834565</v>
          </cell>
          <cell r="B1731" t="str">
            <v>PEITO S/OPFC FGO CONG TIRA 12MM TA/CO HO</v>
          </cell>
          <cell r="C1731">
            <v>7.6079999999999997</v>
          </cell>
          <cell r="D1731">
            <v>7.6079999999999997</v>
          </cell>
          <cell r="E1731">
            <v>-0.47299999999999998</v>
          </cell>
          <cell r="F1731">
            <v>-0.19099999999999984</v>
          </cell>
        </row>
        <row r="1732">
          <cell r="A1732">
            <v>834626</v>
          </cell>
          <cell r="B1732" t="str">
            <v>PEITO S/OPFC FGO CONG 280G/UP SALM INGLA</v>
          </cell>
          <cell r="C1732">
            <v>5.5789999999999997</v>
          </cell>
          <cell r="D1732">
            <v>5.5789999999999997</v>
          </cell>
          <cell r="E1732">
            <v>-0.39200000000000002</v>
          </cell>
          <cell r="F1732">
            <v>-0.14000000000000001</v>
          </cell>
        </row>
        <row r="1733">
          <cell r="A1733">
            <v>834670</v>
          </cell>
          <cell r="B1733" t="str">
            <v>COXA SOB C/OP 300G/UP ITF PERD CARIBE</v>
          </cell>
          <cell r="C1733">
            <v>1.925</v>
          </cell>
          <cell r="D1733">
            <v>1.925</v>
          </cell>
          <cell r="E1733">
            <v>-7.8E-2</v>
          </cell>
          <cell r="F1733">
            <v>-4.9000000000000044E-2</v>
          </cell>
        </row>
        <row r="1734">
          <cell r="A1734">
            <v>834671</v>
          </cell>
          <cell r="B1734" t="str">
            <v>COXA SOB C/OP 300G/UP ITF PERD HAITI</v>
          </cell>
          <cell r="C1734">
            <v>1.83</v>
          </cell>
          <cell r="D1734">
            <v>1.83</v>
          </cell>
          <cell r="E1734">
            <v>-7.8E-2</v>
          </cell>
          <cell r="F1734">
            <v>-4.6000000000000041E-2</v>
          </cell>
        </row>
        <row r="1735">
          <cell r="A1735">
            <v>834678</v>
          </cell>
          <cell r="B1735" t="str">
            <v>PEITO S/OPFC FGO CONG 80G TA/COZ/ASS BEL</v>
          </cell>
          <cell r="C1735">
            <v>7.7690000000000001</v>
          </cell>
          <cell r="D1735">
            <v>7.7690000000000001</v>
          </cell>
          <cell r="E1735">
            <v>-0.33300000000000002</v>
          </cell>
          <cell r="F1735">
            <v>-0.19700000000000006</v>
          </cell>
        </row>
        <row r="1736">
          <cell r="A1736">
            <v>834853</v>
          </cell>
          <cell r="B1736" t="str">
            <v>COXA SOB C/OP FGO CONG 350G/UP PERD CING</v>
          </cell>
          <cell r="C1736">
            <v>2.226</v>
          </cell>
          <cell r="D1736">
            <v>2.226</v>
          </cell>
          <cell r="E1736">
            <v>-0.55600000000000005</v>
          </cell>
          <cell r="F1736">
            <v>-5.3000000000000047E-2</v>
          </cell>
        </row>
        <row r="1737">
          <cell r="A1737">
            <v>834882</v>
          </cell>
          <cell r="B1737" t="str">
            <v>COXA C/OP FGO CONG DRUM 70-90G HALAL OMA</v>
          </cell>
          <cell r="C1737">
            <v>2.9359999999999999</v>
          </cell>
          <cell r="D1737">
            <v>2.9359999999999999</v>
          </cell>
          <cell r="E1737">
            <v>-0.625</v>
          </cell>
          <cell r="F1737">
            <v>-7.1000000000000063E-2</v>
          </cell>
        </row>
        <row r="1738">
          <cell r="A1738">
            <v>834975</v>
          </cell>
          <cell r="B1738" t="str">
            <v>PERNIL S/OC SUI CONG RETALHO BL PERD RUS</v>
          </cell>
          <cell r="C1738">
            <v>4.149</v>
          </cell>
          <cell r="D1738">
            <v>4.149</v>
          </cell>
          <cell r="E1738">
            <v>-7.6999999999999999E-2</v>
          </cell>
          <cell r="F1738">
            <v>-0.10599999999999998</v>
          </cell>
        </row>
        <row r="1739">
          <cell r="A1739">
            <v>835074</v>
          </cell>
          <cell r="B1739" t="str">
            <v>PEITO S/OPFC FGO CONG DESCL SALM BL INGL</v>
          </cell>
          <cell r="C1739">
            <v>5.6379999999999999</v>
          </cell>
          <cell r="D1739">
            <v>5.6379999999999999</v>
          </cell>
          <cell r="E1739">
            <v>-0.39900000000000002</v>
          </cell>
          <cell r="F1739">
            <v>-0.1419999999999999</v>
          </cell>
        </row>
        <row r="1740">
          <cell r="A1740">
            <v>835175</v>
          </cell>
          <cell r="B1740" t="str">
            <v>PEITO S/OPC C/F FGO CONG IND/VAC PERD CA</v>
          </cell>
          <cell r="C1740">
            <v>6.9169999999999998</v>
          </cell>
          <cell r="D1740">
            <v>6.9169999999999998</v>
          </cell>
          <cell r="E1740">
            <v>-0.48699999999999999</v>
          </cell>
          <cell r="F1740">
            <v>-0.17499999999999999</v>
          </cell>
        </row>
        <row r="1741">
          <cell r="A1741">
            <v>835180</v>
          </cell>
          <cell r="B1741" t="str">
            <v>COXA SOB S/OP FGO CONG ITF PERD CANARIAS</v>
          </cell>
          <cell r="C1741">
            <v>3.69</v>
          </cell>
          <cell r="D1741">
            <v>3.69</v>
          </cell>
          <cell r="E1741">
            <v>-0.42199999999999999</v>
          </cell>
          <cell r="F1741">
            <v>-9.2999999999999972E-2</v>
          </cell>
        </row>
        <row r="1742">
          <cell r="A1742">
            <v>835423</v>
          </cell>
          <cell r="B1742" t="str">
            <v>PEITO S/OPFC FGO CONG CUB 15MM TA/CO BEL</v>
          </cell>
          <cell r="C1742">
            <v>7.1470000000000002</v>
          </cell>
          <cell r="D1742">
            <v>7.1470000000000002</v>
          </cell>
          <cell r="E1742">
            <v>-0.33300000000000002</v>
          </cell>
          <cell r="F1742">
            <v>-0.18</v>
          </cell>
        </row>
        <row r="1743">
          <cell r="A1743">
            <v>835603</v>
          </cell>
          <cell r="B1743" t="str">
            <v>PEITO S/OPFC FGO CONG CUB 12MM TA/CO BEL</v>
          </cell>
          <cell r="C1743">
            <v>7.1470000000000002</v>
          </cell>
          <cell r="D1743">
            <v>7.1470000000000002</v>
          </cell>
          <cell r="E1743">
            <v>-0.33300000000000002</v>
          </cell>
          <cell r="F1743">
            <v>-0.18</v>
          </cell>
        </row>
        <row r="1744">
          <cell r="A1744">
            <v>3139</v>
          </cell>
          <cell r="B1744" t="str">
            <v>CRCB25 CARRE SUI CONG BAT CX 25KG</v>
          </cell>
          <cell r="C1744">
            <v>3.3919999999999999</v>
          </cell>
          <cell r="D1744">
            <v>3.016</v>
          </cell>
          <cell r="E1744">
            <v>-0.29199999999999998</v>
          </cell>
          <cell r="F1744">
            <v>-0.45500000000000002</v>
          </cell>
        </row>
        <row r="1745">
          <cell r="A1745">
            <v>3153</v>
          </cell>
          <cell r="B1745" t="str">
            <v>LBCB20 LOMBO SUI CONG BAT CX 20KG</v>
          </cell>
          <cell r="C1745">
            <v>4.0289999999999999</v>
          </cell>
          <cell r="D1745">
            <v>3.395</v>
          </cell>
          <cell r="E1745">
            <v>-0.17100000000000001</v>
          </cell>
          <cell r="F1745">
            <v>-0.41199999999999992</v>
          </cell>
        </row>
        <row r="1746">
          <cell r="A1746">
            <v>3228</v>
          </cell>
          <cell r="B1746" t="str">
            <v>BAVB12 BACON DEF S/COST VAC BAT CX 12KG</v>
          </cell>
          <cell r="C1746">
            <v>3.1579999999999999</v>
          </cell>
          <cell r="D1746">
            <v>2.411</v>
          </cell>
          <cell r="E1746">
            <v>-0.123</v>
          </cell>
          <cell r="F1746">
            <v>-0.42599999999999993</v>
          </cell>
        </row>
        <row r="1747">
          <cell r="A1747">
            <v>219070</v>
          </cell>
          <cell r="B1747" t="str">
            <v>OCS010 ORELHA/CARA SUI SALG CX 10KG</v>
          </cell>
          <cell r="C1747">
            <v>2.8849999999999998</v>
          </cell>
          <cell r="D1747">
            <v>2.2570000000000001</v>
          </cell>
          <cell r="E1747">
            <v>-0.245</v>
          </cell>
          <cell r="F1747">
            <v>-0.31399999999999995</v>
          </cell>
        </row>
        <row r="1748">
          <cell r="A1748">
            <v>323705</v>
          </cell>
          <cell r="B1748" t="str">
            <v>HME040 HAMBURGUER FGO MONICA CX 4,032KG</v>
          </cell>
          <cell r="C1748">
            <v>4.1289999999999996</v>
          </cell>
          <cell r="D1748">
            <v>3.2690000000000001</v>
          </cell>
          <cell r="E1748">
            <v>0</v>
          </cell>
          <cell r="F1748">
            <v>-0.96900000000000008</v>
          </cell>
        </row>
        <row r="1749">
          <cell r="A1749">
            <v>605816</v>
          </cell>
          <cell r="B1749" t="str">
            <v>HCB040 CHESTERBURGUER PERD CX 4,032KG</v>
          </cell>
          <cell r="C1749">
            <v>3.3570000000000002</v>
          </cell>
          <cell r="D1749">
            <v>2.63</v>
          </cell>
          <cell r="E1749">
            <v>0</v>
          </cell>
          <cell r="F1749">
            <v>-0.94400000000000006</v>
          </cell>
        </row>
        <row r="1750">
          <cell r="A1750">
            <v>673188</v>
          </cell>
          <cell r="B1750" t="str">
            <v>HBS064 HAMBURGUER SUINO 6 CARTUCHOS</v>
          </cell>
          <cell r="C1750">
            <v>3.1890000000000001</v>
          </cell>
          <cell r="D1750">
            <v>2.4990000000000001</v>
          </cell>
          <cell r="E1750">
            <v>0</v>
          </cell>
          <cell r="F1750">
            <v>-0.92600000000000005</v>
          </cell>
        </row>
        <row r="1751">
          <cell r="A1751">
            <v>673870</v>
          </cell>
          <cell r="B1751" t="str">
            <v>CFS010 COSTELA TIRAS FRIDAY'S CX 10KG</v>
          </cell>
          <cell r="C1751">
            <v>4.3659999999999997</v>
          </cell>
          <cell r="D1751">
            <v>3.88</v>
          </cell>
          <cell r="E1751">
            <v>-0.20699999999999999</v>
          </cell>
          <cell r="F1751">
            <v>-0.52899999999999991</v>
          </cell>
        </row>
        <row r="1752">
          <cell r="A1752">
            <v>786730</v>
          </cell>
          <cell r="B1752" t="str">
            <v>PHV008 PEITO DEF CHT VARIG PERD CX 7,7KG</v>
          </cell>
          <cell r="C1752">
            <v>4.0119999999999996</v>
          </cell>
          <cell r="D1752">
            <v>3.1829999999999998</v>
          </cell>
          <cell r="E1752">
            <v>0</v>
          </cell>
          <cell r="F1752">
            <v>-0.61899999999999999</v>
          </cell>
        </row>
        <row r="1753">
          <cell r="A1753">
            <v>812897</v>
          </cell>
          <cell r="B1753" t="str">
            <v>LIT820 LING CALAB IDEAL TING 8PT 2,5KG</v>
          </cell>
          <cell r="C1753">
            <v>2.8149999999999999</v>
          </cell>
          <cell r="D1753">
            <v>2.327</v>
          </cell>
          <cell r="E1753">
            <v>-0.27800000000000002</v>
          </cell>
          <cell r="F1753">
            <v>-0.28400000000000003</v>
          </cell>
        </row>
        <row r="1754">
          <cell r="A1754">
            <v>813818</v>
          </cell>
          <cell r="B1754" t="str">
            <v>AIT003 ASA INTEIRA FGO TEMP PERD CX 3KG</v>
          </cell>
          <cell r="C1754">
            <v>1.8180000000000001</v>
          </cell>
          <cell r="D1754">
            <v>1.4179999999999999</v>
          </cell>
          <cell r="E1754">
            <v>-0.34899999999999998</v>
          </cell>
          <cell r="F1754">
            <v>-0.121</v>
          </cell>
        </row>
        <row r="1755">
          <cell r="A1755">
            <v>813819</v>
          </cell>
          <cell r="B1755" t="str">
            <v>ATT003 ASA 2A JTA FGO TEMP PERD CX 3KG</v>
          </cell>
          <cell r="C1755">
            <v>2.411</v>
          </cell>
          <cell r="D1755">
            <v>2.0790000000000002</v>
          </cell>
          <cell r="E1755">
            <v>-0.28100000000000003</v>
          </cell>
          <cell r="F1755">
            <v>-0.16399999999999998</v>
          </cell>
        </row>
        <row r="1756">
          <cell r="A1756">
            <v>816823</v>
          </cell>
          <cell r="B1756" t="str">
            <v>MAI003 MANDIOCA CONG PERD INSTIT CX 3KG</v>
          </cell>
          <cell r="C1756">
            <v>1.752</v>
          </cell>
          <cell r="D1756">
            <v>1.2769999999999999</v>
          </cell>
          <cell r="E1756">
            <v>-0.23899999999999999</v>
          </cell>
          <cell r="F1756">
            <v>-0.29700000000000004</v>
          </cell>
        </row>
        <row r="1757">
          <cell r="A1757">
            <v>824771</v>
          </cell>
          <cell r="B1757" t="str">
            <v>PHG808 PEITO DEF CHT GONDOLA CX 7,3KG</v>
          </cell>
          <cell r="C1757">
            <v>2.5489999999999999</v>
          </cell>
          <cell r="D1757">
            <v>1.9</v>
          </cell>
          <cell r="E1757">
            <v>-0.19</v>
          </cell>
          <cell r="F1757">
            <v>-0.35399999999999987</v>
          </cell>
        </row>
        <row r="1758">
          <cell r="A1758">
            <v>826139</v>
          </cell>
          <cell r="B1758" t="str">
            <v>FCM013 FRANGO CARCACA MET 650G PERD 13KG</v>
          </cell>
          <cell r="C1758">
            <v>2.0270000000000001</v>
          </cell>
          <cell r="D1758">
            <v>1.81</v>
          </cell>
          <cell r="E1758">
            <v>-0.32100000000000001</v>
          </cell>
          <cell r="F1758">
            <v>-0.18099999999999999</v>
          </cell>
        </row>
        <row r="1759">
          <cell r="A1759">
            <v>827568</v>
          </cell>
          <cell r="B1759" t="str">
            <v>OCSB13 ORELHA C/M SUI SALG BAT CX 13KG</v>
          </cell>
          <cell r="C1759">
            <v>1.413</v>
          </cell>
          <cell r="D1759">
            <v>1.22</v>
          </cell>
          <cell r="E1759">
            <v>-0.22</v>
          </cell>
          <cell r="F1759">
            <v>-0.20199999999999996</v>
          </cell>
        </row>
        <row r="1760">
          <cell r="A1760">
            <v>200131</v>
          </cell>
          <cell r="B1760" t="str">
            <v>FGE153 FRANGO GRILLER PERD KUWAIT 1200G</v>
          </cell>
          <cell r="C1760">
            <v>2.5089999999999999</v>
          </cell>
          <cell r="D1760">
            <v>2.5089999999999999</v>
          </cell>
          <cell r="E1760">
            <v>-0.60199999999999998</v>
          </cell>
          <cell r="F1760">
            <v>-5.5999999999999994E-2</v>
          </cell>
        </row>
        <row r="1761">
          <cell r="A1761">
            <v>247383</v>
          </cell>
          <cell r="B1761" t="str">
            <v>FGE117 FRANGO GRILLER BOREL 1200G KUWAIT</v>
          </cell>
          <cell r="C1761">
            <v>2.7149999999999999</v>
          </cell>
          <cell r="D1761">
            <v>2.7149999999999999</v>
          </cell>
          <cell r="E1761">
            <v>-0.61799999999999999</v>
          </cell>
          <cell r="F1761">
            <v>-6.0000000000000053E-2</v>
          </cell>
        </row>
        <row r="1762">
          <cell r="A1762">
            <v>585076</v>
          </cell>
          <cell r="B1762" t="str">
            <v>FGE572 FRANGO GRILLER HALAL 1000G EAU</v>
          </cell>
          <cell r="C1762">
            <v>2.5590000000000002</v>
          </cell>
          <cell r="D1762">
            <v>2.5590000000000002</v>
          </cell>
          <cell r="E1762">
            <v>-0.56100000000000005</v>
          </cell>
          <cell r="F1762">
            <v>-5.799999999999994E-2</v>
          </cell>
        </row>
        <row r="1763">
          <cell r="A1763">
            <v>585084</v>
          </cell>
          <cell r="B1763" t="str">
            <v>FGE573 FRANGO GRILLER HALAL 1100G EAU</v>
          </cell>
          <cell r="C1763">
            <v>2.5590000000000002</v>
          </cell>
          <cell r="D1763">
            <v>2.5590000000000002</v>
          </cell>
          <cell r="E1763">
            <v>-0.56100000000000005</v>
          </cell>
          <cell r="F1763">
            <v>-5.799999999999994E-2</v>
          </cell>
        </row>
        <row r="1764">
          <cell r="A1764">
            <v>585092</v>
          </cell>
          <cell r="B1764" t="str">
            <v>FGE574 FRANGO GRILLER HALAL 1200G EAU</v>
          </cell>
          <cell r="C1764">
            <v>2.5590000000000002</v>
          </cell>
          <cell r="D1764">
            <v>2.5590000000000002</v>
          </cell>
          <cell r="E1764">
            <v>-0.56100000000000005</v>
          </cell>
          <cell r="F1764">
            <v>-5.699999999999994E-2</v>
          </cell>
        </row>
        <row r="1765">
          <cell r="A1765">
            <v>585106</v>
          </cell>
          <cell r="B1765" t="str">
            <v>FGE575 FRANGO GRILLER HALAL 1300G</v>
          </cell>
          <cell r="C1765">
            <v>2.5590000000000002</v>
          </cell>
          <cell r="D1765">
            <v>2.5590000000000002</v>
          </cell>
          <cell r="E1765">
            <v>-0.56100000000000005</v>
          </cell>
          <cell r="F1765">
            <v>-5.699999999999994E-2</v>
          </cell>
        </row>
        <row r="1766">
          <cell r="A1766">
            <v>587389</v>
          </cell>
          <cell r="B1766" t="str">
            <v>FGE579 FRANGO GRILLER HALAL 1400G</v>
          </cell>
          <cell r="C1766">
            <v>2.5590000000000002</v>
          </cell>
          <cell r="D1766">
            <v>2.5590000000000002</v>
          </cell>
          <cell r="E1766">
            <v>-0.56100000000000005</v>
          </cell>
          <cell r="F1766">
            <v>-5.7000000000000051E-2</v>
          </cell>
        </row>
        <row r="1767">
          <cell r="A1767">
            <v>606588</v>
          </cell>
          <cell r="B1767" t="str">
            <v>CFCE22 COXA C/O C/P 12BD CX 10,896KG</v>
          </cell>
          <cell r="C1767">
            <v>3.0409999999999999</v>
          </cell>
          <cell r="D1767">
            <v>3.0409999999999999</v>
          </cell>
          <cell r="E1767">
            <v>-0.63100000000000001</v>
          </cell>
          <cell r="F1767">
            <v>-6.800000000000006E-2</v>
          </cell>
        </row>
        <row r="1768">
          <cell r="A1768">
            <v>656976</v>
          </cell>
          <cell r="B1768" t="str">
            <v>FGCE94 FRANGO GRILLER HALAL 900G EAU</v>
          </cell>
          <cell r="C1768">
            <v>2.5590000000000002</v>
          </cell>
          <cell r="D1768">
            <v>2.5590000000000002</v>
          </cell>
          <cell r="E1768">
            <v>-0.56100000000000005</v>
          </cell>
          <cell r="F1768">
            <v>-5.8000000000000052E-2</v>
          </cell>
        </row>
        <row r="1769">
          <cell r="A1769">
            <v>657450</v>
          </cell>
          <cell r="B1769" t="str">
            <v>FGEC05 FRANGO GRILLER HONG KONG 1400G</v>
          </cell>
          <cell r="C1769">
            <v>1.885</v>
          </cell>
          <cell r="D1769">
            <v>1.885</v>
          </cell>
          <cell r="E1769">
            <v>-0.08</v>
          </cell>
          <cell r="F1769">
            <v>-4.4999999999999998E-2</v>
          </cell>
        </row>
        <row r="1770">
          <cell r="A1770">
            <v>657506</v>
          </cell>
          <cell r="B1770" t="str">
            <v>FGEC08 FRANGO GRILLER UNEF KUWAIT 1100G</v>
          </cell>
          <cell r="C1770">
            <v>2.6440000000000001</v>
          </cell>
          <cell r="D1770">
            <v>2.6440000000000001</v>
          </cell>
          <cell r="E1770">
            <v>-0.60599999999999998</v>
          </cell>
          <cell r="F1770">
            <v>-5.9000000000000052E-2</v>
          </cell>
        </row>
        <row r="1771">
          <cell r="A1771">
            <v>659495</v>
          </cell>
          <cell r="B1771" t="str">
            <v>PCFX06 PEITO S/O/P C/F INT 2,5KG CAN</v>
          </cell>
          <cell r="C1771">
            <v>6.4320000000000004</v>
          </cell>
          <cell r="D1771">
            <v>6.4320000000000004</v>
          </cell>
          <cell r="E1771">
            <v>-0.44900000000000001</v>
          </cell>
          <cell r="F1771">
            <v>-0.15100000000000025</v>
          </cell>
        </row>
        <row r="1772">
          <cell r="A1772">
            <v>659630</v>
          </cell>
          <cell r="B1772" t="str">
            <v>COXA SOB C/OP 190G/UP CANAR PERD CX 15KG</v>
          </cell>
          <cell r="C1772">
            <v>2.2229999999999999</v>
          </cell>
          <cell r="D1772">
            <v>2.2229999999999999</v>
          </cell>
          <cell r="E1772">
            <v>-0.38700000000000001</v>
          </cell>
          <cell r="F1772">
            <v>-5.099999999999999E-2</v>
          </cell>
        </row>
        <row r="1773">
          <cell r="A1773">
            <v>664146</v>
          </cell>
          <cell r="B1773" t="str">
            <v>FGEC15 FRANGO GRILLER HALAL 800G EAU</v>
          </cell>
          <cell r="C1773">
            <v>2.5590000000000002</v>
          </cell>
          <cell r="D1773">
            <v>2.5590000000000002</v>
          </cell>
          <cell r="E1773">
            <v>-0.56100000000000005</v>
          </cell>
          <cell r="F1773">
            <v>-5.6999999999999995E-2</v>
          </cell>
        </row>
        <row r="1774">
          <cell r="A1774">
            <v>672513</v>
          </cell>
          <cell r="B1774" t="str">
            <v>FBCE97 FRANGO BROILER PERD SING 1800G</v>
          </cell>
          <cell r="C1774">
            <v>2.2999999999999998</v>
          </cell>
          <cell r="D1774">
            <v>2.2999999999999998</v>
          </cell>
          <cell r="E1774">
            <v>-0.51500000000000001</v>
          </cell>
          <cell r="F1774">
            <v>-5.1999999999999935E-2</v>
          </cell>
        </row>
        <row r="1775">
          <cell r="A1775">
            <v>683183</v>
          </cell>
          <cell r="B1775" t="str">
            <v>CFEC16 COXA SOB SO CP KAK 10-15G PRIM K5</v>
          </cell>
          <cell r="C1775">
            <v>2.6190000000000002</v>
          </cell>
          <cell r="D1775">
            <v>2.6190000000000002</v>
          </cell>
          <cell r="E1775">
            <v>-0.13</v>
          </cell>
          <cell r="F1775">
            <v>-6.2E-2</v>
          </cell>
        </row>
        <row r="1776">
          <cell r="A1776">
            <v>683256</v>
          </cell>
          <cell r="B1776" t="str">
            <v>CFEC22 COXA SOB SO CP KAK 25-35G PRIM K6</v>
          </cell>
          <cell r="C1776">
            <v>2.7069999999999999</v>
          </cell>
          <cell r="D1776">
            <v>2.7069999999999999</v>
          </cell>
          <cell r="E1776">
            <v>-9.1999999999999998E-2</v>
          </cell>
          <cell r="F1776">
            <v>-6.3999999999999946E-2</v>
          </cell>
        </row>
        <row r="1777">
          <cell r="A1777">
            <v>688789</v>
          </cell>
          <cell r="B1777" t="str">
            <v>AIFC41 ASA 1A JTA DRUM 45-55G IQF PRIME</v>
          </cell>
          <cell r="C1777">
            <v>3.5619999999999998</v>
          </cell>
          <cell r="D1777">
            <v>3.5619999999999998</v>
          </cell>
          <cell r="E1777">
            <v>-0.13500000000000001</v>
          </cell>
          <cell r="F1777">
            <v>-8.5000000000000006E-2</v>
          </cell>
        </row>
        <row r="1778">
          <cell r="A1778">
            <v>688940</v>
          </cell>
          <cell r="B1778" t="str">
            <v>CFEC35 COXA/SOBREC S/O C/P 200G/UP ACHAT</v>
          </cell>
          <cell r="C1778">
            <v>3.4220000000000002</v>
          </cell>
          <cell r="D1778">
            <v>3.4220000000000002</v>
          </cell>
          <cell r="E1778">
            <v>-0.66500000000000004</v>
          </cell>
          <cell r="F1778">
            <v>-7.6999999999999957E-2</v>
          </cell>
        </row>
        <row r="1779">
          <cell r="A1779">
            <v>696196</v>
          </cell>
          <cell r="B1779" t="str">
            <v>FBEC37 FRANGO BROILER UNEF CING 1400G</v>
          </cell>
          <cell r="C1779">
            <v>2.4950000000000001</v>
          </cell>
          <cell r="D1779">
            <v>2.4950000000000001</v>
          </cell>
          <cell r="E1779">
            <v>-0.55900000000000005</v>
          </cell>
          <cell r="F1779">
            <v>-5.5999999999999939E-2</v>
          </cell>
        </row>
        <row r="1780">
          <cell r="A1780">
            <v>696269</v>
          </cell>
          <cell r="B1780" t="str">
            <v>FBEC43 FRANGO BROILER BOREL CING 1400G</v>
          </cell>
          <cell r="C1780">
            <v>2.4729999999999999</v>
          </cell>
          <cell r="D1780">
            <v>2.4729999999999999</v>
          </cell>
          <cell r="E1780">
            <v>-0.57699999999999996</v>
          </cell>
          <cell r="F1780">
            <v>-5.600000000000005E-2</v>
          </cell>
        </row>
        <row r="1781">
          <cell r="A1781">
            <v>696277</v>
          </cell>
          <cell r="B1781" t="str">
            <v>FBEC44 FRANGO BROILER BOREL CING 1500G</v>
          </cell>
          <cell r="C1781">
            <v>2.4670000000000001</v>
          </cell>
          <cell r="D1781">
            <v>2.4670000000000001</v>
          </cell>
          <cell r="E1781">
            <v>-0.55000000000000004</v>
          </cell>
          <cell r="F1781">
            <v>-5.5999999999999939E-2</v>
          </cell>
        </row>
        <row r="1782">
          <cell r="A1782">
            <v>696285</v>
          </cell>
          <cell r="B1782" t="str">
            <v>FBEC45 FRANGO BROILER BOREL CING 1600G</v>
          </cell>
          <cell r="C1782">
            <v>2.4769999999999999</v>
          </cell>
          <cell r="D1782">
            <v>2.4769999999999999</v>
          </cell>
          <cell r="E1782">
            <v>-0.54900000000000004</v>
          </cell>
          <cell r="F1782">
            <v>-5.5000000000000049E-2</v>
          </cell>
        </row>
        <row r="1783">
          <cell r="A1783">
            <v>696781</v>
          </cell>
          <cell r="B1783" t="str">
            <v>PCEC07 PE C/CANELA 15G/UP BL 6KG CX 12KG</v>
          </cell>
          <cell r="C1783">
            <v>0.52600000000000002</v>
          </cell>
          <cell r="D1783">
            <v>0.52600000000000002</v>
          </cell>
          <cell r="E1783">
            <v>-0.08</v>
          </cell>
          <cell r="F1783">
            <v>-1.2000000000000011E-2</v>
          </cell>
        </row>
        <row r="1784">
          <cell r="A1784">
            <v>697060</v>
          </cell>
          <cell r="B1784" t="str">
            <v>AIFC69 ASA 2A JTA SEC TEB 15GUP PRIME R9</v>
          </cell>
          <cell r="C1784">
            <v>3.798</v>
          </cell>
          <cell r="D1784">
            <v>3.798</v>
          </cell>
          <cell r="E1784">
            <v>-0.13800000000000001</v>
          </cell>
          <cell r="F1784">
            <v>-9.1000000000000192E-2</v>
          </cell>
        </row>
        <row r="1785">
          <cell r="A1785">
            <v>702013</v>
          </cell>
          <cell r="B1785" t="str">
            <v>PCFE43 PEITO S/OPFC MET 120G N.Q. ITF</v>
          </cell>
          <cell r="C1785">
            <v>7.08</v>
          </cell>
          <cell r="D1785">
            <v>7.08</v>
          </cell>
          <cell r="E1785">
            <v>-0.32700000000000001</v>
          </cell>
          <cell r="F1785">
            <v>-0.16699999999999982</v>
          </cell>
        </row>
        <row r="1786">
          <cell r="A1786">
            <v>706604</v>
          </cell>
          <cell r="B1786" t="str">
            <v>PCFE67 PEITO S/OPFC MET DESCL PT 7,5KG</v>
          </cell>
          <cell r="C1786">
            <v>5.5860000000000003</v>
          </cell>
          <cell r="D1786">
            <v>5.5860000000000003</v>
          </cell>
          <cell r="E1786">
            <v>-0.41599999999999998</v>
          </cell>
          <cell r="F1786">
            <v>-0.13099999999999978</v>
          </cell>
        </row>
        <row r="1787">
          <cell r="A1787">
            <v>713295</v>
          </cell>
          <cell r="B1787" t="str">
            <v>CSCE02 CARRE SUI N1 IND 2,8KG HOLANDA</v>
          </cell>
          <cell r="C1787">
            <v>3.67</v>
          </cell>
          <cell r="D1787">
            <v>3.67</v>
          </cell>
          <cell r="E1787">
            <v>-0.32800000000000001</v>
          </cell>
          <cell r="F1787">
            <v>-8.6000000000000021E-2</v>
          </cell>
        </row>
        <row r="1788">
          <cell r="A1788">
            <v>741272</v>
          </cell>
          <cell r="B1788" t="str">
            <v>COXA SOBREC S/O C/P PT1KG/VAC ACHAT CING</v>
          </cell>
          <cell r="C1788">
            <v>2.9590000000000001</v>
          </cell>
          <cell r="D1788">
            <v>2.9590000000000001</v>
          </cell>
          <cell r="E1788">
            <v>-0.62</v>
          </cell>
          <cell r="F1788">
            <v>-6.6999999999999948E-2</v>
          </cell>
        </row>
        <row r="1789">
          <cell r="A1789">
            <v>741310</v>
          </cell>
          <cell r="B1789" t="str">
            <v>COXA SOBREC S/O C/P PT2KG/VAC ACHAT CING</v>
          </cell>
          <cell r="C1789">
            <v>2.9489999999999998</v>
          </cell>
          <cell r="D1789">
            <v>2.9489999999999998</v>
          </cell>
          <cell r="E1789">
            <v>-0.63100000000000001</v>
          </cell>
          <cell r="F1789">
            <v>-6.700000000000006E-2</v>
          </cell>
        </row>
        <row r="1790">
          <cell r="A1790">
            <v>741701</v>
          </cell>
          <cell r="B1790" t="str">
            <v>CSCE42 COXA SOBREC S/O C/P PT 5KG/VAC</v>
          </cell>
          <cell r="C1790">
            <v>2.8580000000000001</v>
          </cell>
          <cell r="D1790">
            <v>2.8580000000000001</v>
          </cell>
          <cell r="E1790">
            <v>-0.627</v>
          </cell>
          <cell r="F1790">
            <v>-6.4999999999999947E-2</v>
          </cell>
        </row>
        <row r="1791">
          <cell r="A1791">
            <v>746401</v>
          </cell>
          <cell r="B1791" t="str">
            <v>CLCE05 COPA LOMBO SUI PERD HOLAND CX12KG</v>
          </cell>
          <cell r="C1791">
            <v>4.1929999999999996</v>
          </cell>
          <cell r="D1791">
            <v>4.1929999999999996</v>
          </cell>
          <cell r="E1791">
            <v>-0.32700000000000001</v>
          </cell>
          <cell r="F1791">
            <v>-9.6999999999999975E-2</v>
          </cell>
        </row>
        <row r="1792">
          <cell r="A1792">
            <v>753297</v>
          </cell>
          <cell r="B1792" t="str">
            <v>PCEF80 PEITO S/O S/P S/CLAV C/F 250G UP</v>
          </cell>
          <cell r="C1792">
            <v>6.8529999999999998</v>
          </cell>
          <cell r="D1792">
            <v>6.8529999999999998</v>
          </cell>
          <cell r="E1792">
            <v>-0.44700000000000001</v>
          </cell>
          <cell r="F1792">
            <v>-0.16100000000000003</v>
          </cell>
        </row>
        <row r="1793">
          <cell r="A1793">
            <v>753394</v>
          </cell>
          <cell r="B1793" t="str">
            <v>PCEF87 PEITO S/O S/P S/CLAV C/F ITF PERD</v>
          </cell>
          <cell r="C1793">
            <v>6.5490000000000004</v>
          </cell>
          <cell r="D1793">
            <v>6.5490000000000004</v>
          </cell>
          <cell r="E1793">
            <v>-0.45100000000000001</v>
          </cell>
          <cell r="F1793">
            <v>-0.15399999999999991</v>
          </cell>
        </row>
        <row r="1794">
          <cell r="A1794">
            <v>753505</v>
          </cell>
          <cell r="B1794" t="str">
            <v>PCEF98 PEITO S/O S/P S/F S/CLAV 50-90G</v>
          </cell>
          <cell r="C1794">
            <v>6.6070000000000002</v>
          </cell>
          <cell r="D1794">
            <v>6.6070000000000002</v>
          </cell>
          <cell r="E1794">
            <v>-0.443</v>
          </cell>
          <cell r="F1794">
            <v>-0.155</v>
          </cell>
        </row>
        <row r="1795">
          <cell r="A1795">
            <v>753670</v>
          </cell>
          <cell r="B1795" t="str">
            <v>PECF16 PEITO S/OPC C/F CHT IND/VAC CANAR</v>
          </cell>
          <cell r="C1795">
            <v>6.9</v>
          </cell>
          <cell r="D1795">
            <v>6.9</v>
          </cell>
          <cell r="E1795">
            <v>-0.45600000000000002</v>
          </cell>
          <cell r="F1795">
            <v>-0.16200000000000037</v>
          </cell>
        </row>
        <row r="1796">
          <cell r="A1796">
            <v>754994</v>
          </cell>
          <cell r="B1796" t="str">
            <v>FEGC32 FRANGO GRIL PERD CANAR 1200G</v>
          </cell>
          <cell r="C1796">
            <v>2.5739999999999998</v>
          </cell>
          <cell r="D1796">
            <v>2.5739999999999998</v>
          </cell>
          <cell r="E1796">
            <v>-0.375</v>
          </cell>
          <cell r="F1796">
            <v>-5.9000000000000052E-2</v>
          </cell>
        </row>
        <row r="1797">
          <cell r="A1797">
            <v>755010</v>
          </cell>
          <cell r="B1797" t="str">
            <v>FEGC33 FRANGO GRILL PERD CANAR 1300G</v>
          </cell>
          <cell r="C1797">
            <v>2.5739999999999998</v>
          </cell>
          <cell r="D1797">
            <v>2.5739999999999998</v>
          </cell>
          <cell r="E1797">
            <v>-0.376</v>
          </cell>
          <cell r="F1797">
            <v>-5.8999999999999941E-2</v>
          </cell>
        </row>
        <row r="1798">
          <cell r="A1798">
            <v>758043</v>
          </cell>
          <cell r="B1798" t="str">
            <v>FEGC40 FRANGO GRILLER 1100G CANARIAS</v>
          </cell>
          <cell r="C1798">
            <v>2.5150000000000001</v>
          </cell>
          <cell r="D1798">
            <v>2.5150000000000001</v>
          </cell>
          <cell r="E1798">
            <v>-0.374</v>
          </cell>
          <cell r="F1798">
            <v>-5.8000000000000052E-2</v>
          </cell>
        </row>
        <row r="1799">
          <cell r="A1799">
            <v>758205</v>
          </cell>
          <cell r="B1799" t="str">
            <v>CSCE84 COXA/SOBREC C/O/P 200G/UP ITF</v>
          </cell>
          <cell r="C1799">
            <v>2.0649999999999999</v>
          </cell>
          <cell r="D1799">
            <v>2.0649999999999999</v>
          </cell>
          <cell r="E1799">
            <v>-0.36699999999999999</v>
          </cell>
          <cell r="F1799">
            <v>-4.6999999999999986E-2</v>
          </cell>
        </row>
        <row r="1800">
          <cell r="A1800">
            <v>761109</v>
          </cell>
          <cell r="B1800" t="str">
            <v>CSCE88 COXA/SOBREC C/O/P 200G/AC ITF CAN</v>
          </cell>
          <cell r="C1800">
            <v>1.9890000000000001</v>
          </cell>
          <cell r="D1800">
            <v>1.9890000000000001</v>
          </cell>
          <cell r="E1800">
            <v>-0.38400000000000001</v>
          </cell>
          <cell r="F1800">
            <v>-4.5999999999999985E-2</v>
          </cell>
        </row>
        <row r="1801">
          <cell r="A1801">
            <v>761320</v>
          </cell>
          <cell r="B1801" t="str">
            <v>FEGC44 FRANGO GRILLER 1200G PERD CANARIA</v>
          </cell>
          <cell r="C1801">
            <v>2.6909999999999998</v>
          </cell>
          <cell r="D1801">
            <v>2.6909999999999998</v>
          </cell>
          <cell r="E1801">
            <v>-0.36199999999999999</v>
          </cell>
          <cell r="F1801">
            <v>-6.2000000000000055E-2</v>
          </cell>
        </row>
        <row r="1802">
          <cell r="A1802">
            <v>761338</v>
          </cell>
          <cell r="B1802" t="str">
            <v>FEGC45 FRANGO GRILLER 1300G PERD CANARIA</v>
          </cell>
          <cell r="C1802">
            <v>2.6909999999999998</v>
          </cell>
          <cell r="D1802">
            <v>2.6909999999999998</v>
          </cell>
          <cell r="E1802">
            <v>-0.36199999999999999</v>
          </cell>
          <cell r="F1802">
            <v>-6.1999999999999833E-2</v>
          </cell>
        </row>
        <row r="1803">
          <cell r="A1803">
            <v>768944</v>
          </cell>
          <cell r="B1803" t="str">
            <v>PECF85 PEITO S/OFC C/P PT 2,5KG ACHAT</v>
          </cell>
          <cell r="C1803">
            <v>5.6920000000000002</v>
          </cell>
          <cell r="D1803">
            <v>5.6920000000000002</v>
          </cell>
          <cell r="E1803">
            <v>-0.69699999999999995</v>
          </cell>
          <cell r="F1803">
            <v>-0.13199999999999967</v>
          </cell>
        </row>
        <row r="1804">
          <cell r="A1804">
            <v>769126</v>
          </cell>
          <cell r="B1804" t="str">
            <v>PECF88 PEITO S/OPFC MET PT10KG TAMBL/COZ</v>
          </cell>
          <cell r="C1804">
            <v>7.0549999999999997</v>
          </cell>
          <cell r="D1804">
            <v>7.0549999999999997</v>
          </cell>
          <cell r="E1804">
            <v>-0.36199999999999999</v>
          </cell>
          <cell r="F1804">
            <v>-0.16599999999999993</v>
          </cell>
        </row>
        <row r="1805">
          <cell r="A1805">
            <v>780499</v>
          </cell>
          <cell r="B1805" t="str">
            <v>PFEC33 PEITO S/OPFC INT ACHAT PT 2,5KG</v>
          </cell>
          <cell r="C1805">
            <v>5.7610000000000001</v>
          </cell>
          <cell r="D1805">
            <v>5.7610000000000001</v>
          </cell>
          <cell r="E1805">
            <v>-0.71499999999999997</v>
          </cell>
          <cell r="F1805">
            <v>-0.1339999999999999</v>
          </cell>
        </row>
        <row r="1806">
          <cell r="A1806">
            <v>792926</v>
          </cell>
          <cell r="B1806" t="str">
            <v>PEITO S/OPFC BUT TAM/MAR CAJUN BOREL ING</v>
          </cell>
          <cell r="C1806">
            <v>5.3</v>
          </cell>
          <cell r="D1806">
            <v>5.3</v>
          </cell>
          <cell r="E1806">
            <v>-0.45</v>
          </cell>
          <cell r="F1806">
            <v>-0.123</v>
          </cell>
        </row>
        <row r="1807">
          <cell r="A1807">
            <v>792993</v>
          </cell>
          <cell r="B1807" t="str">
            <v>CECS03 COXA SOB SO CP 180-200G ABERTA</v>
          </cell>
          <cell r="C1807">
            <v>3.7480000000000002</v>
          </cell>
          <cell r="D1807">
            <v>3.7480000000000002</v>
          </cell>
          <cell r="E1807">
            <v>-0.51500000000000001</v>
          </cell>
          <cell r="F1807">
            <v>-8.5999999999999854E-2</v>
          </cell>
        </row>
        <row r="1808">
          <cell r="A1808">
            <v>794970</v>
          </cell>
          <cell r="B1808" t="str">
            <v>CECS05 COXA SOB S/O C/P KAK 30G BORELLA</v>
          </cell>
          <cell r="C1808">
            <v>3.3719999999999999</v>
          </cell>
          <cell r="D1808">
            <v>3.3719999999999999</v>
          </cell>
          <cell r="E1808">
            <v>-0.51300000000000001</v>
          </cell>
          <cell r="F1808">
            <v>-7.7000000000000068E-2</v>
          </cell>
        </row>
        <row r="1809">
          <cell r="A1809">
            <v>807761</v>
          </cell>
          <cell r="B1809" t="str">
            <v>PEITO S/OPFC CUB 15MM PT 2,5KG TA/CO ING</v>
          </cell>
          <cell r="C1809">
            <v>7.7469999999999999</v>
          </cell>
          <cell r="D1809">
            <v>7.7469999999999999</v>
          </cell>
          <cell r="E1809">
            <v>-0.48499999999999999</v>
          </cell>
          <cell r="F1809">
            <v>-0.18100000000000005</v>
          </cell>
        </row>
        <row r="1810">
          <cell r="A1810">
            <v>807887</v>
          </cell>
          <cell r="B1810" t="str">
            <v>CECS14 COXA/SOBREC C/OP CANAR 200GUP ITF</v>
          </cell>
          <cell r="C1810">
            <v>2.0760000000000001</v>
          </cell>
          <cell r="D1810">
            <v>2.0760000000000001</v>
          </cell>
          <cell r="E1810">
            <v>-0.376</v>
          </cell>
          <cell r="F1810">
            <v>-4.7000000000000042E-2</v>
          </cell>
        </row>
        <row r="1811">
          <cell r="A1811">
            <v>807889</v>
          </cell>
          <cell r="B1811" t="str">
            <v>PFEC85 PEITO S/OPC C/F CANAR 250G/UP</v>
          </cell>
          <cell r="C1811">
            <v>6.4320000000000004</v>
          </cell>
          <cell r="D1811">
            <v>6.4320000000000004</v>
          </cell>
          <cell r="E1811">
            <v>-0.442</v>
          </cell>
          <cell r="F1811">
            <v>-0.15100000000000025</v>
          </cell>
        </row>
        <row r="1812">
          <cell r="A1812">
            <v>808125</v>
          </cell>
          <cell r="B1812" t="str">
            <v>CECS15 COXA SOBREC C/OP BDJ 908G KUWAIT</v>
          </cell>
          <cell r="C1812">
            <v>2.9940000000000002</v>
          </cell>
          <cell r="D1812">
            <v>2.9940000000000002</v>
          </cell>
          <cell r="E1812">
            <v>-0.65400000000000003</v>
          </cell>
          <cell r="F1812">
            <v>-6.6999999999999948E-2</v>
          </cell>
        </row>
        <row r="1813">
          <cell r="A1813">
            <v>808126</v>
          </cell>
          <cell r="B1813" t="str">
            <v>CFEC98 COXA C/OP DRUMST BDJ 908G KUWAIT</v>
          </cell>
          <cell r="C1813">
            <v>3.089</v>
          </cell>
          <cell r="D1813">
            <v>3.089</v>
          </cell>
          <cell r="E1813">
            <v>-0.66400000000000003</v>
          </cell>
          <cell r="F1813">
            <v>-6.9999999999999951E-2</v>
          </cell>
        </row>
        <row r="1814">
          <cell r="A1814">
            <v>809351</v>
          </cell>
          <cell r="B1814" t="str">
            <v>PEITO S/OPFC TIRAS 12MM PT TAMB/COZ INGL</v>
          </cell>
          <cell r="C1814">
            <v>7.85</v>
          </cell>
          <cell r="D1814">
            <v>7.85</v>
          </cell>
          <cell r="E1814">
            <v>-0.48399999999999999</v>
          </cell>
          <cell r="F1814">
            <v>-0.18400000000000016</v>
          </cell>
        </row>
        <row r="1815">
          <cell r="A1815">
            <v>809454</v>
          </cell>
          <cell r="B1815" t="str">
            <v>FFCE40 FILEZINHO FGO EMP 12 CART PARAG</v>
          </cell>
          <cell r="C1815">
            <v>5.0039999999999996</v>
          </cell>
          <cell r="D1815">
            <v>5.0039999999999996</v>
          </cell>
          <cell r="E1815">
            <v>-6.8000000000000005E-2</v>
          </cell>
          <cell r="F1815">
            <v>-0.11899999999999977</v>
          </cell>
        </row>
        <row r="1816">
          <cell r="A1816">
            <v>809455</v>
          </cell>
          <cell r="B1816" t="str">
            <v>MCKE07 MINI CHICKEN FGO MONICA PARAG</v>
          </cell>
          <cell r="C1816">
            <v>3.7810000000000001</v>
          </cell>
          <cell r="D1816">
            <v>3.7810000000000001</v>
          </cell>
          <cell r="E1816">
            <v>-6.8000000000000005E-2</v>
          </cell>
          <cell r="F1816">
            <v>-9.000000000000008E-2</v>
          </cell>
        </row>
        <row r="1817">
          <cell r="A1817">
            <v>809468</v>
          </cell>
          <cell r="B1817" t="str">
            <v>FECB46 FRANGO BROILER 1600G PARAG PERD</v>
          </cell>
          <cell r="C1817">
            <v>1.712</v>
          </cell>
          <cell r="D1817">
            <v>1.712</v>
          </cell>
          <cell r="E1817">
            <v>-6.8000000000000005E-2</v>
          </cell>
          <cell r="F1817">
            <v>-4.0999999999999981E-2</v>
          </cell>
        </row>
        <row r="1818">
          <cell r="A1818">
            <v>809470</v>
          </cell>
          <cell r="B1818" t="str">
            <v>FECB48 FRANGO BROILER 1800G PARAG PERD</v>
          </cell>
          <cell r="C1818">
            <v>1.712</v>
          </cell>
          <cell r="D1818">
            <v>1.712</v>
          </cell>
          <cell r="E1818">
            <v>-6.8000000000000005E-2</v>
          </cell>
          <cell r="F1818">
            <v>-4.1000000000000036E-2</v>
          </cell>
        </row>
        <row r="1819">
          <cell r="A1819">
            <v>809481</v>
          </cell>
          <cell r="B1819" t="str">
            <v>COXA SOBREC S/O C/P S/FAIXA ACHAT CING</v>
          </cell>
          <cell r="C1819">
            <v>3.15</v>
          </cell>
          <cell r="D1819">
            <v>3.15</v>
          </cell>
          <cell r="E1819">
            <v>-0.59099999999999997</v>
          </cell>
          <cell r="F1819">
            <v>-7.1999999999999953E-2</v>
          </cell>
        </row>
        <row r="1820">
          <cell r="A1820">
            <v>809635</v>
          </cell>
          <cell r="B1820" t="str">
            <v>PFEP32 PEITO S/OPFC MET 80G/UP N.Q ING</v>
          </cell>
          <cell r="C1820">
            <v>6.5880000000000001</v>
          </cell>
          <cell r="D1820">
            <v>6.5880000000000001</v>
          </cell>
          <cell r="E1820">
            <v>-0.39400000000000002</v>
          </cell>
          <cell r="F1820">
            <v>-0.155</v>
          </cell>
        </row>
        <row r="1821">
          <cell r="A1821">
            <v>811349</v>
          </cell>
          <cell r="B1821" t="str">
            <v>PFEP97 PEITO S/OPFC CUBOS 19MM TAMB ING</v>
          </cell>
          <cell r="C1821">
            <v>7.9779999999999998</v>
          </cell>
          <cell r="D1821">
            <v>7.9779999999999998</v>
          </cell>
          <cell r="E1821">
            <v>-0.47899999999999998</v>
          </cell>
          <cell r="F1821">
            <v>-0.18699999999999983</v>
          </cell>
        </row>
        <row r="1822">
          <cell r="A1822">
            <v>811555</v>
          </cell>
          <cell r="B1822" t="str">
            <v>FCGE62 FRANGO GRILLER 800G HALAL IEMEN</v>
          </cell>
          <cell r="C1822">
            <v>2.5489999999999999</v>
          </cell>
          <cell r="D1822">
            <v>2.5489999999999999</v>
          </cell>
          <cell r="E1822">
            <v>-0.55300000000000005</v>
          </cell>
          <cell r="F1822">
            <v>-5.7000000000000051E-2</v>
          </cell>
        </row>
        <row r="1823">
          <cell r="A1823">
            <v>811560</v>
          </cell>
          <cell r="B1823" t="str">
            <v>FCGE67 FRANGO GRILLER 1300G HALAL IEMEN</v>
          </cell>
          <cell r="C1823">
            <v>2.5489999999999999</v>
          </cell>
          <cell r="D1823">
            <v>2.5489999999999999</v>
          </cell>
          <cell r="E1823">
            <v>-0.55300000000000005</v>
          </cell>
          <cell r="F1823">
            <v>-5.8000000000000052E-2</v>
          </cell>
        </row>
        <row r="1824">
          <cell r="A1824">
            <v>811561</v>
          </cell>
          <cell r="B1824" t="str">
            <v>FCGE68 FRANGO GRILLER 1400G HALAL IEMEN</v>
          </cell>
          <cell r="C1824">
            <v>2.5489999999999999</v>
          </cell>
          <cell r="D1824">
            <v>2.5489999999999999</v>
          </cell>
          <cell r="E1824">
            <v>-0.54600000000000004</v>
          </cell>
          <cell r="F1824">
            <v>-5.8000000000000052E-2</v>
          </cell>
        </row>
        <row r="1825">
          <cell r="A1825">
            <v>811562</v>
          </cell>
          <cell r="B1825" t="str">
            <v>FCGE69 FRANGO GRILLER 1500G HALAL IEMEN</v>
          </cell>
          <cell r="C1825">
            <v>2.5489999999999999</v>
          </cell>
          <cell r="D1825">
            <v>2.5489999999999999</v>
          </cell>
          <cell r="E1825">
            <v>-0.54600000000000004</v>
          </cell>
          <cell r="F1825">
            <v>-5.7000000000000051E-2</v>
          </cell>
        </row>
        <row r="1826">
          <cell r="A1826">
            <v>811563</v>
          </cell>
          <cell r="B1826" t="str">
            <v>FCGE70 FRANGO GRILLER 1600G HALAL IEMEN</v>
          </cell>
          <cell r="C1826">
            <v>2.5489999999999999</v>
          </cell>
          <cell r="D1826">
            <v>2.5489999999999999</v>
          </cell>
          <cell r="E1826">
            <v>-0.54600000000000004</v>
          </cell>
          <cell r="F1826">
            <v>-5.8000000000000052E-2</v>
          </cell>
        </row>
        <row r="1827">
          <cell r="A1827">
            <v>812486</v>
          </cell>
          <cell r="B1827" t="str">
            <v>CECS82 COXA SOBREC C/OP 250-300G CANAR</v>
          </cell>
          <cell r="C1827">
            <v>2.1059999999999999</v>
          </cell>
          <cell r="D1827">
            <v>2.1059999999999999</v>
          </cell>
          <cell r="E1827">
            <v>-0.38500000000000001</v>
          </cell>
          <cell r="F1827">
            <v>-4.8000000000000043E-2</v>
          </cell>
        </row>
        <row r="1828">
          <cell r="A1828">
            <v>812844</v>
          </cell>
          <cell r="B1828" t="str">
            <v>TSEC03 TORTUGUITA SUI CONG BL 25KG ARG</v>
          </cell>
          <cell r="C1828">
            <v>3.6150000000000002</v>
          </cell>
          <cell r="D1828">
            <v>3.6150000000000002</v>
          </cell>
          <cell r="E1828">
            <v>-0.26100000000000001</v>
          </cell>
          <cell r="F1828">
            <v>-8.5000000000000006E-2</v>
          </cell>
        </row>
        <row r="1829">
          <cell r="A1829">
            <v>813183</v>
          </cell>
          <cell r="B1829" t="str">
            <v>SFCE67 SOBRECOXA S/OP PT 2,5KG OMAN</v>
          </cell>
          <cell r="C1829">
            <v>3.6579999999999999</v>
          </cell>
          <cell r="D1829">
            <v>3.6579999999999999</v>
          </cell>
          <cell r="E1829">
            <v>-0.67</v>
          </cell>
          <cell r="F1829">
            <v>-8.2999999999999963E-2</v>
          </cell>
        </row>
        <row r="1830">
          <cell r="A1830">
            <v>815769</v>
          </cell>
          <cell r="B1830" t="str">
            <v>FRGE02 FRANGO GRILLER 1200G PERD ARGENT</v>
          </cell>
          <cell r="C1830">
            <v>1.871</v>
          </cell>
          <cell r="D1830">
            <v>1.871</v>
          </cell>
          <cell r="E1830">
            <v>-7.5999999999999998E-2</v>
          </cell>
          <cell r="F1830">
            <v>-4.4000000000000039E-2</v>
          </cell>
        </row>
        <row r="1831">
          <cell r="A1831">
            <v>816378</v>
          </cell>
          <cell r="B1831" t="str">
            <v>CSBC58 COXA SOB S/O C/P 220-240G JAPAO</v>
          </cell>
          <cell r="C1831">
            <v>2.82</v>
          </cell>
          <cell r="D1831">
            <v>2.82</v>
          </cell>
          <cell r="E1831">
            <v>-0.114</v>
          </cell>
          <cell r="F1831">
            <v>-6.6999999999999948E-2</v>
          </cell>
        </row>
        <row r="1832">
          <cell r="A1832">
            <v>816456</v>
          </cell>
          <cell r="B1832" t="str">
            <v>CHTE03 CHESTER INT TEMP PARAG CX 25KG</v>
          </cell>
          <cell r="C1832">
            <v>2.4689999999999999</v>
          </cell>
          <cell r="D1832">
            <v>2.4689999999999999</v>
          </cell>
          <cell r="E1832">
            <v>-6.8000000000000005E-2</v>
          </cell>
          <cell r="F1832">
            <v>-5.8000000000000052E-2</v>
          </cell>
        </row>
        <row r="1833">
          <cell r="A1833">
            <v>816763</v>
          </cell>
          <cell r="B1833" t="str">
            <v>FRGE05 FRANGO GRILLER 1800G HALAL IEMEN</v>
          </cell>
          <cell r="C1833">
            <v>2.5489999999999999</v>
          </cell>
          <cell r="D1833">
            <v>2.5489999999999999</v>
          </cell>
          <cell r="E1833">
            <v>-0.54500000000000004</v>
          </cell>
          <cell r="F1833">
            <v>-5.8000000000000052E-2</v>
          </cell>
        </row>
        <row r="1834">
          <cell r="A1834">
            <v>817366</v>
          </cell>
          <cell r="B1834" t="str">
            <v>PPCE12 PEITO S/OPFC 195-225G TAMBL INGL</v>
          </cell>
          <cell r="C1834">
            <v>5.1349999999999998</v>
          </cell>
          <cell r="D1834">
            <v>5.1349999999999998</v>
          </cell>
          <cell r="E1834">
            <v>-0.44700000000000001</v>
          </cell>
          <cell r="F1834">
            <v>-0.11899999999999999</v>
          </cell>
        </row>
        <row r="1835">
          <cell r="A1835">
            <v>817493</v>
          </cell>
          <cell r="B1835" t="str">
            <v>PPCE13 PEITO S/OPFC CHT SALM HOLANDA</v>
          </cell>
          <cell r="C1835">
            <v>6.2210000000000001</v>
          </cell>
          <cell r="D1835">
            <v>6.2210000000000001</v>
          </cell>
          <cell r="E1835">
            <v>-0.33800000000000002</v>
          </cell>
          <cell r="F1835">
            <v>-0.14599999999999991</v>
          </cell>
        </row>
        <row r="1836">
          <cell r="A1836">
            <v>817616</v>
          </cell>
          <cell r="B1836" t="str">
            <v>COXA SOB S/O C/P 260-280G PERD JAPAO BCA</v>
          </cell>
          <cell r="C1836">
            <v>3.411</v>
          </cell>
          <cell r="D1836">
            <v>3.411</v>
          </cell>
          <cell r="E1836">
            <v>-0.51800000000000002</v>
          </cell>
          <cell r="F1836">
            <v>-7.8000000000000069E-2</v>
          </cell>
        </row>
        <row r="1837">
          <cell r="A1837">
            <v>817617</v>
          </cell>
          <cell r="B1837" t="str">
            <v>COXA SOB S/O C/P 280-300G PERD JAPAO BCA</v>
          </cell>
          <cell r="C1837">
            <v>3.4220000000000002</v>
          </cell>
          <cell r="D1837">
            <v>3.4220000000000002</v>
          </cell>
          <cell r="E1837">
            <v>-0.52</v>
          </cell>
          <cell r="F1837">
            <v>-7.8000000000000069E-2</v>
          </cell>
        </row>
        <row r="1838">
          <cell r="A1838">
            <v>821486</v>
          </cell>
          <cell r="B1838" t="str">
            <v>ASA 2A JTA FGO 30G/UP PT 1KG BOREL CING</v>
          </cell>
          <cell r="C1838">
            <v>4.2</v>
          </cell>
          <cell r="D1838">
            <v>4.2</v>
          </cell>
          <cell r="E1838">
            <v>-0.68700000000000006</v>
          </cell>
          <cell r="F1838">
            <v>-9.6000000000000085E-2</v>
          </cell>
        </row>
        <row r="1839">
          <cell r="A1839">
            <v>822721</v>
          </cell>
          <cell r="B1839" t="str">
            <v>SOBRECOXA C/OP BDJ 908G PERD KUWAIT</v>
          </cell>
          <cell r="C1839">
            <v>2.9380000000000002</v>
          </cell>
          <cell r="D1839">
            <v>2.9380000000000002</v>
          </cell>
          <cell r="E1839">
            <v>-0.65200000000000002</v>
          </cell>
          <cell r="F1839">
            <v>-6.6000000000000003E-2</v>
          </cell>
        </row>
        <row r="1840">
          <cell r="A1840">
            <v>822723</v>
          </cell>
          <cell r="B1840" t="str">
            <v>MOELA FGO BDJ 450G PERD KUWAIT</v>
          </cell>
          <cell r="C1840">
            <v>2.7120000000000002</v>
          </cell>
          <cell r="D1840">
            <v>2.7120000000000002</v>
          </cell>
          <cell r="E1840">
            <v>-0.64700000000000002</v>
          </cell>
          <cell r="F1840">
            <v>-6.0999999999999943E-2</v>
          </cell>
        </row>
        <row r="1841">
          <cell r="A1841">
            <v>823536</v>
          </cell>
          <cell r="B1841" t="str">
            <v>HAMBURGUER CHT CART 672G PARAG</v>
          </cell>
          <cell r="C1841">
            <v>2.6539999999999999</v>
          </cell>
          <cell r="D1841">
            <v>2.6539999999999999</v>
          </cell>
          <cell r="E1841">
            <v>-6.8000000000000005E-2</v>
          </cell>
          <cell r="F1841">
            <v>-6.3999999999999946E-2</v>
          </cell>
        </row>
        <row r="1842">
          <cell r="A1842">
            <v>823557</v>
          </cell>
          <cell r="B1842" t="str">
            <v>ASA 2A JTA SEC TEB 40G/UP PERD JAP BCA</v>
          </cell>
          <cell r="C1842">
            <v>4.2359999999999998</v>
          </cell>
          <cell r="D1842">
            <v>4.2359999999999998</v>
          </cell>
          <cell r="E1842">
            <v>-0.51700000000000002</v>
          </cell>
          <cell r="F1842">
            <v>-9.7999999999999865E-2</v>
          </cell>
        </row>
        <row r="1843">
          <cell r="A1843">
            <v>824335</v>
          </cell>
          <cell r="B1843" t="str">
            <v>PEITO S/OPFC MET 140G/UP SALM ITF ALEM</v>
          </cell>
          <cell r="C1843">
            <v>6.5720000000000001</v>
          </cell>
          <cell r="D1843">
            <v>6.5720000000000001</v>
          </cell>
          <cell r="E1843">
            <v>-0.52100000000000002</v>
          </cell>
          <cell r="F1843">
            <v>-0.15399999999999991</v>
          </cell>
        </row>
        <row r="1844">
          <cell r="A1844">
            <v>824785</v>
          </cell>
          <cell r="B1844" t="str">
            <v>COXA SOB S/O C/P 240-280G PERD VAC CINGA</v>
          </cell>
          <cell r="C1844">
            <v>2.8919999999999999</v>
          </cell>
          <cell r="D1844">
            <v>2.8919999999999999</v>
          </cell>
          <cell r="E1844">
            <v>-0.61699999999999999</v>
          </cell>
          <cell r="F1844">
            <v>-6.5999999999999948E-2</v>
          </cell>
        </row>
        <row r="1845">
          <cell r="A1845">
            <v>824828</v>
          </cell>
          <cell r="B1845" t="str">
            <v>FRANGO BROILER 1100G HALAL KUWAIT</v>
          </cell>
          <cell r="C1845">
            <v>2.6440000000000001</v>
          </cell>
          <cell r="D1845">
            <v>2.6440000000000001</v>
          </cell>
          <cell r="E1845">
            <v>-0.59199999999999997</v>
          </cell>
          <cell r="F1845">
            <v>-5.8999999999999941E-2</v>
          </cell>
        </row>
        <row r="1846">
          <cell r="A1846">
            <v>824829</v>
          </cell>
          <cell r="B1846" t="str">
            <v>FRANGO BROILER 1200G HALAL KUWAIT</v>
          </cell>
          <cell r="C1846">
            <v>2.6440000000000001</v>
          </cell>
          <cell r="D1846">
            <v>2.6440000000000001</v>
          </cell>
          <cell r="E1846">
            <v>-0.59199999999999997</v>
          </cell>
          <cell r="F1846">
            <v>-5.9000000000000052E-2</v>
          </cell>
        </row>
        <row r="1847">
          <cell r="A1847">
            <v>825103</v>
          </cell>
          <cell r="B1847" t="str">
            <v>PEITO S/OPFC 100-180G SALM BL 7,5KG FRAN</v>
          </cell>
          <cell r="C1847">
            <v>6.5229999999999997</v>
          </cell>
          <cell r="D1847">
            <v>6.5229999999999997</v>
          </cell>
          <cell r="E1847">
            <v>-0.34300000000000003</v>
          </cell>
          <cell r="F1847">
            <v>-0.15399999999999991</v>
          </cell>
        </row>
        <row r="1848">
          <cell r="A1848">
            <v>825173</v>
          </cell>
          <cell r="B1848" t="str">
            <v>ASA 2A JTA SECC(L) PT 1KG IQF PERD JAPAO</v>
          </cell>
          <cell r="C1848">
            <v>4.6859999999999999</v>
          </cell>
          <cell r="D1848">
            <v>4.6859999999999999</v>
          </cell>
          <cell r="E1848">
            <v>-0.56000000000000005</v>
          </cell>
          <cell r="F1848">
            <v>-0.1080000000000001</v>
          </cell>
        </row>
        <row r="1849">
          <cell r="A1849">
            <v>825567</v>
          </cell>
          <cell r="B1849" t="str">
            <v>FIGADO FGO BDJ 450G HALAL E.A.U</v>
          </cell>
          <cell r="C1849">
            <v>2.5819999999999999</v>
          </cell>
          <cell r="D1849">
            <v>2.5819999999999999</v>
          </cell>
          <cell r="E1849">
            <v>-0.623</v>
          </cell>
          <cell r="F1849">
            <v>-5.7000000000000051E-2</v>
          </cell>
        </row>
        <row r="1850">
          <cell r="A1850">
            <v>825568</v>
          </cell>
          <cell r="B1850" t="str">
            <v>MOELA FGO BDJ 450G HALAL E.A.U</v>
          </cell>
          <cell r="C1850">
            <v>2.6970000000000001</v>
          </cell>
          <cell r="D1850">
            <v>2.6970000000000001</v>
          </cell>
          <cell r="E1850">
            <v>-0.625</v>
          </cell>
          <cell r="F1850">
            <v>-6.0999999999999943E-2</v>
          </cell>
        </row>
        <row r="1851">
          <cell r="A1851">
            <v>826148</v>
          </cell>
          <cell r="B1851" t="str">
            <v>FRANGO GRILLER 800G AL-NOOR E.A.U CX 8KG</v>
          </cell>
          <cell r="C1851">
            <v>2.6560000000000001</v>
          </cell>
          <cell r="D1851">
            <v>2.6560000000000001</v>
          </cell>
          <cell r="E1851">
            <v>-0.58599999999999997</v>
          </cell>
          <cell r="F1851">
            <v>-5.9999999999999942E-2</v>
          </cell>
        </row>
        <row r="1852">
          <cell r="A1852">
            <v>826149</v>
          </cell>
          <cell r="B1852" t="str">
            <v>FRANGO GRILLER 900G AL-NOOR E.A.U CX 9KG</v>
          </cell>
          <cell r="C1852">
            <v>2.6560000000000001</v>
          </cell>
          <cell r="D1852">
            <v>2.6560000000000001</v>
          </cell>
          <cell r="E1852">
            <v>-0.58599999999999997</v>
          </cell>
          <cell r="F1852">
            <v>-5.9999999999999942E-2</v>
          </cell>
        </row>
        <row r="1853">
          <cell r="A1853">
            <v>826724</v>
          </cell>
          <cell r="B1853" t="str">
            <v>PEITO S/OPFC MET S/FA SALM PERD FRANCA</v>
          </cell>
          <cell r="C1853">
            <v>6.41</v>
          </cell>
          <cell r="D1853">
            <v>6.41</v>
          </cell>
          <cell r="E1853">
            <v>-0.33700000000000002</v>
          </cell>
          <cell r="F1853">
            <v>-0.15</v>
          </cell>
        </row>
        <row r="1854">
          <cell r="A1854">
            <v>826752</v>
          </cell>
          <cell r="B1854" t="str">
            <v>LOMBO SUI CONG 1,2KG/UP PERD PARAGUAI</v>
          </cell>
          <cell r="C1854">
            <v>5.2430000000000003</v>
          </cell>
          <cell r="D1854">
            <v>5.2430000000000003</v>
          </cell>
          <cell r="E1854">
            <v>-5.7000000000000002E-2</v>
          </cell>
          <cell r="F1854">
            <v>-0.125</v>
          </cell>
        </row>
        <row r="1855">
          <cell r="A1855">
            <v>827037</v>
          </cell>
          <cell r="B1855" t="str">
            <v>PEITO PERU S/OPC C/F MET 1200-2500G HOLA</v>
          </cell>
          <cell r="C1855">
            <v>6.431</v>
          </cell>
          <cell r="D1855">
            <v>6.431</v>
          </cell>
          <cell r="E1855">
            <v>-0.34</v>
          </cell>
          <cell r="F1855">
            <v>-0.15100000000000025</v>
          </cell>
        </row>
        <row r="1856">
          <cell r="A1856">
            <v>827847</v>
          </cell>
          <cell r="B1856" t="str">
            <v>COXA SOB C/OP 200G/UP ITF PERD CANARIAS</v>
          </cell>
          <cell r="C1856">
            <v>2.0329999999999999</v>
          </cell>
          <cell r="D1856">
            <v>2.0329999999999999</v>
          </cell>
          <cell r="E1856">
            <v>-0.36599999999999999</v>
          </cell>
          <cell r="F1856">
            <v>-4.5999999999999985E-2</v>
          </cell>
        </row>
        <row r="1857">
          <cell r="A1857">
            <v>827848</v>
          </cell>
          <cell r="B1857" t="str">
            <v>COXA SOB S/O C/P 280-380G VAC PERD CINGA</v>
          </cell>
          <cell r="C1857">
            <v>2.8919999999999999</v>
          </cell>
          <cell r="D1857">
            <v>2.8919999999999999</v>
          </cell>
          <cell r="E1857">
            <v>-0.61599999999999999</v>
          </cell>
          <cell r="F1857">
            <v>-6.6000000000000059E-2</v>
          </cell>
        </row>
        <row r="1858">
          <cell r="A1858">
            <v>827917</v>
          </cell>
          <cell r="B1858" t="str">
            <v>FRANGO GRILLER 1500G BORELLA KUWAIT</v>
          </cell>
          <cell r="C1858">
            <v>2.62</v>
          </cell>
          <cell r="D1858">
            <v>2.62</v>
          </cell>
          <cell r="E1858">
            <v>-0.622</v>
          </cell>
          <cell r="F1858">
            <v>-5.8999999999999941E-2</v>
          </cell>
        </row>
        <row r="1859">
          <cell r="A1859">
            <v>828084</v>
          </cell>
          <cell r="B1859" t="str">
            <v>COXA SOB C/OP 200G/UP ITF PERD CANARIAS</v>
          </cell>
          <cell r="C1859">
            <v>2.0539999999999998</v>
          </cell>
          <cell r="D1859">
            <v>2.0539999999999998</v>
          </cell>
          <cell r="E1859">
            <v>-0.377</v>
          </cell>
          <cell r="F1859">
            <v>-4.6999999999999986E-2</v>
          </cell>
        </row>
        <row r="1860">
          <cell r="A1860">
            <v>828085</v>
          </cell>
          <cell r="B1860" t="str">
            <v>COXA SOB C/OP 200G/UP ITF PERD CANARIAS</v>
          </cell>
          <cell r="C1860">
            <v>2.044</v>
          </cell>
          <cell r="D1860">
            <v>2.044</v>
          </cell>
          <cell r="E1860">
            <v>-0.376</v>
          </cell>
          <cell r="F1860">
            <v>-4.6999999999999986E-2</v>
          </cell>
        </row>
        <row r="1861">
          <cell r="A1861">
            <v>829336</v>
          </cell>
          <cell r="B1861" t="str">
            <v>SALSICHA FGO 24PT 375G UNEF KUWAIT</v>
          </cell>
          <cell r="C1861">
            <v>3.1269999999999998</v>
          </cell>
          <cell r="D1861">
            <v>3.1269999999999998</v>
          </cell>
          <cell r="E1861">
            <v>-0.58599999999999997</v>
          </cell>
          <cell r="F1861">
            <v>-7.0999999999999952E-2</v>
          </cell>
        </row>
        <row r="1862">
          <cell r="A1862">
            <v>829451</v>
          </cell>
          <cell r="B1862" t="str">
            <v>PEITO S/OPFC MET 160G TAMB/COZ/EMP INGLA</v>
          </cell>
          <cell r="C1862">
            <v>6.468</v>
          </cell>
          <cell r="D1862">
            <v>6.468</v>
          </cell>
          <cell r="E1862">
            <v>-0.41499999999999998</v>
          </cell>
          <cell r="F1862">
            <v>-0.15199999999999969</v>
          </cell>
        </row>
        <row r="1863">
          <cell r="A1863">
            <v>829452</v>
          </cell>
          <cell r="B1863" t="str">
            <v>PEITO S/OPFC MET 160G TAMBL/COZ/EMP INGL</v>
          </cell>
          <cell r="C1863">
            <v>6.3739999999999997</v>
          </cell>
          <cell r="D1863">
            <v>6.3739999999999997</v>
          </cell>
          <cell r="E1863">
            <v>-0.39600000000000002</v>
          </cell>
          <cell r="F1863">
            <v>-0.15</v>
          </cell>
        </row>
        <row r="1864">
          <cell r="A1864">
            <v>829547</v>
          </cell>
          <cell r="B1864" t="str">
            <v>BARRIGA SUINA S/O IWP BAT H.KONG 20KG</v>
          </cell>
          <cell r="C1864">
            <v>4.2380000000000004</v>
          </cell>
          <cell r="D1864">
            <v>4.2380000000000004</v>
          </cell>
          <cell r="E1864">
            <v>-0.51900000000000002</v>
          </cell>
          <cell r="F1864">
            <v>-9.8000000000000087E-2</v>
          </cell>
        </row>
        <row r="1865">
          <cell r="A1865">
            <v>829575</v>
          </cell>
          <cell r="B1865" t="str">
            <v>CHUKAR BDJ 1KG PERD KUWAIT</v>
          </cell>
          <cell r="C1865">
            <v>6.5339999999999998</v>
          </cell>
          <cell r="D1865">
            <v>6.5339999999999998</v>
          </cell>
          <cell r="E1865">
            <v>-0.69599999999999995</v>
          </cell>
          <cell r="F1865">
            <v>-0.15100000000000002</v>
          </cell>
        </row>
        <row r="1866">
          <cell r="A1866">
            <v>829841</v>
          </cell>
          <cell r="B1866" t="str">
            <v>COXA SOB C/OP 250G/UP ITF PERD CUBA 15KG</v>
          </cell>
          <cell r="C1866">
            <v>1.974</v>
          </cell>
          <cell r="D1866">
            <v>1.974</v>
          </cell>
          <cell r="E1866">
            <v>-0.104</v>
          </cell>
          <cell r="F1866">
            <v>-4.6999999999999986E-2</v>
          </cell>
        </row>
        <row r="1867">
          <cell r="A1867">
            <v>829858</v>
          </cell>
          <cell r="B1867" t="str">
            <v>FRANGO GRILLER 1500G PERD INGLATERRA</v>
          </cell>
          <cell r="C1867">
            <v>2.5910000000000002</v>
          </cell>
          <cell r="D1867">
            <v>2.5910000000000002</v>
          </cell>
          <cell r="E1867">
            <v>-0.40600000000000003</v>
          </cell>
          <cell r="F1867">
            <v>-5.8999999999999941E-2</v>
          </cell>
        </row>
        <row r="1868">
          <cell r="A1868">
            <v>830212</v>
          </cell>
          <cell r="B1868" t="str">
            <v>PEITO S/OPFC MET SALM BL 7,5KG PERD FRAN</v>
          </cell>
          <cell r="C1868">
            <v>6.5940000000000003</v>
          </cell>
          <cell r="D1868">
            <v>6.5940000000000003</v>
          </cell>
          <cell r="E1868">
            <v>-0.33900000000000002</v>
          </cell>
          <cell r="F1868">
            <v>-0.155</v>
          </cell>
        </row>
        <row r="1869">
          <cell r="A1869">
            <v>830435</v>
          </cell>
          <cell r="B1869" t="str">
            <v>ASA 2A JTA 30/UP PT 1KG ACHAT PERD CING</v>
          </cell>
          <cell r="C1869">
            <v>4.2110000000000003</v>
          </cell>
          <cell r="D1869">
            <v>4.2110000000000003</v>
          </cell>
          <cell r="E1869">
            <v>-0.61299999999999999</v>
          </cell>
          <cell r="F1869">
            <v>-9.6999999999999975E-2</v>
          </cell>
        </row>
        <row r="1870">
          <cell r="A1870">
            <v>830463</v>
          </cell>
          <cell r="B1870" t="str">
            <v>FRANGO BROILER 1000G (SFI) PERD CINGAPUR</v>
          </cell>
          <cell r="C1870">
            <v>2.4790000000000001</v>
          </cell>
          <cell r="D1870">
            <v>2.4790000000000001</v>
          </cell>
          <cell r="E1870">
            <v>-0.56999999999999995</v>
          </cell>
          <cell r="F1870">
            <v>-5.600000000000005E-2</v>
          </cell>
        </row>
        <row r="1871">
          <cell r="A1871">
            <v>830466</v>
          </cell>
          <cell r="B1871" t="str">
            <v>FRANGO BROILER 1300G (SFI) PERD CINGAPUR</v>
          </cell>
          <cell r="C1871">
            <v>2.4710000000000001</v>
          </cell>
          <cell r="D1871">
            <v>2.4710000000000001</v>
          </cell>
          <cell r="E1871">
            <v>-0.54800000000000004</v>
          </cell>
          <cell r="F1871">
            <v>-5.600000000000005E-2</v>
          </cell>
        </row>
        <row r="1872">
          <cell r="A1872">
            <v>830472</v>
          </cell>
          <cell r="B1872" t="str">
            <v>FRANGO BROILER 1800G (SFI) PERD CINGAPUR</v>
          </cell>
          <cell r="C1872">
            <v>2.4820000000000002</v>
          </cell>
          <cell r="D1872">
            <v>2.4820000000000002</v>
          </cell>
          <cell r="E1872">
            <v>-0.54900000000000004</v>
          </cell>
          <cell r="F1872">
            <v>-5.600000000000005E-2</v>
          </cell>
        </row>
        <row r="1873">
          <cell r="A1873">
            <v>830603</v>
          </cell>
          <cell r="B1873" t="str">
            <v>PEITO S/OPFC MET SALM VEG BL 7,5KG FRANC</v>
          </cell>
          <cell r="C1873">
            <v>6.1609999999999996</v>
          </cell>
          <cell r="D1873">
            <v>6.1609999999999996</v>
          </cell>
          <cell r="E1873">
            <v>-0.33900000000000002</v>
          </cell>
          <cell r="F1873">
            <v>-0.14499999999999999</v>
          </cell>
        </row>
        <row r="1874">
          <cell r="A1874">
            <v>830774</v>
          </cell>
          <cell r="B1874" t="str">
            <v>PEITO S/OPC C/F INT 250G/UP PERD CANARIA</v>
          </cell>
          <cell r="C1874">
            <v>6.47</v>
          </cell>
          <cell r="D1874">
            <v>6.47</v>
          </cell>
          <cell r="E1874">
            <v>-0.441</v>
          </cell>
          <cell r="F1874">
            <v>-0.15200000000000014</v>
          </cell>
        </row>
        <row r="1875">
          <cell r="A1875">
            <v>830775</v>
          </cell>
          <cell r="B1875" t="str">
            <v>COXA SOB S/O C/P 300-320G 2,17KG JAP BCA</v>
          </cell>
          <cell r="C1875">
            <v>3.4220000000000002</v>
          </cell>
          <cell r="D1875">
            <v>3.4220000000000002</v>
          </cell>
          <cell r="E1875">
            <v>-0.55200000000000005</v>
          </cell>
          <cell r="F1875">
            <v>-7.8000000000000069E-2</v>
          </cell>
        </row>
        <row r="1876">
          <cell r="A1876">
            <v>830792</v>
          </cell>
          <cell r="B1876" t="str">
            <v>FRANGO GRILLER 1000-1100G CORT MEIO CING</v>
          </cell>
          <cell r="C1876">
            <v>2.68</v>
          </cell>
          <cell r="D1876">
            <v>2.68</v>
          </cell>
          <cell r="E1876">
            <v>-0.56599999999999995</v>
          </cell>
          <cell r="F1876">
            <v>-6.0999999999999943E-2</v>
          </cell>
        </row>
        <row r="1877">
          <cell r="A1877">
            <v>830793</v>
          </cell>
          <cell r="B1877" t="str">
            <v>FRANGO GRILLER 1500-1600G CORT PERD CING</v>
          </cell>
          <cell r="C1877">
            <v>2.97</v>
          </cell>
          <cell r="D1877">
            <v>2.97</v>
          </cell>
          <cell r="E1877">
            <v>-0.51800000000000002</v>
          </cell>
          <cell r="F1877">
            <v>-6.7000000000000171E-2</v>
          </cell>
        </row>
        <row r="1878">
          <cell r="A1878">
            <v>831089</v>
          </cell>
          <cell r="B1878" t="str">
            <v>FILEZINHO SUI 300-400G IND SULINA CINGAP</v>
          </cell>
          <cell r="C1878">
            <v>4.4939999999999998</v>
          </cell>
          <cell r="D1878">
            <v>4.4939999999999998</v>
          </cell>
          <cell r="E1878">
            <v>-0.59199999999999997</v>
          </cell>
          <cell r="F1878">
            <v>-0.10299999999999998</v>
          </cell>
        </row>
        <row r="1879">
          <cell r="A1879">
            <v>831091</v>
          </cell>
          <cell r="B1879" t="str">
            <v>PALETA S/O SUI 82-85CL IND SULINA CINGAP</v>
          </cell>
          <cell r="C1879">
            <v>4.3369999999999997</v>
          </cell>
          <cell r="D1879">
            <v>4.3369999999999997</v>
          </cell>
          <cell r="E1879">
            <v>-0.59</v>
          </cell>
          <cell r="F1879">
            <v>-0.1</v>
          </cell>
        </row>
        <row r="1880">
          <cell r="A1880">
            <v>831092</v>
          </cell>
          <cell r="B1880" t="str">
            <v>COPA LOMBO SUINO S/O IND 1,5-2KG CINGAP</v>
          </cell>
          <cell r="C1880">
            <v>4.1630000000000003</v>
          </cell>
          <cell r="D1880">
            <v>4.1630000000000003</v>
          </cell>
          <cell r="E1880">
            <v>-0.58699999999999997</v>
          </cell>
          <cell r="F1880">
            <v>-9.5999999999999974E-2</v>
          </cell>
        </row>
        <row r="1881">
          <cell r="A1881">
            <v>831118</v>
          </cell>
          <cell r="B1881" t="str">
            <v>PEITO S/OPC C/F INT ITF PERD CANARIAS</v>
          </cell>
          <cell r="C1881">
            <v>6.3559999999999999</v>
          </cell>
          <cell r="D1881">
            <v>6.3559999999999999</v>
          </cell>
          <cell r="E1881">
            <v>-0.439</v>
          </cell>
          <cell r="F1881">
            <v>-0.15</v>
          </cell>
        </row>
        <row r="1882">
          <cell r="A1882">
            <v>831119</v>
          </cell>
          <cell r="B1882" t="str">
            <v>COXA SOBREC S/OP IND/VAC PERD CANARIAS</v>
          </cell>
          <cell r="C1882">
            <v>3.5089999999999999</v>
          </cell>
          <cell r="D1882">
            <v>3.5089999999999999</v>
          </cell>
          <cell r="E1882">
            <v>-0.40600000000000003</v>
          </cell>
          <cell r="F1882">
            <v>-8.1999999999999962E-2</v>
          </cell>
        </row>
        <row r="1883">
          <cell r="A1883">
            <v>831121</v>
          </cell>
          <cell r="B1883" t="str">
            <v>FRANGO GRILLER 1100G PERD CANARIAS</v>
          </cell>
          <cell r="C1883">
            <v>2.4980000000000002</v>
          </cell>
          <cell r="D1883">
            <v>2.4980000000000002</v>
          </cell>
          <cell r="E1883">
            <v>-0.36199999999999999</v>
          </cell>
          <cell r="F1883">
            <v>-5.7000000000000051E-2</v>
          </cell>
        </row>
        <row r="1884">
          <cell r="A1884">
            <v>831212</v>
          </cell>
          <cell r="B1884" t="str">
            <v>FRANGO GRILLER 1200G PERD ILHAS CANARIAS</v>
          </cell>
          <cell r="C1884">
            <v>2.4980000000000002</v>
          </cell>
          <cell r="D1884">
            <v>2.4980000000000002</v>
          </cell>
          <cell r="E1884">
            <v>-0.36199999999999999</v>
          </cell>
          <cell r="F1884">
            <v>-5.7000000000000051E-2</v>
          </cell>
        </row>
        <row r="1885">
          <cell r="A1885">
            <v>831278</v>
          </cell>
          <cell r="B1885" t="str">
            <v>FILE PEITO C/TEND SALM BL 7,5KG INGLATER</v>
          </cell>
          <cell r="C1885">
            <v>4.4930000000000003</v>
          </cell>
          <cell r="D1885">
            <v>4.4930000000000003</v>
          </cell>
          <cell r="E1885">
            <v>-0.40100000000000002</v>
          </cell>
          <cell r="F1885">
            <v>-0.105</v>
          </cell>
        </row>
        <row r="1886">
          <cell r="A1886">
            <v>831715</v>
          </cell>
          <cell r="B1886" t="str">
            <v>COXA SOB C/OP FGO 320-400G ITF BORE CING</v>
          </cell>
          <cell r="C1886">
            <v>2.274</v>
          </cell>
          <cell r="D1886">
            <v>2.274</v>
          </cell>
          <cell r="E1886">
            <v>-0.61</v>
          </cell>
          <cell r="F1886">
            <v>-5.099999999999999E-2</v>
          </cell>
        </row>
        <row r="1887">
          <cell r="A1887">
            <v>831766</v>
          </cell>
          <cell r="B1887" t="str">
            <v>FRANGO GRILLER 1100G PERD CANARIAS 11KG</v>
          </cell>
          <cell r="C1887">
            <v>2.5449999999999999</v>
          </cell>
          <cell r="D1887">
            <v>2.5449999999999999</v>
          </cell>
          <cell r="E1887">
            <v>-0.35299999999999998</v>
          </cell>
          <cell r="F1887">
            <v>-5.799999999999994E-2</v>
          </cell>
        </row>
        <row r="1888">
          <cell r="A1888">
            <v>831767</v>
          </cell>
          <cell r="B1888" t="str">
            <v>FRANGO GRILLER 1200G PERD CANARIAS 12KG</v>
          </cell>
          <cell r="C1888">
            <v>2.5449999999999999</v>
          </cell>
          <cell r="D1888">
            <v>2.5449999999999999</v>
          </cell>
          <cell r="E1888">
            <v>-0.35299999999999998</v>
          </cell>
          <cell r="F1888">
            <v>-5.799999999999994E-2</v>
          </cell>
        </row>
        <row r="1889">
          <cell r="A1889">
            <v>831770</v>
          </cell>
          <cell r="B1889" t="str">
            <v>MORTADELA SUI CONF S/TOUCINHO PERD PARAG</v>
          </cell>
          <cell r="C1889">
            <v>1.9319999999999999</v>
          </cell>
          <cell r="D1889">
            <v>1.9319999999999999</v>
          </cell>
          <cell r="E1889">
            <v>-5.7000000000000002E-2</v>
          </cell>
          <cell r="F1889">
            <v>-4.6000000000000041E-2</v>
          </cell>
        </row>
        <row r="1890">
          <cell r="A1890">
            <v>832112</v>
          </cell>
          <cell r="B1890" t="str">
            <v>COXA SOB S/OP FGO CONG SALM BL PERD INGL</v>
          </cell>
          <cell r="C1890">
            <v>3.5030000000000001</v>
          </cell>
          <cell r="D1890">
            <v>3.5030000000000001</v>
          </cell>
          <cell r="E1890">
            <v>-0.40300000000000002</v>
          </cell>
          <cell r="F1890">
            <v>-8.0999999999999961E-2</v>
          </cell>
        </row>
        <row r="1891">
          <cell r="A1891">
            <v>832125</v>
          </cell>
          <cell r="B1891" t="str">
            <v>PEITO S/OPFC FGO CONG MET 90G TAM/COZ HO</v>
          </cell>
          <cell r="C1891">
            <v>7.3730000000000002</v>
          </cell>
          <cell r="D1891">
            <v>7.3730000000000002</v>
          </cell>
          <cell r="E1891">
            <v>-0.41099999999999998</v>
          </cell>
          <cell r="F1891">
            <v>-0.17300000000000004</v>
          </cell>
        </row>
        <row r="1892">
          <cell r="A1892">
            <v>832143</v>
          </cell>
          <cell r="B1892" t="str">
            <v>PEITO S/OPFC FGO CONG 125G TAM/COZ INGLA</v>
          </cell>
          <cell r="C1892">
            <v>6.5369999999999999</v>
          </cell>
          <cell r="D1892">
            <v>6.5369999999999999</v>
          </cell>
          <cell r="E1892">
            <v>-0.40799999999999997</v>
          </cell>
          <cell r="F1892">
            <v>-0.15300000000000002</v>
          </cell>
        </row>
        <row r="1893">
          <cell r="A1893">
            <v>832269</v>
          </cell>
          <cell r="B1893" t="str">
            <v>PEITO S/OPC C/F PERU CONG 2000G/UP CANAR</v>
          </cell>
          <cell r="C1893">
            <v>6.5830000000000002</v>
          </cell>
          <cell r="D1893">
            <v>6.5830000000000002</v>
          </cell>
          <cell r="E1893">
            <v>-0.434</v>
          </cell>
          <cell r="F1893">
            <v>-0.155</v>
          </cell>
        </row>
        <row r="1894">
          <cell r="A1894">
            <v>832883</v>
          </cell>
          <cell r="B1894" t="str">
            <v>SOBREC C/OP 140-160G PT 2,27KG UNEF CING</v>
          </cell>
          <cell r="C1894">
            <v>2.1160000000000001</v>
          </cell>
          <cell r="D1894">
            <v>2.1160000000000001</v>
          </cell>
          <cell r="E1894">
            <v>-0.58099999999999996</v>
          </cell>
          <cell r="F1894">
            <v>-4.6999999999999986E-2</v>
          </cell>
        </row>
        <row r="1895">
          <cell r="A1895">
            <v>832965</v>
          </cell>
          <cell r="B1895" t="str">
            <v>COXA SOB S/O C/P 260-280G 2,16KG SUN JAP</v>
          </cell>
          <cell r="C1895">
            <v>3.286</v>
          </cell>
          <cell r="D1895">
            <v>3.286</v>
          </cell>
          <cell r="E1895">
            <v>-0.52500000000000002</v>
          </cell>
          <cell r="F1895">
            <v>-7.4999999999999997E-2</v>
          </cell>
        </row>
        <row r="1896">
          <cell r="A1896">
            <v>832966</v>
          </cell>
          <cell r="B1896" t="str">
            <v>COXA SOB S/O C/P 280-300G 2,03KG SUN JAP</v>
          </cell>
          <cell r="C1896">
            <v>3.2829999999999999</v>
          </cell>
          <cell r="D1896">
            <v>3.2829999999999999</v>
          </cell>
          <cell r="E1896">
            <v>-0.52200000000000002</v>
          </cell>
          <cell r="F1896">
            <v>-7.4000000000000066E-2</v>
          </cell>
        </row>
        <row r="1897">
          <cell r="A1897">
            <v>833052</v>
          </cell>
          <cell r="B1897" t="str">
            <v>COPA LOMBO SUINO 1,5KG IND PERD HOLANDA</v>
          </cell>
          <cell r="C1897">
            <v>3.6579999999999999</v>
          </cell>
          <cell r="D1897">
            <v>3.6579999999999999</v>
          </cell>
          <cell r="E1897">
            <v>-0.33100000000000002</v>
          </cell>
          <cell r="F1897">
            <v>-8.5000000000000006E-2</v>
          </cell>
        </row>
        <row r="1898">
          <cell r="A1898">
            <v>833053</v>
          </cell>
          <cell r="B1898" t="str">
            <v>LOMBO SUINO 1,5-1,8KG IND PERD HOLANDA</v>
          </cell>
          <cell r="C1898">
            <v>4.609</v>
          </cell>
          <cell r="D1898">
            <v>4.609</v>
          </cell>
          <cell r="E1898">
            <v>-0.32800000000000001</v>
          </cell>
          <cell r="F1898">
            <v>-0.10799999999999998</v>
          </cell>
        </row>
        <row r="1899">
          <cell r="A1899">
            <v>833057</v>
          </cell>
          <cell r="B1899" t="str">
            <v>COXA SOBREC S/OP IND/VAC PERD CANARIAS</v>
          </cell>
          <cell r="C1899">
            <v>3.3919999999999999</v>
          </cell>
          <cell r="D1899">
            <v>3.3919999999999999</v>
          </cell>
          <cell r="E1899">
            <v>-0.39500000000000002</v>
          </cell>
          <cell r="F1899">
            <v>-7.8000000000000069E-2</v>
          </cell>
        </row>
        <row r="1900">
          <cell r="A1900">
            <v>833058</v>
          </cell>
          <cell r="B1900" t="str">
            <v>PEITO S/OPC C/F FGO CONG INT PERD CAN</v>
          </cell>
          <cell r="C1900">
            <v>6.4039999999999999</v>
          </cell>
          <cell r="D1900">
            <v>6.4039999999999999</v>
          </cell>
          <cell r="E1900">
            <v>-0.442</v>
          </cell>
          <cell r="F1900">
            <v>-0.15</v>
          </cell>
        </row>
        <row r="1901">
          <cell r="A1901">
            <v>833063</v>
          </cell>
          <cell r="B1901" t="str">
            <v>MOELA FGO BD 500G PERD CANARIAS CX 12KG</v>
          </cell>
          <cell r="C1901">
            <v>2.2709999999999999</v>
          </cell>
          <cell r="D1901">
            <v>2.2709999999999999</v>
          </cell>
          <cell r="E1901">
            <v>-0.38</v>
          </cell>
          <cell r="F1901">
            <v>-5.1999999999999935E-2</v>
          </cell>
        </row>
        <row r="1902">
          <cell r="A1902">
            <v>833077</v>
          </cell>
          <cell r="B1902" t="str">
            <v>COXA SOBREC S/OP ITF PERD ILHAS CANARIAS</v>
          </cell>
          <cell r="C1902">
            <v>3.1789999999999998</v>
          </cell>
          <cell r="D1902">
            <v>3.1789999999999998</v>
          </cell>
          <cell r="E1902">
            <v>-0.39400000000000002</v>
          </cell>
          <cell r="F1902">
            <v>-7.3999999999999955E-2</v>
          </cell>
        </row>
        <row r="1903">
          <cell r="A1903">
            <v>833078</v>
          </cell>
          <cell r="B1903" t="str">
            <v>COXA SOBREC S/OP S/CAR ITF PERD I. CANA</v>
          </cell>
          <cell r="C1903">
            <v>3.5190000000000001</v>
          </cell>
          <cell r="D1903">
            <v>3.5190000000000001</v>
          </cell>
          <cell r="E1903">
            <v>-0.39900000000000002</v>
          </cell>
          <cell r="F1903">
            <v>-8.1000000000000183E-2</v>
          </cell>
        </row>
        <row r="1904">
          <cell r="A1904">
            <v>833079</v>
          </cell>
          <cell r="B1904" t="str">
            <v>PEITO S/OPC C/F CHT CONG IND PERD CANAR</v>
          </cell>
          <cell r="C1904">
            <v>6.3559999999999999</v>
          </cell>
          <cell r="D1904">
            <v>6.3559999999999999</v>
          </cell>
          <cell r="E1904">
            <v>-0.441</v>
          </cell>
          <cell r="F1904">
            <v>-0.14900000000000002</v>
          </cell>
        </row>
        <row r="1905">
          <cell r="A1905">
            <v>833283</v>
          </cell>
          <cell r="B1905" t="str">
            <v>ASA 2A JTA 30-40G PT 680G IF H.KONG</v>
          </cell>
          <cell r="C1905">
            <v>4.0640000000000001</v>
          </cell>
          <cell r="D1905">
            <v>4.0640000000000001</v>
          </cell>
          <cell r="E1905">
            <v>-0.08</v>
          </cell>
          <cell r="F1905">
            <v>-9.6999999999999975E-2</v>
          </cell>
        </row>
        <row r="1906">
          <cell r="A1906">
            <v>833285</v>
          </cell>
          <cell r="B1906" t="str">
            <v>ASA 1A JTA+ASA 2A JTA PT 680G IF H.KONG</v>
          </cell>
          <cell r="C1906">
            <v>3.641</v>
          </cell>
          <cell r="D1906">
            <v>3.641</v>
          </cell>
          <cell r="E1906">
            <v>-0.08</v>
          </cell>
          <cell r="F1906">
            <v>-8.6999999999999966E-2</v>
          </cell>
        </row>
        <row r="1907">
          <cell r="A1907">
            <v>833286</v>
          </cell>
          <cell r="B1907" t="str">
            <v>COXA SOB S/O C/P 200-300G PT680G IF H.KO</v>
          </cell>
          <cell r="C1907">
            <v>2.512</v>
          </cell>
          <cell r="D1907">
            <v>2.512</v>
          </cell>
          <cell r="E1907">
            <v>-0.08</v>
          </cell>
          <cell r="F1907">
            <v>-0.06</v>
          </cell>
        </row>
        <row r="1908">
          <cell r="A1908">
            <v>833287</v>
          </cell>
          <cell r="B1908" t="str">
            <v>ASA 1A JTA FGO TAM/MAR PT908G PERD H.KON</v>
          </cell>
          <cell r="C1908">
            <v>3.758</v>
          </cell>
          <cell r="D1908">
            <v>3.758</v>
          </cell>
          <cell r="E1908">
            <v>-0.08</v>
          </cell>
          <cell r="F1908">
            <v>-8.8999999999999968E-2</v>
          </cell>
        </row>
        <row r="1909">
          <cell r="A1909">
            <v>833288</v>
          </cell>
          <cell r="B1909" t="str">
            <v>ASA 2A JTA FGO TAM/MAR PT908G PERD H.KON</v>
          </cell>
          <cell r="C1909">
            <v>4.2889999999999997</v>
          </cell>
          <cell r="D1909">
            <v>4.2889999999999997</v>
          </cell>
          <cell r="E1909">
            <v>-0.08</v>
          </cell>
          <cell r="F1909">
            <v>-0.1030000000000002</v>
          </cell>
        </row>
        <row r="1910">
          <cell r="A1910">
            <v>833312</v>
          </cell>
          <cell r="B1910" t="str">
            <v>FILEZINHO SUINO 300-400G CONG IND CING</v>
          </cell>
          <cell r="C1910">
            <v>4.4939999999999998</v>
          </cell>
          <cell r="D1910">
            <v>4.4939999999999998</v>
          </cell>
          <cell r="E1910">
            <v>-0.59199999999999997</v>
          </cell>
          <cell r="F1910">
            <v>-0.10400000000000004</v>
          </cell>
        </row>
        <row r="1911">
          <cell r="A1911">
            <v>833313</v>
          </cell>
          <cell r="B1911" t="str">
            <v>FILEZINHO SUINO 400-500G CONG IND CING</v>
          </cell>
          <cell r="C1911">
            <v>4.6319999999999997</v>
          </cell>
          <cell r="D1911">
            <v>4.6319999999999997</v>
          </cell>
          <cell r="E1911">
            <v>-0.58399999999999996</v>
          </cell>
          <cell r="F1911">
            <v>-0.10699999999999998</v>
          </cell>
        </row>
        <row r="1912">
          <cell r="A1912">
            <v>833317</v>
          </cell>
          <cell r="B1912" t="str">
            <v>COXA SOB S/O C/P FGO CONG SALM PERD HOLA</v>
          </cell>
          <cell r="C1912">
            <v>3.2810000000000001</v>
          </cell>
          <cell r="D1912">
            <v>3.2810000000000001</v>
          </cell>
          <cell r="E1912">
            <v>-0.37</v>
          </cell>
          <cell r="F1912">
            <v>-7.6000000000000068E-2</v>
          </cell>
        </row>
        <row r="1913">
          <cell r="A1913">
            <v>833356</v>
          </cell>
          <cell r="B1913" t="str">
            <v>PEITO S/OPFC MET 80-130G PERD ITAL 10KG</v>
          </cell>
          <cell r="C1913">
            <v>6.4249999999999998</v>
          </cell>
          <cell r="D1913">
            <v>6.4249999999999998</v>
          </cell>
          <cell r="E1913">
            <v>-0.36599999999999999</v>
          </cell>
          <cell r="F1913">
            <v>-0.1509999999999998</v>
          </cell>
        </row>
        <row r="1914">
          <cell r="A1914">
            <v>833358</v>
          </cell>
          <cell r="B1914" t="str">
            <v>PEITO S/OPFC MET SALM VEG BL 7,5KG HOLAN</v>
          </cell>
          <cell r="C1914">
            <v>6.7249999999999996</v>
          </cell>
          <cell r="D1914">
            <v>6.7249999999999996</v>
          </cell>
          <cell r="E1914">
            <v>-0.33400000000000002</v>
          </cell>
          <cell r="F1914">
            <v>-0.15799999999999992</v>
          </cell>
        </row>
        <row r="1915">
          <cell r="A1915">
            <v>833378</v>
          </cell>
          <cell r="B1915" t="str">
            <v>PERNIL S/OCG SUI BL 20KG PERD URUG 500KG</v>
          </cell>
          <cell r="C1915">
            <v>3.3180000000000001</v>
          </cell>
          <cell r="D1915">
            <v>3.3180000000000001</v>
          </cell>
          <cell r="E1915">
            <v>-0.126</v>
          </cell>
          <cell r="F1915">
            <v>-7.9000000000000015E-2</v>
          </cell>
        </row>
        <row r="1916">
          <cell r="A1916">
            <v>833379</v>
          </cell>
          <cell r="B1916" t="str">
            <v>BARRIGA S/OSSO C/COU SUI CONG SULIN CING</v>
          </cell>
          <cell r="C1916">
            <v>4.3460000000000001</v>
          </cell>
          <cell r="D1916">
            <v>4.3460000000000001</v>
          </cell>
          <cell r="E1916">
            <v>-0.58899999999999997</v>
          </cell>
          <cell r="F1916">
            <v>-0.10099999999999998</v>
          </cell>
        </row>
        <row r="1917">
          <cell r="A1917">
            <v>833396</v>
          </cell>
          <cell r="B1917" t="str">
            <v>PEITO PERU S/OPC C/F MET 500-1500G HOLAN</v>
          </cell>
          <cell r="C1917">
            <v>6.6779999999999999</v>
          </cell>
          <cell r="D1917">
            <v>6.6779999999999999</v>
          </cell>
          <cell r="E1917">
            <v>-0.35799999999999998</v>
          </cell>
          <cell r="F1917">
            <v>-0.15699999999999958</v>
          </cell>
        </row>
        <row r="1918">
          <cell r="A1918">
            <v>833417</v>
          </cell>
          <cell r="B1918" t="str">
            <v>COXA SOB C/OP 200G/UP ITF PERD CANARIAS</v>
          </cell>
          <cell r="C1918">
            <v>2.2229999999999999</v>
          </cell>
          <cell r="D1918">
            <v>2.2229999999999999</v>
          </cell>
          <cell r="E1918">
            <v>-0.377</v>
          </cell>
          <cell r="F1918">
            <v>-4.9999999999999933E-2</v>
          </cell>
        </row>
        <row r="1919">
          <cell r="A1919">
            <v>833418</v>
          </cell>
          <cell r="B1919" t="str">
            <v>FRANGO GRILLER 1200G PERD CANARIAS 12KG</v>
          </cell>
          <cell r="C1919">
            <v>2.6909999999999998</v>
          </cell>
          <cell r="D1919">
            <v>2.6909999999999998</v>
          </cell>
          <cell r="E1919">
            <v>-0.36199999999999999</v>
          </cell>
          <cell r="F1919">
            <v>-6.2000000000000055E-2</v>
          </cell>
        </row>
        <row r="1920">
          <cell r="A1920">
            <v>833528</v>
          </cell>
          <cell r="B1920" t="str">
            <v>SOBRECOXA C/OP FGO CONG 180-200G ITF CIN</v>
          </cell>
          <cell r="C1920">
            <v>2.1219999999999999</v>
          </cell>
          <cell r="D1920">
            <v>2.1219999999999999</v>
          </cell>
          <cell r="E1920">
            <v>-0.58199999999999996</v>
          </cell>
          <cell r="F1920">
            <v>-4.6999999999999986E-2</v>
          </cell>
        </row>
        <row r="1921">
          <cell r="A1921">
            <v>833572</v>
          </cell>
          <cell r="B1921" t="str">
            <v>COXA C/OP FGO CONG 120-140G PT UNEF CING</v>
          </cell>
          <cell r="C1921">
            <v>2.1160000000000001</v>
          </cell>
          <cell r="D1921">
            <v>2.1160000000000001</v>
          </cell>
          <cell r="E1921">
            <v>-0.58099999999999996</v>
          </cell>
          <cell r="F1921">
            <v>-4.6999999999999986E-2</v>
          </cell>
        </row>
        <row r="1922">
          <cell r="A1922">
            <v>833577</v>
          </cell>
          <cell r="B1922" t="str">
            <v>COXA SOB C/OP FGO CONG 240-260G ITF CING</v>
          </cell>
          <cell r="C1922">
            <v>2.5390000000000001</v>
          </cell>
          <cell r="D1922">
            <v>2.5390000000000001</v>
          </cell>
          <cell r="E1922">
            <v>-0.58899999999999997</v>
          </cell>
          <cell r="F1922">
            <v>-5.7000000000000051E-2</v>
          </cell>
        </row>
        <row r="1923">
          <cell r="A1923">
            <v>833702</v>
          </cell>
          <cell r="B1923" t="str">
            <v>COXA SOB C/OP FGO CONG 200G/UP PERD ESPA</v>
          </cell>
          <cell r="C1923">
            <v>2.29</v>
          </cell>
          <cell r="D1923">
            <v>2.29</v>
          </cell>
          <cell r="E1923">
            <v>-0.41699999999999998</v>
          </cell>
          <cell r="F1923">
            <v>-5.1999999999999935E-2</v>
          </cell>
        </row>
        <row r="1924">
          <cell r="A1924">
            <v>833703</v>
          </cell>
          <cell r="B1924" t="str">
            <v>COXA SOB S/OP FGO CONG ITF PERD ESPANHA</v>
          </cell>
          <cell r="C1924">
            <v>3.54</v>
          </cell>
          <cell r="D1924">
            <v>3.54</v>
          </cell>
          <cell r="E1924">
            <v>-0.42599999999999999</v>
          </cell>
          <cell r="F1924">
            <v>-8.2000000000000073E-2</v>
          </cell>
        </row>
        <row r="1925">
          <cell r="A1925">
            <v>833704</v>
          </cell>
          <cell r="B1925" t="str">
            <v>MOELA FGO CONG PT 1KG PERD ESPANHA 16KG</v>
          </cell>
          <cell r="C1925">
            <v>2.3610000000000002</v>
          </cell>
          <cell r="D1925">
            <v>2.3610000000000002</v>
          </cell>
          <cell r="E1925">
            <v>-0.41</v>
          </cell>
          <cell r="F1925">
            <v>-5.4000000000000048E-2</v>
          </cell>
        </row>
        <row r="1926">
          <cell r="A1926">
            <v>833705</v>
          </cell>
          <cell r="B1926" t="str">
            <v>COXA SOB S/OP FGO CONG SALM BL PERD ESPA</v>
          </cell>
          <cell r="C1926">
            <v>3.54</v>
          </cell>
          <cell r="D1926">
            <v>3.54</v>
          </cell>
          <cell r="E1926">
            <v>-0.41799999999999998</v>
          </cell>
          <cell r="F1926">
            <v>-8.2999999999999963E-2</v>
          </cell>
        </row>
        <row r="1927">
          <cell r="A1927">
            <v>833713</v>
          </cell>
          <cell r="B1927" t="str">
            <v>SOBRECOXA C/OP FGO CONG 110-130G TAMB FR</v>
          </cell>
          <cell r="C1927">
            <v>4.3780000000000001</v>
          </cell>
          <cell r="D1927">
            <v>4.3780000000000001</v>
          </cell>
          <cell r="E1927">
            <v>-0.60599999999999998</v>
          </cell>
          <cell r="F1927">
            <v>-0.10099999999999998</v>
          </cell>
        </row>
        <row r="1928">
          <cell r="A1928">
            <v>833714</v>
          </cell>
          <cell r="B1928" t="str">
            <v>COXA C/OP FGO CONG 70-90G TAMB/COZ FRANC</v>
          </cell>
          <cell r="C1928">
            <v>4.609</v>
          </cell>
          <cell r="D1928">
            <v>4.609</v>
          </cell>
          <cell r="E1928">
            <v>-0.60599999999999998</v>
          </cell>
          <cell r="F1928">
            <v>-0.10600000000000009</v>
          </cell>
        </row>
        <row r="1929">
          <cell r="A1929">
            <v>833857</v>
          </cell>
          <cell r="B1929" t="str">
            <v>PEITO S/OFC C/P FGO CONG 90-110G TAMB FR</v>
          </cell>
          <cell r="C1929">
            <v>7.99</v>
          </cell>
          <cell r="D1929">
            <v>7.99</v>
          </cell>
          <cell r="E1929">
            <v>-0.497</v>
          </cell>
          <cell r="F1929">
            <v>-0.18699999999999983</v>
          </cell>
        </row>
        <row r="1930">
          <cell r="A1930">
            <v>833868</v>
          </cell>
          <cell r="B1930" t="str">
            <v>COXA SOB SO CP FGO CONG 250G/UP PT JAPAO</v>
          </cell>
          <cell r="C1930">
            <v>3.3029999999999999</v>
          </cell>
          <cell r="D1930">
            <v>3.3029999999999999</v>
          </cell>
          <cell r="E1930">
            <v>-0.52</v>
          </cell>
          <cell r="F1930">
            <v>-7.5000000000000067E-2</v>
          </cell>
        </row>
        <row r="1931">
          <cell r="A1931">
            <v>833914</v>
          </cell>
          <cell r="B1931" t="str">
            <v>COXA SOB C/OP FGO CONG 200-220G PERD ALE</v>
          </cell>
          <cell r="C1931">
            <v>2.5960000000000001</v>
          </cell>
          <cell r="D1931">
            <v>2.5960000000000001</v>
          </cell>
          <cell r="E1931">
            <v>-0.34</v>
          </cell>
          <cell r="F1931">
            <v>-5.9999999999999942E-2</v>
          </cell>
        </row>
        <row r="1932">
          <cell r="A1932">
            <v>833916</v>
          </cell>
          <cell r="B1932" t="str">
            <v>COXA SOB C/OP FGO CONG 220-240G PERD ALE</v>
          </cell>
          <cell r="C1932">
            <v>2.5950000000000002</v>
          </cell>
          <cell r="D1932">
            <v>2.5950000000000002</v>
          </cell>
          <cell r="E1932">
            <v>-0.34</v>
          </cell>
          <cell r="F1932">
            <v>-5.9999999999999942E-2</v>
          </cell>
        </row>
        <row r="1933">
          <cell r="A1933">
            <v>833918</v>
          </cell>
          <cell r="B1933" t="str">
            <v>COXA SOB C/OP FGO CONG 240-260G PERD ALE</v>
          </cell>
          <cell r="C1933">
            <v>2.5920000000000001</v>
          </cell>
          <cell r="D1933">
            <v>2.5920000000000001</v>
          </cell>
          <cell r="E1933">
            <v>-0.33900000000000002</v>
          </cell>
          <cell r="F1933">
            <v>-6.0000000000000053E-2</v>
          </cell>
        </row>
        <row r="1934">
          <cell r="A1934">
            <v>833920</v>
          </cell>
          <cell r="B1934" t="str">
            <v>COXA SOB C/OP FGO CONG 260-280G PERD ALE</v>
          </cell>
          <cell r="C1934">
            <v>2.5859999999999999</v>
          </cell>
          <cell r="D1934">
            <v>2.5859999999999999</v>
          </cell>
          <cell r="E1934">
            <v>-0.33800000000000002</v>
          </cell>
          <cell r="F1934">
            <v>-6.0000000000000053E-2</v>
          </cell>
        </row>
        <row r="1935">
          <cell r="A1935">
            <v>835074</v>
          </cell>
          <cell r="B1935" t="str">
            <v>PEITO S/OPFC FGO CONG DESCL SALM BL INGL</v>
          </cell>
          <cell r="C1935">
            <v>5.9</v>
          </cell>
          <cell r="D1935">
            <v>5.9</v>
          </cell>
          <cell r="E1935">
            <v>-0.39100000000000001</v>
          </cell>
          <cell r="F1935">
            <v>-0.1379999999999999</v>
          </cell>
        </row>
        <row r="1936">
          <cell r="A1936">
            <v>690120</v>
          </cell>
          <cell r="B1936" t="str">
            <v>SMT001 RETALHO SALAME MILANO PERD PT 1KG</v>
          </cell>
          <cell r="C1936">
            <v>4</v>
          </cell>
          <cell r="D1936">
            <v>3.1739999999999999</v>
          </cell>
          <cell r="E1936">
            <v>0</v>
          </cell>
          <cell r="F1936">
            <v>-0.19899999999999984</v>
          </cell>
        </row>
        <row r="1937">
          <cell r="A1937">
            <v>725331</v>
          </cell>
          <cell r="B1937" t="str">
            <v>CFL010 COUVE FLOR PT 500G CX 10KG</v>
          </cell>
          <cell r="C1937">
            <v>2.5489999999999999</v>
          </cell>
          <cell r="D1937">
            <v>1.94</v>
          </cell>
          <cell r="E1937">
            <v>-0.191</v>
          </cell>
          <cell r="F1937">
            <v>-0.443</v>
          </cell>
        </row>
        <row r="1938">
          <cell r="A1938">
            <v>199540</v>
          </cell>
          <cell r="B1938" t="str">
            <v>FGE511 FRANGO GRILLER BAHRAIN 900G CX 9K</v>
          </cell>
          <cell r="C1938">
            <v>2.4289999999999998</v>
          </cell>
          <cell r="D1938">
            <v>2.4289999999999998</v>
          </cell>
          <cell r="E1938">
            <v>-0.55800000000000005</v>
          </cell>
          <cell r="F1938">
            <v>-6.899999999999995E-2</v>
          </cell>
        </row>
        <row r="1939">
          <cell r="A1939">
            <v>199559</v>
          </cell>
          <cell r="B1939" t="str">
            <v>FGE143 FRANGO GRILLER PERD 1000G CX 10KG</v>
          </cell>
          <cell r="C1939">
            <v>2.4870000000000001</v>
          </cell>
          <cell r="D1939">
            <v>2.4870000000000001</v>
          </cell>
          <cell r="E1939">
            <v>-0.56799999999999995</v>
          </cell>
          <cell r="F1939">
            <v>-7.1000000000000063E-2</v>
          </cell>
        </row>
        <row r="1940">
          <cell r="A1940">
            <v>199575</v>
          </cell>
          <cell r="B1940" t="str">
            <v>FGE145 FRANGO GRILLER BAHRAIN 1200G 12KG</v>
          </cell>
          <cell r="C1940">
            <v>2.468</v>
          </cell>
          <cell r="D1940">
            <v>2.468</v>
          </cell>
          <cell r="E1940">
            <v>-0.56499999999999995</v>
          </cell>
          <cell r="F1940">
            <v>-6.9999999999999951E-2</v>
          </cell>
        </row>
        <row r="1941">
          <cell r="A1941">
            <v>199583</v>
          </cell>
          <cell r="B1941" t="str">
            <v>FGE514 FRANGO GRILLER BAHRAIN PERD 1300G</v>
          </cell>
          <cell r="C1941">
            <v>2.4510000000000001</v>
          </cell>
          <cell r="D1941">
            <v>2.4510000000000001</v>
          </cell>
          <cell r="E1941">
            <v>-0.56200000000000006</v>
          </cell>
          <cell r="F1941">
            <v>-7.0000000000000062E-2</v>
          </cell>
        </row>
        <row r="1942">
          <cell r="A1942">
            <v>199591</v>
          </cell>
          <cell r="B1942" t="str">
            <v>FGE147 FRANGO GRILLER BAHRAIN PERD 1400G</v>
          </cell>
          <cell r="C1942">
            <v>2.4870000000000001</v>
          </cell>
          <cell r="D1942">
            <v>2.4870000000000001</v>
          </cell>
          <cell r="E1942">
            <v>-0.56799999999999995</v>
          </cell>
          <cell r="F1942">
            <v>-6.9999999999999951E-2</v>
          </cell>
        </row>
        <row r="1943">
          <cell r="A1943">
            <v>483257</v>
          </cell>
          <cell r="B1943" t="str">
            <v>FGE365 FRANGO GRILLER KUWAIT 1400G 14KG</v>
          </cell>
          <cell r="C1943">
            <v>2.4870000000000001</v>
          </cell>
          <cell r="D1943">
            <v>2.4870000000000001</v>
          </cell>
          <cell r="E1943">
            <v>-0.57099999999999995</v>
          </cell>
          <cell r="F1943">
            <v>-7.0999999999999952E-2</v>
          </cell>
        </row>
        <row r="1944">
          <cell r="A1944">
            <v>592714</v>
          </cell>
          <cell r="B1944" t="str">
            <v>FGCE17 FRANGO GRILLER HALAL 1500G EAU</v>
          </cell>
          <cell r="C1944">
            <v>2.2280000000000002</v>
          </cell>
          <cell r="D1944">
            <v>2.2280000000000002</v>
          </cell>
          <cell r="E1944">
            <v>-0.53800000000000003</v>
          </cell>
          <cell r="F1944">
            <v>-6.3E-2</v>
          </cell>
        </row>
        <row r="1945">
          <cell r="A1945">
            <v>697079</v>
          </cell>
          <cell r="B1945" t="str">
            <v>AIFC70 ASA 2A JTA SEC TEBANAKA IQF PRIME</v>
          </cell>
          <cell r="C1945">
            <v>4.0640000000000001</v>
          </cell>
          <cell r="D1945">
            <v>4.0640000000000001</v>
          </cell>
          <cell r="E1945">
            <v>-0.14000000000000001</v>
          </cell>
          <cell r="F1945">
            <v>-0.12200000000000011</v>
          </cell>
        </row>
        <row r="1946">
          <cell r="A1946">
            <v>697478</v>
          </cell>
          <cell r="B1946" t="str">
            <v>FGEC73 FRANGO GRILLER HALAL 1400G QATAR</v>
          </cell>
          <cell r="C1946">
            <v>2.4729999999999999</v>
          </cell>
          <cell r="D1946">
            <v>2.4729999999999999</v>
          </cell>
          <cell r="E1946">
            <v>-0.56399999999999995</v>
          </cell>
          <cell r="F1946">
            <v>-6.9999999999999951E-2</v>
          </cell>
        </row>
        <row r="1947">
          <cell r="A1947">
            <v>697486</v>
          </cell>
          <cell r="B1947" t="str">
            <v>FGEC74 FRANGO GRILLER HALAL 1500G QATAR</v>
          </cell>
          <cell r="C1947">
            <v>2.4729999999999999</v>
          </cell>
          <cell r="D1947">
            <v>2.4729999999999999</v>
          </cell>
          <cell r="E1947">
            <v>-0.56399999999999995</v>
          </cell>
          <cell r="F1947">
            <v>-7.0000000000000007E-2</v>
          </cell>
        </row>
        <row r="1948">
          <cell r="A1948">
            <v>713716</v>
          </cell>
          <cell r="B1948" t="str">
            <v>FDCE14 FRANGO S/O/A/S C/P PT 2,5KG ACHAT</v>
          </cell>
          <cell r="C1948">
            <v>3.2269999999999999</v>
          </cell>
          <cell r="D1948">
            <v>3.2269999999999999</v>
          </cell>
          <cell r="E1948">
            <v>-0.49099999999999999</v>
          </cell>
          <cell r="F1948">
            <v>-9.3000000000000027E-2</v>
          </cell>
        </row>
        <row r="1949">
          <cell r="A1949">
            <v>727830</v>
          </cell>
          <cell r="B1949" t="str">
            <v>FEGC01 FRANGO GRILLER ITALIA 1300G</v>
          </cell>
          <cell r="C1949">
            <v>2.407</v>
          </cell>
          <cell r="D1949">
            <v>2.407</v>
          </cell>
          <cell r="E1949">
            <v>-0.48699999999999999</v>
          </cell>
          <cell r="F1949">
            <v>-6.9000000000000061E-2</v>
          </cell>
        </row>
        <row r="1950">
          <cell r="A1950">
            <v>741337</v>
          </cell>
          <cell r="B1950" t="str">
            <v>ASA 2A JTA 30/UP PT 1KG ACHAT PERD CING</v>
          </cell>
          <cell r="C1950">
            <v>3.9369999999999998</v>
          </cell>
          <cell r="D1950">
            <v>3.9369999999999998</v>
          </cell>
          <cell r="E1950">
            <v>-0.67</v>
          </cell>
          <cell r="F1950">
            <v>-0.115</v>
          </cell>
        </row>
        <row r="1951">
          <cell r="A1951">
            <v>745340</v>
          </cell>
          <cell r="B1951" t="str">
            <v>FEGC16 FRANGO GRILLER HALAL OMAN 1300G</v>
          </cell>
          <cell r="C1951">
            <v>2.4870000000000001</v>
          </cell>
          <cell r="D1951">
            <v>2.4870000000000001</v>
          </cell>
          <cell r="E1951">
            <v>-0.58099999999999996</v>
          </cell>
          <cell r="F1951">
            <v>-6.9999999999999951E-2</v>
          </cell>
        </row>
        <row r="1952">
          <cell r="A1952">
            <v>753360</v>
          </cell>
          <cell r="B1952" t="str">
            <v>PCEF84 PEITO S/O S/P S/CLAV C/F 250G UP</v>
          </cell>
          <cell r="C1952">
            <v>6.266</v>
          </cell>
          <cell r="D1952">
            <v>6.266</v>
          </cell>
          <cell r="E1952">
            <v>-0.45300000000000001</v>
          </cell>
          <cell r="F1952">
            <v>-0.18599999999999994</v>
          </cell>
        </row>
        <row r="1953">
          <cell r="A1953">
            <v>753459</v>
          </cell>
          <cell r="B1953" t="str">
            <v>PCEF93 PEITO S/O S/P S/CLAV C/F ITF PERD</v>
          </cell>
          <cell r="C1953">
            <v>6.1539999999999999</v>
          </cell>
          <cell r="D1953">
            <v>6.1539999999999999</v>
          </cell>
          <cell r="E1953">
            <v>-0.45100000000000001</v>
          </cell>
          <cell r="F1953">
            <v>-0.18199999999999994</v>
          </cell>
        </row>
        <row r="1954">
          <cell r="A1954">
            <v>753513</v>
          </cell>
          <cell r="B1954" t="str">
            <v>PECF01 PEITO S/O S/P S/F S/CLAV 50-90G</v>
          </cell>
          <cell r="C1954">
            <v>6.2850000000000001</v>
          </cell>
          <cell r="D1954">
            <v>6.2850000000000001</v>
          </cell>
          <cell r="E1954">
            <v>-0.45700000000000002</v>
          </cell>
          <cell r="F1954">
            <v>-0.18599999999999994</v>
          </cell>
        </row>
        <row r="1955">
          <cell r="A1955">
            <v>753564</v>
          </cell>
          <cell r="B1955" t="str">
            <v>PECF05 PEITO S/O S/P S/F S/CLAV 50-90G</v>
          </cell>
          <cell r="C1955">
            <v>6.3780000000000001</v>
          </cell>
          <cell r="D1955">
            <v>6.3780000000000001</v>
          </cell>
          <cell r="E1955">
            <v>-0.46500000000000002</v>
          </cell>
          <cell r="F1955">
            <v>-0.18900000000000006</v>
          </cell>
        </row>
        <row r="1956">
          <cell r="A1956">
            <v>753696</v>
          </cell>
          <cell r="B1956" t="str">
            <v>PECF18 PEITO S/O S/P S/CLAV C/F CHESTER</v>
          </cell>
          <cell r="C1956">
            <v>6.2149999999999999</v>
          </cell>
          <cell r="D1956">
            <v>6.2149999999999999</v>
          </cell>
          <cell r="E1956">
            <v>-0.45800000000000002</v>
          </cell>
          <cell r="F1956">
            <v>-0.185</v>
          </cell>
        </row>
        <row r="1957">
          <cell r="A1957">
            <v>753700</v>
          </cell>
          <cell r="B1957" t="str">
            <v>PECF19 PEITO S/OPC C/F CHT CANARIAS</v>
          </cell>
          <cell r="C1957">
            <v>6.2850000000000001</v>
          </cell>
          <cell r="D1957">
            <v>6.2850000000000001</v>
          </cell>
          <cell r="E1957">
            <v>-0.45700000000000002</v>
          </cell>
          <cell r="F1957">
            <v>-0.18699999999999983</v>
          </cell>
        </row>
        <row r="1958">
          <cell r="A1958">
            <v>753742</v>
          </cell>
          <cell r="B1958" t="str">
            <v>PECF22 PEITO S/OPC C/F CHT IND/VAC CANAR</v>
          </cell>
          <cell r="C1958">
            <v>6.3780000000000001</v>
          </cell>
          <cell r="D1958">
            <v>6.3780000000000001</v>
          </cell>
          <cell r="E1958">
            <v>-0.45500000000000002</v>
          </cell>
          <cell r="F1958">
            <v>-0.19</v>
          </cell>
        </row>
        <row r="1959">
          <cell r="A1959">
            <v>753920</v>
          </cell>
          <cell r="B1959" t="str">
            <v>CSCE68 COXA/SOBREC S/O/P IND/VAC PERD</v>
          </cell>
          <cell r="C1959">
            <v>3.2469999999999999</v>
          </cell>
          <cell r="D1959">
            <v>3.2469999999999999</v>
          </cell>
          <cell r="E1959">
            <v>-0.39300000000000002</v>
          </cell>
          <cell r="F1959">
            <v>-9.5000000000000084E-2</v>
          </cell>
        </row>
        <row r="1960">
          <cell r="A1960">
            <v>753939</v>
          </cell>
          <cell r="B1960" t="str">
            <v>CSCE69 COXA/SOBREC S/O/P IND/VAC PERD</v>
          </cell>
          <cell r="C1960">
            <v>3.359</v>
          </cell>
          <cell r="D1960">
            <v>3.359</v>
          </cell>
          <cell r="E1960">
            <v>-0.40500000000000003</v>
          </cell>
          <cell r="F1960">
            <v>-9.8999999999999977E-2</v>
          </cell>
        </row>
        <row r="1961">
          <cell r="A1961">
            <v>754226</v>
          </cell>
          <cell r="B1961" t="str">
            <v>CFEC84 COXA C/O C/P DRUMSTICK PT 1KG IQF</v>
          </cell>
          <cell r="C1961">
            <v>2.3530000000000002</v>
          </cell>
          <cell r="D1961">
            <v>2.3530000000000002</v>
          </cell>
          <cell r="E1961">
            <v>-0.375</v>
          </cell>
          <cell r="F1961">
            <v>-6.899999999999995E-2</v>
          </cell>
        </row>
        <row r="1962">
          <cell r="A1962">
            <v>754234</v>
          </cell>
          <cell r="B1962" t="str">
            <v>CFEC85 COXA C/O C/P DRUMSTICK PT 1KG IQF</v>
          </cell>
          <cell r="C1962">
            <v>2.4079999999999999</v>
          </cell>
          <cell r="D1962">
            <v>2.4079999999999999</v>
          </cell>
          <cell r="E1962">
            <v>-0.38600000000000001</v>
          </cell>
          <cell r="F1962">
            <v>-7.0000000000000062E-2</v>
          </cell>
        </row>
        <row r="1963">
          <cell r="A1963">
            <v>754315</v>
          </cell>
          <cell r="B1963" t="str">
            <v>AIFE19 ASA 1A JTA DRUMETTE PT 1KG IQF</v>
          </cell>
          <cell r="C1963">
            <v>2.3530000000000002</v>
          </cell>
          <cell r="D1963">
            <v>2.3530000000000002</v>
          </cell>
          <cell r="E1963">
            <v>-0.375</v>
          </cell>
          <cell r="F1963">
            <v>-6.8000000000000005E-2</v>
          </cell>
        </row>
        <row r="1964">
          <cell r="A1964">
            <v>754323</v>
          </cell>
          <cell r="B1964" t="str">
            <v>AIFE20 ASA 1A JTA DRUMETTE PT 1KG IQF</v>
          </cell>
          <cell r="C1964">
            <v>2.4079999999999999</v>
          </cell>
          <cell r="D1964">
            <v>2.4079999999999999</v>
          </cell>
          <cell r="E1964">
            <v>-0.38600000000000001</v>
          </cell>
          <cell r="F1964">
            <v>-6.9000000000000006E-2</v>
          </cell>
        </row>
        <row r="1965">
          <cell r="A1965">
            <v>754757</v>
          </cell>
          <cell r="B1965" t="str">
            <v>FFCE21 FIGADO BDJ 500G CANARIAS CX 12KG</v>
          </cell>
          <cell r="C1965">
            <v>2.2410000000000001</v>
          </cell>
          <cell r="D1965">
            <v>2.2410000000000001</v>
          </cell>
          <cell r="E1965">
            <v>-0.38300000000000001</v>
          </cell>
          <cell r="F1965">
            <v>-6.4999999999999947E-2</v>
          </cell>
        </row>
        <row r="1966">
          <cell r="A1966">
            <v>754803</v>
          </cell>
          <cell r="B1966" t="str">
            <v>MFCE21 MOELA BDJ 500G PERD (C.S.MIGUEL)</v>
          </cell>
          <cell r="C1966">
            <v>2.2410000000000001</v>
          </cell>
          <cell r="D1966">
            <v>2.2410000000000001</v>
          </cell>
          <cell r="E1966">
            <v>-0.38300000000000001</v>
          </cell>
          <cell r="F1966">
            <v>-6.5000000000000058E-2</v>
          </cell>
        </row>
        <row r="1967">
          <cell r="A1967">
            <v>755605</v>
          </cell>
          <cell r="B1967" t="str">
            <v>FEGC37 FRANGO GRILLER PERD 1200G CANAR.</v>
          </cell>
          <cell r="C1967">
            <v>2.452</v>
          </cell>
          <cell r="D1967">
            <v>2.452</v>
          </cell>
          <cell r="E1967">
            <v>-0.36499999999999999</v>
          </cell>
          <cell r="F1967">
            <v>-7.0999999999999952E-2</v>
          </cell>
        </row>
        <row r="1968">
          <cell r="A1968">
            <v>755613</v>
          </cell>
          <cell r="B1968" t="str">
            <v>FEGC38 FRANGO GRILLER PERD 1400G CANAR.</v>
          </cell>
          <cell r="C1968">
            <v>2.452</v>
          </cell>
          <cell r="D1968">
            <v>2.452</v>
          </cell>
          <cell r="E1968">
            <v>-0.36499999999999999</v>
          </cell>
          <cell r="F1968">
            <v>-7.1000000000000063E-2</v>
          </cell>
        </row>
        <row r="1969">
          <cell r="A1969">
            <v>758540</v>
          </cell>
          <cell r="B1969" t="str">
            <v>PECF39 PEITO S/OPFC FAT 50-90G IND/VAC</v>
          </cell>
          <cell r="C1969">
            <v>6.266</v>
          </cell>
          <cell r="D1969">
            <v>6.266</v>
          </cell>
          <cell r="E1969">
            <v>-0.45400000000000001</v>
          </cell>
          <cell r="F1969">
            <v>-0.18699999999999983</v>
          </cell>
        </row>
        <row r="1970">
          <cell r="A1970">
            <v>758558</v>
          </cell>
          <cell r="B1970" t="str">
            <v>PECF40 PEITO S/OPFC FAT 50-90G ITF</v>
          </cell>
          <cell r="C1970">
            <v>6.1539999999999999</v>
          </cell>
          <cell r="D1970">
            <v>6.1539999999999999</v>
          </cell>
          <cell r="E1970">
            <v>-0.45200000000000001</v>
          </cell>
          <cell r="F1970">
            <v>-0.18299999999999983</v>
          </cell>
        </row>
        <row r="1971">
          <cell r="A1971">
            <v>758701</v>
          </cell>
          <cell r="B1971" t="str">
            <v>PECF42 PEITO S/OPFC CUBOS 19MM TAMBL/COZ</v>
          </cell>
          <cell r="C1971">
            <v>7.2270000000000003</v>
          </cell>
          <cell r="D1971">
            <v>7.2270000000000003</v>
          </cell>
          <cell r="E1971">
            <v>-0.45400000000000001</v>
          </cell>
          <cell r="F1971">
            <v>-0.21399999999999997</v>
          </cell>
        </row>
        <row r="1972">
          <cell r="A1972">
            <v>761117</v>
          </cell>
          <cell r="B1972" t="str">
            <v>FEGC42 FRANGO GRILLER PERD 1300G CANARIA</v>
          </cell>
          <cell r="C1972">
            <v>2.452</v>
          </cell>
          <cell r="D1972">
            <v>2.452</v>
          </cell>
          <cell r="E1972">
            <v>-0.36499999999999999</v>
          </cell>
          <cell r="F1972">
            <v>-7.0999999999999952E-2</v>
          </cell>
        </row>
        <row r="1973">
          <cell r="A1973">
            <v>761311</v>
          </cell>
          <cell r="B1973" t="str">
            <v>FEGC43 FRANGO GRILLER 1100G PERD CANARIA</v>
          </cell>
          <cell r="C1973">
            <v>2.464</v>
          </cell>
          <cell r="D1973">
            <v>2.464</v>
          </cell>
          <cell r="E1973">
            <v>-0.377</v>
          </cell>
          <cell r="F1973">
            <v>-7.1999999999999953E-2</v>
          </cell>
        </row>
        <row r="1974">
          <cell r="A1974">
            <v>772410</v>
          </cell>
          <cell r="B1974" t="str">
            <v>FEGC60 FRANGO GRIL 1400G PERD(ANSARO)</v>
          </cell>
          <cell r="C1974">
            <v>2.5550000000000002</v>
          </cell>
          <cell r="D1974">
            <v>2.5550000000000002</v>
          </cell>
          <cell r="E1974">
            <v>-0.36299999999999999</v>
          </cell>
          <cell r="F1974">
            <v>-7.3999999999999955E-2</v>
          </cell>
        </row>
        <row r="1975">
          <cell r="A1975">
            <v>785822</v>
          </cell>
          <cell r="B1975" t="str">
            <v>CSEC90 COXA SOBREC S/OP IWP/VAC PERD</v>
          </cell>
          <cell r="C1975">
            <v>3.2469999999999999</v>
          </cell>
          <cell r="D1975">
            <v>3.2469999999999999</v>
          </cell>
          <cell r="E1975">
            <v>-0.39300000000000002</v>
          </cell>
          <cell r="F1975">
            <v>-9.5000000000000001E-2</v>
          </cell>
        </row>
        <row r="1976">
          <cell r="A1976">
            <v>792934</v>
          </cell>
          <cell r="B1976" t="str">
            <v>PEITO S/OPFC BUT TAM/MAR PLAIN BOREL ING</v>
          </cell>
          <cell r="C1976">
            <v>5.032</v>
          </cell>
          <cell r="D1976">
            <v>5.032</v>
          </cell>
          <cell r="E1976">
            <v>-0.45800000000000002</v>
          </cell>
          <cell r="F1976">
            <v>-0.14700000000000002</v>
          </cell>
        </row>
        <row r="1977">
          <cell r="A1977">
            <v>807888</v>
          </cell>
          <cell r="B1977" t="str">
            <v>AIFE53 ASA 1A JTA DRUM CANAR PT 1KG IQF</v>
          </cell>
          <cell r="C1977">
            <v>2.407</v>
          </cell>
          <cell r="D1977">
            <v>2.407</v>
          </cell>
          <cell r="E1977">
            <v>-0.379</v>
          </cell>
          <cell r="F1977">
            <v>-7.0000000000000007E-2</v>
          </cell>
        </row>
        <row r="1978">
          <cell r="A1978">
            <v>808129</v>
          </cell>
          <cell r="B1978" t="str">
            <v>CECS16 COXA SOBR S/OP IND/VAC PERD CANAR</v>
          </cell>
          <cell r="C1978">
            <v>3.2469999999999999</v>
          </cell>
          <cell r="D1978">
            <v>3.2469999999999999</v>
          </cell>
          <cell r="E1978">
            <v>-0.39300000000000002</v>
          </cell>
          <cell r="F1978">
            <v>-9.5000000000000001E-2</v>
          </cell>
        </row>
        <row r="1979">
          <cell r="A1979">
            <v>808133</v>
          </cell>
          <cell r="B1979" t="str">
            <v>FCGE14 FRANGO GRILLER 1100G PERD CANAR</v>
          </cell>
          <cell r="C1979">
            <v>2.4079999999999999</v>
          </cell>
          <cell r="D1979">
            <v>2.4079999999999999</v>
          </cell>
          <cell r="E1979">
            <v>-0.35799999999999998</v>
          </cell>
          <cell r="F1979">
            <v>-6.9999999999999951E-2</v>
          </cell>
        </row>
        <row r="1980">
          <cell r="A1980">
            <v>808134</v>
          </cell>
          <cell r="B1980" t="str">
            <v>CECS17 COXA SOB C/OP 190G/UP ITF CANAR</v>
          </cell>
          <cell r="C1980">
            <v>2.0169999999999999</v>
          </cell>
          <cell r="D1980">
            <v>2.0169999999999999</v>
          </cell>
          <cell r="E1980">
            <v>-0.36799999999999999</v>
          </cell>
          <cell r="F1980">
            <v>-5.7999999999999996E-2</v>
          </cell>
        </row>
        <row r="1981">
          <cell r="A1981">
            <v>809447</v>
          </cell>
          <cell r="B1981" t="str">
            <v>MBRE05 MORTADELA BOLOGNA PARAG CX 5KG</v>
          </cell>
          <cell r="C1981">
            <v>2.7970000000000002</v>
          </cell>
          <cell r="D1981">
            <v>2.7970000000000002</v>
          </cell>
          <cell r="E1981">
            <v>-0.06</v>
          </cell>
          <cell r="F1981">
            <v>-8.3999999999999991E-2</v>
          </cell>
        </row>
        <row r="1982">
          <cell r="A1982">
            <v>810585</v>
          </cell>
          <cell r="B1982" t="str">
            <v>FCGE55 FRANGO GRILLER 1200G CAN CX 12KG</v>
          </cell>
          <cell r="C1982">
            <v>2.464</v>
          </cell>
          <cell r="D1982">
            <v>2.464</v>
          </cell>
          <cell r="E1982">
            <v>-0.35699999999999998</v>
          </cell>
          <cell r="F1982">
            <v>-7.1999999999999953E-2</v>
          </cell>
        </row>
        <row r="1983">
          <cell r="A1983">
            <v>810631</v>
          </cell>
          <cell r="B1983" t="str">
            <v>CECS49 COXA SOBR S/OP ITF PERD CX16KG</v>
          </cell>
          <cell r="C1983">
            <v>3.1349999999999998</v>
          </cell>
          <cell r="D1983">
            <v>3.1349999999999998</v>
          </cell>
          <cell r="E1983">
            <v>-0.39</v>
          </cell>
          <cell r="F1983">
            <v>-9.1999999999999971E-2</v>
          </cell>
        </row>
        <row r="1984">
          <cell r="A1984">
            <v>810633</v>
          </cell>
          <cell r="B1984" t="str">
            <v>PFEP75 PEITO S/OPC CF 250G/UP IND/VAC</v>
          </cell>
          <cell r="C1984">
            <v>6.1539999999999999</v>
          </cell>
          <cell r="D1984">
            <v>6.1539999999999999</v>
          </cell>
          <cell r="E1984">
            <v>-0.45100000000000001</v>
          </cell>
          <cell r="F1984">
            <v>-0.18299999999999983</v>
          </cell>
        </row>
        <row r="1985">
          <cell r="A1985">
            <v>810643</v>
          </cell>
          <cell r="B1985" t="str">
            <v>PFEP76 PEITO S/OPC C/F CHT IND/VAC PERD</v>
          </cell>
          <cell r="C1985">
            <v>6.266</v>
          </cell>
          <cell r="D1985">
            <v>6.266</v>
          </cell>
          <cell r="E1985">
            <v>-0.45400000000000001</v>
          </cell>
          <cell r="F1985">
            <v>-0.18599999999999994</v>
          </cell>
        </row>
        <row r="1986">
          <cell r="A1986">
            <v>811631</v>
          </cell>
          <cell r="B1986" t="str">
            <v>CECS57 COXA SOB C/OP 250G/UP ITF CANAR</v>
          </cell>
          <cell r="C1986">
            <v>1.96</v>
          </cell>
          <cell r="D1986">
            <v>1.96</v>
          </cell>
          <cell r="E1986">
            <v>-0.38400000000000001</v>
          </cell>
          <cell r="F1986">
            <v>-5.7000000000000023E-2</v>
          </cell>
        </row>
        <row r="1987">
          <cell r="A1987">
            <v>812510</v>
          </cell>
          <cell r="B1987" t="str">
            <v>AIFE72 ASA 1A JTA DRUM PT 1KG IQF CANAR</v>
          </cell>
          <cell r="C1987">
            <v>2.4079999999999999</v>
          </cell>
          <cell r="D1987">
            <v>2.4079999999999999</v>
          </cell>
          <cell r="E1987">
            <v>-0.376</v>
          </cell>
          <cell r="F1987">
            <v>-7.0000000000000007E-2</v>
          </cell>
        </row>
        <row r="1988">
          <cell r="A1988">
            <v>814168</v>
          </cell>
          <cell r="B1988" t="str">
            <v>MCFE07 MORTADELA CONF S/TOUCINHO PARAG</v>
          </cell>
          <cell r="C1988">
            <v>2.069</v>
          </cell>
          <cell r="D1988">
            <v>2.069</v>
          </cell>
          <cell r="E1988">
            <v>-0.06</v>
          </cell>
          <cell r="F1988">
            <v>-6.2000000000000055E-2</v>
          </cell>
        </row>
        <row r="1989">
          <cell r="A1989">
            <v>815088</v>
          </cell>
          <cell r="B1989" t="str">
            <v>FSCE19 FILEZINHO SUI 350-400G H.KONG</v>
          </cell>
          <cell r="C1989">
            <v>3.5760000000000001</v>
          </cell>
          <cell r="D1989">
            <v>3.5760000000000001</v>
          </cell>
          <cell r="E1989">
            <v>-7.1999999999999995E-2</v>
          </cell>
          <cell r="F1989">
            <v>-0.107</v>
          </cell>
        </row>
        <row r="1990">
          <cell r="A1990">
            <v>816141</v>
          </cell>
          <cell r="B1990" t="str">
            <v>CSBC53 COXA SOBREC C/OP 340G/UP PERD</v>
          </cell>
          <cell r="C1990">
            <v>1.962</v>
          </cell>
          <cell r="D1990">
            <v>1.962</v>
          </cell>
          <cell r="E1990">
            <v>-0.53500000000000003</v>
          </cell>
          <cell r="F1990">
            <v>-5.5E-2</v>
          </cell>
        </row>
        <row r="1991">
          <cell r="A1991">
            <v>816954</v>
          </cell>
          <cell r="B1991" t="str">
            <v>PPCE03 PEITO CHT S/OPFC MET BDJ 1KG ITA</v>
          </cell>
          <cell r="C1991">
            <v>6.4710000000000001</v>
          </cell>
          <cell r="D1991">
            <v>6.4710000000000001</v>
          </cell>
          <cell r="E1991">
            <v>-0.55800000000000005</v>
          </cell>
          <cell r="F1991">
            <v>-0.19099999999999984</v>
          </cell>
        </row>
        <row r="1992">
          <cell r="A1992">
            <v>822556</v>
          </cell>
          <cell r="B1992" t="str">
            <v>CSPE10 COXA SOB C/OP 250G/UP ITF CANAR</v>
          </cell>
          <cell r="C1992">
            <v>1.905</v>
          </cell>
          <cell r="D1992">
            <v>1.905</v>
          </cell>
          <cell r="E1992">
            <v>-0.36599999999999999</v>
          </cell>
          <cell r="F1992">
            <v>-5.5E-2</v>
          </cell>
        </row>
        <row r="1993">
          <cell r="A1993">
            <v>824448</v>
          </cell>
          <cell r="B1993" t="str">
            <v>CARRE SUI CONG PERD ANGOLA CX 25KG</v>
          </cell>
          <cell r="C1993">
            <v>3.1309999999999998</v>
          </cell>
          <cell r="D1993">
            <v>3.1309999999999998</v>
          </cell>
          <cell r="E1993">
            <v>-6.8000000000000005E-2</v>
          </cell>
          <cell r="F1993">
            <v>-9.5000000000000001E-2</v>
          </cell>
        </row>
        <row r="1994">
          <cell r="A1994">
            <v>824827</v>
          </cell>
          <cell r="B1994" t="str">
            <v>FRANGO BROILER 1000G HALAL KUWAIT</v>
          </cell>
          <cell r="C1994">
            <v>2.4729999999999999</v>
          </cell>
          <cell r="D1994">
            <v>2.4729999999999999</v>
          </cell>
          <cell r="E1994">
            <v>-0.55900000000000005</v>
          </cell>
          <cell r="F1994">
            <v>-6.9999999999999951E-2</v>
          </cell>
        </row>
        <row r="1995">
          <cell r="A1995">
            <v>825176</v>
          </cell>
          <cell r="B1995" t="str">
            <v>FRANGO GRILLER 1050G PERDIGAO JAPAO</v>
          </cell>
          <cell r="C1995">
            <v>2.6259999999999999</v>
          </cell>
          <cell r="D1995">
            <v>2.6259999999999999</v>
          </cell>
          <cell r="E1995">
            <v>-0.49099999999999999</v>
          </cell>
          <cell r="F1995">
            <v>-7.4999999999999997E-2</v>
          </cell>
        </row>
        <row r="1996">
          <cell r="A1996">
            <v>826142</v>
          </cell>
          <cell r="B1996" t="str">
            <v>FRANGO GRILLER 1100G PERD SENEGAL CX11KG</v>
          </cell>
          <cell r="C1996">
            <v>2.52</v>
          </cell>
          <cell r="D1996">
            <v>2.52</v>
          </cell>
          <cell r="E1996">
            <v>-0.63400000000000001</v>
          </cell>
          <cell r="F1996">
            <v>-7.0000000000000062E-2</v>
          </cell>
        </row>
        <row r="1997">
          <cell r="A1997">
            <v>826217</v>
          </cell>
          <cell r="B1997" t="str">
            <v>FRANGO GRILLER 800G AL-NOOR OMAN</v>
          </cell>
          <cell r="C1997">
            <v>2.5019999999999998</v>
          </cell>
          <cell r="D1997">
            <v>2.5019999999999998</v>
          </cell>
          <cell r="E1997">
            <v>-0.6</v>
          </cell>
          <cell r="F1997">
            <v>-4.0000000000000036E-3</v>
          </cell>
        </row>
        <row r="1998">
          <cell r="A1998">
            <v>826218</v>
          </cell>
          <cell r="B1998" t="str">
            <v>FRANGO GRILLER 900G AL-NOOR OMAN</v>
          </cell>
          <cell r="C1998">
            <v>2.5019999999999998</v>
          </cell>
          <cell r="D1998">
            <v>2.5019999999999998</v>
          </cell>
          <cell r="E1998">
            <v>-0.6</v>
          </cell>
          <cell r="F1998">
            <v>-4.0000000000000036E-3</v>
          </cell>
        </row>
        <row r="1999">
          <cell r="A1999">
            <v>826219</v>
          </cell>
          <cell r="B1999" t="str">
            <v>FRANGO GRILLER 1000G AL-NOOR OMAN</v>
          </cell>
          <cell r="C1999">
            <v>2.5019999999999998</v>
          </cell>
          <cell r="D1999">
            <v>2.5019999999999998</v>
          </cell>
          <cell r="E1999">
            <v>-0.6</v>
          </cell>
          <cell r="F1999">
            <v>-4.0000000000000036E-3</v>
          </cell>
        </row>
        <row r="2000">
          <cell r="A2000">
            <v>826220</v>
          </cell>
          <cell r="B2000" t="str">
            <v>FRANGO GRILLER 1100G AL-NOOR OMAN</v>
          </cell>
          <cell r="C2000">
            <v>2.5019999999999998</v>
          </cell>
          <cell r="D2000">
            <v>2.5019999999999998</v>
          </cell>
          <cell r="E2000">
            <v>-0.6</v>
          </cell>
          <cell r="F2000">
            <v>-4.0000000000000036E-3</v>
          </cell>
        </row>
        <row r="2001">
          <cell r="A2001">
            <v>826241</v>
          </cell>
          <cell r="B2001" t="str">
            <v>FRANGO GRILLER 1200G AL-NOOR OMAN</v>
          </cell>
          <cell r="C2001">
            <v>2.5019999999999998</v>
          </cell>
          <cell r="D2001">
            <v>2.5019999999999998</v>
          </cell>
          <cell r="E2001">
            <v>-0.6</v>
          </cell>
          <cell r="F2001">
            <v>-4.0000000000000036E-3</v>
          </cell>
        </row>
        <row r="2002">
          <cell r="A2002">
            <v>826243</v>
          </cell>
          <cell r="B2002" t="str">
            <v>FRANGO GRILLER 1400G AL-NOOR OMAN</v>
          </cell>
          <cell r="C2002">
            <v>2.5019999999999998</v>
          </cell>
          <cell r="D2002">
            <v>2.5019999999999998</v>
          </cell>
          <cell r="E2002">
            <v>-0.6</v>
          </cell>
          <cell r="F2002">
            <v>-4.0000000000000036E-3</v>
          </cell>
        </row>
        <row r="2003">
          <cell r="A2003">
            <v>826244</v>
          </cell>
          <cell r="B2003" t="str">
            <v>FRANGO GRILLER 1500G AL-NOOR OMAN</v>
          </cell>
          <cell r="C2003">
            <v>2.5019999999999998</v>
          </cell>
          <cell r="D2003">
            <v>2.5019999999999998</v>
          </cell>
          <cell r="E2003">
            <v>-0.6</v>
          </cell>
          <cell r="F2003">
            <v>-4.0000000000000036E-3</v>
          </cell>
        </row>
        <row r="2004">
          <cell r="A2004">
            <v>826247</v>
          </cell>
          <cell r="B2004" t="str">
            <v>COXA SOB S/O C/P PT 2,5KG ACHAT AL-NOOR</v>
          </cell>
          <cell r="C2004">
            <v>3.2269999999999999</v>
          </cell>
          <cell r="D2004">
            <v>3.2269999999999999</v>
          </cell>
          <cell r="E2004">
            <v>-0.65200000000000002</v>
          </cell>
          <cell r="F2004">
            <v>-9.2999999999999972E-2</v>
          </cell>
        </row>
        <row r="2005">
          <cell r="A2005">
            <v>826248</v>
          </cell>
          <cell r="B2005" t="str">
            <v>COXA SOB S/OP PT 2,5KG ACHAT AL-NOOR KUW</v>
          </cell>
          <cell r="C2005">
            <v>3.4420000000000002</v>
          </cell>
          <cell r="D2005">
            <v>3.4420000000000002</v>
          </cell>
          <cell r="E2005">
            <v>-0.66600000000000004</v>
          </cell>
          <cell r="F2005">
            <v>-9.8999999999999977E-2</v>
          </cell>
        </row>
        <row r="2006">
          <cell r="A2006">
            <v>826249</v>
          </cell>
          <cell r="B2006" t="str">
            <v>COXA C/OP DRUMST BDJ 908G AL-NOOR KUWAIT</v>
          </cell>
          <cell r="C2006">
            <v>2.9540000000000002</v>
          </cell>
          <cell r="D2006">
            <v>2.9540000000000002</v>
          </cell>
          <cell r="E2006">
            <v>-0.64400000000000002</v>
          </cell>
          <cell r="F2006">
            <v>-8.4000000000000075E-2</v>
          </cell>
        </row>
        <row r="2007">
          <cell r="A2007">
            <v>826250</v>
          </cell>
          <cell r="B2007" t="str">
            <v>ASA INTEIRA BDJ 908G AL-NOOR KUWAIT</v>
          </cell>
          <cell r="C2007">
            <v>2.8439999999999999</v>
          </cell>
          <cell r="D2007">
            <v>2.8439999999999999</v>
          </cell>
          <cell r="E2007">
            <v>-0.64100000000000001</v>
          </cell>
          <cell r="F2007">
            <v>-0.08</v>
          </cell>
        </row>
        <row r="2008">
          <cell r="A2008">
            <v>826251</v>
          </cell>
          <cell r="B2008" t="str">
            <v>FIGADO FGO BDJ 450G AL-NOOR KUWAIT</v>
          </cell>
          <cell r="C2008">
            <v>2.5169999999999999</v>
          </cell>
          <cell r="D2008">
            <v>2.5169999999999999</v>
          </cell>
          <cell r="E2008">
            <v>-0.63200000000000001</v>
          </cell>
          <cell r="F2008">
            <v>-7.1000000000000063E-2</v>
          </cell>
        </row>
        <row r="2009">
          <cell r="A2009">
            <v>826252</v>
          </cell>
          <cell r="B2009" t="str">
            <v>MOELA FGO BDJ 450G AL-NOOR KUWAIT</v>
          </cell>
          <cell r="C2009">
            <v>2.5710000000000002</v>
          </cell>
          <cell r="D2009">
            <v>2.5710000000000002</v>
          </cell>
          <cell r="E2009">
            <v>-0.63400000000000001</v>
          </cell>
          <cell r="F2009">
            <v>-7.2999999999999954E-2</v>
          </cell>
        </row>
        <row r="2010">
          <cell r="A2010">
            <v>826488</v>
          </cell>
          <cell r="B2010" t="str">
            <v>FRANGO GRILLER 750G UNEF CINGAPURA</v>
          </cell>
          <cell r="C2010">
            <v>2.6880000000000002</v>
          </cell>
          <cell r="D2010">
            <v>2.6880000000000002</v>
          </cell>
          <cell r="E2010">
            <v>-0.59699999999999998</v>
          </cell>
          <cell r="F2010">
            <v>-7.6999999999999957E-2</v>
          </cell>
        </row>
        <row r="2011">
          <cell r="A2011">
            <v>827039</v>
          </cell>
          <cell r="B2011" t="str">
            <v>PEITO PERU S/OPC C/F MET 1200-2500G ITAL</v>
          </cell>
          <cell r="C2011">
            <v>5.8410000000000002</v>
          </cell>
          <cell r="D2011">
            <v>5.8410000000000002</v>
          </cell>
          <cell r="E2011">
            <v>-0.36199999999999999</v>
          </cell>
          <cell r="F2011">
            <v>-1.0999999999999899E-2</v>
          </cell>
        </row>
        <row r="2012">
          <cell r="A2012">
            <v>827041</v>
          </cell>
          <cell r="B2012" t="str">
            <v>PEITO PERU S/OPC C/F MET 500-1200G ALEMA</v>
          </cell>
          <cell r="C2012">
            <v>6.58</v>
          </cell>
          <cell r="D2012">
            <v>6.58</v>
          </cell>
          <cell r="E2012">
            <v>-0.36399999999999999</v>
          </cell>
          <cell r="F2012">
            <v>-1.3000000000000345E-2</v>
          </cell>
        </row>
        <row r="2013">
          <cell r="A2013">
            <v>827049</v>
          </cell>
          <cell r="B2013" t="str">
            <v>PEITO PERU S/OPC C/F MET 1200-2500G HOLA</v>
          </cell>
          <cell r="C2013">
            <v>6.5510000000000002</v>
          </cell>
          <cell r="D2013">
            <v>6.5510000000000002</v>
          </cell>
          <cell r="E2013">
            <v>-0.38100000000000001</v>
          </cell>
          <cell r="F2013">
            <v>-1.2000000000000011E-2</v>
          </cell>
        </row>
        <row r="2014">
          <cell r="A2014">
            <v>827060</v>
          </cell>
          <cell r="B2014" t="str">
            <v>PEITO PERU S/OPC C/F MET 1200-2500G ALEM</v>
          </cell>
          <cell r="C2014">
            <v>6.093</v>
          </cell>
          <cell r="D2014">
            <v>6.093</v>
          </cell>
          <cell r="E2014">
            <v>-0.36799999999999999</v>
          </cell>
          <cell r="F2014">
            <v>-1.2000000000000011E-2</v>
          </cell>
        </row>
        <row r="2015">
          <cell r="A2015">
            <v>827064</v>
          </cell>
          <cell r="B2015" t="str">
            <v>PEITO PERU S/OPC C/F MET 1200-2500G ITAL</v>
          </cell>
          <cell r="C2015">
            <v>5.9790000000000001</v>
          </cell>
          <cell r="D2015">
            <v>5.9790000000000001</v>
          </cell>
          <cell r="E2015">
            <v>-0.48499999999999999</v>
          </cell>
          <cell r="F2015">
            <v>-1.0999999999999677E-2</v>
          </cell>
        </row>
        <row r="2016">
          <cell r="A2016">
            <v>827343</v>
          </cell>
          <cell r="B2016" t="str">
            <v>FRANGO GRILLER 900G HALAL QATAR</v>
          </cell>
          <cell r="C2016">
            <v>2.3809999999999998</v>
          </cell>
          <cell r="D2016">
            <v>2.3809999999999998</v>
          </cell>
          <cell r="E2016">
            <v>-0.59499999999999997</v>
          </cell>
          <cell r="F2016">
            <v>-4.0000000000000036E-3</v>
          </cell>
        </row>
        <row r="2017">
          <cell r="A2017">
            <v>827344</v>
          </cell>
          <cell r="B2017" t="str">
            <v>FRANGO GRILLER 1000G HALAL QATAR</v>
          </cell>
          <cell r="C2017">
            <v>2.4079999999999999</v>
          </cell>
          <cell r="D2017">
            <v>2.4079999999999999</v>
          </cell>
          <cell r="E2017">
            <v>-0.59899999999999998</v>
          </cell>
          <cell r="F2017">
            <v>-4.0000000000000036E-3</v>
          </cell>
        </row>
        <row r="2018">
          <cell r="A2018">
            <v>827345</v>
          </cell>
          <cell r="B2018" t="str">
            <v>FRANGO GRILLER 1100G HALAL QATAR</v>
          </cell>
          <cell r="C2018">
            <v>2.3980000000000001</v>
          </cell>
          <cell r="D2018">
            <v>2.3980000000000001</v>
          </cell>
          <cell r="E2018">
            <v>-0.59799999999999998</v>
          </cell>
          <cell r="F2018">
            <v>-3.0000000000000027E-3</v>
          </cell>
        </row>
        <row r="2019">
          <cell r="A2019">
            <v>827347</v>
          </cell>
          <cell r="B2019" t="str">
            <v>FRANGO GRILLER 1200G HALAL QATAR</v>
          </cell>
          <cell r="C2019">
            <v>2.3809999999999998</v>
          </cell>
          <cell r="D2019">
            <v>2.3809999999999998</v>
          </cell>
          <cell r="E2019">
            <v>-0.59499999999999997</v>
          </cell>
          <cell r="F2019">
            <v>-3.0000000000000027E-3</v>
          </cell>
        </row>
        <row r="2020">
          <cell r="A2020">
            <v>827348</v>
          </cell>
          <cell r="B2020" t="str">
            <v>FRANGO GRILLER 1300G HALAL QATAR</v>
          </cell>
          <cell r="C2020">
            <v>2.3809999999999998</v>
          </cell>
          <cell r="D2020">
            <v>2.3809999999999998</v>
          </cell>
          <cell r="E2020">
            <v>-0.59499999999999997</v>
          </cell>
          <cell r="F2020">
            <v>-4.0000000000000036E-3</v>
          </cell>
        </row>
        <row r="2021">
          <cell r="A2021">
            <v>827362</v>
          </cell>
          <cell r="B2021" t="str">
            <v>FRANGO GRILLER 1400G HALAL QATAR</v>
          </cell>
          <cell r="C2021">
            <v>2.3809999999999998</v>
          </cell>
          <cell r="D2021">
            <v>2.3809999999999998</v>
          </cell>
          <cell r="E2021">
            <v>-0.59499999999999997</v>
          </cell>
          <cell r="F2021">
            <v>-4.0000000000000036E-3</v>
          </cell>
        </row>
        <row r="2022">
          <cell r="A2022">
            <v>827364</v>
          </cell>
          <cell r="B2022" t="str">
            <v>FRANGO GRILLER 800G HALAL IEMEN</v>
          </cell>
          <cell r="C2022">
            <v>2.492</v>
          </cell>
          <cell r="D2022">
            <v>2.492</v>
          </cell>
          <cell r="E2022">
            <v>-0.58399999999999996</v>
          </cell>
          <cell r="F2022">
            <v>-5.0000000000000001E-3</v>
          </cell>
        </row>
        <row r="2023">
          <cell r="A2023">
            <v>827365</v>
          </cell>
          <cell r="B2023" t="str">
            <v>FRANGO GRILLER 900G HALAL IEMEN</v>
          </cell>
          <cell r="C2023">
            <v>2.4769999999999999</v>
          </cell>
          <cell r="D2023">
            <v>2.4769999999999999</v>
          </cell>
          <cell r="E2023">
            <v>-0.58399999999999996</v>
          </cell>
          <cell r="F2023">
            <v>-4.0000000000000036E-3</v>
          </cell>
        </row>
        <row r="2024">
          <cell r="A2024">
            <v>827366</v>
          </cell>
          <cell r="B2024" t="str">
            <v>FRANGO GRILLER 1000G HALAL IEMEN</v>
          </cell>
          <cell r="C2024">
            <v>2.48</v>
          </cell>
          <cell r="D2024">
            <v>2.48</v>
          </cell>
          <cell r="E2024">
            <v>-0.58699999999999997</v>
          </cell>
          <cell r="F2024">
            <v>-4.0000000000000036E-3</v>
          </cell>
        </row>
        <row r="2025">
          <cell r="A2025">
            <v>827367</v>
          </cell>
          <cell r="B2025" t="str">
            <v>FRANGO GRILLER 1100G HALAL IEMEN</v>
          </cell>
          <cell r="C2025">
            <v>2.4660000000000002</v>
          </cell>
          <cell r="D2025">
            <v>2.4660000000000002</v>
          </cell>
          <cell r="E2025">
            <v>-0.58699999999999997</v>
          </cell>
          <cell r="F2025">
            <v>-4.0000000000000036E-3</v>
          </cell>
        </row>
        <row r="2026">
          <cell r="A2026">
            <v>827368</v>
          </cell>
          <cell r="B2026" t="str">
            <v>FRANGO GRILLER 1200G HALAL IEMEN</v>
          </cell>
          <cell r="C2026">
            <v>2.4740000000000002</v>
          </cell>
          <cell r="D2026">
            <v>2.4740000000000002</v>
          </cell>
          <cell r="E2026">
            <v>-0.58199999999999996</v>
          </cell>
          <cell r="F2026">
            <v>-4.0000000000000036E-3</v>
          </cell>
        </row>
        <row r="2027">
          <cell r="A2027">
            <v>827370</v>
          </cell>
          <cell r="B2027" t="str">
            <v>FRANGO GRILLER 1300G HALAL IEMEN</v>
          </cell>
          <cell r="C2027">
            <v>2.4729999999999999</v>
          </cell>
          <cell r="D2027">
            <v>2.4729999999999999</v>
          </cell>
          <cell r="E2027">
            <v>-0.58699999999999997</v>
          </cell>
          <cell r="F2027">
            <v>-4.0000000000000036E-3</v>
          </cell>
        </row>
        <row r="2028">
          <cell r="A2028">
            <v>827381</v>
          </cell>
          <cell r="B2028" t="str">
            <v>FRANGO GRILLER 1400G HALAL IEMEN</v>
          </cell>
          <cell r="C2028">
            <v>2.4870000000000001</v>
          </cell>
          <cell r="D2028">
            <v>2.4870000000000001</v>
          </cell>
          <cell r="E2028">
            <v>-0.59199999999999997</v>
          </cell>
          <cell r="F2028">
            <v>-4.0000000000000036E-3</v>
          </cell>
        </row>
        <row r="2029">
          <cell r="A2029">
            <v>827382</v>
          </cell>
          <cell r="B2029" t="str">
            <v>FRANGO GRILLER 1500G HALAL IEMEN</v>
          </cell>
          <cell r="C2029">
            <v>2.4940000000000002</v>
          </cell>
          <cell r="D2029">
            <v>2.4940000000000002</v>
          </cell>
          <cell r="E2029">
            <v>-0.58199999999999996</v>
          </cell>
          <cell r="F2029">
            <v>-4.0000000000000036E-3</v>
          </cell>
        </row>
        <row r="2030">
          <cell r="A2030">
            <v>827511</v>
          </cell>
          <cell r="B2030" t="str">
            <v>ASA 1A JTA DRUM PT 1KG IF PERD CANARIAS</v>
          </cell>
          <cell r="C2030">
            <v>2.3530000000000002</v>
          </cell>
          <cell r="D2030">
            <v>2.3530000000000002</v>
          </cell>
          <cell r="E2030">
            <v>-0.38600000000000001</v>
          </cell>
          <cell r="F2030">
            <v>-6.8000000000000005E-2</v>
          </cell>
        </row>
        <row r="2031">
          <cell r="A2031">
            <v>827512</v>
          </cell>
          <cell r="B2031" t="str">
            <v>COXA SOB C/OP 200G/UP ITF PERD CANARIAS</v>
          </cell>
          <cell r="C2031">
            <v>2.0169999999999999</v>
          </cell>
          <cell r="D2031">
            <v>2.0169999999999999</v>
          </cell>
          <cell r="E2031">
            <v>-0.379</v>
          </cell>
          <cell r="F2031">
            <v>-5.7999999999999996E-2</v>
          </cell>
        </row>
        <row r="2032">
          <cell r="A2032">
            <v>827513</v>
          </cell>
          <cell r="B2032" t="str">
            <v>COXA SOBREC S/OP ITF PERD CANARIAS</v>
          </cell>
          <cell r="C2032">
            <v>3.1349999999999998</v>
          </cell>
          <cell r="D2032">
            <v>3.1349999999999998</v>
          </cell>
          <cell r="E2032">
            <v>-0.40100000000000002</v>
          </cell>
          <cell r="F2032">
            <v>-9.1999999999999971E-2</v>
          </cell>
        </row>
        <row r="2033">
          <cell r="A2033">
            <v>827517</v>
          </cell>
          <cell r="B2033" t="str">
            <v>ASA 1A JTA DRUM PT 1KG IF PERD CANARIAS</v>
          </cell>
          <cell r="C2033">
            <v>2.3530000000000002</v>
          </cell>
          <cell r="D2033">
            <v>2.3530000000000002</v>
          </cell>
          <cell r="E2033">
            <v>-0.377</v>
          </cell>
          <cell r="F2033">
            <v>-6.8000000000000005E-2</v>
          </cell>
        </row>
        <row r="2034">
          <cell r="A2034">
            <v>827842</v>
          </cell>
          <cell r="B2034" t="str">
            <v>PEITO S/OPC C/F 250G/UP IND/VAC PERD CAN</v>
          </cell>
          <cell r="C2034">
            <v>6.266</v>
          </cell>
          <cell r="D2034">
            <v>6.266</v>
          </cell>
          <cell r="E2034">
            <v>-0.45300000000000001</v>
          </cell>
          <cell r="F2034">
            <v>-0.18599999999999994</v>
          </cell>
        </row>
        <row r="2035">
          <cell r="A2035">
            <v>827843</v>
          </cell>
          <cell r="B2035" t="str">
            <v>PEITO S/OPC C/F ITF PERD CANARIAS</v>
          </cell>
          <cell r="C2035">
            <v>6.1539999999999999</v>
          </cell>
          <cell r="D2035">
            <v>6.1539999999999999</v>
          </cell>
          <cell r="E2035">
            <v>-0.45100000000000001</v>
          </cell>
          <cell r="F2035">
            <v>-0.18300000000000027</v>
          </cell>
        </row>
        <row r="2036">
          <cell r="A2036">
            <v>827844</v>
          </cell>
          <cell r="B2036" t="str">
            <v>ASA 1A JTA DRUM PT 1KG IF PERD CANARIAS</v>
          </cell>
          <cell r="C2036">
            <v>2.464</v>
          </cell>
          <cell r="D2036">
            <v>2.464</v>
          </cell>
          <cell r="E2036">
            <v>-0.377</v>
          </cell>
          <cell r="F2036">
            <v>-7.2000000000000008E-2</v>
          </cell>
        </row>
        <row r="2037">
          <cell r="A2037">
            <v>827993</v>
          </cell>
          <cell r="B2037" t="str">
            <v>FRANGO GRILLER 800G HALAL OMAN</v>
          </cell>
          <cell r="C2037">
            <v>2.3610000000000002</v>
          </cell>
          <cell r="D2037">
            <v>2.3610000000000002</v>
          </cell>
          <cell r="E2037">
            <v>-0.56899999999999995</v>
          </cell>
          <cell r="F2037">
            <v>-4.0000000000000036E-3</v>
          </cell>
        </row>
        <row r="2038">
          <cell r="A2038">
            <v>827995</v>
          </cell>
          <cell r="B2038" t="str">
            <v>FRANGO GRILLER 1000G HALAL OMAN</v>
          </cell>
          <cell r="C2038">
            <v>2.3610000000000002</v>
          </cell>
          <cell r="D2038">
            <v>2.3610000000000002</v>
          </cell>
          <cell r="E2038">
            <v>-0.56899999999999995</v>
          </cell>
          <cell r="F2038">
            <v>-3.0000000000000027E-3</v>
          </cell>
        </row>
        <row r="2039">
          <cell r="A2039">
            <v>827996</v>
          </cell>
          <cell r="B2039" t="str">
            <v>FRANGO GRILLER 1100G HALAL OMAN</v>
          </cell>
          <cell r="C2039">
            <v>2.3610000000000002</v>
          </cell>
          <cell r="D2039">
            <v>2.3610000000000002</v>
          </cell>
          <cell r="E2039">
            <v>-0.56899999999999995</v>
          </cell>
          <cell r="F2039">
            <v>-4.0000000000000036E-3</v>
          </cell>
        </row>
        <row r="2040">
          <cell r="A2040">
            <v>827997</v>
          </cell>
          <cell r="B2040" t="str">
            <v>FRANGO GRILLER 1200G HALAL OMAN</v>
          </cell>
          <cell r="C2040">
            <v>2.3610000000000002</v>
          </cell>
          <cell r="D2040">
            <v>2.3610000000000002</v>
          </cell>
          <cell r="E2040">
            <v>-0.56899999999999995</v>
          </cell>
          <cell r="F2040">
            <v>-4.0000000000000036E-3</v>
          </cell>
        </row>
        <row r="2041">
          <cell r="A2041">
            <v>827998</v>
          </cell>
          <cell r="B2041" t="str">
            <v>FRANGO GRILLER 1300G HALAL OMAN</v>
          </cell>
          <cell r="C2041">
            <v>2.3610000000000002</v>
          </cell>
          <cell r="D2041">
            <v>2.3610000000000002</v>
          </cell>
          <cell r="E2041">
            <v>-0.56899999999999995</v>
          </cell>
          <cell r="F2041">
            <v>-4.0000000000000036E-3</v>
          </cell>
        </row>
        <row r="2042">
          <cell r="A2042">
            <v>827999</v>
          </cell>
          <cell r="B2042" t="str">
            <v>FRANGO GRILLER 1400G HALAL OMAN</v>
          </cell>
          <cell r="C2042">
            <v>2.3610000000000002</v>
          </cell>
          <cell r="D2042">
            <v>2.3610000000000002</v>
          </cell>
          <cell r="E2042">
            <v>-0.56899999999999995</v>
          </cell>
          <cell r="F2042">
            <v>-4.0000000000000036E-3</v>
          </cell>
        </row>
        <row r="2043">
          <cell r="A2043">
            <v>828051</v>
          </cell>
          <cell r="B2043" t="str">
            <v>ASA 1A JTA DRUM PT 1KG IF PERD CANARIAS</v>
          </cell>
          <cell r="C2043">
            <v>2.444</v>
          </cell>
          <cell r="D2043">
            <v>2.444</v>
          </cell>
          <cell r="E2043">
            <v>-0.376</v>
          </cell>
          <cell r="F2043">
            <v>-7.1000000000000008E-2</v>
          </cell>
        </row>
        <row r="2044">
          <cell r="A2044">
            <v>828113</v>
          </cell>
          <cell r="B2044" t="str">
            <v>COXA SOB C/OP 200G/UP ITF PERD CANARIAS</v>
          </cell>
          <cell r="C2044">
            <v>2.0009999999999999</v>
          </cell>
          <cell r="D2044">
            <v>2.0009999999999999</v>
          </cell>
          <cell r="E2044">
            <v>-0.36499999999999999</v>
          </cell>
          <cell r="F2044">
            <v>-5.8000000000000024E-2</v>
          </cell>
        </row>
        <row r="2045">
          <cell r="A2045">
            <v>828244</v>
          </cell>
          <cell r="B2045" t="str">
            <v>FRANGO GRILLER 1050G PERD JAPAO</v>
          </cell>
          <cell r="C2045">
            <v>2.7189999999999999</v>
          </cell>
          <cell r="D2045">
            <v>2.7189999999999999</v>
          </cell>
          <cell r="E2045">
            <v>-0.55600000000000005</v>
          </cell>
          <cell r="F2045">
            <v>-4.0000000000000036E-3</v>
          </cell>
        </row>
        <row r="2046">
          <cell r="A2046">
            <v>828394</v>
          </cell>
          <cell r="B2046" t="str">
            <v>FRANGO GRILLER 950G PERD JAPAO</v>
          </cell>
          <cell r="C2046">
            <v>2.7189999999999999</v>
          </cell>
          <cell r="D2046">
            <v>2.7189999999999999</v>
          </cell>
          <cell r="E2046">
            <v>-0.55600000000000005</v>
          </cell>
          <cell r="F2046">
            <v>-5.0000000000000001E-3</v>
          </cell>
        </row>
        <row r="2047">
          <cell r="A2047">
            <v>828396</v>
          </cell>
          <cell r="B2047" t="str">
            <v>FRANGO GRILLER 1000G PERD JAPAO</v>
          </cell>
          <cell r="C2047">
            <v>2.7189999999999999</v>
          </cell>
          <cell r="D2047">
            <v>2.7189999999999999</v>
          </cell>
          <cell r="E2047">
            <v>-0.55600000000000005</v>
          </cell>
          <cell r="F2047">
            <v>-5.0000000000000001E-3</v>
          </cell>
        </row>
        <row r="2048">
          <cell r="A2048">
            <v>828408</v>
          </cell>
          <cell r="B2048" t="str">
            <v>FRANGO GRILLER 1300G PERD JAPAO</v>
          </cell>
          <cell r="C2048">
            <v>2.7189999999999999</v>
          </cell>
          <cell r="D2048">
            <v>2.7189999999999999</v>
          </cell>
          <cell r="E2048">
            <v>-0.55600000000000005</v>
          </cell>
          <cell r="F2048">
            <v>-5.0000000000000001E-3</v>
          </cell>
        </row>
        <row r="2049">
          <cell r="A2049">
            <v>828918</v>
          </cell>
          <cell r="B2049" t="str">
            <v>PEITO S/OPC C/F IND/VAC PERD CANARIAS</v>
          </cell>
          <cell r="C2049">
            <v>6.3259999999999996</v>
          </cell>
          <cell r="D2049">
            <v>6.3259999999999996</v>
          </cell>
          <cell r="E2049">
            <v>-0.45200000000000001</v>
          </cell>
          <cell r="F2049">
            <v>-0.18799999999999972</v>
          </cell>
        </row>
        <row r="2050">
          <cell r="A2050">
            <v>829092</v>
          </cell>
          <cell r="B2050" t="str">
            <v>PEITO S/OPFC MET 100-120G SAL BL 7,5K HO</v>
          </cell>
          <cell r="C2050">
            <v>4.8159999999999998</v>
          </cell>
          <cell r="D2050">
            <v>4.8159999999999998</v>
          </cell>
          <cell r="E2050">
            <v>-0.31900000000000001</v>
          </cell>
          <cell r="F2050">
            <v>-0.14300000000000002</v>
          </cell>
        </row>
        <row r="2051">
          <cell r="A2051">
            <v>829203</v>
          </cell>
          <cell r="B2051" t="str">
            <v>PEITO S/OPC C/F ITF PERD CANARIAS</v>
          </cell>
          <cell r="C2051">
            <v>6.2149999999999999</v>
          </cell>
          <cell r="D2051">
            <v>6.2149999999999999</v>
          </cell>
          <cell r="E2051">
            <v>-0.44900000000000001</v>
          </cell>
          <cell r="F2051">
            <v>-0.185</v>
          </cell>
        </row>
        <row r="2052">
          <cell r="A2052">
            <v>829378</v>
          </cell>
          <cell r="B2052" t="str">
            <v>PEITO S/OPFC FAT 50-90G ITF PERD CANAR</v>
          </cell>
          <cell r="C2052">
            <v>6.1539999999999999</v>
          </cell>
          <cell r="D2052">
            <v>6.1539999999999999</v>
          </cell>
          <cell r="E2052">
            <v>-0.44800000000000001</v>
          </cell>
          <cell r="F2052">
            <v>-0.18299999999999983</v>
          </cell>
        </row>
        <row r="2053">
          <cell r="A2053">
            <v>829379</v>
          </cell>
          <cell r="B2053" t="str">
            <v>FRANGO GRILLER 1100G PERD CANARIAS</v>
          </cell>
          <cell r="C2053">
            <v>2.3530000000000002</v>
          </cell>
          <cell r="D2053">
            <v>2.3530000000000002</v>
          </cell>
          <cell r="E2053">
            <v>-0.35599999999999998</v>
          </cell>
          <cell r="F2053">
            <v>-6.899999999999995E-2</v>
          </cell>
        </row>
        <row r="2054">
          <cell r="A2054">
            <v>829380</v>
          </cell>
          <cell r="B2054" t="str">
            <v>FRANGO GRILLER 1300G PERD CANARIAS</v>
          </cell>
          <cell r="C2054">
            <v>2.3530000000000002</v>
          </cell>
          <cell r="D2054">
            <v>2.3530000000000002</v>
          </cell>
          <cell r="E2054">
            <v>-0.35599999999999998</v>
          </cell>
          <cell r="F2054">
            <v>-6.7999999999999949E-2</v>
          </cell>
        </row>
        <row r="2055">
          <cell r="A2055">
            <v>829448</v>
          </cell>
          <cell r="B2055" t="str">
            <v>FILE PEITO 35-45G TAM/COZ/EMP PERD INGL</v>
          </cell>
          <cell r="C2055">
            <v>6.2480000000000002</v>
          </cell>
          <cell r="D2055">
            <v>6.2480000000000002</v>
          </cell>
          <cell r="E2055">
            <v>-0.40400000000000003</v>
          </cell>
          <cell r="F2055">
            <v>-0.185</v>
          </cell>
        </row>
        <row r="2056">
          <cell r="A2056">
            <v>829517</v>
          </cell>
          <cell r="B2056" t="str">
            <v>FRANGO GRILLER 1200G PERD ILHAS CANARIAS</v>
          </cell>
          <cell r="C2056">
            <v>2.4079999999999999</v>
          </cell>
          <cell r="D2056">
            <v>2.4079999999999999</v>
          </cell>
          <cell r="E2056">
            <v>-0.35799999999999998</v>
          </cell>
          <cell r="F2056">
            <v>-6.9999999999999951E-2</v>
          </cell>
        </row>
        <row r="2057">
          <cell r="A2057">
            <v>829787</v>
          </cell>
          <cell r="B2057" t="str">
            <v>FRANGO GRILLER 1600G HALAL YEMEN 12,8KG</v>
          </cell>
          <cell r="C2057">
            <v>2.4940000000000002</v>
          </cell>
          <cell r="D2057">
            <v>2.4940000000000002</v>
          </cell>
          <cell r="E2057">
            <v>-0.58199999999999996</v>
          </cell>
          <cell r="F2057">
            <v>-5.0000000000000001E-3</v>
          </cell>
        </row>
        <row r="2058">
          <cell r="A2058">
            <v>829788</v>
          </cell>
          <cell r="B2058" t="str">
            <v>FRANGO GRILLER 1700G HALAL YEMEN 13,6KG</v>
          </cell>
          <cell r="C2058">
            <v>2.4940000000000002</v>
          </cell>
          <cell r="D2058">
            <v>2.4940000000000002</v>
          </cell>
          <cell r="E2058">
            <v>-0.58199999999999996</v>
          </cell>
          <cell r="F2058">
            <v>-5.0000000000000001E-3</v>
          </cell>
        </row>
        <row r="2059">
          <cell r="A2059">
            <v>829789</v>
          </cell>
          <cell r="B2059" t="str">
            <v>FRANGO GRILLER 1800G HALAL YEMEN 14,4CX</v>
          </cell>
          <cell r="C2059">
            <v>2.4940000000000002</v>
          </cell>
          <cell r="D2059">
            <v>2.4940000000000002</v>
          </cell>
          <cell r="E2059">
            <v>-0.58199999999999996</v>
          </cell>
          <cell r="F2059">
            <v>-4.9999999999998934E-3</v>
          </cell>
        </row>
        <row r="2060">
          <cell r="A2060">
            <v>829866</v>
          </cell>
          <cell r="B2060" t="str">
            <v>COXA SOBREC S/OP ITF PERD ILHAS CANARIAS</v>
          </cell>
          <cell r="C2060">
            <v>3.2469999999999999</v>
          </cell>
          <cell r="D2060">
            <v>3.2469999999999999</v>
          </cell>
          <cell r="E2060">
            <v>-0.39200000000000002</v>
          </cell>
          <cell r="F2060">
            <v>-9.5000000000000001E-2</v>
          </cell>
        </row>
        <row r="2061">
          <cell r="A2061">
            <v>829867</v>
          </cell>
          <cell r="B2061" t="str">
            <v>PEITO S/OPC C/F INT 250G/UP PERD CANARIA</v>
          </cell>
          <cell r="C2061">
            <v>6.3780000000000001</v>
          </cell>
          <cell r="D2061">
            <v>6.3780000000000001</v>
          </cell>
          <cell r="E2061">
            <v>-0.45500000000000002</v>
          </cell>
          <cell r="F2061">
            <v>-0.19</v>
          </cell>
        </row>
        <row r="2062">
          <cell r="A2062">
            <v>829868</v>
          </cell>
          <cell r="B2062" t="str">
            <v>PEITO S/OPC C/F INT ITF PERD CANARIAS</v>
          </cell>
          <cell r="C2062">
            <v>6.266</v>
          </cell>
          <cell r="D2062">
            <v>6.266</v>
          </cell>
          <cell r="E2062">
            <v>-0.45200000000000001</v>
          </cell>
          <cell r="F2062">
            <v>-0.18599999999999994</v>
          </cell>
        </row>
        <row r="2063">
          <cell r="A2063">
            <v>829904</v>
          </cell>
          <cell r="B2063" t="str">
            <v>FIGADO FGO BL 7,5KG PERD FRANCA</v>
          </cell>
          <cell r="C2063">
            <v>1.2869999999999999</v>
          </cell>
          <cell r="D2063">
            <v>1.2869999999999999</v>
          </cell>
          <cell r="E2063">
            <v>-0.32700000000000001</v>
          </cell>
          <cell r="F2063">
            <v>-3.6000000000000032E-2</v>
          </cell>
        </row>
        <row r="2064">
          <cell r="A2064">
            <v>829954</v>
          </cell>
          <cell r="B2064" t="str">
            <v>FRANGO GRILLER 700G HALAL OMAN</v>
          </cell>
          <cell r="C2064">
            <v>2.3610000000000002</v>
          </cell>
          <cell r="D2064">
            <v>2.3610000000000002</v>
          </cell>
          <cell r="E2064">
            <v>-0.56899999999999995</v>
          </cell>
          <cell r="F2064">
            <v>-4.0000000000000036E-3</v>
          </cell>
        </row>
        <row r="2065">
          <cell r="A2065">
            <v>829958</v>
          </cell>
          <cell r="B2065" t="str">
            <v>SOBRECOXA C/OP BDJ 908G AL-NOOR KUWAIT</v>
          </cell>
          <cell r="C2065">
            <v>2.899</v>
          </cell>
          <cell r="D2065">
            <v>2.899</v>
          </cell>
          <cell r="E2065">
            <v>-0.64300000000000002</v>
          </cell>
          <cell r="F2065">
            <v>-8.3000000000000018E-2</v>
          </cell>
        </row>
        <row r="2066">
          <cell r="A2066">
            <v>829960</v>
          </cell>
          <cell r="B2066" t="str">
            <v>FRANGO GRILLER 800G AL-NOOR KUWAIT</v>
          </cell>
          <cell r="C2066">
            <v>2.5169999999999999</v>
          </cell>
          <cell r="D2066">
            <v>2.5169999999999999</v>
          </cell>
          <cell r="E2066">
            <v>-0.58799999999999997</v>
          </cell>
          <cell r="F2066">
            <v>-7.1000000000000008E-2</v>
          </cell>
        </row>
        <row r="2067">
          <cell r="A2067">
            <v>829961</v>
          </cell>
          <cell r="B2067" t="str">
            <v>FRANGO GRILLER 900G AL-NOOR KUWAIT</v>
          </cell>
          <cell r="C2067">
            <v>2.5169999999999999</v>
          </cell>
          <cell r="D2067">
            <v>2.5169999999999999</v>
          </cell>
          <cell r="E2067">
            <v>-0.58799999999999997</v>
          </cell>
          <cell r="F2067">
            <v>-7.1000000000000008E-2</v>
          </cell>
        </row>
        <row r="2068">
          <cell r="A2068">
            <v>830012</v>
          </cell>
          <cell r="B2068" t="str">
            <v>FRANGO GRILLER 1000G AL-NOOR KUWAIT</v>
          </cell>
          <cell r="C2068">
            <v>2.5169999999999999</v>
          </cell>
          <cell r="D2068">
            <v>2.5169999999999999</v>
          </cell>
          <cell r="E2068">
            <v>-0.58799999999999997</v>
          </cell>
          <cell r="F2068">
            <v>-7.1000000000000008E-2</v>
          </cell>
        </row>
        <row r="2069">
          <cell r="A2069">
            <v>830013</v>
          </cell>
          <cell r="B2069" t="str">
            <v>FRANGO GRILLER 1100G AL-NOOR KUWAIT</v>
          </cell>
          <cell r="C2069">
            <v>2.5169999999999999</v>
          </cell>
          <cell r="D2069">
            <v>2.5169999999999999</v>
          </cell>
          <cell r="E2069">
            <v>-0.58799999999999997</v>
          </cell>
          <cell r="F2069">
            <v>-7.0999999999999952E-2</v>
          </cell>
        </row>
        <row r="2070">
          <cell r="A2070">
            <v>830071</v>
          </cell>
          <cell r="B2070" t="str">
            <v>COXA SOBREC C/OP BDJ 908G AL-NOOR KUWAIT</v>
          </cell>
          <cell r="C2070">
            <v>2.899</v>
          </cell>
          <cell r="D2070">
            <v>2.899</v>
          </cell>
          <cell r="E2070">
            <v>-0.64300000000000002</v>
          </cell>
          <cell r="F2070">
            <v>-8.1999999999999962E-2</v>
          </cell>
        </row>
        <row r="2071">
          <cell r="A2071">
            <v>830170</v>
          </cell>
          <cell r="B2071" t="str">
            <v>FRANGO GRILLER 1000G UNEF E.A.U</v>
          </cell>
          <cell r="C2071">
            <v>2.4670000000000001</v>
          </cell>
          <cell r="D2071">
            <v>2.4670000000000001</v>
          </cell>
          <cell r="E2071">
            <v>-0.56699999999999995</v>
          </cell>
          <cell r="F2071">
            <v>-4.0000000000000036E-3</v>
          </cell>
        </row>
        <row r="2072">
          <cell r="A2072">
            <v>830171</v>
          </cell>
          <cell r="B2072" t="str">
            <v>FRANGO GRILLER 1100G UNEF E.A.U</v>
          </cell>
          <cell r="C2072">
            <v>2.4670000000000001</v>
          </cell>
          <cell r="D2072">
            <v>2.4670000000000001</v>
          </cell>
          <cell r="E2072">
            <v>-0.56699999999999995</v>
          </cell>
          <cell r="F2072">
            <v>-4.0000000000000036E-3</v>
          </cell>
        </row>
        <row r="2073">
          <cell r="A2073">
            <v>830172</v>
          </cell>
          <cell r="B2073" t="str">
            <v>FRANGO GRILLER 1200G UNEF E.A.U</v>
          </cell>
          <cell r="C2073">
            <v>2.4670000000000001</v>
          </cell>
          <cell r="D2073">
            <v>2.4670000000000001</v>
          </cell>
          <cell r="E2073">
            <v>-0.56699999999999995</v>
          </cell>
          <cell r="F2073">
            <v>-4.0000000000000036E-3</v>
          </cell>
        </row>
        <row r="2074">
          <cell r="A2074">
            <v>830173</v>
          </cell>
          <cell r="B2074" t="str">
            <v>FRANGO GRILLER 1300G UNEF E.A.U</v>
          </cell>
          <cell r="C2074">
            <v>2.4670000000000001</v>
          </cell>
          <cell r="D2074">
            <v>2.4670000000000001</v>
          </cell>
          <cell r="E2074">
            <v>-0.56699999999999995</v>
          </cell>
          <cell r="F2074">
            <v>-4.0000000000000036E-3</v>
          </cell>
        </row>
        <row r="2075">
          <cell r="A2075">
            <v>830174</v>
          </cell>
          <cell r="B2075" t="str">
            <v>FRANGO GRILLER 1400G UNEF E.A.U</v>
          </cell>
          <cell r="C2075">
            <v>2.4670000000000001</v>
          </cell>
          <cell r="D2075">
            <v>2.4670000000000001</v>
          </cell>
          <cell r="E2075">
            <v>-0.56699999999999995</v>
          </cell>
          <cell r="F2075">
            <v>-4.0000000000000036E-3</v>
          </cell>
        </row>
        <row r="2076">
          <cell r="A2076">
            <v>830175</v>
          </cell>
          <cell r="B2076" t="str">
            <v>FRANGO GRILLER 1500G UNEF E.A.U</v>
          </cell>
          <cell r="C2076">
            <v>2.4670000000000001</v>
          </cell>
          <cell r="D2076">
            <v>2.4670000000000001</v>
          </cell>
          <cell r="E2076">
            <v>-0.56699999999999995</v>
          </cell>
          <cell r="F2076">
            <v>-4.0000000000000036E-3</v>
          </cell>
        </row>
        <row r="2077">
          <cell r="A2077">
            <v>830200</v>
          </cell>
          <cell r="B2077" t="str">
            <v>PEITO PERU S/OPC C/F MET PT 5KG BAT KUWA</v>
          </cell>
          <cell r="C2077">
            <v>6.4859999999999998</v>
          </cell>
          <cell r="D2077">
            <v>6.4859999999999998</v>
          </cell>
          <cell r="E2077">
            <v>-0.70899999999999996</v>
          </cell>
          <cell r="F2077">
            <v>-0.19099999999999984</v>
          </cell>
        </row>
        <row r="2078">
          <cell r="A2078">
            <v>830211</v>
          </cell>
          <cell r="B2078" t="str">
            <v>COXA SOB C/OP 200G/UP ITF PERD CANARIAS</v>
          </cell>
          <cell r="C2078">
            <v>2.0169999999999999</v>
          </cell>
          <cell r="D2078">
            <v>2.0169999999999999</v>
          </cell>
          <cell r="E2078">
            <v>-0.36799999999999999</v>
          </cell>
          <cell r="F2078">
            <v>-5.8999999999999997E-2</v>
          </cell>
        </row>
        <row r="2079">
          <cell r="A2079">
            <v>830232</v>
          </cell>
          <cell r="B2079" t="str">
            <v>FRANGO GRILLER 1300G PERD ILHAS CANARIAS</v>
          </cell>
          <cell r="C2079">
            <v>2.464</v>
          </cell>
          <cell r="D2079">
            <v>2.464</v>
          </cell>
          <cell r="E2079">
            <v>-0.35699999999999998</v>
          </cell>
          <cell r="F2079">
            <v>-7.1000000000000063E-2</v>
          </cell>
        </row>
        <row r="2080">
          <cell r="A2080">
            <v>830268</v>
          </cell>
          <cell r="B2080" t="str">
            <v>PEITO S/OPFC MET 100G TAMB/COZ/ASS ALEMA</v>
          </cell>
          <cell r="C2080">
            <v>7.6680000000000001</v>
          </cell>
          <cell r="D2080">
            <v>7.6680000000000001</v>
          </cell>
          <cell r="E2080">
            <v>-0.34699999999999998</v>
          </cell>
          <cell r="F2080">
            <v>-0.22799999999999976</v>
          </cell>
        </row>
        <row r="2081">
          <cell r="A2081">
            <v>830270</v>
          </cell>
          <cell r="B2081" t="str">
            <v>PEITO S/OPFC MET 120G TAMB/COZ/ASS ALEMA</v>
          </cell>
          <cell r="C2081">
            <v>7.6180000000000003</v>
          </cell>
          <cell r="D2081">
            <v>7.6180000000000003</v>
          </cell>
          <cell r="E2081">
            <v>-0.34699999999999998</v>
          </cell>
          <cell r="F2081">
            <v>-0.22699999999999987</v>
          </cell>
        </row>
        <row r="2082">
          <cell r="A2082">
            <v>830363</v>
          </cell>
          <cell r="B2082" t="str">
            <v>COXA CHESTER C/OP 200G/UP BDJ 1KG ITALIA</v>
          </cell>
          <cell r="C2082">
            <v>2.6909999999999998</v>
          </cell>
          <cell r="D2082">
            <v>2.6909999999999998</v>
          </cell>
          <cell r="E2082">
            <v>-0.48499999999999999</v>
          </cell>
          <cell r="F2082">
            <v>-7.7999999999999958E-2</v>
          </cell>
        </row>
        <row r="2083">
          <cell r="A2083">
            <v>830479</v>
          </cell>
          <cell r="B2083" t="str">
            <v>COXA SOB C/OP 205-220G ITF PERD CINGAPUR</v>
          </cell>
          <cell r="C2083">
            <v>2.415</v>
          </cell>
          <cell r="D2083">
            <v>2.415</v>
          </cell>
          <cell r="E2083">
            <v>-0.55500000000000005</v>
          </cell>
          <cell r="F2083">
            <v>-6.9000000000000006E-2</v>
          </cell>
        </row>
        <row r="2084">
          <cell r="A2084">
            <v>830480</v>
          </cell>
          <cell r="B2084" t="str">
            <v>COXA SOB C/OP 220-240G ITF PERD CINGAPUR</v>
          </cell>
          <cell r="C2084">
            <v>2.415</v>
          </cell>
          <cell r="D2084">
            <v>2.415</v>
          </cell>
          <cell r="E2084">
            <v>-0.97199999999999998</v>
          </cell>
          <cell r="F2084">
            <v>-6.9000000000000006E-2</v>
          </cell>
        </row>
        <row r="2085">
          <cell r="A2085">
            <v>830499</v>
          </cell>
          <cell r="B2085" t="str">
            <v>PEITO S/OPFC MET 100-180G SALM PERD HOLA</v>
          </cell>
          <cell r="C2085">
            <v>5.3419999999999996</v>
          </cell>
          <cell r="D2085">
            <v>5.3419999999999996</v>
          </cell>
          <cell r="E2085">
            <v>-0.32300000000000001</v>
          </cell>
          <cell r="F2085">
            <v>-0.15899999999999981</v>
          </cell>
        </row>
        <row r="2086">
          <cell r="A2086">
            <v>830777</v>
          </cell>
          <cell r="B2086" t="str">
            <v>PEITO PERU S/O C/P BUT MACHO 3,5KG ITALI</v>
          </cell>
          <cell r="C2086">
            <v>5.8650000000000002</v>
          </cell>
          <cell r="D2086">
            <v>5.8650000000000002</v>
          </cell>
          <cell r="E2086">
            <v>-0.36</v>
          </cell>
          <cell r="F2086">
            <v>-1.0999999999999899E-2</v>
          </cell>
        </row>
        <row r="2087">
          <cell r="A2087">
            <v>830789</v>
          </cell>
          <cell r="B2087" t="str">
            <v>PEITO S/OP VEG MET BL 7,5KG PERD FRANCA</v>
          </cell>
          <cell r="C2087">
            <v>5.9740000000000002</v>
          </cell>
          <cell r="D2087">
            <v>5.9740000000000002</v>
          </cell>
          <cell r="E2087">
            <v>-0.32800000000000001</v>
          </cell>
          <cell r="F2087">
            <v>-0.17700000000000005</v>
          </cell>
        </row>
        <row r="2088">
          <cell r="A2088">
            <v>830862</v>
          </cell>
          <cell r="B2088" t="str">
            <v>COXA SOB S/O C/P 300G/UP BOREL JAPAO</v>
          </cell>
          <cell r="C2088">
            <v>2.5499999999999998</v>
          </cell>
          <cell r="D2088">
            <v>2.5499999999999998</v>
          </cell>
          <cell r="E2088">
            <v>-0.51200000000000001</v>
          </cell>
          <cell r="F2088">
            <v>-7.2999999999999995E-2</v>
          </cell>
        </row>
        <row r="2089">
          <cell r="A2089">
            <v>831170</v>
          </cell>
          <cell r="B2089" t="str">
            <v>FRANGO GRILLER 700G HALAL IEMEN</v>
          </cell>
          <cell r="C2089">
            <v>2.4740000000000002</v>
          </cell>
          <cell r="D2089">
            <v>2.4740000000000002</v>
          </cell>
          <cell r="E2089">
            <v>-0.61</v>
          </cell>
          <cell r="F2089">
            <v>-4.0000000000000036E-3</v>
          </cell>
        </row>
        <row r="2090">
          <cell r="A2090">
            <v>831183</v>
          </cell>
          <cell r="B2090" t="str">
            <v>FRANGO GRILLER 800G PERD OMAN</v>
          </cell>
          <cell r="C2090">
            <v>2.496</v>
          </cell>
          <cell r="D2090">
            <v>2.496</v>
          </cell>
          <cell r="E2090">
            <v>-0.61199999999999999</v>
          </cell>
          <cell r="F2090">
            <v>-4.0000000000000036E-3</v>
          </cell>
        </row>
        <row r="2091">
          <cell r="A2091">
            <v>831185</v>
          </cell>
          <cell r="B2091" t="str">
            <v>FRANGO GRILLER 1000G PERD OMAN</v>
          </cell>
          <cell r="C2091">
            <v>2.496</v>
          </cell>
          <cell r="D2091">
            <v>2.496</v>
          </cell>
          <cell r="E2091">
            <v>-0.61199999999999999</v>
          </cell>
          <cell r="F2091">
            <v>-4.0000000000000036E-3</v>
          </cell>
        </row>
        <row r="2092">
          <cell r="A2092">
            <v>831187</v>
          </cell>
          <cell r="B2092" t="str">
            <v>FRANGO GRILLER 1100G PERD OMAN</v>
          </cell>
          <cell r="C2092">
            <v>2.496</v>
          </cell>
          <cell r="D2092">
            <v>2.496</v>
          </cell>
          <cell r="E2092">
            <v>-0.61199999999999999</v>
          </cell>
          <cell r="F2092">
            <v>-4.0000000000000036E-3</v>
          </cell>
        </row>
        <row r="2093">
          <cell r="A2093">
            <v>831188</v>
          </cell>
          <cell r="B2093" t="str">
            <v>FRANGO GRILLER 1200G PERD OMAN</v>
          </cell>
          <cell r="C2093">
            <v>2.496</v>
          </cell>
          <cell r="D2093">
            <v>2.496</v>
          </cell>
          <cell r="E2093">
            <v>-0.61199999999999999</v>
          </cell>
          <cell r="F2093">
            <v>-4.0000000000000036E-3</v>
          </cell>
        </row>
        <row r="2094">
          <cell r="A2094">
            <v>831191</v>
          </cell>
          <cell r="B2094" t="str">
            <v>FRANGO GRILLER 1500G PERD OMAN</v>
          </cell>
          <cell r="C2094">
            <v>2.496</v>
          </cell>
          <cell r="D2094">
            <v>2.496</v>
          </cell>
          <cell r="E2094">
            <v>-0.61199999999999999</v>
          </cell>
          <cell r="F2094">
            <v>-4.0000000000000036E-3</v>
          </cell>
        </row>
        <row r="2095">
          <cell r="A2095">
            <v>831201</v>
          </cell>
          <cell r="B2095" t="str">
            <v>FILEZINHO SUI 400-500G IND SULINA CINGAP</v>
          </cell>
          <cell r="C2095">
            <v>4.2430000000000003</v>
          </cell>
          <cell r="D2095">
            <v>4.2430000000000003</v>
          </cell>
          <cell r="E2095">
            <v>-0.60899999999999999</v>
          </cell>
          <cell r="F2095">
            <v>-0.124</v>
          </cell>
        </row>
        <row r="2096">
          <cell r="A2096">
            <v>831214</v>
          </cell>
          <cell r="B2096" t="str">
            <v>FRANGO GRILLER 1200G PERD ILHAS CANARIAS</v>
          </cell>
          <cell r="C2096">
            <v>2.3530000000000002</v>
          </cell>
          <cell r="D2096">
            <v>2.3530000000000002</v>
          </cell>
          <cell r="E2096">
            <v>-0.35599999999999998</v>
          </cell>
          <cell r="F2096">
            <v>-6.9000000000000061E-2</v>
          </cell>
        </row>
        <row r="2097">
          <cell r="A2097">
            <v>831358</v>
          </cell>
          <cell r="B2097" t="str">
            <v>ASA 1A JTA DRUM 45-55G PT 2KG PERD JAPAO</v>
          </cell>
          <cell r="C2097">
            <v>3.6829999999999998</v>
          </cell>
          <cell r="D2097">
            <v>3.6829999999999998</v>
          </cell>
          <cell r="E2097">
            <v>-0.54400000000000004</v>
          </cell>
          <cell r="F2097">
            <v>-0.10699999999999998</v>
          </cell>
        </row>
        <row r="2098">
          <cell r="A2098">
            <v>831359</v>
          </cell>
          <cell r="B2098" t="str">
            <v>ASA 2A JTA TEBAN 35-45G PT 2KG PERD JAPA</v>
          </cell>
          <cell r="C2098">
            <v>4.0860000000000003</v>
          </cell>
          <cell r="D2098">
            <v>4.0860000000000003</v>
          </cell>
          <cell r="E2098">
            <v>-0.54600000000000004</v>
          </cell>
          <cell r="F2098">
            <v>-0.1180000000000001</v>
          </cell>
        </row>
        <row r="2099">
          <cell r="A2099">
            <v>831403</v>
          </cell>
          <cell r="B2099" t="str">
            <v>FRANGO GRILLER 1000G HALAL E.A.U.</v>
          </cell>
          <cell r="C2099">
            <v>2.4670000000000001</v>
          </cell>
          <cell r="D2099">
            <v>2.4670000000000001</v>
          </cell>
          <cell r="E2099">
            <v>-0.56699999999999995</v>
          </cell>
          <cell r="F2099">
            <v>-4.0000000000000036E-3</v>
          </cell>
        </row>
        <row r="2100">
          <cell r="A2100">
            <v>831404</v>
          </cell>
          <cell r="B2100" t="str">
            <v>FRANGO GRILLER 1100G HALAL E.A.U.</v>
          </cell>
          <cell r="C2100">
            <v>2.4670000000000001</v>
          </cell>
          <cell r="D2100">
            <v>2.4670000000000001</v>
          </cell>
          <cell r="E2100">
            <v>-0.56699999999999995</v>
          </cell>
          <cell r="F2100">
            <v>-4.0000000000000036E-3</v>
          </cell>
        </row>
        <row r="2101">
          <cell r="A2101">
            <v>831405</v>
          </cell>
          <cell r="B2101" t="str">
            <v>FRANGO GRILLER 1200G HALAL E.A.U.</v>
          </cell>
          <cell r="C2101">
            <v>2.4670000000000001</v>
          </cell>
          <cell r="D2101">
            <v>2.4670000000000001</v>
          </cell>
          <cell r="E2101">
            <v>-0.56699999999999995</v>
          </cell>
          <cell r="F2101">
            <v>-4.0000000000000036E-3</v>
          </cell>
        </row>
        <row r="2102">
          <cell r="A2102">
            <v>831406</v>
          </cell>
          <cell r="B2102" t="str">
            <v>FRANGO GRILLER 1300G HALAL E.A.U.</v>
          </cell>
          <cell r="C2102">
            <v>2.4670000000000001</v>
          </cell>
          <cell r="D2102">
            <v>2.4670000000000001</v>
          </cell>
          <cell r="E2102">
            <v>-0.56699999999999995</v>
          </cell>
          <cell r="F2102">
            <v>-4.0000000000000036E-3</v>
          </cell>
        </row>
        <row r="2103">
          <cell r="A2103">
            <v>831407</v>
          </cell>
          <cell r="B2103" t="str">
            <v>FRANGO GRILLER 1400G HALAL E.A.U.</v>
          </cell>
          <cell r="C2103">
            <v>2.4670000000000001</v>
          </cell>
          <cell r="D2103">
            <v>2.4670000000000001</v>
          </cell>
          <cell r="E2103">
            <v>-0.56699999999999995</v>
          </cell>
          <cell r="F2103">
            <v>-4.0000000000000036E-3</v>
          </cell>
        </row>
        <row r="2104">
          <cell r="A2104">
            <v>831408</v>
          </cell>
          <cell r="B2104" t="str">
            <v>FRANGO GRILLER 1500G HALAL E.A.U.</v>
          </cell>
          <cell r="C2104">
            <v>2.4670000000000001</v>
          </cell>
          <cell r="D2104">
            <v>2.4670000000000001</v>
          </cell>
          <cell r="E2104">
            <v>-0.56699999999999995</v>
          </cell>
          <cell r="F2104">
            <v>-4.0000000000000036E-3</v>
          </cell>
        </row>
        <row r="2105">
          <cell r="A2105">
            <v>831765</v>
          </cell>
          <cell r="B2105" t="str">
            <v>COXA C/OP DRUMS PT 1KG PERD CANA CX 10KG</v>
          </cell>
          <cell r="C2105">
            <v>2.464</v>
          </cell>
          <cell r="D2105">
            <v>2.464</v>
          </cell>
          <cell r="E2105">
            <v>-0.377</v>
          </cell>
          <cell r="F2105">
            <v>-7.2000000000000064E-2</v>
          </cell>
        </row>
        <row r="2106">
          <cell r="A2106">
            <v>831837</v>
          </cell>
          <cell r="B2106" t="str">
            <v>SOBRECOXA S/OP FGO CONG SALM BL INGLATER</v>
          </cell>
          <cell r="C2106">
            <v>3.319</v>
          </cell>
          <cell r="D2106">
            <v>3.319</v>
          </cell>
          <cell r="E2106">
            <v>-0.45100000000000001</v>
          </cell>
          <cell r="F2106">
            <v>-9.5999999999999974E-2</v>
          </cell>
        </row>
        <row r="2107">
          <cell r="A2107">
            <v>831891</v>
          </cell>
          <cell r="B2107" t="str">
            <v>PEITO S/OFC C/P FGO MET CONG 75-95G INGL</v>
          </cell>
          <cell r="C2107">
            <v>7.2270000000000003</v>
          </cell>
          <cell r="D2107">
            <v>7.2270000000000003</v>
          </cell>
          <cell r="E2107">
            <v>-0.45400000000000001</v>
          </cell>
          <cell r="F2107">
            <v>-0.21399999999999997</v>
          </cell>
        </row>
        <row r="2108">
          <cell r="A2108">
            <v>831892</v>
          </cell>
          <cell r="B2108" t="str">
            <v>FRANGO GRILLER 1100G BAT CANARIAS 11KG</v>
          </cell>
          <cell r="C2108">
            <v>2.5550000000000002</v>
          </cell>
          <cell r="D2108">
            <v>2.5550000000000002</v>
          </cell>
          <cell r="E2108">
            <v>-0.34100000000000003</v>
          </cell>
          <cell r="F2108">
            <v>-7.5000000000000067E-2</v>
          </cell>
        </row>
        <row r="2109">
          <cell r="A2109">
            <v>831893</v>
          </cell>
          <cell r="B2109" t="str">
            <v>FRANGO GRILLER 1200G BAT CANARIAS 12KG</v>
          </cell>
          <cell r="C2109">
            <v>2.5550000000000002</v>
          </cell>
          <cell r="D2109">
            <v>2.5550000000000002</v>
          </cell>
          <cell r="E2109">
            <v>-0.34100000000000003</v>
          </cell>
          <cell r="F2109">
            <v>-7.5000000000000067E-2</v>
          </cell>
        </row>
        <row r="2110">
          <cell r="A2110">
            <v>831894</v>
          </cell>
          <cell r="B2110" t="str">
            <v>FRANGO GRILLER 1300G BAT CANARIAS 13KG</v>
          </cell>
          <cell r="C2110">
            <v>2.5550000000000002</v>
          </cell>
          <cell r="D2110">
            <v>2.5550000000000002</v>
          </cell>
          <cell r="E2110">
            <v>-0.34100000000000003</v>
          </cell>
          <cell r="F2110">
            <v>-7.5000000000000178E-2</v>
          </cell>
        </row>
        <row r="2111">
          <cell r="A2111">
            <v>831947</v>
          </cell>
          <cell r="B2111" t="str">
            <v>PEITO S/OPFC FGO CONG CUB 22MM TAMB ALEM</v>
          </cell>
          <cell r="C2111">
            <v>6.8470000000000004</v>
          </cell>
          <cell r="D2111">
            <v>6.8470000000000004</v>
          </cell>
          <cell r="E2111">
            <v>-0.42599999999999999</v>
          </cell>
          <cell r="F2111">
            <v>-0.20199999999999996</v>
          </cell>
        </row>
        <row r="2112">
          <cell r="A2112">
            <v>831948</v>
          </cell>
          <cell r="B2112" t="str">
            <v>PEITO+COXA SOB S/OPFC FGO CONG TAMB ALEM</v>
          </cell>
          <cell r="C2112">
            <v>6.42</v>
          </cell>
          <cell r="D2112">
            <v>6.42</v>
          </cell>
          <cell r="E2112">
            <v>-0.42599999999999999</v>
          </cell>
          <cell r="F2112">
            <v>-0.19</v>
          </cell>
        </row>
        <row r="2113">
          <cell r="A2113">
            <v>831992</v>
          </cell>
          <cell r="B2113" t="str">
            <v>COSTELA SUI CONG PERD AFRICA SUL</v>
          </cell>
          <cell r="C2113">
            <v>3.544</v>
          </cell>
          <cell r="D2113">
            <v>3.544</v>
          </cell>
          <cell r="E2113">
            <v>-0.46100000000000002</v>
          </cell>
          <cell r="F2113">
            <v>-0.10299999999999998</v>
          </cell>
        </row>
        <row r="2114">
          <cell r="A2114">
            <v>832053</v>
          </cell>
          <cell r="B2114" t="str">
            <v>PEITO S/OPC C/F CHT CONG ITF PERD CANAR</v>
          </cell>
          <cell r="C2114">
            <v>6.1539999999999999</v>
          </cell>
          <cell r="D2114">
            <v>6.1539999999999999</v>
          </cell>
          <cell r="E2114">
            <v>-0.45200000000000001</v>
          </cell>
          <cell r="F2114">
            <v>-0.18300000000000027</v>
          </cell>
        </row>
        <row r="2115">
          <cell r="A2115">
            <v>832054</v>
          </cell>
          <cell r="B2115" t="str">
            <v>COXINHA ASA FGO CONG EMP PT 1KG PERD CAN</v>
          </cell>
          <cell r="C2115">
            <v>5.5949999999999998</v>
          </cell>
          <cell r="D2115">
            <v>5.5949999999999998</v>
          </cell>
          <cell r="E2115">
            <v>-0.44</v>
          </cell>
          <cell r="F2115">
            <v>-0.16600000000000037</v>
          </cell>
        </row>
        <row r="2116">
          <cell r="A2116">
            <v>832055</v>
          </cell>
          <cell r="B2116" t="str">
            <v>MINI CHICKEN FGO CONG PT 1KG PERD CANAR</v>
          </cell>
          <cell r="C2116">
            <v>4.7009999999999996</v>
          </cell>
          <cell r="D2116">
            <v>4.7009999999999996</v>
          </cell>
          <cell r="E2116">
            <v>-0.42299999999999999</v>
          </cell>
          <cell r="F2116">
            <v>-0.14000000000000001</v>
          </cell>
        </row>
        <row r="2117">
          <cell r="A2117">
            <v>832057</v>
          </cell>
          <cell r="B2117" t="str">
            <v>PEITO S/OPC C/F FGO CONG ITF PERD CANAR</v>
          </cell>
          <cell r="C2117">
            <v>5.9029999999999996</v>
          </cell>
          <cell r="D2117">
            <v>5.9029999999999996</v>
          </cell>
          <cell r="E2117">
            <v>-0.44</v>
          </cell>
          <cell r="F2117">
            <v>-0.17499999999999999</v>
          </cell>
        </row>
        <row r="2118">
          <cell r="A2118">
            <v>832144</v>
          </cell>
          <cell r="B2118" t="str">
            <v>PEITO S/OPFC FGO CONG CUBOS 30G TAMB ING</v>
          </cell>
          <cell r="C2118">
            <v>6.2610000000000001</v>
          </cell>
          <cell r="D2118">
            <v>6.2610000000000001</v>
          </cell>
          <cell r="E2118">
            <v>-0.39</v>
          </cell>
          <cell r="F2118">
            <v>-0.185</v>
          </cell>
        </row>
        <row r="2119">
          <cell r="A2119">
            <v>832169</v>
          </cell>
          <cell r="B2119" t="str">
            <v>FRANGO GRILLER 1200G PERD CANARIAS 12KG</v>
          </cell>
          <cell r="C2119">
            <v>2.444</v>
          </cell>
          <cell r="D2119">
            <v>2.444</v>
          </cell>
          <cell r="E2119">
            <v>-0.35399999999999998</v>
          </cell>
          <cell r="F2119">
            <v>-7.0999999999999952E-2</v>
          </cell>
        </row>
        <row r="2120">
          <cell r="A2120">
            <v>832182</v>
          </cell>
          <cell r="B2120" t="str">
            <v>PEITO S/OPC C/F PERU CONG 2000G/UP CANAR</v>
          </cell>
          <cell r="C2120">
            <v>6.5510000000000002</v>
          </cell>
          <cell r="D2120">
            <v>6.5510000000000002</v>
          </cell>
          <cell r="E2120">
            <v>-0.51600000000000001</v>
          </cell>
          <cell r="F2120">
            <v>-1.2000000000000011E-2</v>
          </cell>
        </row>
        <row r="2121">
          <cell r="A2121">
            <v>832345</v>
          </cell>
          <cell r="B2121" t="str">
            <v>SOBRECOXA S/OP FGO CONG SALM VEG BL FRAN</v>
          </cell>
          <cell r="C2121">
            <v>3.359</v>
          </cell>
          <cell r="D2121">
            <v>3.359</v>
          </cell>
          <cell r="E2121">
            <v>-0.32700000000000001</v>
          </cell>
          <cell r="F2121">
            <v>-9.8999999999999977E-2</v>
          </cell>
        </row>
        <row r="2122">
          <cell r="A2122">
            <v>832600</v>
          </cell>
          <cell r="B2122" t="str">
            <v>SOBRECOXA C/OP FGO CONG 160-200G PT CING</v>
          </cell>
          <cell r="C2122">
            <v>1.786</v>
          </cell>
          <cell r="D2122">
            <v>1.786</v>
          </cell>
          <cell r="E2122">
            <v>-0.56000000000000005</v>
          </cell>
          <cell r="F2122">
            <v>-0.05</v>
          </cell>
        </row>
        <row r="2123">
          <cell r="A2123">
            <v>832601</v>
          </cell>
          <cell r="B2123" t="str">
            <v>SOBRECOXA C/OP FGO CONG 160-200G ITF CIN</v>
          </cell>
          <cell r="C2123">
            <v>1.8340000000000001</v>
          </cell>
          <cell r="D2123">
            <v>1.8340000000000001</v>
          </cell>
          <cell r="E2123">
            <v>-0.56200000000000006</v>
          </cell>
          <cell r="F2123">
            <v>-5.1000000000000004E-2</v>
          </cell>
        </row>
        <row r="2124">
          <cell r="A2124">
            <v>832675</v>
          </cell>
          <cell r="B2124" t="str">
            <v>PEITO S/OPC C/F FGO CON IND/VAC PERD CAN</v>
          </cell>
          <cell r="C2124">
            <v>6.1539999999999999</v>
          </cell>
          <cell r="D2124">
            <v>6.1539999999999999</v>
          </cell>
          <cell r="E2124">
            <v>-0.44800000000000001</v>
          </cell>
          <cell r="F2124">
            <v>-0.18299999999999983</v>
          </cell>
        </row>
        <row r="2125">
          <cell r="A2125">
            <v>832722</v>
          </cell>
          <cell r="B2125" t="str">
            <v>COXA SOB C/OP 320-360G ITF PERD CINGAPUR</v>
          </cell>
          <cell r="C2125">
            <v>1.819</v>
          </cell>
          <cell r="D2125">
            <v>1.819</v>
          </cell>
          <cell r="E2125">
            <v>-0.56100000000000005</v>
          </cell>
          <cell r="F2125">
            <v>-5.1000000000000004E-2</v>
          </cell>
        </row>
        <row r="2126">
          <cell r="A2126">
            <v>832723</v>
          </cell>
          <cell r="B2126" t="str">
            <v>COXA SOB C/OP 360-400G ITF PERD CINGAPUR</v>
          </cell>
          <cell r="C2126">
            <v>1.819</v>
          </cell>
          <cell r="D2126">
            <v>1.819</v>
          </cell>
          <cell r="E2126">
            <v>-0.56100000000000005</v>
          </cell>
          <cell r="F2126">
            <v>-0.05</v>
          </cell>
        </row>
        <row r="2127">
          <cell r="A2127">
            <v>832724</v>
          </cell>
          <cell r="B2127" t="str">
            <v>COXA SOB S/OP FGO CONG SALM VEG 2KG FRAN</v>
          </cell>
          <cell r="C2127">
            <v>3.3690000000000002</v>
          </cell>
          <cell r="D2127">
            <v>3.3690000000000002</v>
          </cell>
          <cell r="E2127">
            <v>-0.33100000000000002</v>
          </cell>
          <cell r="F2127">
            <v>-9.8999999999999977E-2</v>
          </cell>
        </row>
        <row r="2128">
          <cell r="A2128">
            <v>832887</v>
          </cell>
          <cell r="B2128" t="str">
            <v>FILEZINHO SUI CONG PERD GABAO 25KG</v>
          </cell>
          <cell r="C2128">
            <v>3.802</v>
          </cell>
          <cell r="D2128">
            <v>3.802</v>
          </cell>
          <cell r="E2128">
            <v>-6.8000000000000005E-2</v>
          </cell>
          <cell r="F2128">
            <v>-0.114</v>
          </cell>
        </row>
        <row r="2129">
          <cell r="A2129">
            <v>832888</v>
          </cell>
          <cell r="B2129" t="str">
            <v>PERNIL S/OCG SUI 4 A 5KG PERD GABAO 25KG</v>
          </cell>
          <cell r="C2129">
            <v>4.4729999999999999</v>
          </cell>
          <cell r="D2129">
            <v>4.4729999999999999</v>
          </cell>
          <cell r="E2129">
            <v>-6.8000000000000005E-2</v>
          </cell>
          <cell r="F2129">
            <v>-0.13500000000000001</v>
          </cell>
        </row>
        <row r="2130">
          <cell r="A2130">
            <v>832912</v>
          </cell>
          <cell r="B2130" t="str">
            <v>PEITO PERU S/O C/P TEMP MACHO 7,5KG HOL</v>
          </cell>
          <cell r="C2130">
            <v>6.0519999999999996</v>
          </cell>
          <cell r="D2130">
            <v>6.0519999999999996</v>
          </cell>
          <cell r="E2130">
            <v>-0.36799999999999999</v>
          </cell>
          <cell r="F2130">
            <v>-1.1000000000000121E-2</v>
          </cell>
        </row>
        <row r="2131">
          <cell r="A2131">
            <v>832924</v>
          </cell>
          <cell r="B2131" t="str">
            <v>COXA C/OP DRUM PT1KG IF PERD CANA CX10KG</v>
          </cell>
          <cell r="C2131">
            <v>2.3530000000000002</v>
          </cell>
          <cell r="D2131">
            <v>2.3530000000000002</v>
          </cell>
          <cell r="E2131">
            <v>-0.38600000000000001</v>
          </cell>
          <cell r="F2131">
            <v>-6.7999999999999949E-2</v>
          </cell>
        </row>
        <row r="2132">
          <cell r="A2132">
            <v>832925</v>
          </cell>
          <cell r="B2132" t="str">
            <v>PEITO S/OPC C/F INT IND/VAC PERD CAN 16K</v>
          </cell>
          <cell r="C2132">
            <v>6.1539999999999999</v>
          </cell>
          <cell r="D2132">
            <v>6.1539999999999999</v>
          </cell>
          <cell r="E2132">
            <v>-0.46200000000000002</v>
          </cell>
          <cell r="F2132">
            <v>-0.18299999999999983</v>
          </cell>
        </row>
        <row r="2133">
          <cell r="A2133">
            <v>832926</v>
          </cell>
          <cell r="B2133" t="str">
            <v>PEITO S/OPC C/F INT ITF PERD CAN CX 16KG</v>
          </cell>
          <cell r="C2133">
            <v>6.0430000000000001</v>
          </cell>
          <cell r="D2133">
            <v>6.0430000000000001</v>
          </cell>
          <cell r="E2133">
            <v>-0.46</v>
          </cell>
          <cell r="F2133">
            <v>-0.18</v>
          </cell>
        </row>
        <row r="2134">
          <cell r="A2134">
            <v>832927</v>
          </cell>
          <cell r="B2134" t="str">
            <v>PEITO S/OPFC FGO FAT 50-90G ITF PERD CAN</v>
          </cell>
          <cell r="C2134">
            <v>6.266</v>
          </cell>
          <cell r="D2134">
            <v>6.266</v>
          </cell>
          <cell r="E2134">
            <v>-0.46400000000000002</v>
          </cell>
          <cell r="F2134">
            <v>-0.18599999999999994</v>
          </cell>
        </row>
        <row r="2135">
          <cell r="A2135">
            <v>832959</v>
          </cell>
          <cell r="B2135" t="str">
            <v>PEITO S/OPC C/F PERU CONG ITF BAT CANAR</v>
          </cell>
          <cell r="C2135">
            <v>6.5</v>
          </cell>
          <cell r="D2135">
            <v>6.5</v>
          </cell>
          <cell r="E2135">
            <v>-0.51300000000000001</v>
          </cell>
          <cell r="F2135">
            <v>-1.2999999999999901E-2</v>
          </cell>
        </row>
        <row r="2136">
          <cell r="A2136">
            <v>832960</v>
          </cell>
          <cell r="B2136" t="str">
            <v>FRANGO GRILLER 1100G PERD CANARIAS 11KG</v>
          </cell>
          <cell r="C2136">
            <v>2.464</v>
          </cell>
          <cell r="D2136">
            <v>2.464</v>
          </cell>
          <cell r="E2136">
            <v>-0.35699999999999998</v>
          </cell>
          <cell r="F2136">
            <v>-7.1999999999999953E-2</v>
          </cell>
        </row>
        <row r="2137">
          <cell r="A2137">
            <v>832973</v>
          </cell>
          <cell r="B2137" t="str">
            <v>PEITO SO CP FGO 75-95G TAMB/CO/ASS FRANC</v>
          </cell>
          <cell r="C2137">
            <v>7.6680000000000001</v>
          </cell>
          <cell r="D2137">
            <v>7.6680000000000001</v>
          </cell>
          <cell r="E2137">
            <v>-0.32700000000000001</v>
          </cell>
          <cell r="F2137">
            <v>-0.22900000000000009</v>
          </cell>
        </row>
        <row r="2138">
          <cell r="A2138">
            <v>832974</v>
          </cell>
          <cell r="B2138" t="str">
            <v>PEITO SO CP FGO 90-110G TAMB/CO/ASS FRAN</v>
          </cell>
          <cell r="C2138">
            <v>7.6680000000000001</v>
          </cell>
          <cell r="D2138">
            <v>7.6680000000000001</v>
          </cell>
          <cell r="E2138">
            <v>-0.32700000000000001</v>
          </cell>
          <cell r="F2138">
            <v>-0.22799999999999998</v>
          </cell>
        </row>
        <row r="2139">
          <cell r="A2139">
            <v>832993</v>
          </cell>
          <cell r="B2139" t="str">
            <v>PEITO S/OP FGO 90-110G TAMB/CO/ASS FRANC</v>
          </cell>
          <cell r="C2139">
            <v>7.556</v>
          </cell>
          <cell r="D2139">
            <v>7.556</v>
          </cell>
          <cell r="E2139">
            <v>-0.32700000000000001</v>
          </cell>
          <cell r="F2139">
            <v>-0.22500000000000001</v>
          </cell>
        </row>
        <row r="2140">
          <cell r="A2140">
            <v>833056</v>
          </cell>
          <cell r="B2140" t="str">
            <v>COXA SOBREC S/OP IND/VAC PERD CANARIAS</v>
          </cell>
          <cell r="C2140">
            <v>3.2469999999999999</v>
          </cell>
          <cell r="D2140">
            <v>3.2469999999999999</v>
          </cell>
          <cell r="E2140">
            <v>-0.40400000000000003</v>
          </cell>
          <cell r="F2140">
            <v>-9.5999999999999974E-2</v>
          </cell>
        </row>
        <row r="2141">
          <cell r="A2141">
            <v>833059</v>
          </cell>
          <cell r="B2141" t="str">
            <v>COXA SOB C/OP 200G/UP ITF PERD CANARIAS</v>
          </cell>
          <cell r="C2141">
            <v>2.0169999999999999</v>
          </cell>
          <cell r="D2141">
            <v>2.0169999999999999</v>
          </cell>
          <cell r="E2141">
            <v>-0.36699999999999999</v>
          </cell>
          <cell r="F2141">
            <v>-5.7999999999999996E-2</v>
          </cell>
        </row>
        <row r="2142">
          <cell r="A2142">
            <v>833060</v>
          </cell>
          <cell r="B2142" t="str">
            <v>FRANGO GRILLER 1100G PERD CANARIAS 11KG</v>
          </cell>
          <cell r="C2142">
            <v>2.464</v>
          </cell>
          <cell r="D2142">
            <v>2.464</v>
          </cell>
          <cell r="E2142">
            <v>-0.35699999999999998</v>
          </cell>
          <cell r="F2142">
            <v>-7.1999999999999953E-2</v>
          </cell>
        </row>
        <row r="2143">
          <cell r="A2143">
            <v>833061</v>
          </cell>
          <cell r="B2143" t="str">
            <v>FRANGO GRILLER 1200G PERD CANARIAS 12KG</v>
          </cell>
          <cell r="C2143">
            <v>2.464</v>
          </cell>
          <cell r="D2143">
            <v>2.464</v>
          </cell>
          <cell r="E2143">
            <v>-0.35699999999999998</v>
          </cell>
          <cell r="F2143">
            <v>-7.1999999999999953E-2</v>
          </cell>
        </row>
        <row r="2144">
          <cell r="A2144">
            <v>833062</v>
          </cell>
          <cell r="B2144" t="str">
            <v>FRANGO GRILLER 1300G PERD CANARIAS 13KG</v>
          </cell>
          <cell r="C2144">
            <v>2.464</v>
          </cell>
          <cell r="D2144">
            <v>2.464</v>
          </cell>
          <cell r="E2144">
            <v>-0.35699999999999998</v>
          </cell>
          <cell r="F2144">
            <v>-7.2000000000000064E-2</v>
          </cell>
        </row>
        <row r="2145">
          <cell r="A2145">
            <v>833064</v>
          </cell>
          <cell r="B2145" t="str">
            <v>COXA SOB C/OP 200G/UP ITF PERD ESPANHA</v>
          </cell>
          <cell r="C2145">
            <v>1.89</v>
          </cell>
          <cell r="D2145">
            <v>1.89</v>
          </cell>
          <cell r="E2145">
            <v>-0.33100000000000002</v>
          </cell>
          <cell r="F2145">
            <v>-5.3999999999999992E-2</v>
          </cell>
        </row>
        <row r="2146">
          <cell r="A2146">
            <v>833065</v>
          </cell>
          <cell r="B2146" t="str">
            <v>FRANGO GRILLER 1100G PERD ESPANHA 11KG</v>
          </cell>
          <cell r="C2146">
            <v>2.3969999999999998</v>
          </cell>
          <cell r="D2146">
            <v>2.3969999999999998</v>
          </cell>
          <cell r="E2146">
            <v>-0.39400000000000002</v>
          </cell>
          <cell r="F2146">
            <v>-7.0000000000000062E-2</v>
          </cell>
        </row>
        <row r="2147">
          <cell r="A2147">
            <v>833066</v>
          </cell>
          <cell r="B2147" t="str">
            <v>FRANGO GRILLER 1200G PERD ESPANHA 12KG</v>
          </cell>
          <cell r="C2147">
            <v>2.3969999999999998</v>
          </cell>
          <cell r="D2147">
            <v>2.3969999999999998</v>
          </cell>
          <cell r="E2147">
            <v>-0.39400000000000002</v>
          </cell>
          <cell r="F2147">
            <v>-6.9000000000000061E-2</v>
          </cell>
        </row>
        <row r="2148">
          <cell r="A2148">
            <v>833067</v>
          </cell>
          <cell r="B2148" t="str">
            <v>FRANGO GRILLER 1300G PERD ESPANHA 13KG</v>
          </cell>
          <cell r="C2148">
            <v>2.3969999999999998</v>
          </cell>
          <cell r="D2148">
            <v>2.3969999999999998</v>
          </cell>
          <cell r="E2148">
            <v>-0.39400000000000002</v>
          </cell>
          <cell r="F2148">
            <v>-6.9000000000000061E-2</v>
          </cell>
        </row>
        <row r="2149">
          <cell r="A2149">
            <v>833080</v>
          </cell>
          <cell r="B2149" t="str">
            <v>PEITO S/OPFC CUBOS 15MM TAMB/COZ ITALIA</v>
          </cell>
          <cell r="C2149">
            <v>7.2140000000000004</v>
          </cell>
          <cell r="D2149">
            <v>7.2140000000000004</v>
          </cell>
          <cell r="E2149">
            <v>-0.64300000000000002</v>
          </cell>
          <cell r="F2149">
            <v>-0.21299999999999986</v>
          </cell>
        </row>
        <row r="2150">
          <cell r="A2150">
            <v>833225</v>
          </cell>
          <cell r="B2150" t="str">
            <v>FRANGO GRILLER 900G HALAL BAHRAIN</v>
          </cell>
          <cell r="C2150">
            <v>2.3809999999999998</v>
          </cell>
          <cell r="D2150">
            <v>2.3809999999999998</v>
          </cell>
          <cell r="E2150">
            <v>-0.59499999999999997</v>
          </cell>
          <cell r="F2150">
            <v>-4.0000000000000036E-3</v>
          </cell>
        </row>
        <row r="2151">
          <cell r="A2151">
            <v>833226</v>
          </cell>
          <cell r="B2151" t="str">
            <v>FRANGO GRILLER 1000G HALAL BAHRAIN</v>
          </cell>
          <cell r="C2151">
            <v>2.3809999999999998</v>
          </cell>
          <cell r="D2151">
            <v>2.3809999999999998</v>
          </cell>
          <cell r="E2151">
            <v>-0.59499999999999997</v>
          </cell>
          <cell r="F2151">
            <v>-4.0000000000000036E-3</v>
          </cell>
        </row>
        <row r="2152">
          <cell r="A2152">
            <v>833227</v>
          </cell>
          <cell r="B2152" t="str">
            <v>FRANGO GRILLER 1100G HALAL BAHRAIN</v>
          </cell>
          <cell r="C2152">
            <v>2.3809999999999998</v>
          </cell>
          <cell r="D2152">
            <v>2.3809999999999998</v>
          </cell>
          <cell r="E2152">
            <v>-0.59499999999999997</v>
          </cell>
          <cell r="F2152">
            <v>-4.0000000000000036E-3</v>
          </cell>
        </row>
        <row r="2153">
          <cell r="A2153">
            <v>833228</v>
          </cell>
          <cell r="B2153" t="str">
            <v>FRANGO GRILLER 1200G HALAL BAHRAIN</v>
          </cell>
          <cell r="C2153">
            <v>2.3809999999999998</v>
          </cell>
          <cell r="D2153">
            <v>2.3809999999999998</v>
          </cell>
          <cell r="E2153">
            <v>-0.59499999999999997</v>
          </cell>
          <cell r="F2153">
            <v>-4.0000000000000036E-3</v>
          </cell>
        </row>
        <row r="2154">
          <cell r="A2154">
            <v>833229</v>
          </cell>
          <cell r="B2154" t="str">
            <v>FRANGO GRILLER 1300G HALAL BAHRAIN</v>
          </cell>
          <cell r="C2154">
            <v>2.3809999999999998</v>
          </cell>
          <cell r="D2154">
            <v>2.3809999999999998</v>
          </cell>
          <cell r="E2154">
            <v>-0.59499999999999997</v>
          </cell>
          <cell r="F2154">
            <v>-4.0000000000000036E-3</v>
          </cell>
        </row>
        <row r="2155">
          <cell r="A2155">
            <v>833237</v>
          </cell>
          <cell r="B2155" t="str">
            <v>FGO GRILLER 1200G PERD SENEGAL CX 12KG</v>
          </cell>
          <cell r="C2155">
            <v>2.5230000000000001</v>
          </cell>
          <cell r="D2155">
            <v>2.5230000000000001</v>
          </cell>
          <cell r="E2155">
            <v>-0.63400000000000001</v>
          </cell>
          <cell r="F2155">
            <v>-7.1000000000000063E-2</v>
          </cell>
        </row>
        <row r="2156">
          <cell r="A2156">
            <v>833238</v>
          </cell>
          <cell r="B2156" t="str">
            <v>FGO GRILLER 1300G PERD SENEGAL CX 13KG</v>
          </cell>
          <cell r="C2156">
            <v>2.5379999999999998</v>
          </cell>
          <cell r="D2156">
            <v>2.5379999999999998</v>
          </cell>
          <cell r="E2156">
            <v>-0.63400000000000001</v>
          </cell>
          <cell r="F2156">
            <v>-7.1000000000000063E-2</v>
          </cell>
        </row>
        <row r="2157">
          <cell r="A2157">
            <v>833239</v>
          </cell>
          <cell r="B2157" t="str">
            <v>FGO GRILLER 1400G PERD SENEGAL CX 14KG</v>
          </cell>
          <cell r="C2157">
            <v>2.536</v>
          </cell>
          <cell r="D2157">
            <v>2.536</v>
          </cell>
          <cell r="E2157">
            <v>-0.63</v>
          </cell>
          <cell r="F2157">
            <v>-7.1000000000000063E-2</v>
          </cell>
        </row>
        <row r="2158">
          <cell r="A2158">
            <v>833240</v>
          </cell>
          <cell r="B2158" t="str">
            <v>FGO GRILLER 1300G PERD GAMBIA CX 13KG</v>
          </cell>
          <cell r="C2158">
            <v>2.536</v>
          </cell>
          <cell r="D2158">
            <v>2.536</v>
          </cell>
          <cell r="E2158">
            <v>-0.71299999999999997</v>
          </cell>
          <cell r="F2158">
            <v>-7.0999999999999952E-2</v>
          </cell>
        </row>
        <row r="2159">
          <cell r="A2159">
            <v>833241</v>
          </cell>
          <cell r="B2159" t="str">
            <v>FGO GRILLER 1400G PERD GAMBIA CX 14KG</v>
          </cell>
          <cell r="C2159">
            <v>2.536</v>
          </cell>
          <cell r="D2159">
            <v>2.536</v>
          </cell>
          <cell r="E2159">
            <v>-0.71199999999999997</v>
          </cell>
          <cell r="F2159">
            <v>-6.9999999999999951E-2</v>
          </cell>
        </row>
        <row r="2160">
          <cell r="A2160">
            <v>833357</v>
          </cell>
          <cell r="B2160" t="str">
            <v>ASA INTEIRA FGO ITF PERD ITALIA CX 15KG</v>
          </cell>
          <cell r="C2160">
            <v>2.6259999999999999</v>
          </cell>
          <cell r="D2160">
            <v>2.6259999999999999</v>
          </cell>
          <cell r="E2160">
            <v>-0.48399999999999999</v>
          </cell>
          <cell r="F2160">
            <v>-7.5999999999999956E-2</v>
          </cell>
        </row>
        <row r="2161">
          <cell r="A2161">
            <v>833575</v>
          </cell>
          <cell r="B2161" t="str">
            <v>COXA SOB C/OP FGO CONG 200-220G ITF CING</v>
          </cell>
          <cell r="C2161">
            <v>2.4260000000000002</v>
          </cell>
          <cell r="D2161">
            <v>2.4260000000000002</v>
          </cell>
          <cell r="E2161">
            <v>-0.58399999999999996</v>
          </cell>
          <cell r="F2161">
            <v>-6.9000000000000006E-2</v>
          </cell>
        </row>
        <row r="2162">
          <cell r="A2162">
            <v>833576</v>
          </cell>
          <cell r="B2162" t="str">
            <v>COXA SOB C/OP FGO CONG 220-240G ITF CING</v>
          </cell>
          <cell r="C2162">
            <v>2.4260000000000002</v>
          </cell>
          <cell r="D2162">
            <v>2.4260000000000002</v>
          </cell>
          <cell r="E2162">
            <v>-0.58399999999999996</v>
          </cell>
          <cell r="F2162">
            <v>-6.9000000000000006E-2</v>
          </cell>
        </row>
        <row r="2163">
          <cell r="A2163">
            <v>833578</v>
          </cell>
          <cell r="B2163" t="str">
            <v>PEITO+COXA SOB FGO CONG FORM/EMP/COZ HOL</v>
          </cell>
          <cell r="C2163">
            <v>3.9369999999999998</v>
          </cell>
          <cell r="D2163">
            <v>3.9369999999999998</v>
          </cell>
          <cell r="E2163">
            <v>-0.39600000000000002</v>
          </cell>
          <cell r="F2163">
            <v>-0.1160000000000001</v>
          </cell>
        </row>
        <row r="2164">
          <cell r="A2164">
            <v>220477</v>
          </cell>
          <cell r="B2164" t="str">
            <v>PSO018 PRESUNTO TENRO SEMI-OSSO PERD 5PC</v>
          </cell>
          <cell r="C2164">
            <v>12.414</v>
          </cell>
          <cell r="D2164">
            <v>9.0050000000000008</v>
          </cell>
          <cell r="E2164">
            <v>-0.217</v>
          </cell>
          <cell r="F2164">
            <v>-1.1120000000000001</v>
          </cell>
        </row>
        <row r="2165">
          <cell r="A2165">
            <v>220507</v>
          </cell>
          <cell r="B2165" t="str">
            <v>PBY012 PRESUNTO TENRO BOLA PEQUENO 12PC</v>
          </cell>
          <cell r="C2165">
            <v>11.936</v>
          </cell>
          <cell r="D2165">
            <v>8.6389999999999993</v>
          </cell>
          <cell r="E2165">
            <v>-0.20100000000000001</v>
          </cell>
          <cell r="F2165">
            <v>-1.07</v>
          </cell>
        </row>
        <row r="2166">
          <cell r="A2166">
            <v>221520</v>
          </cell>
          <cell r="B2166" t="str">
            <v>PBL019 PRESUNTO TENRO BOLA GRANDE 6PC</v>
          </cell>
          <cell r="C2166">
            <v>11.391999999999999</v>
          </cell>
          <cell r="D2166">
            <v>8.2289999999999992</v>
          </cell>
          <cell r="E2166">
            <v>-0.219</v>
          </cell>
          <cell r="F2166">
            <v>-1.012</v>
          </cell>
        </row>
        <row r="2167">
          <cell r="A2167">
            <v>586633</v>
          </cell>
          <cell r="B2167" t="str">
            <v>FEP016 FRANGO C/M P CONG PERD CX 16KG</v>
          </cell>
          <cell r="C2167">
            <v>1.5289999999999999</v>
          </cell>
          <cell r="D2167">
            <v>1.2889999999999999</v>
          </cell>
          <cell r="E2167">
            <v>-0.16</v>
          </cell>
          <cell r="F2167">
            <v>-0.12599999999999997</v>
          </cell>
        </row>
        <row r="2168">
          <cell r="A2168">
            <v>811828</v>
          </cell>
          <cell r="B2168" t="str">
            <v>PBC012 PRESUNTO TENRO BABY CHT CX 12KG</v>
          </cell>
          <cell r="C2168">
            <v>12.064</v>
          </cell>
          <cell r="D2168">
            <v>8.6370000000000005</v>
          </cell>
          <cell r="E2168">
            <v>-0.217</v>
          </cell>
          <cell r="F2168">
            <v>-1.0880000000000001</v>
          </cell>
        </row>
        <row r="2169">
          <cell r="A2169">
            <v>813957</v>
          </cell>
          <cell r="B2169" t="str">
            <v>PMG006 PRESUNTO DEF MARYLAND CX 6,7KG</v>
          </cell>
          <cell r="C2169">
            <v>3.4790000000000001</v>
          </cell>
          <cell r="D2169">
            <v>2.569</v>
          </cell>
          <cell r="E2169">
            <v>-0.114</v>
          </cell>
          <cell r="F2169">
            <v>-0.45100000000000007</v>
          </cell>
        </row>
        <row r="2170">
          <cell r="A2170">
            <v>826543</v>
          </cell>
          <cell r="B2170" t="str">
            <v>826147 SALS SUI CONG BAT 4PT CX 20KG</v>
          </cell>
          <cell r="C2170">
            <v>1.085</v>
          </cell>
          <cell r="D2170">
            <v>0.92500000000000004</v>
          </cell>
          <cell r="E2170">
            <v>0</v>
          </cell>
          <cell r="F2170">
            <v>0</v>
          </cell>
        </row>
        <row r="2171">
          <cell r="A2171">
            <v>826544</v>
          </cell>
          <cell r="B2171" t="str">
            <v>824457 HAMBURGUER BOV BAT 12CART CX 8KG</v>
          </cell>
          <cell r="C2171">
            <v>2.536</v>
          </cell>
          <cell r="D2171">
            <v>2.16</v>
          </cell>
          <cell r="E2171">
            <v>0</v>
          </cell>
          <cell r="F2171">
            <v>0</v>
          </cell>
        </row>
        <row r="2172">
          <cell r="A2172">
            <v>826545</v>
          </cell>
          <cell r="B2172" t="str">
            <v>824458 HAMBURGUER PERU BAT 12CART CX8KG</v>
          </cell>
          <cell r="C2172">
            <v>2.8540000000000001</v>
          </cell>
          <cell r="D2172">
            <v>2.4279999999999999</v>
          </cell>
          <cell r="E2172">
            <v>0</v>
          </cell>
          <cell r="F2172">
            <v>0</v>
          </cell>
        </row>
        <row r="2173">
          <cell r="A2173">
            <v>826546</v>
          </cell>
          <cell r="B2173" t="str">
            <v>824482 SALAME MILANO BATAVO CX 5KG</v>
          </cell>
          <cell r="C2173">
            <v>7.0519999999999996</v>
          </cell>
          <cell r="D2173">
            <v>5.9580000000000002</v>
          </cell>
          <cell r="E2173">
            <v>0</v>
          </cell>
          <cell r="F2173">
            <v>0</v>
          </cell>
        </row>
        <row r="2174">
          <cell r="A2174">
            <v>826547</v>
          </cell>
          <cell r="B2174" t="str">
            <v>824459 ALMONDEGA PERU BAT 12CART CX 6KG</v>
          </cell>
          <cell r="C2174">
            <v>3.181</v>
          </cell>
          <cell r="D2174">
            <v>2.7069999999999999</v>
          </cell>
          <cell r="E2174">
            <v>0</v>
          </cell>
          <cell r="F2174">
            <v>0</v>
          </cell>
        </row>
        <row r="2175">
          <cell r="A2175">
            <v>826550</v>
          </cell>
          <cell r="B2175" t="str">
            <v>824460 LASANHA BOLON BAT 8CART CX 5,2KG</v>
          </cell>
          <cell r="C2175">
            <v>2.8069999999999999</v>
          </cell>
          <cell r="D2175">
            <v>2.3769999999999998</v>
          </cell>
          <cell r="E2175">
            <v>0</v>
          </cell>
          <cell r="F2175">
            <v>0</v>
          </cell>
        </row>
        <row r="2176">
          <cell r="A2176">
            <v>826561</v>
          </cell>
          <cell r="B2176" t="str">
            <v>824481 LASANHA 4 QJS BAT 8CART CX 5,2KG</v>
          </cell>
          <cell r="C2176">
            <v>2.8140000000000001</v>
          </cell>
          <cell r="D2176">
            <v>2.37</v>
          </cell>
          <cell r="E2176">
            <v>0</v>
          </cell>
          <cell r="F2176">
            <v>0</v>
          </cell>
        </row>
        <row r="2177">
          <cell r="A2177">
            <v>826563</v>
          </cell>
          <cell r="B2177" t="str">
            <v>825733 LING CHUR CONG BAT 4PT CX 20KG</v>
          </cell>
          <cell r="C2177">
            <v>2.0590000000000002</v>
          </cell>
          <cell r="D2177">
            <v>1.748</v>
          </cell>
          <cell r="E2177">
            <v>0</v>
          </cell>
          <cell r="F2177">
            <v>0</v>
          </cell>
        </row>
        <row r="2178">
          <cell r="A2178">
            <v>826564</v>
          </cell>
          <cell r="B2178" t="str">
            <v>824454 CHICKEN KIDS FGO BAT 15CART 4,5KG</v>
          </cell>
          <cell r="C2178">
            <v>2.823</v>
          </cell>
          <cell r="D2178">
            <v>2.383</v>
          </cell>
          <cell r="E2178">
            <v>0</v>
          </cell>
          <cell r="F2178">
            <v>0</v>
          </cell>
        </row>
        <row r="2179">
          <cell r="A2179">
            <v>826581</v>
          </cell>
          <cell r="B2179" t="str">
            <v>824455 CHICKEN KIDS FGO QJO BAT CX 4,5KG</v>
          </cell>
          <cell r="C2179">
            <v>3.1389999999999998</v>
          </cell>
          <cell r="D2179">
            <v>2.653</v>
          </cell>
          <cell r="E2179">
            <v>0</v>
          </cell>
          <cell r="F2179">
            <v>0</v>
          </cell>
        </row>
        <row r="2180">
          <cell r="A2180">
            <v>826582</v>
          </cell>
          <cell r="B2180" t="str">
            <v>824456 STEAK FRANGO BAT 15CART CX 9KG</v>
          </cell>
          <cell r="C2180">
            <v>2.823</v>
          </cell>
          <cell r="D2180">
            <v>2.4089999999999998</v>
          </cell>
          <cell r="E2180">
            <v>0</v>
          </cell>
          <cell r="F2180">
            <v>0</v>
          </cell>
        </row>
        <row r="2181">
          <cell r="A2181">
            <v>826583</v>
          </cell>
          <cell r="B2181" t="str">
            <v>825517 CARNE EMP PERU BAT 15CART CX4,5KG</v>
          </cell>
          <cell r="C2181">
            <v>3.3290000000000002</v>
          </cell>
          <cell r="D2181">
            <v>2.8279999999999998</v>
          </cell>
          <cell r="E2181">
            <v>0</v>
          </cell>
          <cell r="F2181">
            <v>0</v>
          </cell>
        </row>
        <row r="2182">
          <cell r="A2182">
            <v>826584</v>
          </cell>
          <cell r="B2182" t="str">
            <v>825334 SALSICHA SUINA BAT PT 2KG CX 12KG</v>
          </cell>
          <cell r="C2182">
            <v>1.3979999999999999</v>
          </cell>
          <cell r="D2182">
            <v>1.179</v>
          </cell>
          <cell r="E2182">
            <v>-5.0999999999999997E-2</v>
          </cell>
          <cell r="F2182">
            <v>0</v>
          </cell>
        </row>
        <row r="2183">
          <cell r="A2183">
            <v>826586</v>
          </cell>
          <cell r="B2183" t="str">
            <v>826393 MORT TUB BOTICELLI BAT CX 10,5KG</v>
          </cell>
          <cell r="C2183">
            <v>2.073</v>
          </cell>
          <cell r="D2183">
            <v>1.746</v>
          </cell>
          <cell r="E2183">
            <v>-5.0999999999999997E-2</v>
          </cell>
          <cell r="F2183">
            <v>0</v>
          </cell>
        </row>
        <row r="2184">
          <cell r="A2184">
            <v>826611</v>
          </cell>
          <cell r="B2184" t="str">
            <v>825478 SALAME ITAL FAT BAT CX 3,3KG</v>
          </cell>
          <cell r="C2184">
            <v>8.24</v>
          </cell>
          <cell r="D2184">
            <v>6.9809999999999999</v>
          </cell>
          <cell r="E2184">
            <v>0</v>
          </cell>
          <cell r="F2184">
            <v>0</v>
          </cell>
        </row>
        <row r="2185">
          <cell r="A2185">
            <v>826612</v>
          </cell>
          <cell r="B2185" t="str">
            <v>825479 SALAME HBGUES FAT BAT CX 3,3KG</v>
          </cell>
          <cell r="C2185">
            <v>8.5129999999999999</v>
          </cell>
          <cell r="D2185">
            <v>7.2439999999999998</v>
          </cell>
          <cell r="E2185">
            <v>0</v>
          </cell>
          <cell r="F2185">
            <v>0</v>
          </cell>
        </row>
        <row r="2186">
          <cell r="A2186">
            <v>827773</v>
          </cell>
          <cell r="B2186" t="str">
            <v>SMC006 SALAME MILANO CAC CX 5,2KG</v>
          </cell>
          <cell r="C2186">
            <v>7.9349999999999996</v>
          </cell>
          <cell r="D2186">
            <v>6</v>
          </cell>
          <cell r="E2186">
            <v>-0.23499999999999999</v>
          </cell>
          <cell r="F2186">
            <v>-0.79100000000000004</v>
          </cell>
        </row>
        <row r="2187">
          <cell r="A2187">
            <v>828560</v>
          </cell>
          <cell r="B2187" t="str">
            <v>FFB013 FIGADO FGO BL 13,6KG CX 1006,4KG</v>
          </cell>
          <cell r="C2187">
            <v>0.59499999999999997</v>
          </cell>
          <cell r="D2187">
            <v>0.501</v>
          </cell>
          <cell r="E2187">
            <v>-2.1000000000000001E-2</v>
          </cell>
          <cell r="F2187">
            <v>-1.7000000000000015E-2</v>
          </cell>
        </row>
        <row r="2188">
          <cell r="A2188">
            <v>830067</v>
          </cell>
          <cell r="B2188" t="str">
            <v>3184 PATE DE FRANGO BAT CX 3KG</v>
          </cell>
          <cell r="C2188">
            <v>2.4940000000000002</v>
          </cell>
          <cell r="D2188">
            <v>2.11</v>
          </cell>
          <cell r="E2188">
            <v>0</v>
          </cell>
          <cell r="F2188">
            <v>0</v>
          </cell>
        </row>
        <row r="2189">
          <cell r="A2189">
            <v>830068</v>
          </cell>
          <cell r="B2189" t="str">
            <v>6027 PATE PERU DEF BATAVO CX 3KG</v>
          </cell>
          <cell r="C2189">
            <v>2.7759999999999998</v>
          </cell>
          <cell r="D2189">
            <v>2.37</v>
          </cell>
          <cell r="E2189">
            <v>0</v>
          </cell>
          <cell r="F2189">
            <v>0</v>
          </cell>
        </row>
        <row r="2190">
          <cell r="A2190">
            <v>830069</v>
          </cell>
          <cell r="B2190" t="str">
            <v>3276 PATE DE PRESUNTO BAT CX 3KG</v>
          </cell>
          <cell r="C2190">
            <v>2.1629999999999998</v>
          </cell>
          <cell r="D2190">
            <v>1.8280000000000001</v>
          </cell>
          <cell r="E2190">
            <v>0</v>
          </cell>
          <cell r="F2190">
            <v>0</v>
          </cell>
        </row>
        <row r="2191">
          <cell r="A2191">
            <v>830070</v>
          </cell>
          <cell r="B2191" t="str">
            <v>3266 PATE DE FIGADO BAT 25 CX 3KG</v>
          </cell>
          <cell r="C2191">
            <v>1.859</v>
          </cell>
          <cell r="D2191">
            <v>1.5720000000000001</v>
          </cell>
          <cell r="E2191">
            <v>0</v>
          </cell>
          <cell r="F2191">
            <v>0</v>
          </cell>
        </row>
        <row r="2192">
          <cell r="A2192">
            <v>830371</v>
          </cell>
          <cell r="B2192" t="str">
            <v>830370 HAMBURGUER PERU BAT INST 2,02KG</v>
          </cell>
          <cell r="C2192">
            <v>2.5550000000000002</v>
          </cell>
          <cell r="D2192">
            <v>2.1909999999999998</v>
          </cell>
          <cell r="E2192">
            <v>0</v>
          </cell>
          <cell r="F2192">
            <v>0</v>
          </cell>
        </row>
        <row r="2193">
          <cell r="A2193">
            <v>830394</v>
          </cell>
          <cell r="B2193" t="str">
            <v>825332 SALSICHA PERU BAT 12PT CX 6KG</v>
          </cell>
          <cell r="C2193">
            <v>1.3280000000000001</v>
          </cell>
          <cell r="D2193">
            <v>1.133</v>
          </cell>
          <cell r="E2193">
            <v>-5.0999999999999997E-2</v>
          </cell>
          <cell r="F2193">
            <v>0</v>
          </cell>
        </row>
        <row r="2194">
          <cell r="A2194">
            <v>830395</v>
          </cell>
          <cell r="B2194" t="str">
            <v>825335 SALSICHA FGO FRESKI 12PT CX 6KG</v>
          </cell>
          <cell r="C2194">
            <v>1.454</v>
          </cell>
          <cell r="D2194">
            <v>1.226</v>
          </cell>
          <cell r="E2194">
            <v>-5.0999999999999997E-2</v>
          </cell>
          <cell r="F2194">
            <v>0</v>
          </cell>
        </row>
        <row r="2195">
          <cell r="A2195">
            <v>830396</v>
          </cell>
          <cell r="B2195" t="str">
            <v>825333 SALSICHA SUINA BAT 12PT CX 6KG</v>
          </cell>
          <cell r="C2195">
            <v>1.3859999999999999</v>
          </cell>
          <cell r="D2195">
            <v>1.1739999999999999</v>
          </cell>
          <cell r="E2195">
            <v>-5.0999999999999997E-2</v>
          </cell>
          <cell r="F2195">
            <v>0</v>
          </cell>
        </row>
        <row r="2196">
          <cell r="A2196">
            <v>830500</v>
          </cell>
          <cell r="B2196" t="str">
            <v>3246 SALAME HAMBURGUES BATAVO CX 5KG</v>
          </cell>
          <cell r="C2196">
            <v>7.4720000000000004</v>
          </cell>
          <cell r="D2196">
            <v>6.3019999999999996</v>
          </cell>
          <cell r="E2196">
            <v>0</v>
          </cell>
          <cell r="F2196">
            <v>0</v>
          </cell>
        </row>
        <row r="2197">
          <cell r="A2197">
            <v>830501</v>
          </cell>
          <cell r="B2197" t="str">
            <v>3385 SALAMINHO BATAVO CX 5KG</v>
          </cell>
          <cell r="C2197">
            <v>6.6020000000000003</v>
          </cell>
          <cell r="D2197">
            <v>5.5780000000000003</v>
          </cell>
          <cell r="E2197">
            <v>0</v>
          </cell>
          <cell r="F2197">
            <v>0</v>
          </cell>
        </row>
        <row r="2198">
          <cell r="A2198">
            <v>830512</v>
          </cell>
          <cell r="B2198" t="str">
            <v>3249 SALAME ITALIANO GIGAN BAT CX 5,5KG</v>
          </cell>
          <cell r="C2198">
            <v>6.5010000000000003</v>
          </cell>
          <cell r="D2198">
            <v>5.4790000000000001</v>
          </cell>
          <cell r="E2198">
            <v>0</v>
          </cell>
          <cell r="F2198">
            <v>0</v>
          </cell>
        </row>
        <row r="2199">
          <cell r="A2199">
            <v>830513</v>
          </cell>
          <cell r="B2199" t="str">
            <v>3168 SALAME ITALIANO EXT BATAVO CX 5KG</v>
          </cell>
          <cell r="C2199">
            <v>6.5460000000000003</v>
          </cell>
          <cell r="D2199">
            <v>5.5469999999999997</v>
          </cell>
          <cell r="E2199">
            <v>0</v>
          </cell>
          <cell r="F2199">
            <v>0</v>
          </cell>
        </row>
        <row r="2200">
          <cell r="A2200">
            <v>830514</v>
          </cell>
          <cell r="B2200" t="str">
            <v>3748 SALAME ITALIANO VAC BATAVO CX 5KG</v>
          </cell>
          <cell r="C2200">
            <v>6.9829999999999997</v>
          </cell>
          <cell r="D2200">
            <v>5.8879999999999999</v>
          </cell>
          <cell r="E2200">
            <v>0</v>
          </cell>
          <cell r="F2200">
            <v>0</v>
          </cell>
        </row>
        <row r="2201">
          <cell r="A2201">
            <v>830871</v>
          </cell>
          <cell r="B2201" t="str">
            <v>830780 LING CALAB HOLANDESA BAT CX 5KG</v>
          </cell>
          <cell r="C2201">
            <v>3.64</v>
          </cell>
          <cell r="D2201">
            <v>3.0790000000000002</v>
          </cell>
          <cell r="E2201">
            <v>0</v>
          </cell>
          <cell r="F2201">
            <v>0</v>
          </cell>
        </row>
        <row r="2202">
          <cell r="A2202">
            <v>830893</v>
          </cell>
          <cell r="B2202" t="str">
            <v>3234 BACON DEF PEDACO 18PC BAT CX 6KG</v>
          </cell>
          <cell r="C2202">
            <v>2.516</v>
          </cell>
          <cell r="D2202">
            <v>2.125</v>
          </cell>
          <cell r="E2202">
            <v>-5.8000000000000003E-2</v>
          </cell>
          <cell r="F2202">
            <v>0</v>
          </cell>
        </row>
        <row r="2203">
          <cell r="A2203">
            <v>830895</v>
          </cell>
          <cell r="B2203" t="str">
            <v>3224 COSTELA DEFUMADA BATAVO CX 9KG</v>
          </cell>
          <cell r="C2203">
            <v>2.6890000000000001</v>
          </cell>
          <cell r="D2203">
            <v>2.2810000000000001</v>
          </cell>
          <cell r="E2203">
            <v>0</v>
          </cell>
          <cell r="F2203">
            <v>0</v>
          </cell>
        </row>
        <row r="2204">
          <cell r="A2204">
            <v>831382</v>
          </cell>
          <cell r="B2204" t="str">
            <v>830527 BACON DEF S/COST VAC BAT CX 13KG</v>
          </cell>
          <cell r="C2204">
            <v>2.1800000000000002</v>
          </cell>
          <cell r="D2204">
            <v>1.8440000000000001</v>
          </cell>
          <cell r="E2204">
            <v>-5.8000000000000003E-2</v>
          </cell>
          <cell r="F2204">
            <v>0</v>
          </cell>
        </row>
        <row r="2205">
          <cell r="A2205">
            <v>831383</v>
          </cell>
          <cell r="B2205" t="str">
            <v>830526 BACON DEF S/COST VAC BAT CX 14KG</v>
          </cell>
          <cell r="C2205">
            <v>2.2130000000000001</v>
          </cell>
          <cell r="D2205">
            <v>1.873</v>
          </cell>
          <cell r="E2205">
            <v>-6.0999999999999999E-2</v>
          </cell>
          <cell r="F2205">
            <v>0</v>
          </cell>
        </row>
        <row r="2206">
          <cell r="A2206">
            <v>832825</v>
          </cell>
          <cell r="B2206" t="str">
            <v>3020 INGR P/ FEIJOADA BAT 9PT CX 9KG</v>
          </cell>
          <cell r="C2206">
            <v>2.4</v>
          </cell>
          <cell r="D2206">
            <v>2.02</v>
          </cell>
          <cell r="E2206">
            <v>0</v>
          </cell>
          <cell r="F2206">
            <v>0</v>
          </cell>
        </row>
        <row r="2207">
          <cell r="A2207">
            <v>326143</v>
          </cell>
          <cell r="B2207" t="str">
            <v>CSC025 COSTELA SUI CONG 1/3KG 25KG CARIB</v>
          </cell>
          <cell r="C2207">
            <v>3.024</v>
          </cell>
          <cell r="D2207">
            <v>3.024</v>
          </cell>
          <cell r="E2207">
            <v>-6.7000000000000004E-2</v>
          </cell>
          <cell r="F2207">
            <v>-7.7000000000000179E-2</v>
          </cell>
        </row>
        <row r="2208">
          <cell r="A2208">
            <v>326151</v>
          </cell>
          <cell r="B2208" t="str">
            <v>LSC125 LOMBO SUI CONG 1,3/1,8KG CX25KG</v>
          </cell>
          <cell r="C2208">
            <v>5.0460000000000003</v>
          </cell>
          <cell r="D2208">
            <v>5.0460000000000003</v>
          </cell>
          <cell r="E2208">
            <v>-6.7000000000000004E-2</v>
          </cell>
          <cell r="F2208">
            <v>-0.12799999999999989</v>
          </cell>
        </row>
        <row r="2209">
          <cell r="A2209">
            <v>326160</v>
          </cell>
          <cell r="B2209" t="str">
            <v>CPC025 COPA LOMBO S/O SUI CONG 1/2KG CAR</v>
          </cell>
          <cell r="C2209">
            <v>3.395</v>
          </cell>
          <cell r="D2209">
            <v>3.395</v>
          </cell>
          <cell r="E2209">
            <v>-6.7000000000000004E-2</v>
          </cell>
          <cell r="F2209">
            <v>-8.6999999999999966E-2</v>
          </cell>
        </row>
        <row r="2210">
          <cell r="A2210">
            <v>668060</v>
          </cell>
          <cell r="B2210" t="str">
            <v>FRANGO BROILER 1300G PERD CUBA</v>
          </cell>
          <cell r="C2210">
            <v>1.794</v>
          </cell>
          <cell r="D2210">
            <v>1.794</v>
          </cell>
          <cell r="E2210">
            <v>-0.106</v>
          </cell>
          <cell r="F2210">
            <v>-4.4999999999999998E-2</v>
          </cell>
        </row>
        <row r="2211">
          <cell r="A2211">
            <v>668087</v>
          </cell>
          <cell r="B2211" t="str">
            <v>FRANGO BROILER PERD CUBA 1400G</v>
          </cell>
          <cell r="C2211">
            <v>1.794</v>
          </cell>
          <cell r="D2211">
            <v>1.794</v>
          </cell>
          <cell r="E2211">
            <v>-0.106</v>
          </cell>
          <cell r="F2211">
            <v>-4.5999999999999985E-2</v>
          </cell>
        </row>
        <row r="2212">
          <cell r="A2212">
            <v>668109</v>
          </cell>
          <cell r="B2212" t="str">
            <v>FBCE89 FRANGO BROILER PERD CUBA 1600G</v>
          </cell>
          <cell r="C2212">
            <v>1.794</v>
          </cell>
          <cell r="D2212">
            <v>1.794</v>
          </cell>
          <cell r="E2212">
            <v>-0.106</v>
          </cell>
          <cell r="F2212">
            <v>-4.5999999999999985E-2</v>
          </cell>
        </row>
        <row r="2213">
          <cell r="A2213">
            <v>668117</v>
          </cell>
          <cell r="B2213" t="str">
            <v>FBCE90 FRANGO BROILER PERD CUBA 1700G</v>
          </cell>
          <cell r="C2213">
            <v>1.794</v>
          </cell>
          <cell r="D2213">
            <v>1.794</v>
          </cell>
          <cell r="E2213">
            <v>-0.106</v>
          </cell>
          <cell r="F2213">
            <v>-4.4999999999999998E-2</v>
          </cell>
        </row>
        <row r="2214">
          <cell r="A2214">
            <v>668125</v>
          </cell>
          <cell r="B2214" t="str">
            <v>FBCE91 FRANGO BROILER PERD CUBA 1800G</v>
          </cell>
          <cell r="C2214">
            <v>1.794</v>
          </cell>
          <cell r="D2214">
            <v>1.794</v>
          </cell>
          <cell r="E2214">
            <v>-0.106</v>
          </cell>
          <cell r="F2214">
            <v>-4.4999999999999998E-2</v>
          </cell>
        </row>
        <row r="2215">
          <cell r="A2215">
            <v>676551</v>
          </cell>
          <cell r="B2215" t="str">
            <v>PCFX58 PEITO S/O/P/F/CLAV ACHAT PT 2,5KG</v>
          </cell>
          <cell r="C2215">
            <v>4.8650000000000002</v>
          </cell>
          <cell r="D2215">
            <v>4.8650000000000002</v>
          </cell>
          <cell r="E2215">
            <v>-0.66700000000000004</v>
          </cell>
          <cell r="F2215">
            <v>-0.121</v>
          </cell>
        </row>
        <row r="2216">
          <cell r="A2216">
            <v>696587</v>
          </cell>
          <cell r="B2216" t="str">
            <v>CFEC40 COXA/SOBREC S/OP IND/VAC CX 15KG</v>
          </cell>
          <cell r="C2216">
            <v>3.109</v>
          </cell>
          <cell r="D2216">
            <v>3.109</v>
          </cell>
          <cell r="E2216">
            <v>-0.39300000000000002</v>
          </cell>
          <cell r="F2216">
            <v>-7.7000000000000013E-2</v>
          </cell>
        </row>
        <row r="2217">
          <cell r="A2217">
            <v>729124</v>
          </cell>
          <cell r="B2217" t="str">
            <v>FSCE08 FILEZINHO SUINO CONG CX 25KG CARI</v>
          </cell>
          <cell r="C2217">
            <v>3.5009999999999999</v>
          </cell>
          <cell r="D2217">
            <v>3.5009999999999999</v>
          </cell>
          <cell r="E2217">
            <v>-6.7000000000000004E-2</v>
          </cell>
          <cell r="F2217">
            <v>-8.9000000000000024E-2</v>
          </cell>
        </row>
        <row r="2218">
          <cell r="A2218">
            <v>741329</v>
          </cell>
          <cell r="B2218" t="str">
            <v>COXA SOBREC S/O C/P PT2KG/VAC ACHAT CING</v>
          </cell>
          <cell r="C2218">
            <v>2.64</v>
          </cell>
          <cell r="D2218">
            <v>2.64</v>
          </cell>
          <cell r="E2218">
            <v>-0.60199999999999998</v>
          </cell>
          <cell r="F2218">
            <v>-6.5000000000000002E-2</v>
          </cell>
        </row>
        <row r="2219">
          <cell r="A2219">
            <v>745243</v>
          </cell>
          <cell r="B2219" t="str">
            <v>FEGC06 FRANGO GRILLER PERD OMAN 800G 8KG</v>
          </cell>
          <cell r="C2219">
            <v>2.4609999999999999</v>
          </cell>
          <cell r="D2219">
            <v>2.4609999999999999</v>
          </cell>
          <cell r="E2219">
            <v>-0.56200000000000006</v>
          </cell>
          <cell r="F2219">
            <v>-5.9000000000000052E-2</v>
          </cell>
        </row>
        <row r="2220">
          <cell r="A2220">
            <v>745260</v>
          </cell>
          <cell r="B2220" t="str">
            <v>FEGC08 FRANGO GRILLER PERD OMAN 900G</v>
          </cell>
          <cell r="C2220">
            <v>2.4609999999999999</v>
          </cell>
          <cell r="D2220">
            <v>2.4609999999999999</v>
          </cell>
          <cell r="E2220">
            <v>-0.56200000000000006</v>
          </cell>
          <cell r="F2220">
            <v>-5.8999999999999997E-2</v>
          </cell>
        </row>
        <row r="2221">
          <cell r="A2221">
            <v>745278</v>
          </cell>
          <cell r="B2221" t="str">
            <v>FEGC09 FRANGO GRILLER PERD OMAN 1000G</v>
          </cell>
          <cell r="C2221">
            <v>2.4609999999999999</v>
          </cell>
          <cell r="D2221">
            <v>2.4609999999999999</v>
          </cell>
          <cell r="E2221">
            <v>-0.56200000000000006</v>
          </cell>
          <cell r="F2221">
            <v>-5.8999999999999997E-2</v>
          </cell>
        </row>
        <row r="2222">
          <cell r="A2222">
            <v>745286</v>
          </cell>
          <cell r="B2222" t="str">
            <v>FEGC10 FRANGO GRILLER PERD OMAN 1100G</v>
          </cell>
          <cell r="C2222">
            <v>2.4609999999999999</v>
          </cell>
          <cell r="D2222">
            <v>2.4609999999999999</v>
          </cell>
          <cell r="E2222">
            <v>-0.56200000000000006</v>
          </cell>
          <cell r="F2222">
            <v>-5.9000000000000052E-2</v>
          </cell>
        </row>
        <row r="2223">
          <cell r="A2223">
            <v>745294</v>
          </cell>
          <cell r="B2223" t="str">
            <v>FEGC11 FRANGO GRILLER PERD OMAN 1200G</v>
          </cell>
          <cell r="C2223">
            <v>2.4609999999999999</v>
          </cell>
          <cell r="D2223">
            <v>2.4609999999999999</v>
          </cell>
          <cell r="E2223">
            <v>-0.56200000000000006</v>
          </cell>
          <cell r="F2223">
            <v>-5.8999999999999941E-2</v>
          </cell>
        </row>
        <row r="2224">
          <cell r="A2224">
            <v>754293</v>
          </cell>
          <cell r="B2224" t="str">
            <v>AIFE17 ASA 1A JTA DRUMETTE PT 1KG IQF</v>
          </cell>
          <cell r="C2224">
            <v>2.2410000000000001</v>
          </cell>
          <cell r="D2224">
            <v>2.2410000000000001</v>
          </cell>
          <cell r="E2224">
            <v>-0.31900000000000001</v>
          </cell>
          <cell r="F2224">
            <v>-5.5E-2</v>
          </cell>
        </row>
        <row r="2225">
          <cell r="A2225">
            <v>754714</v>
          </cell>
          <cell r="B2225" t="str">
            <v>FFCE17 FIGADO BDJ 500G PERD CAN CX 12KG</v>
          </cell>
          <cell r="C2225">
            <v>2.028</v>
          </cell>
          <cell r="D2225">
            <v>2.028</v>
          </cell>
          <cell r="E2225">
            <v>-0.32</v>
          </cell>
          <cell r="F2225">
            <v>-4.9999999999999933E-2</v>
          </cell>
        </row>
        <row r="2226">
          <cell r="A2226">
            <v>758566</v>
          </cell>
          <cell r="B2226" t="str">
            <v>PECF41 PEITO S/OPC C/F 250G/UP IND/VAC</v>
          </cell>
          <cell r="C2226">
            <v>5.7039999999999997</v>
          </cell>
          <cell r="D2226">
            <v>5.7039999999999997</v>
          </cell>
          <cell r="E2226">
            <v>-0.44400000000000001</v>
          </cell>
          <cell r="F2226">
            <v>-0.14299999999999979</v>
          </cell>
        </row>
        <row r="2227">
          <cell r="A2227">
            <v>761150</v>
          </cell>
          <cell r="B2227" t="str">
            <v>CSCE89 COXA/SOBREC C/O/P 200G/AC ITF CAN</v>
          </cell>
          <cell r="C2227">
            <v>1.948</v>
          </cell>
          <cell r="D2227">
            <v>1.948</v>
          </cell>
          <cell r="E2227">
            <v>-0.36099999999999999</v>
          </cell>
          <cell r="F2227">
            <v>-4.7999999999999987E-2</v>
          </cell>
        </row>
        <row r="2228">
          <cell r="A2228">
            <v>766720</v>
          </cell>
          <cell r="B2228" t="str">
            <v>ASA 1A JTA DRUM 30-50G PT 1KG ACHAT CING</v>
          </cell>
          <cell r="C2228">
            <v>2.887</v>
          </cell>
          <cell r="D2228">
            <v>2.887</v>
          </cell>
          <cell r="E2228">
            <v>-0.52400000000000002</v>
          </cell>
          <cell r="F2228">
            <v>-7.0000000000000062E-2</v>
          </cell>
        </row>
        <row r="2229">
          <cell r="A2229">
            <v>778575</v>
          </cell>
          <cell r="B2229" t="str">
            <v>CSEC77 COXA SOBREC S/OP ITF PERD CX 16KG</v>
          </cell>
          <cell r="C2229">
            <v>2.9729999999999999</v>
          </cell>
          <cell r="D2229">
            <v>2.9729999999999999</v>
          </cell>
          <cell r="E2229">
            <v>-0.38800000000000001</v>
          </cell>
          <cell r="F2229">
            <v>-7.4000000000000066E-2</v>
          </cell>
        </row>
        <row r="2230">
          <cell r="A2230">
            <v>778958</v>
          </cell>
          <cell r="B2230" t="str">
            <v>AIFE44 ASA 1A JTA DRUMETTE PT 1KG PERD</v>
          </cell>
          <cell r="C2230">
            <v>2.2309999999999999</v>
          </cell>
          <cell r="D2230">
            <v>2.2309999999999999</v>
          </cell>
          <cell r="E2230">
            <v>-0.36199999999999999</v>
          </cell>
          <cell r="F2230">
            <v>-5.5E-2</v>
          </cell>
        </row>
        <row r="2231">
          <cell r="A2231">
            <v>784710</v>
          </cell>
          <cell r="B2231" t="str">
            <v>FRANGO BROILER 1100G PERD CUBA</v>
          </cell>
          <cell r="C2231">
            <v>1.794</v>
          </cell>
          <cell r="D2231">
            <v>1.794</v>
          </cell>
          <cell r="E2231">
            <v>-0.106</v>
          </cell>
          <cell r="F2231">
            <v>-4.5999999999999985E-2</v>
          </cell>
        </row>
        <row r="2232">
          <cell r="A2232">
            <v>784729</v>
          </cell>
          <cell r="B2232" t="str">
            <v>FECB21 FRANGO BROILER 1500G PERD CUBA</v>
          </cell>
          <cell r="C2232">
            <v>1.794</v>
          </cell>
          <cell r="D2232">
            <v>1.794</v>
          </cell>
          <cell r="E2232">
            <v>-0.106</v>
          </cell>
          <cell r="F2232">
            <v>-4.6000000000000041E-2</v>
          </cell>
        </row>
        <row r="2233">
          <cell r="A2233">
            <v>784974</v>
          </cell>
          <cell r="B2233" t="str">
            <v>FRANGO BROILER 1200G PERD CUBA</v>
          </cell>
          <cell r="C2233">
            <v>1.794</v>
          </cell>
          <cell r="D2233">
            <v>1.794</v>
          </cell>
          <cell r="E2233">
            <v>-0.106</v>
          </cell>
          <cell r="F2233">
            <v>-4.4999999999999998E-2</v>
          </cell>
        </row>
        <row r="2234">
          <cell r="A2234">
            <v>805262</v>
          </cell>
          <cell r="B2234" t="str">
            <v>PFEC79 PEITO S/OPFC MET ITAL PERD CX 5KG</v>
          </cell>
          <cell r="C2234">
            <v>5.9859999999999998</v>
          </cell>
          <cell r="D2234">
            <v>5.9859999999999998</v>
          </cell>
          <cell r="E2234">
            <v>-0.34799999999999998</v>
          </cell>
          <cell r="F2234">
            <v>-0.15</v>
          </cell>
        </row>
        <row r="2235">
          <cell r="A2235">
            <v>809366</v>
          </cell>
          <cell r="B2235" t="str">
            <v>CECS30 COXA SOBR S/O C/P 150-170G PERD</v>
          </cell>
          <cell r="C2235">
            <v>2.6619999999999999</v>
          </cell>
          <cell r="D2235">
            <v>2.6619999999999999</v>
          </cell>
          <cell r="E2235">
            <v>-0.498</v>
          </cell>
          <cell r="F2235">
            <v>-6.5000000000000002E-2</v>
          </cell>
        </row>
        <row r="2236">
          <cell r="A2236">
            <v>809457</v>
          </cell>
          <cell r="B2236" t="str">
            <v>PCRE06 PRES CRU PARMA PARAG CX 16,02KG</v>
          </cell>
          <cell r="C2236">
            <v>7.9630000000000001</v>
          </cell>
          <cell r="D2236">
            <v>7.9630000000000001</v>
          </cell>
          <cell r="E2236">
            <v>-5.8999999999999997E-2</v>
          </cell>
          <cell r="F2236">
            <v>-0.20400000000000063</v>
          </cell>
        </row>
        <row r="2237">
          <cell r="A2237">
            <v>810334</v>
          </cell>
          <cell r="B2237" t="str">
            <v>FCGE44 FRANGO GRILLER 900G AL KAW BAHR</v>
          </cell>
          <cell r="C2237">
            <v>2.5249999999999999</v>
          </cell>
          <cell r="D2237">
            <v>2.5249999999999999</v>
          </cell>
          <cell r="E2237">
            <v>-0.57299999999999995</v>
          </cell>
          <cell r="F2237">
            <v>-6.0999999999999943E-2</v>
          </cell>
        </row>
        <row r="2238">
          <cell r="A2238">
            <v>810335</v>
          </cell>
          <cell r="B2238" t="str">
            <v>FCGE45 FRANGO GRILLER 1000G AL KAW BAHR</v>
          </cell>
          <cell r="C2238">
            <v>2.5249999999999999</v>
          </cell>
          <cell r="D2238">
            <v>2.5249999999999999</v>
          </cell>
          <cell r="E2238">
            <v>-0.57199999999999995</v>
          </cell>
          <cell r="F2238">
            <v>-6.0999999999999943E-2</v>
          </cell>
        </row>
        <row r="2239">
          <cell r="A2239">
            <v>810336</v>
          </cell>
          <cell r="B2239" t="str">
            <v>FCGE46 FRANGO GRILLER 1100G AL KAW BAHR</v>
          </cell>
          <cell r="C2239">
            <v>2.5249999999999999</v>
          </cell>
          <cell r="D2239">
            <v>2.5249999999999999</v>
          </cell>
          <cell r="E2239">
            <v>-0.57199999999999995</v>
          </cell>
          <cell r="F2239">
            <v>-6.0999999999999943E-2</v>
          </cell>
        </row>
        <row r="2240">
          <cell r="A2240">
            <v>810337</v>
          </cell>
          <cell r="B2240" t="str">
            <v>FCGE47 FRANGO GRILLER 1200G AL KAW BAHR</v>
          </cell>
          <cell r="C2240">
            <v>2.5249999999999999</v>
          </cell>
          <cell r="D2240">
            <v>2.5249999999999999</v>
          </cell>
          <cell r="E2240">
            <v>-0.57199999999999995</v>
          </cell>
          <cell r="F2240">
            <v>-6.0999999999999943E-2</v>
          </cell>
        </row>
        <row r="2241">
          <cell r="A2241">
            <v>810338</v>
          </cell>
          <cell r="B2241" t="str">
            <v>FCGE48 FRANGO GRILLER 1300G AL KAW BAHR</v>
          </cell>
          <cell r="C2241">
            <v>2.5249999999999999</v>
          </cell>
          <cell r="D2241">
            <v>2.5249999999999999</v>
          </cell>
          <cell r="E2241">
            <v>-0.57199999999999995</v>
          </cell>
          <cell r="F2241">
            <v>-6.1000000000000054E-2</v>
          </cell>
        </row>
        <row r="2242">
          <cell r="A2242">
            <v>810413</v>
          </cell>
          <cell r="B2242" t="str">
            <v>PECI02 PERNIL S/OCG SUI 4 A 5KG ARGEN</v>
          </cell>
          <cell r="C2242">
            <v>4.0250000000000004</v>
          </cell>
          <cell r="D2242">
            <v>4.0250000000000004</v>
          </cell>
          <cell r="E2242">
            <v>-0.33200000000000002</v>
          </cell>
          <cell r="F2242">
            <v>-0.10100000000000001</v>
          </cell>
        </row>
        <row r="2243">
          <cell r="A2243">
            <v>811403</v>
          </cell>
          <cell r="B2243" t="str">
            <v>CECS55 COXA SOBR C/OP PT 1KG PERD ITALIA</v>
          </cell>
          <cell r="C2243">
            <v>1.9279999999999999</v>
          </cell>
          <cell r="D2243">
            <v>1.9279999999999999</v>
          </cell>
          <cell r="E2243">
            <v>-0.315</v>
          </cell>
          <cell r="F2243">
            <v>-4.7000000000000014E-2</v>
          </cell>
        </row>
        <row r="2244">
          <cell r="A2244">
            <v>811498</v>
          </cell>
          <cell r="B2244" t="str">
            <v>FCGE61 FRANGO GRILLER 800G AL KAW BAHR</v>
          </cell>
          <cell r="C2244">
            <v>2.5249999999999999</v>
          </cell>
          <cell r="D2244">
            <v>2.5249999999999999</v>
          </cell>
          <cell r="E2244">
            <v>-0.57199999999999995</v>
          </cell>
          <cell r="F2244">
            <v>-6.1000000000000054E-2</v>
          </cell>
        </row>
        <row r="2245">
          <cell r="A2245">
            <v>811500</v>
          </cell>
          <cell r="B2245" t="str">
            <v>CECS56 COXA SOBR C/OP BDJ 900G BAHRAIN</v>
          </cell>
          <cell r="C2245">
            <v>2.835</v>
          </cell>
          <cell r="D2245">
            <v>2.835</v>
          </cell>
          <cell r="E2245">
            <v>-0.64300000000000002</v>
          </cell>
          <cell r="F2245">
            <v>-6.9000000000000006E-2</v>
          </cell>
        </row>
        <row r="2246">
          <cell r="A2246">
            <v>811502</v>
          </cell>
          <cell r="B2246" t="str">
            <v>AIFE65 ASA INT BDJ 900G AL KAW BAHR</v>
          </cell>
          <cell r="C2246">
            <v>2.7829999999999999</v>
          </cell>
          <cell r="D2246">
            <v>2.7829999999999999</v>
          </cell>
          <cell r="E2246">
            <v>-0.64800000000000002</v>
          </cell>
          <cell r="F2246">
            <v>-6.7000000000000004E-2</v>
          </cell>
        </row>
        <row r="2247">
          <cell r="A2247">
            <v>813179</v>
          </cell>
          <cell r="B2247" t="str">
            <v>MFCE53 MOELA FGO PT 1KG HAITI CX 16KG</v>
          </cell>
          <cell r="C2247">
            <v>1.837</v>
          </cell>
          <cell r="D2247">
            <v>1.837</v>
          </cell>
          <cell r="E2247">
            <v>-6.9000000000000006E-2</v>
          </cell>
          <cell r="F2247">
            <v>-4.7000000000000042E-2</v>
          </cell>
        </row>
        <row r="2248">
          <cell r="A2248">
            <v>815178</v>
          </cell>
          <cell r="B2248" t="str">
            <v>FFCE48 FIGADO FGO BDJ 450G AL KAW BAHR</v>
          </cell>
          <cell r="C2248">
            <v>2.4609999999999999</v>
          </cell>
          <cell r="D2248">
            <v>2.4609999999999999</v>
          </cell>
          <cell r="E2248">
            <v>-0.63400000000000001</v>
          </cell>
          <cell r="F2248">
            <v>-5.9000000000000052E-2</v>
          </cell>
        </row>
        <row r="2249">
          <cell r="A2249">
            <v>815179</v>
          </cell>
          <cell r="B2249" t="str">
            <v>MFCE59 MOELA FGO BDJ 450G AL KAW BAHR</v>
          </cell>
          <cell r="C2249">
            <v>2.5680000000000001</v>
          </cell>
          <cell r="D2249">
            <v>2.5680000000000001</v>
          </cell>
          <cell r="E2249">
            <v>-0.63600000000000001</v>
          </cell>
          <cell r="F2249">
            <v>-6.1999999999999944E-2</v>
          </cell>
        </row>
        <row r="2250">
          <cell r="A2250">
            <v>822694</v>
          </cell>
          <cell r="B2250" t="str">
            <v>FRANGO BROILER 900G PERD CUBA CX 10,8KG</v>
          </cell>
          <cell r="C2250">
            <v>1.794</v>
          </cell>
          <cell r="D2250">
            <v>1.794</v>
          </cell>
          <cell r="E2250">
            <v>-0.106</v>
          </cell>
          <cell r="F2250">
            <v>-4.6000000000000041E-2</v>
          </cell>
        </row>
        <row r="2251">
          <cell r="A2251">
            <v>822700</v>
          </cell>
          <cell r="B2251" t="str">
            <v>FRANGO GRILLER PERD KUWAIT 1400G CX 14KG</v>
          </cell>
          <cell r="C2251">
            <v>2.3460000000000001</v>
          </cell>
          <cell r="D2251">
            <v>2.3460000000000001</v>
          </cell>
          <cell r="E2251">
            <v>-0.53300000000000003</v>
          </cell>
          <cell r="F2251">
            <v>-5.6999999999999995E-2</v>
          </cell>
        </row>
        <row r="2252">
          <cell r="A2252">
            <v>822708</v>
          </cell>
          <cell r="B2252" t="str">
            <v>FRANGO BROILER 1000G PERD CUBA CX 12KG</v>
          </cell>
          <cell r="C2252">
            <v>1.794</v>
          </cell>
          <cell r="D2252">
            <v>1.794</v>
          </cell>
          <cell r="E2252">
            <v>-0.106</v>
          </cell>
          <cell r="F2252">
            <v>-4.5999999999999985E-2</v>
          </cell>
        </row>
        <row r="2253">
          <cell r="A2253">
            <v>823062</v>
          </cell>
          <cell r="B2253" t="str">
            <v>COXA SOB S/O C/P 240-300G BOREL CING</v>
          </cell>
          <cell r="C2253">
            <v>2.6760000000000002</v>
          </cell>
          <cell r="D2253">
            <v>2.6760000000000002</v>
          </cell>
          <cell r="E2253">
            <v>-0.53100000000000003</v>
          </cell>
          <cell r="F2253">
            <v>-6.5000000000000002E-2</v>
          </cell>
        </row>
        <row r="2254">
          <cell r="A2254">
            <v>823106</v>
          </cell>
          <cell r="B2254" t="str">
            <v>PEITO S/OPC C/F 300G/UP IND BATAVO CANAR</v>
          </cell>
          <cell r="C2254">
            <v>5.2539999999999996</v>
          </cell>
          <cell r="D2254">
            <v>5.2539999999999996</v>
          </cell>
          <cell r="E2254">
            <v>-0.32800000000000001</v>
          </cell>
          <cell r="F2254">
            <v>-0.13200000000000012</v>
          </cell>
        </row>
        <row r="2255">
          <cell r="A2255">
            <v>823107</v>
          </cell>
          <cell r="B2255" t="str">
            <v>PEITO S/OPC C/F 300G/UP ITF BAT CANARIAS</v>
          </cell>
          <cell r="C2255">
            <v>5.1479999999999997</v>
          </cell>
          <cell r="D2255">
            <v>5.1479999999999997</v>
          </cell>
          <cell r="E2255">
            <v>-0.32800000000000001</v>
          </cell>
          <cell r="F2255">
            <v>-0.13</v>
          </cell>
        </row>
        <row r="2256">
          <cell r="A2256">
            <v>823108</v>
          </cell>
          <cell r="B2256" t="str">
            <v>PEITO S/OPFC FAT 50-90G IND BATAVO CANAR</v>
          </cell>
          <cell r="C2256">
            <v>5.36</v>
          </cell>
          <cell r="D2256">
            <v>5.36</v>
          </cell>
          <cell r="E2256">
            <v>-0.32800000000000001</v>
          </cell>
          <cell r="F2256">
            <v>-0.13500000000000001</v>
          </cell>
        </row>
        <row r="2257">
          <cell r="A2257">
            <v>823109</v>
          </cell>
          <cell r="B2257" t="str">
            <v>PEITO S/OPFC FAT 50-90G ITF BATAVO CANAR</v>
          </cell>
          <cell r="C2257">
            <v>5.2539999999999996</v>
          </cell>
          <cell r="D2257">
            <v>5.2539999999999996</v>
          </cell>
          <cell r="E2257">
            <v>-0.32800000000000001</v>
          </cell>
          <cell r="F2257">
            <v>-0.1319999999999999</v>
          </cell>
        </row>
        <row r="2258">
          <cell r="A2258">
            <v>826766</v>
          </cell>
          <cell r="B2258" t="str">
            <v>FRANGO BROILER 900G BORELLA MALDIVAS</v>
          </cell>
          <cell r="C2258">
            <v>2.5030000000000001</v>
          </cell>
          <cell r="D2258">
            <v>2.5030000000000001</v>
          </cell>
          <cell r="E2258">
            <v>-0.78700000000000003</v>
          </cell>
          <cell r="F2258">
            <v>-5.7999999999999996E-2</v>
          </cell>
        </row>
        <row r="2259">
          <cell r="A2259">
            <v>826767</v>
          </cell>
          <cell r="B2259" t="str">
            <v>FRANGO BROILER 1000G BORELLA MALDIVAS</v>
          </cell>
          <cell r="C2259">
            <v>2.5030000000000001</v>
          </cell>
          <cell r="D2259">
            <v>2.5030000000000001</v>
          </cell>
          <cell r="E2259">
            <v>-0.78700000000000003</v>
          </cell>
          <cell r="F2259">
            <v>-5.7999999999999996E-2</v>
          </cell>
        </row>
        <row r="2260">
          <cell r="A2260">
            <v>826768</v>
          </cell>
          <cell r="B2260" t="str">
            <v>FRANGO BROILER 1200G BORELLA MALDIVAS</v>
          </cell>
          <cell r="C2260">
            <v>2.5030000000000001</v>
          </cell>
          <cell r="D2260">
            <v>2.5030000000000001</v>
          </cell>
          <cell r="E2260">
            <v>-0.78700000000000003</v>
          </cell>
          <cell r="F2260">
            <v>-5.8000000000000052E-2</v>
          </cell>
        </row>
        <row r="2261">
          <cell r="A2261">
            <v>826979</v>
          </cell>
          <cell r="B2261" t="str">
            <v>FILE PEITO C/TEND SAL BL 7,5KG PERD FRAN</v>
          </cell>
          <cell r="C2261">
            <v>4.6619999999999999</v>
          </cell>
          <cell r="D2261">
            <v>4.6619999999999999</v>
          </cell>
          <cell r="E2261">
            <v>-0.317</v>
          </cell>
          <cell r="F2261">
            <v>-0.11699999999999999</v>
          </cell>
        </row>
        <row r="2262">
          <cell r="A2262">
            <v>827389</v>
          </cell>
          <cell r="B2262" t="str">
            <v>LOMBO SUINO 1,2KG/UP H.COMB PERD HOLANDA</v>
          </cell>
          <cell r="C2262">
            <v>4.2220000000000004</v>
          </cell>
          <cell r="D2262">
            <v>4.2220000000000004</v>
          </cell>
          <cell r="E2262">
            <v>-0.31900000000000001</v>
          </cell>
          <cell r="F2262">
            <v>-0.10600000000000001</v>
          </cell>
        </row>
        <row r="2263">
          <cell r="A2263">
            <v>827390</v>
          </cell>
          <cell r="B2263" t="str">
            <v>COPA LOMBO SUINO S/O H.COMB PERD HOLANDA</v>
          </cell>
          <cell r="C2263">
            <v>3.2210000000000001</v>
          </cell>
          <cell r="D2263">
            <v>3.2210000000000001</v>
          </cell>
          <cell r="E2263">
            <v>-0.314</v>
          </cell>
          <cell r="F2263">
            <v>-0.08</v>
          </cell>
        </row>
        <row r="2264">
          <cell r="A2264">
            <v>827519</v>
          </cell>
          <cell r="B2264" t="str">
            <v>COXA SOB C/OP 200G/UP ITF PERD CANARIAS</v>
          </cell>
          <cell r="C2264">
            <v>1.9359999999999999</v>
          </cell>
          <cell r="D2264">
            <v>1.9359999999999999</v>
          </cell>
          <cell r="E2264">
            <v>-0.36299999999999999</v>
          </cell>
          <cell r="F2264">
            <v>-4.7000000000000014E-2</v>
          </cell>
        </row>
        <row r="2265">
          <cell r="A2265">
            <v>827563</v>
          </cell>
          <cell r="B2265" t="str">
            <v>COXA SOB C/OP 200G/UP ITF PERD CANARIAS</v>
          </cell>
          <cell r="C2265">
            <v>1.9119999999999999</v>
          </cell>
          <cell r="D2265">
            <v>1.9119999999999999</v>
          </cell>
          <cell r="E2265">
            <v>-0.36499999999999999</v>
          </cell>
          <cell r="F2265">
            <v>-4.7E-2</v>
          </cell>
        </row>
        <row r="2266">
          <cell r="A2266">
            <v>827853</v>
          </cell>
          <cell r="B2266" t="str">
            <v>PEITO S/OPC C/F ITF PERD CANARIAS</v>
          </cell>
          <cell r="C2266">
            <v>5.3070000000000004</v>
          </cell>
          <cell r="D2266">
            <v>5.3070000000000004</v>
          </cell>
          <cell r="E2266">
            <v>-0.433</v>
          </cell>
          <cell r="F2266">
            <v>-0.13400000000000012</v>
          </cell>
        </row>
        <row r="2267">
          <cell r="A2267">
            <v>828114</v>
          </cell>
          <cell r="B2267" t="str">
            <v>STEAK FGO 15 CART 600G POLLOLINDO CANARI</v>
          </cell>
          <cell r="C2267">
            <v>4.4800000000000004</v>
          </cell>
          <cell r="D2267">
            <v>4.4800000000000004</v>
          </cell>
          <cell r="E2267">
            <v>-0.31900000000000001</v>
          </cell>
          <cell r="F2267">
            <v>-0.11199999999999988</v>
          </cell>
        </row>
        <row r="2268">
          <cell r="A2268">
            <v>828115</v>
          </cell>
          <cell r="B2268" t="str">
            <v>MINI CHICKEN FGO CART 300G POLLOLINDO CA</v>
          </cell>
          <cell r="C2268">
            <v>4.9059999999999997</v>
          </cell>
          <cell r="D2268">
            <v>4.9059999999999997</v>
          </cell>
          <cell r="E2268">
            <v>-0.32</v>
          </cell>
          <cell r="F2268">
            <v>-0.12400000000000011</v>
          </cell>
        </row>
        <row r="2269">
          <cell r="A2269">
            <v>828514</v>
          </cell>
          <cell r="B2269" t="str">
            <v>PEITO S/OPFC MET 120G/UP SALM INGLATERRA</v>
          </cell>
          <cell r="C2269">
            <v>4.7060000000000004</v>
          </cell>
          <cell r="D2269">
            <v>4.7060000000000004</v>
          </cell>
          <cell r="E2269">
            <v>-0.375</v>
          </cell>
          <cell r="F2269">
            <v>-0.1180000000000001</v>
          </cell>
        </row>
        <row r="2270">
          <cell r="A2270">
            <v>828681</v>
          </cell>
          <cell r="B2270" t="str">
            <v>FRANGO GRILLER 700G AL-KHALIJIA KUWAIT</v>
          </cell>
          <cell r="C2270">
            <v>2.5139999999999998</v>
          </cell>
          <cell r="D2270">
            <v>2.5139999999999998</v>
          </cell>
          <cell r="E2270">
            <v>-0.57699999999999996</v>
          </cell>
          <cell r="F2270">
            <v>-5.9999999999999942E-2</v>
          </cell>
        </row>
        <row r="2271">
          <cell r="A2271">
            <v>828719</v>
          </cell>
          <cell r="B2271" t="str">
            <v>FRANGO GRILLER 800G AL-KHALIJIA KUWAIT</v>
          </cell>
          <cell r="C2271">
            <v>2.5139999999999998</v>
          </cell>
          <cell r="D2271">
            <v>2.5139999999999998</v>
          </cell>
          <cell r="E2271">
            <v>-0.57699999999999996</v>
          </cell>
          <cell r="F2271">
            <v>-5.9999999999999942E-2</v>
          </cell>
        </row>
        <row r="2272">
          <cell r="A2272">
            <v>828720</v>
          </cell>
          <cell r="B2272" t="str">
            <v>FRANGO GRILLER 900G AL-KHALIJIA KUWAIT</v>
          </cell>
          <cell r="C2272">
            <v>2.5139999999999998</v>
          </cell>
          <cell r="D2272">
            <v>2.5139999999999998</v>
          </cell>
          <cell r="E2272">
            <v>-0.57699999999999996</v>
          </cell>
          <cell r="F2272">
            <v>-6.1000000000000054E-2</v>
          </cell>
        </row>
        <row r="2273">
          <cell r="A2273">
            <v>828721</v>
          </cell>
          <cell r="B2273" t="str">
            <v>FRANGO GRILLER 1000G AL-KHALIJIA KUWAIT</v>
          </cell>
          <cell r="C2273">
            <v>2.5139999999999998</v>
          </cell>
          <cell r="D2273">
            <v>2.5139999999999998</v>
          </cell>
          <cell r="E2273">
            <v>-0.57699999999999996</v>
          </cell>
          <cell r="F2273">
            <v>-6.1000000000000054E-2</v>
          </cell>
        </row>
        <row r="2274">
          <cell r="A2274">
            <v>828722</v>
          </cell>
          <cell r="B2274" t="str">
            <v>FRANGO GRILLER 1100G AL-KHALIJIA KUWAIT</v>
          </cell>
          <cell r="C2274">
            <v>2.5139999999999998</v>
          </cell>
          <cell r="D2274">
            <v>2.5139999999999998</v>
          </cell>
          <cell r="E2274">
            <v>-0.57699999999999996</v>
          </cell>
          <cell r="F2274">
            <v>-6.1000000000000054E-2</v>
          </cell>
        </row>
        <row r="2275">
          <cell r="A2275">
            <v>828723</v>
          </cell>
          <cell r="B2275" t="str">
            <v>FRANGO GRILLER 1200G AL-KHALIJIA KUWAIT</v>
          </cell>
          <cell r="C2275">
            <v>2.5139999999999998</v>
          </cell>
          <cell r="D2275">
            <v>2.5139999999999998</v>
          </cell>
          <cell r="E2275">
            <v>-0.57699999999999996</v>
          </cell>
          <cell r="F2275">
            <v>-6.1000000000000054E-2</v>
          </cell>
        </row>
        <row r="2276">
          <cell r="A2276">
            <v>828875</v>
          </cell>
          <cell r="B2276" t="str">
            <v>PEITO S/OPC C/F IND/VAC PERD CANARIAS</v>
          </cell>
          <cell r="C2276">
            <v>5.7309999999999999</v>
          </cell>
          <cell r="D2276">
            <v>5.7309999999999999</v>
          </cell>
          <cell r="E2276">
            <v>-0.44900000000000001</v>
          </cell>
          <cell r="F2276">
            <v>-0.14400000000000013</v>
          </cell>
        </row>
        <row r="2277">
          <cell r="A2277">
            <v>829047</v>
          </cell>
          <cell r="B2277" t="str">
            <v>PEITO S/OPFC BUTT 170-210G BL 7,5KG PERD</v>
          </cell>
          <cell r="C2277">
            <v>4.5549999999999997</v>
          </cell>
          <cell r="D2277">
            <v>4.5549999999999997</v>
          </cell>
          <cell r="E2277">
            <v>-0.30299999999999999</v>
          </cell>
          <cell r="F2277">
            <v>-0.115</v>
          </cell>
        </row>
        <row r="2278">
          <cell r="A2278">
            <v>829093</v>
          </cell>
          <cell r="B2278" t="str">
            <v>PEITO S/OPFC MET 120-140G SAL BL 7,5K HO</v>
          </cell>
          <cell r="C2278">
            <v>4.7779999999999996</v>
          </cell>
          <cell r="D2278">
            <v>4.7779999999999996</v>
          </cell>
          <cell r="E2278">
            <v>-0.32</v>
          </cell>
          <cell r="F2278">
            <v>-0.12</v>
          </cell>
        </row>
        <row r="2279">
          <cell r="A2279">
            <v>829376</v>
          </cell>
          <cell r="B2279" t="str">
            <v>COXA SOBREC S/OP ITF PERD ILHAS CANARIAS</v>
          </cell>
          <cell r="C2279">
            <v>2.9940000000000002</v>
          </cell>
          <cell r="D2279">
            <v>2.9940000000000002</v>
          </cell>
          <cell r="E2279">
            <v>-0.38900000000000001</v>
          </cell>
          <cell r="F2279">
            <v>-7.4000000000000066E-2</v>
          </cell>
        </row>
        <row r="2280">
          <cell r="A2280">
            <v>829449</v>
          </cell>
          <cell r="B2280" t="str">
            <v>FILE PEITO 35-45G TAM/COZ/EMP PERD INGL</v>
          </cell>
          <cell r="C2280">
            <v>5.8330000000000002</v>
          </cell>
          <cell r="D2280">
            <v>5.8330000000000002</v>
          </cell>
          <cell r="E2280">
            <v>-0.4</v>
          </cell>
          <cell r="F2280">
            <v>-0.14599999999999991</v>
          </cell>
        </row>
        <row r="2281">
          <cell r="A2281">
            <v>829450</v>
          </cell>
          <cell r="B2281" t="str">
            <v>PEITO S/OPFC 125G TAMB/COZ/EMP PERD INGL</v>
          </cell>
          <cell r="C2281">
            <v>5.65</v>
          </cell>
          <cell r="D2281">
            <v>5.65</v>
          </cell>
          <cell r="E2281">
            <v>-0.40400000000000003</v>
          </cell>
          <cell r="F2281">
            <v>-0.14200000000000013</v>
          </cell>
        </row>
        <row r="2282">
          <cell r="A2282">
            <v>829463</v>
          </cell>
          <cell r="B2282" t="str">
            <v>PEITO S/OPFC MET TAMB/COZ PT 10KG ITALIA</v>
          </cell>
          <cell r="C2282">
            <v>6.173</v>
          </cell>
          <cell r="D2282">
            <v>6.173</v>
          </cell>
          <cell r="E2282">
            <v>-0.54200000000000004</v>
          </cell>
          <cell r="F2282">
            <v>-0.155</v>
          </cell>
        </row>
        <row r="2283">
          <cell r="A2283">
            <v>829509</v>
          </cell>
          <cell r="B2283" t="str">
            <v>PEITO S/OPFC MET 80G/UP SAL BL 7,5KG ITA</v>
          </cell>
          <cell r="C2283">
            <v>4.8639999999999999</v>
          </cell>
          <cell r="D2283">
            <v>4.8639999999999999</v>
          </cell>
          <cell r="E2283">
            <v>-0.42799999999999999</v>
          </cell>
          <cell r="F2283">
            <v>-0.12199999999999989</v>
          </cell>
        </row>
        <row r="2284">
          <cell r="A2284">
            <v>829811</v>
          </cell>
          <cell r="B2284" t="str">
            <v>PEITO S/OPFC MET 120-140G H.COMB ITALIA</v>
          </cell>
          <cell r="C2284">
            <v>5.9859999999999998</v>
          </cell>
          <cell r="D2284">
            <v>5.9859999999999998</v>
          </cell>
          <cell r="E2284">
            <v>-0.34799999999999998</v>
          </cell>
          <cell r="F2284">
            <v>-0.15</v>
          </cell>
        </row>
        <row r="2285">
          <cell r="A2285">
            <v>830863</v>
          </cell>
          <cell r="B2285" t="str">
            <v>ASA 1A JTA DRUM 50G/UP PT 2KG BOREL JAPA</v>
          </cell>
          <cell r="C2285">
            <v>3.2240000000000002</v>
          </cell>
          <cell r="D2285">
            <v>3.2240000000000002</v>
          </cell>
          <cell r="E2285">
            <v>-0.51300000000000001</v>
          </cell>
          <cell r="F2285">
            <v>-8.0000000000000071E-2</v>
          </cell>
        </row>
        <row r="2286">
          <cell r="A2286">
            <v>831208</v>
          </cell>
          <cell r="B2286" t="str">
            <v>FRANGO GRILLER 700G HALAL IEMEN</v>
          </cell>
          <cell r="C2286">
            <v>1.8879999999999999</v>
          </cell>
          <cell r="D2286">
            <v>1.8879999999999999</v>
          </cell>
          <cell r="E2286">
            <v>0</v>
          </cell>
          <cell r="F2286">
            <v>-3.400000000000003E-2</v>
          </cell>
        </row>
        <row r="2287">
          <cell r="A2287">
            <v>831699</v>
          </cell>
          <cell r="B2287" t="str">
            <v>FRANGO GRILLER 1100G PERD CANARIAS 11KG</v>
          </cell>
          <cell r="C2287">
            <v>2.2309999999999999</v>
          </cell>
          <cell r="D2287">
            <v>2.2309999999999999</v>
          </cell>
          <cell r="E2287">
            <v>-0.35599999999999998</v>
          </cell>
          <cell r="F2287">
            <v>-5.4999999999999938E-2</v>
          </cell>
        </row>
        <row r="2288">
          <cell r="A2288">
            <v>831700</v>
          </cell>
          <cell r="B2288" t="str">
            <v>FRANGO GRILLER 1200G PERD CANARIAS 12KG</v>
          </cell>
          <cell r="C2288">
            <v>2.2309999999999999</v>
          </cell>
          <cell r="D2288">
            <v>2.2309999999999999</v>
          </cell>
          <cell r="E2288">
            <v>-0.35599999999999998</v>
          </cell>
          <cell r="F2288">
            <v>-5.4999999999999938E-2</v>
          </cell>
        </row>
        <row r="2289">
          <cell r="A2289">
            <v>831701</v>
          </cell>
          <cell r="B2289" t="str">
            <v>FRANGO GRILLER 1300G PERD CANARIAS 13KG</v>
          </cell>
          <cell r="C2289">
            <v>2.2309999999999999</v>
          </cell>
          <cell r="D2289">
            <v>2.2309999999999999</v>
          </cell>
          <cell r="E2289">
            <v>-0.35599999999999998</v>
          </cell>
          <cell r="F2289">
            <v>-5.4999999999999938E-2</v>
          </cell>
        </row>
        <row r="2290">
          <cell r="A2290">
            <v>831764</v>
          </cell>
          <cell r="B2290" t="str">
            <v>ASA INT ITF PERD CANARIAS CX 16KG</v>
          </cell>
          <cell r="C2290">
            <v>2.145</v>
          </cell>
          <cell r="D2290">
            <v>2.145</v>
          </cell>
          <cell r="E2290">
            <v>-0.371</v>
          </cell>
          <cell r="F2290">
            <v>-5.2999999999999992E-2</v>
          </cell>
        </row>
        <row r="2291">
          <cell r="A2291">
            <v>831768</v>
          </cell>
          <cell r="B2291" t="str">
            <v>FRANGO GRILLER 1300G PERD CANARIAS 13KG</v>
          </cell>
          <cell r="C2291">
            <v>2.2519999999999998</v>
          </cell>
          <cell r="D2291">
            <v>2.2519999999999998</v>
          </cell>
          <cell r="E2291">
            <v>-0.35599999999999998</v>
          </cell>
          <cell r="F2291">
            <v>-5.5000000000000049E-2</v>
          </cell>
        </row>
        <row r="2292">
          <cell r="A2292">
            <v>832056</v>
          </cell>
          <cell r="B2292" t="str">
            <v>MINI CHICKEN FGO CONG PT 1KG PERD CANAR</v>
          </cell>
          <cell r="C2292">
            <v>4.2770000000000001</v>
          </cell>
          <cell r="D2292">
            <v>4.2770000000000001</v>
          </cell>
          <cell r="E2292">
            <v>-0.432</v>
          </cell>
          <cell r="F2292">
            <v>-0.10699999999999976</v>
          </cell>
        </row>
        <row r="2293">
          <cell r="A2293">
            <v>832058</v>
          </cell>
          <cell r="B2293" t="str">
            <v>COXA SOB C/OP FGO CONG 250G/UP ITF CANAR</v>
          </cell>
          <cell r="C2293">
            <v>1.9119999999999999</v>
          </cell>
          <cell r="D2293">
            <v>1.9119999999999999</v>
          </cell>
          <cell r="E2293">
            <v>-0.34300000000000003</v>
          </cell>
          <cell r="F2293">
            <v>-4.7E-2</v>
          </cell>
        </row>
        <row r="2294">
          <cell r="A2294">
            <v>832059</v>
          </cell>
          <cell r="B2294" t="str">
            <v>PEITO S/OPC C/F CHT CONG ITF PERD CANAR</v>
          </cell>
          <cell r="C2294">
            <v>5.7309999999999999</v>
          </cell>
          <cell r="D2294">
            <v>5.7309999999999999</v>
          </cell>
          <cell r="E2294">
            <v>-0.38400000000000001</v>
          </cell>
          <cell r="F2294">
            <v>-0.14399999999999968</v>
          </cell>
        </row>
        <row r="2295">
          <cell r="A2295">
            <v>832060</v>
          </cell>
          <cell r="B2295" t="str">
            <v>PEITO S/OPC C/F CHT CONG IND PERD CANAR</v>
          </cell>
          <cell r="C2295">
            <v>5.8369999999999997</v>
          </cell>
          <cell r="D2295">
            <v>5.8369999999999997</v>
          </cell>
          <cell r="E2295">
            <v>-0.38500000000000001</v>
          </cell>
          <cell r="F2295">
            <v>-0.1469999999999998</v>
          </cell>
        </row>
        <row r="2296">
          <cell r="A2296">
            <v>832061</v>
          </cell>
          <cell r="B2296" t="str">
            <v>FRANGO GRILLER 1100G PERD CANARIAS 11KG</v>
          </cell>
          <cell r="C2296">
            <v>2.1880000000000002</v>
          </cell>
          <cell r="D2296">
            <v>2.1880000000000002</v>
          </cell>
          <cell r="E2296">
            <v>-0.35399999999999998</v>
          </cell>
          <cell r="F2296">
            <v>-5.2999999999999992E-2</v>
          </cell>
        </row>
        <row r="2297">
          <cell r="A2297">
            <v>832072</v>
          </cell>
          <cell r="B2297" t="str">
            <v>FRANGO GRILLER 1200G PERD CANARIAS 12KG</v>
          </cell>
          <cell r="C2297">
            <v>2.1880000000000002</v>
          </cell>
          <cell r="D2297">
            <v>2.1880000000000002</v>
          </cell>
          <cell r="E2297">
            <v>-0.35399999999999998</v>
          </cell>
          <cell r="F2297">
            <v>-5.3999999999999992E-2</v>
          </cell>
        </row>
        <row r="2298">
          <cell r="A2298">
            <v>832073</v>
          </cell>
          <cell r="B2298" t="str">
            <v>FRANGO GRILLER 1300G PERD CANARIAS 13KG</v>
          </cell>
          <cell r="C2298">
            <v>2.1880000000000002</v>
          </cell>
          <cell r="D2298">
            <v>2.1880000000000002</v>
          </cell>
          <cell r="E2298">
            <v>-0.35399999999999998</v>
          </cell>
          <cell r="F2298">
            <v>-5.3999999999999992E-2</v>
          </cell>
        </row>
        <row r="2299">
          <cell r="A2299">
            <v>832074</v>
          </cell>
          <cell r="B2299" t="str">
            <v>FRANGO GRILLER 1400G PERD CANARIAS 14KG</v>
          </cell>
          <cell r="C2299">
            <v>2.1880000000000002</v>
          </cell>
          <cell r="D2299">
            <v>2.1880000000000002</v>
          </cell>
          <cell r="E2299">
            <v>-0.35399999999999998</v>
          </cell>
          <cell r="F2299">
            <v>-5.3000000000000047E-2</v>
          </cell>
        </row>
        <row r="2300">
          <cell r="A2300">
            <v>832168</v>
          </cell>
          <cell r="B2300" t="str">
            <v>FRANGO GRILLER 1100G PERD CANARIAS 11KG</v>
          </cell>
          <cell r="C2300">
            <v>2.2309999999999999</v>
          </cell>
          <cell r="D2300">
            <v>2.2309999999999999</v>
          </cell>
          <cell r="E2300">
            <v>-0.36599999999999999</v>
          </cell>
          <cell r="F2300">
            <v>-5.5000000000000049E-2</v>
          </cell>
        </row>
        <row r="2301">
          <cell r="A2301">
            <v>832262</v>
          </cell>
          <cell r="B2301" t="str">
            <v>SALSICHA SUI HOT DOG CONG PT 500G CARIBE</v>
          </cell>
          <cell r="C2301">
            <v>1.9570000000000001</v>
          </cell>
          <cell r="D2301">
            <v>1.9570000000000001</v>
          </cell>
          <cell r="E2301">
            <v>-6.7000000000000004E-2</v>
          </cell>
          <cell r="F2301">
            <v>-4.9999999999999933E-2</v>
          </cell>
        </row>
        <row r="2302">
          <cell r="A2302">
            <v>832263</v>
          </cell>
          <cell r="B2302" t="str">
            <v>FRANGO GRILLER 1100G PERD CANARIAS 11KG</v>
          </cell>
          <cell r="C2302">
            <v>2.2309999999999999</v>
          </cell>
          <cell r="D2302">
            <v>2.2309999999999999</v>
          </cell>
          <cell r="E2302">
            <v>-0.36499999999999999</v>
          </cell>
          <cell r="F2302">
            <v>-5.4999999999999938E-2</v>
          </cell>
        </row>
        <row r="2303">
          <cell r="A2303">
            <v>832264</v>
          </cell>
          <cell r="B2303" t="str">
            <v>FRANGO GRILLER 1200G PERD CANARIAS 12KG</v>
          </cell>
          <cell r="C2303">
            <v>2.2309999999999999</v>
          </cell>
          <cell r="D2303">
            <v>2.2309999999999999</v>
          </cell>
          <cell r="E2303">
            <v>-0.36499999999999999</v>
          </cell>
          <cell r="F2303">
            <v>-5.5000000000000049E-2</v>
          </cell>
        </row>
        <row r="2304">
          <cell r="A2304">
            <v>832265</v>
          </cell>
          <cell r="B2304" t="str">
            <v>PEITO S/OPC C/F FGO CONG ITF PERD CANAR</v>
          </cell>
          <cell r="C2304">
            <v>5.7309999999999999</v>
          </cell>
          <cell r="D2304">
            <v>5.7309999999999999</v>
          </cell>
          <cell r="E2304">
            <v>-0.46100000000000002</v>
          </cell>
          <cell r="F2304">
            <v>-0.14499999999999999</v>
          </cell>
        </row>
        <row r="2305">
          <cell r="A2305">
            <v>832266</v>
          </cell>
          <cell r="B2305" t="str">
            <v>COXA SOB S/OP FGO CONG ITF PERD CANARIAS</v>
          </cell>
          <cell r="C2305">
            <v>2.9729999999999999</v>
          </cell>
          <cell r="D2305">
            <v>2.9729999999999999</v>
          </cell>
          <cell r="E2305">
            <v>-0.39800000000000002</v>
          </cell>
          <cell r="F2305">
            <v>-7.3000000000000009E-2</v>
          </cell>
        </row>
        <row r="2306">
          <cell r="A2306">
            <v>832267</v>
          </cell>
          <cell r="B2306" t="str">
            <v>ASA 1A JTA FGO CONG PT 1KG IF PERD CANAR</v>
          </cell>
          <cell r="C2306">
            <v>2.2309999999999999</v>
          </cell>
          <cell r="D2306">
            <v>2.2309999999999999</v>
          </cell>
          <cell r="E2306">
            <v>-0.38100000000000001</v>
          </cell>
          <cell r="F2306">
            <v>-5.5E-2</v>
          </cell>
        </row>
        <row r="2307">
          <cell r="A2307">
            <v>832268</v>
          </cell>
          <cell r="B2307" t="str">
            <v>COXA C/OP FGO CONG DRUMS PT 1KG PERD CAN</v>
          </cell>
          <cell r="C2307">
            <v>2.2309999999999999</v>
          </cell>
          <cell r="D2307">
            <v>2.2309999999999999</v>
          </cell>
          <cell r="E2307">
            <v>-0.38100000000000001</v>
          </cell>
          <cell r="F2307">
            <v>-5.5E-2</v>
          </cell>
        </row>
        <row r="2308">
          <cell r="A2308">
            <v>832334</v>
          </cell>
          <cell r="B2308" t="str">
            <v>PERU INT C/M CONG TEMP 3,1-4KG BAT CARIB</v>
          </cell>
          <cell r="C2308">
            <v>2.9870000000000001</v>
          </cell>
          <cell r="D2308">
            <v>2.9870000000000001</v>
          </cell>
          <cell r="E2308">
            <v>-6.8000000000000005E-2</v>
          </cell>
          <cell r="F2308">
            <v>-7.6000000000000068E-2</v>
          </cell>
        </row>
        <row r="2309">
          <cell r="A2309">
            <v>832506</v>
          </cell>
          <cell r="B2309" t="str">
            <v>PEITO S/OPFC FGO CONG MET 80-100G BL HOL</v>
          </cell>
          <cell r="C2309">
            <v>4.6269999999999998</v>
          </cell>
          <cell r="D2309">
            <v>4.6269999999999998</v>
          </cell>
          <cell r="E2309">
            <v>-0.314</v>
          </cell>
          <cell r="F2309">
            <v>-0.1160000000000001</v>
          </cell>
        </row>
        <row r="2310">
          <cell r="A2310">
            <v>832512</v>
          </cell>
          <cell r="B2310" t="str">
            <v>SOBRECOXA C/OP FGO CONG 160-200G PT CING</v>
          </cell>
          <cell r="C2310">
            <v>1.7629999999999999</v>
          </cell>
          <cell r="D2310">
            <v>1.7629999999999999</v>
          </cell>
          <cell r="E2310">
            <v>-0.55800000000000005</v>
          </cell>
          <cell r="F2310">
            <v>-4.1999999999999982E-2</v>
          </cell>
        </row>
        <row r="2311">
          <cell r="A2311">
            <v>832530</v>
          </cell>
          <cell r="B2311" t="str">
            <v>COPA LOMBO SUI CONG 1/2KG BAT ALBANIA</v>
          </cell>
          <cell r="C2311">
            <v>3.57</v>
          </cell>
          <cell r="D2311">
            <v>3.57</v>
          </cell>
          <cell r="E2311">
            <v>-0.46800000000000003</v>
          </cell>
          <cell r="F2311">
            <v>-8.8000000000000078E-2</v>
          </cell>
        </row>
        <row r="2312">
          <cell r="A2312">
            <v>832534</v>
          </cell>
          <cell r="B2312" t="str">
            <v>COXA SOB C/OP FGO CONG 12BD HALAL OMAN</v>
          </cell>
          <cell r="C2312">
            <v>2.7810000000000001</v>
          </cell>
          <cell r="D2312">
            <v>2.7810000000000001</v>
          </cell>
          <cell r="E2312">
            <v>-0.628</v>
          </cell>
          <cell r="F2312">
            <v>-6.6999999999999948E-2</v>
          </cell>
        </row>
        <row r="2313">
          <cell r="A2313">
            <v>832535</v>
          </cell>
          <cell r="B2313" t="str">
            <v>SOBRECOXA C/OP FGO CONG 12BD HALAL OMAN</v>
          </cell>
          <cell r="C2313">
            <v>2.835</v>
          </cell>
          <cell r="D2313">
            <v>2.835</v>
          </cell>
          <cell r="E2313">
            <v>-0.629</v>
          </cell>
          <cell r="F2313">
            <v>-6.7999999999999949E-2</v>
          </cell>
        </row>
        <row r="2314">
          <cell r="A2314">
            <v>832536</v>
          </cell>
          <cell r="B2314" t="str">
            <v>SOBRECOXA S/OP FGO CONG 12BD HALAL OMAN</v>
          </cell>
          <cell r="C2314">
            <v>3.423</v>
          </cell>
          <cell r="D2314">
            <v>3.423</v>
          </cell>
          <cell r="E2314">
            <v>-0.64500000000000002</v>
          </cell>
          <cell r="F2314">
            <v>-8.299999999999999E-2</v>
          </cell>
        </row>
        <row r="2315">
          <cell r="A2315">
            <v>832537</v>
          </cell>
          <cell r="B2315" t="str">
            <v>ASA S/PTA FGO CONG 12BD UNEF EAU 10,896K</v>
          </cell>
          <cell r="C2315">
            <v>2.7810000000000001</v>
          </cell>
          <cell r="D2315">
            <v>2.7810000000000001</v>
          </cell>
          <cell r="E2315">
            <v>-0.59199999999999997</v>
          </cell>
          <cell r="F2315">
            <v>-6.8000000000000005E-2</v>
          </cell>
        </row>
        <row r="2316">
          <cell r="A2316">
            <v>832674</v>
          </cell>
          <cell r="B2316" t="str">
            <v>PEITO S/OPC C/F FGO CONG ITF PERD CANAR</v>
          </cell>
          <cell r="C2316">
            <v>5.8390000000000004</v>
          </cell>
          <cell r="D2316">
            <v>5.8390000000000004</v>
          </cell>
          <cell r="E2316">
            <v>-0.44800000000000001</v>
          </cell>
          <cell r="F2316">
            <v>-0.14700000000000024</v>
          </cell>
        </row>
        <row r="2317">
          <cell r="A2317">
            <v>832885</v>
          </cell>
          <cell r="B2317" t="str">
            <v>COXA SOB C/OP 320G/UP ITF UNEF CIN 13,62</v>
          </cell>
          <cell r="C2317">
            <v>1.819</v>
          </cell>
          <cell r="D2317">
            <v>1.819</v>
          </cell>
          <cell r="E2317">
            <v>-0.56299999999999994</v>
          </cell>
          <cell r="F2317">
            <v>-4.2999999999999997E-2</v>
          </cell>
        </row>
        <row r="2318">
          <cell r="A2318">
            <v>832975</v>
          </cell>
          <cell r="B2318" t="str">
            <v>FILEZINHO FGO C/TEND VEG SAL 7,5KG FRANCA</v>
          </cell>
          <cell r="C2318">
            <v>4.49</v>
          </cell>
          <cell r="D2318">
            <v>4.49</v>
          </cell>
          <cell r="E2318">
            <v>-0.317</v>
          </cell>
          <cell r="F2318">
            <v>-0.11299999999999999</v>
          </cell>
        </row>
        <row r="2319">
          <cell r="A2319">
            <v>833123</v>
          </cell>
          <cell r="B2319" t="str">
            <v>CODORNA 140-160G BDJ PERD FRAN CX 9,6KG</v>
          </cell>
          <cell r="C2319">
            <v>5.3449999999999998</v>
          </cell>
          <cell r="D2319">
            <v>5.3449999999999998</v>
          </cell>
          <cell r="E2319">
            <v>-0.34799999999999998</v>
          </cell>
          <cell r="F2319">
            <v>-0.13500000000000001</v>
          </cell>
        </row>
        <row r="2320">
          <cell r="A2320">
            <v>833124</v>
          </cell>
          <cell r="B2320" t="str">
            <v>CODORNA 160-180G PERD FRANCA CX 10,88KG</v>
          </cell>
          <cell r="C2320">
            <v>5.3449999999999998</v>
          </cell>
          <cell r="D2320">
            <v>5.3449999999999998</v>
          </cell>
          <cell r="E2320">
            <v>-0.34799999999999998</v>
          </cell>
          <cell r="F2320">
            <v>-0.13399999999999998</v>
          </cell>
        </row>
        <row r="2321">
          <cell r="A2321">
            <v>6016</v>
          </cell>
          <cell r="B2321" t="str">
            <v>PPMB06 PRES PERU DEF MINI BAT CX 5,8KG</v>
          </cell>
          <cell r="C2321">
            <v>4.9870000000000001</v>
          </cell>
          <cell r="D2321">
            <v>3.956</v>
          </cell>
          <cell r="E2321">
            <v>0</v>
          </cell>
          <cell r="F2321">
            <v>-0.78100000000000003</v>
          </cell>
        </row>
        <row r="2322">
          <cell r="A2322">
            <v>6025</v>
          </cell>
          <cell r="B2322" t="str">
            <v>SPEB05 SALSICHA PERU BAT CX 5KG</v>
          </cell>
          <cell r="C2322">
            <v>3.08</v>
          </cell>
          <cell r="D2322">
            <v>2.7530000000000001</v>
          </cell>
          <cell r="E2322">
            <v>0</v>
          </cell>
          <cell r="F2322">
            <v>-1.931</v>
          </cell>
        </row>
        <row r="2323">
          <cell r="A2323">
            <v>194921</v>
          </cell>
          <cell r="B2323" t="str">
            <v>COF015 CORACAO FGO 15PT CX 15KG</v>
          </cell>
          <cell r="C2323">
            <v>4.1360000000000001</v>
          </cell>
          <cell r="D2323">
            <v>3.5110000000000001</v>
          </cell>
          <cell r="E2323">
            <v>0</v>
          </cell>
          <cell r="F2323">
            <v>-5.3000000000000047E-2</v>
          </cell>
        </row>
        <row r="2324">
          <cell r="A2324">
            <v>197610</v>
          </cell>
          <cell r="B2324" t="str">
            <v>FBE014 FRANGO CARC TIP E0P PER C0 13,6KG</v>
          </cell>
          <cell r="C2324">
            <v>1.3759999999999999</v>
          </cell>
          <cell r="D2324">
            <v>1.1120000000000001</v>
          </cell>
          <cell r="E2324">
            <v>-0.121</v>
          </cell>
          <cell r="F2324">
            <v>-0.11700000000000001</v>
          </cell>
        </row>
        <row r="2325">
          <cell r="A2325">
            <v>200654</v>
          </cell>
          <cell r="B2325" t="str">
            <v>FCE255 CO0A SOBR SO CP 190-210G SUN L-2</v>
          </cell>
          <cell r="C2325">
            <v>2.0819999999999999</v>
          </cell>
          <cell r="D2325">
            <v>2.0819999999999999</v>
          </cell>
          <cell r="E2325">
            <v>-9.6000000000000002E-2</v>
          </cell>
          <cell r="F2325">
            <v>-6.0999999999999999E-2</v>
          </cell>
        </row>
        <row r="2326">
          <cell r="A2326">
            <v>201359</v>
          </cell>
          <cell r="B2326" t="str">
            <v>FCE354 PEITO S/OPC C/F ITF H.KON 15KG</v>
          </cell>
          <cell r="C2326">
            <v>4.1369999999999996</v>
          </cell>
          <cell r="D2326">
            <v>4.1369999999999996</v>
          </cell>
          <cell r="E2326">
            <v>-7.3999999999999996E-2</v>
          </cell>
          <cell r="F2326">
            <v>-0.12600000000000011</v>
          </cell>
        </row>
        <row r="2327">
          <cell r="A2327">
            <v>201928</v>
          </cell>
          <cell r="B2327" t="str">
            <v>FCE406 SOBRECOXA S/O S/P BL CX 15KG</v>
          </cell>
          <cell r="C2327">
            <v>3.0649999999999999</v>
          </cell>
          <cell r="D2327">
            <v>3.0649999999999999</v>
          </cell>
          <cell r="E2327">
            <v>-0.379</v>
          </cell>
          <cell r="F2327">
            <v>-0.10799999999999998</v>
          </cell>
        </row>
        <row r="2328">
          <cell r="A2328">
            <v>203408</v>
          </cell>
          <cell r="B2328" t="str">
            <v>FCE058 COXA C/O C/P BDJ 908G</v>
          </cell>
          <cell r="C2328">
            <v>2.1890000000000001</v>
          </cell>
          <cell r="D2328">
            <v>2.1890000000000001</v>
          </cell>
          <cell r="E2328">
            <v>-0.51400000000000001</v>
          </cell>
          <cell r="F2328">
            <v>-7.4999999999999997E-2</v>
          </cell>
        </row>
        <row r="2329">
          <cell r="A2329">
            <v>203416</v>
          </cell>
          <cell r="B2329" t="str">
            <v>FCE397 SOBRECOXA C/O C/P BDJ 908G</v>
          </cell>
          <cell r="C2329">
            <v>2.1440000000000001</v>
          </cell>
          <cell r="D2329">
            <v>2.1440000000000001</v>
          </cell>
          <cell r="E2329">
            <v>-0.51300000000000001</v>
          </cell>
          <cell r="F2329">
            <v>-7.400000000000001E-2</v>
          </cell>
        </row>
        <row r="2330">
          <cell r="A2330">
            <v>203777</v>
          </cell>
          <cell r="B2330" t="str">
            <v>FCE073 COXA/SOBREC C/O C/P BDJ 908G</v>
          </cell>
          <cell r="C2330">
            <v>2.1440000000000001</v>
          </cell>
          <cell r="D2330">
            <v>2.1440000000000001</v>
          </cell>
          <cell r="E2330">
            <v>-0.51300000000000001</v>
          </cell>
          <cell r="F2330">
            <v>-7.3999999999999996E-2</v>
          </cell>
        </row>
        <row r="2331">
          <cell r="A2331">
            <v>217263</v>
          </cell>
          <cell r="B2331" t="str">
            <v>PRC030 PERNIL C/O S/C SUI CONG</v>
          </cell>
          <cell r="C2331">
            <v>2.8620000000000001</v>
          </cell>
          <cell r="D2331">
            <v>2.41</v>
          </cell>
          <cell r="E2331">
            <v>-0.14799999999999999</v>
          </cell>
          <cell r="F2331">
            <v>-0.40699999999999992</v>
          </cell>
        </row>
        <row r="2332">
          <cell r="A2332">
            <v>217280</v>
          </cell>
          <cell r="B2332" t="str">
            <v>CAB000 CABECA SUI RESF PERD 10KG</v>
          </cell>
          <cell r="C2332">
            <v>0.36</v>
          </cell>
          <cell r="D2332">
            <v>0.32200000000000001</v>
          </cell>
          <cell r="E2332">
            <v>0</v>
          </cell>
          <cell r="F2332">
            <v>-0.02</v>
          </cell>
        </row>
        <row r="2333">
          <cell r="A2333">
            <v>217310</v>
          </cell>
          <cell r="B2333" t="str">
            <v>CSXA25 CARRE SUI CONG IWP H KONG CX 25KG</v>
          </cell>
          <cell r="C2333">
            <v>2.387</v>
          </cell>
          <cell r="D2333">
            <v>2.387</v>
          </cell>
          <cell r="E2333">
            <v>-6.3E-2</v>
          </cell>
          <cell r="F2333">
            <v>-8.8000000000000023E-2</v>
          </cell>
        </row>
        <row r="2334">
          <cell r="A2334">
            <v>218766</v>
          </cell>
          <cell r="B2334" t="str">
            <v>CIS010 COSTELA INT SUI SALG CX 10KG</v>
          </cell>
          <cell r="C2334">
            <v>2.0779999999999998</v>
          </cell>
          <cell r="D2334">
            <v>1.694</v>
          </cell>
          <cell r="E2334">
            <v>-0.308</v>
          </cell>
          <cell r="F2334">
            <v>-0.34400000000000003</v>
          </cell>
        </row>
        <row r="2335">
          <cell r="A2335">
            <v>218979</v>
          </cell>
          <cell r="B2335" t="str">
            <v>GRS010 GARGANTA SUI SALG CX 10KG</v>
          </cell>
          <cell r="C2335">
            <v>1.1930000000000001</v>
          </cell>
          <cell r="D2335">
            <v>0.93400000000000005</v>
          </cell>
          <cell r="E2335">
            <v>-0.224</v>
          </cell>
          <cell r="F2335">
            <v>-0.19700000000000001</v>
          </cell>
        </row>
        <row r="2336">
          <cell r="A2336">
            <v>219002</v>
          </cell>
          <cell r="B2336" t="str">
            <v>RTS010 RETALHO COST SUI SALG CX 10KG</v>
          </cell>
          <cell r="C2336">
            <v>1.7</v>
          </cell>
          <cell r="D2336">
            <v>1.349</v>
          </cell>
          <cell r="E2336">
            <v>-0.13600000000000001</v>
          </cell>
          <cell r="F2336">
            <v>-0.22699999999999992</v>
          </cell>
        </row>
        <row r="2337">
          <cell r="A2337">
            <v>219037</v>
          </cell>
          <cell r="B2337" t="str">
            <v>CTS010 COSTELA TIRA SUI SALG CX 10KG</v>
          </cell>
          <cell r="C2337">
            <v>3.1389999999999998</v>
          </cell>
          <cell r="D2337">
            <v>2.8050000000000002</v>
          </cell>
          <cell r="E2337">
            <v>0</v>
          </cell>
          <cell r="F2337">
            <v>-0.52600000000000002</v>
          </cell>
        </row>
        <row r="2338">
          <cell r="A2338">
            <v>219134</v>
          </cell>
          <cell r="B2338" t="str">
            <v>PLS010 PALETA SUI SALM CX 10KG</v>
          </cell>
          <cell r="C2338">
            <v>1.5449999999999999</v>
          </cell>
          <cell r="D2338">
            <v>1.302</v>
          </cell>
          <cell r="E2338">
            <v>0</v>
          </cell>
          <cell r="F2338">
            <v>-8.0000000000000071E-2</v>
          </cell>
        </row>
        <row r="2339">
          <cell r="A2339">
            <v>219320</v>
          </cell>
          <cell r="B2339" t="str">
            <v>PAD016 PALETA DEFUMADA PERD CX 16KG</v>
          </cell>
          <cell r="C2339">
            <v>10.355</v>
          </cell>
          <cell r="D2339">
            <v>7.556</v>
          </cell>
          <cell r="E2339">
            <v>-0.218</v>
          </cell>
          <cell r="F2339">
            <v>-0.94499999999999995</v>
          </cell>
        </row>
        <row r="2340">
          <cell r="A2340">
            <v>219339</v>
          </cell>
          <cell r="B2340" t="str">
            <v>PALETA PARA DEFUMAR</v>
          </cell>
          <cell r="C2340">
            <v>10.205142150803461</v>
          </cell>
          <cell r="D2340">
            <v>7.9715793214400223</v>
          </cell>
          <cell r="E2340">
            <v>-0.16168385912190947</v>
          </cell>
          <cell r="F2340">
            <v>-0.99002562833661933</v>
          </cell>
        </row>
        <row r="2341">
          <cell r="A2341">
            <v>219347</v>
          </cell>
          <cell r="B2341" t="str">
            <v>BAP005 BACON DEF PERD 20PT CX 5KG</v>
          </cell>
          <cell r="C2341">
            <v>6.6310000000000002</v>
          </cell>
          <cell r="D2341">
            <v>5.2610000000000001</v>
          </cell>
          <cell r="E2341">
            <v>0</v>
          </cell>
          <cell r="F2341">
            <v>-0.8</v>
          </cell>
        </row>
        <row r="2342">
          <cell r="A2342">
            <v>219363</v>
          </cell>
          <cell r="B2342" t="str">
            <v>BAV420 BACON DEF S/COST 4PT C0 20KG</v>
          </cell>
          <cell r="C2342">
            <v>15.957000000000001</v>
          </cell>
          <cell r="D2342">
            <v>12.648999999999999</v>
          </cell>
          <cell r="E2342">
            <v>0</v>
          </cell>
          <cell r="F2342">
            <v>-1.7240000000000002</v>
          </cell>
        </row>
        <row r="2343">
          <cell r="A2343">
            <v>219959</v>
          </cell>
          <cell r="B2343" t="str">
            <v>LBL000 LING COLONIAL PERD</v>
          </cell>
          <cell r="C2343">
            <v>3.4409999999999998</v>
          </cell>
          <cell r="D2343">
            <v>2.73</v>
          </cell>
          <cell r="E2343">
            <v>0</v>
          </cell>
          <cell r="F2343">
            <v>-0.69399999999999995</v>
          </cell>
        </row>
        <row r="2344">
          <cell r="A2344">
            <v>220027</v>
          </cell>
          <cell r="B2344" t="str">
            <v>LCN005 LING CALAB NABRASA CX 5KG</v>
          </cell>
          <cell r="C2344">
            <v>6.2</v>
          </cell>
          <cell r="D2344">
            <v>4.9189999999999996</v>
          </cell>
          <cell r="E2344">
            <v>0</v>
          </cell>
          <cell r="F2344">
            <v>-0.754</v>
          </cell>
        </row>
        <row r="2345">
          <cell r="A2345">
            <v>220485</v>
          </cell>
          <cell r="B2345" t="str">
            <v>PRESUNTO TENRO SEMI-OSSO</v>
          </cell>
          <cell r="C2345">
            <v>11.879730819498901</v>
          </cell>
          <cell r="D2345">
            <v>9.2674434873418523</v>
          </cell>
          <cell r="E2345">
            <v>-0.16229612133063129</v>
          </cell>
          <cell r="F2345">
            <v>-1.1413736486784298</v>
          </cell>
        </row>
        <row r="2346">
          <cell r="A2346">
            <v>220833</v>
          </cell>
          <cell r="B2346" t="str">
            <v>SFP820 SALSICHA FGO 8PT C0 20KG</v>
          </cell>
          <cell r="C2346">
            <v>0.503</v>
          </cell>
          <cell r="D2346">
            <v>0.58299999999999996</v>
          </cell>
          <cell r="E2346">
            <v>-0.121</v>
          </cell>
          <cell r="F2346">
            <v>-0.19200000000000006</v>
          </cell>
        </row>
        <row r="2347">
          <cell r="A2347">
            <v>221341</v>
          </cell>
          <cell r="B2347" t="str">
            <v>MCF011 MORTADELA CONF CX 13KG</v>
          </cell>
          <cell r="C2347">
            <v>1.5049999999999999</v>
          </cell>
          <cell r="D2347">
            <v>1.3440000000000001</v>
          </cell>
          <cell r="E2347">
            <v>0</v>
          </cell>
          <cell r="F2347">
            <v>-0.91399999999999992</v>
          </cell>
        </row>
        <row r="2348">
          <cell r="A2348">
            <v>221538</v>
          </cell>
          <cell r="B2348" t="str">
            <v>PRESUNTO TENRO S/O</v>
          </cell>
          <cell r="C2348">
            <v>11.596096440872561</v>
          </cell>
          <cell r="D2348">
            <v>9.0494433663987035</v>
          </cell>
          <cell r="E2348">
            <v>-0.16219312192755928</v>
          </cell>
          <cell r="F2348">
            <v>-1.115912734172734</v>
          </cell>
        </row>
        <row r="2349">
          <cell r="A2349">
            <v>222704</v>
          </cell>
          <cell r="B2349" t="str">
            <v>SIO003 SALAME ITAL FAT CX 3KG</v>
          </cell>
          <cell r="C2349">
            <v>16.843</v>
          </cell>
          <cell r="D2349">
            <v>13.365</v>
          </cell>
          <cell r="E2349">
            <v>0</v>
          </cell>
          <cell r="F2349">
            <v>-2.16</v>
          </cell>
        </row>
        <row r="2350">
          <cell r="A2350">
            <v>223425</v>
          </cell>
          <cell r="B2350" t="str">
            <v>CFP003 COPA FAT PERD CX 3KG</v>
          </cell>
          <cell r="C2350">
            <v>14</v>
          </cell>
          <cell r="D2350">
            <v>11.109</v>
          </cell>
          <cell r="E2350">
            <v>0</v>
          </cell>
          <cell r="F2350">
            <v>-1.843</v>
          </cell>
        </row>
        <row r="2351">
          <cell r="A2351">
            <v>233587</v>
          </cell>
          <cell r="B2351" t="str">
            <v>OCX010 ORELHA/CARA SUI SALG 1PT CX13KG</v>
          </cell>
          <cell r="C2351">
            <v>2.0150000000000001</v>
          </cell>
          <cell r="D2351">
            <v>2.0150000000000001</v>
          </cell>
          <cell r="E2351">
            <v>0</v>
          </cell>
          <cell r="F2351">
            <v>-6.899999999999995E-2</v>
          </cell>
        </row>
        <row r="2352">
          <cell r="A2352">
            <v>233595</v>
          </cell>
          <cell r="B2352" t="str">
            <v>RSX010 RABO SUI SALG 1PT CX13KG ANGOLA</v>
          </cell>
          <cell r="C2352">
            <v>4.03</v>
          </cell>
          <cell r="D2352">
            <v>4.03</v>
          </cell>
          <cell r="E2352">
            <v>0</v>
          </cell>
          <cell r="F2352">
            <v>-0.1379999999999999</v>
          </cell>
        </row>
        <row r="2353">
          <cell r="A2353">
            <v>233617</v>
          </cell>
          <cell r="B2353" t="str">
            <v>LUX020 LING CALAB CUR CX 20KG</v>
          </cell>
          <cell r="C2353">
            <v>4.7629999999999999</v>
          </cell>
          <cell r="D2353">
            <v>4.7629999999999999</v>
          </cell>
          <cell r="E2353">
            <v>0</v>
          </cell>
          <cell r="F2353">
            <v>-0.16200000000000037</v>
          </cell>
        </row>
        <row r="2354">
          <cell r="A2354">
            <v>247391</v>
          </cell>
          <cell r="B2354" t="str">
            <v>FGE118 FRANGO GRILLER BOREL 1300G KUWAIT</v>
          </cell>
          <cell r="C2354">
            <v>2.351</v>
          </cell>
          <cell r="D2354">
            <v>2.351</v>
          </cell>
          <cell r="E2354">
            <v>-0.52700000000000002</v>
          </cell>
          <cell r="F2354">
            <v>-6.7000000000000004E-2</v>
          </cell>
        </row>
        <row r="2355">
          <cell r="A2355">
            <v>261408</v>
          </cell>
          <cell r="B2355" t="str">
            <v>CO0A SOB SO CP KAK 25-35G SUN K-6 JAPAO</v>
          </cell>
          <cell r="C2355">
            <v>2.2440000000000002</v>
          </cell>
          <cell r="D2355">
            <v>2.2440000000000002</v>
          </cell>
          <cell r="E2355">
            <v>-9.7000000000000003E-2</v>
          </cell>
          <cell r="F2355">
            <v>-6.5000000000000002E-2</v>
          </cell>
        </row>
        <row r="2356">
          <cell r="A2356">
            <v>322814</v>
          </cell>
          <cell r="B2356" t="str">
            <v>PMG008 PRESUNTO DEF MARYLAND G C0 8KG</v>
          </cell>
          <cell r="C2356">
            <v>7.6479999999999997</v>
          </cell>
          <cell r="D2356">
            <v>6.069</v>
          </cell>
          <cell r="E2356">
            <v>0</v>
          </cell>
          <cell r="F2356">
            <v>-0.66</v>
          </cell>
        </row>
        <row r="2357">
          <cell r="A2357">
            <v>343382</v>
          </cell>
          <cell r="B2357" t="str">
            <v>MCK002 MINI CHICKEN MONICA CX 2,10KG</v>
          </cell>
          <cell r="C2357">
            <v>6</v>
          </cell>
          <cell r="D2357">
            <v>4.7480000000000002</v>
          </cell>
          <cell r="E2357">
            <v>0</v>
          </cell>
          <cell r="F2357">
            <v>-0.83300000000000018</v>
          </cell>
        </row>
        <row r="2358">
          <cell r="A2358">
            <v>359319</v>
          </cell>
          <cell r="B2358" t="str">
            <v>CRL025 CARRE N1 SUI IDV 2,8KG HOLAN PERD</v>
          </cell>
          <cell r="C2358">
            <v>3.3319999999999999</v>
          </cell>
          <cell r="D2358">
            <v>3.3319999999999999</v>
          </cell>
          <cell r="E2358">
            <v>-0.42299999999999999</v>
          </cell>
          <cell r="F2358">
            <v>-9.8000000000000004E-2</v>
          </cell>
        </row>
        <row r="2359">
          <cell r="A2359">
            <v>359343</v>
          </cell>
          <cell r="B2359" t="str">
            <v>FHL025 FILEZINHO SUI INDIV CX 25KG</v>
          </cell>
          <cell r="C2359">
            <v>3.2320000000000002</v>
          </cell>
          <cell r="D2359">
            <v>3.2320000000000002</v>
          </cell>
          <cell r="E2359">
            <v>-0.42099999999999999</v>
          </cell>
          <cell r="F2359">
            <v>-9.5000000000000001E-2</v>
          </cell>
        </row>
        <row r="2360">
          <cell r="A2360">
            <v>395528</v>
          </cell>
          <cell r="B2360" t="str">
            <v>FCE631 COXA SOB S/O C/P KAK 08-12G BOREL</v>
          </cell>
          <cell r="C2360">
            <v>1.554</v>
          </cell>
          <cell r="D2360">
            <v>1.554</v>
          </cell>
          <cell r="E2360">
            <v>-0.43099999999999999</v>
          </cell>
          <cell r="F2360">
            <v>-4.8000000000000043E-2</v>
          </cell>
        </row>
        <row r="2361">
          <cell r="A2361">
            <v>411124</v>
          </cell>
          <cell r="B2361" t="str">
            <v>FCE645 COXA SOB SO CP KAK 20-25G BOR K14</v>
          </cell>
          <cell r="C2361">
            <v>2.4020000000000001</v>
          </cell>
          <cell r="D2361">
            <v>2.4020000000000001</v>
          </cell>
          <cell r="E2361">
            <v>-0.41399999999999998</v>
          </cell>
          <cell r="F2361">
            <v>-8.3000000000000018E-2</v>
          </cell>
        </row>
        <row r="2362">
          <cell r="A2362">
            <v>421138</v>
          </cell>
          <cell r="B2362" t="str">
            <v>FCE673 CO0A SOB SO CP KAK 15-20G SUN K-9</v>
          </cell>
          <cell r="C2362">
            <v>2.2589999999999999</v>
          </cell>
          <cell r="D2362">
            <v>2.2589999999999999</v>
          </cell>
          <cell r="E2362">
            <v>-9.7000000000000003E-2</v>
          </cell>
          <cell r="F2362">
            <v>-6.6000000000000003E-2</v>
          </cell>
        </row>
        <row r="2363">
          <cell r="A2363">
            <v>433306</v>
          </cell>
          <cell r="B2363" t="str">
            <v>PRESUNTO TENRO BABY BOLA</v>
          </cell>
          <cell r="C2363">
            <v>12.09742875881731</v>
          </cell>
          <cell r="D2363">
            <v>9.4814691066897083</v>
          </cell>
          <cell r="E2363">
            <v>-0.16239724288478255</v>
          </cell>
          <cell r="F2363">
            <v>-1.166370368738348</v>
          </cell>
        </row>
        <row r="2364">
          <cell r="A2364">
            <v>437530</v>
          </cell>
          <cell r="B2364" t="str">
            <v>ATV015 ASA 2A JTA VIRADA FGO ITF CX 15KG</v>
          </cell>
          <cell r="C2364">
            <v>1.9139999999999999</v>
          </cell>
          <cell r="D2364">
            <v>1.708</v>
          </cell>
          <cell r="E2364">
            <v>0</v>
          </cell>
          <cell r="F2364">
            <v>-6.7000000000000004E-2</v>
          </cell>
        </row>
        <row r="2365">
          <cell r="A2365">
            <v>443778</v>
          </cell>
          <cell r="B2365" t="str">
            <v>FCE737 COXA SOBR SO CP 240-260G SUN L-14</v>
          </cell>
          <cell r="C2365">
            <v>2.2090000000000001</v>
          </cell>
          <cell r="D2365">
            <v>2.2090000000000001</v>
          </cell>
          <cell r="E2365">
            <v>-9.7000000000000003E-2</v>
          </cell>
          <cell r="F2365">
            <v>-8.1000000000000016E-2</v>
          </cell>
        </row>
        <row r="2366">
          <cell r="A2366">
            <v>456896</v>
          </cell>
          <cell r="B2366" t="str">
            <v>PHV007 PEITO DEF CHEST VARIG CX 7,6KG</v>
          </cell>
          <cell r="C2366">
            <v>7.35</v>
          </cell>
          <cell r="D2366">
            <v>5.8319999999999999</v>
          </cell>
          <cell r="E2366">
            <v>0</v>
          </cell>
          <cell r="F2366">
            <v>-1.0140000000000002</v>
          </cell>
        </row>
        <row r="2367">
          <cell r="A2367">
            <v>481807</v>
          </cell>
          <cell r="B2367" t="str">
            <v>FPFC04 FILE PEITO C/T SASAMI BL 15KG</v>
          </cell>
          <cell r="C2367">
            <v>4.1669999999999998</v>
          </cell>
          <cell r="D2367">
            <v>4.1669999999999998</v>
          </cell>
          <cell r="E2367">
            <v>-0.28299999999999997</v>
          </cell>
          <cell r="F2367">
            <v>-0.11699999999999999</v>
          </cell>
        </row>
        <row r="2368">
          <cell r="A2368">
            <v>484288</v>
          </cell>
          <cell r="B2368" t="str">
            <v>LCS005 LING CARNE SUINA MEIA CURA CX 5KG</v>
          </cell>
          <cell r="C2368">
            <v>4.5</v>
          </cell>
          <cell r="D2368">
            <v>3.57</v>
          </cell>
          <cell r="E2368">
            <v>0</v>
          </cell>
          <cell r="F2368">
            <v>-0.64400000000000002</v>
          </cell>
        </row>
        <row r="2369">
          <cell r="A2369">
            <v>487929</v>
          </cell>
          <cell r="B2369" t="str">
            <v>FGE379 FRANGO GRILLER PERD 1300G</v>
          </cell>
          <cell r="C2369">
            <v>1.546</v>
          </cell>
          <cell r="D2369">
            <v>1.546</v>
          </cell>
          <cell r="E2369">
            <v>-0.47499999999999998</v>
          </cell>
          <cell r="F2369">
            <v>-5.2999999999999992E-2</v>
          </cell>
        </row>
        <row r="2370">
          <cell r="A2370">
            <v>487937</v>
          </cell>
          <cell r="B2370" t="str">
            <v>FGE380 FRANGO GRILLER PERD OMAN 1400G</v>
          </cell>
          <cell r="C2370">
            <v>2.173</v>
          </cell>
          <cell r="D2370">
            <v>2.173</v>
          </cell>
          <cell r="E2370">
            <v>-0.52200000000000002</v>
          </cell>
          <cell r="F2370">
            <v>-6.7000000000000004E-2</v>
          </cell>
        </row>
        <row r="2371">
          <cell r="A2371">
            <v>492787</v>
          </cell>
          <cell r="B2371" t="str">
            <v>FGE395 FRANGO BROILER 1100G HOLANDA PERD</v>
          </cell>
          <cell r="C2371">
            <v>1.2589999999999999</v>
          </cell>
          <cell r="D2371">
            <v>1.2589999999999999</v>
          </cell>
          <cell r="E2371">
            <v>-0.28399999999999997</v>
          </cell>
          <cell r="F2371">
            <v>-4.2999999999999983E-2</v>
          </cell>
        </row>
        <row r="2372">
          <cell r="A2372">
            <v>492817</v>
          </cell>
          <cell r="B2372" t="str">
            <v>FGE398 FRANGO BROILER 1400G CX 14KG</v>
          </cell>
          <cell r="C2372">
            <v>1.2669999999999999</v>
          </cell>
          <cell r="D2372">
            <v>1.2669999999999999</v>
          </cell>
          <cell r="E2372">
            <v>-0.28399999999999997</v>
          </cell>
          <cell r="F2372">
            <v>-4.300000000000001E-2</v>
          </cell>
        </row>
        <row r="2373">
          <cell r="A2373">
            <v>516316</v>
          </cell>
          <cell r="B2373" t="str">
            <v>MHM006 MORTADELA CHESTER MINI CX 6KG</v>
          </cell>
          <cell r="C2373">
            <v>3.7869999999999999</v>
          </cell>
          <cell r="D2373">
            <v>3.3940000000000001</v>
          </cell>
          <cell r="E2373">
            <v>3.3000000000000002E-2</v>
          </cell>
          <cell r="F2373">
            <v>-0.53699999999999992</v>
          </cell>
        </row>
        <row r="2374">
          <cell r="A2374">
            <v>520097</v>
          </cell>
          <cell r="B2374" t="str">
            <v>LSH225 LOMBO N2 SUI CONG 1,5KG HOLANDA</v>
          </cell>
          <cell r="C2374">
            <v>4.0279999999999996</v>
          </cell>
          <cell r="D2374">
            <v>4.0279999999999996</v>
          </cell>
          <cell r="E2374">
            <v>-0.437</v>
          </cell>
          <cell r="F2374">
            <v>-0.11899999999999999</v>
          </cell>
        </row>
        <row r="2375">
          <cell r="A2375">
            <v>563048</v>
          </cell>
          <cell r="B2375" t="str">
            <v>PEITO S/OPF MET 120G SUICA C0 15KG</v>
          </cell>
          <cell r="C2375">
            <v>3.5489999999999999</v>
          </cell>
          <cell r="D2375">
            <v>3.5489999999999999</v>
          </cell>
          <cell r="E2375">
            <v>-0.26300000000000001</v>
          </cell>
          <cell r="F2375">
            <v>-0.10099999999999998</v>
          </cell>
        </row>
        <row r="2376">
          <cell r="A2376">
            <v>586838</v>
          </cell>
          <cell r="B2376" t="str">
            <v>COXA SOB SO CP KAK 25-30G SUN K15 JAPAO</v>
          </cell>
          <cell r="C2376">
            <v>2.298</v>
          </cell>
          <cell r="D2376">
            <v>2.298</v>
          </cell>
          <cell r="E2376">
            <v>-0.10200000000000001</v>
          </cell>
          <cell r="F2376">
            <v>-8.3000000000000004E-2</v>
          </cell>
        </row>
        <row r="2377">
          <cell r="A2377">
            <v>592676</v>
          </cell>
          <cell r="B2377" t="str">
            <v>FGCE13 FRANGO GRILLER BAHRAIN PERD 1500G</v>
          </cell>
          <cell r="C2377">
            <v>1.7669999999999999</v>
          </cell>
          <cell r="D2377">
            <v>1.7669999999999999</v>
          </cell>
          <cell r="E2377">
            <v>-0.47799999999999998</v>
          </cell>
          <cell r="F2377">
            <v>-5.6999999999999995E-2</v>
          </cell>
        </row>
        <row r="2378">
          <cell r="A2378">
            <v>595632</v>
          </cell>
          <cell r="B2378" t="str">
            <v>FGCE28 FRANGO GRILLER PERD HOLANDA 1400G</v>
          </cell>
          <cell r="C2378">
            <v>1.522</v>
          </cell>
          <cell r="D2378">
            <v>1.522</v>
          </cell>
          <cell r="E2378">
            <v>-0.28000000000000003</v>
          </cell>
          <cell r="F2378">
            <v>-5.2999999999999999E-2</v>
          </cell>
        </row>
        <row r="2379">
          <cell r="A2379">
            <v>603341</v>
          </cell>
          <cell r="B2379" t="str">
            <v>BSCE01 BARRIGA S/OC SUI CONG C0 25KG URU</v>
          </cell>
          <cell r="C2379">
            <v>2.1739999999999999</v>
          </cell>
          <cell r="D2379">
            <v>2.1739999999999999</v>
          </cell>
          <cell r="E2379">
            <v>-0.13300000000000001</v>
          </cell>
          <cell r="F2379">
            <v>0</v>
          </cell>
        </row>
        <row r="2380">
          <cell r="A2380">
            <v>603589</v>
          </cell>
          <cell r="B2380" t="str">
            <v>PMFS01 PEITO S/O S/P S/F MET 120G</v>
          </cell>
          <cell r="C2380">
            <v>4.7629999999999999</v>
          </cell>
          <cell r="D2380">
            <v>4.7629999999999999</v>
          </cell>
          <cell r="E2380">
            <v>-0.28599999999999998</v>
          </cell>
          <cell r="F2380">
            <v>-0.1339999999999999</v>
          </cell>
        </row>
        <row r="2381">
          <cell r="A2381">
            <v>614157</v>
          </cell>
          <cell r="B2381" t="str">
            <v>SCT014 SOBRECOXA C/O/P CHESTER BDJ 1KG</v>
          </cell>
          <cell r="C2381">
            <v>1.75</v>
          </cell>
          <cell r="D2381">
            <v>1.5660000000000001</v>
          </cell>
          <cell r="E2381">
            <v>0</v>
          </cell>
          <cell r="F2381">
            <v>-0.33500000000000002</v>
          </cell>
        </row>
        <row r="2382">
          <cell r="A2382">
            <v>615285</v>
          </cell>
          <cell r="B2382" t="str">
            <v>CFCE30 COXA C/O C/P DRUMIST BDJ 908G</v>
          </cell>
          <cell r="C2382">
            <v>2.76</v>
          </cell>
          <cell r="D2382">
            <v>2.76</v>
          </cell>
          <cell r="E2382">
            <v>-0.57399999999999995</v>
          </cell>
          <cell r="F2382">
            <v>-7.9000000000000015E-2</v>
          </cell>
        </row>
        <row r="2383">
          <cell r="A2383">
            <v>615560</v>
          </cell>
          <cell r="B2383" t="str">
            <v>CLSE02 COPA LOMBO S/O SUI HOLAN CX 25KG</v>
          </cell>
          <cell r="C2383">
            <v>3.133</v>
          </cell>
          <cell r="D2383">
            <v>3.133</v>
          </cell>
          <cell r="E2383">
            <v>-0.41899999999999998</v>
          </cell>
          <cell r="F2383">
            <v>-9.1999999999999998E-2</v>
          </cell>
        </row>
        <row r="2384">
          <cell r="A2384">
            <v>628980</v>
          </cell>
          <cell r="B2384" t="str">
            <v>BAP006 BACON DEF PED CX 6KG</v>
          </cell>
          <cell r="C2384">
            <v>6.8150000000000004</v>
          </cell>
          <cell r="D2384">
            <v>5.407</v>
          </cell>
          <cell r="E2384">
            <v>0</v>
          </cell>
          <cell r="F2384">
            <v>-0.82600000000000007</v>
          </cell>
        </row>
        <row r="2385">
          <cell r="A2385">
            <v>636088</v>
          </cell>
          <cell r="B2385" t="str">
            <v>PFCE92 PEITO S/O/P/F/CLAV INT CX 15KG</v>
          </cell>
          <cell r="C2385">
            <v>3.4380000000000002</v>
          </cell>
          <cell r="D2385">
            <v>3.4380000000000002</v>
          </cell>
          <cell r="E2385">
            <v>-0.27</v>
          </cell>
          <cell r="F2385">
            <v>-0.123</v>
          </cell>
        </row>
        <row r="2386">
          <cell r="A2386">
            <v>636096</v>
          </cell>
          <cell r="B2386" t="str">
            <v>PFCE93 PEITO S/O/P/F BDJ 500G CX 12KG</v>
          </cell>
          <cell r="C2386">
            <v>3.9660000000000002</v>
          </cell>
          <cell r="D2386">
            <v>3.9660000000000002</v>
          </cell>
          <cell r="E2386">
            <v>-0.38</v>
          </cell>
          <cell r="F2386">
            <v>-0.13900000000000001</v>
          </cell>
        </row>
        <row r="2387">
          <cell r="A2387">
            <v>637750</v>
          </cell>
          <cell r="B2387" t="str">
            <v>PTA012 PRESUNTO TRAD MAG OVAL ANGO 13KG</v>
          </cell>
          <cell r="C2387">
            <v>4.0579999999999998</v>
          </cell>
          <cell r="D2387">
            <v>4.0579999999999998</v>
          </cell>
          <cell r="E2387">
            <v>0</v>
          </cell>
          <cell r="F2387">
            <v>-0.16400000000000015</v>
          </cell>
        </row>
        <row r="2388">
          <cell r="A2388">
            <v>639400</v>
          </cell>
          <cell r="B2388" t="str">
            <v>CCSC02 CARRE N1 SUI ALEMANHA CX 25KG</v>
          </cell>
          <cell r="C2388">
            <v>2.3690000000000002</v>
          </cell>
          <cell r="D2388">
            <v>2.3690000000000002</v>
          </cell>
          <cell r="E2388">
            <v>-0.33900000000000002</v>
          </cell>
          <cell r="F2388">
            <v>-8.299999999999999E-2</v>
          </cell>
        </row>
        <row r="2389">
          <cell r="A2389">
            <v>639419</v>
          </cell>
          <cell r="B2389" t="str">
            <v>CBCE01 CARRE BISTECA SUI ALEMANHA CX10KG</v>
          </cell>
          <cell r="C2389">
            <v>2.5510000000000002</v>
          </cell>
          <cell r="D2389">
            <v>2.5510000000000002</v>
          </cell>
          <cell r="E2389">
            <v>-0.33900000000000002</v>
          </cell>
          <cell r="F2389">
            <v>-8.9000000000000024E-2</v>
          </cell>
        </row>
        <row r="2390">
          <cell r="A2390">
            <v>658243</v>
          </cell>
          <cell r="B2390" t="str">
            <v>CXT012 COXA C/OP TEMP FGO PT 1KG CX 12KG</v>
          </cell>
          <cell r="C2390">
            <v>2.5</v>
          </cell>
          <cell r="D2390">
            <v>2.109</v>
          </cell>
          <cell r="E2390">
            <v>0</v>
          </cell>
          <cell r="F2390">
            <v>-0.14000000000000001</v>
          </cell>
        </row>
        <row r="2391">
          <cell r="A2391">
            <v>658260</v>
          </cell>
          <cell r="B2391" t="str">
            <v>PFT012 PEITO C/OP TEMP FGO PERD PT 1KG</v>
          </cell>
          <cell r="C2391">
            <v>4.0999999999999996</v>
          </cell>
          <cell r="D2391">
            <v>3.6640000000000001</v>
          </cell>
          <cell r="E2391">
            <v>0</v>
          </cell>
          <cell r="F2391">
            <v>-0.23</v>
          </cell>
        </row>
        <row r="2392">
          <cell r="A2392">
            <v>658324</v>
          </cell>
          <cell r="B2392" t="str">
            <v>FGEC12 FRANGO GRILLER PERD 1300G HOL 13K</v>
          </cell>
          <cell r="C2392">
            <v>1.522</v>
          </cell>
          <cell r="D2392">
            <v>1.522</v>
          </cell>
          <cell r="E2392">
            <v>-0.28199999999999997</v>
          </cell>
          <cell r="F2392">
            <v>-5.2999999999999999E-2</v>
          </cell>
        </row>
        <row r="2393">
          <cell r="A2393">
            <v>662348</v>
          </cell>
          <cell r="B2393" t="str">
            <v>PBO012 PRESUNTO BORELLA CX 12KG</v>
          </cell>
          <cell r="C2393">
            <v>4.93</v>
          </cell>
          <cell r="D2393">
            <v>3.657</v>
          </cell>
          <cell r="E2393">
            <v>-0.186</v>
          </cell>
          <cell r="F2393">
            <v>-0.4860000000000001</v>
          </cell>
        </row>
        <row r="2394">
          <cell r="A2394">
            <v>662410</v>
          </cell>
          <cell r="B2394" t="str">
            <v>CSSA01 COSTELA TIRA SUI SALG CX13KG ANG</v>
          </cell>
          <cell r="C2394">
            <v>3.48</v>
          </cell>
          <cell r="D2394">
            <v>3.48</v>
          </cell>
          <cell r="E2394">
            <v>0</v>
          </cell>
          <cell r="F2394">
            <v>-0.11899999999999999</v>
          </cell>
        </row>
        <row r="2395">
          <cell r="A2395">
            <v>662429</v>
          </cell>
          <cell r="B2395" t="str">
            <v>PSSA01 PE SUINO SALGADO PERD CX 13KG ANG</v>
          </cell>
          <cell r="C2395">
            <v>2.5640000000000001</v>
          </cell>
          <cell r="D2395">
            <v>2.5640000000000001</v>
          </cell>
          <cell r="E2395">
            <v>0</v>
          </cell>
          <cell r="F2395">
            <v>-8.8000000000000078E-2</v>
          </cell>
        </row>
        <row r="2396">
          <cell r="A2396">
            <v>667501</v>
          </cell>
          <cell r="B2396" t="str">
            <v>AIFC19 ASA INTEIRA BDJ 908G HALAL</v>
          </cell>
          <cell r="C2396">
            <v>2.4350000000000001</v>
          </cell>
          <cell r="D2396">
            <v>2.4350000000000001</v>
          </cell>
          <cell r="E2396">
            <v>-0.52900000000000003</v>
          </cell>
          <cell r="F2396">
            <v>-9.2999999999999999E-2</v>
          </cell>
        </row>
        <row r="2397">
          <cell r="A2397">
            <v>670987</v>
          </cell>
          <cell r="B2397" t="str">
            <v>SFCE22 SOBRECOXA S/O/P ACHAT PT 2,5KG</v>
          </cell>
          <cell r="C2397">
            <v>2.8929999999999998</v>
          </cell>
          <cell r="D2397">
            <v>2.8929999999999998</v>
          </cell>
          <cell r="E2397">
            <v>-0.51900000000000002</v>
          </cell>
          <cell r="F2397">
            <v>-0.10100000000000001</v>
          </cell>
        </row>
        <row r="2398">
          <cell r="A2398">
            <v>672343</v>
          </cell>
          <cell r="B2398" t="str">
            <v>FEX014 FRANGO EXP CORT TEMP BDJ 14,7KG</v>
          </cell>
          <cell r="C2398">
            <v>2</v>
          </cell>
          <cell r="D2398">
            <v>1.6879999999999999</v>
          </cell>
          <cell r="E2398">
            <v>0</v>
          </cell>
          <cell r="F2398">
            <v>-0.14899999999999999</v>
          </cell>
        </row>
        <row r="2399">
          <cell r="A2399">
            <v>673110</v>
          </cell>
          <cell r="B2399" t="str">
            <v>BCH126 BIG CHICKEN 12 CART 500G CX 6KG</v>
          </cell>
          <cell r="C2399">
            <v>7.2</v>
          </cell>
          <cell r="D2399">
            <v>5.7169999999999996</v>
          </cell>
          <cell r="E2399">
            <v>0</v>
          </cell>
          <cell r="F2399">
            <v>-0.996</v>
          </cell>
        </row>
        <row r="2400">
          <cell r="A2400">
            <v>673137</v>
          </cell>
          <cell r="B2400" t="str">
            <v>DFE126 COXINHA DA ASA EMP 12 CART CX 6KG</v>
          </cell>
          <cell r="C2400">
            <v>-1.7969999999999999</v>
          </cell>
          <cell r="D2400">
            <v>-2.242</v>
          </cell>
          <cell r="E2400">
            <v>-0.57399999999999995</v>
          </cell>
          <cell r="F2400">
            <v>-0.81199999999999939</v>
          </cell>
        </row>
        <row r="2401">
          <cell r="A2401">
            <v>673170</v>
          </cell>
          <cell r="B2401" t="str">
            <v>CBP003 CARNE BOVINA EMP BESTER CX 3KG</v>
          </cell>
          <cell r="C2401">
            <v>3.4</v>
          </cell>
          <cell r="D2401">
            <v>2.698</v>
          </cell>
          <cell r="E2401">
            <v>0</v>
          </cell>
          <cell r="F2401">
            <v>-0.44400000000000006</v>
          </cell>
        </row>
        <row r="2402">
          <cell r="A2402">
            <v>676489</v>
          </cell>
          <cell r="B2402" t="str">
            <v>FFM144 FILEZINHO EMP FGO CART 300G</v>
          </cell>
          <cell r="C2402">
            <v>8.5739999999999998</v>
          </cell>
          <cell r="D2402">
            <v>6.0449999999999999</v>
          </cell>
          <cell r="E2402">
            <v>-0.40699999999999997</v>
          </cell>
          <cell r="F2402">
            <v>-0.48199999999999976</v>
          </cell>
        </row>
        <row r="2403">
          <cell r="A2403">
            <v>676608</v>
          </cell>
          <cell r="B2403" t="str">
            <v>PCFX55 PEITO S/OPFC MET 140G/UP TAMB BOR</v>
          </cell>
          <cell r="C2403">
            <v>3.42</v>
          </cell>
          <cell r="D2403">
            <v>3.42</v>
          </cell>
          <cell r="E2403">
            <v>-0.26900000000000002</v>
          </cell>
          <cell r="F2403">
            <v>-0.115</v>
          </cell>
        </row>
        <row r="2404">
          <cell r="A2404">
            <v>679380</v>
          </cell>
          <cell r="B2404" t="str">
            <v>BSCE02 BARRIGA MAGRA C/COU SUI CONG CARI</v>
          </cell>
          <cell r="C2404">
            <v>2.8639999999999999</v>
          </cell>
          <cell r="D2404">
            <v>2.8639999999999999</v>
          </cell>
          <cell r="E2404">
            <v>-7.3999999999999996E-2</v>
          </cell>
          <cell r="F2404">
            <v>-9.2999999999999972E-2</v>
          </cell>
        </row>
        <row r="2405">
          <cell r="A2405">
            <v>680397</v>
          </cell>
          <cell r="B2405" t="str">
            <v>FBEC20 FRANGO BROILER RUSSIA 1900G</v>
          </cell>
          <cell r="C2405">
            <v>1.591</v>
          </cell>
          <cell r="D2405">
            <v>1.591</v>
          </cell>
          <cell r="E2405">
            <v>-7.0999999999999994E-2</v>
          </cell>
          <cell r="F2405">
            <v>-4.7999999999999987E-2</v>
          </cell>
        </row>
        <row r="2406">
          <cell r="A2406">
            <v>683094</v>
          </cell>
          <cell r="B2406" t="str">
            <v>CFEC09 COXA SOBREC S/O C/P VAC PRIME</v>
          </cell>
          <cell r="C2406">
            <v>2.0169999999999999</v>
          </cell>
          <cell r="D2406">
            <v>2.0169999999999999</v>
          </cell>
          <cell r="E2406">
            <v>-0.123</v>
          </cell>
          <cell r="F2406">
            <v>-0.06</v>
          </cell>
        </row>
        <row r="2407">
          <cell r="A2407">
            <v>683264</v>
          </cell>
          <cell r="B2407" t="str">
            <v>CFEC23 COXA SOB S/O C/P KAK 28-32G PRIME</v>
          </cell>
          <cell r="C2407">
            <v>2.2290000000000001</v>
          </cell>
          <cell r="D2407">
            <v>2.2290000000000001</v>
          </cell>
          <cell r="E2407">
            <v>-0.127</v>
          </cell>
          <cell r="F2407">
            <v>-6.4000000000000001E-2</v>
          </cell>
        </row>
        <row r="2408">
          <cell r="A2408">
            <v>683280</v>
          </cell>
          <cell r="B2408" t="str">
            <v>CFEC25 CO0A SOB S/O C/P KAK 35-45G PRIME</v>
          </cell>
          <cell r="C2408">
            <v>2.0339999999999998</v>
          </cell>
          <cell r="D2408">
            <v>2.0339999999999998</v>
          </cell>
          <cell r="E2408">
            <v>-9.5000000000000001E-2</v>
          </cell>
          <cell r="F2408">
            <v>-5.9000000000000025E-2</v>
          </cell>
        </row>
        <row r="2409">
          <cell r="A2409">
            <v>685500</v>
          </cell>
          <cell r="B2409" t="str">
            <v>CHESTER LANCHE MINI 8PCS PERD JAPAO IMAI</v>
          </cell>
          <cell r="C2409">
            <v>2.9969999999999999</v>
          </cell>
          <cell r="D2409">
            <v>2.9969999999999999</v>
          </cell>
          <cell r="E2409">
            <v>-0.45400000000000001</v>
          </cell>
          <cell r="F2409">
            <v>-8.3000000000000185E-2</v>
          </cell>
        </row>
        <row r="2410">
          <cell r="A2410">
            <v>687286</v>
          </cell>
          <cell r="B2410" t="str">
            <v>PRC159 PEITO S/OP RECH C BLUE CART 600G</v>
          </cell>
          <cell r="C2410">
            <v>7.5</v>
          </cell>
          <cell r="D2410">
            <v>5.9459999999999997</v>
          </cell>
          <cell r="E2410">
            <v>0</v>
          </cell>
          <cell r="F2410">
            <v>-0.78799999999999981</v>
          </cell>
        </row>
        <row r="2411">
          <cell r="A2411">
            <v>687456</v>
          </cell>
          <cell r="B2411" t="str">
            <v>PFP003 PEITO FGO RECO EMP S FRITO CX 3KG</v>
          </cell>
          <cell r="C2411">
            <v>7.125</v>
          </cell>
          <cell r="D2411">
            <v>4.798</v>
          </cell>
          <cell r="E2411">
            <v>-0.33800000000000002</v>
          </cell>
          <cell r="F2411">
            <v>-0.84800000000000009</v>
          </cell>
        </row>
        <row r="2412">
          <cell r="A2412">
            <v>687790</v>
          </cell>
          <cell r="B2412" t="str">
            <v>FGEC50 FRANGO GRILLER UNEF CING 1300G</v>
          </cell>
          <cell r="C2412">
            <v>1.9670000000000001</v>
          </cell>
          <cell r="D2412">
            <v>1.9670000000000001</v>
          </cell>
          <cell r="E2412">
            <v>-0.46</v>
          </cell>
          <cell r="F2412">
            <v>-0.06</v>
          </cell>
        </row>
        <row r="2413">
          <cell r="A2413">
            <v>687804</v>
          </cell>
          <cell r="B2413" t="str">
            <v>FGEC51 FRANGO GRILLER UNEF CING 1400G</v>
          </cell>
          <cell r="C2413">
            <v>1.929</v>
          </cell>
          <cell r="D2413">
            <v>1.929</v>
          </cell>
          <cell r="E2413">
            <v>-0.45900000000000002</v>
          </cell>
          <cell r="F2413">
            <v>-5.8999999999999997E-2</v>
          </cell>
        </row>
        <row r="2414">
          <cell r="A2414">
            <v>687812</v>
          </cell>
          <cell r="B2414" t="str">
            <v>MCF002 MORTADELA CONFIANCA ALEMANHA</v>
          </cell>
          <cell r="C2414">
            <v>1.849</v>
          </cell>
          <cell r="D2414">
            <v>1.849</v>
          </cell>
          <cell r="E2414">
            <v>-0.30599999999999999</v>
          </cell>
          <cell r="F2414">
            <v>-5.799999999999994E-2</v>
          </cell>
        </row>
        <row r="2415">
          <cell r="A2415">
            <v>688096</v>
          </cell>
          <cell r="B2415" t="str">
            <v>FBEC28 FRANGO BROILER HOLANDA 1300G</v>
          </cell>
          <cell r="C2415">
            <v>1.2649999999999999</v>
          </cell>
          <cell r="D2415">
            <v>1.2649999999999999</v>
          </cell>
          <cell r="E2415">
            <v>-0.28299999999999997</v>
          </cell>
          <cell r="F2415">
            <v>-4.4000000000000039E-2</v>
          </cell>
        </row>
        <row r="2416">
          <cell r="A2416">
            <v>688770</v>
          </cell>
          <cell r="B2416" t="str">
            <v>FBEC30 FRANGO BROILER HOLANDA 1200G 12KG</v>
          </cell>
          <cell r="C2416">
            <v>1.2569999999999999</v>
          </cell>
          <cell r="D2416">
            <v>1.2569999999999999</v>
          </cell>
          <cell r="E2416">
            <v>-0.27200000000000002</v>
          </cell>
          <cell r="F2416">
            <v>-4.3999999999999984E-2</v>
          </cell>
        </row>
        <row r="2417">
          <cell r="A2417">
            <v>690198</v>
          </cell>
          <cell r="B2417" t="str">
            <v>PBY001 PRESUNTO TENRO PERD PT 1KG</v>
          </cell>
          <cell r="C2417">
            <v>5</v>
          </cell>
          <cell r="D2417">
            <v>3.968</v>
          </cell>
          <cell r="E2417">
            <v>0</v>
          </cell>
          <cell r="F2417">
            <v>-0.26599999999999979</v>
          </cell>
        </row>
        <row r="2418">
          <cell r="A2418">
            <v>691364</v>
          </cell>
          <cell r="B2418" t="str">
            <v>FGEC56 FRANGO GRILLER UNEF 1100G CING</v>
          </cell>
          <cell r="C2418">
            <v>1.9670000000000001</v>
          </cell>
          <cell r="D2418">
            <v>1.9670000000000001</v>
          </cell>
          <cell r="E2418">
            <v>-0.46</v>
          </cell>
          <cell r="F2418">
            <v>-0.06</v>
          </cell>
        </row>
        <row r="2419">
          <cell r="A2419">
            <v>691372</v>
          </cell>
          <cell r="B2419" t="str">
            <v>FGEC57 FRANGO GRILLER UNEF 1200G CING</v>
          </cell>
          <cell r="C2419">
            <v>1.9670000000000001</v>
          </cell>
          <cell r="D2419">
            <v>1.9670000000000001</v>
          </cell>
          <cell r="E2419">
            <v>-0.46</v>
          </cell>
          <cell r="F2419">
            <v>-6.0999999999999999E-2</v>
          </cell>
        </row>
        <row r="2420">
          <cell r="A2420">
            <v>697443</v>
          </cell>
          <cell r="B2420" t="str">
            <v>SMF005 SALSICHA FGO MON 11PT CX 5,5KG</v>
          </cell>
          <cell r="C2420">
            <v>4</v>
          </cell>
          <cell r="D2420">
            <v>3.1739999999999999</v>
          </cell>
          <cell r="E2420">
            <v>0</v>
          </cell>
          <cell r="F2420">
            <v>-0.58499999999999996</v>
          </cell>
        </row>
        <row r="2421">
          <cell r="A2421">
            <v>699985</v>
          </cell>
          <cell r="B2421" t="str">
            <v>PCFE31 PEITO S/O/P/C C/F PT 2KG CARIBE</v>
          </cell>
          <cell r="C2421">
            <v>2.9649999999999999</v>
          </cell>
          <cell r="D2421">
            <v>2.9649999999999999</v>
          </cell>
          <cell r="E2421">
            <v>-7.7000000000000013E-2</v>
          </cell>
          <cell r="F2421">
            <v>-0.10800000000000004</v>
          </cell>
        </row>
        <row r="2422">
          <cell r="A2422">
            <v>701980</v>
          </cell>
          <cell r="B2422" t="str">
            <v>SIV005 SALAME ITAL CAC PERD VAC CX 5KG</v>
          </cell>
          <cell r="C2422">
            <v>10.75</v>
          </cell>
          <cell r="D2422">
            <v>8.5340000000000007</v>
          </cell>
          <cell r="E2422">
            <v>0</v>
          </cell>
          <cell r="F2422">
            <v>-1.1599999999999999</v>
          </cell>
        </row>
        <row r="2423">
          <cell r="A2423">
            <v>702021</v>
          </cell>
          <cell r="B2423" t="str">
            <v>PCFE44 PEITO S/OPFC MET 120G NQ PT 1KG</v>
          </cell>
          <cell r="C2423">
            <v>3.5830000000000002</v>
          </cell>
          <cell r="D2423">
            <v>3.5830000000000002</v>
          </cell>
          <cell r="E2423">
            <v>-0.249</v>
          </cell>
          <cell r="F2423">
            <v>-0.10199999999999998</v>
          </cell>
        </row>
        <row r="2424">
          <cell r="A2424">
            <v>703591</v>
          </cell>
          <cell r="B2424" t="str">
            <v>FGEC82 FRANGO GRILLER 1100G HOLANDA 11KG</v>
          </cell>
          <cell r="C2424">
            <v>1.522</v>
          </cell>
          <cell r="D2424">
            <v>1.522</v>
          </cell>
          <cell r="E2424">
            <v>-0.28199999999999997</v>
          </cell>
          <cell r="F2424">
            <v>-5.3000000000000005E-2</v>
          </cell>
        </row>
        <row r="2425">
          <cell r="A2425">
            <v>704393</v>
          </cell>
          <cell r="B2425" t="str">
            <v>CLCE01 COPA LOMBO S/O CONG IWP CX25K ALE</v>
          </cell>
          <cell r="C2425">
            <v>2.46</v>
          </cell>
          <cell r="D2425">
            <v>2.46</v>
          </cell>
          <cell r="E2425">
            <v>-0.33900000000000002</v>
          </cell>
          <cell r="F2425">
            <v>-8.5999999999999993E-2</v>
          </cell>
        </row>
        <row r="2426">
          <cell r="A2426">
            <v>704415</v>
          </cell>
          <cell r="B2426" t="str">
            <v>PCFE57 PEITO S/OPFC MET BL 7,5KG INGLAT</v>
          </cell>
          <cell r="C2426">
            <v>2.871</v>
          </cell>
          <cell r="D2426">
            <v>2.871</v>
          </cell>
          <cell r="E2426">
            <v>-0.28399999999999997</v>
          </cell>
          <cell r="F2426">
            <v>-0.10200000000000001</v>
          </cell>
        </row>
        <row r="2427">
          <cell r="A2427">
            <v>704431</v>
          </cell>
          <cell r="B2427" t="str">
            <v>CSEC05 COXA SOBR SO CP 180-200G SUN L-40</v>
          </cell>
          <cell r="C2427">
            <v>2.2290000000000001</v>
          </cell>
          <cell r="D2427">
            <v>2.2290000000000001</v>
          </cell>
          <cell r="E2427">
            <v>-0.11599999999999999</v>
          </cell>
          <cell r="F2427">
            <v>-8.0999999999999989E-2</v>
          </cell>
        </row>
        <row r="2428">
          <cell r="A2428">
            <v>704440</v>
          </cell>
          <cell r="B2428" t="str">
            <v>CSEC06 COXA SOBR SO CP 200-220G SUN L-41</v>
          </cell>
          <cell r="C2428">
            <v>2.2050000000000001</v>
          </cell>
          <cell r="D2428">
            <v>2.2050000000000001</v>
          </cell>
          <cell r="E2428">
            <v>-0.124</v>
          </cell>
          <cell r="F2428">
            <v>-6.6000000000000031E-2</v>
          </cell>
        </row>
        <row r="2429">
          <cell r="A2429">
            <v>704458</v>
          </cell>
          <cell r="B2429" t="str">
            <v>CSEC07 COXA SOBR SO CP 220-240G SUN L-24</v>
          </cell>
          <cell r="C2429">
            <v>2.2090000000000001</v>
          </cell>
          <cell r="D2429">
            <v>2.2090000000000001</v>
          </cell>
          <cell r="E2429">
            <v>-9.7000000000000003E-2</v>
          </cell>
          <cell r="F2429">
            <v>-8.0999999999999961E-2</v>
          </cell>
        </row>
        <row r="2430">
          <cell r="A2430">
            <v>704466</v>
          </cell>
          <cell r="B2430" t="str">
            <v>COXA SOBR SO CP 260-280G SUN L-26 JAPAO</v>
          </cell>
          <cell r="C2430">
            <v>2.21</v>
          </cell>
          <cell r="D2430">
            <v>2.21</v>
          </cell>
          <cell r="E2430">
            <v>-0.10100000000000001</v>
          </cell>
          <cell r="F2430">
            <v>-8.0999999999999989E-2</v>
          </cell>
        </row>
        <row r="2431">
          <cell r="A2431">
            <v>704474</v>
          </cell>
          <cell r="B2431" t="str">
            <v>COXA SOBR SO CP 280-300G SUN L-28 JAPAO</v>
          </cell>
          <cell r="C2431">
            <v>2.2280000000000002</v>
          </cell>
          <cell r="D2431">
            <v>2.2280000000000002</v>
          </cell>
          <cell r="E2431">
            <v>-0.122</v>
          </cell>
          <cell r="F2431">
            <v>-7.3999999999999982E-2</v>
          </cell>
        </row>
        <row r="2432">
          <cell r="A2432">
            <v>707147</v>
          </cell>
          <cell r="B2432" t="str">
            <v>COXA SOB C/OP 120-140G VAC PRIME JAPAO</v>
          </cell>
          <cell r="C2432">
            <v>2.3860000000000001</v>
          </cell>
          <cell r="D2432">
            <v>2.3860000000000001</v>
          </cell>
          <cell r="E2432">
            <v>-0.105</v>
          </cell>
          <cell r="F2432">
            <v>-7.7999999999999958E-2</v>
          </cell>
        </row>
        <row r="2433">
          <cell r="A2433">
            <v>707163</v>
          </cell>
          <cell r="B2433" t="str">
            <v>CSEC17 COXA SOB C/O C/P CL 140-160G PRIM</v>
          </cell>
          <cell r="C2433">
            <v>2.2400000000000002</v>
          </cell>
          <cell r="D2433">
            <v>2.2400000000000002</v>
          </cell>
          <cell r="E2433">
            <v>-0.11799999999999999</v>
          </cell>
          <cell r="F2433">
            <v>-7.5999999999999956E-2</v>
          </cell>
        </row>
        <row r="2434">
          <cell r="A2434">
            <v>707180</v>
          </cell>
          <cell r="B2434" t="str">
            <v>CSEC19 COXA SOB C/O C/P CL 160-180G PRIM</v>
          </cell>
          <cell r="C2434">
            <v>2.2309999999999999</v>
          </cell>
          <cell r="D2434">
            <v>2.2309999999999999</v>
          </cell>
          <cell r="E2434">
            <v>-8.5999999999999993E-2</v>
          </cell>
          <cell r="F2434">
            <v>-7.5999999999999956E-2</v>
          </cell>
        </row>
        <row r="2435">
          <cell r="A2435">
            <v>707473</v>
          </cell>
          <cell r="B2435" t="str">
            <v>LCV005 LINGUICA CALAB RESF VAC CX 8,1KG</v>
          </cell>
          <cell r="C2435">
            <v>5.22</v>
          </cell>
          <cell r="D2435">
            <v>3.992</v>
          </cell>
          <cell r="E2435">
            <v>-0.35899999999999999</v>
          </cell>
          <cell r="F2435">
            <v>-0.64500000000000002</v>
          </cell>
        </row>
        <row r="2436">
          <cell r="A2436">
            <v>708275</v>
          </cell>
          <cell r="B2436" t="str">
            <v>CSEC28 COXA SOBR SO CP 160-180G SUN L-12</v>
          </cell>
          <cell r="C2436">
            <v>2.2429999999999999</v>
          </cell>
          <cell r="D2436">
            <v>2.2429999999999999</v>
          </cell>
          <cell r="E2436">
            <v>-0.122</v>
          </cell>
          <cell r="F2436">
            <v>-8.199999999999999E-2</v>
          </cell>
        </row>
        <row r="2437">
          <cell r="A2437">
            <v>709344</v>
          </cell>
          <cell r="B2437" t="str">
            <v>PCCE02 PEITO S/OPFC CHESTER MET BL 7,5KG</v>
          </cell>
          <cell r="C2437">
            <v>3.7</v>
          </cell>
          <cell r="D2437">
            <v>3.7</v>
          </cell>
          <cell r="E2437">
            <v>-0.32300000000000001</v>
          </cell>
          <cell r="F2437">
            <v>-0.10799999999999998</v>
          </cell>
        </row>
        <row r="2438">
          <cell r="A2438">
            <v>711357</v>
          </cell>
          <cell r="B2438" t="str">
            <v>LSCE09 LOMBO SUI CONG 1,5 A 2,5K MACE</v>
          </cell>
          <cell r="C2438">
            <v>4.4459999999999997</v>
          </cell>
          <cell r="D2438">
            <v>4.4459999999999997</v>
          </cell>
          <cell r="E2438">
            <v>-0.47599999999999998</v>
          </cell>
          <cell r="F2438">
            <v>-0.14300000000000002</v>
          </cell>
        </row>
        <row r="2439">
          <cell r="A2439">
            <v>713309</v>
          </cell>
          <cell r="B2439" t="str">
            <v>LSCE10 LOMBO SUI CONG N2 1,8KG ACIMA</v>
          </cell>
          <cell r="C2439">
            <v>3.831</v>
          </cell>
          <cell r="D2439">
            <v>3.831</v>
          </cell>
          <cell r="E2439">
            <v>-0.315</v>
          </cell>
          <cell r="F2439">
            <v>-0.122</v>
          </cell>
        </row>
        <row r="2440">
          <cell r="A2440">
            <v>713945</v>
          </cell>
          <cell r="B2440" t="str">
            <v>FRANGO INT DEFUMADO RESF PERD CX 10KG (P.VENDAS)</v>
          </cell>
          <cell r="C2440">
            <v>3.8769999999999998</v>
          </cell>
          <cell r="D2440">
            <v>2.948</v>
          </cell>
          <cell r="E2440">
            <v>-0.23699999999999999</v>
          </cell>
          <cell r="F2440">
            <v>-0.45500000000000002</v>
          </cell>
        </row>
        <row r="2441">
          <cell r="A2441">
            <v>717193</v>
          </cell>
          <cell r="B2441" t="str">
            <v>FGEC99 FRANGO GRILLER PERD ARGENT 2100G</v>
          </cell>
          <cell r="C2441">
            <v>1.76</v>
          </cell>
          <cell r="D2441">
            <v>1.76</v>
          </cell>
          <cell r="E2441">
            <v>-7.5999999999999998E-2</v>
          </cell>
          <cell r="F2441">
            <v>-6.3E-2</v>
          </cell>
        </row>
        <row r="2442">
          <cell r="A2442">
            <v>718149</v>
          </cell>
          <cell r="B2442" t="str">
            <v>FSCE05 FILEZINHO SUI IND PERD CX12KG ALE</v>
          </cell>
          <cell r="C2442">
            <v>2.617</v>
          </cell>
          <cell r="D2442">
            <v>2.617</v>
          </cell>
          <cell r="E2442">
            <v>-0.28100000000000003</v>
          </cell>
          <cell r="F2442">
            <v>-7.6000000000000012E-2</v>
          </cell>
        </row>
        <row r="2443">
          <cell r="A2443">
            <v>719820</v>
          </cell>
          <cell r="B2443" t="str">
            <v>CSCE04 COXA SOBR SO CP 250G/UP SUN L-44</v>
          </cell>
          <cell r="C2443">
            <v>2.15</v>
          </cell>
          <cell r="D2443">
            <v>2.15</v>
          </cell>
          <cell r="E2443">
            <v>-0.13100000000000001</v>
          </cell>
          <cell r="F2443">
            <v>-7.8999999999999987E-2</v>
          </cell>
        </row>
        <row r="2444">
          <cell r="A2444">
            <v>720330</v>
          </cell>
          <cell r="B2444" t="str">
            <v>FCGE01 FRANGO GRILLER UNEF 1500G CX 12KG</v>
          </cell>
          <cell r="C2444">
            <v>1.929</v>
          </cell>
          <cell r="D2444">
            <v>1.929</v>
          </cell>
          <cell r="E2444">
            <v>-0.45900000000000002</v>
          </cell>
          <cell r="F2444">
            <v>-5.9000000000000011E-2</v>
          </cell>
        </row>
        <row r="2445">
          <cell r="A2445">
            <v>720984</v>
          </cell>
          <cell r="B2445" t="str">
            <v>CSCE13 COXA SOB SO CP CHT 390-410G CH-26</v>
          </cell>
          <cell r="C2445">
            <v>2.6059999999999999</v>
          </cell>
          <cell r="D2445">
            <v>2.6059999999999999</v>
          </cell>
          <cell r="E2445">
            <v>-0.44500000000000001</v>
          </cell>
          <cell r="F2445">
            <v>-0.09</v>
          </cell>
        </row>
        <row r="2446">
          <cell r="A2446">
            <v>723185</v>
          </cell>
          <cell r="B2446" t="str">
            <v>CSCE26 CARRE SUI CONG MACEDONIA CX25K</v>
          </cell>
          <cell r="C2446">
            <v>2.86</v>
          </cell>
          <cell r="D2446">
            <v>2.86</v>
          </cell>
          <cell r="E2446">
            <v>-0.47599999999999998</v>
          </cell>
          <cell r="F2446">
            <v>-0.09</v>
          </cell>
        </row>
        <row r="2447">
          <cell r="A2447">
            <v>723207</v>
          </cell>
          <cell r="B2447" t="str">
            <v>FSCE06 FILEZINHO SUI CONG MACED CX 25KG</v>
          </cell>
          <cell r="C2447">
            <v>3.7370000000000001</v>
          </cell>
          <cell r="D2447">
            <v>3.7370000000000001</v>
          </cell>
          <cell r="E2447">
            <v>-0.47599999999999998</v>
          </cell>
          <cell r="F2447">
            <v>-0.11899999999999999</v>
          </cell>
        </row>
        <row r="2448">
          <cell r="A2448">
            <v>725293</v>
          </cell>
          <cell r="B2448" t="str">
            <v>BAT010 BATATA PALITO PT 1KG CX 10KG</v>
          </cell>
          <cell r="C2448">
            <v>3.1640000000000001</v>
          </cell>
          <cell r="D2448">
            <v>2.5099999999999998</v>
          </cell>
          <cell r="E2448">
            <v>0</v>
          </cell>
          <cell r="F2448">
            <v>-0.48</v>
          </cell>
        </row>
        <row r="2449">
          <cell r="A2449">
            <v>731935</v>
          </cell>
          <cell r="B2449" t="str">
            <v>FCGE03 FRANGO GRILLER BOREL 1100G</v>
          </cell>
          <cell r="C2449">
            <v>1.3859999999999999</v>
          </cell>
          <cell r="D2449">
            <v>1.3859999999999999</v>
          </cell>
          <cell r="E2449">
            <v>-0.28299999999999997</v>
          </cell>
          <cell r="F2449">
            <v>-3.8000000000000006E-2</v>
          </cell>
        </row>
        <row r="2450">
          <cell r="A2450">
            <v>731943</v>
          </cell>
          <cell r="B2450" t="str">
            <v>FCGE04 FRANGO GRILLER BOREL 1200G KUWAIT</v>
          </cell>
          <cell r="C2450">
            <v>1.39</v>
          </cell>
          <cell r="D2450">
            <v>1.39</v>
          </cell>
          <cell r="E2450">
            <v>-0.28799999999999998</v>
          </cell>
          <cell r="F2450">
            <v>-3.8000000000000006E-2</v>
          </cell>
        </row>
        <row r="2451">
          <cell r="A2451">
            <v>736228</v>
          </cell>
          <cell r="B2451" t="str">
            <v>CCEX20 CHESTER INT TEMP C/M ANG CX 21KG</v>
          </cell>
          <cell r="C2451">
            <v>2.8069999999999999</v>
          </cell>
          <cell r="D2451">
            <v>2.8069999999999999</v>
          </cell>
          <cell r="E2451">
            <v>0</v>
          </cell>
          <cell r="F2451">
            <v>-0.11299999999999999</v>
          </cell>
        </row>
        <row r="2452">
          <cell r="A2452">
            <v>736287</v>
          </cell>
          <cell r="B2452" t="str">
            <v>LXO021 LINGUICA PAIO PERD ANGOLA CX20</v>
          </cell>
          <cell r="C2452">
            <v>5.31</v>
          </cell>
          <cell r="D2452">
            <v>5.31</v>
          </cell>
          <cell r="E2452">
            <v>0</v>
          </cell>
          <cell r="F2452">
            <v>-0.18100000000000005</v>
          </cell>
        </row>
        <row r="2453">
          <cell r="A2453">
            <v>736295</v>
          </cell>
          <cell r="B2453" t="str">
            <v>LSCE13 LOMBO SUI CONG PERD ANG CX 25KG</v>
          </cell>
          <cell r="C2453">
            <v>4.1390000000000002</v>
          </cell>
          <cell r="D2453">
            <v>4.1390000000000002</v>
          </cell>
          <cell r="E2453">
            <v>0</v>
          </cell>
          <cell r="F2453">
            <v>-0.1489999999999998</v>
          </cell>
        </row>
        <row r="2454">
          <cell r="A2454">
            <v>736333</v>
          </cell>
          <cell r="B2454" t="str">
            <v>CSCE31 CARRE BISTECA SUI CONG ANG CX10KG</v>
          </cell>
          <cell r="C2454">
            <v>2.83</v>
          </cell>
          <cell r="D2454">
            <v>2.83</v>
          </cell>
          <cell r="E2454">
            <v>0</v>
          </cell>
          <cell r="F2454">
            <v>-9.3999999999999972E-2</v>
          </cell>
        </row>
        <row r="2455">
          <cell r="A2455">
            <v>736341</v>
          </cell>
          <cell r="B2455" t="str">
            <v>CSCO26 COSTELA SUI CONG PERD ANG CX 25KG</v>
          </cell>
          <cell r="C2455">
            <v>2.6629999999999998</v>
          </cell>
          <cell r="D2455">
            <v>2.6629999999999998</v>
          </cell>
          <cell r="E2455">
            <v>0</v>
          </cell>
          <cell r="F2455">
            <v>-9.5999999999999863E-2</v>
          </cell>
        </row>
        <row r="2456">
          <cell r="A2456">
            <v>736350</v>
          </cell>
          <cell r="B2456" t="str">
            <v>CFEC78 COXA C/O/P BDJ 1KG PERD ANGOLA</v>
          </cell>
          <cell r="C2456">
            <v>2.157</v>
          </cell>
          <cell r="D2456">
            <v>2.157</v>
          </cell>
          <cell r="E2456">
            <v>-0.55300000000000005</v>
          </cell>
          <cell r="F2456">
            <v>-6.6000000000000003E-2</v>
          </cell>
        </row>
        <row r="2457">
          <cell r="A2457">
            <v>736368</v>
          </cell>
          <cell r="B2457" t="str">
            <v>PFEC47 PEITO S/O/P ITF ANGOLA CX 16KG</v>
          </cell>
          <cell r="C2457">
            <v>4.5430000000000001</v>
          </cell>
          <cell r="D2457">
            <v>4.5430000000000001</v>
          </cell>
          <cell r="E2457">
            <v>-7.9000000000000001E-2</v>
          </cell>
          <cell r="F2457">
            <v>-0.14799999999999991</v>
          </cell>
        </row>
        <row r="2458">
          <cell r="A2458">
            <v>736392</v>
          </cell>
          <cell r="B2458" t="str">
            <v>AIFC92 ASA 2A JTA TEBASAKI 38G/ABA PRIME</v>
          </cell>
          <cell r="C2458">
            <v>3.2930000000000001</v>
          </cell>
          <cell r="D2458">
            <v>3.2930000000000001</v>
          </cell>
          <cell r="E2458">
            <v>-0.13600000000000001</v>
          </cell>
          <cell r="F2458">
            <v>-0.1</v>
          </cell>
        </row>
        <row r="2459">
          <cell r="A2459">
            <v>736457</v>
          </cell>
          <cell r="B2459" t="str">
            <v>HFGE01 HAMBURGUER FGO PERD ANG CX 2,02KG</v>
          </cell>
          <cell r="C2459">
            <v>2.863</v>
          </cell>
          <cell r="D2459">
            <v>2.863</v>
          </cell>
          <cell r="E2459">
            <v>0</v>
          </cell>
          <cell r="F2459">
            <v>-9.5000000000000001E-2</v>
          </cell>
        </row>
        <row r="2460">
          <cell r="A2460">
            <v>736490</v>
          </cell>
          <cell r="B2460" t="str">
            <v>BCHE01 BIG CHICKEN PERD ANGOLA CX 6KG</v>
          </cell>
          <cell r="C2460">
            <v>5.2949999999999999</v>
          </cell>
          <cell r="D2460">
            <v>5.2949999999999999</v>
          </cell>
          <cell r="E2460">
            <v>-0.55300000000000005</v>
          </cell>
          <cell r="F2460">
            <v>-0.17</v>
          </cell>
        </row>
        <row r="2461">
          <cell r="A2461">
            <v>738468</v>
          </cell>
          <cell r="B2461" t="str">
            <v>FGEE01 FRANGO GRILLER BOREL ITALIA 1300G</v>
          </cell>
          <cell r="C2461">
            <v>1.3919999999999999</v>
          </cell>
          <cell r="D2461">
            <v>1.3919999999999999</v>
          </cell>
          <cell r="E2461">
            <v>-0.28100000000000003</v>
          </cell>
          <cell r="F2461">
            <v>-3.9000000000000007E-2</v>
          </cell>
        </row>
        <row r="2462">
          <cell r="A2462">
            <v>739081</v>
          </cell>
          <cell r="B2462" t="str">
            <v>ATI016 ASA 2A JTA FGO INDL PT2KG CX 16KG</v>
          </cell>
          <cell r="C2462">
            <v>2.2599999999999998</v>
          </cell>
          <cell r="D2462">
            <v>2.0190000000000001</v>
          </cell>
          <cell r="E2462">
            <v>0</v>
          </cell>
          <cell r="F2462">
            <v>0</v>
          </cell>
        </row>
        <row r="2463">
          <cell r="A2463">
            <v>741248</v>
          </cell>
          <cell r="B2463" t="str">
            <v>AIFC96 ASA INT CHT 130G/UP ITF WFCK 104</v>
          </cell>
          <cell r="C2463">
            <v>1.5189999999999999</v>
          </cell>
          <cell r="D2463">
            <v>1.5189999999999999</v>
          </cell>
          <cell r="E2463">
            <v>-7.5999999999999998E-2</v>
          </cell>
          <cell r="F2463">
            <v>-4.4999999999999998E-2</v>
          </cell>
        </row>
        <row r="2464">
          <cell r="A2464">
            <v>741361</v>
          </cell>
          <cell r="B2464" t="str">
            <v>CSCE38 COXA SOBREC C/O/P 180-200G ITF</v>
          </cell>
          <cell r="C2464">
            <v>2.073</v>
          </cell>
          <cell r="D2464">
            <v>2.073</v>
          </cell>
          <cell r="E2464">
            <v>-0.44600000000000001</v>
          </cell>
          <cell r="F2464">
            <v>-5.9000000000000025E-2</v>
          </cell>
        </row>
        <row r="2465">
          <cell r="A2465">
            <v>741388</v>
          </cell>
          <cell r="B2465" t="str">
            <v>CSCE40 COXA SOBREC C/O/P 200-220G ITF</v>
          </cell>
          <cell r="C2465">
            <v>2.073</v>
          </cell>
          <cell r="D2465">
            <v>2.073</v>
          </cell>
          <cell r="E2465">
            <v>-0.44600000000000001</v>
          </cell>
          <cell r="F2465">
            <v>-5.8999999999999997E-2</v>
          </cell>
        </row>
        <row r="2466">
          <cell r="A2466">
            <v>742007</v>
          </cell>
          <cell r="B2466" t="str">
            <v>PHC012 PRESUNTO CHT COZ COOK-IN CX 12KG</v>
          </cell>
          <cell r="C2466">
            <v>11.538</v>
          </cell>
          <cell r="D2466">
            <v>9.1549999999999994</v>
          </cell>
          <cell r="E2466">
            <v>0</v>
          </cell>
          <cell r="F2466">
            <v>-1.2070000000000007</v>
          </cell>
        </row>
        <row r="2467">
          <cell r="A2467">
            <v>742104</v>
          </cell>
          <cell r="B2467" t="str">
            <v>SCH246 SALSICHA CHESTER PERD 24PT CX 6KG</v>
          </cell>
          <cell r="C2467">
            <v>3.34</v>
          </cell>
          <cell r="D2467">
            <v>2.4649999999999999</v>
          </cell>
          <cell r="E2467">
            <v>-0.13800000000000001</v>
          </cell>
          <cell r="F2467">
            <v>-0.47299999999999998</v>
          </cell>
        </row>
        <row r="2468">
          <cell r="A2468">
            <v>748064</v>
          </cell>
          <cell r="B2468" t="str">
            <v>SAE005 FILEZINHO FGO EMP INST CX 5KG</v>
          </cell>
          <cell r="C2468">
            <v>7.96</v>
          </cell>
          <cell r="D2468">
            <v>6.319</v>
          </cell>
          <cell r="E2468">
            <v>0</v>
          </cell>
          <cell r="F2468">
            <v>-0.83299999999999974</v>
          </cell>
        </row>
        <row r="2469">
          <cell r="A2469">
            <v>748854</v>
          </cell>
          <cell r="B2469" t="str">
            <v>MBM006 MORTADELA BOLOGNELA MINI CX 6KG</v>
          </cell>
          <cell r="C2469">
            <v>1.349</v>
          </cell>
          <cell r="D2469">
            <v>1.1950000000000001</v>
          </cell>
          <cell r="E2469">
            <v>0</v>
          </cell>
          <cell r="F2469">
            <v>-0.253</v>
          </cell>
        </row>
        <row r="2470">
          <cell r="A2470">
            <v>748862</v>
          </cell>
          <cell r="B2470" t="str">
            <v>CRB168 CARRE BIST SUI PERD 16 BDJ CX 8KG</v>
          </cell>
          <cell r="C2470">
            <v>1.6519999999999999</v>
          </cell>
          <cell r="D2470">
            <v>1.496</v>
          </cell>
          <cell r="E2470">
            <v>-0.23300000000000001</v>
          </cell>
          <cell r="F2470">
            <v>-0.25800000000000001</v>
          </cell>
        </row>
        <row r="2471">
          <cell r="A2471">
            <v>751189</v>
          </cell>
          <cell r="B2471" t="str">
            <v>FEGC21 FRANGO GRILLER BOREL EAU 900G</v>
          </cell>
          <cell r="C2471">
            <v>1.7989999999999999</v>
          </cell>
          <cell r="D2471">
            <v>1.7989999999999999</v>
          </cell>
          <cell r="E2471">
            <v>-0.45200000000000001</v>
          </cell>
          <cell r="F2471">
            <v>-5.8000000000000003E-2</v>
          </cell>
        </row>
        <row r="2472">
          <cell r="A2472">
            <v>751200</v>
          </cell>
          <cell r="B2472" t="str">
            <v>FEGC23 FRANGO GRILLER BOREL EAU 1000G</v>
          </cell>
          <cell r="C2472">
            <v>1.7989999999999999</v>
          </cell>
          <cell r="D2472">
            <v>1.7989999999999999</v>
          </cell>
          <cell r="E2472">
            <v>-0.45200000000000001</v>
          </cell>
          <cell r="F2472">
            <v>-5.8000000000000003E-2</v>
          </cell>
        </row>
        <row r="2473">
          <cell r="A2473">
            <v>751219</v>
          </cell>
          <cell r="B2473" t="str">
            <v>FEGC24 FRANGO GRILLER BOREL EAU 1100G</v>
          </cell>
          <cell r="C2473">
            <v>1.7989999999999999</v>
          </cell>
          <cell r="D2473">
            <v>1.7989999999999999</v>
          </cell>
          <cell r="E2473">
            <v>-0.45200000000000001</v>
          </cell>
          <cell r="F2473">
            <v>-5.800000000000001E-2</v>
          </cell>
        </row>
        <row r="2474">
          <cell r="A2474">
            <v>751227</v>
          </cell>
          <cell r="B2474" t="str">
            <v>FEGC24 FRANGO GRILLER BOREL EAU 1200G</v>
          </cell>
          <cell r="C2474">
            <v>1.7989999999999999</v>
          </cell>
          <cell r="D2474">
            <v>1.7989999999999999</v>
          </cell>
          <cell r="E2474">
            <v>-0.45200000000000001</v>
          </cell>
          <cell r="F2474">
            <v>-5.800000000000001E-2</v>
          </cell>
        </row>
        <row r="2475">
          <cell r="A2475">
            <v>751235</v>
          </cell>
          <cell r="B2475" t="str">
            <v>FEGC26 FRANGO GRILLER BOREL EAU 1300G</v>
          </cell>
          <cell r="C2475">
            <v>1.7989999999999999</v>
          </cell>
          <cell r="D2475">
            <v>1.7989999999999999</v>
          </cell>
          <cell r="E2475">
            <v>-0.45200000000000001</v>
          </cell>
          <cell r="F2475">
            <v>-5.6999999999999995E-2</v>
          </cell>
        </row>
        <row r="2476">
          <cell r="A2476">
            <v>751243</v>
          </cell>
          <cell r="B2476" t="str">
            <v>FEGC27 FRANGO GRILLER BOREL EAU 1400G</v>
          </cell>
          <cell r="C2476">
            <v>1.7989999999999999</v>
          </cell>
          <cell r="D2476">
            <v>1.7989999999999999</v>
          </cell>
          <cell r="E2476">
            <v>-0.45200000000000001</v>
          </cell>
          <cell r="F2476">
            <v>-5.7000000000000002E-2</v>
          </cell>
        </row>
        <row r="2477">
          <cell r="A2477">
            <v>753270</v>
          </cell>
          <cell r="B2477" t="str">
            <v>PCEF78 PEITO S/O S/P S/CLAV C/F 250G UP</v>
          </cell>
          <cell r="C2477">
            <v>4.3280000000000003</v>
          </cell>
          <cell r="D2477">
            <v>4.3280000000000003</v>
          </cell>
          <cell r="E2477">
            <v>-0.39900000000000002</v>
          </cell>
          <cell r="F2477">
            <v>-0.121</v>
          </cell>
        </row>
        <row r="2478">
          <cell r="A2478">
            <v>753343</v>
          </cell>
          <cell r="B2478" t="str">
            <v>PEITO S/OPC C/F 250G UP IND VAC CANARIAS</v>
          </cell>
          <cell r="C2478">
            <v>4.617</v>
          </cell>
          <cell r="D2478">
            <v>4.617</v>
          </cell>
          <cell r="E2478">
            <v>-0.32</v>
          </cell>
          <cell r="F2478">
            <v>-0.14800000000000013</v>
          </cell>
        </row>
        <row r="2479">
          <cell r="A2479">
            <v>753378</v>
          </cell>
          <cell r="B2479" t="str">
            <v>PCEF85 PEITO S/O S/P S/CLAV C/F 250G UP</v>
          </cell>
          <cell r="C2479">
            <v>5.1950000000000003</v>
          </cell>
          <cell r="D2479">
            <v>5.1950000000000003</v>
          </cell>
          <cell r="E2479">
            <v>-0.41599999999999998</v>
          </cell>
          <cell r="F2479">
            <v>-0.155</v>
          </cell>
        </row>
        <row r="2480">
          <cell r="A2480">
            <v>753432</v>
          </cell>
          <cell r="B2480" t="str">
            <v>PEITO S/OPC C/F ITF PERD CANARIAS</v>
          </cell>
          <cell r="C2480">
            <v>2.9710000000000001</v>
          </cell>
          <cell r="D2480">
            <v>2.9710000000000001</v>
          </cell>
          <cell r="E2480">
            <v>-0.31</v>
          </cell>
          <cell r="F2480">
            <v>-8.3999999999999964E-2</v>
          </cell>
        </row>
        <row r="2481">
          <cell r="A2481">
            <v>753602</v>
          </cell>
          <cell r="B2481" t="str">
            <v>PECF09 PEITO S/O S/P S/F S/CLAV 50-90G</v>
          </cell>
          <cell r="C2481">
            <v>3.5529999999999999</v>
          </cell>
          <cell r="D2481">
            <v>3.5529999999999999</v>
          </cell>
          <cell r="E2481">
            <v>-0.307</v>
          </cell>
          <cell r="F2481">
            <v>-0.125</v>
          </cell>
        </row>
        <row r="2482">
          <cell r="A2482">
            <v>753645</v>
          </cell>
          <cell r="B2482" t="str">
            <v>PECF13 PEITO S/O S/P S/F S/CLAV 50-90G</v>
          </cell>
          <cell r="C2482">
            <v>3.6850000000000001</v>
          </cell>
          <cell r="D2482">
            <v>3.6850000000000001</v>
          </cell>
          <cell r="E2482">
            <v>-0.29399999999999998</v>
          </cell>
          <cell r="F2482">
            <v>-0.12399999999999997</v>
          </cell>
        </row>
        <row r="2483">
          <cell r="A2483">
            <v>753769</v>
          </cell>
          <cell r="B2483" t="str">
            <v>PECF24 PEITO S/O S/P S/CLAV C/F CHESTER</v>
          </cell>
          <cell r="C2483">
            <v>5.3140000000000001</v>
          </cell>
          <cell r="D2483">
            <v>5.3140000000000001</v>
          </cell>
          <cell r="E2483">
            <v>-0.41</v>
          </cell>
          <cell r="F2483">
            <v>-0.15900000000000003</v>
          </cell>
        </row>
        <row r="2484">
          <cell r="A2484">
            <v>753785</v>
          </cell>
          <cell r="B2484" t="str">
            <v>PECF26 PEITO S/OPC C/F CHT ITF PERD CANA</v>
          </cell>
          <cell r="C2484">
            <v>3.79</v>
          </cell>
          <cell r="D2484">
            <v>3.79</v>
          </cell>
          <cell r="E2484">
            <v>-0.38900000000000001</v>
          </cell>
          <cell r="F2484">
            <v>-0.15</v>
          </cell>
        </row>
        <row r="2485">
          <cell r="A2485">
            <v>753793</v>
          </cell>
          <cell r="B2485" t="str">
            <v>PECF27 PEITO S/OPC CF CHT ITF PERD CANA</v>
          </cell>
          <cell r="C2485">
            <v>3.371</v>
          </cell>
          <cell r="D2485">
            <v>3.371</v>
          </cell>
          <cell r="E2485">
            <v>-0.307</v>
          </cell>
          <cell r="F2485">
            <v>-0.11900000000000001</v>
          </cell>
        </row>
        <row r="2486">
          <cell r="A2486">
            <v>753866</v>
          </cell>
          <cell r="B2486" t="str">
            <v>CSCE62 COXA/SOBREC S/O/P IND/VAC PERD</v>
          </cell>
          <cell r="C2486">
            <v>2.782</v>
          </cell>
          <cell r="D2486">
            <v>2.782</v>
          </cell>
          <cell r="E2486">
            <v>-0.35799999999999998</v>
          </cell>
          <cell r="F2486">
            <v>-7.6999999999999985E-2</v>
          </cell>
        </row>
        <row r="2487">
          <cell r="A2487">
            <v>753874</v>
          </cell>
          <cell r="B2487" t="str">
            <v>CSCE63 COXA/SOBREC S/O/P IND/VAC PERD</v>
          </cell>
          <cell r="C2487">
            <v>2.8149999999999999</v>
          </cell>
          <cell r="D2487">
            <v>2.8149999999999999</v>
          </cell>
          <cell r="E2487">
            <v>-0.36899999999999999</v>
          </cell>
          <cell r="F2487">
            <v>-9.1000000000000025E-2</v>
          </cell>
        </row>
        <row r="2488">
          <cell r="A2488">
            <v>753882</v>
          </cell>
          <cell r="B2488" t="str">
            <v>CSCE64 COXA/SOBREC S/O/P IND/VAC PERD</v>
          </cell>
          <cell r="C2488">
            <v>2.9540000000000002</v>
          </cell>
          <cell r="D2488">
            <v>2.9540000000000002</v>
          </cell>
          <cell r="E2488">
            <v>-0.376</v>
          </cell>
          <cell r="F2488">
            <v>-8.7000000000000022E-2</v>
          </cell>
        </row>
        <row r="2489">
          <cell r="A2489">
            <v>753890</v>
          </cell>
          <cell r="B2489" t="str">
            <v>CSCE65 COXA/SOBREC S/O/P IND/VAC PERD</v>
          </cell>
          <cell r="C2489">
            <v>2.8639999999999999</v>
          </cell>
          <cell r="D2489">
            <v>2.8639999999999999</v>
          </cell>
          <cell r="E2489">
            <v>-0.36299999999999999</v>
          </cell>
          <cell r="F2489">
            <v>-0.11199999999999996</v>
          </cell>
        </row>
        <row r="2490">
          <cell r="A2490">
            <v>753971</v>
          </cell>
          <cell r="B2490" t="str">
            <v>CSCE73 COXA/SOBREC S/O/P ITF PERD ANSARO</v>
          </cell>
          <cell r="C2490">
            <v>2.8149999999999999</v>
          </cell>
          <cell r="D2490">
            <v>2.8149999999999999</v>
          </cell>
          <cell r="E2490">
            <v>-0.36</v>
          </cell>
          <cell r="F2490">
            <v>-0.09</v>
          </cell>
        </row>
        <row r="2491">
          <cell r="A2491">
            <v>753980</v>
          </cell>
          <cell r="B2491" t="str">
            <v>CSCE74 COXA/SOBREC S/O/P ITF PERD CANAR</v>
          </cell>
          <cell r="C2491">
            <v>2.7690000000000001</v>
          </cell>
          <cell r="D2491">
            <v>2.7690000000000001</v>
          </cell>
          <cell r="E2491">
            <v>-0.36099999999999999</v>
          </cell>
          <cell r="F2491">
            <v>-0.10900000000000001</v>
          </cell>
        </row>
        <row r="2492">
          <cell r="A2492">
            <v>754021</v>
          </cell>
          <cell r="B2492" t="str">
            <v>CSCE78 COXA/SOBREC S/OP ITF PERD CANAR</v>
          </cell>
          <cell r="C2492">
            <v>2.7690000000000001</v>
          </cell>
          <cell r="D2492">
            <v>2.7690000000000001</v>
          </cell>
          <cell r="E2492">
            <v>-0.34300000000000003</v>
          </cell>
          <cell r="F2492">
            <v>-9.1999999999999998E-2</v>
          </cell>
        </row>
        <row r="2493">
          <cell r="A2493">
            <v>754056</v>
          </cell>
          <cell r="B2493" t="str">
            <v>CFEC79 CO0A C/O C/P DRUMSTICK PT 1KG IQF</v>
          </cell>
          <cell r="C2493">
            <v>1.7589999999999999</v>
          </cell>
          <cell r="D2493">
            <v>1.7589999999999999</v>
          </cell>
          <cell r="E2493">
            <v>-0.309</v>
          </cell>
          <cell r="F2493">
            <v>-4.7999999999999987E-2</v>
          </cell>
        </row>
        <row r="2494">
          <cell r="A2494">
            <v>754064</v>
          </cell>
          <cell r="B2494" t="str">
            <v>CFEC80 COXA C/O C/P DRUMSTICK PT 1KG IQF</v>
          </cell>
          <cell r="C2494">
            <v>2.14</v>
          </cell>
          <cell r="D2494">
            <v>2.14</v>
          </cell>
          <cell r="E2494">
            <v>-0.36</v>
          </cell>
          <cell r="F2494">
            <v>-6.2E-2</v>
          </cell>
        </row>
        <row r="2495">
          <cell r="A2495">
            <v>754099</v>
          </cell>
          <cell r="B2495" t="str">
            <v>CFEC83 CO0A C/O/P DRUMSTICK PT 1KG IQF</v>
          </cell>
          <cell r="C2495">
            <v>1.7450000000000001</v>
          </cell>
          <cell r="D2495">
            <v>1.7450000000000001</v>
          </cell>
          <cell r="E2495">
            <v>-0.31</v>
          </cell>
          <cell r="F2495">
            <v>-4.8000000000000001E-2</v>
          </cell>
        </row>
        <row r="2496">
          <cell r="A2496">
            <v>754269</v>
          </cell>
          <cell r="B2496" t="str">
            <v>AIFE14 ASA 1A JTA DRUMETTE PT 1KG IQF</v>
          </cell>
          <cell r="C2496">
            <v>1.8080000000000001</v>
          </cell>
          <cell r="D2496">
            <v>1.8080000000000001</v>
          </cell>
          <cell r="E2496">
            <v>-0.34499999999999997</v>
          </cell>
          <cell r="F2496">
            <v>-6.8999999999999978E-2</v>
          </cell>
        </row>
        <row r="2497">
          <cell r="A2497">
            <v>754277</v>
          </cell>
          <cell r="B2497" t="str">
            <v>AIFE15 ASA 1A JTA DRUMETTE PT 1KG IQF</v>
          </cell>
          <cell r="C2497">
            <v>2.14</v>
          </cell>
          <cell r="D2497">
            <v>2.14</v>
          </cell>
          <cell r="E2497">
            <v>-0.36</v>
          </cell>
          <cell r="F2497">
            <v>-6.3E-2</v>
          </cell>
        </row>
        <row r="2498">
          <cell r="A2498">
            <v>754307</v>
          </cell>
          <cell r="B2498" t="str">
            <v>ASA 1A JTA DRUMETTE PT 1KG IQF CANARIAS</v>
          </cell>
          <cell r="C2498">
            <v>1.7450000000000001</v>
          </cell>
          <cell r="D2498">
            <v>1.7450000000000001</v>
          </cell>
          <cell r="E2498">
            <v>-0.31</v>
          </cell>
          <cell r="F2498">
            <v>-4.9000000000000016E-2</v>
          </cell>
        </row>
        <row r="2499">
          <cell r="A2499">
            <v>754722</v>
          </cell>
          <cell r="B2499" t="str">
            <v>FFCE18 FIGADO BDJ 500G PERD CAN CX 12KG</v>
          </cell>
          <cell r="C2499">
            <v>1.9530000000000001</v>
          </cell>
          <cell r="D2499">
            <v>1.9530000000000001</v>
          </cell>
          <cell r="E2499">
            <v>-0.34499999999999997</v>
          </cell>
          <cell r="F2499">
            <v>-5.2999999999999936E-2</v>
          </cell>
        </row>
        <row r="2500">
          <cell r="A2500">
            <v>754749</v>
          </cell>
          <cell r="B2500" t="str">
            <v>FFCE20 FIGADO BDJ 500G PERD (R.CHICO)CAN</v>
          </cell>
          <cell r="C2500">
            <v>1.8540000000000001</v>
          </cell>
          <cell r="D2500">
            <v>1.8540000000000001</v>
          </cell>
          <cell r="E2500">
            <v>-0.34699999999999998</v>
          </cell>
          <cell r="F2500">
            <v>-5.8000000000000052E-2</v>
          </cell>
        </row>
        <row r="2501">
          <cell r="A2501">
            <v>754790</v>
          </cell>
          <cell r="B2501" t="str">
            <v>MFCE20 MOELA BDJ 500G PERD (R.CHICO)CANA</v>
          </cell>
          <cell r="C2501">
            <v>1.8540000000000001</v>
          </cell>
          <cell r="D2501">
            <v>1.8540000000000001</v>
          </cell>
          <cell r="E2501">
            <v>-0.34699999999999998</v>
          </cell>
          <cell r="F2501">
            <v>-5.7999999999999996E-2</v>
          </cell>
        </row>
        <row r="2502">
          <cell r="A2502">
            <v>755052</v>
          </cell>
          <cell r="B2502" t="str">
            <v>FEGC35 FRANGO GRIL PERD CANAR 1300G</v>
          </cell>
          <cell r="C2502">
            <v>2.032</v>
          </cell>
          <cell r="D2502">
            <v>2.032</v>
          </cell>
          <cell r="E2502">
            <v>-0.35199999999999998</v>
          </cell>
          <cell r="F2502">
            <v>-6.4000000000000001E-2</v>
          </cell>
        </row>
        <row r="2503">
          <cell r="A2503">
            <v>755591</v>
          </cell>
          <cell r="B2503" t="str">
            <v>AIFE23 ASA INT ITF PERD (ANSARO) CX 16KG</v>
          </cell>
          <cell r="C2503">
            <v>2.0379999999999998</v>
          </cell>
          <cell r="D2503">
            <v>2.0379999999999998</v>
          </cell>
          <cell r="E2503">
            <v>-0.35799999999999998</v>
          </cell>
          <cell r="F2503">
            <v>-0.06</v>
          </cell>
        </row>
        <row r="2504">
          <cell r="A2504">
            <v>756849</v>
          </cell>
          <cell r="B2504" t="str">
            <v>FIC016 FRANGO INT TEMP CARC CONG CX 16KG</v>
          </cell>
          <cell r="C2504">
            <v>1.893</v>
          </cell>
          <cell r="D2504">
            <v>1.5760000000000001</v>
          </cell>
          <cell r="E2504">
            <v>-0.35399999999999998</v>
          </cell>
          <cell r="F2504">
            <v>-0.14699999999999999</v>
          </cell>
        </row>
        <row r="2505">
          <cell r="A2505">
            <v>757306</v>
          </cell>
          <cell r="B2505" t="str">
            <v>ASA INT 120-150G PT 2,27KG ACHAT CING</v>
          </cell>
          <cell r="C2505">
            <v>2.0030000000000001</v>
          </cell>
          <cell r="D2505">
            <v>2.0030000000000001</v>
          </cell>
          <cell r="E2505">
            <v>-0.47</v>
          </cell>
          <cell r="F2505">
            <v>-6.8000000000000005E-2</v>
          </cell>
        </row>
        <row r="2506">
          <cell r="A2506">
            <v>758060</v>
          </cell>
          <cell r="B2506" t="str">
            <v>FEGC41 FRANGO GRILLER 1200G CANARIAS</v>
          </cell>
          <cell r="C2506">
            <v>2.1150000000000002</v>
          </cell>
          <cell r="D2506">
            <v>2.1150000000000002</v>
          </cell>
          <cell r="E2506">
            <v>-0.318</v>
          </cell>
          <cell r="F2506">
            <v>-6.6000000000000003E-2</v>
          </cell>
        </row>
        <row r="2507">
          <cell r="A2507">
            <v>758094</v>
          </cell>
          <cell r="B2507" t="str">
            <v>AIFE32 TULIPA VIRADA 1A JTA 40-50G</v>
          </cell>
          <cell r="C2507">
            <v>3.7949999999999999</v>
          </cell>
          <cell r="D2507">
            <v>3.7949999999999999</v>
          </cell>
          <cell r="E2507">
            <v>-0.52400000000000002</v>
          </cell>
          <cell r="F2507">
            <v>-0.11899999999999999</v>
          </cell>
        </row>
        <row r="2508">
          <cell r="A2508">
            <v>758159</v>
          </cell>
          <cell r="B2508" t="str">
            <v>LSCE16 LOMBO SUINO CONG 1,2KG/UP URUGUAI</v>
          </cell>
          <cell r="C2508">
            <v>4.8369999999999997</v>
          </cell>
          <cell r="D2508">
            <v>4.8369999999999997</v>
          </cell>
          <cell r="E2508">
            <v>-0.29699999999999999</v>
          </cell>
          <cell r="F2508">
            <v>-0.13700000000000001</v>
          </cell>
        </row>
        <row r="2509">
          <cell r="A2509">
            <v>759422</v>
          </cell>
          <cell r="B2509" t="str">
            <v>PECF50 PEITO S/OPFC MET 140G/UP CX 15KG</v>
          </cell>
          <cell r="C2509">
            <v>3.2450000000000001</v>
          </cell>
          <cell r="D2509">
            <v>3.2450000000000001</v>
          </cell>
          <cell r="E2509">
            <v>-0.28699999999999998</v>
          </cell>
          <cell r="F2509">
            <v>-0.11700000000000005</v>
          </cell>
        </row>
        <row r="2510">
          <cell r="A2510">
            <v>761125</v>
          </cell>
          <cell r="B2510" t="str">
            <v>FFCE24 FIGADO BDJ 500G PERD CAN CX 12KG</v>
          </cell>
          <cell r="C2510">
            <v>1.8089999999999999</v>
          </cell>
          <cell r="D2510">
            <v>1.8089999999999999</v>
          </cell>
          <cell r="E2510">
            <v>-0.30499999999999999</v>
          </cell>
          <cell r="F2510">
            <v>-6.3000000000000056E-2</v>
          </cell>
        </row>
        <row r="2511">
          <cell r="A2511">
            <v>764272</v>
          </cell>
          <cell r="B2511" t="str">
            <v>CLCE06 COPA LOMBO S/O SUI CX 25KG URUGUA</v>
          </cell>
          <cell r="C2511">
            <v>3.5339999999999998</v>
          </cell>
          <cell r="D2511">
            <v>3.5339999999999998</v>
          </cell>
          <cell r="E2511">
            <v>-0.314</v>
          </cell>
          <cell r="F2511">
            <v>-0.1</v>
          </cell>
        </row>
        <row r="2512">
          <cell r="A2512">
            <v>764949</v>
          </cell>
          <cell r="B2512" t="str">
            <v>PECF72 PEITO S/OPFC MET 80G/UP NQ ALEM</v>
          </cell>
          <cell r="C2512">
            <v>4.1059999999999999</v>
          </cell>
          <cell r="D2512">
            <v>4.1059999999999999</v>
          </cell>
          <cell r="E2512">
            <v>-0.29099999999999998</v>
          </cell>
          <cell r="F2512">
            <v>-0.11599999999999988</v>
          </cell>
        </row>
        <row r="2513">
          <cell r="A2513">
            <v>766011</v>
          </cell>
          <cell r="B2513" t="str">
            <v>PTM005 PEITO TEMP MET CONG PT 5KG PERD</v>
          </cell>
          <cell r="C2513">
            <v>4.7480000000000002</v>
          </cell>
          <cell r="D2513">
            <v>3.9540000000000002</v>
          </cell>
          <cell r="E2513">
            <v>-0.19</v>
          </cell>
          <cell r="F2513">
            <v>-0.24</v>
          </cell>
        </row>
        <row r="2514">
          <cell r="A2514">
            <v>766518</v>
          </cell>
          <cell r="B2514" t="str">
            <v>CFEC90 COXA C/OP DRUMSTICK PT 1KG IQF</v>
          </cell>
          <cell r="C2514">
            <v>1.776</v>
          </cell>
          <cell r="D2514">
            <v>1.776</v>
          </cell>
          <cell r="E2514">
            <v>-0.34899999999999998</v>
          </cell>
          <cell r="F2514">
            <v>-6.8000000000000005E-2</v>
          </cell>
        </row>
        <row r="2515">
          <cell r="A2515">
            <v>769797</v>
          </cell>
          <cell r="B2515" t="str">
            <v>PECF90 PEITO S/OPFC PT 1KG BORELLA</v>
          </cell>
          <cell r="C2515">
            <v>4.4359999999999999</v>
          </cell>
          <cell r="D2515">
            <v>4.4359999999999999</v>
          </cell>
          <cell r="E2515">
            <v>-0.61699999999999999</v>
          </cell>
          <cell r="F2515">
            <v>-0.13100000000000001</v>
          </cell>
        </row>
        <row r="2516">
          <cell r="A2516">
            <v>770981</v>
          </cell>
          <cell r="B2516" t="str">
            <v>AIFE41 ASA INT 100-120G PT 2,27KG PERD</v>
          </cell>
          <cell r="C2516">
            <v>2.0030000000000001</v>
          </cell>
          <cell r="D2516">
            <v>2.0030000000000001</v>
          </cell>
          <cell r="E2516">
            <v>-0.44</v>
          </cell>
          <cell r="F2516">
            <v>-6.9000000000000006E-2</v>
          </cell>
        </row>
        <row r="2517">
          <cell r="A2517">
            <v>771503</v>
          </cell>
          <cell r="B2517" t="str">
            <v>CFEC92 COXA C/OP 100-120G ITF PERD</v>
          </cell>
          <cell r="C2517">
            <v>2.4</v>
          </cell>
          <cell r="D2517">
            <v>2.4</v>
          </cell>
          <cell r="E2517">
            <v>-0.49</v>
          </cell>
          <cell r="F2517">
            <v>-6.5000000000000002E-2</v>
          </cell>
        </row>
        <row r="2518">
          <cell r="A2518">
            <v>771511</v>
          </cell>
          <cell r="B2518" t="str">
            <v>CFEC93 COXA C/OP 120-140G ITF PERD</v>
          </cell>
          <cell r="C2518">
            <v>2.4</v>
          </cell>
          <cell r="D2518">
            <v>2.4</v>
          </cell>
          <cell r="E2518">
            <v>-0.49</v>
          </cell>
          <cell r="F2518">
            <v>6.0000000000000053E-2</v>
          </cell>
        </row>
        <row r="2519">
          <cell r="A2519">
            <v>774847</v>
          </cell>
          <cell r="B2519" t="str">
            <v>CSEC58 COXA/SOB C/OP ITF ANGOLA CX 15KG</v>
          </cell>
          <cell r="C2519">
            <v>1.7090000000000001</v>
          </cell>
          <cell r="D2519">
            <v>1.7090000000000001</v>
          </cell>
          <cell r="E2519">
            <v>0</v>
          </cell>
          <cell r="F2519">
            <v>-6.2E-2</v>
          </cell>
        </row>
        <row r="2520">
          <cell r="A2520">
            <v>775320</v>
          </cell>
          <cell r="B2520" t="str">
            <v>FNB008 FRANGO NABRASA BDJ 1700G PERD</v>
          </cell>
          <cell r="C2520">
            <v>0.17399999999999999</v>
          </cell>
          <cell r="D2520">
            <v>0.13200000000000001</v>
          </cell>
          <cell r="E2520">
            <v>-0.248</v>
          </cell>
          <cell r="F2520">
            <v>-0.10799999999999987</v>
          </cell>
        </row>
        <row r="2521">
          <cell r="A2521">
            <v>775681</v>
          </cell>
          <cell r="B2521" t="str">
            <v>SBD166 SALSICHA SUI BIG DOG PERD 16PT</v>
          </cell>
          <cell r="C2521">
            <v>2.5</v>
          </cell>
          <cell r="D2521">
            <v>2.234</v>
          </cell>
          <cell r="E2521">
            <v>0</v>
          </cell>
          <cell r="F2521">
            <v>-0.29499999999999998</v>
          </cell>
        </row>
        <row r="2522">
          <cell r="A2522">
            <v>775711</v>
          </cell>
          <cell r="B2522" t="str">
            <v>SRS306 SALSICHA RESF S/CORANTE PERD 3PT</v>
          </cell>
          <cell r="C2522">
            <v>1.6220000000000001</v>
          </cell>
          <cell r="D2522">
            <v>1.2869999999999999</v>
          </cell>
          <cell r="E2522">
            <v>0</v>
          </cell>
          <cell r="F2522">
            <v>-0.21</v>
          </cell>
        </row>
        <row r="2523">
          <cell r="A2523">
            <v>775720</v>
          </cell>
          <cell r="B2523" t="str">
            <v>SCQ306 SALSICHA COQUETEL PERD 3PT CX6</v>
          </cell>
          <cell r="C2523">
            <v>1.3859999999999999</v>
          </cell>
          <cell r="D2523">
            <v>1.048</v>
          </cell>
          <cell r="E2523">
            <v>-0.309</v>
          </cell>
          <cell r="F2523">
            <v>-0.14000000000000001</v>
          </cell>
        </row>
        <row r="2524">
          <cell r="A2524">
            <v>775738</v>
          </cell>
          <cell r="B2524" t="str">
            <v>SQE154 TIRAS QUEIJO EMP CART 300G</v>
          </cell>
          <cell r="C2524">
            <v>10.417999999999999</v>
          </cell>
          <cell r="D2524">
            <v>8.266</v>
          </cell>
          <cell r="E2524">
            <v>0</v>
          </cell>
          <cell r="F2524">
            <v>-1.2789999999999995</v>
          </cell>
        </row>
        <row r="2525">
          <cell r="A2525">
            <v>776246</v>
          </cell>
          <cell r="B2525" t="str">
            <v>FEGC65 FRANGO GRILLER PERD 1400G CX 14KG</v>
          </cell>
          <cell r="C2525">
            <v>1.7170000000000001</v>
          </cell>
          <cell r="D2525">
            <v>1.7170000000000001</v>
          </cell>
          <cell r="E2525">
            <v>0</v>
          </cell>
          <cell r="F2525">
            <v>-5.600000000000005E-2</v>
          </cell>
        </row>
        <row r="2526">
          <cell r="A2526">
            <v>777188</v>
          </cell>
          <cell r="B2526" t="str">
            <v>COXA FGO TEMP CONG PT 1KG PERD IMAI CX16</v>
          </cell>
          <cell r="C2526">
            <v>2.8180000000000001</v>
          </cell>
          <cell r="D2526">
            <v>2.8180000000000001</v>
          </cell>
          <cell r="E2526">
            <v>-8.2000000000000003E-2</v>
          </cell>
          <cell r="F2526">
            <v>-0.11399999999999988</v>
          </cell>
        </row>
        <row r="2527">
          <cell r="A2527">
            <v>777250</v>
          </cell>
          <cell r="B2527" t="str">
            <v>FEGC68 FRANGO GRIL PERD 1200G CANARIAS</v>
          </cell>
          <cell r="C2527">
            <v>1.4830000000000001</v>
          </cell>
          <cell r="D2527">
            <v>1.4830000000000001</v>
          </cell>
          <cell r="E2527">
            <v>-0.3</v>
          </cell>
          <cell r="F2527">
            <v>-4.0999999999999995E-2</v>
          </cell>
        </row>
        <row r="2528">
          <cell r="A2528">
            <v>777269</v>
          </cell>
          <cell r="B2528" t="str">
            <v>FEGC69 FRANGO GRIL PERD 1300G CANARIAS</v>
          </cell>
          <cell r="C2528">
            <v>1.4830000000000001</v>
          </cell>
          <cell r="D2528">
            <v>1.4830000000000001</v>
          </cell>
          <cell r="E2528">
            <v>-0.3</v>
          </cell>
          <cell r="F2528">
            <v>-4.0999999999999995E-2</v>
          </cell>
        </row>
        <row r="2529">
          <cell r="A2529">
            <v>777277</v>
          </cell>
          <cell r="B2529" t="str">
            <v>FEGC70 FRANGO GRIL PERD 1400G CANARIAS</v>
          </cell>
          <cell r="C2529">
            <v>1.4830000000000001</v>
          </cell>
          <cell r="D2529">
            <v>1.4830000000000001</v>
          </cell>
          <cell r="E2529">
            <v>-0.3</v>
          </cell>
          <cell r="F2529">
            <v>-4.0999999999999995E-2</v>
          </cell>
        </row>
        <row r="2530">
          <cell r="A2530">
            <v>777498</v>
          </cell>
          <cell r="B2530" t="str">
            <v>MFCE34 MOELA FGO PT 1KG BORELLA CX 16KG</v>
          </cell>
          <cell r="C2530">
            <v>1.893</v>
          </cell>
          <cell r="D2530">
            <v>1.893</v>
          </cell>
          <cell r="E2530">
            <v>-0.34899999999999998</v>
          </cell>
          <cell r="F2530">
            <v>-5.5000000000000049E-2</v>
          </cell>
        </row>
        <row r="2531">
          <cell r="A2531">
            <v>778915</v>
          </cell>
          <cell r="B2531" t="str">
            <v>CSEC79 COXA C/OP DRUMSTICK PT 1KG PERD</v>
          </cell>
          <cell r="C2531">
            <v>2.1429999999999998</v>
          </cell>
          <cell r="D2531">
            <v>2.1429999999999998</v>
          </cell>
          <cell r="E2531">
            <v>-0.35599999999999998</v>
          </cell>
          <cell r="F2531">
            <v>-6.3E-2</v>
          </cell>
        </row>
        <row r="2532">
          <cell r="A2532">
            <v>778974</v>
          </cell>
          <cell r="B2532" t="str">
            <v>PFEC26 PEITO S/OPC C/F 250G/UP ITF PERD</v>
          </cell>
          <cell r="C2532">
            <v>4.5190000000000001</v>
          </cell>
          <cell r="D2532">
            <v>4.5190000000000001</v>
          </cell>
          <cell r="E2532">
            <v>-0.32</v>
          </cell>
          <cell r="F2532">
            <v>-0.14499999999999999</v>
          </cell>
        </row>
        <row r="2533">
          <cell r="A2533">
            <v>780111</v>
          </cell>
          <cell r="B2533" t="str">
            <v>MFX123 MINI FISH EMP PERD CART 300G</v>
          </cell>
          <cell r="C2533">
            <v>7.6950000000000003</v>
          </cell>
          <cell r="D2533">
            <v>6.1239999999999997</v>
          </cell>
          <cell r="E2533">
            <v>-0.38800000000000001</v>
          </cell>
          <cell r="F2533">
            <v>-0.92600000000000016</v>
          </cell>
        </row>
        <row r="2534">
          <cell r="A2534">
            <v>780120</v>
          </cell>
          <cell r="B2534" t="str">
            <v>SPX123 STICK PEIXE EMP PERD CART 300G</v>
          </cell>
          <cell r="C2534">
            <v>5.4939999999999998</v>
          </cell>
          <cell r="D2534">
            <v>4.1369999999999996</v>
          </cell>
          <cell r="E2534">
            <v>-0.35299999999999998</v>
          </cell>
          <cell r="F2534">
            <v>-0.65600000000000014</v>
          </cell>
        </row>
        <row r="2535">
          <cell r="A2535">
            <v>780146</v>
          </cell>
          <cell r="B2535" t="str">
            <v>FPX124 FILE PEIXE EMP PERD 340G 4,08KG</v>
          </cell>
          <cell r="C2535">
            <v>8.5370000000000008</v>
          </cell>
          <cell r="D2535">
            <v>6.4320000000000004</v>
          </cell>
          <cell r="E2535">
            <v>-0.33500000000000002</v>
          </cell>
          <cell r="F2535">
            <v>-0.96899999999999997</v>
          </cell>
        </row>
        <row r="2536">
          <cell r="A2536">
            <v>780235</v>
          </cell>
          <cell r="B2536" t="str">
            <v>PPG147 PEITO CHT A PARMEGIANA BDJ 500G</v>
          </cell>
          <cell r="C2536">
            <v>9.407</v>
          </cell>
          <cell r="D2536">
            <v>7.4640000000000004</v>
          </cell>
          <cell r="E2536">
            <v>0</v>
          </cell>
          <cell r="F2536">
            <v>-1.278</v>
          </cell>
        </row>
        <row r="2537">
          <cell r="A2537">
            <v>782777</v>
          </cell>
          <cell r="B2537" t="str">
            <v>SFA003 STEAK FGO INST PERD CX 3KG</v>
          </cell>
          <cell r="C2537">
            <v>3.9729999999999999</v>
          </cell>
          <cell r="D2537">
            <v>2.9670000000000001</v>
          </cell>
          <cell r="E2537">
            <v>-0.17499999999999999</v>
          </cell>
          <cell r="F2537">
            <v>-0.49099999999999999</v>
          </cell>
        </row>
        <row r="2538">
          <cell r="A2538">
            <v>783420</v>
          </cell>
          <cell r="B2538" t="str">
            <v>SFCE49 SOBRECOXA C/OP 120-140G ITF PERD</v>
          </cell>
          <cell r="C2538">
            <v>2.3940000000000001</v>
          </cell>
          <cell r="D2538">
            <v>2.3940000000000001</v>
          </cell>
          <cell r="E2538">
            <v>-0.48899999999999999</v>
          </cell>
          <cell r="F2538">
            <v>-6.5000000000000002E-2</v>
          </cell>
        </row>
        <row r="2539">
          <cell r="A2539">
            <v>783439</v>
          </cell>
          <cell r="B2539" t="str">
            <v>SFCE50 SOBRECOXA C/OP 140-160G ITF PERD</v>
          </cell>
          <cell r="C2539">
            <v>2.3980000000000001</v>
          </cell>
          <cell r="D2539">
            <v>2.3980000000000001</v>
          </cell>
          <cell r="E2539">
            <v>-0.48899999999999999</v>
          </cell>
          <cell r="F2539">
            <v>-6.5000000000000002E-2</v>
          </cell>
        </row>
        <row r="2540">
          <cell r="A2540">
            <v>783706</v>
          </cell>
          <cell r="B2540" t="str">
            <v>FDCE19 FRANGO DESOS S/ASA PT 2,5KG ACHAT</v>
          </cell>
          <cell r="C2540">
            <v>2.706</v>
          </cell>
          <cell r="D2540">
            <v>2.706</v>
          </cell>
          <cell r="E2540">
            <v>-0.50900000000000001</v>
          </cell>
          <cell r="F2540">
            <v>-9.4000000000000014E-2</v>
          </cell>
        </row>
        <row r="2541">
          <cell r="A2541">
            <v>786543</v>
          </cell>
          <cell r="B2541" t="str">
            <v>PFEC61 PEITO S/OPFC MET 100G COZ/ASSADO</v>
          </cell>
          <cell r="C2541">
            <v>6.5629999999999997</v>
          </cell>
          <cell r="D2541">
            <v>6.5629999999999997</v>
          </cell>
          <cell r="E2541">
            <v>-0.40400000000000003</v>
          </cell>
          <cell r="F2541">
            <v>-0.19700000000000006</v>
          </cell>
        </row>
        <row r="2542">
          <cell r="A2542">
            <v>787094</v>
          </cell>
          <cell r="B2542" t="str">
            <v>AIFE51 ASA INT FGO ITF PERD ANG CX 15KG</v>
          </cell>
          <cell r="C2542">
            <v>1.944</v>
          </cell>
          <cell r="D2542">
            <v>1.944</v>
          </cell>
          <cell r="E2542">
            <v>0</v>
          </cell>
          <cell r="F2542">
            <v>-6.3E-2</v>
          </cell>
        </row>
        <row r="2543">
          <cell r="A2543">
            <v>789275</v>
          </cell>
          <cell r="B2543" t="str">
            <v>CSEC94 COXA SOBR C/O C/P 180-200G BORE</v>
          </cell>
          <cell r="C2543">
            <v>2.4049999999999998</v>
          </cell>
          <cell r="D2543">
            <v>2.4049999999999998</v>
          </cell>
          <cell r="E2543">
            <v>-0.45900000000000002</v>
          </cell>
          <cell r="F2543">
            <v>-6.5000000000000002E-2</v>
          </cell>
        </row>
        <row r="2544">
          <cell r="A2544">
            <v>789283</v>
          </cell>
          <cell r="B2544" t="str">
            <v>CSEC95 COXA SOB C/O C/P 200-220G BORE</v>
          </cell>
          <cell r="C2544">
            <v>2.444</v>
          </cell>
          <cell r="D2544">
            <v>2.444</v>
          </cell>
          <cell r="E2544">
            <v>-0.44900000000000001</v>
          </cell>
          <cell r="F2544">
            <v>-9.3999999999999972E-2</v>
          </cell>
        </row>
        <row r="2545">
          <cell r="A2545">
            <v>791067</v>
          </cell>
          <cell r="B2545" t="str">
            <v>PFEC64 PEITO S/OPFC MET 135G TA/IF ALEM</v>
          </cell>
          <cell r="C2545">
            <v>4.1059999999999999</v>
          </cell>
          <cell r="D2545">
            <v>4.1059999999999999</v>
          </cell>
          <cell r="E2545">
            <v>-0.36</v>
          </cell>
          <cell r="F2545">
            <v>-0.16200000000000014</v>
          </cell>
        </row>
        <row r="2546">
          <cell r="A2546">
            <v>792470</v>
          </cell>
          <cell r="B2546" t="str">
            <v>CECS02 COXA SOBREC S/O C/P VAC PERD JAP</v>
          </cell>
          <cell r="C2546">
            <v>1.881</v>
          </cell>
          <cell r="D2546">
            <v>1.881</v>
          </cell>
          <cell r="E2546">
            <v>-0.222</v>
          </cell>
          <cell r="F2546">
            <v>-6.0999999999999999E-2</v>
          </cell>
        </row>
        <row r="2547">
          <cell r="A2547">
            <v>795925</v>
          </cell>
          <cell r="B2547" t="str">
            <v>CECS08 COXA SOBREC S/O C/P 190-210G PERD</v>
          </cell>
          <cell r="C2547">
            <v>2.1320000000000001</v>
          </cell>
          <cell r="D2547">
            <v>2.1320000000000001</v>
          </cell>
          <cell r="E2547">
            <v>-0.13</v>
          </cell>
          <cell r="F2547">
            <v>-7.8E-2</v>
          </cell>
        </row>
        <row r="2548">
          <cell r="A2548">
            <v>805610</v>
          </cell>
          <cell r="B2548" t="str">
            <v>SFCE53 SOBRECOXA S/O C/P BAHR PT 2,5KG</v>
          </cell>
          <cell r="C2548">
            <v>2.5459999999999998</v>
          </cell>
          <cell r="D2548">
            <v>2.5459999999999998</v>
          </cell>
          <cell r="E2548">
            <v>-0.52400000000000002</v>
          </cell>
          <cell r="F2548">
            <v>-8.900000000000001E-2</v>
          </cell>
        </row>
        <row r="2549">
          <cell r="A2549">
            <v>807753</v>
          </cell>
          <cell r="B2549" t="str">
            <v>FICE01 FRANGO GRILLER 1200G PERD CANARIA</v>
          </cell>
          <cell r="C2549">
            <v>1.48</v>
          </cell>
          <cell r="D2549">
            <v>1.48</v>
          </cell>
          <cell r="E2549">
            <v>-0.307</v>
          </cell>
          <cell r="F2549">
            <v>-4.1000000000000002E-2</v>
          </cell>
        </row>
        <row r="2550">
          <cell r="A2550">
            <v>807762</v>
          </cell>
          <cell r="B2550" t="str">
            <v>CES063 COSTELA ESPECIAL PERDIGAO CX 3KG</v>
          </cell>
          <cell r="C2550">
            <v>2.948</v>
          </cell>
          <cell r="D2550">
            <v>2.633</v>
          </cell>
          <cell r="E2550">
            <v>-0.20200000000000001</v>
          </cell>
          <cell r="F2550">
            <v>-0.44299999999999995</v>
          </cell>
        </row>
        <row r="2551">
          <cell r="A2551">
            <v>807768</v>
          </cell>
          <cell r="B2551" t="str">
            <v>PRG003 PEITO REC CHAMPIGNON EMP CX 3KG</v>
          </cell>
          <cell r="C2551">
            <v>3.0590000000000002</v>
          </cell>
          <cell r="D2551">
            <v>2.3180000000000001</v>
          </cell>
          <cell r="E2551">
            <v>-0.17199999999999999</v>
          </cell>
          <cell r="F2551">
            <v>-0.43299999999999994</v>
          </cell>
        </row>
        <row r="2552">
          <cell r="A2552">
            <v>807769</v>
          </cell>
          <cell r="B2552" t="str">
            <v>PRQ003 PEITO REC CREME QUEIJO EMP CX 3KG</v>
          </cell>
          <cell r="C2552">
            <v>4.1909999999999998</v>
          </cell>
          <cell r="D2552">
            <v>3.0840000000000001</v>
          </cell>
          <cell r="E2552">
            <v>-0.21</v>
          </cell>
          <cell r="F2552">
            <v>-0.48399999999999999</v>
          </cell>
        </row>
        <row r="2553">
          <cell r="A2553">
            <v>808000</v>
          </cell>
          <cell r="B2553" t="str">
            <v>CFEC97 COXA C/OP DRUMST PT 1KG/IQF CANAR</v>
          </cell>
          <cell r="C2553">
            <v>2.1469999999999998</v>
          </cell>
          <cell r="D2553">
            <v>2.1469999999999998</v>
          </cell>
          <cell r="E2553">
            <v>-0.35299999999999998</v>
          </cell>
          <cell r="F2553">
            <v>-6.3E-2</v>
          </cell>
        </row>
        <row r="2554">
          <cell r="A2554">
            <v>808307</v>
          </cell>
          <cell r="B2554" t="str">
            <v>LSCE21 LOMBO SUI CONG PERD ALB CX 25KG</v>
          </cell>
          <cell r="C2554">
            <v>5.1959999999999997</v>
          </cell>
          <cell r="D2554">
            <v>5.1959999999999997</v>
          </cell>
          <cell r="E2554">
            <v>-0.53300000000000003</v>
          </cell>
          <cell r="F2554">
            <v>-0.16599999999999993</v>
          </cell>
        </row>
        <row r="2555">
          <cell r="A2555">
            <v>808539</v>
          </cell>
          <cell r="B2555" t="str">
            <v>CECS19 COXA SOBREC S/O C/P 160-180G BORE</v>
          </cell>
          <cell r="C2555">
            <v>2.4020000000000001</v>
          </cell>
          <cell r="D2555">
            <v>2.4020000000000001</v>
          </cell>
          <cell r="E2555">
            <v>-0.41399999999999998</v>
          </cell>
          <cell r="F2555">
            <v>-8.299999999999999E-2</v>
          </cell>
        </row>
        <row r="2556">
          <cell r="A2556">
            <v>808588</v>
          </cell>
          <cell r="B2556" t="str">
            <v>FCGE26 FRANGO GRILLER 1300G PERD CANAR</v>
          </cell>
          <cell r="C2556">
            <v>1.4670000000000001</v>
          </cell>
          <cell r="D2556">
            <v>1.4670000000000001</v>
          </cell>
          <cell r="E2556">
            <v>-0.28999999999999998</v>
          </cell>
          <cell r="F2556">
            <v>-5.1000000000000004E-2</v>
          </cell>
        </row>
        <row r="2557">
          <cell r="A2557">
            <v>808975</v>
          </cell>
          <cell r="B2557" t="str">
            <v>CHESTER INT TEMP S/M 6PC PERD IMAI JAPAO</v>
          </cell>
          <cell r="C2557">
            <v>2.54</v>
          </cell>
          <cell r="D2557">
            <v>2.54</v>
          </cell>
          <cell r="E2557">
            <v>-8.2000000000000003E-2</v>
          </cell>
          <cell r="F2557">
            <v>-0.10299999999999998</v>
          </cell>
        </row>
        <row r="2558">
          <cell r="A2558">
            <v>809005</v>
          </cell>
          <cell r="B2558" t="str">
            <v>PFC148 PEITO FGO C/MOLHO CATU CART 550G</v>
          </cell>
          <cell r="C2558">
            <v>9.3450000000000006</v>
          </cell>
          <cell r="D2558">
            <v>7.423</v>
          </cell>
          <cell r="E2558">
            <v>0</v>
          </cell>
          <cell r="F2558">
            <v>-1.2720000000000002</v>
          </cell>
        </row>
        <row r="2559">
          <cell r="A2559">
            <v>809006</v>
          </cell>
          <cell r="B2559" t="str">
            <v>PPG148 PEITO CHT A PARMEGIANA CART 550G</v>
          </cell>
          <cell r="C2559">
            <v>10.124000000000001</v>
          </cell>
          <cell r="D2559">
            <v>8.0340000000000007</v>
          </cell>
          <cell r="E2559">
            <v>0</v>
          </cell>
          <cell r="F2559">
            <v>-0.89</v>
          </cell>
        </row>
        <row r="2560">
          <cell r="A2560">
            <v>809007</v>
          </cell>
          <cell r="B2560" t="str">
            <v>SFS148 STEAK FGO A SUICA CART 550G PERD</v>
          </cell>
          <cell r="C2560">
            <v>9.4359999999999999</v>
          </cell>
          <cell r="D2560">
            <v>4.4039999999999999</v>
          </cell>
          <cell r="E2560">
            <v>0</v>
          </cell>
          <cell r="F2560">
            <v>-0.7569999999999999</v>
          </cell>
        </row>
        <row r="2561">
          <cell r="A2561">
            <v>809013</v>
          </cell>
          <cell r="B2561" t="str">
            <v>HFGE02 HAMBURGU FGO 12 CART PERD I.MAUR</v>
          </cell>
          <cell r="C2561">
            <v>4.1180000000000003</v>
          </cell>
          <cell r="D2561">
            <v>4.1180000000000003</v>
          </cell>
          <cell r="E2561">
            <v>-0.55500000000000005</v>
          </cell>
          <cell r="F2561">
            <v>-0.13</v>
          </cell>
        </row>
        <row r="2562">
          <cell r="A2562">
            <v>809014</v>
          </cell>
          <cell r="B2562" t="str">
            <v>HBVE02 HAMBURGUER BOV 12CART PERD I.MAUR</v>
          </cell>
          <cell r="C2562">
            <v>4.7060000000000004</v>
          </cell>
          <cell r="D2562">
            <v>4.7060000000000004</v>
          </cell>
          <cell r="E2562">
            <v>-0.49099999999999999</v>
          </cell>
          <cell r="F2562">
            <v>-0.15</v>
          </cell>
        </row>
        <row r="2563">
          <cell r="A2563">
            <v>809287</v>
          </cell>
          <cell r="B2563" t="str">
            <v>CECS26 COXA SOBREC C/OP BDJ 1KG CANAR</v>
          </cell>
          <cell r="C2563">
            <v>1.627</v>
          </cell>
          <cell r="D2563">
            <v>1.627</v>
          </cell>
          <cell r="E2563">
            <v>-0.29599999999999999</v>
          </cell>
          <cell r="F2563">
            <v>-4.6999999999999986E-2</v>
          </cell>
        </row>
        <row r="2564">
          <cell r="A2564">
            <v>809331</v>
          </cell>
          <cell r="B2564" t="str">
            <v>PFEP15 PEITO S/OPFC MET 90G TAMB/COZ ING</v>
          </cell>
          <cell r="C2564">
            <v>5.16</v>
          </cell>
          <cell r="D2564">
            <v>5.16</v>
          </cell>
          <cell r="E2564">
            <v>-0.40099999999999997</v>
          </cell>
          <cell r="F2564">
            <v>-0.18300000000000005</v>
          </cell>
        </row>
        <row r="2565">
          <cell r="A2565">
            <v>809439</v>
          </cell>
          <cell r="B2565" t="str">
            <v>SSCE11 SALS VIENA PT 225G PARAG CX 5,4KG</v>
          </cell>
          <cell r="C2565">
            <v>1.8660000000000001</v>
          </cell>
          <cell r="D2565">
            <v>1.8660000000000001</v>
          </cell>
          <cell r="E2565">
            <v>-6.8000000000000005E-2</v>
          </cell>
          <cell r="F2565">
            <v>-6.8000000000000005E-2</v>
          </cell>
        </row>
        <row r="2566">
          <cell r="A2566">
            <v>809449</v>
          </cell>
          <cell r="B2566" t="str">
            <v>HBCE01 HAMBURGUER BOV PARAG C0 4,03KG</v>
          </cell>
          <cell r="C2566">
            <v>2.2770000000000001</v>
          </cell>
          <cell r="D2566">
            <v>2.2770000000000001</v>
          </cell>
          <cell r="E2566">
            <v>-6.7000000000000004E-2</v>
          </cell>
          <cell r="F2566">
            <v>-6.5999999999999975E-2</v>
          </cell>
        </row>
        <row r="2567">
          <cell r="A2567">
            <v>809451</v>
          </cell>
          <cell r="B2567" t="str">
            <v>HBCE02 HAMBURGUER BOV PARAG CX 2,02KG</v>
          </cell>
          <cell r="C2567">
            <v>2.3809999999999998</v>
          </cell>
          <cell r="D2567">
            <v>2.3809999999999998</v>
          </cell>
          <cell r="E2567">
            <v>0</v>
          </cell>
          <cell r="F2567">
            <v>-6.7999999999999949E-2</v>
          </cell>
        </row>
        <row r="2568">
          <cell r="A2568">
            <v>809452</v>
          </cell>
          <cell r="B2568" t="str">
            <v>SFCE60 STEAK FGO 15 CART PARAG CX 9KG</v>
          </cell>
          <cell r="C2568">
            <v>3.05</v>
          </cell>
          <cell r="D2568">
            <v>3.05</v>
          </cell>
          <cell r="E2568">
            <v>-6.0999999999999999E-2</v>
          </cell>
          <cell r="F2568">
            <v>-8.6999999999999966E-2</v>
          </cell>
        </row>
        <row r="2569">
          <cell r="A2569">
            <v>809453</v>
          </cell>
          <cell r="B2569" t="str">
            <v>CACE01 COXINHA ASA EMP 12 CART PARAG</v>
          </cell>
          <cell r="C2569">
            <v>3.61</v>
          </cell>
          <cell r="D2569">
            <v>3.61</v>
          </cell>
          <cell r="E2569">
            <v>-7.0999999999999994E-2</v>
          </cell>
          <cell r="F2569">
            <v>-0.11799999999999994</v>
          </cell>
        </row>
        <row r="2570">
          <cell r="A2570">
            <v>809458</v>
          </cell>
          <cell r="B2570" t="str">
            <v>CHTE02 CHESTER INT TEMP PARAG CX 21KG</v>
          </cell>
          <cell r="C2570">
            <v>2.21</v>
          </cell>
          <cell r="D2570">
            <v>2.21</v>
          </cell>
          <cell r="E2570">
            <v>-6.3E-2</v>
          </cell>
          <cell r="F2570">
            <v>-7.2999999999999954E-2</v>
          </cell>
        </row>
        <row r="2571">
          <cell r="A2571">
            <v>809460</v>
          </cell>
          <cell r="B2571" t="str">
            <v>HFCE02 HAMBURGUER MON PARAG C0 4,032KG</v>
          </cell>
          <cell r="C2571">
            <v>1.8740000000000001</v>
          </cell>
          <cell r="D2571">
            <v>1.8740000000000001</v>
          </cell>
          <cell r="E2571">
            <v>-6.8000000000000005E-2</v>
          </cell>
          <cell r="F2571">
            <v>-5.3999999999999992E-2</v>
          </cell>
        </row>
        <row r="2572">
          <cell r="A2572">
            <v>809461</v>
          </cell>
          <cell r="B2572" t="str">
            <v>SHDE01 SALSICHA HOT DOG S/COR PARAG PERD</v>
          </cell>
          <cell r="C2572">
            <v>2.3530000000000002</v>
          </cell>
          <cell r="D2572">
            <v>2.3530000000000002</v>
          </cell>
          <cell r="E2572">
            <v>-0.52100000000000002</v>
          </cell>
          <cell r="F2572">
            <v>-7.2999999999999954E-2</v>
          </cell>
        </row>
        <row r="2573">
          <cell r="A2573">
            <v>809472</v>
          </cell>
          <cell r="B2573" t="str">
            <v>FECB50 FRANGO BROILER 2000G PARAG PERD</v>
          </cell>
          <cell r="C2573">
            <v>1.3140000000000001</v>
          </cell>
          <cell r="D2573">
            <v>1.3140000000000001</v>
          </cell>
          <cell r="E2573">
            <v>-0.06</v>
          </cell>
          <cell r="F2573">
            <v>-4.3999999999999997E-2</v>
          </cell>
        </row>
        <row r="2574">
          <cell r="A2574">
            <v>809494</v>
          </cell>
          <cell r="B2574" t="str">
            <v>CECS34 COXA/SOBREC C/OP 220-240G CING</v>
          </cell>
          <cell r="C2574">
            <v>2.242</v>
          </cell>
          <cell r="D2574">
            <v>2.242</v>
          </cell>
          <cell r="E2574">
            <v>-0.47399999999999998</v>
          </cell>
          <cell r="F2574">
            <v>-6.0999999999999999E-2</v>
          </cell>
        </row>
        <row r="2575">
          <cell r="A2575">
            <v>809496</v>
          </cell>
          <cell r="B2575" t="str">
            <v>CEFC02 COXA CO CP DRUMSTICK 70-90G BORE</v>
          </cell>
          <cell r="C2575">
            <v>2.5950000000000002</v>
          </cell>
          <cell r="D2575">
            <v>2.5950000000000002</v>
          </cell>
          <cell r="E2575">
            <v>-0.48099999999999998</v>
          </cell>
          <cell r="F2575">
            <v>-0.1</v>
          </cell>
        </row>
        <row r="2576">
          <cell r="A2576">
            <v>809615</v>
          </cell>
          <cell r="B2576" t="str">
            <v>CST003 COSTELA SUI TIRAS PERD CX 3KG</v>
          </cell>
          <cell r="C2576">
            <v>2.7730000000000001</v>
          </cell>
          <cell r="D2576">
            <v>2.468</v>
          </cell>
          <cell r="E2576">
            <v>-0.189</v>
          </cell>
          <cell r="F2576">
            <v>-0.38800000000000001</v>
          </cell>
        </row>
        <row r="2577">
          <cell r="A2577">
            <v>809830</v>
          </cell>
          <cell r="B2577" t="str">
            <v>CXG015 COXA C/OP (G) ITF PERD CX 15KG</v>
          </cell>
          <cell r="C2577">
            <v>1.6619999999999999</v>
          </cell>
          <cell r="D2577">
            <v>1.518</v>
          </cell>
          <cell r="E2577">
            <v>-0.46400000000000002</v>
          </cell>
          <cell r="F2577">
            <v>-9.1000000000000025E-2</v>
          </cell>
        </row>
        <row r="2578">
          <cell r="A2578">
            <v>809831</v>
          </cell>
          <cell r="B2578" t="str">
            <v>SCG015 SOBRECOXA C/OP (G) ITF CX 15KG</v>
          </cell>
          <cell r="C2578">
            <v>1.5960000000000001</v>
          </cell>
          <cell r="D2578">
            <v>1.264</v>
          </cell>
          <cell r="E2578">
            <v>-8.3000000000000004E-2</v>
          </cell>
          <cell r="F2578">
            <v>-0.12</v>
          </cell>
        </row>
        <row r="2579">
          <cell r="A2579">
            <v>809834</v>
          </cell>
          <cell r="B2579" t="str">
            <v>FCGE36 FRANGO GRILLER 1300G (CARFE) CAN</v>
          </cell>
          <cell r="C2579">
            <v>2.1150000000000002</v>
          </cell>
          <cell r="D2579">
            <v>2.1150000000000002</v>
          </cell>
          <cell r="E2579">
            <v>-0.317</v>
          </cell>
          <cell r="F2579">
            <v>-6.6000000000000003E-2</v>
          </cell>
        </row>
        <row r="2580">
          <cell r="A2580">
            <v>809976</v>
          </cell>
          <cell r="B2580" t="str">
            <v>PFEP42 PEITO S/OPFC TIRAS 15MM TAMB INGL</v>
          </cell>
          <cell r="C2580">
            <v>6.4630000000000001</v>
          </cell>
          <cell r="D2580">
            <v>6.4630000000000001</v>
          </cell>
          <cell r="E2580">
            <v>-0.44800000000000001</v>
          </cell>
          <cell r="F2580">
            <v>-0.19300000000000006</v>
          </cell>
        </row>
        <row r="2581">
          <cell r="A2581">
            <v>810023</v>
          </cell>
          <cell r="B2581" t="str">
            <v>PFEP43 PEITO S/OPF 90G TAMB/COZ ING PERD</v>
          </cell>
          <cell r="C2581">
            <v>6.0369999999999999</v>
          </cell>
          <cell r="D2581">
            <v>6.0369999999999999</v>
          </cell>
          <cell r="E2581">
            <v>-0.39200000000000002</v>
          </cell>
          <cell r="F2581">
            <v>-0.18100000000000005</v>
          </cell>
        </row>
        <row r="2582">
          <cell r="A2582">
            <v>810126</v>
          </cell>
          <cell r="B2582" t="str">
            <v>PFEP53 FILEZINHO FGO CORTADO PT 1KG ING</v>
          </cell>
          <cell r="C2582">
            <v>6.9429999999999996</v>
          </cell>
          <cell r="D2582">
            <v>6.9429999999999996</v>
          </cell>
          <cell r="E2582">
            <v>-0.35</v>
          </cell>
          <cell r="F2582">
            <v>-0.22799999999999998</v>
          </cell>
        </row>
        <row r="2583">
          <cell r="A2583">
            <v>810231</v>
          </cell>
          <cell r="B2583" t="str">
            <v>PFEP59 PEITO S/OPFC MET 100G TAM/COZ ING</v>
          </cell>
          <cell r="C2583">
            <v>4.194</v>
          </cell>
          <cell r="D2583">
            <v>4.194</v>
          </cell>
          <cell r="E2583">
            <v>-0.33200000000000002</v>
          </cell>
          <cell r="F2583">
            <v>0</v>
          </cell>
        </row>
        <row r="2584">
          <cell r="A2584">
            <v>810238</v>
          </cell>
          <cell r="B2584" t="str">
            <v>PFEP60 PEITO S/OPFC MET 95G TAM/COZ INGL</v>
          </cell>
          <cell r="C2584">
            <v>4.282</v>
          </cell>
          <cell r="D2584">
            <v>4.282</v>
          </cell>
          <cell r="E2584">
            <v>-0.34599999999999997</v>
          </cell>
          <cell r="F2584">
            <v>0</v>
          </cell>
        </row>
        <row r="2585">
          <cell r="A2585">
            <v>810244</v>
          </cell>
          <cell r="B2585" t="str">
            <v>PFEP62 PEITO S/OPFC RECH.KIEV 140G ING</v>
          </cell>
          <cell r="C2585">
            <v>4.8710000000000004</v>
          </cell>
          <cell r="D2585">
            <v>4.8710000000000004</v>
          </cell>
          <cell r="E2585">
            <v>-0.33700000000000002</v>
          </cell>
          <cell r="F2585">
            <v>-0.158</v>
          </cell>
        </row>
        <row r="2586">
          <cell r="A2586">
            <v>810246</v>
          </cell>
          <cell r="B2586" t="str">
            <v>PFEP63 FILEZINHO S/TOP TEN 30-40G INGL</v>
          </cell>
          <cell r="C2586">
            <v>4.6310000000000002</v>
          </cell>
          <cell r="D2586">
            <v>4.6310000000000002</v>
          </cell>
          <cell r="E2586">
            <v>-0.33200000000000002</v>
          </cell>
          <cell r="F2586">
            <v>-0.183</v>
          </cell>
        </row>
        <row r="2587">
          <cell r="A2587">
            <v>810247</v>
          </cell>
          <cell r="B2587" t="str">
            <v>PFEP64 NUGGETS PEITO S/OPFC 20-30G ING</v>
          </cell>
          <cell r="C2587">
            <v>5.0970000000000004</v>
          </cell>
          <cell r="D2587">
            <v>5.0970000000000004</v>
          </cell>
          <cell r="E2587">
            <v>-0.51500000000000001</v>
          </cell>
          <cell r="F2587">
            <v>-0.17900000000000005</v>
          </cell>
        </row>
        <row r="2588">
          <cell r="A2588">
            <v>810328</v>
          </cell>
          <cell r="B2588" t="str">
            <v>PFEP66 PEITO S/OPFC 95G TA/COZ/EMP ING</v>
          </cell>
          <cell r="C2588">
            <v>4.5279999999999996</v>
          </cell>
          <cell r="D2588">
            <v>4.5279999999999996</v>
          </cell>
          <cell r="E2588">
            <v>-0.36</v>
          </cell>
          <cell r="F2588">
            <v>-0.13200000000000001</v>
          </cell>
        </row>
        <row r="2589">
          <cell r="A2589">
            <v>810329</v>
          </cell>
          <cell r="B2589" t="str">
            <v>PFEP67 PEITO S/OPFC 95G TAMB/COZ/EMP ING</v>
          </cell>
          <cell r="C2589">
            <v>4.7809999999999997</v>
          </cell>
          <cell r="D2589">
            <v>4.7809999999999997</v>
          </cell>
          <cell r="E2589">
            <v>-0.4</v>
          </cell>
          <cell r="F2589">
            <v>-0.15200000000000002</v>
          </cell>
        </row>
        <row r="2590">
          <cell r="A2590">
            <v>810339</v>
          </cell>
          <cell r="B2590" t="str">
            <v>FCGE49 FRANGO GRILLER 1400G AL KAW BAHR</v>
          </cell>
          <cell r="C2590">
            <v>1.841</v>
          </cell>
          <cell r="D2590">
            <v>1.841</v>
          </cell>
          <cell r="E2590">
            <v>-0.47499999999999998</v>
          </cell>
          <cell r="F2590">
            <v>-5.7999999999999996E-2</v>
          </cell>
        </row>
        <row r="2591">
          <cell r="A2591">
            <v>810340</v>
          </cell>
          <cell r="B2591" t="str">
            <v>FCGE50 FRANGO GRILLER 1500G AL KAW BAHR</v>
          </cell>
          <cell r="C2591">
            <v>1.841</v>
          </cell>
          <cell r="D2591">
            <v>1.841</v>
          </cell>
          <cell r="E2591">
            <v>-0.47499999999999998</v>
          </cell>
          <cell r="F2591">
            <v>-5.8999999999999983E-2</v>
          </cell>
        </row>
        <row r="2592">
          <cell r="A2592">
            <v>810345</v>
          </cell>
          <cell r="B2592" t="str">
            <v>SXG003 SOBRECOXA C/OP (G) PERD CX 3KG</v>
          </cell>
          <cell r="C2592">
            <v>1.583</v>
          </cell>
          <cell r="D2592">
            <v>1.413</v>
          </cell>
          <cell r="E2592">
            <v>-0.09</v>
          </cell>
          <cell r="F2592">
            <v>-0.12300000000000001</v>
          </cell>
        </row>
        <row r="2593">
          <cell r="A2593">
            <v>810379</v>
          </cell>
          <cell r="B2593" t="str">
            <v>BIF008 BACON INSTITUCIONAL FAT CX 8KG</v>
          </cell>
          <cell r="C2593">
            <v>3.734</v>
          </cell>
          <cell r="D2593">
            <v>2.7879999999999998</v>
          </cell>
          <cell r="E2593">
            <v>-0.17100000000000001</v>
          </cell>
          <cell r="F2593">
            <v>-0.36899999999999999</v>
          </cell>
        </row>
        <row r="2594">
          <cell r="A2594">
            <v>810405</v>
          </cell>
          <cell r="B2594" t="str">
            <v>CACE02 COXINHA ASA EMP 12 CART 6KG ARGEN</v>
          </cell>
          <cell r="C2594">
            <v>3.7629999999999999</v>
          </cell>
          <cell r="D2594">
            <v>3.7629999999999999</v>
          </cell>
          <cell r="E2594">
            <v>-0.06</v>
          </cell>
          <cell r="F2594">
            <v>-0.115</v>
          </cell>
        </row>
        <row r="2595">
          <cell r="A2595">
            <v>810406</v>
          </cell>
          <cell r="B2595" t="str">
            <v>FFCE41 FILEZINHO FGO EMP 12 CART ARGEN</v>
          </cell>
          <cell r="C2595">
            <v>4.4560000000000004</v>
          </cell>
          <cell r="D2595">
            <v>4.4560000000000004</v>
          </cell>
          <cell r="E2595">
            <v>-0.06</v>
          </cell>
          <cell r="F2595">
            <v>-0.13500000000000001</v>
          </cell>
        </row>
        <row r="2596">
          <cell r="A2596">
            <v>810407</v>
          </cell>
          <cell r="B2596" t="str">
            <v>SFCE61 STEAK FGO 15 CART ARGEN</v>
          </cell>
          <cell r="C2596">
            <v>3.367</v>
          </cell>
          <cell r="D2596">
            <v>3.367</v>
          </cell>
          <cell r="E2596">
            <v>-0.06</v>
          </cell>
          <cell r="F2596">
            <v>-0.10300000000000009</v>
          </cell>
        </row>
        <row r="2597">
          <cell r="A2597">
            <v>810408</v>
          </cell>
          <cell r="B2597" t="str">
            <v>MCKE09 MINI CHICKEN FGO CX 4,5 KG ARGEN</v>
          </cell>
          <cell r="C2597">
            <v>3.8620000000000001</v>
          </cell>
          <cell r="D2597">
            <v>3.8620000000000001</v>
          </cell>
          <cell r="E2597">
            <v>-0.06</v>
          </cell>
          <cell r="F2597">
            <v>-0.1170000000000001</v>
          </cell>
        </row>
        <row r="2598">
          <cell r="A2598">
            <v>810415</v>
          </cell>
          <cell r="B2598" t="str">
            <v>CNAE01 CODORNA BDJ 1KG QATAR CX 10KG</v>
          </cell>
          <cell r="C2598">
            <v>4.2939999999999996</v>
          </cell>
          <cell r="D2598">
            <v>4.2939999999999996</v>
          </cell>
          <cell r="E2598">
            <v>-0.53</v>
          </cell>
          <cell r="F2598">
            <v>-0.13800000000000001</v>
          </cell>
        </row>
        <row r="2599">
          <cell r="A2599">
            <v>810442</v>
          </cell>
          <cell r="B2599" t="str">
            <v>PFEP70 PEITO S/OPFC MET 80G/UP SALMOU AL</v>
          </cell>
          <cell r="C2599">
            <v>2.93</v>
          </cell>
          <cell r="D2599">
            <v>2.93</v>
          </cell>
          <cell r="E2599">
            <v>-0.29699999999999999</v>
          </cell>
          <cell r="F2599">
            <v>-8.2999999999999963E-2</v>
          </cell>
        </row>
        <row r="2600">
          <cell r="A2600">
            <v>810453</v>
          </cell>
          <cell r="B2600" t="str">
            <v>PFEP71 PEITO S/OPFC BUT TAMB/MAR INGLAT</v>
          </cell>
          <cell r="C2600">
            <v>4.3390000000000004</v>
          </cell>
          <cell r="D2600">
            <v>4.3390000000000004</v>
          </cell>
          <cell r="E2600">
            <v>-0.4</v>
          </cell>
          <cell r="F2600">
            <v>-0.154</v>
          </cell>
        </row>
        <row r="2601">
          <cell r="A2601">
            <v>810477</v>
          </cell>
          <cell r="B2601" t="str">
            <v>FCGE53 FRANGO GRILLER 1100G PERD CANAR</v>
          </cell>
          <cell r="C2601">
            <v>2.1440000000000001</v>
          </cell>
          <cell r="D2601">
            <v>2.1440000000000001</v>
          </cell>
          <cell r="E2601">
            <v>-0.34399999999999997</v>
          </cell>
          <cell r="F2601">
            <v>-6.2E-2</v>
          </cell>
        </row>
        <row r="2602">
          <cell r="A2602">
            <v>810606</v>
          </cell>
          <cell r="B2602" t="str">
            <v>CECS48 COXA SOBREC C/OP 160G/UP ITF PERD</v>
          </cell>
          <cell r="C2602">
            <v>1.383</v>
          </cell>
          <cell r="D2602">
            <v>1.383</v>
          </cell>
          <cell r="E2602">
            <v>-0.313</v>
          </cell>
          <cell r="F2602">
            <v>-4.4999999999999998E-2</v>
          </cell>
        </row>
        <row r="2603">
          <cell r="A2603">
            <v>810621</v>
          </cell>
          <cell r="B2603" t="str">
            <v>LFF201 LINGUICA CARNE FGO PERD PT 1KG</v>
          </cell>
          <cell r="C2603">
            <v>4.2279999999999998</v>
          </cell>
          <cell r="D2603">
            <v>3.5139999999999998</v>
          </cell>
          <cell r="E2603">
            <v>-9.9000000000000005E-2</v>
          </cell>
          <cell r="F2603">
            <v>-0.50599999999999989</v>
          </cell>
        </row>
        <row r="2604">
          <cell r="A2604">
            <v>810622</v>
          </cell>
          <cell r="B2604" t="str">
            <v>LIP201 LINGUICA CARNE PERNIL PT1KG</v>
          </cell>
          <cell r="C2604">
            <v>4.1719999999999997</v>
          </cell>
          <cell r="D2604">
            <v>3.464</v>
          </cell>
          <cell r="E2604">
            <v>-0.218</v>
          </cell>
          <cell r="F2604">
            <v>-0.60499999999999998</v>
          </cell>
        </row>
        <row r="2605">
          <cell r="A2605">
            <v>810683</v>
          </cell>
          <cell r="B2605" t="str">
            <v>PFEP77 PEITO S/OPFC TIRAS 19MM TA/COZ</v>
          </cell>
          <cell r="C2605">
            <v>6.4829999999999997</v>
          </cell>
          <cell r="D2605">
            <v>6.4829999999999997</v>
          </cell>
          <cell r="E2605">
            <v>-0.39200000000000002</v>
          </cell>
          <cell r="F2605">
            <v>-0.18199999999999994</v>
          </cell>
        </row>
        <row r="2606">
          <cell r="A2606">
            <v>810685</v>
          </cell>
          <cell r="B2606" t="str">
            <v>CO0A SOBR SO CP S/FAI0A SUN L-30 JAPAO</v>
          </cell>
          <cell r="C2606">
            <v>1.9770000000000001</v>
          </cell>
          <cell r="D2606">
            <v>1.9770000000000001</v>
          </cell>
          <cell r="E2606">
            <v>-9.5000000000000001E-2</v>
          </cell>
          <cell r="F2606">
            <v>-5.7000000000000002E-2</v>
          </cell>
        </row>
        <row r="2607">
          <cell r="A2607">
            <v>810788</v>
          </cell>
          <cell r="B2607" t="str">
            <v>CLCE09 COPA LOMBO S/O CONG INDIV 1,4KG</v>
          </cell>
          <cell r="C2607">
            <v>3.5209999999999999</v>
          </cell>
          <cell r="D2607">
            <v>3.5209999999999999</v>
          </cell>
          <cell r="E2607">
            <v>-0.27500000000000002</v>
          </cell>
          <cell r="F2607">
            <v>-9.8999999999999977E-2</v>
          </cell>
        </row>
        <row r="2608">
          <cell r="A2608">
            <v>810811</v>
          </cell>
          <cell r="B2608" t="str">
            <v>AIFE60 ASA 1A JUNTA DRUMETTE PT1K IQF</v>
          </cell>
          <cell r="C2608">
            <v>1.786</v>
          </cell>
          <cell r="D2608">
            <v>1.786</v>
          </cell>
          <cell r="E2608">
            <v>-0.35299999999999998</v>
          </cell>
          <cell r="F2608">
            <v>-6.9000000000000006E-2</v>
          </cell>
        </row>
        <row r="2609">
          <cell r="A2609">
            <v>810946</v>
          </cell>
          <cell r="B2609" t="str">
            <v>FSS012 FRANGO DESOSSADO TEMP PERD 12KG</v>
          </cell>
          <cell r="C2609">
            <v>1.903</v>
          </cell>
          <cell r="D2609">
            <v>1.7</v>
          </cell>
          <cell r="E2609">
            <v>0</v>
          </cell>
          <cell r="F2609">
            <v>-0.55699999999999994</v>
          </cell>
        </row>
        <row r="2610">
          <cell r="A2610">
            <v>811049</v>
          </cell>
          <cell r="B2610" t="str">
            <v>PFEP85 PEITO S/OPFC TIRAS 12MM TAMB/COZ</v>
          </cell>
          <cell r="C2610">
            <v>5.7640000000000002</v>
          </cell>
          <cell r="D2610">
            <v>5.7640000000000002</v>
          </cell>
          <cell r="E2610">
            <v>-0.34300000000000003</v>
          </cell>
          <cell r="F2610">
            <v>-0.20900000000000007</v>
          </cell>
        </row>
        <row r="2611">
          <cell r="A2611">
            <v>811056</v>
          </cell>
          <cell r="B2611" t="str">
            <v>SCK012 SOBRECOXA S/O/P KAKUGIRI 3-5G</v>
          </cell>
          <cell r="C2611">
            <v>1.9019999999999999</v>
          </cell>
          <cell r="D2611">
            <v>1.698</v>
          </cell>
          <cell r="E2611">
            <v>-0.20799999999999999</v>
          </cell>
          <cell r="F2611">
            <v>-0.17699999999999994</v>
          </cell>
        </row>
        <row r="2612">
          <cell r="A2612">
            <v>811226</v>
          </cell>
          <cell r="B2612" t="str">
            <v>PFEP93 PEITO S/OPFC MET 100G/UP HOLANDA</v>
          </cell>
          <cell r="C2612">
            <v>3.1840000000000002</v>
          </cell>
          <cell r="D2612">
            <v>3.1840000000000002</v>
          </cell>
          <cell r="E2612">
            <v>-0.27</v>
          </cell>
          <cell r="F2612">
            <v>-0.11399999999999999</v>
          </cell>
        </row>
        <row r="2613">
          <cell r="A2613">
            <v>811227</v>
          </cell>
          <cell r="B2613" t="str">
            <v>MFCE48 MOELA FGO BL 5KG (MULTIMAR) PORT</v>
          </cell>
          <cell r="C2613">
            <v>1.2170000000000001</v>
          </cell>
          <cell r="D2613">
            <v>1.2170000000000001</v>
          </cell>
          <cell r="E2613">
            <v>-7.5999999999999998E-2</v>
          </cell>
          <cell r="F2613">
            <v>-3.6000000000000032E-2</v>
          </cell>
        </row>
        <row r="2614">
          <cell r="A2614">
            <v>811281</v>
          </cell>
          <cell r="B2614" t="str">
            <v>POL003 MINI POLPETTONI INST CX 3KG</v>
          </cell>
          <cell r="C2614">
            <v>5.4909999999999997</v>
          </cell>
          <cell r="D2614">
            <v>4.0359999999999996</v>
          </cell>
          <cell r="E2614">
            <v>-0.127</v>
          </cell>
          <cell r="F2614">
            <v>-0.69299999999999995</v>
          </cell>
        </row>
        <row r="2615">
          <cell r="A2615">
            <v>811470</v>
          </cell>
          <cell r="B2615" t="str">
            <v>LCO420 LING MISTA DEF CONF 4PT CX 20KG</v>
          </cell>
          <cell r="C2615">
            <v>6.3710000000000004</v>
          </cell>
          <cell r="D2615">
            <v>5.2729999999999997</v>
          </cell>
          <cell r="E2615">
            <v>0.28199999999999997</v>
          </cell>
          <cell r="F2615">
            <v>-0.7669999999999999</v>
          </cell>
        </row>
        <row r="2616">
          <cell r="A2616">
            <v>811499</v>
          </cell>
          <cell r="B2616" t="str">
            <v>CEFC05 COXA C/OP BDJ 900G AL KAW BAHR</v>
          </cell>
          <cell r="C2616">
            <v>2.2650000000000001</v>
          </cell>
          <cell r="D2616">
            <v>2.2650000000000001</v>
          </cell>
          <cell r="E2616">
            <v>-0.54200000000000004</v>
          </cell>
          <cell r="F2616">
            <v>-7.8E-2</v>
          </cell>
        </row>
        <row r="2617">
          <cell r="A2617">
            <v>811501</v>
          </cell>
          <cell r="B2617" t="str">
            <v>SFCE58 SOBREC C/OP BDJ 900G AL KAW BAHR</v>
          </cell>
          <cell r="C2617">
            <v>2.347</v>
          </cell>
          <cell r="D2617">
            <v>2.347</v>
          </cell>
          <cell r="E2617">
            <v>-0.56799999999999995</v>
          </cell>
          <cell r="F2617">
            <v>-7.3000000000000009E-2</v>
          </cell>
        </row>
        <row r="2618">
          <cell r="A2618">
            <v>811579</v>
          </cell>
          <cell r="B2618" t="str">
            <v>PEFC06 PEITO S/OPFC VEG/MAT BL 10KG ING</v>
          </cell>
          <cell r="C2618">
            <v>3.1459999999999999</v>
          </cell>
          <cell r="D2618">
            <v>3.1459999999999999</v>
          </cell>
          <cell r="E2618">
            <v>-0.34899999999999998</v>
          </cell>
          <cell r="F2618">
            <v>-8.9000000000000024E-2</v>
          </cell>
        </row>
        <row r="2619">
          <cell r="A2619">
            <v>811616</v>
          </cell>
          <cell r="B2619" t="str">
            <v>FST129 FILE MIGNON SUI TEMP CX 9,84KG</v>
          </cell>
          <cell r="C2619">
            <v>2.3380000000000001</v>
          </cell>
          <cell r="D2619">
            <v>1.4870000000000001</v>
          </cell>
          <cell r="E2619">
            <v>-0.24199999999999999</v>
          </cell>
          <cell r="F2619">
            <v>-0.56000000000000005</v>
          </cell>
        </row>
        <row r="2620">
          <cell r="A2620">
            <v>811617</v>
          </cell>
          <cell r="B2620" t="str">
            <v>LOT129 BIFE LOMBO TEMP PERD CX 9,12KG</v>
          </cell>
          <cell r="C2620">
            <v>5.4630000000000001</v>
          </cell>
          <cell r="D2620">
            <v>4.609</v>
          </cell>
          <cell r="E2620">
            <v>0</v>
          </cell>
          <cell r="F2620">
            <v>-0.68899999999999983</v>
          </cell>
        </row>
        <row r="2621">
          <cell r="A2621">
            <v>811618</v>
          </cell>
          <cell r="B2621" t="str">
            <v>BIT128 BISTECA SUI TEMP PERD CX 8,52KG</v>
          </cell>
          <cell r="C2621">
            <v>4.75</v>
          </cell>
          <cell r="D2621">
            <v>3.77</v>
          </cell>
          <cell r="E2621">
            <v>0</v>
          </cell>
          <cell r="F2621">
            <v>0</v>
          </cell>
        </row>
        <row r="2622">
          <cell r="A2622">
            <v>811657</v>
          </cell>
          <cell r="B2622" t="str">
            <v>PHV005 PEITO DEF CHT VARIG PERD CX 5,2KG</v>
          </cell>
          <cell r="C2622">
            <v>6.6420000000000003</v>
          </cell>
          <cell r="D2622">
            <v>5.117</v>
          </cell>
          <cell r="E2622">
            <v>-0.29599999999999999</v>
          </cell>
          <cell r="F2622">
            <v>-0.6120000000000001</v>
          </cell>
        </row>
        <row r="2623">
          <cell r="A2623">
            <v>811744</v>
          </cell>
          <cell r="B2623" t="str">
            <v>MFCE52 MOELA FGO PT 1KG PERD PORTUGAL</v>
          </cell>
          <cell r="C2623">
            <v>1.883</v>
          </cell>
          <cell r="D2623">
            <v>1.883</v>
          </cell>
          <cell r="E2623">
            <v>-0.375</v>
          </cell>
          <cell r="F2623">
            <v>-5.4000000000000048E-2</v>
          </cell>
        </row>
        <row r="2624">
          <cell r="A2624">
            <v>811752</v>
          </cell>
          <cell r="B2624" t="str">
            <v>CECS64 COXA SOBR S/O C/P 300G/UP JAPAO</v>
          </cell>
          <cell r="C2624">
            <v>2.6120000000000001</v>
          </cell>
          <cell r="D2624">
            <v>2.6120000000000001</v>
          </cell>
          <cell r="E2624">
            <v>-0.42199999999999999</v>
          </cell>
          <cell r="F2624">
            <v>-0.10099999999999998</v>
          </cell>
        </row>
        <row r="2625">
          <cell r="A2625">
            <v>811759</v>
          </cell>
          <cell r="B2625" t="str">
            <v>LSCE23 LOMBO SUI CONG PERD ALB CX 12KG</v>
          </cell>
          <cell r="C2625">
            <v>10.108000000000001</v>
          </cell>
          <cell r="D2625">
            <v>10.108000000000001</v>
          </cell>
          <cell r="E2625">
            <v>0</v>
          </cell>
          <cell r="F2625">
            <v>-0.16400000000000059</v>
          </cell>
        </row>
        <row r="2626">
          <cell r="A2626">
            <v>811771</v>
          </cell>
          <cell r="B2626" t="str">
            <v>LCV908 LING CALAB RESF VAC 9PT CX 8,1KG</v>
          </cell>
          <cell r="C2626">
            <v>33.234999999999999</v>
          </cell>
          <cell r="D2626">
            <v>26.376999999999999</v>
          </cell>
          <cell r="E2626">
            <v>0</v>
          </cell>
          <cell r="F2626">
            <v>-3.5730000000000004</v>
          </cell>
        </row>
        <row r="2627">
          <cell r="A2627">
            <v>811772</v>
          </cell>
          <cell r="B2627" t="str">
            <v>LPV908 LING PORT RESF VAC 9PT CX 8,1KG</v>
          </cell>
          <cell r="C2627">
            <v>9.8140000000000001</v>
          </cell>
          <cell r="D2627">
            <v>7.7880000000000003</v>
          </cell>
          <cell r="E2627">
            <v>0</v>
          </cell>
          <cell r="F2627">
            <v>-1.117</v>
          </cell>
        </row>
        <row r="2628">
          <cell r="A2628">
            <v>811829</v>
          </cell>
          <cell r="B2628" t="str">
            <v xml:space="preserve">PRESUNTO TENRO BABY S/O CHESTER </v>
          </cell>
          <cell r="C2628">
            <v>11.423555863023175</v>
          </cell>
          <cell r="D2628">
            <v>8.9183108597195808</v>
          </cell>
          <cell r="E2628">
            <v>-0.16213116521921958</v>
          </cell>
          <cell r="F2628">
            <v>-1.1005973594517018</v>
          </cell>
        </row>
        <row r="2629">
          <cell r="A2629">
            <v>811856</v>
          </cell>
          <cell r="B2629" t="str">
            <v>CNAE02 CODORNA BDJ 1KG BAHRAIN CX 10KG</v>
          </cell>
          <cell r="C2629">
            <v>4.3949999999999996</v>
          </cell>
          <cell r="D2629">
            <v>4.3949999999999996</v>
          </cell>
          <cell r="E2629">
            <v>-0.61499999999999999</v>
          </cell>
          <cell r="F2629">
            <v>-0.14100000000000001</v>
          </cell>
        </row>
        <row r="2630">
          <cell r="A2630">
            <v>812194</v>
          </cell>
          <cell r="B2630" t="str">
            <v>PEFC16 PEITO S/OP C/F BDJ 1KG PERD ALBAN</v>
          </cell>
          <cell r="C2630">
            <v>3.8239999999999998</v>
          </cell>
          <cell r="D2630">
            <v>3.8239999999999998</v>
          </cell>
          <cell r="E2630">
            <v>-0.55200000000000005</v>
          </cell>
          <cell r="F2630">
            <v>-0.121</v>
          </cell>
        </row>
        <row r="2631">
          <cell r="A2631">
            <v>812380</v>
          </cell>
          <cell r="B2631" t="str">
            <v>PEFC26 PEITO S/OPFC BUT 200-230G (THAI)</v>
          </cell>
          <cell r="C2631">
            <v>3.4870000000000001</v>
          </cell>
          <cell r="D2631">
            <v>3.4870000000000001</v>
          </cell>
          <cell r="E2631">
            <v>-0.4</v>
          </cell>
          <cell r="F2631">
            <v>-0.123</v>
          </cell>
        </row>
        <row r="2632">
          <cell r="A2632">
            <v>812509</v>
          </cell>
          <cell r="B2632" t="str">
            <v>PCEC11 PE FGO C/CANELA PT 3KG PERD CINGA</v>
          </cell>
          <cell r="C2632">
            <v>1.0429999999999999</v>
          </cell>
          <cell r="D2632">
            <v>1.0429999999999999</v>
          </cell>
          <cell r="E2632">
            <v>-0.46300000000000002</v>
          </cell>
          <cell r="F2632">
            <v>-2.5999999999999968E-2</v>
          </cell>
        </row>
        <row r="2633">
          <cell r="A2633">
            <v>812511</v>
          </cell>
          <cell r="B2633" t="str">
            <v>CEFC07 COXA C/OP DRUMST PT 1KG IQF CANAR</v>
          </cell>
          <cell r="C2633">
            <v>2.14</v>
          </cell>
          <cell r="D2633">
            <v>2.14</v>
          </cell>
          <cell r="E2633">
            <v>-0.36499999999999999</v>
          </cell>
          <cell r="F2633">
            <v>-6.3E-2</v>
          </cell>
        </row>
        <row r="2634">
          <cell r="A2634">
            <v>812512</v>
          </cell>
          <cell r="B2634" t="str">
            <v>FFCE38 FIGADO BDJ 500G CANAR CX 12KG</v>
          </cell>
          <cell r="C2634">
            <v>2.0379999999999998</v>
          </cell>
          <cell r="D2634">
            <v>2.0379999999999998</v>
          </cell>
          <cell r="E2634">
            <v>-0.36299999999999999</v>
          </cell>
          <cell r="F2634">
            <v>-5.9000000000000052E-2</v>
          </cell>
        </row>
        <row r="2635">
          <cell r="A2635">
            <v>812540</v>
          </cell>
          <cell r="B2635" t="str">
            <v>PEFC33 PEITO S/OPFC MET 95G TIKKA INGL</v>
          </cell>
          <cell r="C2635">
            <v>4.9800000000000004</v>
          </cell>
          <cell r="D2635">
            <v>4.9800000000000004</v>
          </cell>
          <cell r="E2635">
            <v>-0.34599999999999997</v>
          </cell>
          <cell r="F2635">
            <v>-0.14199999999999999</v>
          </cell>
        </row>
        <row r="2636">
          <cell r="A2636">
            <v>812635</v>
          </cell>
          <cell r="B2636" t="str">
            <v>LRT201 LINGUICA TOSC RESF PT 1KG CX 20KG</v>
          </cell>
          <cell r="C2636">
            <v>3.5</v>
          </cell>
          <cell r="D2636">
            <v>2.7770000000000001</v>
          </cell>
          <cell r="E2636">
            <v>0</v>
          </cell>
          <cell r="F2636">
            <v>-0.39100000000000001</v>
          </cell>
        </row>
        <row r="2637">
          <cell r="A2637">
            <v>812637</v>
          </cell>
          <cell r="B2637" t="str">
            <v>LRP201 LING PERNIL RESF PT1KG C0 20KG</v>
          </cell>
          <cell r="C2637">
            <v>3.5</v>
          </cell>
          <cell r="D2637">
            <v>2.7770000000000001</v>
          </cell>
          <cell r="E2637">
            <v>0</v>
          </cell>
          <cell r="F2637">
            <v>-0.45500000000000002</v>
          </cell>
        </row>
        <row r="2638">
          <cell r="A2638">
            <v>812751</v>
          </cell>
          <cell r="B2638" t="str">
            <v>FCE012 FRANGO C/M CONG PERD CX 12KG</v>
          </cell>
          <cell r="C2638">
            <v>0.9</v>
          </cell>
          <cell r="D2638">
            <v>0.75900000000000001</v>
          </cell>
          <cell r="E2638">
            <v>-0.128</v>
          </cell>
          <cell r="F2638">
            <v>-9.6999999999999975E-2</v>
          </cell>
        </row>
        <row r="2639">
          <cell r="A2639">
            <v>812752</v>
          </cell>
          <cell r="B2639" t="str">
            <v>FGE012 FRANGO C/M CONG PERD CX 12,8KG</v>
          </cell>
          <cell r="C2639">
            <v>0.88200000000000001</v>
          </cell>
          <cell r="D2639">
            <v>0.78700000000000003</v>
          </cell>
          <cell r="E2639">
            <v>-5.1999999999999998E-2</v>
          </cell>
          <cell r="F2639">
            <v>-2.9000000000000026E-2</v>
          </cell>
        </row>
        <row r="2640">
          <cell r="A2640">
            <v>812753</v>
          </cell>
          <cell r="B2640" t="str">
            <v>FCE013 FRANGO C/M CONG PERD CX 13,6KG</v>
          </cell>
          <cell r="C2640">
            <v>0.99</v>
          </cell>
          <cell r="D2640">
            <v>0.88400000000000001</v>
          </cell>
          <cell r="E2640">
            <v>0</v>
          </cell>
          <cell r="F2640">
            <v>-3.5000000000000003E-2</v>
          </cell>
        </row>
        <row r="2641">
          <cell r="A2641">
            <v>812754</v>
          </cell>
          <cell r="B2641" t="str">
            <v>FCE014 FRANGO C/M CONG PERD CX 14,4KG</v>
          </cell>
          <cell r="C2641">
            <v>0.99</v>
          </cell>
          <cell r="D2641">
            <v>0.88400000000000001</v>
          </cell>
          <cell r="E2641">
            <v>0</v>
          </cell>
          <cell r="F2641">
            <v>-3.5000000000000003E-2</v>
          </cell>
        </row>
        <row r="2642">
          <cell r="A2642">
            <v>812821</v>
          </cell>
          <cell r="B2642" t="str">
            <v>PEFC35 PEITO S/OPFC MET 105G TAMBL INGL</v>
          </cell>
          <cell r="C2642">
            <v>3.8639999999999999</v>
          </cell>
          <cell r="D2642">
            <v>3.8639999999999999</v>
          </cell>
          <cell r="E2642">
            <v>-0.376</v>
          </cell>
          <cell r="F2642">
            <v>-0.123</v>
          </cell>
        </row>
        <row r="2643">
          <cell r="A2643">
            <v>812843</v>
          </cell>
          <cell r="B2643" t="str">
            <v>LSCE25 LOMBO SUI 1,2KG/UP BL 25KG ARGENT</v>
          </cell>
          <cell r="C2643">
            <v>3.798</v>
          </cell>
          <cell r="D2643">
            <v>3.798</v>
          </cell>
          <cell r="E2643">
            <v>-0.28399999999999997</v>
          </cell>
          <cell r="F2643">
            <v>-0.15100000000000002</v>
          </cell>
        </row>
        <row r="2644">
          <cell r="A2644">
            <v>812845</v>
          </cell>
          <cell r="B2644" t="str">
            <v>FCGE80 FRANGO GRILLER 1000G BORELLA OMAN</v>
          </cell>
          <cell r="C2644">
            <v>1.7450000000000001</v>
          </cell>
          <cell r="D2644">
            <v>1.7450000000000001</v>
          </cell>
          <cell r="E2644">
            <v>-0.44900000000000001</v>
          </cell>
          <cell r="F2644">
            <v>-5.6000000000000001E-2</v>
          </cell>
        </row>
        <row r="2645">
          <cell r="A2645">
            <v>812846</v>
          </cell>
          <cell r="B2645" t="str">
            <v>FCGE81 FRANGO GRILLER 1100G BORELLA OMAN</v>
          </cell>
          <cell r="C2645">
            <v>1.639</v>
          </cell>
          <cell r="D2645">
            <v>1.639</v>
          </cell>
          <cell r="E2645">
            <v>-0.48799999999999999</v>
          </cell>
          <cell r="F2645">
            <v>-4.3999999999999997E-2</v>
          </cell>
        </row>
        <row r="2646">
          <cell r="A2646">
            <v>812940</v>
          </cell>
          <cell r="B2646" t="str">
            <v>PEFC36 PEITO S/OPFC MET 100G TAMBL INGL</v>
          </cell>
          <cell r="C2646">
            <v>4.282</v>
          </cell>
          <cell r="D2646">
            <v>4.282</v>
          </cell>
          <cell r="E2646">
            <v>-0.34599999999999997</v>
          </cell>
          <cell r="F2646">
            <v>0</v>
          </cell>
        </row>
        <row r="2647">
          <cell r="A2647">
            <v>812942</v>
          </cell>
          <cell r="B2647" t="str">
            <v>PEFC37 PEITO S/OPFC MET 100G TAMBL INGL</v>
          </cell>
          <cell r="C2647">
            <v>4.3689999999999998</v>
          </cell>
          <cell r="D2647">
            <v>4.3689999999999998</v>
          </cell>
          <cell r="E2647">
            <v>-0.34599999999999997</v>
          </cell>
          <cell r="F2647">
            <v>0</v>
          </cell>
        </row>
        <row r="2648">
          <cell r="A2648">
            <v>812974</v>
          </cell>
          <cell r="B2648" t="str">
            <v>CECS93 COXA SOB S/O C/P KAK 35-45G PERD</v>
          </cell>
          <cell r="C2648">
            <v>1.554</v>
          </cell>
          <cell r="D2648">
            <v>1.554</v>
          </cell>
          <cell r="E2648">
            <v>-0.43099999999999999</v>
          </cell>
          <cell r="F2648">
            <v>-4.8000000000000043E-2</v>
          </cell>
        </row>
        <row r="2649">
          <cell r="A2649">
            <v>813188</v>
          </cell>
          <cell r="B2649" t="str">
            <v>SFCE68 SOBRECOXA S/OP PT 2KG CARIBE</v>
          </cell>
          <cell r="C2649">
            <v>2.294</v>
          </cell>
          <cell r="D2649">
            <v>2.294</v>
          </cell>
          <cell r="E2649">
            <v>-6.6000000000000003E-2</v>
          </cell>
          <cell r="F2649">
            <v>-7.5999999999999998E-2</v>
          </cell>
        </row>
        <row r="2650">
          <cell r="A2650">
            <v>813431</v>
          </cell>
          <cell r="B2650" t="str">
            <v>FCGE85 FRANGO GRILLER 1300G BOREL OMAN</v>
          </cell>
          <cell r="C2650">
            <v>1.7450000000000001</v>
          </cell>
          <cell r="D2650">
            <v>1.7450000000000001</v>
          </cell>
          <cell r="E2650">
            <v>-0.44900000000000001</v>
          </cell>
          <cell r="F2650">
            <v>-5.6000000000000001E-2</v>
          </cell>
        </row>
        <row r="2651">
          <cell r="A2651">
            <v>813432</v>
          </cell>
          <cell r="B2651" t="str">
            <v>FCGE86 FRANGO GRILLER 1400G BOREL OMAN</v>
          </cell>
          <cell r="C2651">
            <v>1.7450000000000001</v>
          </cell>
          <cell r="D2651">
            <v>1.7450000000000001</v>
          </cell>
          <cell r="E2651">
            <v>-0.44900000000000001</v>
          </cell>
          <cell r="F2651">
            <v>-5.6000000000000001E-2</v>
          </cell>
        </row>
        <row r="2652">
          <cell r="A2652">
            <v>813433</v>
          </cell>
          <cell r="B2652" t="str">
            <v>FCGE87 FRANGO GRILLER 1500G BOREL OMAN</v>
          </cell>
          <cell r="C2652">
            <v>1.7450000000000001</v>
          </cell>
          <cell r="D2652">
            <v>1.7450000000000001</v>
          </cell>
          <cell r="E2652">
            <v>-0.44900000000000001</v>
          </cell>
          <cell r="F2652">
            <v>-5.6000000000000001E-2</v>
          </cell>
        </row>
        <row r="2653">
          <cell r="A2653">
            <v>813461</v>
          </cell>
          <cell r="B2653" t="str">
            <v>MPF214 MORT BOLOG PISTACHE FAT CX 4,2KG</v>
          </cell>
          <cell r="C2653">
            <v>9.1140000000000008</v>
          </cell>
          <cell r="D2653">
            <v>7.234</v>
          </cell>
          <cell r="E2653">
            <v>0</v>
          </cell>
          <cell r="F2653">
            <v>-0.91300000000000026</v>
          </cell>
        </row>
        <row r="2654">
          <cell r="A2654">
            <v>813817</v>
          </cell>
          <cell r="B2654" t="str">
            <v>ADT003 ASA 1A JTA FGO TEMP PERD CX 3KG</v>
          </cell>
          <cell r="C2654">
            <v>1.996</v>
          </cell>
          <cell r="D2654">
            <v>1.6739999999999999</v>
          </cell>
          <cell r="E2654">
            <v>-0.19900000000000001</v>
          </cell>
          <cell r="F2654">
            <v>-7.7000000000000013E-2</v>
          </cell>
        </row>
        <row r="2655">
          <cell r="A2655">
            <v>813958</v>
          </cell>
          <cell r="B2655" t="str">
            <v>PMG007 PRESUNTO DEF MARYLAND CX 7,1KG</v>
          </cell>
          <cell r="C2655">
            <v>6.3259999999999996</v>
          </cell>
          <cell r="D2655">
            <v>4.6849999999999996</v>
          </cell>
          <cell r="E2655">
            <v>-0.108</v>
          </cell>
          <cell r="F2655">
            <v>-0.623</v>
          </cell>
        </row>
        <row r="2656">
          <cell r="A2656">
            <v>813983</v>
          </cell>
          <cell r="B2656" t="str">
            <v>PEFC50 PEITO+COXA SOB PT 1KG EMP INGL</v>
          </cell>
          <cell r="C2656">
            <v>4.0839999999999996</v>
          </cell>
          <cell r="D2656">
            <v>4.0839999999999996</v>
          </cell>
          <cell r="E2656">
            <v>-0.35799999999999998</v>
          </cell>
          <cell r="F2656">
            <v>-0.14699999999999991</v>
          </cell>
        </row>
        <row r="2657">
          <cell r="A2657">
            <v>813984</v>
          </cell>
          <cell r="B2657" t="str">
            <v>PEFC51 PEITO+CO0A SOB PT 1KG EMP INGL</v>
          </cell>
          <cell r="C2657">
            <v>3.5830000000000002</v>
          </cell>
          <cell r="D2657">
            <v>3.5830000000000002</v>
          </cell>
          <cell r="E2657">
            <v>-0.38300000000000001</v>
          </cell>
          <cell r="F2657">
            <v>0</v>
          </cell>
        </row>
        <row r="2658">
          <cell r="A2658">
            <v>813985</v>
          </cell>
          <cell r="B2658" t="str">
            <v>PEFC52 PEITO "BATTERED NUGGETS" EMP INGL</v>
          </cell>
          <cell r="C2658">
            <v>3.9319999999999999</v>
          </cell>
          <cell r="D2658">
            <v>3.9319999999999999</v>
          </cell>
          <cell r="E2658">
            <v>-0.38200000000000001</v>
          </cell>
          <cell r="F2658">
            <v>0</v>
          </cell>
        </row>
        <row r="2659">
          <cell r="A2659">
            <v>813986</v>
          </cell>
          <cell r="B2659" t="str">
            <v>PEFC53 PEITO "BATTERED STEAK" EMP INGL</v>
          </cell>
          <cell r="C2659">
            <v>3.9319999999999999</v>
          </cell>
          <cell r="D2659">
            <v>3.9319999999999999</v>
          </cell>
          <cell r="E2659">
            <v>-0.36799999999999999</v>
          </cell>
          <cell r="F2659">
            <v>0</v>
          </cell>
        </row>
        <row r="2660">
          <cell r="A2660">
            <v>814005</v>
          </cell>
          <cell r="B2660" t="str">
            <v>FECB59 FRANGO BROILER 1300G PERD INDON</v>
          </cell>
          <cell r="C2660">
            <v>1.5880000000000001</v>
          </cell>
          <cell r="D2660">
            <v>1.5880000000000001</v>
          </cell>
          <cell r="E2660">
            <v>-0.45600000000000002</v>
          </cell>
          <cell r="F2660">
            <v>-4.1999999999999996E-2</v>
          </cell>
        </row>
        <row r="2661">
          <cell r="A2661">
            <v>814320</v>
          </cell>
          <cell r="B2661" t="str">
            <v>PEFC58 PEITO S/OPFC 100-180G SALM ALEM</v>
          </cell>
          <cell r="C2661">
            <v>3.706</v>
          </cell>
          <cell r="D2661">
            <v>3.706</v>
          </cell>
          <cell r="E2661">
            <v>-0.308</v>
          </cell>
          <cell r="F2661">
            <v>-0.11</v>
          </cell>
        </row>
        <row r="2662">
          <cell r="A2662">
            <v>814375</v>
          </cell>
          <cell r="B2662" t="str">
            <v>CSBC10 CO0A SOB C/OP 300G/UP ITF CANAR</v>
          </cell>
          <cell r="C2662">
            <v>1.486</v>
          </cell>
          <cell r="D2662">
            <v>1.486</v>
          </cell>
          <cell r="E2662">
            <v>-0.29799999999999999</v>
          </cell>
          <cell r="F2662">
            <v>-4.1000000000000009E-2</v>
          </cell>
        </row>
        <row r="2663">
          <cell r="A2663">
            <v>814376</v>
          </cell>
          <cell r="B2663" t="str">
            <v>AIFE78 ASA 1A JTA DRUM PT 1KG IQF CANAR</v>
          </cell>
          <cell r="C2663">
            <v>1.8069999999999999</v>
          </cell>
          <cell r="D2663">
            <v>1.8069999999999999</v>
          </cell>
          <cell r="E2663">
            <v>-0.30199999999999999</v>
          </cell>
          <cell r="F2663">
            <v>-5.800000000000001E-2</v>
          </cell>
        </row>
        <row r="2664">
          <cell r="A2664">
            <v>814679</v>
          </cell>
          <cell r="B2664" t="str">
            <v>COXA SOB SO CP KAK 23-27G SUN K39 JAPAO</v>
          </cell>
          <cell r="C2664">
            <v>2.25</v>
          </cell>
          <cell r="D2664">
            <v>2.25</v>
          </cell>
          <cell r="E2664">
            <v>-0.10100000000000001</v>
          </cell>
          <cell r="F2664">
            <v>-8.2000000000000003E-2</v>
          </cell>
        </row>
        <row r="2665">
          <cell r="A2665">
            <v>814721</v>
          </cell>
          <cell r="B2665" t="str">
            <v>RBS013 RABO SUI SALG PERD CX 13KG</v>
          </cell>
          <cell r="C2665">
            <v>2.61</v>
          </cell>
          <cell r="D2665">
            <v>2.0390000000000001</v>
          </cell>
          <cell r="E2665">
            <v>-0.24199999999999999</v>
          </cell>
          <cell r="F2665">
            <v>-0.315</v>
          </cell>
        </row>
        <row r="2666">
          <cell r="A2666">
            <v>814883</v>
          </cell>
          <cell r="B2666" t="str">
            <v>FECB60 FRANGO BROILER 1200G PERD INDON</v>
          </cell>
          <cell r="C2666">
            <v>1.5880000000000001</v>
          </cell>
          <cell r="D2666">
            <v>1.5880000000000001</v>
          </cell>
          <cell r="E2666">
            <v>-0.45600000000000002</v>
          </cell>
          <cell r="F2666">
            <v>-4.200000000000001E-2</v>
          </cell>
        </row>
        <row r="2667">
          <cell r="A2667">
            <v>814936</v>
          </cell>
          <cell r="B2667" t="str">
            <v>PFPE03 PEITO RECONS FRITO CART 500G ALB</v>
          </cell>
          <cell r="C2667">
            <v>5.7850000000000001</v>
          </cell>
          <cell r="D2667">
            <v>5.7850000000000001</v>
          </cell>
          <cell r="E2667">
            <v>-0.55400000000000005</v>
          </cell>
          <cell r="F2667">
            <v>-0.18599999999999994</v>
          </cell>
        </row>
        <row r="2668">
          <cell r="A2668">
            <v>814963</v>
          </cell>
          <cell r="B2668" t="str">
            <v>CSBC46 COXA SOB S/OP BL 7,5KG PERD HOL</v>
          </cell>
          <cell r="C2668">
            <v>3.0009999999999999</v>
          </cell>
          <cell r="D2668">
            <v>3.0009999999999999</v>
          </cell>
          <cell r="E2668">
            <v>-0.28399999999999997</v>
          </cell>
          <cell r="F2668">
            <v>-8.3999999999999964E-2</v>
          </cell>
        </row>
        <row r="2669">
          <cell r="A2669">
            <v>815051</v>
          </cell>
          <cell r="B2669" t="str">
            <v>PEFC63 PEITO S/OPFC VEG/MAT BL 10KG INGL</v>
          </cell>
          <cell r="C2669">
            <v>3.1459999999999999</v>
          </cell>
          <cell r="D2669">
            <v>3.1459999999999999</v>
          </cell>
          <cell r="E2669">
            <v>-0.35299999999999998</v>
          </cell>
          <cell r="F2669">
            <v>-8.8999999999999996E-2</v>
          </cell>
        </row>
        <row r="2670">
          <cell r="A2670">
            <v>815069</v>
          </cell>
          <cell r="B2670" t="str">
            <v>COXA SOB S/OP 200GUP PT 1KG BOREL KUWAIT</v>
          </cell>
          <cell r="C2670">
            <v>3.2850000000000001</v>
          </cell>
          <cell r="D2670">
            <v>3.2850000000000001</v>
          </cell>
          <cell r="E2670">
            <v>-0.58499999999999996</v>
          </cell>
          <cell r="F2670">
            <v>-9.5000000000000001E-2</v>
          </cell>
        </row>
        <row r="2671">
          <cell r="A2671">
            <v>815075</v>
          </cell>
          <cell r="B2671" t="str">
            <v>CSBC48 COXA SOB S/O C/P 200G/UP KUWAIT</v>
          </cell>
          <cell r="C2671">
            <v>2.8610000000000002</v>
          </cell>
          <cell r="D2671">
            <v>2.8610000000000002</v>
          </cell>
          <cell r="E2671">
            <v>-0.52</v>
          </cell>
          <cell r="F2671">
            <v>-9.2999999999999972E-2</v>
          </cell>
        </row>
        <row r="2672">
          <cell r="A2672">
            <v>815277</v>
          </cell>
          <cell r="B2672" t="str">
            <v>PEFC66 PEITO S/OPFC MET VEG BL 7,5KG ING</v>
          </cell>
          <cell r="C2672">
            <v>3.758</v>
          </cell>
          <cell r="D2672">
            <v>3.758</v>
          </cell>
          <cell r="E2672">
            <v>-0.28899999999999998</v>
          </cell>
          <cell r="F2672">
            <v>-0.122</v>
          </cell>
        </row>
        <row r="2673">
          <cell r="A2673">
            <v>815341</v>
          </cell>
          <cell r="B2673" t="str">
            <v>CSBC49 CO0A SOB S/O C/P ACHAT AL KAW BAH</v>
          </cell>
          <cell r="C2673">
            <v>2.927</v>
          </cell>
          <cell r="D2673">
            <v>2.927</v>
          </cell>
          <cell r="E2673">
            <v>-0.46700000000000003</v>
          </cell>
          <cell r="F2673">
            <v>-8.2000000000000017E-2</v>
          </cell>
        </row>
        <row r="2674">
          <cell r="A2674">
            <v>815459</v>
          </cell>
          <cell r="B2674" t="str">
            <v>PEFC69 PEITO S/OPFC TIRAS 15MM COZ INGL</v>
          </cell>
          <cell r="C2674">
            <v>6.4610000000000003</v>
          </cell>
          <cell r="D2674">
            <v>6.4610000000000003</v>
          </cell>
          <cell r="E2674">
            <v>-0.36099999999999999</v>
          </cell>
          <cell r="F2674">
            <v>0</v>
          </cell>
        </row>
        <row r="2675">
          <cell r="A2675">
            <v>815482</v>
          </cell>
          <cell r="B2675" t="str">
            <v>PEFC72 PEITO S/OPFC 210-230G BUT INGL</v>
          </cell>
          <cell r="C2675">
            <v>3.504</v>
          </cell>
          <cell r="D2675">
            <v>3.504</v>
          </cell>
          <cell r="E2675">
            <v>-0.32800000000000001</v>
          </cell>
          <cell r="F2675">
            <v>-0.124</v>
          </cell>
        </row>
        <row r="2676">
          <cell r="A2676">
            <v>815634</v>
          </cell>
          <cell r="B2676" t="str">
            <v>STF003 STICKS FGO EMP 3 PT 1KG PERD</v>
          </cell>
          <cell r="C2676">
            <v>6.0739999999999998</v>
          </cell>
          <cell r="D2676">
            <v>4.617</v>
          </cell>
          <cell r="E2676">
            <v>-0.223</v>
          </cell>
          <cell r="F2676">
            <v>-0.56200000000000006</v>
          </cell>
        </row>
        <row r="2677">
          <cell r="A2677">
            <v>815635</v>
          </cell>
          <cell r="B2677" t="str">
            <v>SQE003 STICKS QUEIJO EMP 3 PT 1KG PERD</v>
          </cell>
          <cell r="C2677">
            <v>5.8860000000000001</v>
          </cell>
          <cell r="D2677">
            <v>4.2140000000000004</v>
          </cell>
          <cell r="E2677">
            <v>-0.214</v>
          </cell>
          <cell r="F2677">
            <v>-0.64600000000000002</v>
          </cell>
        </row>
        <row r="2678">
          <cell r="A2678">
            <v>815654</v>
          </cell>
          <cell r="B2678" t="str">
            <v>COXA SOB S/O C/P 170-300G WFCK120 H.KONG</v>
          </cell>
          <cell r="C2678">
            <v>1.944</v>
          </cell>
          <cell r="D2678">
            <v>1.944</v>
          </cell>
          <cell r="E2678">
            <v>-8.3000000000000004E-2</v>
          </cell>
          <cell r="F2678">
            <v>-7.0000000000000007E-2</v>
          </cell>
        </row>
        <row r="2679">
          <cell r="A2679">
            <v>815748</v>
          </cell>
          <cell r="B2679" t="str">
            <v>PEFC74 PEITO+COXA SOB FORM/EMP/COZ INGL</v>
          </cell>
          <cell r="C2679">
            <v>4.1820000000000004</v>
          </cell>
          <cell r="D2679">
            <v>4.1820000000000004</v>
          </cell>
          <cell r="E2679">
            <v>-0.38300000000000001</v>
          </cell>
          <cell r="F2679">
            <v>-0.14900000000000024</v>
          </cell>
        </row>
        <row r="2680">
          <cell r="A2680">
            <v>815832</v>
          </cell>
          <cell r="B2680" t="str">
            <v>PEFC75 PEITO+COXA SOB FORM/EMP/COZ INGL</v>
          </cell>
          <cell r="C2680">
            <v>4.0839999999999996</v>
          </cell>
          <cell r="D2680">
            <v>4.0839999999999996</v>
          </cell>
          <cell r="E2680">
            <v>-0.35699999999999998</v>
          </cell>
          <cell r="F2680">
            <v>-0.14700000000000002</v>
          </cell>
        </row>
        <row r="2681">
          <cell r="A2681">
            <v>815909</v>
          </cell>
          <cell r="B2681" t="str">
            <v>PEITO DEF CHT MINI 8 PCS PERD JAPAO IMAI</v>
          </cell>
          <cell r="C2681">
            <v>4.8769999999999998</v>
          </cell>
          <cell r="D2681">
            <v>4.8769999999999998</v>
          </cell>
          <cell r="E2681">
            <v>-0.47699999999999998</v>
          </cell>
          <cell r="F2681">
            <v>-0.17199999999999999</v>
          </cell>
        </row>
        <row r="2682">
          <cell r="A2682">
            <v>815910</v>
          </cell>
          <cell r="B2682" t="str">
            <v>CHESTER GEORGIA MINI 8PCS JAPAO IMAI</v>
          </cell>
          <cell r="C2682">
            <v>4.3949999999999996</v>
          </cell>
          <cell r="D2682">
            <v>4.3949999999999996</v>
          </cell>
          <cell r="E2682">
            <v>-0.45400000000000001</v>
          </cell>
          <cell r="F2682">
            <v>-0.12399999999999967</v>
          </cell>
        </row>
        <row r="2683">
          <cell r="A2683">
            <v>816051</v>
          </cell>
          <cell r="B2683" t="str">
            <v>PEFC79 PEITO S/OPFC MET 100G SALM HOLAN</v>
          </cell>
          <cell r="C2683">
            <v>3.4750000000000001</v>
          </cell>
          <cell r="D2683">
            <v>3.4750000000000001</v>
          </cell>
          <cell r="E2683">
            <v>-0.26100000000000001</v>
          </cell>
          <cell r="F2683">
            <v>-9.8999999999999991E-2</v>
          </cell>
        </row>
        <row r="2684">
          <cell r="A2684">
            <v>816052</v>
          </cell>
          <cell r="B2684" t="str">
            <v>PMF006 PRESUNTO TENRO MARYLAND CX 6,7KG</v>
          </cell>
          <cell r="C2684">
            <v>3.7749999999999999</v>
          </cell>
          <cell r="D2684">
            <v>2.8380000000000001</v>
          </cell>
          <cell r="E2684">
            <v>-0.12</v>
          </cell>
          <cell r="F2684">
            <v>-0.5069999999999999</v>
          </cell>
        </row>
        <row r="2685">
          <cell r="A2685">
            <v>816053</v>
          </cell>
          <cell r="B2685" t="str">
            <v>PMF007 PRESUNTO TENRO MARYLAND CX 7,1KG</v>
          </cell>
          <cell r="C2685">
            <v>5.5</v>
          </cell>
          <cell r="D2685">
            <v>4.3639999999999999</v>
          </cell>
          <cell r="E2685">
            <v>0</v>
          </cell>
          <cell r="F2685">
            <v>-0.78200000000000003</v>
          </cell>
        </row>
        <row r="2686">
          <cell r="A2686">
            <v>816085</v>
          </cell>
          <cell r="B2686" t="str">
            <v>FTF020 FRANGAO TEMP PERD CX 20KG</v>
          </cell>
          <cell r="C2686">
            <v>1.2310000000000001</v>
          </cell>
          <cell r="D2686">
            <v>1.073</v>
          </cell>
          <cell r="E2686">
            <v>-0.19400000000000001</v>
          </cell>
          <cell r="F2686">
            <v>-0.20499999999999999</v>
          </cell>
        </row>
        <row r="2687">
          <cell r="A2687">
            <v>816379</v>
          </cell>
          <cell r="B2687" t="str">
            <v>CSBC59 COXA SOB S/O C/P 160-180G BOREL</v>
          </cell>
          <cell r="C2687">
            <v>2.4020000000000001</v>
          </cell>
          <cell r="D2687">
            <v>2.4020000000000001</v>
          </cell>
          <cell r="E2687">
            <v>-0.40599999999999997</v>
          </cell>
          <cell r="F2687">
            <v>-8.3000000000000004E-2</v>
          </cell>
        </row>
        <row r="2688">
          <cell r="A2688">
            <v>816380</v>
          </cell>
          <cell r="B2688" t="str">
            <v>CSBC60 COXA SOB S/O C/P 180-200G BOREL</v>
          </cell>
          <cell r="C2688">
            <v>2.4020000000000001</v>
          </cell>
          <cell r="D2688">
            <v>2.4020000000000001</v>
          </cell>
          <cell r="E2688">
            <v>-0.40599999999999997</v>
          </cell>
          <cell r="F2688">
            <v>-8.3000000000000004E-2</v>
          </cell>
        </row>
        <row r="2689">
          <cell r="A2689">
            <v>816382</v>
          </cell>
          <cell r="B2689" t="str">
            <v>CSBC62 COXA SOB S/O C/P 220-240G BOREL</v>
          </cell>
          <cell r="C2689">
            <v>2.4020000000000001</v>
          </cell>
          <cell r="D2689">
            <v>2.4020000000000001</v>
          </cell>
          <cell r="E2689">
            <v>-0.40599999999999997</v>
          </cell>
          <cell r="F2689">
            <v>-8.3000000000000004E-2</v>
          </cell>
        </row>
        <row r="2690">
          <cell r="A2690">
            <v>816383</v>
          </cell>
          <cell r="B2690" t="str">
            <v>CSBC63 COXA SOB S/O C/P 160-180G PRIME</v>
          </cell>
          <cell r="C2690">
            <v>2.0590000000000002</v>
          </cell>
          <cell r="D2690">
            <v>2.0590000000000002</v>
          </cell>
          <cell r="E2690">
            <v>-9.5000000000000001E-2</v>
          </cell>
          <cell r="F2690">
            <v>-7.4999999999999997E-2</v>
          </cell>
        </row>
        <row r="2691">
          <cell r="A2691">
            <v>816384</v>
          </cell>
          <cell r="B2691" t="str">
            <v>CSBC64 COXA SOB S/O C/P 180-200G PRIME</v>
          </cell>
          <cell r="C2691">
            <v>2.2170000000000001</v>
          </cell>
          <cell r="D2691">
            <v>2.2170000000000001</v>
          </cell>
          <cell r="E2691">
            <v>-0.125</v>
          </cell>
          <cell r="F2691">
            <v>-6.6000000000000003E-2</v>
          </cell>
        </row>
        <row r="2692">
          <cell r="A2692">
            <v>816385</v>
          </cell>
          <cell r="B2692" t="str">
            <v>CSBC65 CO0A SOB S/O C/P 200-220G PRIME</v>
          </cell>
          <cell r="C2692">
            <v>2.0339999999999998</v>
          </cell>
          <cell r="D2692">
            <v>2.0339999999999998</v>
          </cell>
          <cell r="E2692">
            <v>-9.5000000000000001E-2</v>
          </cell>
          <cell r="F2692">
            <v>-5.8999999999999997E-2</v>
          </cell>
        </row>
        <row r="2693">
          <cell r="A2693">
            <v>816386</v>
          </cell>
          <cell r="B2693" t="str">
            <v>CSBC66 COXA SOBC S/O C/P 220-240G PRIME</v>
          </cell>
          <cell r="C2693">
            <v>2.2280000000000002</v>
          </cell>
          <cell r="D2693">
            <v>2.2280000000000002</v>
          </cell>
          <cell r="E2693">
            <v>-0.123</v>
          </cell>
          <cell r="F2693">
            <v>-7.3999999999999996E-2</v>
          </cell>
        </row>
        <row r="2694">
          <cell r="A2694">
            <v>816522</v>
          </cell>
          <cell r="B2694" t="str">
            <v>PBO007 PRESUNTO BORELLA CX 6,5KG</v>
          </cell>
          <cell r="C2694">
            <v>1.988</v>
          </cell>
          <cell r="D2694">
            <v>1.5</v>
          </cell>
          <cell r="E2694">
            <v>-0.2</v>
          </cell>
          <cell r="F2694">
            <v>-0.21</v>
          </cell>
        </row>
        <row r="2695">
          <cell r="A2695">
            <v>816546</v>
          </cell>
          <cell r="B2695" t="str">
            <v>CJFE02 CARTILAGEM JOELHO FGO PRIME W-5</v>
          </cell>
          <cell r="C2695">
            <v>3.1549999999999998</v>
          </cell>
          <cell r="D2695">
            <v>3.1549999999999998</v>
          </cell>
          <cell r="E2695">
            <v>-0.106</v>
          </cell>
          <cell r="F2695">
            <v>-9.0999999999999748E-2</v>
          </cell>
        </row>
        <row r="2696">
          <cell r="A2696">
            <v>816548</v>
          </cell>
          <cell r="B2696" t="str">
            <v>FTF019 FRANGAO TEMP PERD CX 19KG</v>
          </cell>
          <cell r="C2696">
            <v>1.4159999999999999</v>
          </cell>
          <cell r="D2696">
            <v>1.2589999999999999</v>
          </cell>
          <cell r="E2696">
            <v>-0.38100000000000001</v>
          </cell>
          <cell r="F2696">
            <v>-9.1999999999999998E-2</v>
          </cell>
        </row>
        <row r="2697">
          <cell r="A2697">
            <v>816549</v>
          </cell>
          <cell r="B2697" t="str">
            <v>FTF021 FRANGAO TEMP PERD CX 21KG</v>
          </cell>
          <cell r="C2697">
            <v>1.4139999999999999</v>
          </cell>
          <cell r="D2697">
            <v>1.212</v>
          </cell>
          <cell r="E2697">
            <v>-0.30599999999999999</v>
          </cell>
          <cell r="F2697">
            <v>-0.14900000000000002</v>
          </cell>
        </row>
        <row r="2698">
          <cell r="A2698">
            <v>816586</v>
          </cell>
          <cell r="B2698" t="str">
            <v>PFCR03 PEITO S/O C/P RECH C.BLEU I.MAUR</v>
          </cell>
          <cell r="C2698">
            <v>5.883</v>
          </cell>
          <cell r="D2698">
            <v>5.883</v>
          </cell>
          <cell r="E2698">
            <v>-0.55300000000000005</v>
          </cell>
          <cell r="F2698">
            <v>-0.18900000000000006</v>
          </cell>
        </row>
        <row r="2699">
          <cell r="A2699">
            <v>816592</v>
          </cell>
          <cell r="B2699" t="str">
            <v>CSB016 CO0A SOB S/O C/P PERD C0 16KG</v>
          </cell>
          <cell r="C2699">
            <v>2.2869999999999999</v>
          </cell>
          <cell r="D2699">
            <v>2.0369999999999999</v>
          </cell>
          <cell r="E2699">
            <v>-0.20499999999999999</v>
          </cell>
          <cell r="F2699">
            <v>-0.18</v>
          </cell>
        </row>
        <row r="2700">
          <cell r="A2700">
            <v>816764</v>
          </cell>
          <cell r="B2700" t="str">
            <v>PEFC95 PEITO S/OPFC MET IF TAM/COZ ITAL</v>
          </cell>
          <cell r="C2700">
            <v>5.2160000000000002</v>
          </cell>
          <cell r="D2700">
            <v>5.2160000000000002</v>
          </cell>
          <cell r="E2700">
            <v>-0.56200000000000006</v>
          </cell>
          <cell r="F2700">
            <v>-0.18700000000000006</v>
          </cell>
        </row>
        <row r="2701">
          <cell r="A2701">
            <v>816798</v>
          </cell>
          <cell r="B2701" t="str">
            <v>FRGE06 FRANGO GRILLER 1500G PERD OMAN</v>
          </cell>
          <cell r="C2701">
            <v>2.1880000000000002</v>
          </cell>
          <cell r="D2701">
            <v>2.1880000000000002</v>
          </cell>
          <cell r="E2701">
            <v>-0.49</v>
          </cell>
          <cell r="F2701">
            <v>-6.2000000000000013E-2</v>
          </cell>
        </row>
        <row r="2702">
          <cell r="A2702">
            <v>816800</v>
          </cell>
          <cell r="B2702" t="str">
            <v>FRGE08 FRANGO GRILLER 1700G PERD OMAN</v>
          </cell>
          <cell r="C2702">
            <v>1.4550000000000001</v>
          </cell>
          <cell r="D2702">
            <v>1.4550000000000001</v>
          </cell>
          <cell r="E2702">
            <v>-0.48099999999999998</v>
          </cell>
          <cell r="F2702">
            <v>-4.8999999999999988E-2</v>
          </cell>
        </row>
        <row r="2703">
          <cell r="A2703">
            <v>816801</v>
          </cell>
          <cell r="B2703" t="str">
            <v>FRGE09 FRANGO GRILLER 1800G PERD OMAN</v>
          </cell>
          <cell r="C2703">
            <v>1.4550000000000001</v>
          </cell>
          <cell r="D2703">
            <v>1.4550000000000001</v>
          </cell>
          <cell r="E2703">
            <v>-0.48099999999999998</v>
          </cell>
          <cell r="F2703">
            <v>-4.8999999999999988E-2</v>
          </cell>
        </row>
        <row r="2704">
          <cell r="A2704">
            <v>816837</v>
          </cell>
          <cell r="B2704" t="str">
            <v>HFEA01 HAMBURGUER FGO CART 224G ARGEN</v>
          </cell>
          <cell r="C2704">
            <v>3.5129999999999999</v>
          </cell>
          <cell r="D2704">
            <v>3.5129999999999999</v>
          </cell>
          <cell r="E2704">
            <v>-7.0999999999999994E-2</v>
          </cell>
          <cell r="F2704">
            <v>-0.11399999999999999</v>
          </cell>
        </row>
        <row r="2705">
          <cell r="A2705">
            <v>816905</v>
          </cell>
          <cell r="B2705" t="str">
            <v>PEFC96 PEITO S/OPFC 80G TAMB/COZ ALEM</v>
          </cell>
          <cell r="C2705">
            <v>5.1920000000000002</v>
          </cell>
          <cell r="D2705">
            <v>5.1920000000000002</v>
          </cell>
          <cell r="E2705">
            <v>-0.26500000000000001</v>
          </cell>
          <cell r="F2705">
            <v>0</v>
          </cell>
        </row>
        <row r="2706">
          <cell r="A2706">
            <v>816906</v>
          </cell>
          <cell r="B2706" t="str">
            <v>PEFC97 PEITO S/OPFC 100G TAMB/COZ ALEM</v>
          </cell>
          <cell r="C2706">
            <v>5.1920000000000002</v>
          </cell>
          <cell r="D2706">
            <v>5.1920000000000002</v>
          </cell>
          <cell r="E2706">
            <v>-0.26500000000000001</v>
          </cell>
          <cell r="F2706">
            <v>0</v>
          </cell>
        </row>
        <row r="2707">
          <cell r="A2707">
            <v>816928</v>
          </cell>
          <cell r="B2707" t="str">
            <v>PEFC98 PEITO S/OPFC 100G/UP R.TCHECA</v>
          </cell>
          <cell r="C2707">
            <v>3.67</v>
          </cell>
          <cell r="D2707">
            <v>3.67</v>
          </cell>
          <cell r="E2707">
            <v>-0.35099999999999998</v>
          </cell>
          <cell r="F2707">
            <v>-0.14499999999999999</v>
          </cell>
        </row>
        <row r="2708">
          <cell r="A2708">
            <v>816945</v>
          </cell>
          <cell r="B2708" t="str">
            <v>CSBC69 COXA SOB S/O C/P 200-260G CINGA</v>
          </cell>
          <cell r="C2708">
            <v>2.5190000000000001</v>
          </cell>
          <cell r="D2708">
            <v>2.5190000000000001</v>
          </cell>
          <cell r="E2708">
            <v>-0.44800000000000001</v>
          </cell>
          <cell r="F2708">
            <v>-8.6999999999999994E-2</v>
          </cell>
        </row>
        <row r="2709">
          <cell r="A2709">
            <v>816964</v>
          </cell>
          <cell r="B2709" t="str">
            <v>PPCE04 PEITO S/OPF VEG BL 10KG PERD INGL</v>
          </cell>
          <cell r="C2709">
            <v>3.867</v>
          </cell>
          <cell r="D2709">
            <v>3.867</v>
          </cell>
          <cell r="E2709">
            <v>-0.34899999999999998</v>
          </cell>
          <cell r="F2709">
            <v>-0.10799999999999998</v>
          </cell>
        </row>
        <row r="2710">
          <cell r="A2710">
            <v>817065</v>
          </cell>
          <cell r="B2710" t="str">
            <v>FFCE52 FIGADO FGO BDJ 450G PERD BAHRAIN</v>
          </cell>
          <cell r="C2710">
            <v>1.921</v>
          </cell>
          <cell r="D2710">
            <v>1.921</v>
          </cell>
          <cell r="E2710">
            <v>-0.50700000000000001</v>
          </cell>
          <cell r="F2710">
            <v>-6.6000000000000003E-2</v>
          </cell>
        </row>
        <row r="2711">
          <cell r="A2711">
            <v>817134</v>
          </cell>
          <cell r="B2711" t="str">
            <v>LTT424 LING TOSC CHUR TORC 4PT CX 24KG</v>
          </cell>
          <cell r="C2711">
            <v>1.974</v>
          </cell>
          <cell r="D2711">
            <v>1.6950000000000001</v>
          </cell>
          <cell r="E2711">
            <v>-0.21099999999999999</v>
          </cell>
          <cell r="F2711">
            <v>-0.248</v>
          </cell>
        </row>
        <row r="2712">
          <cell r="A2712">
            <v>817302</v>
          </cell>
          <cell r="B2712" t="str">
            <v>MSCE02 MASCARA S/PAP/ORELHAS SUI URUGUAI</v>
          </cell>
          <cell r="C2712">
            <v>0.81200000000000006</v>
          </cell>
          <cell r="D2712">
            <v>0.81200000000000006</v>
          </cell>
          <cell r="E2712">
            <v>-8.4000000000000005E-2</v>
          </cell>
          <cell r="F2712">
            <v>-2.4E-2</v>
          </cell>
        </row>
        <row r="2713">
          <cell r="A2713">
            <v>817330</v>
          </cell>
          <cell r="B2713" t="str">
            <v>MFCE69 MOELA FGO PT 1KG (LOMBOMAR) PORT</v>
          </cell>
          <cell r="C2713">
            <v>1.8049999999999999</v>
          </cell>
          <cell r="D2713">
            <v>1.8049999999999999</v>
          </cell>
          <cell r="E2713">
            <v>-0.33600000000000002</v>
          </cell>
          <cell r="F2713">
            <v>-5.1999999999999935E-2</v>
          </cell>
        </row>
        <row r="2714">
          <cell r="A2714">
            <v>817332</v>
          </cell>
          <cell r="B2714" t="str">
            <v>PPCE05 PEITO S/OPFC TAMB 100-125G ALEM</v>
          </cell>
          <cell r="C2714">
            <v>4.5640000000000001</v>
          </cell>
          <cell r="D2714">
            <v>4.5640000000000001</v>
          </cell>
          <cell r="E2714">
            <v>-0.32</v>
          </cell>
          <cell r="F2714">
            <v>-0.16299999999999992</v>
          </cell>
        </row>
        <row r="2715">
          <cell r="A2715">
            <v>817333</v>
          </cell>
          <cell r="B2715" t="str">
            <v>PPCE06 PEITO S/OPFC 100-125G COZ ALEM</v>
          </cell>
          <cell r="C2715">
            <v>5.835</v>
          </cell>
          <cell r="D2715">
            <v>5.835</v>
          </cell>
          <cell r="E2715">
            <v>-0.32099999999999995</v>
          </cell>
          <cell r="F2715">
            <v>-0.20900000000000007</v>
          </cell>
        </row>
        <row r="2716">
          <cell r="A2716">
            <v>817335</v>
          </cell>
          <cell r="B2716" t="str">
            <v>PPCE08 PEITO S/OPFC 100-125G EMP ALEM</v>
          </cell>
          <cell r="C2716">
            <v>5.0919999999999996</v>
          </cell>
          <cell r="D2716">
            <v>5.0919999999999996</v>
          </cell>
          <cell r="E2716">
            <v>-0.32099999999999995</v>
          </cell>
          <cell r="F2716">
            <v>-0.18300000000000005</v>
          </cell>
        </row>
        <row r="2717">
          <cell r="A2717">
            <v>817337</v>
          </cell>
          <cell r="B2717" t="str">
            <v>PPCE09 PEITO S/OPFC 100-125G CROCAN ALEM</v>
          </cell>
          <cell r="C2717">
            <v>6.4740000000000002</v>
          </cell>
          <cell r="D2717">
            <v>6.4740000000000002</v>
          </cell>
          <cell r="E2717">
            <v>-0.32099999999999995</v>
          </cell>
          <cell r="F2717">
            <v>-0.23299999999999998</v>
          </cell>
        </row>
        <row r="2718">
          <cell r="A2718">
            <v>817338</v>
          </cell>
          <cell r="B2718" t="str">
            <v>PPCE10 PEITO S/OPFC COZ CORDON BLEU ALEM</v>
          </cell>
          <cell r="C2718">
            <v>5.5129999999999999</v>
          </cell>
          <cell r="D2718">
            <v>5.5129999999999999</v>
          </cell>
          <cell r="E2718">
            <v>-0.32099999999999995</v>
          </cell>
          <cell r="F2718">
            <v>-0.19799999999999998</v>
          </cell>
        </row>
        <row r="2719">
          <cell r="A2719">
            <v>817340</v>
          </cell>
          <cell r="B2719" t="str">
            <v>PPCE11 NUGGETS PEITO S/OPFC 23-28G ALEMA</v>
          </cell>
          <cell r="C2719">
            <v>4.7270000000000003</v>
          </cell>
          <cell r="D2719">
            <v>4.7270000000000003</v>
          </cell>
          <cell r="E2719">
            <v>-0.32099999999999995</v>
          </cell>
          <cell r="F2719">
            <v>-0.16899999999999998</v>
          </cell>
        </row>
        <row r="2720">
          <cell r="A2720">
            <v>817355</v>
          </cell>
          <cell r="B2720" t="str">
            <v>FRGE11 FRANGO GRILLER 1500G HALAL KUWAIT</v>
          </cell>
          <cell r="C2720">
            <v>1.623</v>
          </cell>
          <cell r="D2720">
            <v>1.623</v>
          </cell>
          <cell r="E2720">
            <v>-0.45</v>
          </cell>
          <cell r="F2720">
            <v>-4.4999999999999998E-2</v>
          </cell>
        </row>
        <row r="2721">
          <cell r="A2721">
            <v>817457</v>
          </cell>
          <cell r="B2721" t="str">
            <v>FRGE12 FRANGO GRILLER 950G PERD CINGA</v>
          </cell>
          <cell r="C2721">
            <v>1.6240000000000001</v>
          </cell>
          <cell r="D2721">
            <v>1.6240000000000001</v>
          </cell>
          <cell r="E2721">
            <v>-0.42299999999999999</v>
          </cell>
          <cell r="F2721">
            <v>-5.5E-2</v>
          </cell>
        </row>
        <row r="2722">
          <cell r="A2722">
            <v>817506</v>
          </cell>
          <cell r="B2722" t="str">
            <v>PPCE15 PEITO S/OPFC 280G/UP SALM HOLAN</v>
          </cell>
          <cell r="C2722">
            <v>4.3010000000000002</v>
          </cell>
          <cell r="D2722">
            <v>4.3010000000000002</v>
          </cell>
          <cell r="E2722">
            <v>-0.28699999999999998</v>
          </cell>
          <cell r="F2722">
            <v>-0.121</v>
          </cell>
        </row>
        <row r="2723">
          <cell r="A2723">
            <v>817515</v>
          </cell>
          <cell r="B2723" t="str">
            <v>KCH003 KIT CHURRASCO PERD CX 3KG</v>
          </cell>
          <cell r="C2723">
            <v>3.97</v>
          </cell>
          <cell r="D2723">
            <v>3.15</v>
          </cell>
          <cell r="E2723">
            <v>0</v>
          </cell>
          <cell r="F2723">
            <v>-0.58099999999999996</v>
          </cell>
        </row>
        <row r="2724">
          <cell r="A2724">
            <v>817530</v>
          </cell>
          <cell r="B2724" t="str">
            <v>COXA SOB C/OP CURTO 340G/UP PERD JAPAO</v>
          </cell>
          <cell r="C2724">
            <v>1.4239999999999999</v>
          </cell>
          <cell r="D2724">
            <v>1.4239999999999999</v>
          </cell>
          <cell r="E2724">
            <v>-0.43099999999999999</v>
          </cell>
          <cell r="F2724">
            <v>-4.2999999999999983E-2</v>
          </cell>
        </row>
        <row r="2725">
          <cell r="A2725">
            <v>817531</v>
          </cell>
          <cell r="B2725" t="str">
            <v>CSBC74 COXA SOB S/OC/P 200G/UP VEG JAPAO</v>
          </cell>
          <cell r="C2725">
            <v>1.554</v>
          </cell>
          <cell r="D2725">
            <v>1.554</v>
          </cell>
          <cell r="E2725">
            <v>-0.43099999999999999</v>
          </cell>
          <cell r="F2725">
            <v>-4.7999999999999932E-2</v>
          </cell>
        </row>
        <row r="2726">
          <cell r="A2726">
            <v>817538</v>
          </cell>
          <cell r="B2726" t="str">
            <v>PPCE16 PEITO S/OPFC MET 140G SALM HOLAN</v>
          </cell>
          <cell r="C2726">
            <v>3.8450000000000002</v>
          </cell>
          <cell r="D2726">
            <v>3.8450000000000002</v>
          </cell>
          <cell r="E2726">
            <v>-0.36899999999999999</v>
          </cell>
          <cell r="F2726">
            <v>-0.10899999999999999</v>
          </cell>
        </row>
        <row r="2727">
          <cell r="A2727">
            <v>817609</v>
          </cell>
          <cell r="B2727" t="str">
            <v>PPCE18 PEITO S/OPFC MET DESCL PT7,5KG IT</v>
          </cell>
          <cell r="C2727">
            <v>3.0169999999999999</v>
          </cell>
          <cell r="D2727">
            <v>3.0169999999999999</v>
          </cell>
          <cell r="E2727">
            <v>-0.30199999999999999</v>
          </cell>
          <cell r="F2727">
            <v>-0.11799999999999999</v>
          </cell>
        </row>
        <row r="2728">
          <cell r="A2728">
            <v>817610</v>
          </cell>
          <cell r="B2728" t="str">
            <v>PPCE19 PEITO S/OPFC MET BL 10KG VEG PERD</v>
          </cell>
          <cell r="C2728">
            <v>3.91</v>
          </cell>
          <cell r="D2728">
            <v>3.91</v>
          </cell>
          <cell r="E2728">
            <v>-0.26900000000000002</v>
          </cell>
          <cell r="F2728">
            <v>-0.13200000000000001</v>
          </cell>
        </row>
        <row r="2729">
          <cell r="A2729">
            <v>817618</v>
          </cell>
          <cell r="B2729" t="str">
            <v>CSBC82 COXA SOB S/OP PT 2KG PERD BCA</v>
          </cell>
          <cell r="C2729">
            <v>2.7789999999999999</v>
          </cell>
          <cell r="D2729">
            <v>2.7789999999999999</v>
          </cell>
          <cell r="E2729">
            <v>-0.43099999999999999</v>
          </cell>
          <cell r="F2729">
            <v>-9.8000000000000004E-2</v>
          </cell>
        </row>
        <row r="2730">
          <cell r="A2730">
            <v>817619</v>
          </cell>
          <cell r="B2730" t="str">
            <v>CSBC83 COXA SOB SO CP KAK 20-30G PER BCA</v>
          </cell>
          <cell r="C2730">
            <v>2.6960000000000002</v>
          </cell>
          <cell r="D2730">
            <v>2.6960000000000002</v>
          </cell>
          <cell r="E2730">
            <v>-0.43099999999999999</v>
          </cell>
          <cell r="F2730">
            <v>-9.5000000000000001E-2</v>
          </cell>
        </row>
        <row r="2731">
          <cell r="A2731">
            <v>817620</v>
          </cell>
          <cell r="B2731" t="str">
            <v>ASA 1A JTA DRUM 35-45G PERD JAPAO BCA</v>
          </cell>
          <cell r="C2731">
            <v>2.964</v>
          </cell>
          <cell r="D2731">
            <v>2.964</v>
          </cell>
          <cell r="E2731">
            <v>-0.434</v>
          </cell>
          <cell r="F2731">
            <v>-0.105</v>
          </cell>
        </row>
        <row r="2732">
          <cell r="A2732">
            <v>817625</v>
          </cell>
          <cell r="B2732" t="str">
            <v>PPCE20 PEITO S/OPFC 190-220G BUT INGL</v>
          </cell>
          <cell r="C2732">
            <v>3.1160000000000001</v>
          </cell>
          <cell r="D2732">
            <v>3.1160000000000001</v>
          </cell>
          <cell r="E2732">
            <v>-0.34599999999999997</v>
          </cell>
          <cell r="F2732">
            <v>-8.6999999999999994E-2</v>
          </cell>
        </row>
        <row r="2733">
          <cell r="A2733">
            <v>817695</v>
          </cell>
          <cell r="B2733" t="str">
            <v>FECB63 FRANGO BROI BOR ARGENT 1900-2100G</v>
          </cell>
          <cell r="C2733">
            <v>1.2669999999999999</v>
          </cell>
          <cell r="D2733">
            <v>1.2669999999999999</v>
          </cell>
          <cell r="E2733">
            <v>-6.0999999999999999E-2</v>
          </cell>
          <cell r="F2733">
            <v>-3.7999999999999999E-2</v>
          </cell>
        </row>
        <row r="2734">
          <cell r="A2734">
            <v>817696</v>
          </cell>
          <cell r="B2734" t="str">
            <v>CEFC15 COXA C/OP DRUMSTICK 70-90G JAPAO</v>
          </cell>
          <cell r="C2734">
            <v>2.6120000000000001</v>
          </cell>
          <cell r="D2734">
            <v>2.6120000000000001</v>
          </cell>
          <cell r="E2734">
            <v>-0.126</v>
          </cell>
          <cell r="F2734">
            <v>-8.6999999999999966E-2</v>
          </cell>
        </row>
        <row r="2735">
          <cell r="A2735">
            <v>817711</v>
          </cell>
          <cell r="B2735" t="str">
            <v>FRGE15 FRANGO GRILLER 750G CX 9KG CING</v>
          </cell>
          <cell r="C2735">
            <v>1.637</v>
          </cell>
          <cell r="D2735">
            <v>1.637</v>
          </cell>
          <cell r="E2735">
            <v>-0.438</v>
          </cell>
          <cell r="F2735">
            <v>-5.1999999999999991E-2</v>
          </cell>
        </row>
        <row r="2736">
          <cell r="A2736">
            <v>817772</v>
          </cell>
          <cell r="B2736" t="str">
            <v>MFCE72 MOELA FGO PT 1KG PERD PORTUGAL</v>
          </cell>
          <cell r="C2736">
            <v>1.8939999999999999</v>
          </cell>
          <cell r="D2736">
            <v>1.8939999999999999</v>
          </cell>
          <cell r="E2736">
            <v>-0.38400000000000001</v>
          </cell>
          <cell r="F2736">
            <v>-5.9000000000000052E-2</v>
          </cell>
        </row>
        <row r="2737">
          <cell r="A2737">
            <v>821334</v>
          </cell>
          <cell r="B2737" t="str">
            <v>FILEZINHO FGO S/TOP TEND 8-12G TAMB ALEM</v>
          </cell>
          <cell r="C2737">
            <v>4.327</v>
          </cell>
          <cell r="D2737">
            <v>4.327</v>
          </cell>
          <cell r="E2737">
            <v>-0.26500000000000001</v>
          </cell>
          <cell r="F2737">
            <v>-0.124</v>
          </cell>
        </row>
        <row r="2738">
          <cell r="A2738">
            <v>821390</v>
          </cell>
          <cell r="B2738" t="str">
            <v>CO0A C/O C/P 120G/UP ITF PERD ARGENTINA</v>
          </cell>
          <cell r="C2738">
            <v>2.1909999999999998</v>
          </cell>
          <cell r="D2738">
            <v>2.1909999999999998</v>
          </cell>
          <cell r="E2738">
            <v>-6.8000000000000005E-2</v>
          </cell>
          <cell r="F2738">
            <v>-6.4000000000000057E-2</v>
          </cell>
        </row>
        <row r="2739">
          <cell r="A2739">
            <v>821482</v>
          </cell>
          <cell r="B2739" t="str">
            <v>FRANGO GRILLER 1500G PERD CINGAPURA</v>
          </cell>
          <cell r="C2739">
            <v>1.639</v>
          </cell>
          <cell r="D2739">
            <v>1.639</v>
          </cell>
          <cell r="E2739">
            <v>-0.438</v>
          </cell>
          <cell r="F2739">
            <v>-5.5E-2</v>
          </cell>
        </row>
        <row r="2740">
          <cell r="A2740">
            <v>821497</v>
          </cell>
          <cell r="B2740" t="str">
            <v>PEITO S/OPFC MET 140G NQ SALM PERD HOLAN</v>
          </cell>
          <cell r="C2740">
            <v>3.8450000000000002</v>
          </cell>
          <cell r="D2740">
            <v>3.8450000000000002</v>
          </cell>
          <cell r="E2740">
            <v>-0.313</v>
          </cell>
          <cell r="F2740">
            <v>-0.10899999999999999</v>
          </cell>
        </row>
        <row r="2741">
          <cell r="A2741">
            <v>821624</v>
          </cell>
          <cell r="B2741" t="str">
            <v>MOELA FGO BL 5KG PERD PORTUGAL</v>
          </cell>
          <cell r="C2741">
            <v>1.538</v>
          </cell>
          <cell r="D2741">
            <v>1.538</v>
          </cell>
          <cell r="E2741">
            <v>-0.33500000000000002</v>
          </cell>
          <cell r="F2741">
            <v>-5.2999999999999992E-2</v>
          </cell>
        </row>
        <row r="2742">
          <cell r="A2742">
            <v>821651</v>
          </cell>
          <cell r="B2742" t="str">
            <v>COXA SOBREC C/O C/P 300G/UP ITF PERD ARG</v>
          </cell>
          <cell r="C2742">
            <v>2.2450000000000001</v>
          </cell>
          <cell r="D2742">
            <v>2.2450000000000001</v>
          </cell>
          <cell r="E2742">
            <v>-6.0999999999999999E-2</v>
          </cell>
          <cell r="F2742">
            <v>-6.6999999999999948E-2</v>
          </cell>
        </row>
        <row r="2743">
          <cell r="A2743">
            <v>821653</v>
          </cell>
          <cell r="B2743" t="str">
            <v>PEITO C/O C/P C/F 400G/UP ITF PERD ARGEN</v>
          </cell>
          <cell r="C2743">
            <v>2.806</v>
          </cell>
          <cell r="D2743">
            <v>2.806</v>
          </cell>
          <cell r="E2743">
            <v>-5.8999999999999997E-2</v>
          </cell>
          <cell r="F2743">
            <v>-9.2999999999999972E-2</v>
          </cell>
        </row>
        <row r="2744">
          <cell r="A2744">
            <v>821654</v>
          </cell>
          <cell r="B2744" t="str">
            <v>PEITO S/O S/P C/F 250G/UP ITF PERD ARGEN</v>
          </cell>
          <cell r="C2744">
            <v>3.6930000000000001</v>
          </cell>
          <cell r="D2744">
            <v>3.6930000000000001</v>
          </cell>
          <cell r="E2744">
            <v>-5.8999999999999997E-2</v>
          </cell>
          <cell r="F2744">
            <v>-0.13500000000000001</v>
          </cell>
        </row>
        <row r="2745">
          <cell r="A2745">
            <v>821655</v>
          </cell>
          <cell r="B2745" t="str">
            <v>PEITO S/OPFC FAT ITF PERD ARGENTINA</v>
          </cell>
          <cell r="C2745">
            <v>4.9859999999999998</v>
          </cell>
          <cell r="D2745">
            <v>4.9859999999999998</v>
          </cell>
          <cell r="E2745">
            <v>-6.0999999999999999E-2</v>
          </cell>
          <cell r="F2745">
            <v>-0.14300000000000002</v>
          </cell>
        </row>
        <row r="2746">
          <cell r="A2746">
            <v>821656</v>
          </cell>
          <cell r="B2746" t="str">
            <v>CO0A SOBREC C/OP 500G/UP LONGO JAPAO</v>
          </cell>
          <cell r="C2746">
            <v>2.3479999999999999</v>
          </cell>
          <cell r="D2746">
            <v>2.3479999999999999</v>
          </cell>
          <cell r="E2746">
            <v>-0.45</v>
          </cell>
          <cell r="F2746">
            <v>-6.5000000000000002E-2</v>
          </cell>
        </row>
        <row r="2747">
          <cell r="A2747">
            <v>821756</v>
          </cell>
          <cell r="B2747" t="str">
            <v>PEITO S/OPFC MET 100-120G PERD ITALIA</v>
          </cell>
          <cell r="C2747">
            <v>3.6179999999999999</v>
          </cell>
          <cell r="D2747">
            <v>3.6179999999999999</v>
          </cell>
          <cell r="E2747">
            <v>-0.28999999999999998</v>
          </cell>
          <cell r="F2747">
            <v>-0.10599999999999998</v>
          </cell>
        </row>
        <row r="2748">
          <cell r="A2748">
            <v>821861</v>
          </cell>
          <cell r="B2748" t="str">
            <v>PEITO S/OPFC MET 140G/UP NQ TAMBL HOLAND</v>
          </cell>
          <cell r="C2748">
            <v>3.6429999999999998</v>
          </cell>
          <cell r="D2748">
            <v>3.6429999999999998</v>
          </cell>
          <cell r="E2748">
            <v>-0.27200000000000002</v>
          </cell>
          <cell r="F2748">
            <v>-0.10399999999999998</v>
          </cell>
        </row>
        <row r="2749">
          <cell r="A2749">
            <v>821863</v>
          </cell>
          <cell r="B2749" t="str">
            <v>ASA INTEIRA 80-100G ITF PERD CARIBE</v>
          </cell>
          <cell r="C2749">
            <v>1.375</v>
          </cell>
          <cell r="D2749">
            <v>1.375</v>
          </cell>
          <cell r="E2749">
            <v>-6.6000000000000003E-2</v>
          </cell>
          <cell r="F2749">
            <v>-4.5999999999999999E-2</v>
          </cell>
        </row>
        <row r="2750">
          <cell r="A2750">
            <v>822152</v>
          </cell>
          <cell r="B2750" t="str">
            <v>FRANGO GRILLER 800G AL-KAWTHER OMAN</v>
          </cell>
          <cell r="C2750">
            <v>1.845</v>
          </cell>
          <cell r="D2750">
            <v>1.845</v>
          </cell>
          <cell r="E2750">
            <v>-0.44800000000000001</v>
          </cell>
          <cell r="F2750">
            <v>-5.9000000000000004E-2</v>
          </cell>
        </row>
        <row r="2751">
          <cell r="A2751">
            <v>822153</v>
          </cell>
          <cell r="B2751" t="str">
            <v>FRANGO GRILLER 900G AL-KAWTHER OMAN</v>
          </cell>
          <cell r="C2751">
            <v>1.845</v>
          </cell>
          <cell r="D2751">
            <v>1.845</v>
          </cell>
          <cell r="E2751">
            <v>-0.44800000000000001</v>
          </cell>
          <cell r="F2751">
            <v>-5.8999999999999997E-2</v>
          </cell>
        </row>
        <row r="2752">
          <cell r="A2752">
            <v>822154</v>
          </cell>
          <cell r="B2752" t="str">
            <v>FRANGO GRILLER 1000G AL-KAWTHER OMAN</v>
          </cell>
          <cell r="C2752">
            <v>1.845</v>
          </cell>
          <cell r="D2752">
            <v>1.845</v>
          </cell>
          <cell r="E2752">
            <v>-0.44800000000000001</v>
          </cell>
          <cell r="F2752">
            <v>-0.06</v>
          </cell>
        </row>
        <row r="2753">
          <cell r="A2753">
            <v>822155</v>
          </cell>
          <cell r="B2753" t="str">
            <v>FRANGO GRILLER 1100G AL-KAWTHER OMAN</v>
          </cell>
          <cell r="C2753">
            <v>1.845</v>
          </cell>
          <cell r="D2753">
            <v>1.845</v>
          </cell>
          <cell r="E2753">
            <v>-0.44800000000000001</v>
          </cell>
          <cell r="F2753">
            <v>-5.8999999999999983E-2</v>
          </cell>
        </row>
        <row r="2754">
          <cell r="A2754">
            <v>822156</v>
          </cell>
          <cell r="B2754" t="str">
            <v>FRANGO GRILLER 1200G AL-KAWTHER OMAN</v>
          </cell>
          <cell r="C2754">
            <v>1.845</v>
          </cell>
          <cell r="D2754">
            <v>1.845</v>
          </cell>
          <cell r="E2754">
            <v>-0.44800000000000001</v>
          </cell>
          <cell r="F2754">
            <v>-5.8999999999999997E-2</v>
          </cell>
        </row>
        <row r="2755">
          <cell r="A2755">
            <v>822157</v>
          </cell>
          <cell r="B2755" t="str">
            <v>FRANGO GRILLER 1300G AL-KAWTHER OMAN</v>
          </cell>
          <cell r="C2755">
            <v>1.845</v>
          </cell>
          <cell r="D2755">
            <v>1.845</v>
          </cell>
          <cell r="E2755">
            <v>-0.44800000000000001</v>
          </cell>
          <cell r="F2755">
            <v>-0.06</v>
          </cell>
        </row>
        <row r="2756">
          <cell r="A2756">
            <v>822158</v>
          </cell>
          <cell r="B2756" t="str">
            <v>FRANGO GRILLER 1400G AL-KAWTHER OMAN</v>
          </cell>
          <cell r="C2756">
            <v>1.845</v>
          </cell>
          <cell r="D2756">
            <v>1.845</v>
          </cell>
          <cell r="E2756">
            <v>-0.44800000000000001</v>
          </cell>
          <cell r="F2756">
            <v>-0.06</v>
          </cell>
        </row>
        <row r="2757">
          <cell r="A2757">
            <v>822159</v>
          </cell>
          <cell r="B2757" t="str">
            <v>FRANGO GRILLER 1500G AL-KAWTHER OMAN</v>
          </cell>
          <cell r="C2757">
            <v>1.845</v>
          </cell>
          <cell r="D2757">
            <v>1.845</v>
          </cell>
          <cell r="E2757">
            <v>-0.44800000000000001</v>
          </cell>
          <cell r="F2757">
            <v>-0.06</v>
          </cell>
        </row>
        <row r="2758">
          <cell r="A2758">
            <v>822160</v>
          </cell>
          <cell r="B2758" t="str">
            <v>CO0A C/O/P BDJ 900G AL-KAWTHER OMAN</v>
          </cell>
          <cell r="C2758">
            <v>2.13</v>
          </cell>
          <cell r="D2758">
            <v>2.13</v>
          </cell>
          <cell r="E2758">
            <v>-0.52700000000000002</v>
          </cell>
          <cell r="F2758">
            <v>-5.7999999999999982E-2</v>
          </cell>
        </row>
        <row r="2759">
          <cell r="A2759">
            <v>822161</v>
          </cell>
          <cell r="B2759" t="str">
            <v>SOBRECOXA C/OP BDJ 900G AL-KAWTHER OMAN</v>
          </cell>
          <cell r="C2759">
            <v>2.2210000000000001</v>
          </cell>
          <cell r="D2759">
            <v>2.2210000000000001</v>
          </cell>
          <cell r="E2759">
            <v>-0.54100000000000004</v>
          </cell>
          <cell r="F2759">
            <v>-7.6999999999999985E-2</v>
          </cell>
        </row>
        <row r="2760">
          <cell r="A2760">
            <v>822162</v>
          </cell>
          <cell r="B2760" t="str">
            <v>CO0A SOBR C/OP BDJ 900G AL-KAWTHER OMAN</v>
          </cell>
          <cell r="C2760">
            <v>2.0870000000000002</v>
          </cell>
          <cell r="D2760">
            <v>2.0870000000000002</v>
          </cell>
          <cell r="E2760">
            <v>-0.52600000000000002</v>
          </cell>
          <cell r="F2760">
            <v>-5.7000000000000023E-2</v>
          </cell>
        </row>
        <row r="2761">
          <cell r="A2761">
            <v>822163</v>
          </cell>
          <cell r="B2761" t="str">
            <v>ASA INT BDJ 900G AL-KAWTHER OMAN</v>
          </cell>
          <cell r="C2761">
            <v>2.13</v>
          </cell>
          <cell r="D2761">
            <v>2.13</v>
          </cell>
          <cell r="E2761">
            <v>-0.52700000000000002</v>
          </cell>
          <cell r="F2761">
            <v>-5.7999999999999996E-2</v>
          </cell>
        </row>
        <row r="2762">
          <cell r="A2762">
            <v>822164</v>
          </cell>
          <cell r="B2762" t="str">
            <v>FIGADO FGO BDJ 450G AL-KAWTHER OMAN</v>
          </cell>
          <cell r="C2762">
            <v>1.9139999999999999</v>
          </cell>
          <cell r="D2762">
            <v>1.9139999999999999</v>
          </cell>
          <cell r="E2762">
            <v>-0.52300000000000002</v>
          </cell>
          <cell r="F2762">
            <v>-5.2000000000000046E-2</v>
          </cell>
        </row>
        <row r="2763">
          <cell r="A2763">
            <v>822165</v>
          </cell>
          <cell r="B2763" t="str">
            <v>MOELA FGO BDJ 450G AL-KAWTHER OMAN</v>
          </cell>
          <cell r="C2763">
            <v>2.0009999999999999</v>
          </cell>
          <cell r="D2763">
            <v>2.0009999999999999</v>
          </cell>
          <cell r="E2763">
            <v>-0.52500000000000002</v>
          </cell>
          <cell r="F2763">
            <v>-5.3999999999999992E-2</v>
          </cell>
        </row>
        <row r="2764">
          <cell r="A2764">
            <v>822171</v>
          </cell>
          <cell r="B2764" t="str">
            <v>PE FGO ESP S/CANELA ITF PERD HOLANDA</v>
          </cell>
          <cell r="C2764">
            <v>1.224</v>
          </cell>
          <cell r="D2764">
            <v>1.224</v>
          </cell>
          <cell r="E2764">
            <v>-0.26600000000000001</v>
          </cell>
          <cell r="F2764">
            <v>-3.400000000000003E-2</v>
          </cell>
        </row>
        <row r="2765">
          <cell r="A2765">
            <v>822172</v>
          </cell>
          <cell r="B2765" t="str">
            <v>CHESTER INT S/M S/TEMP PERD HOLANDA</v>
          </cell>
          <cell r="C2765">
            <v>2.4470000000000001</v>
          </cell>
          <cell r="D2765">
            <v>2.4470000000000001</v>
          </cell>
          <cell r="E2765">
            <v>-0.26500000000000001</v>
          </cell>
          <cell r="F2765">
            <v>-6.899999999999995E-2</v>
          </cell>
        </row>
        <row r="2766">
          <cell r="A2766">
            <v>822179</v>
          </cell>
          <cell r="B2766" t="str">
            <v>SOBRECO0A C/OP BDJ 908G HALAL KUWAIT</v>
          </cell>
          <cell r="C2766">
            <v>2.113</v>
          </cell>
          <cell r="D2766">
            <v>2.113</v>
          </cell>
          <cell r="E2766">
            <v>-0.48</v>
          </cell>
          <cell r="F2766">
            <v>-5.8999999999999997E-2</v>
          </cell>
        </row>
        <row r="2767">
          <cell r="A2767">
            <v>822180</v>
          </cell>
          <cell r="B2767" t="str">
            <v>CO0A SOBREC C/OP BDJ 908G HALAL KUWAIT</v>
          </cell>
          <cell r="C2767">
            <v>2.113</v>
          </cell>
          <cell r="D2767">
            <v>2.113</v>
          </cell>
          <cell r="E2767">
            <v>-0.48</v>
          </cell>
          <cell r="F2767">
            <v>-5.7999999999999996E-2</v>
          </cell>
        </row>
        <row r="2768">
          <cell r="A2768">
            <v>822202</v>
          </cell>
          <cell r="B2768" t="str">
            <v>MOELA FGO BDJ 450G HALAL KUWAIT</v>
          </cell>
          <cell r="C2768">
            <v>2.0270000000000001</v>
          </cell>
          <cell r="D2768">
            <v>2.0270000000000001</v>
          </cell>
          <cell r="E2768">
            <v>-0.47799999999999998</v>
          </cell>
          <cell r="F2768">
            <v>-5.4999999999999938E-2</v>
          </cell>
        </row>
        <row r="2769">
          <cell r="A2769">
            <v>822203</v>
          </cell>
          <cell r="B2769" t="str">
            <v>FIGADO FGO BDJ 450G HALAL KUWAIT</v>
          </cell>
          <cell r="C2769">
            <v>1.897</v>
          </cell>
          <cell r="D2769">
            <v>1.897</v>
          </cell>
          <cell r="E2769">
            <v>-0.47499999999999998</v>
          </cell>
          <cell r="F2769">
            <v>-5.1000000000000045E-2</v>
          </cell>
        </row>
        <row r="2770">
          <cell r="A2770">
            <v>822241</v>
          </cell>
          <cell r="B2770" t="str">
            <v>CO0A SOB SO CP PT 2,5KG AL-KAWTHER OMAN</v>
          </cell>
          <cell r="C2770">
            <v>2.82</v>
          </cell>
          <cell r="D2770">
            <v>2.82</v>
          </cell>
          <cell r="E2770">
            <v>-0.53300000000000003</v>
          </cell>
          <cell r="F2770">
            <v>-7.7999999999999986E-2</v>
          </cell>
        </row>
        <row r="2771">
          <cell r="A2771">
            <v>822311</v>
          </cell>
          <cell r="B2771" t="str">
            <v>PEITO S/OPFC MET 140G/UP NQ PT 7,5KG HOL</v>
          </cell>
          <cell r="C2771">
            <v>3.0009999999999999</v>
          </cell>
          <cell r="D2771">
            <v>3.0009999999999999</v>
          </cell>
          <cell r="E2771">
            <v>-0.28199999999999997</v>
          </cell>
          <cell r="F2771">
            <v>-8.7999999999999967E-2</v>
          </cell>
        </row>
        <row r="2772">
          <cell r="A2772">
            <v>822315</v>
          </cell>
          <cell r="B2772" t="str">
            <v>ASA 2A JTA+PTA TEBAS CORT 30-40G BOR JAP</v>
          </cell>
          <cell r="C2772">
            <v>3.3149999999999999</v>
          </cell>
          <cell r="D2772">
            <v>3.3149999999999999</v>
          </cell>
          <cell r="E2772">
            <v>-0.42</v>
          </cell>
          <cell r="F2772">
            <v>-9.2999999999999972E-2</v>
          </cell>
        </row>
        <row r="2773">
          <cell r="A2773">
            <v>822316</v>
          </cell>
          <cell r="B2773" t="str">
            <v>ASA 2A JTA SEC TEB 14G/UP PT 2KG BOR JAP</v>
          </cell>
          <cell r="C2773">
            <v>1.554</v>
          </cell>
          <cell r="D2773">
            <v>1.554</v>
          </cell>
          <cell r="E2773">
            <v>-0.43099999999999999</v>
          </cell>
          <cell r="F2773">
            <v>-4.7999999999999987E-2</v>
          </cell>
        </row>
        <row r="2774">
          <cell r="A2774">
            <v>822317</v>
          </cell>
          <cell r="B2774" t="str">
            <v>ASA 1A JTA DRUMETE 40-50G SUJ-2 PERD JAP</v>
          </cell>
          <cell r="C2774">
            <v>2.9630000000000001</v>
          </cell>
          <cell r="D2774">
            <v>2.9630000000000001</v>
          </cell>
          <cell r="E2774">
            <v>-0.41799999999999998</v>
          </cell>
          <cell r="F2774">
            <v>-8.2999999999999963E-2</v>
          </cell>
        </row>
        <row r="2775">
          <cell r="A2775">
            <v>822348</v>
          </cell>
          <cell r="B2775" t="str">
            <v>PEITO S/OPC MET BDJ 450G HALAL KUWAIT</v>
          </cell>
          <cell r="C2775">
            <v>3.794</v>
          </cell>
          <cell r="D2775">
            <v>3.794</v>
          </cell>
          <cell r="E2775">
            <v>-0.52200000000000002</v>
          </cell>
          <cell r="F2775">
            <v>-0.10699999999999998</v>
          </cell>
        </row>
        <row r="2776">
          <cell r="A2776">
            <v>822349</v>
          </cell>
          <cell r="B2776" t="str">
            <v>FRANGO GRILLER 800G BORELLA OMAN</v>
          </cell>
          <cell r="C2776">
            <v>1.7450000000000001</v>
          </cell>
          <cell r="D2776">
            <v>1.7450000000000001</v>
          </cell>
          <cell r="E2776">
            <v>-0.44900000000000001</v>
          </cell>
          <cell r="F2776">
            <v>-5.6000000000000001E-2</v>
          </cell>
        </row>
        <row r="2777">
          <cell r="A2777">
            <v>822350</v>
          </cell>
          <cell r="B2777" t="str">
            <v>FILEZINHO FGO EMP CART 500G HALAL KUWAIT</v>
          </cell>
          <cell r="C2777">
            <v>6.3920000000000003</v>
          </cell>
          <cell r="D2777">
            <v>6.3920000000000003</v>
          </cell>
          <cell r="E2777">
            <v>-0.63800000000000001</v>
          </cell>
          <cell r="F2777">
            <v>-0.22599999999999998</v>
          </cell>
        </row>
        <row r="2778">
          <cell r="A2778">
            <v>822351</v>
          </cell>
          <cell r="B2778" t="str">
            <v>ASA INT 75-90G PT 2KG ACHAT PERD CING</v>
          </cell>
          <cell r="C2778">
            <v>2.1579999999999999</v>
          </cell>
          <cell r="D2778">
            <v>2.1579999999999999</v>
          </cell>
          <cell r="E2778">
            <v>-0.48399999999999999</v>
          </cell>
          <cell r="F2778">
            <v>-5.7999999999999996E-2</v>
          </cell>
        </row>
        <row r="2779">
          <cell r="A2779">
            <v>822401</v>
          </cell>
          <cell r="B2779" t="str">
            <v>FILEZINHO FGO EMP CART 500G HALAL QATAR</v>
          </cell>
          <cell r="C2779">
            <v>5.8630000000000004</v>
          </cell>
          <cell r="D2779">
            <v>5.8630000000000004</v>
          </cell>
          <cell r="E2779">
            <v>-0.54</v>
          </cell>
          <cell r="F2779">
            <v>0</v>
          </cell>
        </row>
        <row r="2780">
          <cell r="A2780">
            <v>822403</v>
          </cell>
          <cell r="B2780" t="str">
            <v>PEITO S/OPC MET BDJ 450G HALAL QATAR</v>
          </cell>
          <cell r="C2780">
            <v>3.794</v>
          </cell>
          <cell r="D2780">
            <v>3.794</v>
          </cell>
          <cell r="E2780">
            <v>-0.5</v>
          </cell>
          <cell r="F2780">
            <v>-0.10699999999999998</v>
          </cell>
        </row>
        <row r="2781">
          <cell r="A2781">
            <v>822427</v>
          </cell>
          <cell r="B2781" t="str">
            <v>PEITO S/OP ACHAT PT 2,5KG HALAL KUWAIT</v>
          </cell>
          <cell r="C2781">
            <v>3.3330000000000002</v>
          </cell>
          <cell r="D2781">
            <v>3.3330000000000002</v>
          </cell>
          <cell r="E2781">
            <v>-0.52500000000000002</v>
          </cell>
          <cell r="F2781">
            <v>-9.6999999999999975E-2</v>
          </cell>
        </row>
        <row r="2782">
          <cell r="A2782">
            <v>822536</v>
          </cell>
          <cell r="B2782" t="str">
            <v>PEITO S/OPFC MET 140G NQ TAMBL ITF ALEM</v>
          </cell>
          <cell r="C2782">
            <v>3.7370000000000001</v>
          </cell>
          <cell r="D2782">
            <v>3.7370000000000001</v>
          </cell>
          <cell r="E2782">
            <v>-0.27100000000000002</v>
          </cell>
          <cell r="F2782">
            <v>-0.13300000000000001</v>
          </cell>
        </row>
        <row r="2783">
          <cell r="A2783">
            <v>822591</v>
          </cell>
          <cell r="B2783" t="str">
            <v>LINGUICA CHT MEIA CURA PT 340G JAPAO</v>
          </cell>
          <cell r="C2783">
            <v>6.5819999999999999</v>
          </cell>
          <cell r="D2783">
            <v>6.5819999999999999</v>
          </cell>
          <cell r="E2783">
            <v>-6.7000000000000004E-2</v>
          </cell>
          <cell r="F2783">
            <v>-0.26599999999999957</v>
          </cell>
        </row>
        <row r="2784">
          <cell r="A2784">
            <v>822638</v>
          </cell>
          <cell r="B2784" t="str">
            <v>FIGADO BDJ 500G (F.MARTEL) CANAR C0 12KG</v>
          </cell>
          <cell r="C2784">
            <v>1.8959999999999999</v>
          </cell>
          <cell r="D2784">
            <v>1.8959999999999999</v>
          </cell>
          <cell r="E2784">
            <v>-0.29799999999999999</v>
          </cell>
          <cell r="F2784">
            <v>-5.3000000000000047E-2</v>
          </cell>
        </row>
        <row r="2785">
          <cell r="A2785">
            <v>822662</v>
          </cell>
          <cell r="B2785" t="str">
            <v>CARTILAGEM JOELHO FGO PT 2KG SUN W-5</v>
          </cell>
          <cell r="C2785">
            <v>3.2770000000000001</v>
          </cell>
          <cell r="D2785">
            <v>3.2770000000000001</v>
          </cell>
          <cell r="E2785">
            <v>-0.112</v>
          </cell>
          <cell r="F2785">
            <v>-0.12</v>
          </cell>
        </row>
        <row r="2786">
          <cell r="A2786">
            <v>822695</v>
          </cell>
          <cell r="B2786" t="str">
            <v>FRANGO GRILLER 1900G PERD OMAN CX 15,2KG</v>
          </cell>
          <cell r="C2786">
            <v>1.4550000000000001</v>
          </cell>
          <cell r="D2786">
            <v>1.4550000000000001</v>
          </cell>
          <cell r="E2786">
            <v>-0.48099999999999998</v>
          </cell>
          <cell r="F2786">
            <v>-4.8000000000000043E-2</v>
          </cell>
        </row>
        <row r="2787">
          <cell r="A2787">
            <v>822696</v>
          </cell>
          <cell r="B2787" t="str">
            <v>FRANGO GRILLER 2000G PERD OMAN CX 16KG</v>
          </cell>
          <cell r="C2787">
            <v>1.4590000000000001</v>
          </cell>
          <cell r="D2787">
            <v>1.4590000000000001</v>
          </cell>
          <cell r="E2787">
            <v>-0.48099999999999998</v>
          </cell>
          <cell r="F2787">
            <v>-4.8000000000000015E-2</v>
          </cell>
        </row>
        <row r="2788">
          <cell r="A2788">
            <v>822697</v>
          </cell>
          <cell r="B2788" t="str">
            <v>PEITO C/OPFC BDJ 908G UNEF KUWAIT</v>
          </cell>
          <cell r="C2788">
            <v>3.0579999999999998</v>
          </cell>
          <cell r="D2788">
            <v>3.0579999999999998</v>
          </cell>
          <cell r="E2788">
            <v>-0.51400000000000001</v>
          </cell>
          <cell r="F2788">
            <v>-8.5000000000000006E-2</v>
          </cell>
        </row>
        <row r="2789">
          <cell r="A2789">
            <v>822698</v>
          </cell>
          <cell r="B2789" t="str">
            <v>CO0A SOBREC C/OP BDJ 908G UNEF KUWAIT</v>
          </cell>
          <cell r="C2789">
            <v>2.141</v>
          </cell>
          <cell r="D2789">
            <v>2.141</v>
          </cell>
          <cell r="E2789">
            <v>-0.48899999999999999</v>
          </cell>
          <cell r="F2789">
            <v>-5.8000000000000003E-2</v>
          </cell>
        </row>
        <row r="2790">
          <cell r="A2790">
            <v>822732</v>
          </cell>
          <cell r="B2790" t="str">
            <v>ASA INTEIRA BDJ 908G UNEF KUWAIT 10,896K</v>
          </cell>
          <cell r="C2790">
            <v>2.4929999999999999</v>
          </cell>
          <cell r="D2790">
            <v>2.4929999999999999</v>
          </cell>
          <cell r="E2790">
            <v>-0.53300000000000003</v>
          </cell>
          <cell r="F2790">
            <v>-6.7000000000000004E-2</v>
          </cell>
        </row>
        <row r="2791">
          <cell r="A2791">
            <v>822785</v>
          </cell>
          <cell r="B2791" t="str">
            <v>PEITO S/OPFC MET ITF PERD PORTUGAL 15KG</v>
          </cell>
          <cell r="C2791">
            <v>3.7570000000000001</v>
          </cell>
          <cell r="D2791">
            <v>3.7570000000000001</v>
          </cell>
          <cell r="E2791">
            <v>-0.313</v>
          </cell>
          <cell r="F2791">
            <v>-0.1070000000000001</v>
          </cell>
        </row>
        <row r="2792">
          <cell r="A2792">
            <v>822786</v>
          </cell>
          <cell r="B2792" t="str">
            <v>MOELA FGO BL 5KG PERD PORTUGAL C0 15KG</v>
          </cell>
          <cell r="C2792">
            <v>1.486</v>
          </cell>
          <cell r="D2792">
            <v>1.486</v>
          </cell>
          <cell r="E2792">
            <v>-0.313</v>
          </cell>
          <cell r="F2792">
            <v>-4.1000000000000036E-2</v>
          </cell>
        </row>
        <row r="2793">
          <cell r="A2793">
            <v>822787</v>
          </cell>
          <cell r="B2793" t="str">
            <v>MOELA FGO PT 1KG PERD PORTUGAL C0 16KG</v>
          </cell>
          <cell r="C2793">
            <v>1.835</v>
          </cell>
          <cell r="D2793">
            <v>1.835</v>
          </cell>
          <cell r="E2793">
            <v>-0.313</v>
          </cell>
          <cell r="F2793">
            <v>-5.1000000000000045E-2</v>
          </cell>
        </row>
        <row r="2794">
          <cell r="A2794">
            <v>822901</v>
          </cell>
          <cell r="B2794" t="str">
            <v>ASA S/PTA BDJ 908G UNEF KUWAIT 10,896KG</v>
          </cell>
          <cell r="C2794">
            <v>2.4830000000000001</v>
          </cell>
          <cell r="D2794">
            <v>2.4830000000000001</v>
          </cell>
          <cell r="E2794">
            <v>-0.53200000000000003</v>
          </cell>
          <cell r="F2794">
            <v>-9.3999999999999972E-2</v>
          </cell>
        </row>
        <row r="2795">
          <cell r="A2795">
            <v>822981</v>
          </cell>
          <cell r="B2795" t="str">
            <v>PEITO S/OFC C/P 90-110G TAM/COZ FRANCA</v>
          </cell>
          <cell r="C2795">
            <v>6.3319999999999999</v>
          </cell>
          <cell r="D2795">
            <v>6.3319999999999999</v>
          </cell>
          <cell r="E2795">
            <v>-0.28099999999999997</v>
          </cell>
          <cell r="F2795">
            <v>-0.22799999999999976</v>
          </cell>
        </row>
        <row r="2796">
          <cell r="A2796">
            <v>822982</v>
          </cell>
          <cell r="B2796" t="str">
            <v>PEITO S/OPFC MET 90-110G TAMB/COZ/ASSA</v>
          </cell>
          <cell r="C2796">
            <v>6.3319999999999999</v>
          </cell>
          <cell r="D2796">
            <v>6.3319999999999999</v>
          </cell>
          <cell r="E2796">
            <v>-0.28099999999999997</v>
          </cell>
          <cell r="F2796">
            <v>-0.22800000000000009</v>
          </cell>
        </row>
        <row r="2797">
          <cell r="A2797">
            <v>822983</v>
          </cell>
          <cell r="B2797" t="str">
            <v>FILEZINHO S/TEND CORTADO 12-15G TAM/COZ</v>
          </cell>
          <cell r="C2797">
            <v>6.6929999999999996</v>
          </cell>
          <cell r="D2797">
            <v>6.6929999999999996</v>
          </cell>
          <cell r="E2797">
            <v>-0.28099999999999997</v>
          </cell>
          <cell r="F2797">
            <v>-0.24099999999999988</v>
          </cell>
        </row>
        <row r="2798">
          <cell r="A2798">
            <v>822987</v>
          </cell>
          <cell r="B2798" t="str">
            <v>PEITO S/OPFC MET 90-110G TAMB PERD FRANC</v>
          </cell>
          <cell r="C2798">
            <v>5.4269999999999996</v>
          </cell>
          <cell r="D2798">
            <v>5.4269999999999996</v>
          </cell>
          <cell r="E2798">
            <v>-0.28099999999999997</v>
          </cell>
          <cell r="F2798">
            <v>-0.19500000000000001</v>
          </cell>
        </row>
        <row r="2799">
          <cell r="A2799">
            <v>822989</v>
          </cell>
          <cell r="B2799" t="str">
            <v>PEITO S/OPFC CUBOS 15MM TAMBL/COZ FRANCA</v>
          </cell>
          <cell r="C2799">
            <v>6.1509999999999998</v>
          </cell>
          <cell r="D2799">
            <v>6.1509999999999998</v>
          </cell>
          <cell r="E2799">
            <v>-0.28099999999999997</v>
          </cell>
          <cell r="F2799">
            <v>-0.22199999999999998</v>
          </cell>
        </row>
        <row r="2800">
          <cell r="A2800">
            <v>822990</v>
          </cell>
          <cell r="B2800" t="str">
            <v>PEITO S/OPFC TIRAS 12MM TAMB/COZ FRANCA</v>
          </cell>
          <cell r="C2800">
            <v>6.1509999999999998</v>
          </cell>
          <cell r="D2800">
            <v>6.1509999999999998</v>
          </cell>
          <cell r="E2800">
            <v>-0.28099999999999997</v>
          </cell>
          <cell r="F2800">
            <v>-0.22199999999999998</v>
          </cell>
        </row>
        <row r="2801">
          <cell r="A2801">
            <v>822991</v>
          </cell>
          <cell r="B2801" t="str">
            <v>MOELA FGO BL 15KG PERD FRANCA CX 600KG</v>
          </cell>
          <cell r="C2801">
            <v>1.33</v>
          </cell>
          <cell r="D2801">
            <v>1.33</v>
          </cell>
          <cell r="E2801">
            <v>-0.317</v>
          </cell>
          <cell r="F2801">
            <v>-3.7999999999999978E-2</v>
          </cell>
        </row>
        <row r="2802">
          <cell r="A2802">
            <v>822992</v>
          </cell>
          <cell r="B2802" t="str">
            <v>PEITO S/OPC C/F MET BL 7,5KG PERD</v>
          </cell>
          <cell r="C2802">
            <v>3.1669999999999998</v>
          </cell>
          <cell r="D2802">
            <v>3.1669999999999998</v>
          </cell>
          <cell r="E2802">
            <v>-0.28099999999999997</v>
          </cell>
          <cell r="F2802">
            <v>-0.11300000000000002</v>
          </cell>
        </row>
        <row r="2803">
          <cell r="A2803">
            <v>823058</v>
          </cell>
          <cell r="B2803" t="str">
            <v>FILEZINHO S/TPO TEND 28-45G PT 10KG ALEM</v>
          </cell>
          <cell r="C2803">
            <v>3.1230000000000002</v>
          </cell>
          <cell r="D2803">
            <v>3.1230000000000002</v>
          </cell>
          <cell r="E2803">
            <v>-0.32100000000000001</v>
          </cell>
          <cell r="F2803">
            <v>-0.11</v>
          </cell>
        </row>
        <row r="2804">
          <cell r="A2804">
            <v>823142</v>
          </cell>
          <cell r="B2804" t="str">
            <v>COXA C/OP DRUMSTICK PT 1KG BATAVO CANAR</v>
          </cell>
          <cell r="C2804">
            <v>1.702</v>
          </cell>
          <cell r="D2804">
            <v>1.702</v>
          </cell>
          <cell r="E2804">
            <v>-0.28599999999999998</v>
          </cell>
          <cell r="F2804">
            <v>-5.5E-2</v>
          </cell>
        </row>
        <row r="2805">
          <cell r="A2805">
            <v>823144</v>
          </cell>
          <cell r="B2805" t="str">
            <v>MOELA BDJ 500G BATAVO CANAR CX 12KG</v>
          </cell>
          <cell r="C2805">
            <v>1.841</v>
          </cell>
          <cell r="D2805">
            <v>1.841</v>
          </cell>
          <cell r="E2805">
            <v>-0.28699999999999998</v>
          </cell>
          <cell r="F2805">
            <v>-0.06</v>
          </cell>
        </row>
        <row r="2806">
          <cell r="A2806">
            <v>823145</v>
          </cell>
          <cell r="B2806" t="str">
            <v>FIGADO BDJ 500G BATAVO CANAR CX 12KG</v>
          </cell>
          <cell r="C2806">
            <v>1.841</v>
          </cell>
          <cell r="D2806">
            <v>1.841</v>
          </cell>
          <cell r="E2806">
            <v>-0.28699999999999998</v>
          </cell>
          <cell r="F2806">
            <v>-6.1000000000000054E-2</v>
          </cell>
        </row>
        <row r="2807">
          <cell r="A2807">
            <v>823155</v>
          </cell>
          <cell r="B2807" t="str">
            <v>SOBRECOXA FGO EMP POLLOLINDO PERD ARGEN</v>
          </cell>
          <cell r="C2807">
            <v>5.8419999999999996</v>
          </cell>
          <cell r="D2807">
            <v>5.8419999999999996</v>
          </cell>
          <cell r="E2807">
            <v>-0.06</v>
          </cell>
          <cell r="F2807">
            <v>-0.17800000000000016</v>
          </cell>
        </row>
        <row r="2808">
          <cell r="A2808">
            <v>823156</v>
          </cell>
          <cell r="B2808" t="str">
            <v>PEITO S/OP FGO EMP POLLOLINDO ARGEN</v>
          </cell>
          <cell r="C2808">
            <v>4.7919999999999998</v>
          </cell>
          <cell r="D2808">
            <v>4.7919999999999998</v>
          </cell>
          <cell r="E2808">
            <v>-6.0999999999999999E-2</v>
          </cell>
          <cell r="F2808">
            <v>-0.13700000000000001</v>
          </cell>
        </row>
        <row r="2809">
          <cell r="A2809">
            <v>823157</v>
          </cell>
          <cell r="B2809" t="str">
            <v>PEITO S/OP RECH C.BLEU POLLOLINDO ARGEN</v>
          </cell>
          <cell r="C2809">
            <v>5.0659999999999998</v>
          </cell>
          <cell r="D2809">
            <v>5.0659999999999998</v>
          </cell>
          <cell r="E2809">
            <v>-6.7000000000000004E-2</v>
          </cell>
          <cell r="F2809">
            <v>-0.20499999999999999</v>
          </cell>
        </row>
        <row r="2810">
          <cell r="A2810">
            <v>823158</v>
          </cell>
          <cell r="B2810" t="str">
            <v>MINI CHICKEN FGO C/QUEIJO POLLOLINDO ARG</v>
          </cell>
          <cell r="C2810">
            <v>4.6349999999999998</v>
          </cell>
          <cell r="D2810">
            <v>4.6349999999999998</v>
          </cell>
          <cell r="E2810">
            <v>-6.0999999999999999E-2</v>
          </cell>
          <cell r="F2810">
            <v>-0.13300000000000001</v>
          </cell>
        </row>
        <row r="2811">
          <cell r="A2811">
            <v>823261</v>
          </cell>
          <cell r="B2811" t="str">
            <v>FILE PEITO S/PTA TENDAO BL 7,5KG INGL</v>
          </cell>
          <cell r="C2811">
            <v>3.11</v>
          </cell>
          <cell r="D2811">
            <v>3.11</v>
          </cell>
          <cell r="E2811">
            <v>-0.36599999999999999</v>
          </cell>
          <cell r="F2811">
            <v>-0.1</v>
          </cell>
        </row>
        <row r="2812">
          <cell r="A2812">
            <v>823307</v>
          </cell>
          <cell r="B2812" t="str">
            <v>FRANGO DES S/ASA PT 2,5KG ACHAT BAHRAIN</v>
          </cell>
          <cell r="C2812">
            <v>2.59</v>
          </cell>
          <cell r="D2812">
            <v>2.59</v>
          </cell>
          <cell r="E2812">
            <v>-0.52500000000000002</v>
          </cell>
          <cell r="F2812">
            <v>-0.09</v>
          </cell>
        </row>
        <row r="2813">
          <cell r="A2813">
            <v>823397</v>
          </cell>
          <cell r="B2813" t="str">
            <v>ASA INT FGO 120-150G PT 2,27KG CINGA</v>
          </cell>
          <cell r="C2813">
            <v>2.1949999999999998</v>
          </cell>
          <cell r="D2813">
            <v>2.1949999999999998</v>
          </cell>
          <cell r="E2813">
            <v>-0.438</v>
          </cell>
          <cell r="F2813">
            <v>-7.4999999999999997E-2</v>
          </cell>
        </row>
        <row r="2814">
          <cell r="A2814">
            <v>823445</v>
          </cell>
          <cell r="B2814" t="str">
            <v>COXA SOB S/O C/P 260/UP PERD VAC CINGA</v>
          </cell>
          <cell r="C2814">
            <v>2.4369999999999998</v>
          </cell>
          <cell r="D2814">
            <v>2.4369999999999998</v>
          </cell>
          <cell r="E2814">
            <v>-0.436</v>
          </cell>
          <cell r="F2814">
            <v>-8.5000000000000006E-2</v>
          </cell>
        </row>
        <row r="2815">
          <cell r="A2815">
            <v>823473</v>
          </cell>
          <cell r="B2815" t="str">
            <v>SIL006 SALAME ITAL LIGHT PERD CX 5,2KG</v>
          </cell>
          <cell r="C2815">
            <v>6.8949999999999996</v>
          </cell>
          <cell r="D2815">
            <v>5.4089999999999998</v>
          </cell>
          <cell r="E2815">
            <v>-7.0999999999999994E-2</v>
          </cell>
          <cell r="F2815">
            <v>-0.76200000000000001</v>
          </cell>
        </row>
        <row r="2816">
          <cell r="A2816">
            <v>823511</v>
          </cell>
          <cell r="B2816" t="str">
            <v>PEITO S/OPFC TIRAS 12X35MM TAMB/COZ INGL</v>
          </cell>
          <cell r="C2816">
            <v>5.7089999999999996</v>
          </cell>
          <cell r="D2816">
            <v>5.7089999999999996</v>
          </cell>
          <cell r="E2816">
            <v>-0.375</v>
          </cell>
          <cell r="F2816">
            <v>-0.20499999999999999</v>
          </cell>
        </row>
        <row r="2817">
          <cell r="A2817">
            <v>823512</v>
          </cell>
          <cell r="B2817" t="str">
            <v>PEITO S/OPFC TIRAS 19X35MM TAMB/COZ INGL</v>
          </cell>
          <cell r="C2817">
            <v>5.7089999999999996</v>
          </cell>
          <cell r="D2817">
            <v>5.7089999999999996</v>
          </cell>
          <cell r="E2817">
            <v>-0.375</v>
          </cell>
          <cell r="F2817">
            <v>-0.20499999999999999</v>
          </cell>
        </row>
        <row r="2818">
          <cell r="A2818">
            <v>823513</v>
          </cell>
          <cell r="B2818" t="str">
            <v>FILE PEITO S/PTA TEND CORT TAMB/COZ INGL</v>
          </cell>
          <cell r="C2818">
            <v>5.3520000000000003</v>
          </cell>
          <cell r="D2818">
            <v>5.3520000000000003</v>
          </cell>
          <cell r="E2818">
            <v>-0.375</v>
          </cell>
          <cell r="F2818">
            <v>-0.19100000000000006</v>
          </cell>
        </row>
        <row r="2819">
          <cell r="A2819">
            <v>823514</v>
          </cell>
          <cell r="B2819" t="str">
            <v>PEITO S/OPFC CUB 15X25G TAM/COZ/EMP INGL</v>
          </cell>
          <cell r="C2819">
            <v>5.0839999999999996</v>
          </cell>
          <cell r="D2819">
            <v>5.0839999999999996</v>
          </cell>
          <cell r="E2819">
            <v>-0.42</v>
          </cell>
          <cell r="F2819">
            <v>-0.14200000000000002</v>
          </cell>
        </row>
        <row r="2820">
          <cell r="A2820">
            <v>823533</v>
          </cell>
          <cell r="B2820" t="str">
            <v>PEITO S/OPFC MET 80G/UP BL 7,5KG ARGEN</v>
          </cell>
          <cell r="C2820">
            <v>2.8809999999999998</v>
          </cell>
          <cell r="D2820">
            <v>2.8809999999999998</v>
          </cell>
          <cell r="E2820">
            <v>-0.26900000000000002</v>
          </cell>
          <cell r="F2820">
            <v>-0.105</v>
          </cell>
        </row>
        <row r="2821">
          <cell r="A2821">
            <v>823535</v>
          </cell>
          <cell r="B2821" t="str">
            <v>HAMBURGUER FGO MON PARAG CX 8,064KG</v>
          </cell>
          <cell r="C2821">
            <v>2.4079999999999999</v>
          </cell>
          <cell r="D2821">
            <v>2.4079999999999999</v>
          </cell>
          <cell r="E2821">
            <v>-0.06</v>
          </cell>
          <cell r="F2821">
            <v>-7.400000000000001E-2</v>
          </cell>
        </row>
        <row r="2822">
          <cell r="A2822">
            <v>823539</v>
          </cell>
          <cell r="B2822" t="str">
            <v>PBY816 PRESUNTO TENRO BOLA MEDIO 8PC</v>
          </cell>
          <cell r="C2822">
            <v>12.366</v>
          </cell>
          <cell r="D2822">
            <v>8.9450000000000003</v>
          </cell>
          <cell r="E2822">
            <v>-0.217</v>
          </cell>
          <cell r="F2822">
            <v>-1.115</v>
          </cell>
        </row>
        <row r="2823">
          <cell r="A2823">
            <v>823558</v>
          </cell>
          <cell r="B2823" t="str">
            <v>PEITO S/OPFC ACHAT PT 2,5KG PERD E.A.U</v>
          </cell>
          <cell r="C2823">
            <v>3.2549999999999999</v>
          </cell>
          <cell r="D2823">
            <v>3.2549999999999999</v>
          </cell>
          <cell r="E2823">
            <v>-0.52600000000000002</v>
          </cell>
          <cell r="F2823">
            <v>-0.11399999999999999</v>
          </cell>
        </row>
        <row r="2824">
          <cell r="A2824">
            <v>823559</v>
          </cell>
          <cell r="B2824" t="str">
            <v>COXA SOB S/O C/P ACHAT PERD E.A.U</v>
          </cell>
          <cell r="C2824">
            <v>2.83</v>
          </cell>
          <cell r="D2824">
            <v>2.83</v>
          </cell>
          <cell r="E2824">
            <v>-0.51700000000000002</v>
          </cell>
          <cell r="F2824">
            <v>-9.7999999999999976E-2</v>
          </cell>
        </row>
        <row r="2825">
          <cell r="A2825">
            <v>823596</v>
          </cell>
          <cell r="B2825" t="str">
            <v>PEITO S/OPFC MET 100-180G SALM PERD ITAL</v>
          </cell>
          <cell r="C2825">
            <v>3.7010000000000001</v>
          </cell>
          <cell r="D2825">
            <v>3.7010000000000001</v>
          </cell>
          <cell r="E2825">
            <v>-0.36699999999999999</v>
          </cell>
          <cell r="F2825">
            <v>-0.12</v>
          </cell>
        </row>
        <row r="2826">
          <cell r="A2826">
            <v>823642</v>
          </cell>
          <cell r="B2826" t="str">
            <v>PEITO S/OPFC CUBOS 23MM TAMBL/COZ HOLAND</v>
          </cell>
          <cell r="C2826">
            <v>5.7869999999999999</v>
          </cell>
          <cell r="D2826">
            <v>5.7869999999999999</v>
          </cell>
          <cell r="E2826">
            <v>-0.47499999999999998</v>
          </cell>
          <cell r="F2826">
            <v>-0.18800000000000006</v>
          </cell>
        </row>
        <row r="2827">
          <cell r="A2827">
            <v>823669</v>
          </cell>
          <cell r="B2827" t="str">
            <v>PEITO S/OPFC BUT 160G/UP PT 3KG VAC ITAL</v>
          </cell>
          <cell r="C2827">
            <v>1.742</v>
          </cell>
          <cell r="D2827">
            <v>1.742</v>
          </cell>
          <cell r="E2827">
            <v>-6.9000000000000006E-2</v>
          </cell>
          <cell r="F2827">
            <v>-6.2999999999999945E-2</v>
          </cell>
        </row>
        <row r="2828">
          <cell r="A2828">
            <v>823670</v>
          </cell>
          <cell r="B2828" t="str">
            <v>SOBREC S/OP CUBOS 20-25G TAM/MAR/COZ ING</v>
          </cell>
          <cell r="C2828">
            <v>6.2930000000000001</v>
          </cell>
          <cell r="D2828">
            <v>6.2930000000000001</v>
          </cell>
          <cell r="E2828">
            <v>-0.37199999999999994</v>
          </cell>
          <cell r="F2828">
            <v>-0.22500000000000001</v>
          </cell>
        </row>
        <row r="2829">
          <cell r="A2829">
            <v>823788</v>
          </cell>
          <cell r="B2829" t="str">
            <v>FRANGO GRILLER PERD 1600G HOLANDA 12,8KG</v>
          </cell>
          <cell r="C2829">
            <v>1.522</v>
          </cell>
          <cell r="D2829">
            <v>1.522</v>
          </cell>
          <cell r="E2829">
            <v>-0.28000000000000003</v>
          </cell>
          <cell r="F2829">
            <v>-5.2999999999999999E-2</v>
          </cell>
        </row>
        <row r="2830">
          <cell r="A2830">
            <v>823806</v>
          </cell>
          <cell r="B2830" t="str">
            <v>PEITO S/OPFC MET 80G/UP SALM PT 2KG HOLA</v>
          </cell>
          <cell r="C2830">
            <v>3.4710000000000001</v>
          </cell>
          <cell r="D2830">
            <v>3.4710000000000001</v>
          </cell>
          <cell r="E2830">
            <v>-0.28100000000000003</v>
          </cell>
          <cell r="F2830">
            <v>-0.12400000000000005</v>
          </cell>
        </row>
        <row r="2831">
          <cell r="A2831">
            <v>823897</v>
          </cell>
          <cell r="B2831" t="str">
            <v>PEITO S/OPFC MET 140G/UP SALM HOL PT 5KG</v>
          </cell>
          <cell r="C2831">
            <v>3.4159999999999999</v>
          </cell>
          <cell r="D2831">
            <v>3.4159999999999999</v>
          </cell>
          <cell r="E2831">
            <v>-0.28499999999999998</v>
          </cell>
          <cell r="F2831">
            <v>-0.12199999999999989</v>
          </cell>
        </row>
        <row r="2832">
          <cell r="A2832">
            <v>823976</v>
          </cell>
          <cell r="B2832" t="str">
            <v>CODORNA BDJ 1KG PERD KUWAIT CX 10KG</v>
          </cell>
          <cell r="C2832">
            <v>4.5190000000000001</v>
          </cell>
          <cell r="D2832">
            <v>4.5190000000000001</v>
          </cell>
          <cell r="E2832">
            <v>-0.52800000000000002</v>
          </cell>
          <cell r="F2832">
            <v>-0.16</v>
          </cell>
        </row>
        <row r="2833">
          <cell r="A2833">
            <v>823979</v>
          </cell>
          <cell r="B2833" t="str">
            <v>PEITO S/OPFC 110-130G SALM BL 7,5KG ALEM</v>
          </cell>
          <cell r="C2833">
            <v>3.444</v>
          </cell>
          <cell r="D2833">
            <v>3.444</v>
          </cell>
          <cell r="E2833">
            <v>-0.40600000000000003</v>
          </cell>
          <cell r="F2833">
            <v>-0.11199999999999999</v>
          </cell>
        </row>
        <row r="2834">
          <cell r="A2834">
            <v>824076</v>
          </cell>
          <cell r="B2834" t="str">
            <v>ASA INT FGO 120-150G 2,27KG BOREL CING</v>
          </cell>
          <cell r="C2834">
            <v>2.1629999999999998</v>
          </cell>
          <cell r="D2834">
            <v>2.1629999999999998</v>
          </cell>
          <cell r="E2834">
            <v>-0.44400000000000001</v>
          </cell>
          <cell r="F2834">
            <v>-6.2E-2</v>
          </cell>
        </row>
        <row r="2835">
          <cell r="A2835">
            <v>824099</v>
          </cell>
          <cell r="B2835" t="str">
            <v>FRANGO BROILER 1700G BORELLA ARGENTINA</v>
          </cell>
          <cell r="C2835">
            <v>1.3140000000000001</v>
          </cell>
          <cell r="D2835">
            <v>1.3140000000000001</v>
          </cell>
          <cell r="E2835">
            <v>-0.06</v>
          </cell>
          <cell r="F2835">
            <v>-4.4999999999999998E-2</v>
          </cell>
        </row>
        <row r="2836">
          <cell r="A2836">
            <v>824100</v>
          </cell>
          <cell r="B2836" t="str">
            <v>FRANGO BROILER 1900G BORELLA ARGENTINA</v>
          </cell>
          <cell r="C2836">
            <v>1.2609999999999999</v>
          </cell>
          <cell r="D2836">
            <v>1.2609999999999999</v>
          </cell>
          <cell r="E2836">
            <v>-5.8999999999999997E-2</v>
          </cell>
          <cell r="F2836">
            <v>-4.5999999999999999E-2</v>
          </cell>
        </row>
        <row r="2837">
          <cell r="A2837">
            <v>824111</v>
          </cell>
          <cell r="B2837" t="str">
            <v>FRANGO BROILER 2000G BORELLA ARGENTINA</v>
          </cell>
          <cell r="C2837">
            <v>1.258</v>
          </cell>
          <cell r="D2837">
            <v>1.258</v>
          </cell>
          <cell r="E2837">
            <v>-5.8999999999999997E-2</v>
          </cell>
          <cell r="F2837">
            <v>-4.6999999999999993E-2</v>
          </cell>
        </row>
        <row r="2838">
          <cell r="A2838">
            <v>824151</v>
          </cell>
          <cell r="B2838" t="str">
            <v>PEITO S/OPFC MET 140G/UP SALM PERD ALEM</v>
          </cell>
          <cell r="C2838">
            <v>3.335</v>
          </cell>
          <cell r="D2838">
            <v>3.335</v>
          </cell>
          <cell r="E2838">
            <v>-0.372</v>
          </cell>
          <cell r="F2838">
            <v>-0.12</v>
          </cell>
        </row>
        <row r="2839">
          <cell r="A2839">
            <v>824152</v>
          </cell>
          <cell r="B2839" t="str">
            <v>FRANGO GRILLER 1200G PERD INDONESIA</v>
          </cell>
          <cell r="C2839">
            <v>1.385</v>
          </cell>
          <cell r="D2839">
            <v>1.385</v>
          </cell>
          <cell r="E2839">
            <v>-0.433</v>
          </cell>
          <cell r="F2839">
            <v>-4.6999999999999986E-2</v>
          </cell>
        </row>
        <row r="2840">
          <cell r="A2840">
            <v>824161</v>
          </cell>
          <cell r="B2840" t="str">
            <v>FRANGO GRILLER 1300G PERD INDONESIA</v>
          </cell>
          <cell r="C2840">
            <v>1.3839999999999999</v>
          </cell>
          <cell r="D2840">
            <v>1.3839999999999999</v>
          </cell>
          <cell r="E2840">
            <v>-0.432</v>
          </cell>
          <cell r="F2840">
            <v>-4.6999999999999986E-2</v>
          </cell>
        </row>
        <row r="2841">
          <cell r="A2841">
            <v>824190</v>
          </cell>
          <cell r="B2841" t="str">
            <v>FRANGO GRILLER 1300G PERD INGLATERRA</v>
          </cell>
          <cell r="C2841">
            <v>1.984</v>
          </cell>
          <cell r="D2841">
            <v>1.984</v>
          </cell>
          <cell r="E2841">
            <v>-0.33900000000000002</v>
          </cell>
          <cell r="F2841">
            <v>-5.3999999999999992E-2</v>
          </cell>
        </row>
        <row r="2842">
          <cell r="A2842">
            <v>824211</v>
          </cell>
          <cell r="B2842" t="str">
            <v>FRANGO GRILLER 1600G PERD BAHRAIN</v>
          </cell>
          <cell r="C2842">
            <v>1.607</v>
          </cell>
          <cell r="D2842">
            <v>1.607</v>
          </cell>
          <cell r="E2842">
            <v>-0.45900000000000002</v>
          </cell>
          <cell r="F2842">
            <v>-5.5E-2</v>
          </cell>
        </row>
        <row r="2843">
          <cell r="A2843">
            <v>824230</v>
          </cell>
          <cell r="B2843" t="str">
            <v>PEITO S/OPFC INTEIRO SALMOURADO ITALIA</v>
          </cell>
          <cell r="C2843">
            <v>3.548</v>
          </cell>
          <cell r="D2843">
            <v>3.548</v>
          </cell>
          <cell r="E2843">
            <v>-0.35</v>
          </cell>
          <cell r="F2843">
            <v>-0.13900000000000001</v>
          </cell>
        </row>
        <row r="2844">
          <cell r="A2844">
            <v>824241</v>
          </cell>
          <cell r="B2844" t="str">
            <v>PEITO S/OPFC MET 100G/UP PERD INGLATERRA</v>
          </cell>
          <cell r="C2844">
            <v>3.0819999999999999</v>
          </cell>
          <cell r="D2844">
            <v>3.0819999999999999</v>
          </cell>
          <cell r="E2844">
            <v>-0.29799999999999999</v>
          </cell>
          <cell r="F2844">
            <v>-0.1</v>
          </cell>
        </row>
        <row r="2845">
          <cell r="A2845">
            <v>824266</v>
          </cell>
          <cell r="B2845" t="str">
            <v>COXA SOB SO CP 250G/UP 2KG/VAC PRIME JAP</v>
          </cell>
          <cell r="C2845">
            <v>2.1120000000000001</v>
          </cell>
          <cell r="D2845">
            <v>2.1120000000000001</v>
          </cell>
          <cell r="E2845">
            <v>-0.14000000000000001</v>
          </cell>
          <cell r="F2845">
            <v>-7.8E-2</v>
          </cell>
        </row>
        <row r="2846">
          <cell r="A2846">
            <v>824284</v>
          </cell>
          <cell r="B2846" t="str">
            <v>PEITO S/OPFC MET S/FA SALM PERD FRANCA</v>
          </cell>
          <cell r="C2846">
            <v>4.5030000000000001</v>
          </cell>
          <cell r="D2846">
            <v>4.5030000000000001</v>
          </cell>
          <cell r="E2846">
            <v>-0.34499999999999997</v>
          </cell>
          <cell r="F2846">
            <v>-0.14399999999999991</v>
          </cell>
        </row>
        <row r="2847">
          <cell r="A2847">
            <v>824285</v>
          </cell>
          <cell r="B2847" t="str">
            <v>PEITO S/OPFC 190-260G BUT BL 7,5KG INGL</v>
          </cell>
          <cell r="C2847">
            <v>3.2429999999999999</v>
          </cell>
          <cell r="D2847">
            <v>3.2429999999999999</v>
          </cell>
          <cell r="E2847">
            <v>-0.32</v>
          </cell>
          <cell r="F2847">
            <v>-0.11600000000000002</v>
          </cell>
        </row>
        <row r="2848">
          <cell r="A2848">
            <v>824314</v>
          </cell>
          <cell r="B2848" t="str">
            <v>PEITO S/OPFC TIRAS 12MM TAMB/COZ/ASS ING</v>
          </cell>
          <cell r="C2848">
            <v>5.8470000000000004</v>
          </cell>
          <cell r="D2848">
            <v>5.8470000000000004</v>
          </cell>
          <cell r="E2848">
            <v>-0.41099999999999998</v>
          </cell>
          <cell r="F2848">
            <v>-0.19099999999999995</v>
          </cell>
        </row>
        <row r="2849">
          <cell r="A2849">
            <v>824315</v>
          </cell>
          <cell r="B2849" t="str">
            <v>PEITO S/OPFC MET 120-140G PT 10KG IF ING</v>
          </cell>
          <cell r="C2849">
            <v>3.44</v>
          </cell>
          <cell r="D2849">
            <v>3.44</v>
          </cell>
          <cell r="E2849">
            <v>-6.0999999999999999E-2</v>
          </cell>
          <cell r="F2849">
            <v>-0.10299999999999998</v>
          </cell>
        </row>
        <row r="2850">
          <cell r="A2850">
            <v>824316</v>
          </cell>
          <cell r="B2850" t="str">
            <v>PEITO S/OPFC MET 140-160G PT 10KG IF ING</v>
          </cell>
          <cell r="C2850">
            <v>3.44</v>
          </cell>
          <cell r="D2850">
            <v>3.44</v>
          </cell>
          <cell r="E2850">
            <v>-6.0999999999999999E-2</v>
          </cell>
          <cell r="F2850">
            <v>-0.10300000000000009</v>
          </cell>
        </row>
        <row r="2851">
          <cell r="A2851">
            <v>824317</v>
          </cell>
          <cell r="B2851" t="str">
            <v>COXA SOBR S/OP PT 4KG PERD DIREX JAPAO</v>
          </cell>
          <cell r="C2851">
            <v>2.8250000000000002</v>
          </cell>
          <cell r="D2851">
            <v>2.8250000000000002</v>
          </cell>
          <cell r="E2851">
            <v>-0.46</v>
          </cell>
          <cell r="F2851">
            <v>-7.6999999999999999E-2</v>
          </cell>
        </row>
        <row r="2852">
          <cell r="A2852">
            <v>824318</v>
          </cell>
          <cell r="B2852" t="str">
            <v>FEC014 FRANGO C/M CONG PERD CX 14KG</v>
          </cell>
          <cell r="C2852">
            <v>0.93</v>
          </cell>
          <cell r="D2852">
            <v>0.83</v>
          </cell>
          <cell r="E2852">
            <v>-0.159</v>
          </cell>
          <cell r="F2852">
            <v>-3.2000000000000028E-2</v>
          </cell>
        </row>
        <row r="2853">
          <cell r="A2853">
            <v>824347</v>
          </cell>
          <cell r="B2853" t="str">
            <v>SALSICHA FGO 12PT 500G PERD OMAN CX 6KG</v>
          </cell>
          <cell r="C2853">
            <v>1.7609999999999999</v>
          </cell>
          <cell r="D2853">
            <v>1.7609999999999999</v>
          </cell>
          <cell r="E2853">
            <v>-0.49299999999999999</v>
          </cell>
          <cell r="F2853">
            <v>-5.6000000000000001E-2</v>
          </cell>
        </row>
        <row r="2854">
          <cell r="A2854">
            <v>824411</v>
          </cell>
          <cell r="B2854" t="str">
            <v>FRANGO TEMP CONG C/MIUDOS PERD PARAGUAI</v>
          </cell>
          <cell r="C2854">
            <v>1.726</v>
          </cell>
          <cell r="D2854">
            <v>1.726</v>
          </cell>
          <cell r="E2854">
            <v>-0.53100000000000003</v>
          </cell>
          <cell r="F2854">
            <v>-5.099999999999999E-2</v>
          </cell>
        </row>
        <row r="2855">
          <cell r="A2855">
            <v>824431</v>
          </cell>
          <cell r="B2855" t="str">
            <v>PRESUNTO CRU FAT 33 CART PERD PARAGUAI</v>
          </cell>
          <cell r="C2855">
            <v>21.753</v>
          </cell>
          <cell r="D2855">
            <v>21.753</v>
          </cell>
          <cell r="E2855">
            <v>-6.6000000000000003E-2</v>
          </cell>
          <cell r="F2855">
            <v>-0.70899999999999963</v>
          </cell>
        </row>
        <row r="2856">
          <cell r="A2856">
            <v>824435</v>
          </cell>
          <cell r="B2856" t="str">
            <v>PRESUNTO CRU ITAL PED 500G PERD PARAGUAI</v>
          </cell>
          <cell r="C2856">
            <v>13.369</v>
          </cell>
          <cell r="D2856">
            <v>13.369</v>
          </cell>
          <cell r="E2856">
            <v>-5.8000000000000003E-2</v>
          </cell>
          <cell r="F2856">
            <v>-0.44299999999999962</v>
          </cell>
        </row>
        <row r="2857">
          <cell r="A2857">
            <v>824438</v>
          </cell>
          <cell r="B2857" t="str">
            <v>PAO DE QUEIJO PT 500G PERD PARAGUAI 10KG</v>
          </cell>
          <cell r="C2857">
            <v>3.22</v>
          </cell>
          <cell r="D2857">
            <v>3.22</v>
          </cell>
          <cell r="E2857">
            <v>0</v>
          </cell>
          <cell r="F2857">
            <v>0</v>
          </cell>
        </row>
        <row r="2858">
          <cell r="A2858">
            <v>824440</v>
          </cell>
          <cell r="B2858" t="str">
            <v>CODORNA BDJ 1KG PERD E.A.U CX 10KG</v>
          </cell>
          <cell r="C2858">
            <v>4.5679999999999996</v>
          </cell>
          <cell r="D2858">
            <v>4.5679999999999996</v>
          </cell>
          <cell r="E2858">
            <v>-0.54400000000000004</v>
          </cell>
          <cell r="F2858">
            <v>-0.14699999999999996</v>
          </cell>
        </row>
        <row r="2859">
          <cell r="A2859">
            <v>824442</v>
          </cell>
          <cell r="B2859" t="str">
            <v>PRESUNTO TENRO BABY BOLA MEDIO</v>
          </cell>
          <cell r="C2859">
            <v>11.423555863023175</v>
          </cell>
          <cell r="D2859">
            <v>8.9183108597195808</v>
          </cell>
          <cell r="E2859">
            <v>-0.16213116521921958</v>
          </cell>
          <cell r="F2859">
            <v>-1.1005973594517018</v>
          </cell>
        </row>
        <row r="2860">
          <cell r="A2860">
            <v>824447</v>
          </cell>
          <cell r="B2860" t="str">
            <v>SALSICHA FGO 12PT 500G PERD KUWAIT</v>
          </cell>
          <cell r="C2860">
            <v>2.1930000000000001</v>
          </cell>
          <cell r="D2860">
            <v>2.1930000000000001</v>
          </cell>
          <cell r="E2860">
            <v>-0.495</v>
          </cell>
          <cell r="F2860">
            <v>-6.9000000000000006E-2</v>
          </cell>
        </row>
        <row r="2861">
          <cell r="A2861">
            <v>824449</v>
          </cell>
          <cell r="B2861" t="str">
            <v>PERNIL S/OCG SUI 4 A 5KG PERD ANGOLA</v>
          </cell>
          <cell r="C2861">
            <v>3.5609999999999999</v>
          </cell>
          <cell r="D2861">
            <v>3.5609999999999999</v>
          </cell>
          <cell r="E2861">
            <v>0</v>
          </cell>
          <cell r="F2861">
            <v>-0.13100000000000001</v>
          </cell>
        </row>
        <row r="2862">
          <cell r="A2862">
            <v>824450</v>
          </cell>
          <cell r="B2862" t="str">
            <v>PEITO CHESTER S/OPFC MET S/CLAS ITF ANG</v>
          </cell>
          <cell r="C2862">
            <v>3.992</v>
          </cell>
          <cell r="D2862">
            <v>3.992</v>
          </cell>
          <cell r="E2862">
            <v>0</v>
          </cell>
          <cell r="F2862">
            <v>-0.13200000000000001</v>
          </cell>
        </row>
        <row r="2863">
          <cell r="A2863">
            <v>824451</v>
          </cell>
          <cell r="B2863" t="str">
            <v>FRANGO GRILLER PERD 1400G SIERRA LEONE</v>
          </cell>
          <cell r="C2863">
            <v>1.9370000000000001</v>
          </cell>
          <cell r="D2863">
            <v>1.9370000000000001</v>
          </cell>
          <cell r="E2863">
            <v>-0.65900000000000003</v>
          </cell>
          <cell r="F2863">
            <v>-0.06</v>
          </cell>
        </row>
        <row r="2864">
          <cell r="A2864">
            <v>824452</v>
          </cell>
          <cell r="B2864" t="str">
            <v>PEITO S/OP C/F MET PT 2KG SIERRA LEONE</v>
          </cell>
          <cell r="C2864">
            <v>3.972</v>
          </cell>
          <cell r="D2864">
            <v>3.972</v>
          </cell>
          <cell r="E2864">
            <v>-0.65900000000000003</v>
          </cell>
          <cell r="F2864">
            <v>-0.129</v>
          </cell>
        </row>
        <row r="2865">
          <cell r="A2865">
            <v>824469</v>
          </cell>
          <cell r="B2865" t="str">
            <v>PEITO S/OPFC CUBOS 19MM TAMB/COZ/AS INGL</v>
          </cell>
          <cell r="C2865">
            <v>5.8470000000000004</v>
          </cell>
          <cell r="D2865">
            <v>5.8470000000000004</v>
          </cell>
          <cell r="E2865">
            <v>-0.41099999999999998</v>
          </cell>
          <cell r="F2865">
            <v>-0.191</v>
          </cell>
        </row>
        <row r="2866">
          <cell r="A2866">
            <v>824571</v>
          </cell>
          <cell r="B2866" t="str">
            <v>LINGUICA FGO FRESCAL PT 5KG PERD ANGOLA</v>
          </cell>
          <cell r="C2866">
            <v>5.1319999999999997</v>
          </cell>
          <cell r="D2866">
            <v>5.1319999999999997</v>
          </cell>
          <cell r="E2866">
            <v>0</v>
          </cell>
          <cell r="F2866">
            <v>-0.17099999999999982</v>
          </cell>
        </row>
        <row r="2867">
          <cell r="A2867">
            <v>824573</v>
          </cell>
          <cell r="B2867" t="str">
            <v>PEITO S/OPFC FAT 50-90G IND/VAC PERD CAN</v>
          </cell>
          <cell r="C2867">
            <v>4.5250000000000004</v>
          </cell>
          <cell r="D2867">
            <v>4.5250000000000004</v>
          </cell>
          <cell r="E2867">
            <v>-0.41099999999999998</v>
          </cell>
          <cell r="F2867">
            <v>-0.127</v>
          </cell>
        </row>
        <row r="2868">
          <cell r="A2868">
            <v>824611</v>
          </cell>
          <cell r="B2868" t="str">
            <v>FRANGO GRILLER 900G BORELLA INDONESIA</v>
          </cell>
          <cell r="C2868">
            <v>1.623</v>
          </cell>
          <cell r="D2868">
            <v>1.623</v>
          </cell>
          <cell r="E2868">
            <v>-0.48499999999999999</v>
          </cell>
          <cell r="F2868">
            <v>-5.5E-2</v>
          </cell>
        </row>
        <row r="2869">
          <cell r="A2869">
            <v>824612</v>
          </cell>
          <cell r="B2869" t="str">
            <v>FRANGO GRILLER 1000G BORELLA INDONESIA</v>
          </cell>
          <cell r="C2869">
            <v>1.6140000000000001</v>
          </cell>
          <cell r="D2869">
            <v>1.6140000000000001</v>
          </cell>
          <cell r="E2869">
            <v>-0.47299999999999998</v>
          </cell>
          <cell r="F2869">
            <v>-5.3999999999999992E-2</v>
          </cell>
        </row>
        <row r="2870">
          <cell r="A2870">
            <v>824613</v>
          </cell>
          <cell r="B2870" t="str">
            <v>FRANGO GRILLER 1100G BORELLA INDONESIA</v>
          </cell>
          <cell r="C2870">
            <v>1.6140000000000001</v>
          </cell>
          <cell r="D2870">
            <v>1.6140000000000001</v>
          </cell>
          <cell r="E2870">
            <v>-0.47299999999999998</v>
          </cell>
          <cell r="F2870">
            <v>-5.2999999999999992E-2</v>
          </cell>
        </row>
        <row r="2871">
          <cell r="A2871">
            <v>824614</v>
          </cell>
          <cell r="B2871" t="str">
            <v>FRANGO GRILLER 1200G BORELLA INDONESIA</v>
          </cell>
          <cell r="C2871">
            <v>1.6140000000000001</v>
          </cell>
          <cell r="D2871">
            <v>1.6140000000000001</v>
          </cell>
          <cell r="E2871">
            <v>-0.47299999999999998</v>
          </cell>
          <cell r="F2871">
            <v>-5.3999999999999992E-2</v>
          </cell>
        </row>
        <row r="2872">
          <cell r="A2872">
            <v>824761</v>
          </cell>
          <cell r="B2872" t="str">
            <v>PEITO S/OPFC MET 125G TAMBL/COZ/EMP INGL</v>
          </cell>
          <cell r="C2872">
            <v>4.4870000000000001</v>
          </cell>
          <cell r="D2872">
            <v>4.4870000000000001</v>
          </cell>
          <cell r="E2872">
            <v>-0.37</v>
          </cell>
          <cell r="F2872">
            <v>-0.161</v>
          </cell>
        </row>
        <row r="2873">
          <cell r="A2873">
            <v>824763</v>
          </cell>
          <cell r="B2873" t="str">
            <v>PEITO S/OPFC MET 160G TAMBL/COZ/EMP INGL</v>
          </cell>
          <cell r="C2873">
            <v>4.5449999999999999</v>
          </cell>
          <cell r="D2873">
            <v>4.5449999999999999</v>
          </cell>
          <cell r="E2873">
            <v>-0.38300000000000001</v>
          </cell>
          <cell r="F2873">
            <v>-0.16</v>
          </cell>
        </row>
        <row r="2874">
          <cell r="A2874">
            <v>824764</v>
          </cell>
          <cell r="B2874" t="str">
            <v>PEITO S/OPFC MET 125G TAMBL/COZ/EMP INGL</v>
          </cell>
          <cell r="C2874">
            <v>4.4480000000000004</v>
          </cell>
          <cell r="D2874">
            <v>4.4480000000000004</v>
          </cell>
          <cell r="E2874">
            <v>-0.38200000000000001</v>
          </cell>
          <cell r="F2874">
            <v>-0.15799999999999997</v>
          </cell>
        </row>
        <row r="2875">
          <cell r="A2875">
            <v>824765</v>
          </cell>
          <cell r="B2875" t="str">
            <v>PEITO S/OPFC MET 160G TAMBL/COZ/EMP INGL</v>
          </cell>
          <cell r="C2875">
            <v>4.4020000000000001</v>
          </cell>
          <cell r="D2875">
            <v>4.4020000000000001</v>
          </cell>
          <cell r="E2875">
            <v>-0.379</v>
          </cell>
          <cell r="F2875">
            <v>-0.155</v>
          </cell>
        </row>
        <row r="2876">
          <cell r="A2876">
            <v>824766</v>
          </cell>
          <cell r="B2876" t="str">
            <v>PEITO S/OPFC MET 160G TAMBL/COZ/EMP INGL</v>
          </cell>
          <cell r="C2876">
            <v>4.407</v>
          </cell>
          <cell r="D2876">
            <v>4.407</v>
          </cell>
          <cell r="E2876">
            <v>-0.36799999999999999</v>
          </cell>
          <cell r="F2876">
            <v>-0.15899999999999997</v>
          </cell>
        </row>
        <row r="2877">
          <cell r="A2877">
            <v>824782</v>
          </cell>
          <cell r="B2877" t="str">
            <v>FILE PEITO 35-45G TAMBL/COZ/EMP PERD ING</v>
          </cell>
          <cell r="C2877">
            <v>4.5149999999999997</v>
          </cell>
          <cell r="D2877">
            <v>4.5149999999999997</v>
          </cell>
          <cell r="E2877">
            <v>-0.38</v>
          </cell>
          <cell r="F2877">
            <v>-0.16</v>
          </cell>
        </row>
        <row r="2878">
          <cell r="A2878">
            <v>824783</v>
          </cell>
          <cell r="B2878" t="str">
            <v>PEITO S/OPFC CUB 30G TAMBL/COZ/EMP INGL</v>
          </cell>
          <cell r="C2878">
            <v>4.4969999999999999</v>
          </cell>
          <cell r="D2878">
            <v>4.4969999999999999</v>
          </cell>
          <cell r="E2878">
            <v>-0.36799999999999999</v>
          </cell>
          <cell r="F2878">
            <v>-0.16100000000000003</v>
          </cell>
        </row>
        <row r="2879">
          <cell r="A2879">
            <v>824784</v>
          </cell>
          <cell r="B2879" t="str">
            <v>FILE PEITO 35-45G TAMBL/COZ/EMP PERD ING</v>
          </cell>
          <cell r="C2879">
            <v>4.5449999999999999</v>
          </cell>
          <cell r="D2879">
            <v>4.5449999999999999</v>
          </cell>
          <cell r="E2879">
            <v>-0.38300000000000001</v>
          </cell>
          <cell r="F2879">
            <v>-0.16100000000000003</v>
          </cell>
        </row>
        <row r="2880">
          <cell r="A2880">
            <v>824786</v>
          </cell>
          <cell r="B2880" t="str">
            <v>COXA SOB S/O C/P 200-300G PT 1KG CING</v>
          </cell>
          <cell r="C2880">
            <v>2.57</v>
          </cell>
          <cell r="D2880">
            <v>2.57</v>
          </cell>
          <cell r="E2880">
            <v>-0.45300000000000001</v>
          </cell>
          <cell r="F2880">
            <v>-7.2999999999999995E-2</v>
          </cell>
        </row>
        <row r="2881">
          <cell r="A2881">
            <v>824815</v>
          </cell>
          <cell r="B2881" t="str">
            <v>FRANGO BROILER 900G HALAL KUWAIT</v>
          </cell>
          <cell r="C2881">
            <v>1.69</v>
          </cell>
          <cell r="D2881">
            <v>1.69</v>
          </cell>
          <cell r="E2881">
            <v>-0.51700000000000002</v>
          </cell>
          <cell r="F2881">
            <v>-5.6000000000000022E-2</v>
          </cell>
        </row>
        <row r="2882">
          <cell r="A2882">
            <v>824833</v>
          </cell>
          <cell r="B2882" t="str">
            <v>ASA FGO TEMP PT 1KG/VAC PERD DIREX JAPAO</v>
          </cell>
          <cell r="C2882">
            <v>2.657</v>
          </cell>
          <cell r="D2882">
            <v>2.657</v>
          </cell>
          <cell r="E2882">
            <v>-7.3999999999999996E-2</v>
          </cell>
          <cell r="F2882">
            <v>-8.0999999999999961E-2</v>
          </cell>
        </row>
        <row r="2883">
          <cell r="A2883">
            <v>825102</v>
          </cell>
          <cell r="B2883" t="str">
            <v>COPA LOMBO S/O CONG 1,4KG/UP PERD URUG</v>
          </cell>
          <cell r="C2883">
            <v>2.0750000000000002</v>
          </cell>
          <cell r="D2883">
            <v>2.0750000000000002</v>
          </cell>
          <cell r="E2883">
            <v>-0.122</v>
          </cell>
          <cell r="F2883">
            <v>-6.1999999999999986E-2</v>
          </cell>
        </row>
        <row r="2884">
          <cell r="A2884">
            <v>825118</v>
          </cell>
          <cell r="B2884" t="str">
            <v>SOBREC S/OP CUBOS 20-25G TAM/MAR/COZ ING</v>
          </cell>
          <cell r="C2884">
            <v>6.5119999999999996</v>
          </cell>
          <cell r="D2884">
            <v>6.5119999999999996</v>
          </cell>
          <cell r="E2884">
            <v>-0.38200000000000001</v>
          </cell>
          <cell r="F2884">
            <v>-0.2589999999999999</v>
          </cell>
        </row>
        <row r="2885">
          <cell r="A2885">
            <v>825162</v>
          </cell>
          <cell r="B2885" t="str">
            <v>FRANGO GRILLER 800G BATAVO KUWAIT</v>
          </cell>
          <cell r="C2885">
            <v>1.619</v>
          </cell>
          <cell r="D2885">
            <v>1.619</v>
          </cell>
          <cell r="E2885">
            <v>-0.47599999999999998</v>
          </cell>
          <cell r="F2885">
            <v>-4.4999999999999998E-2</v>
          </cell>
        </row>
        <row r="2886">
          <cell r="A2886">
            <v>825163</v>
          </cell>
          <cell r="B2886" t="str">
            <v>FRANGO GRILLER 900G BATAVO KUWAIT</v>
          </cell>
          <cell r="C2886">
            <v>1.619</v>
          </cell>
          <cell r="D2886">
            <v>1.619</v>
          </cell>
          <cell r="E2886">
            <v>-0.47599999999999998</v>
          </cell>
          <cell r="F2886">
            <v>-4.4000000000000039E-2</v>
          </cell>
        </row>
        <row r="2887">
          <cell r="A2887">
            <v>825164</v>
          </cell>
          <cell r="B2887" t="str">
            <v>FRANGO GRILLER 1000G BATAVO KUWAIT</v>
          </cell>
          <cell r="C2887">
            <v>1.619</v>
          </cell>
          <cell r="D2887">
            <v>1.619</v>
          </cell>
          <cell r="E2887">
            <v>-0.47599999999999998</v>
          </cell>
          <cell r="F2887">
            <v>-4.3999999999999997E-2</v>
          </cell>
        </row>
        <row r="2888">
          <cell r="A2888">
            <v>825165</v>
          </cell>
          <cell r="B2888" t="str">
            <v>FRANGO GRILLER 1100G BATAVO KUWAIT</v>
          </cell>
          <cell r="C2888">
            <v>1.619</v>
          </cell>
          <cell r="D2888">
            <v>1.619</v>
          </cell>
          <cell r="E2888">
            <v>-0.47599999999999998</v>
          </cell>
          <cell r="F2888">
            <v>-4.4999999999999998E-2</v>
          </cell>
        </row>
        <row r="2889">
          <cell r="A2889">
            <v>825166</v>
          </cell>
          <cell r="B2889" t="str">
            <v>FRANGO GRILLER 1200G BATAVO KUWAIT</v>
          </cell>
          <cell r="C2889">
            <v>1.619</v>
          </cell>
          <cell r="D2889">
            <v>1.619</v>
          </cell>
          <cell r="E2889">
            <v>-0.47599999999999998</v>
          </cell>
          <cell r="F2889">
            <v>-4.4000000000000004E-2</v>
          </cell>
        </row>
        <row r="2890">
          <cell r="A2890">
            <v>825168</v>
          </cell>
          <cell r="B2890" t="str">
            <v>FRANGO GRILLER 900G BATAVO BAHRAIN</v>
          </cell>
          <cell r="C2890">
            <v>1.5740000000000001</v>
          </cell>
          <cell r="D2890">
            <v>1.5740000000000001</v>
          </cell>
          <cell r="E2890">
            <v>-0.47699999999999998</v>
          </cell>
          <cell r="F2890">
            <v>-4.300000000000001E-2</v>
          </cell>
        </row>
        <row r="2891">
          <cell r="A2891">
            <v>825169</v>
          </cell>
          <cell r="B2891" t="str">
            <v>FRANGO GRILLER 1000G BATAVO BAHRAIN</v>
          </cell>
          <cell r="C2891">
            <v>1.5740000000000001</v>
          </cell>
          <cell r="D2891">
            <v>1.5740000000000001</v>
          </cell>
          <cell r="E2891">
            <v>-0.47699999999999998</v>
          </cell>
          <cell r="F2891">
            <v>-4.2999999999999983E-2</v>
          </cell>
        </row>
        <row r="2892">
          <cell r="A2892">
            <v>825170</v>
          </cell>
          <cell r="B2892" t="str">
            <v>FRANGO GRILLER 1100G BATAVO BAHRAIN</v>
          </cell>
          <cell r="C2892">
            <v>1.5740000000000001</v>
          </cell>
          <cell r="D2892">
            <v>1.5740000000000001</v>
          </cell>
          <cell r="E2892">
            <v>-0.47699999999999998</v>
          </cell>
          <cell r="F2892">
            <v>-4.2999999999999983E-2</v>
          </cell>
        </row>
        <row r="2893">
          <cell r="A2893">
            <v>825171</v>
          </cell>
          <cell r="B2893" t="str">
            <v>FRANGO GRILLER 1200G BATAVO BAHRAIN</v>
          </cell>
          <cell r="C2893">
            <v>1.5740000000000001</v>
          </cell>
          <cell r="D2893">
            <v>1.5740000000000001</v>
          </cell>
          <cell r="E2893">
            <v>-0.47699999999999998</v>
          </cell>
          <cell r="F2893">
            <v>-4.300000000000001E-2</v>
          </cell>
        </row>
        <row r="2894">
          <cell r="A2894">
            <v>825172</v>
          </cell>
          <cell r="B2894" t="str">
            <v>FRANGO GRILLER 1300G BATAVO BAHRAIN</v>
          </cell>
          <cell r="C2894">
            <v>1.5740000000000001</v>
          </cell>
          <cell r="D2894">
            <v>1.5740000000000001</v>
          </cell>
          <cell r="E2894">
            <v>-0.47699999999999998</v>
          </cell>
          <cell r="F2894">
            <v>-4.300000000000001E-2</v>
          </cell>
        </row>
        <row r="2895">
          <cell r="A2895">
            <v>825221</v>
          </cell>
          <cell r="B2895" t="str">
            <v>FILE PEITO C/TEND SAL BL 7,5KG PERD FRAN</v>
          </cell>
          <cell r="C2895">
            <v>3.0190000000000001</v>
          </cell>
          <cell r="D2895">
            <v>3.0190000000000001</v>
          </cell>
          <cell r="E2895">
            <v>-0.27900000000000003</v>
          </cell>
          <cell r="F2895">
            <v>-8.900000000000001E-2</v>
          </cell>
        </row>
        <row r="2896">
          <cell r="A2896">
            <v>825236</v>
          </cell>
          <cell r="B2896" t="str">
            <v>FRANGO GRILLER 900G BORELLA CINGAPURA</v>
          </cell>
          <cell r="C2896">
            <v>1.659</v>
          </cell>
          <cell r="D2896">
            <v>1.659</v>
          </cell>
          <cell r="E2896">
            <v>-0.42199999999999999</v>
          </cell>
          <cell r="F2896">
            <v>-4.7E-2</v>
          </cell>
        </row>
        <row r="2897">
          <cell r="A2897">
            <v>825290</v>
          </cell>
          <cell r="B2897" t="str">
            <v>LOMBO SUI CONG 1,8KG/ACIMA IND ALEMANHA</v>
          </cell>
          <cell r="C2897">
            <v>3.339</v>
          </cell>
          <cell r="D2897">
            <v>3.339</v>
          </cell>
          <cell r="E2897">
            <v>-0.28100000000000003</v>
          </cell>
          <cell r="F2897">
            <v>-9.7000000000000031E-2</v>
          </cell>
        </row>
        <row r="2898">
          <cell r="A2898">
            <v>825381</v>
          </cell>
          <cell r="B2898" t="str">
            <v>CARRE SUI 2,8KG/ACIMA IND PERD ALEMANHA</v>
          </cell>
          <cell r="C2898">
            <v>2.2570000000000001</v>
          </cell>
          <cell r="D2898">
            <v>2.2570000000000001</v>
          </cell>
          <cell r="E2898">
            <v>-0.28100000000000003</v>
          </cell>
          <cell r="F2898">
            <v>-6.5000000000000002E-2</v>
          </cell>
        </row>
        <row r="2899">
          <cell r="A2899">
            <v>825382</v>
          </cell>
          <cell r="B2899" t="str">
            <v>COPA LOMBO SUINO IND PERD ALEMANHA</v>
          </cell>
          <cell r="C2899">
            <v>2.2930000000000001</v>
          </cell>
          <cell r="D2899">
            <v>2.2930000000000001</v>
          </cell>
          <cell r="E2899">
            <v>-0.28100000000000003</v>
          </cell>
          <cell r="F2899">
            <v>-6.7000000000000004E-2</v>
          </cell>
        </row>
        <row r="2900">
          <cell r="A2900">
            <v>825440</v>
          </cell>
          <cell r="B2900" t="str">
            <v>PEITO S/OPFC MET TAM/CO/MAR/GREL IF INGL</v>
          </cell>
          <cell r="C2900">
            <v>5.9429999999999996</v>
          </cell>
          <cell r="D2900">
            <v>5.9429999999999996</v>
          </cell>
          <cell r="E2900">
            <v>-0.38500000000000001</v>
          </cell>
          <cell r="F2900">
            <v>-0.17499999999999999</v>
          </cell>
        </row>
        <row r="2901">
          <cell r="A2901">
            <v>825467</v>
          </cell>
          <cell r="B2901" t="str">
            <v>PEITO S/OPFC MET 100-130G PT 2,5KG E.A.U</v>
          </cell>
          <cell r="C2901">
            <v>2.9540000000000002</v>
          </cell>
          <cell r="D2901">
            <v>2.9540000000000002</v>
          </cell>
          <cell r="E2901">
            <v>-0.53400000000000003</v>
          </cell>
          <cell r="F2901">
            <v>-9.7000000000000003E-2</v>
          </cell>
        </row>
        <row r="2902">
          <cell r="A2902">
            <v>825511</v>
          </cell>
          <cell r="B2902" t="str">
            <v>COXA SOB C/OP CURTO 200-220G VAC JAPAO</v>
          </cell>
          <cell r="C2902">
            <v>2.262</v>
          </cell>
          <cell r="D2902">
            <v>2.262</v>
          </cell>
          <cell r="E2902">
            <v>-9.5000000000000001E-2</v>
          </cell>
          <cell r="F2902">
            <v>-9.099999999999997E-2</v>
          </cell>
        </row>
        <row r="2903">
          <cell r="A2903">
            <v>825512</v>
          </cell>
          <cell r="B2903" t="str">
            <v>COXA SOB C/OP CURTO 220-240G VAC JAPAO</v>
          </cell>
          <cell r="C2903">
            <v>2.2490000000000001</v>
          </cell>
          <cell r="D2903">
            <v>2.2490000000000001</v>
          </cell>
          <cell r="E2903">
            <v>-0.1</v>
          </cell>
          <cell r="F2903">
            <v>-9.000000000000008E-2</v>
          </cell>
        </row>
        <row r="2904">
          <cell r="A2904">
            <v>825514</v>
          </cell>
          <cell r="B2904" t="str">
            <v>CODORNA BDJ 1KG PERD BAHRAIN</v>
          </cell>
          <cell r="C2904">
            <v>4.3230000000000004</v>
          </cell>
          <cell r="D2904">
            <v>4.3230000000000004</v>
          </cell>
          <cell r="E2904">
            <v>-0.54900000000000004</v>
          </cell>
          <cell r="F2904">
            <v>-0.125</v>
          </cell>
        </row>
        <row r="2905">
          <cell r="A2905">
            <v>825516</v>
          </cell>
          <cell r="B2905" t="str">
            <v>CODORNA BDJ 1KG PERD QATAR</v>
          </cell>
          <cell r="C2905">
            <v>4.2869999999999999</v>
          </cell>
          <cell r="D2905">
            <v>4.2869999999999999</v>
          </cell>
          <cell r="E2905">
            <v>-0.54100000000000004</v>
          </cell>
          <cell r="F2905">
            <v>-0.15</v>
          </cell>
        </row>
        <row r="2906">
          <cell r="A2906">
            <v>825566</v>
          </cell>
          <cell r="B2906" t="str">
            <v>COXA SOBR C/OP 220-240G LONG SUJ-1 JAPAO</v>
          </cell>
          <cell r="C2906">
            <v>2.536</v>
          </cell>
          <cell r="D2906">
            <v>2.536</v>
          </cell>
          <cell r="E2906">
            <v>-0.47399999999999998</v>
          </cell>
          <cell r="F2906">
            <v>-8.8000000000000078E-2</v>
          </cell>
        </row>
        <row r="2907">
          <cell r="A2907">
            <v>825570</v>
          </cell>
          <cell r="B2907" t="str">
            <v>COXA C/OP 70-80G PT 5KG IF PERD KUWAIT</v>
          </cell>
          <cell r="C2907">
            <v>2.883</v>
          </cell>
          <cell r="D2907">
            <v>2.883</v>
          </cell>
          <cell r="E2907">
            <v>-0.52300000000000002</v>
          </cell>
          <cell r="F2907">
            <v>-8.2999999999999963E-2</v>
          </cell>
        </row>
        <row r="2908">
          <cell r="A2908">
            <v>825581</v>
          </cell>
          <cell r="B2908" t="str">
            <v>ASA 1A JTA DRUM 20-30G PT 5KG IF KUWAIT</v>
          </cell>
          <cell r="C2908">
            <v>2.7930000000000001</v>
          </cell>
          <cell r="D2908">
            <v>2.7930000000000001</v>
          </cell>
          <cell r="E2908">
            <v>-0.52100000000000002</v>
          </cell>
          <cell r="F2908">
            <v>-8.0000000000000071E-2</v>
          </cell>
        </row>
        <row r="2909">
          <cell r="A2909">
            <v>825582</v>
          </cell>
          <cell r="B2909" t="str">
            <v>ASA 2A JTA 15-20G PT 5KG IF PERD KUWAIT</v>
          </cell>
          <cell r="C2909">
            <v>3.0630000000000002</v>
          </cell>
          <cell r="D2909">
            <v>3.0630000000000002</v>
          </cell>
          <cell r="E2909">
            <v>-0.52800000000000002</v>
          </cell>
          <cell r="F2909">
            <v>-8.7999999999999967E-2</v>
          </cell>
        </row>
        <row r="2910">
          <cell r="A2910">
            <v>825583</v>
          </cell>
          <cell r="B2910" t="str">
            <v>SOBRECOXA C/OP 70-90G PT 5KG IF KUWAIT</v>
          </cell>
          <cell r="C2910">
            <v>2.883</v>
          </cell>
          <cell r="D2910">
            <v>2.883</v>
          </cell>
          <cell r="E2910">
            <v>-0.52300000000000002</v>
          </cell>
          <cell r="F2910">
            <v>-8.1999999999999962E-2</v>
          </cell>
        </row>
        <row r="2911">
          <cell r="A2911">
            <v>825584</v>
          </cell>
          <cell r="B2911" t="str">
            <v>PEITO S/OPFC MET PT 5KG IF PERD KUWAIT</v>
          </cell>
          <cell r="C2911">
            <v>3.423</v>
          </cell>
          <cell r="D2911">
            <v>3.423</v>
          </cell>
          <cell r="E2911">
            <v>-0.53700000000000003</v>
          </cell>
          <cell r="F2911">
            <v>-9.8000000000000032E-2</v>
          </cell>
        </row>
        <row r="2912">
          <cell r="A2912">
            <v>825612</v>
          </cell>
          <cell r="B2912" t="str">
            <v>FRANGO GRILLER 900G BATAVO A.SAUDITA</v>
          </cell>
          <cell r="C2912">
            <v>2.2090000000000001</v>
          </cell>
          <cell r="D2912">
            <v>2.2090000000000001</v>
          </cell>
          <cell r="E2912">
            <v>-0.45900000000000002</v>
          </cell>
          <cell r="F2912">
            <v>-0.06</v>
          </cell>
        </row>
        <row r="2913">
          <cell r="A2913">
            <v>825613</v>
          </cell>
          <cell r="B2913" t="str">
            <v>FRANGO GRILLER 1000G BATAVO A.SAUDITA</v>
          </cell>
          <cell r="C2913">
            <v>2.2090000000000001</v>
          </cell>
          <cell r="D2913">
            <v>2.2090000000000001</v>
          </cell>
          <cell r="E2913">
            <v>-0.45900000000000002</v>
          </cell>
          <cell r="F2913">
            <v>-0.06</v>
          </cell>
        </row>
        <row r="2914">
          <cell r="A2914">
            <v>825614</v>
          </cell>
          <cell r="B2914" t="str">
            <v>FRANGO GRILLER 1100G BATAVO A.SAUDITA</v>
          </cell>
          <cell r="C2914">
            <v>2.2090000000000001</v>
          </cell>
          <cell r="D2914">
            <v>2.2090000000000001</v>
          </cell>
          <cell r="E2914">
            <v>-0.45900000000000002</v>
          </cell>
          <cell r="F2914">
            <v>-0.06</v>
          </cell>
        </row>
        <row r="2915">
          <cell r="A2915">
            <v>825615</v>
          </cell>
          <cell r="B2915" t="str">
            <v>FRANGO GRILLER 1200G BATAVO A.SAUDITA</v>
          </cell>
          <cell r="C2915">
            <v>2.2090000000000001</v>
          </cell>
          <cell r="D2915">
            <v>2.2090000000000001</v>
          </cell>
          <cell r="E2915">
            <v>-0.443</v>
          </cell>
          <cell r="F2915">
            <v>-5.8999999999999983E-2</v>
          </cell>
        </row>
        <row r="2916">
          <cell r="A2916">
            <v>825616</v>
          </cell>
          <cell r="B2916" t="str">
            <v>FRANGO GRILLER 1300G BATAVO A.SAUDITA</v>
          </cell>
          <cell r="C2916">
            <v>2.2090000000000001</v>
          </cell>
          <cell r="D2916">
            <v>2.2090000000000001</v>
          </cell>
          <cell r="E2916">
            <v>-0.438</v>
          </cell>
          <cell r="F2916">
            <v>-0.06</v>
          </cell>
        </row>
        <row r="2917">
          <cell r="A2917">
            <v>825734</v>
          </cell>
          <cell r="B2917" t="str">
            <v>PEITO S/OPFC MET 110G SALM PERD HOLANDA</v>
          </cell>
          <cell r="C2917">
            <v>4.2039999999999997</v>
          </cell>
          <cell r="D2917">
            <v>4.2039999999999997</v>
          </cell>
          <cell r="E2917">
            <v>-0.28699999999999998</v>
          </cell>
          <cell r="F2917">
            <v>-0.11799999999999988</v>
          </cell>
        </row>
        <row r="2918">
          <cell r="A2918">
            <v>825774</v>
          </cell>
          <cell r="B2918" t="str">
            <v>FILE PEITO C/TEND SASAMI BL 7,5KG FRANCA</v>
          </cell>
          <cell r="C2918">
            <v>2.9129999999999998</v>
          </cell>
          <cell r="D2918">
            <v>2.9129999999999998</v>
          </cell>
          <cell r="E2918">
            <v>-0.28799999999999998</v>
          </cell>
          <cell r="F2918">
            <v>-0.10399999999999998</v>
          </cell>
        </row>
        <row r="2919">
          <cell r="A2919">
            <v>826007</v>
          </cell>
          <cell r="B2919" t="str">
            <v>PEITO S/OPFC MET 90G SALM PERD HOLANDA</v>
          </cell>
          <cell r="C2919">
            <v>4.2350000000000003</v>
          </cell>
          <cell r="D2919">
            <v>4.2350000000000003</v>
          </cell>
          <cell r="E2919">
            <v>-0.28499999999999998</v>
          </cell>
          <cell r="F2919">
            <v>-0.11899999999999999</v>
          </cell>
        </row>
        <row r="2920">
          <cell r="A2920">
            <v>826008</v>
          </cell>
          <cell r="B2920" t="str">
            <v>PEITO S/OPFC TIRAS 12MM TAMB/COZ ITALIA</v>
          </cell>
          <cell r="C2920">
            <v>5.9349999999999996</v>
          </cell>
          <cell r="D2920">
            <v>5.9349999999999996</v>
          </cell>
          <cell r="E2920">
            <v>-0.57999999999999996</v>
          </cell>
          <cell r="F2920">
            <v>-0.21399999999999997</v>
          </cell>
        </row>
        <row r="2921">
          <cell r="A2921">
            <v>826009</v>
          </cell>
          <cell r="B2921" t="str">
            <v>PEITO S/OPFC CUBOS 19MM TAMB/COZ ITALIA</v>
          </cell>
          <cell r="C2921">
            <v>6.52</v>
          </cell>
          <cell r="D2921">
            <v>6.52</v>
          </cell>
          <cell r="E2921">
            <v>-0.53800000000000003</v>
          </cell>
          <cell r="F2921">
            <v>-0.20800000000000007</v>
          </cell>
        </row>
        <row r="2922">
          <cell r="A2922">
            <v>826010</v>
          </cell>
          <cell r="B2922" t="str">
            <v>FILEZINHO C/TENDAO TAMB/COZ ITALIA</v>
          </cell>
          <cell r="C2922">
            <v>5.2160000000000002</v>
          </cell>
          <cell r="D2922">
            <v>5.2160000000000002</v>
          </cell>
          <cell r="E2922">
            <v>-0.56200000000000006</v>
          </cell>
          <cell r="F2922">
            <v>-0.18699999999999994</v>
          </cell>
        </row>
        <row r="2923">
          <cell r="A2923">
            <v>826011</v>
          </cell>
          <cell r="B2923" t="str">
            <v>PEITO S/OPFC 100-180G SALM BL 7,5KG INGL</v>
          </cell>
          <cell r="C2923">
            <v>3.3359999999999999</v>
          </cell>
          <cell r="D2923">
            <v>3.3359999999999999</v>
          </cell>
          <cell r="E2923">
            <v>-0.314</v>
          </cell>
          <cell r="F2923">
            <v>-9.2999999999999972E-2</v>
          </cell>
        </row>
        <row r="2924">
          <cell r="A2924">
            <v>826060</v>
          </cell>
          <cell r="B2924" t="str">
            <v>SOBREC S/OP 90-115G PT 2,5KG UNEF E.A.U</v>
          </cell>
          <cell r="C2924">
            <v>2.7690000000000001</v>
          </cell>
          <cell r="D2924">
            <v>2.7690000000000001</v>
          </cell>
          <cell r="E2924">
            <v>-0.57099999999999995</v>
          </cell>
          <cell r="F2924">
            <v>-0.10600000000000001</v>
          </cell>
        </row>
        <row r="2925">
          <cell r="A2925">
            <v>826116</v>
          </cell>
          <cell r="B2925" t="str">
            <v>ESPINHACO SUINO CONG PT 10KG CARIBE</v>
          </cell>
          <cell r="C2925">
            <v>0.91100000000000003</v>
          </cell>
          <cell r="D2925">
            <v>0.91100000000000003</v>
          </cell>
          <cell r="E2925">
            <v>-4.5999999999999999E-2</v>
          </cell>
          <cell r="F2925">
            <v>-3.1E-2</v>
          </cell>
        </row>
        <row r="2926">
          <cell r="A2926">
            <v>826117</v>
          </cell>
          <cell r="B2926" t="str">
            <v>OUVIDO SUINO CONG PT 10KG PERD CARIBE</v>
          </cell>
          <cell r="C2926">
            <v>0.72899999999999998</v>
          </cell>
          <cell r="D2926">
            <v>0.72899999999999998</v>
          </cell>
          <cell r="E2926">
            <v>-4.5999999999999999E-2</v>
          </cell>
          <cell r="F2926">
            <v>-2.5000000000000001E-2</v>
          </cell>
        </row>
        <row r="2927">
          <cell r="A2927">
            <v>826118</v>
          </cell>
          <cell r="B2927" t="str">
            <v>MINI CHICKEN FGO PT 1KG PERD CARIBE</v>
          </cell>
          <cell r="C2927">
            <v>2.734</v>
          </cell>
          <cell r="D2927">
            <v>2.734</v>
          </cell>
          <cell r="E2927">
            <v>-6.9000000000000006E-2</v>
          </cell>
          <cell r="F2927">
            <v>-9.2999999999999972E-2</v>
          </cell>
        </row>
        <row r="2928">
          <cell r="A2928">
            <v>826119</v>
          </cell>
          <cell r="B2928" t="str">
            <v>INGREDIENTES P/ FEIJOADA PT</v>
          </cell>
          <cell r="C2928">
            <v>3.9039999999999999</v>
          </cell>
          <cell r="D2928">
            <v>3.3580000000000001</v>
          </cell>
          <cell r="E2928">
            <v>-0.191</v>
          </cell>
          <cell r="F2928">
            <v>-0.49199999999999988</v>
          </cell>
        </row>
        <row r="2929">
          <cell r="A2929">
            <v>826137</v>
          </cell>
          <cell r="B2929" t="str">
            <v>HBI004 HAMBURGUER BOV INST 28 PC 115G</v>
          </cell>
          <cell r="C2929">
            <v>1.5980000000000001</v>
          </cell>
          <cell r="D2929">
            <v>1.2070000000000001</v>
          </cell>
          <cell r="E2929">
            <v>-0.217</v>
          </cell>
          <cell r="F2929">
            <v>-0.18400000000000016</v>
          </cell>
        </row>
        <row r="2930">
          <cell r="A2930">
            <v>826138</v>
          </cell>
          <cell r="B2930" t="str">
            <v>HBD004 HAMBURGUER BOV DOUBLE 14 PC 230G</v>
          </cell>
          <cell r="C2930">
            <v>1.496</v>
          </cell>
          <cell r="D2930">
            <v>1.129</v>
          </cell>
          <cell r="E2930">
            <v>-0.217</v>
          </cell>
          <cell r="F2930">
            <v>-0.17700000000000005</v>
          </cell>
        </row>
        <row r="2931">
          <cell r="A2931">
            <v>826141</v>
          </cell>
          <cell r="B2931" t="str">
            <v>FRANGO GRILLER 1000G PERD SENEGAL CX10KG</v>
          </cell>
          <cell r="C2931">
            <v>2.2189999999999999</v>
          </cell>
          <cell r="D2931">
            <v>2.2189999999999999</v>
          </cell>
          <cell r="E2931">
            <v>-0.61699999999999999</v>
          </cell>
          <cell r="F2931">
            <v>-5.8000000000000024E-2</v>
          </cell>
        </row>
        <row r="2932">
          <cell r="A2932">
            <v>826176</v>
          </cell>
          <cell r="B2932" t="str">
            <v>PEITO S/OPFC ACHAT PT 2,5KG PERD BAHRAIN</v>
          </cell>
          <cell r="C2932">
            <v>2.992</v>
          </cell>
          <cell r="D2932">
            <v>2.992</v>
          </cell>
          <cell r="E2932">
            <v>-0.53600000000000003</v>
          </cell>
          <cell r="F2932">
            <v>-0.105</v>
          </cell>
        </row>
        <row r="2933">
          <cell r="A2933">
            <v>826177</v>
          </cell>
          <cell r="B2933" t="str">
            <v>PEITO S/OFC C/P ACHAT PT 2,5KG PERD BAHR</v>
          </cell>
          <cell r="C2933">
            <v>2.8580000000000001</v>
          </cell>
          <cell r="D2933">
            <v>2.8580000000000001</v>
          </cell>
          <cell r="E2933">
            <v>-0.53200000000000003</v>
          </cell>
          <cell r="F2933">
            <v>-0.1</v>
          </cell>
        </row>
        <row r="2934">
          <cell r="A2934">
            <v>826178</v>
          </cell>
          <cell r="B2934" t="str">
            <v>COXA C/O C/P BDJ 900G AL-NOOR BAHRAIN</v>
          </cell>
          <cell r="C2934">
            <v>2.1440000000000001</v>
          </cell>
          <cell r="D2934">
            <v>2.1440000000000001</v>
          </cell>
          <cell r="E2934">
            <v>-0.46400000000000002</v>
          </cell>
          <cell r="F2934">
            <v>-7.400000000000001E-2</v>
          </cell>
        </row>
        <row r="2935">
          <cell r="A2935">
            <v>826179</v>
          </cell>
          <cell r="B2935" t="str">
            <v>SOBRECOXA C/OP BDJ 900G AL-NOOR BAHRAIN</v>
          </cell>
          <cell r="C2935">
            <v>2.1440000000000001</v>
          </cell>
          <cell r="D2935">
            <v>2.1440000000000001</v>
          </cell>
          <cell r="E2935">
            <v>-0.46400000000000002</v>
          </cell>
          <cell r="F2935">
            <v>-7.4999999999999997E-2</v>
          </cell>
        </row>
        <row r="2936">
          <cell r="A2936">
            <v>826180</v>
          </cell>
          <cell r="B2936" t="str">
            <v>COXA SOBREC C/OP BDJ900G AL-NOOR BAHRAIN</v>
          </cell>
          <cell r="C2936">
            <v>2.1440000000000001</v>
          </cell>
          <cell r="D2936">
            <v>2.1440000000000001</v>
          </cell>
          <cell r="E2936">
            <v>-0.46400000000000002</v>
          </cell>
          <cell r="F2936">
            <v>-7.3999999999999996E-2</v>
          </cell>
        </row>
        <row r="2937">
          <cell r="A2937">
            <v>826215</v>
          </cell>
          <cell r="B2937" t="str">
            <v>FIGADO FGO BDJ 450G BORELLA KUWAIT</v>
          </cell>
          <cell r="C2937">
            <v>2.0099999999999998</v>
          </cell>
          <cell r="D2937">
            <v>2.0099999999999998</v>
          </cell>
          <cell r="E2937">
            <v>-0.57499999999999996</v>
          </cell>
          <cell r="F2937">
            <v>-6.6999999999999948E-2</v>
          </cell>
        </row>
        <row r="2938">
          <cell r="A2938">
            <v>826216</v>
          </cell>
          <cell r="B2938" t="str">
            <v>MOELA FGO BDJ 450G BORELLA KUWAIT</v>
          </cell>
          <cell r="C2938">
            <v>2.056</v>
          </cell>
          <cell r="D2938">
            <v>2.056</v>
          </cell>
          <cell r="E2938">
            <v>-0.57599999999999996</v>
          </cell>
          <cell r="F2938">
            <v>-6.9000000000000006E-2</v>
          </cell>
        </row>
        <row r="2939">
          <cell r="A2939">
            <v>826245</v>
          </cell>
          <cell r="B2939" t="str">
            <v>PEITO S/OPFC ACHAT PT 1KG AL-KAWTHER BAH</v>
          </cell>
          <cell r="C2939">
            <v>3.0190000000000001</v>
          </cell>
          <cell r="D2939">
            <v>3.0190000000000001</v>
          </cell>
          <cell r="E2939">
            <v>-0.51100000000000001</v>
          </cell>
          <cell r="F2939">
            <v>-0.10600000000000001</v>
          </cell>
        </row>
        <row r="2940">
          <cell r="A2940">
            <v>826392</v>
          </cell>
          <cell r="B2940" t="str">
            <v>PEITO S/OPFC MET SALM 130-150G PERD ITAL</v>
          </cell>
          <cell r="C2940">
            <v>3.673</v>
          </cell>
          <cell r="D2940">
            <v>3.673</v>
          </cell>
          <cell r="E2940">
            <v>-0.28999999999999998</v>
          </cell>
          <cell r="F2940">
            <v>-0.10299999999999998</v>
          </cell>
        </row>
        <row r="2941">
          <cell r="A2941">
            <v>826441</v>
          </cell>
          <cell r="B2941" t="str">
            <v>COPA LOMBO SUI CONG PERD ANGOLA</v>
          </cell>
          <cell r="C2941">
            <v>2.4870000000000001</v>
          </cell>
          <cell r="D2941">
            <v>2.4870000000000001</v>
          </cell>
          <cell r="E2941">
            <v>0</v>
          </cell>
          <cell r="F2941">
            <v>-9.1999999999999971E-2</v>
          </cell>
        </row>
        <row r="2942">
          <cell r="A2942">
            <v>826442</v>
          </cell>
          <cell r="B2942" t="str">
            <v>COSTELA SUI CONG PERD ANG CX 10KG</v>
          </cell>
          <cell r="C2942">
            <v>6.6779999999999999</v>
          </cell>
          <cell r="D2942">
            <v>6.6779999999999999</v>
          </cell>
          <cell r="E2942">
            <v>0</v>
          </cell>
          <cell r="F2942">
            <v>-0.10099999999999998</v>
          </cell>
        </row>
        <row r="2943">
          <cell r="A2943">
            <v>826448</v>
          </cell>
          <cell r="B2943" t="str">
            <v>COXA SOB C/OP 280-300G CURTO PRIME JAPAO</v>
          </cell>
          <cell r="C2943">
            <v>2.0590000000000002</v>
          </cell>
          <cell r="D2943">
            <v>2.0590000000000002</v>
          </cell>
          <cell r="E2943">
            <v>-9.5000000000000001E-2</v>
          </cell>
          <cell r="F2943">
            <v>-7.6000000000000068E-2</v>
          </cell>
        </row>
        <row r="2944">
          <cell r="A2944">
            <v>826481</v>
          </cell>
          <cell r="B2944" t="str">
            <v>ASA 1A JTA FGO TEMP PT 1KG/VAC PERD JAPA</v>
          </cell>
          <cell r="C2944">
            <v>2.8610000000000002</v>
          </cell>
          <cell r="D2944">
            <v>2.8610000000000002</v>
          </cell>
          <cell r="E2944">
            <v>-7.3999999999999996E-2</v>
          </cell>
          <cell r="F2944">
            <v>-8.7999999999999967E-2</v>
          </cell>
        </row>
        <row r="2945">
          <cell r="A2945">
            <v>826482</v>
          </cell>
          <cell r="B2945" t="str">
            <v>ASA 2A JTA FGO TEMP PT 1KG/VAC PERD JAPA</v>
          </cell>
          <cell r="C2945">
            <v>2.7589999999999999</v>
          </cell>
          <cell r="D2945">
            <v>2.7589999999999999</v>
          </cell>
          <cell r="E2945">
            <v>-7.3999999999999996E-2</v>
          </cell>
          <cell r="F2945">
            <v>-8.3999999999999964E-2</v>
          </cell>
        </row>
        <row r="2946">
          <cell r="A2946">
            <v>826484</v>
          </cell>
          <cell r="B2946" t="str">
            <v>FRANGO GRILLER 1000G BAT ILHAS CANARIAS</v>
          </cell>
          <cell r="C2946">
            <v>1.4590000000000001</v>
          </cell>
          <cell r="D2946">
            <v>1.4590000000000001</v>
          </cell>
          <cell r="E2946">
            <v>-0.30499999999999999</v>
          </cell>
          <cell r="F2946">
            <v>-0.05</v>
          </cell>
        </row>
        <row r="2947">
          <cell r="A2947">
            <v>826489</v>
          </cell>
          <cell r="B2947" t="str">
            <v>COXA SOB S/O C/P 230-300G PT 1KG CINGAPU</v>
          </cell>
          <cell r="C2947">
            <v>2.613</v>
          </cell>
          <cell r="D2947">
            <v>2.613</v>
          </cell>
          <cell r="E2947">
            <v>-0.495</v>
          </cell>
          <cell r="F2947">
            <v>-8.1999999999999962E-2</v>
          </cell>
        </row>
        <row r="2948">
          <cell r="A2948">
            <v>826507</v>
          </cell>
          <cell r="B2948" t="str">
            <v>TEPB15 TENDER PERU BATAVO 12PC CX 15KG</v>
          </cell>
          <cell r="C2948">
            <v>14.132</v>
          </cell>
          <cell r="D2948">
            <v>11</v>
          </cell>
          <cell r="E2948">
            <v>0</v>
          </cell>
          <cell r="F2948">
            <v>-1.294</v>
          </cell>
        </row>
        <row r="2949">
          <cell r="A2949">
            <v>826522</v>
          </cell>
          <cell r="B2949" t="str">
            <v>FRANGO GRILLER BORELLA 1100G A.SAUD</v>
          </cell>
          <cell r="C2949">
            <v>1.04</v>
          </cell>
          <cell r="D2949">
            <v>1.04</v>
          </cell>
          <cell r="E2949">
            <v>0</v>
          </cell>
          <cell r="F2949">
            <v>-3.0999999999999972E-2</v>
          </cell>
        </row>
        <row r="2950">
          <cell r="A2950">
            <v>826541</v>
          </cell>
          <cell r="B2950" t="str">
            <v>COPA LOMBO INSTITUCIONAL</v>
          </cell>
          <cell r="C2950">
            <v>7.69</v>
          </cell>
          <cell r="D2950">
            <v>6.6390000000000002</v>
          </cell>
          <cell r="E2950">
            <v>0</v>
          </cell>
          <cell r="F2950">
            <v>-0.44500000000000001</v>
          </cell>
        </row>
        <row r="2951">
          <cell r="A2951">
            <v>826542</v>
          </cell>
          <cell r="B2951" t="str">
            <v>LOMBO INSTITUCIONAL</v>
          </cell>
          <cell r="C2951">
            <v>3.121</v>
          </cell>
          <cell r="D2951">
            <v>3.121</v>
          </cell>
          <cell r="E2951">
            <v>-8.4000000000000005E-2</v>
          </cell>
          <cell r="F2951">
            <v>-0.11200000000000002</v>
          </cell>
        </row>
        <row r="2952">
          <cell r="A2952">
            <v>826562</v>
          </cell>
          <cell r="B2952" t="str">
            <v>825337 ALMONDEGA FGO BAT 12CART CX 6KG</v>
          </cell>
          <cell r="C2952">
            <v>2.8490000000000002</v>
          </cell>
          <cell r="D2952">
            <v>2.423</v>
          </cell>
          <cell r="E2952">
            <v>0</v>
          </cell>
          <cell r="F2952">
            <v>0</v>
          </cell>
        </row>
        <row r="2953">
          <cell r="A2953">
            <v>826585</v>
          </cell>
          <cell r="B2953" t="str">
            <v>825336 SALSICHA FGO FRESKI 3PT CX 6KG</v>
          </cell>
          <cell r="C2953">
            <v>1.5680000000000001</v>
          </cell>
          <cell r="D2953">
            <v>1.3280000000000001</v>
          </cell>
          <cell r="E2953">
            <v>-5.5E-2</v>
          </cell>
          <cell r="F2953">
            <v>0</v>
          </cell>
        </row>
        <row r="2954">
          <cell r="A2954">
            <v>826621</v>
          </cell>
          <cell r="B2954" t="str">
            <v>PEITO S/OPFC CHESTER MET BL 7,5KG ALEMAN</v>
          </cell>
          <cell r="C2954">
            <v>3.4420000000000002</v>
          </cell>
          <cell r="D2954">
            <v>3.4420000000000002</v>
          </cell>
          <cell r="E2954">
            <v>-0.32500000000000001</v>
          </cell>
          <cell r="F2954">
            <v>-0.121</v>
          </cell>
        </row>
        <row r="2955">
          <cell r="A2955">
            <v>826630</v>
          </cell>
          <cell r="B2955" t="str">
            <v>FILE MIGNON SUI TEMP BDJ 454G HONG KONG</v>
          </cell>
          <cell r="C2955">
            <v>2.911</v>
          </cell>
          <cell r="D2955">
            <v>2.911</v>
          </cell>
          <cell r="E2955">
            <v>-8.4000000000000005E-2</v>
          </cell>
          <cell r="F2955">
            <v>-0.10599999999999998</v>
          </cell>
        </row>
        <row r="2956">
          <cell r="A2956">
            <v>826744</v>
          </cell>
          <cell r="B2956" t="str">
            <v>PRESUNTO TENRO S/O PERU</v>
          </cell>
          <cell r="C2956">
            <v>11.596096440872561</v>
          </cell>
          <cell r="D2956">
            <v>9.0494433663987035</v>
          </cell>
          <cell r="E2956">
            <v>-0.16219312192755928</v>
          </cell>
          <cell r="F2956">
            <v>-1.115912734172734</v>
          </cell>
        </row>
        <row r="2957">
          <cell r="A2957">
            <v>826774</v>
          </cell>
          <cell r="B2957" t="str">
            <v>COXA SOB C/OP 205-220G ITF PERD CINGAPUR</v>
          </cell>
          <cell r="C2957">
            <v>2.242</v>
          </cell>
          <cell r="D2957">
            <v>2.242</v>
          </cell>
          <cell r="E2957">
            <v>-0.47799999999999998</v>
          </cell>
          <cell r="F2957">
            <v>-0.06</v>
          </cell>
        </row>
        <row r="2958">
          <cell r="A2958">
            <v>826783</v>
          </cell>
          <cell r="B2958" t="str">
            <v>SALSICHA FGO PT 500G PERD E.A.U.</v>
          </cell>
          <cell r="C2958">
            <v>2.0529999999999999</v>
          </cell>
          <cell r="D2958">
            <v>2.0529999999999999</v>
          </cell>
          <cell r="E2958">
            <v>-0.52900000000000003</v>
          </cell>
          <cell r="F2958">
            <v>-6.9999999999999951E-2</v>
          </cell>
        </row>
        <row r="2959">
          <cell r="A2959">
            <v>826875</v>
          </cell>
          <cell r="B2959" t="str">
            <v>SALSICHA FGO PT 5KG PERD ANGOLA</v>
          </cell>
          <cell r="C2959">
            <v>2.3090000000000002</v>
          </cell>
          <cell r="D2959">
            <v>2.3090000000000002</v>
          </cell>
          <cell r="E2959">
            <v>-0.24399999999999999</v>
          </cell>
          <cell r="F2959">
            <v>-7.2999999999999954E-2</v>
          </cell>
        </row>
        <row r="2960">
          <cell r="A2960">
            <v>826948</v>
          </cell>
          <cell r="B2960" t="str">
            <v>PEITO S/OPFC MET 175-200G BL 7,5KG ALEMA</v>
          </cell>
          <cell r="C2960">
            <v>3.7250000000000001</v>
          </cell>
          <cell r="D2960">
            <v>3.7250000000000001</v>
          </cell>
          <cell r="E2960">
            <v>-0.28299999999999997</v>
          </cell>
          <cell r="F2960">
            <v>-0.121</v>
          </cell>
        </row>
        <row r="2961">
          <cell r="A2961">
            <v>827199</v>
          </cell>
          <cell r="B2961" t="str">
            <v>PRESUNTO TENDER SUINO BATAVO</v>
          </cell>
          <cell r="C2961">
            <v>11.596096440872561</v>
          </cell>
          <cell r="D2961">
            <v>9.0494433663987035</v>
          </cell>
          <cell r="E2961">
            <v>-0.16219312192755928</v>
          </cell>
          <cell r="F2961">
            <v>-1.115912734172734</v>
          </cell>
        </row>
        <row r="2962">
          <cell r="A2962">
            <v>827200</v>
          </cell>
          <cell r="B2962" t="str">
            <v>3646 PRESUNTO TENDER BATAVO CX 5KG</v>
          </cell>
          <cell r="C2962">
            <v>3.4249999999999998</v>
          </cell>
          <cell r="D2962">
            <v>2.883</v>
          </cell>
          <cell r="E2962">
            <v>0</v>
          </cell>
          <cell r="F2962">
            <v>0</v>
          </cell>
        </row>
        <row r="2963">
          <cell r="A2963">
            <v>827385</v>
          </cell>
          <cell r="B2963" t="str">
            <v>PEITO S/OPFC MET DESCL BL 7,5KG PERD HOL</v>
          </cell>
          <cell r="C2963">
            <v>3.944</v>
          </cell>
          <cell r="D2963">
            <v>3.944</v>
          </cell>
          <cell r="E2963">
            <v>-0.317</v>
          </cell>
          <cell r="F2963">
            <v>-0.12599999999999989</v>
          </cell>
        </row>
        <row r="2964">
          <cell r="A2964">
            <v>827421</v>
          </cell>
          <cell r="B2964" t="str">
            <v>BACON DEF FAT VAC PERD HONG KONG CX 7KG</v>
          </cell>
          <cell r="C2964">
            <v>6.0510000000000002</v>
          </cell>
          <cell r="D2964">
            <v>6.0510000000000002</v>
          </cell>
          <cell r="E2964">
            <v>-7.2999999999999995E-2</v>
          </cell>
          <cell r="F2964">
            <v>-0.245</v>
          </cell>
        </row>
        <row r="2965">
          <cell r="A2965">
            <v>827444</v>
          </cell>
          <cell r="B2965" t="str">
            <v>FRANGO GRILLER 1100G PERD CANARIAS</v>
          </cell>
          <cell r="C2965">
            <v>1.6120000000000001</v>
          </cell>
          <cell r="D2965">
            <v>1.6120000000000001</v>
          </cell>
          <cell r="E2965">
            <v>-0.311</v>
          </cell>
          <cell r="F2965">
            <v>-5.2999999999999999E-2</v>
          </cell>
        </row>
        <row r="2966">
          <cell r="A2966">
            <v>827445</v>
          </cell>
          <cell r="B2966" t="str">
            <v>FRANGO GRILLER 1200G PERD CANARIAS</v>
          </cell>
          <cell r="C2966">
            <v>1.6120000000000001</v>
          </cell>
          <cell r="D2966">
            <v>1.6120000000000001</v>
          </cell>
          <cell r="E2966">
            <v>-0.311</v>
          </cell>
          <cell r="F2966">
            <v>-5.2999999999999999E-2</v>
          </cell>
        </row>
        <row r="2967">
          <cell r="A2967">
            <v>827446</v>
          </cell>
          <cell r="B2967" t="str">
            <v>FRANGO GRILLER 1300G PERD CANARIAS</v>
          </cell>
          <cell r="C2967">
            <v>1.61</v>
          </cell>
          <cell r="D2967">
            <v>1.61</v>
          </cell>
          <cell r="E2967">
            <v>-0.30599999999999999</v>
          </cell>
          <cell r="F2967">
            <v>-5.3000000000000005E-2</v>
          </cell>
        </row>
        <row r="2968">
          <cell r="A2968">
            <v>827447</v>
          </cell>
          <cell r="B2968" t="str">
            <v>COXA SOB C/OP 200G/UP ITF PERD CANARIAS</v>
          </cell>
          <cell r="C2968">
            <v>1.841</v>
          </cell>
          <cell r="D2968">
            <v>1.841</v>
          </cell>
          <cell r="E2968">
            <v>-0.35499999999999998</v>
          </cell>
          <cell r="F2968">
            <v>-5.2999999999999999E-2</v>
          </cell>
        </row>
        <row r="2969">
          <cell r="A2969">
            <v>827448</v>
          </cell>
          <cell r="B2969" t="str">
            <v>PEITO S/OPFC FAT 50-90G IND/VAC PERD CAN</v>
          </cell>
          <cell r="C2969">
            <v>3.8690000000000002</v>
          </cell>
          <cell r="D2969">
            <v>3.8690000000000002</v>
          </cell>
          <cell r="E2969">
            <v>-0.36099999999999999</v>
          </cell>
          <cell r="F2969">
            <v>-0.129</v>
          </cell>
        </row>
        <row r="2970">
          <cell r="A2970">
            <v>827518</v>
          </cell>
          <cell r="B2970" t="str">
            <v>COXA C/OP DRUMSTICK PT 1KG IF PERD CANAR</v>
          </cell>
          <cell r="C2970">
            <v>2.0590000000000002</v>
          </cell>
          <cell r="D2970">
            <v>2.0590000000000002</v>
          </cell>
          <cell r="E2970">
            <v>-0.35099999999999998</v>
          </cell>
          <cell r="F2970">
            <v>-6.5000000000000002E-2</v>
          </cell>
        </row>
        <row r="2971">
          <cell r="A2971">
            <v>827561</v>
          </cell>
          <cell r="B2971" t="str">
            <v>COXA C/OP DRUMSTICK PT 1KG IF PERD CANAR</v>
          </cell>
          <cell r="C2971">
            <v>2.14</v>
          </cell>
          <cell r="D2971">
            <v>2.14</v>
          </cell>
          <cell r="E2971">
            <v>-0.34899999999999998</v>
          </cell>
          <cell r="F2971">
            <v>-6.2999999999999987E-2</v>
          </cell>
        </row>
        <row r="2972">
          <cell r="A2972">
            <v>827562</v>
          </cell>
          <cell r="B2972" t="str">
            <v>ASA 1A JTA DRUM PT 1KG IF PERD CANARIAS</v>
          </cell>
          <cell r="C2972">
            <v>2.14</v>
          </cell>
          <cell r="D2972">
            <v>2.14</v>
          </cell>
          <cell r="E2972">
            <v>-0.34899999999999998</v>
          </cell>
          <cell r="F2972">
            <v>-6.3000000000000014E-2</v>
          </cell>
        </row>
        <row r="2973">
          <cell r="A2973">
            <v>827565</v>
          </cell>
          <cell r="B2973" t="str">
            <v>FILE PEITO C/TEND SASAMI BL 7,5KG IRLAND</v>
          </cell>
          <cell r="C2973">
            <v>3.1949999999999998</v>
          </cell>
          <cell r="D2973">
            <v>3.1949999999999998</v>
          </cell>
          <cell r="E2973">
            <v>-0.25800000000000001</v>
          </cell>
          <cell r="F2973">
            <v>-0.1070000000000001</v>
          </cell>
        </row>
        <row r="2974">
          <cell r="A2974">
            <v>827608</v>
          </cell>
          <cell r="B2974" t="str">
            <v>PEITO S/OPFC MET 100G/UP SALM PERD HOLAN</v>
          </cell>
          <cell r="C2974">
            <v>3.9060000000000001</v>
          </cell>
          <cell r="D2974">
            <v>3.9060000000000001</v>
          </cell>
          <cell r="E2974">
            <v>-0.312</v>
          </cell>
          <cell r="F2974">
            <v>-0.125</v>
          </cell>
        </row>
        <row r="2975">
          <cell r="A2975">
            <v>827621</v>
          </cell>
          <cell r="B2975" t="str">
            <v>FILEZINHO FGO C/TENDAO SALM BL 7,5KG ITA</v>
          </cell>
          <cell r="C2975">
            <v>3.6280000000000001</v>
          </cell>
          <cell r="D2975">
            <v>3.6280000000000001</v>
          </cell>
          <cell r="E2975">
            <v>-0.307</v>
          </cell>
          <cell r="F2975">
            <v>-0.11700000000000005</v>
          </cell>
        </row>
        <row r="2976">
          <cell r="A2976">
            <v>827772</v>
          </cell>
          <cell r="B2976" t="str">
            <v>COXA SOB S/O C/P 240-280G PT 1KG/VAC CIN</v>
          </cell>
          <cell r="C2976">
            <v>2.6269999999999998</v>
          </cell>
          <cell r="D2976">
            <v>2.6269999999999998</v>
          </cell>
          <cell r="E2976">
            <v>-0.47699999999999998</v>
          </cell>
          <cell r="F2976">
            <v>-9.0999999999999998E-2</v>
          </cell>
        </row>
        <row r="2977">
          <cell r="A2977">
            <v>827784</v>
          </cell>
          <cell r="B2977" t="str">
            <v>COXA SOB C/OP 200G/UP ITF PERD CANARIAS</v>
          </cell>
          <cell r="C2977">
            <v>1.343</v>
          </cell>
          <cell r="D2977">
            <v>1.343</v>
          </cell>
          <cell r="E2977">
            <v>-0.309</v>
          </cell>
          <cell r="F2977">
            <v>-0.05</v>
          </cell>
        </row>
        <row r="2978">
          <cell r="A2978">
            <v>827785</v>
          </cell>
          <cell r="B2978" t="str">
            <v>PEITO S/OPC C/F 250G/UP IND/VAC PERD CAN</v>
          </cell>
          <cell r="C2978">
            <v>3.45</v>
          </cell>
          <cell r="D2978">
            <v>3.45</v>
          </cell>
          <cell r="E2978">
            <v>-0.36</v>
          </cell>
          <cell r="F2978">
            <v>-0.05</v>
          </cell>
        </row>
        <row r="2979">
          <cell r="A2979">
            <v>827845</v>
          </cell>
          <cell r="B2979" t="str">
            <v>COXA SOBREC S/OP IND/VAC PERD CANARIAS</v>
          </cell>
          <cell r="C2979">
            <v>2.9420000000000002</v>
          </cell>
          <cell r="D2979">
            <v>2.9420000000000002</v>
          </cell>
          <cell r="E2979">
            <v>-0.37</v>
          </cell>
          <cell r="F2979">
            <v>-9.5000000000000001E-2</v>
          </cell>
        </row>
        <row r="2980">
          <cell r="A2980">
            <v>827846</v>
          </cell>
          <cell r="B2980" t="str">
            <v>COXA SOBREC S/OP ITF PERD CANARIAS</v>
          </cell>
          <cell r="C2980">
            <v>2.8580000000000001</v>
          </cell>
          <cell r="D2980">
            <v>2.8580000000000001</v>
          </cell>
          <cell r="E2980">
            <v>-0.34300000000000003</v>
          </cell>
          <cell r="F2980">
            <v>-8.4000000000000019E-2</v>
          </cell>
        </row>
        <row r="2981">
          <cell r="A2981">
            <v>827953</v>
          </cell>
          <cell r="B2981" t="str">
            <v>ASA CHESTER 1A E 2A JTA 130-180G ITF HOL</v>
          </cell>
          <cell r="C2981">
            <v>2.5609999999999999</v>
          </cell>
          <cell r="D2981">
            <v>2.5609999999999999</v>
          </cell>
          <cell r="E2981">
            <v>-0.26100000000000001</v>
          </cell>
          <cell r="F2981">
            <v>-8.6000000000000076E-2</v>
          </cell>
        </row>
        <row r="2982">
          <cell r="A2982">
            <v>827957</v>
          </cell>
          <cell r="B2982" t="str">
            <v>SOBREC S/OP CUBOS 20-25G TAM/MAR/COZ JAP</v>
          </cell>
          <cell r="C2982">
            <v>6.01</v>
          </cell>
          <cell r="D2982">
            <v>6.01</v>
          </cell>
          <cell r="E2982">
            <v>-0.14399999999999999</v>
          </cell>
          <cell r="F2982">
            <v>-0.21799999999999997</v>
          </cell>
        </row>
        <row r="2983">
          <cell r="A2983">
            <v>827958</v>
          </cell>
          <cell r="B2983" t="str">
            <v>ASA 2A JTA TEBANAKA TAM/MAR/COZ PERD JAP</v>
          </cell>
          <cell r="C2983">
            <v>6.01</v>
          </cell>
          <cell r="D2983">
            <v>6.01</v>
          </cell>
          <cell r="E2983">
            <v>-0.14399999999999999</v>
          </cell>
          <cell r="F2983">
            <v>-0.21699999999999964</v>
          </cell>
        </row>
        <row r="2984">
          <cell r="A2984">
            <v>827959</v>
          </cell>
          <cell r="B2984" t="str">
            <v>COXA SOB C/OP 300-400G ITF BORELLA CINGA</v>
          </cell>
          <cell r="C2984">
            <v>1.5249999999999999</v>
          </cell>
          <cell r="D2984">
            <v>1.5249999999999999</v>
          </cell>
          <cell r="E2984">
            <v>-0.44</v>
          </cell>
          <cell r="F2984">
            <v>-4.8000000000000043E-2</v>
          </cell>
        </row>
        <row r="2985">
          <cell r="A2985">
            <v>828000</v>
          </cell>
          <cell r="B2985" t="str">
            <v>FRANGO GRILLER 1500G HALL</v>
          </cell>
          <cell r="C2985">
            <v>2.3109999999999999</v>
          </cell>
          <cell r="D2985">
            <v>2.3109999999999999</v>
          </cell>
          <cell r="E2985">
            <v>-0.47899999999999998</v>
          </cell>
          <cell r="F2985">
            <v>-7.1000000000000008E-2</v>
          </cell>
        </row>
        <row r="2986">
          <cell r="A2986">
            <v>828001</v>
          </cell>
          <cell r="B2986" t="str">
            <v>PEITO S/OPFC MET 95G TAMB/COZ/EMP INGLAT</v>
          </cell>
          <cell r="C2986">
            <v>4.4880000000000004</v>
          </cell>
          <cell r="D2986">
            <v>4.4880000000000004</v>
          </cell>
          <cell r="E2986">
            <v>-0.34799999999999998</v>
          </cell>
          <cell r="F2986">
            <v>-0.17800000000000005</v>
          </cell>
        </row>
        <row r="2987">
          <cell r="A2987">
            <v>828069</v>
          </cell>
          <cell r="B2987" t="str">
            <v>FRANGO DES S/ASA/SAMB 800-1400G BAHRAIN</v>
          </cell>
          <cell r="C2987">
            <v>2.7789999999999999</v>
          </cell>
          <cell r="D2987">
            <v>2.7789999999999999</v>
          </cell>
          <cell r="E2987">
            <v>-0.54600000000000004</v>
          </cell>
          <cell r="F2987">
            <v>-0.10600000000000001</v>
          </cell>
        </row>
        <row r="2988">
          <cell r="A2988">
            <v>828112</v>
          </cell>
          <cell r="B2988" t="str">
            <v>COXA C/OP DRUMSTICK PT 1KG IF PERD CANAR</v>
          </cell>
          <cell r="C2988">
            <v>2.0590000000000002</v>
          </cell>
          <cell r="D2988">
            <v>2.0590000000000002</v>
          </cell>
          <cell r="E2988">
            <v>-0.35099999999999998</v>
          </cell>
          <cell r="F2988">
            <v>-6.4999999999999947E-2</v>
          </cell>
        </row>
        <row r="2989">
          <cell r="A2989">
            <v>828552</v>
          </cell>
          <cell r="B2989" t="str">
            <v>COSTELA SUINO IWP PERD HONG KONG</v>
          </cell>
          <cell r="C2989">
            <v>3.3969999999999998</v>
          </cell>
          <cell r="D2989">
            <v>3.3969999999999998</v>
          </cell>
          <cell r="E2989">
            <v>-6.8000000000000005E-2</v>
          </cell>
          <cell r="F2989">
            <v>-9.6999999999999975E-2</v>
          </cell>
        </row>
        <row r="2990">
          <cell r="A2990">
            <v>828573</v>
          </cell>
          <cell r="B2990" t="str">
            <v>PEITO S/OPFC MET 125G TAMB/COZ/GREL INGL</v>
          </cell>
          <cell r="C2990">
            <v>6.1130000000000004</v>
          </cell>
          <cell r="D2990">
            <v>6.1130000000000004</v>
          </cell>
          <cell r="E2990">
            <v>-0.33500000000000002</v>
          </cell>
          <cell r="F2990">
            <v>-0.2430000000000001</v>
          </cell>
        </row>
        <row r="2991">
          <cell r="A2991">
            <v>828580</v>
          </cell>
          <cell r="B2991" t="str">
            <v>COXA SOB S/O C/P 200-250G PT 5KG/VAC CIN</v>
          </cell>
          <cell r="C2991">
            <v>2.52</v>
          </cell>
          <cell r="D2991">
            <v>2.52</v>
          </cell>
          <cell r="E2991">
            <v>-0.49399999999999999</v>
          </cell>
          <cell r="F2991">
            <v>-7.9000000000000015E-2</v>
          </cell>
        </row>
        <row r="2992">
          <cell r="A2992">
            <v>828633</v>
          </cell>
          <cell r="B2992" t="str">
            <v>SHC005 SALAMINHO CACULA PERD CX 5KG</v>
          </cell>
          <cell r="C2992">
            <v>5.2439999999999998</v>
          </cell>
          <cell r="D2992">
            <v>3.8170000000000002</v>
          </cell>
          <cell r="E2992">
            <v>-0.19400000000000001</v>
          </cell>
          <cell r="F2992">
            <v>-0.5970000000000002</v>
          </cell>
        </row>
        <row r="2993">
          <cell r="A2993">
            <v>828688</v>
          </cell>
          <cell r="B2993" t="str">
            <v>PIZZA CALABRESA CART 460G PERD HONG KONG</v>
          </cell>
          <cell r="C2993">
            <v>3.8719999999999999</v>
          </cell>
          <cell r="D2993">
            <v>3.8719999999999999</v>
          </cell>
          <cell r="E2993">
            <v>-8.9999999999999993E-3</v>
          </cell>
          <cell r="F2993">
            <v>0</v>
          </cell>
        </row>
        <row r="2994">
          <cell r="A2994">
            <v>828689</v>
          </cell>
          <cell r="B2994" t="str">
            <v>PIZZA PRES/CHAMP CART 460G PERD HONG KON</v>
          </cell>
          <cell r="C2994">
            <v>4.51</v>
          </cell>
          <cell r="D2994">
            <v>4.51</v>
          </cell>
          <cell r="E2994">
            <v>-8.9999999999999993E-3</v>
          </cell>
          <cell r="F2994">
            <v>0</v>
          </cell>
        </row>
        <row r="2995">
          <cell r="A2995">
            <v>828692</v>
          </cell>
          <cell r="B2995" t="str">
            <v>ASA INTEIRA ITF "GRAU B" PERD AFRICA SUL</v>
          </cell>
          <cell r="C2995">
            <v>0.97799999999999998</v>
          </cell>
          <cell r="D2995">
            <v>0.97799999999999998</v>
          </cell>
          <cell r="E2995">
            <v>-0.40899999999999997</v>
          </cell>
          <cell r="F2995">
            <v>-2.8000000000000011E-2</v>
          </cell>
        </row>
        <row r="2996">
          <cell r="A2996">
            <v>828746</v>
          </cell>
          <cell r="B2996" t="str">
            <v>LINGUA SUINA "GRAU B" ITF PERD HONG KONG</v>
          </cell>
          <cell r="C2996">
            <v>2.0009999999999999</v>
          </cell>
          <cell r="D2996">
            <v>2.0009999999999999</v>
          </cell>
          <cell r="E2996">
            <v>-6.8000000000000005E-2</v>
          </cell>
          <cell r="F2996">
            <v>-6.1000000000000054E-2</v>
          </cell>
        </row>
        <row r="2997">
          <cell r="A2997">
            <v>828755</v>
          </cell>
          <cell r="B2997" t="str">
            <v>PEITO S/OPFC MET IF PT 10KG PERD FRANCA</v>
          </cell>
          <cell r="C2997">
            <v>4.5350000000000001</v>
          </cell>
          <cell r="D2997">
            <v>4.5350000000000001</v>
          </cell>
          <cell r="E2997">
            <v>-0.34200000000000003</v>
          </cell>
          <cell r="F2997">
            <v>-0.14499999999999999</v>
          </cell>
        </row>
        <row r="2998">
          <cell r="A2998">
            <v>828756</v>
          </cell>
          <cell r="B2998" t="str">
            <v>PEITO S/OPFC MET BL 7,5KG PERD FRANCA</v>
          </cell>
          <cell r="C2998">
            <v>4.3440000000000003</v>
          </cell>
          <cell r="D2998">
            <v>4.3440000000000003</v>
          </cell>
          <cell r="E2998">
            <v>-0.30199999999999999</v>
          </cell>
          <cell r="F2998">
            <v>-0.12199999999999989</v>
          </cell>
        </row>
        <row r="2999">
          <cell r="A2999">
            <v>828844</v>
          </cell>
          <cell r="B2999" t="str">
            <v>CHESTER INT S/TEMP S/M 6PC PERD CINGAPUR</v>
          </cell>
          <cell r="C2999">
            <v>3.4260000000000002</v>
          </cell>
          <cell r="D2999">
            <v>3.4260000000000002</v>
          </cell>
          <cell r="E2999">
            <v>-0.5</v>
          </cell>
          <cell r="F2999">
            <v>-0.1339999999999999</v>
          </cell>
        </row>
        <row r="3000">
          <cell r="A3000">
            <v>828845</v>
          </cell>
          <cell r="B3000" t="str">
            <v>PEITO S/OPC C/F IND/VAC PERD CANARIAS</v>
          </cell>
          <cell r="C3000">
            <v>4.01</v>
          </cell>
          <cell r="D3000">
            <v>4.01</v>
          </cell>
          <cell r="E3000">
            <v>-0.39300000000000002</v>
          </cell>
          <cell r="F3000">
            <v>-0.15900000000000014</v>
          </cell>
        </row>
        <row r="3001">
          <cell r="A3001">
            <v>828846</v>
          </cell>
          <cell r="B3001" t="str">
            <v>ASA 1A JTA DRUM PT 1KG IF PERD CANARIAS</v>
          </cell>
          <cell r="C3001">
            <v>1.9410000000000001</v>
          </cell>
          <cell r="D3001">
            <v>1.9410000000000001</v>
          </cell>
          <cell r="E3001">
            <v>-0.34200000000000003</v>
          </cell>
          <cell r="F3001">
            <v>-6.0999999999999999E-2</v>
          </cell>
        </row>
        <row r="3002">
          <cell r="A3002">
            <v>828847</v>
          </cell>
          <cell r="B3002" t="str">
            <v>COXA C/OP DRUMSTICK PT 1KG IF PERD CANAR</v>
          </cell>
          <cell r="C3002">
            <v>1.9410000000000001</v>
          </cell>
          <cell r="D3002">
            <v>1.9410000000000001</v>
          </cell>
          <cell r="E3002">
            <v>-0.34200000000000003</v>
          </cell>
          <cell r="F3002">
            <v>-6.2E-2</v>
          </cell>
        </row>
        <row r="3003">
          <cell r="A3003">
            <v>828854</v>
          </cell>
          <cell r="B3003" t="str">
            <v>PE FGO S/CANELA "GRAU B" ITF PERD AFRICA</v>
          </cell>
          <cell r="C3003">
            <v>0.61099999999999999</v>
          </cell>
          <cell r="D3003">
            <v>0.61099999999999999</v>
          </cell>
          <cell r="E3003">
            <v>-0.39100000000000001</v>
          </cell>
          <cell r="F3003">
            <v>-0.02</v>
          </cell>
        </row>
        <row r="3004">
          <cell r="A3004">
            <v>828855</v>
          </cell>
          <cell r="B3004" t="str">
            <v>COXA SOBREC S/OP ITF PERD ILHAS CANARIAS</v>
          </cell>
          <cell r="C3004">
            <v>2.7690000000000001</v>
          </cell>
          <cell r="D3004">
            <v>2.7690000000000001</v>
          </cell>
          <cell r="E3004">
            <v>-0.37</v>
          </cell>
          <cell r="F3004">
            <v>-0.10799999999999998</v>
          </cell>
        </row>
        <row r="3005">
          <cell r="A3005">
            <v>828856</v>
          </cell>
          <cell r="B3005" t="str">
            <v>COXA SOBREC S/OP IND/VAC PERD CANARIAS</v>
          </cell>
          <cell r="C3005">
            <v>2.8639999999999999</v>
          </cell>
          <cell r="D3005">
            <v>2.8639999999999999</v>
          </cell>
          <cell r="E3005">
            <v>-0.372</v>
          </cell>
          <cell r="F3005">
            <v>-0.11199999999999999</v>
          </cell>
        </row>
        <row r="3006">
          <cell r="A3006">
            <v>828857</v>
          </cell>
          <cell r="B3006" t="str">
            <v>PEITO S/OPC C/F IND/VAC PERD CANARIAS</v>
          </cell>
          <cell r="C3006">
            <v>5.1950000000000003</v>
          </cell>
          <cell r="D3006">
            <v>5.1950000000000003</v>
          </cell>
          <cell r="E3006">
            <v>-0.38500000000000001</v>
          </cell>
          <cell r="F3006">
            <v>-0.15599999999999992</v>
          </cell>
        </row>
        <row r="3007">
          <cell r="A3007">
            <v>828858</v>
          </cell>
          <cell r="B3007" t="str">
            <v>PEITO S/OPC C/F ITF PERD ILHAS CANARIAS</v>
          </cell>
          <cell r="C3007">
            <v>5.093</v>
          </cell>
          <cell r="D3007">
            <v>5.093</v>
          </cell>
          <cell r="E3007">
            <v>-0.38400000000000001</v>
          </cell>
          <cell r="F3007">
            <v>-0.15199999999999991</v>
          </cell>
        </row>
        <row r="3008">
          <cell r="A3008">
            <v>828902</v>
          </cell>
          <cell r="B3008" t="str">
            <v>COXA SOBREC S/OP IND/VAC PERD CANARIAS</v>
          </cell>
          <cell r="C3008">
            <v>2.9649999999999999</v>
          </cell>
          <cell r="D3008">
            <v>2.9649999999999999</v>
          </cell>
          <cell r="E3008">
            <v>-0.377</v>
          </cell>
          <cell r="F3008">
            <v>-8.6999999999999966E-2</v>
          </cell>
        </row>
        <row r="3009">
          <cell r="A3009">
            <v>828903</v>
          </cell>
          <cell r="B3009" t="str">
            <v>COXA SOBREC S/OP ITF PERD ILHAS CANARIAS</v>
          </cell>
          <cell r="C3009">
            <v>2.863</v>
          </cell>
          <cell r="D3009">
            <v>2.863</v>
          </cell>
          <cell r="E3009">
            <v>-0.375</v>
          </cell>
          <cell r="F3009">
            <v>-8.4000000000000019E-2</v>
          </cell>
        </row>
        <row r="3010">
          <cell r="A3010">
            <v>828904</v>
          </cell>
          <cell r="B3010" t="str">
            <v>COXA C/OP DRUMSTICK PT 1KG IF PERD CANAR</v>
          </cell>
          <cell r="C3010">
            <v>2.1480000000000001</v>
          </cell>
          <cell r="D3010">
            <v>2.1480000000000001</v>
          </cell>
          <cell r="E3010">
            <v>-0.36099999999999999</v>
          </cell>
          <cell r="F3010">
            <v>-6.3E-2</v>
          </cell>
        </row>
        <row r="3011">
          <cell r="A3011">
            <v>828905</v>
          </cell>
          <cell r="B3011" t="str">
            <v>ASA 1A JTA DRUM PT 1KG IF PERD CANARIAS</v>
          </cell>
          <cell r="C3011">
            <v>2.1480000000000001</v>
          </cell>
          <cell r="D3011">
            <v>2.1480000000000001</v>
          </cell>
          <cell r="E3011">
            <v>-0.36099999999999999</v>
          </cell>
          <cell r="F3011">
            <v>-6.3E-2</v>
          </cell>
        </row>
        <row r="3012">
          <cell r="A3012">
            <v>828906</v>
          </cell>
          <cell r="B3012" t="str">
            <v>PEITO S/OPC C/F IND/VAC PERD CANARIAS</v>
          </cell>
          <cell r="C3012">
            <v>5.2140000000000004</v>
          </cell>
          <cell r="D3012">
            <v>5.2140000000000004</v>
          </cell>
          <cell r="E3012">
            <v>-0.42299999999999999</v>
          </cell>
          <cell r="F3012">
            <v>-0.15599999999999992</v>
          </cell>
        </row>
        <row r="3013">
          <cell r="A3013">
            <v>828907</v>
          </cell>
          <cell r="B3013" t="str">
            <v>PEITO S/OPC C/F ITF PERD ILHAS CANARIAS</v>
          </cell>
          <cell r="C3013">
            <v>5.1120000000000001</v>
          </cell>
          <cell r="D3013">
            <v>5.1120000000000001</v>
          </cell>
          <cell r="E3013">
            <v>-0.42099999999999999</v>
          </cell>
          <cell r="F3013">
            <v>-0.15399999999999991</v>
          </cell>
        </row>
        <row r="3014">
          <cell r="A3014">
            <v>828919</v>
          </cell>
          <cell r="B3014" t="str">
            <v>COXA SOBREC S/OP IND/VAC PERD CANARIAS</v>
          </cell>
          <cell r="C3014">
            <v>2.8639999999999999</v>
          </cell>
          <cell r="D3014">
            <v>2.8639999999999999</v>
          </cell>
          <cell r="E3014">
            <v>-0.36699999999999999</v>
          </cell>
          <cell r="F3014">
            <v>-0.11200000000000002</v>
          </cell>
        </row>
        <row r="3015">
          <cell r="A3015">
            <v>828949</v>
          </cell>
          <cell r="B3015" t="str">
            <v>FRANGO GRILLER 1400G AL-NOOR QATAR</v>
          </cell>
          <cell r="C3015">
            <v>2.0049999999999999</v>
          </cell>
          <cell r="D3015">
            <v>2.0049999999999999</v>
          </cell>
          <cell r="E3015">
            <v>-0.50800000000000001</v>
          </cell>
          <cell r="F3015">
            <v>-7.4999999999999997E-2</v>
          </cell>
        </row>
        <row r="3016">
          <cell r="A3016">
            <v>828982</v>
          </cell>
          <cell r="B3016" t="str">
            <v>PEITO S/OPFC MET DESCL SALM BL 7,5KG ITA</v>
          </cell>
          <cell r="C3016">
            <v>3.8929999999999998</v>
          </cell>
          <cell r="D3016">
            <v>3.8929999999999998</v>
          </cell>
          <cell r="E3016">
            <v>-0.315</v>
          </cell>
          <cell r="F3016">
            <v>-0.11599999999999999</v>
          </cell>
        </row>
        <row r="3017">
          <cell r="A3017">
            <v>829053</v>
          </cell>
          <cell r="B3017" t="str">
            <v>PEITO S/OPC C/F IND/VAC PERD CANARIAS</v>
          </cell>
          <cell r="C3017">
            <v>5.0279999999999996</v>
          </cell>
          <cell r="D3017">
            <v>5.0279999999999996</v>
          </cell>
          <cell r="E3017">
            <v>-0.42899999999999999</v>
          </cell>
          <cell r="F3017">
            <v>-0.16099999999999981</v>
          </cell>
        </row>
        <row r="3018">
          <cell r="A3018">
            <v>829055</v>
          </cell>
          <cell r="B3018" t="str">
            <v>FIGADO FGO BDJ 500G PERD (JESUMAN) CANAR</v>
          </cell>
          <cell r="C3018">
            <v>1.9410000000000001</v>
          </cell>
          <cell r="D3018">
            <v>1.9410000000000001</v>
          </cell>
          <cell r="E3018">
            <v>-0.34100000000000003</v>
          </cell>
          <cell r="F3018">
            <v>-6.1000000000000054E-2</v>
          </cell>
        </row>
        <row r="3019">
          <cell r="A3019">
            <v>829148</v>
          </cell>
          <cell r="B3019" t="str">
            <v>COXA SOB C/OP 350-400G ITF PERD CINGAPUR</v>
          </cell>
          <cell r="C3019">
            <v>1.742</v>
          </cell>
          <cell r="D3019">
            <v>1.742</v>
          </cell>
          <cell r="E3019">
            <v>-0.47699999999999998</v>
          </cell>
          <cell r="F3019">
            <v>-6.5000000000000002E-2</v>
          </cell>
        </row>
        <row r="3020">
          <cell r="A3020">
            <v>829205</v>
          </cell>
          <cell r="B3020" t="str">
            <v>PEITO S/OPFC MET 120G/UP TAMB BOREL INGL</v>
          </cell>
          <cell r="C3020">
            <v>4.3520000000000003</v>
          </cell>
          <cell r="D3020">
            <v>4.3520000000000003</v>
          </cell>
          <cell r="E3020">
            <v>-0.32100000000000001</v>
          </cell>
          <cell r="F3020">
            <v>-0.14100000000000001</v>
          </cell>
        </row>
        <row r="3021">
          <cell r="A3021">
            <v>829351</v>
          </cell>
          <cell r="B3021" t="str">
            <v>DFE003 COXINHA DA ASA EMP PERD PT 1KG</v>
          </cell>
          <cell r="C3021">
            <v>5.1479999999999997</v>
          </cell>
          <cell r="D3021">
            <v>3.7509999999999999</v>
          </cell>
          <cell r="E3021">
            <v>-0.192</v>
          </cell>
          <cell r="F3021">
            <v>-0.59400000000000008</v>
          </cell>
        </row>
        <row r="3022">
          <cell r="A3022">
            <v>829375</v>
          </cell>
          <cell r="B3022" t="str">
            <v>COXA SOBREC S/OP IND/VAC PERD CANARIAS</v>
          </cell>
          <cell r="C3022">
            <v>2.9910000000000001</v>
          </cell>
          <cell r="D3022">
            <v>2.9910000000000001</v>
          </cell>
          <cell r="E3022">
            <v>-0.371</v>
          </cell>
          <cell r="F3022">
            <v>-9.5999999999999974E-2</v>
          </cell>
        </row>
        <row r="3023">
          <cell r="A3023">
            <v>829377</v>
          </cell>
          <cell r="B3023" t="str">
            <v>PEITO S/OPFC FAT 50-90G IND/VAC PERD CAN</v>
          </cell>
          <cell r="C3023">
            <v>4.51</v>
          </cell>
          <cell r="D3023">
            <v>4.51</v>
          </cell>
          <cell r="E3023">
            <v>-0.40400000000000003</v>
          </cell>
          <cell r="F3023">
            <v>-0.14599999999999991</v>
          </cell>
        </row>
        <row r="3024">
          <cell r="A3024">
            <v>829411</v>
          </cell>
          <cell r="B3024" t="str">
            <v>SOBREC S/OP 90-115G PT 2,5KG PERD E.A.U</v>
          </cell>
          <cell r="C3024">
            <v>2.9510000000000001</v>
          </cell>
          <cell r="D3024">
            <v>2.9510000000000001</v>
          </cell>
          <cell r="E3024">
            <v>-0.56599999999999995</v>
          </cell>
          <cell r="F3024">
            <v>-0.08</v>
          </cell>
        </row>
        <row r="3025">
          <cell r="A3025">
            <v>829518</v>
          </cell>
          <cell r="B3025" t="str">
            <v>FRANGO GRILLER 1300G PERD ILHAS CANARIAS</v>
          </cell>
          <cell r="C3025">
            <v>1.9670000000000001</v>
          </cell>
          <cell r="D3025">
            <v>1.9670000000000001</v>
          </cell>
          <cell r="E3025">
            <v>-0.34100000000000003</v>
          </cell>
          <cell r="F3025">
            <v>-5.3999999999999992E-2</v>
          </cell>
        </row>
        <row r="3026">
          <cell r="A3026">
            <v>829544</v>
          </cell>
          <cell r="B3026" t="str">
            <v>PERU INT C/M TEMP 4,1-5KG (F4) BAT CARIB</v>
          </cell>
          <cell r="C3026">
            <v>2.8290000000000002</v>
          </cell>
          <cell r="D3026">
            <v>2.8290000000000002</v>
          </cell>
          <cell r="E3026">
            <v>-7.9000000000000001E-2</v>
          </cell>
          <cell r="F3026">
            <v>0</v>
          </cell>
        </row>
        <row r="3027">
          <cell r="A3027">
            <v>829550</v>
          </cell>
          <cell r="B3027" t="str">
            <v>COXA SOB C/OP 340G/UP CURTO ITF BOR JAP</v>
          </cell>
          <cell r="C3027">
            <v>1.5169999999999999</v>
          </cell>
          <cell r="D3027">
            <v>1.5169999999999999</v>
          </cell>
          <cell r="E3027">
            <v>-0.50600000000000001</v>
          </cell>
          <cell r="F3027">
            <v>-4.4999999999999998E-2</v>
          </cell>
        </row>
        <row r="3028">
          <cell r="A3028">
            <v>829577</v>
          </cell>
          <cell r="B3028" t="str">
            <v>FRANGO GRILLER 1700G HALAL OMAN</v>
          </cell>
          <cell r="C3028">
            <v>2.0979999999999999</v>
          </cell>
          <cell r="D3028">
            <v>2.0979999999999999</v>
          </cell>
          <cell r="E3028">
            <v>-0.52700000000000002</v>
          </cell>
          <cell r="F3028">
            <v>-5.5999999999999994E-2</v>
          </cell>
        </row>
        <row r="3029">
          <cell r="A3029">
            <v>829585</v>
          </cell>
          <cell r="B3029" t="str">
            <v>FIGADO FGO BL 13KG PERD FRANCA</v>
          </cell>
          <cell r="C3029">
            <v>0.75900000000000001</v>
          </cell>
          <cell r="D3029">
            <v>0.75900000000000001</v>
          </cell>
          <cell r="E3029">
            <v>-0.21299999999999999</v>
          </cell>
          <cell r="F3029">
            <v>-2.300000000000002E-2</v>
          </cell>
        </row>
        <row r="3030">
          <cell r="A3030">
            <v>829586</v>
          </cell>
          <cell r="B3030" t="str">
            <v>FIGADO FGO BL 13,6KG PERD FRANCA</v>
          </cell>
          <cell r="C3030">
            <v>0.75900000000000001</v>
          </cell>
          <cell r="D3030">
            <v>0.75900000000000001</v>
          </cell>
          <cell r="E3030">
            <v>-0.20799999999999999</v>
          </cell>
          <cell r="F3030">
            <v>-2.300000000000002E-2</v>
          </cell>
        </row>
        <row r="3031">
          <cell r="A3031">
            <v>829604</v>
          </cell>
          <cell r="B3031" t="str">
            <v>COXA FGO C/OP ITF PERD ANGOLA</v>
          </cell>
          <cell r="C3031">
            <v>1.778</v>
          </cell>
          <cell r="D3031">
            <v>1.778</v>
          </cell>
          <cell r="E3031">
            <v>0</v>
          </cell>
          <cell r="F3031">
            <v>-7.2000000000000008E-2</v>
          </cell>
        </row>
        <row r="3032">
          <cell r="A3032">
            <v>829625</v>
          </cell>
          <cell r="B3032" t="str">
            <v>PIZZA MUSSARELA 12 CART 440G PERD PARAG</v>
          </cell>
          <cell r="C3032">
            <v>7.1230000000000002</v>
          </cell>
          <cell r="D3032">
            <v>7.1230000000000002</v>
          </cell>
          <cell r="E3032">
            <v>0</v>
          </cell>
          <cell r="F3032">
            <v>0</v>
          </cell>
        </row>
        <row r="3033">
          <cell r="A3033">
            <v>829626</v>
          </cell>
          <cell r="B3033" t="str">
            <v>PIZZA CALABRESA 12 CART 460G PERD PARAG</v>
          </cell>
          <cell r="C3033">
            <v>6.069</v>
          </cell>
          <cell r="D3033">
            <v>6.069</v>
          </cell>
          <cell r="E3033">
            <v>0</v>
          </cell>
          <cell r="F3033">
            <v>0</v>
          </cell>
        </row>
        <row r="3034">
          <cell r="A3034">
            <v>829627</v>
          </cell>
          <cell r="B3034" t="str">
            <v>PIZZA PRES/CHAMP 12 CART 460G PERD PARAG</v>
          </cell>
          <cell r="C3034">
            <v>6.1479999999999997</v>
          </cell>
          <cell r="D3034">
            <v>6.1479999999999997</v>
          </cell>
          <cell r="E3034">
            <v>0</v>
          </cell>
          <cell r="F3034">
            <v>0</v>
          </cell>
        </row>
        <row r="3035">
          <cell r="A3035">
            <v>829628</v>
          </cell>
          <cell r="B3035" t="str">
            <v>CHICKEN PIZZA 12 CART 600G PERD PARAGUAI</v>
          </cell>
          <cell r="C3035">
            <v>5.367</v>
          </cell>
          <cell r="D3035">
            <v>5.367</v>
          </cell>
          <cell r="E3035">
            <v>-7.0999999999999994E-2</v>
          </cell>
          <cell r="F3035">
            <v>-0.17499999999999999</v>
          </cell>
        </row>
        <row r="3036">
          <cell r="A3036">
            <v>829629</v>
          </cell>
          <cell r="B3036" t="str">
            <v>MINI CHICKEN QUEIJO POLLOLINDO PARAGUAI</v>
          </cell>
          <cell r="C3036">
            <v>4.1959999999999997</v>
          </cell>
          <cell r="D3036">
            <v>4.1959999999999997</v>
          </cell>
          <cell r="E3036">
            <v>-7.0999999999999994E-2</v>
          </cell>
          <cell r="F3036">
            <v>-0.13700000000000001</v>
          </cell>
        </row>
        <row r="3037">
          <cell r="A3037">
            <v>829630</v>
          </cell>
          <cell r="B3037" t="str">
            <v>PEITO S/OP RECH C.BLEU POLLOLINDO PARAG</v>
          </cell>
          <cell r="C3037">
            <v>5.0739999999999998</v>
          </cell>
          <cell r="D3037">
            <v>5.0739999999999998</v>
          </cell>
          <cell r="E3037">
            <v>-7.0999999999999994E-2</v>
          </cell>
          <cell r="F3037">
            <v>-0.16600000000000015</v>
          </cell>
        </row>
        <row r="3038">
          <cell r="A3038">
            <v>829638</v>
          </cell>
          <cell r="B3038" t="str">
            <v>BACON FATIADO 20 CART PERD PARAGUAI</v>
          </cell>
          <cell r="C3038">
            <v>8.8970000000000002</v>
          </cell>
          <cell r="D3038">
            <v>8.8970000000000002</v>
          </cell>
          <cell r="E3038">
            <v>-6.6000000000000003E-2</v>
          </cell>
          <cell r="F3038">
            <v>-0.28999999999999998</v>
          </cell>
        </row>
        <row r="3039">
          <cell r="A3039">
            <v>829799</v>
          </cell>
          <cell r="B3039" t="str">
            <v>SOBRECOXA C/OP FGO BDJ 1KG PERD ALBANIA</v>
          </cell>
          <cell r="C3039">
            <v>2.7450000000000001</v>
          </cell>
          <cell r="D3039">
            <v>2.7450000000000001</v>
          </cell>
          <cell r="E3039">
            <v>-0.55300000000000005</v>
          </cell>
          <cell r="F3039">
            <v>-8.5000000000000075E-2</v>
          </cell>
        </row>
        <row r="3040">
          <cell r="A3040">
            <v>829800</v>
          </cell>
          <cell r="B3040" t="str">
            <v>LASANHA BOLONHESA CART 650G PERD ALBANIA</v>
          </cell>
          <cell r="C3040">
            <v>4.9020000000000001</v>
          </cell>
          <cell r="D3040">
            <v>4.9020000000000001</v>
          </cell>
          <cell r="E3040">
            <v>-0.52300000000000002</v>
          </cell>
          <cell r="F3040">
            <v>0</v>
          </cell>
        </row>
        <row r="3041">
          <cell r="A3041">
            <v>829801</v>
          </cell>
          <cell r="B3041" t="str">
            <v>HAMBURGUER SUINO CART 672G PERD ALBANIA</v>
          </cell>
          <cell r="C3041">
            <v>5.0979999999999999</v>
          </cell>
          <cell r="D3041">
            <v>5.0979999999999999</v>
          </cell>
          <cell r="E3041">
            <v>-0.55000000000000004</v>
          </cell>
          <cell r="F3041">
            <v>-0.16299999999999981</v>
          </cell>
        </row>
        <row r="3042">
          <cell r="A3042">
            <v>829864</v>
          </cell>
          <cell r="B3042" t="str">
            <v>PEITO FGO AO CATUPIRY CART 550G PERD ALB</v>
          </cell>
          <cell r="C3042">
            <v>9.51</v>
          </cell>
          <cell r="D3042">
            <v>9.51</v>
          </cell>
          <cell r="E3042">
            <v>-0.56599999999999995</v>
          </cell>
          <cell r="F3042">
            <v>-0.30900000000000016</v>
          </cell>
        </row>
        <row r="3043">
          <cell r="A3043">
            <v>829865</v>
          </cell>
          <cell r="B3043" t="str">
            <v>PEITO CHT PARMEGIANA CART 550G PERD ALBA</v>
          </cell>
          <cell r="C3043">
            <v>8.8239999999999998</v>
          </cell>
          <cell r="D3043">
            <v>8.8239999999999998</v>
          </cell>
          <cell r="E3043">
            <v>-0.56599999999999995</v>
          </cell>
          <cell r="F3043">
            <v>-0.28600000000000003</v>
          </cell>
        </row>
        <row r="3044">
          <cell r="A3044">
            <v>829869</v>
          </cell>
          <cell r="B3044" t="str">
            <v>MOELA FGO BDJ 500G PERD ILHAS CANARIAS</v>
          </cell>
          <cell r="C3044">
            <v>1.863</v>
          </cell>
          <cell r="D3044">
            <v>1.863</v>
          </cell>
          <cell r="E3044">
            <v>-0.35499999999999998</v>
          </cell>
          <cell r="F3044">
            <v>-5.8999999999999997E-2</v>
          </cell>
        </row>
        <row r="3045">
          <cell r="A3045">
            <v>829870</v>
          </cell>
          <cell r="B3045" t="str">
            <v>FIGADO FGO BDJ 500G PERD ILHAS CANARIAS</v>
          </cell>
          <cell r="C3045">
            <v>1.863</v>
          </cell>
          <cell r="D3045">
            <v>1.863</v>
          </cell>
          <cell r="E3045">
            <v>-0.35499999999999998</v>
          </cell>
          <cell r="F3045">
            <v>-5.8999999999999941E-2</v>
          </cell>
        </row>
        <row r="3046">
          <cell r="A3046">
            <v>829990</v>
          </cell>
          <cell r="B3046" t="str">
            <v>COXA SOB C/OP 200-260G PT 2KG PERD ITAL</v>
          </cell>
          <cell r="C3046">
            <v>1.9550000000000001</v>
          </cell>
          <cell r="D3046">
            <v>1.9550000000000001</v>
          </cell>
          <cell r="E3046">
            <v>-0.29299999999999998</v>
          </cell>
          <cell r="F3046">
            <v>-5.3999999999999992E-2</v>
          </cell>
        </row>
        <row r="3047">
          <cell r="A3047">
            <v>830002</v>
          </cell>
          <cell r="B3047" t="str">
            <v>PEITO S/OPFC BUTT SALM PT 3KG PERD ITALI</v>
          </cell>
          <cell r="C3047">
            <v>4.6429999999999998</v>
          </cell>
          <cell r="D3047">
            <v>4.6429999999999998</v>
          </cell>
          <cell r="E3047">
            <v>-0.318</v>
          </cell>
          <cell r="F3047">
            <v>-0.14800000000000013</v>
          </cell>
        </row>
        <row r="3048">
          <cell r="A3048">
            <v>830014</v>
          </cell>
          <cell r="B3048" t="str">
            <v>FRANGO GRILLER 1200G AL-NOOR KUWAIT</v>
          </cell>
          <cell r="C3048">
            <v>2.3199999999999998</v>
          </cell>
          <cell r="D3048">
            <v>2.3199999999999998</v>
          </cell>
          <cell r="E3048">
            <v>-0.52800000000000002</v>
          </cell>
          <cell r="F3048">
            <v>-6.6000000000000003E-2</v>
          </cell>
        </row>
        <row r="3049">
          <cell r="A3049">
            <v>830015</v>
          </cell>
          <cell r="B3049" t="str">
            <v>FRANGO GRILLER 1300G AL-NOOR KUWAIT</v>
          </cell>
          <cell r="C3049">
            <v>2.298</v>
          </cell>
          <cell r="D3049">
            <v>2.298</v>
          </cell>
          <cell r="E3049">
            <v>-0.52500000000000002</v>
          </cell>
          <cell r="F3049">
            <v>-6.5999999999999975E-2</v>
          </cell>
        </row>
        <row r="3050">
          <cell r="A3050">
            <v>830016</v>
          </cell>
          <cell r="B3050" t="str">
            <v>FRANGO GRILLER 1400G AL-NOOR KUWAIT</v>
          </cell>
          <cell r="C3050">
            <v>2.3199999999999998</v>
          </cell>
          <cell r="D3050">
            <v>2.3199999999999998</v>
          </cell>
          <cell r="E3050">
            <v>-0.52400000000000002</v>
          </cell>
          <cell r="F3050">
            <v>-6.7000000000000004E-2</v>
          </cell>
        </row>
        <row r="3051">
          <cell r="A3051">
            <v>830017</v>
          </cell>
          <cell r="B3051" t="str">
            <v>FRANGO GRILLER 1500G AL-NOOR KUWAIT</v>
          </cell>
          <cell r="C3051">
            <v>2.258</v>
          </cell>
          <cell r="D3051">
            <v>2.258</v>
          </cell>
          <cell r="E3051">
            <v>-0.51800000000000002</v>
          </cell>
          <cell r="F3051">
            <v>-6.5000000000000002E-2</v>
          </cell>
        </row>
        <row r="3052">
          <cell r="A3052">
            <v>830093</v>
          </cell>
          <cell r="B3052" t="str">
            <v>COXA SOB S/O C/P PT 1KG HALAL OMAN</v>
          </cell>
          <cell r="C3052">
            <v>2.9409999999999998</v>
          </cell>
          <cell r="D3052">
            <v>2.9409999999999998</v>
          </cell>
          <cell r="E3052">
            <v>-0.55200000000000005</v>
          </cell>
          <cell r="F3052">
            <v>-8.5000000000000006E-2</v>
          </cell>
        </row>
        <row r="3053">
          <cell r="A3053">
            <v>830195</v>
          </cell>
          <cell r="B3053" t="str">
            <v>ASA 1A JTA DRUMETTE PT 1KG PERD CANARIAS</v>
          </cell>
          <cell r="C3053">
            <v>2.0489999999999999</v>
          </cell>
          <cell r="D3053">
            <v>2.0489999999999999</v>
          </cell>
          <cell r="E3053">
            <v>-0.34699999999999998</v>
          </cell>
          <cell r="F3053">
            <v>-5.6000000000000001E-2</v>
          </cell>
        </row>
        <row r="3054">
          <cell r="A3054">
            <v>830196</v>
          </cell>
          <cell r="B3054" t="str">
            <v>COXA SOBREC S/OP IND/VAC PERD CANARIAS</v>
          </cell>
          <cell r="C3054">
            <v>2.9279999999999999</v>
          </cell>
          <cell r="D3054">
            <v>2.9279999999999999</v>
          </cell>
          <cell r="E3054">
            <v>-0.36599999999999999</v>
          </cell>
          <cell r="F3054">
            <v>-8.1000000000000016E-2</v>
          </cell>
        </row>
        <row r="3055">
          <cell r="A3055">
            <v>830197</v>
          </cell>
          <cell r="B3055" t="str">
            <v>COXA SOB C/OP 200G/UP ITF PERD CANARIAS</v>
          </cell>
          <cell r="C3055">
            <v>1.8540000000000001</v>
          </cell>
          <cell r="D3055">
            <v>1.8540000000000001</v>
          </cell>
          <cell r="E3055">
            <v>-0.34300000000000003</v>
          </cell>
          <cell r="F3055">
            <v>-0.05</v>
          </cell>
        </row>
        <row r="3056">
          <cell r="A3056">
            <v>830198</v>
          </cell>
          <cell r="B3056" t="str">
            <v>PEITO S/OPC C/F 250G/UP IND/VAC CANARIAS</v>
          </cell>
          <cell r="C3056">
            <v>4.49</v>
          </cell>
          <cell r="D3056">
            <v>4.49</v>
          </cell>
          <cell r="E3056">
            <v>-0.40400000000000003</v>
          </cell>
          <cell r="F3056">
            <v>-0.12599999999999989</v>
          </cell>
        </row>
        <row r="3057">
          <cell r="A3057">
            <v>836829</v>
          </cell>
          <cell r="B3057" t="str">
            <v>Coxa Sobrec C/O C/P Fgo 220-240G Curto H.Comb Perd (Direx) Japao Cx 13,6Kg</v>
          </cell>
          <cell r="C3057">
            <v>2.6930000000000001</v>
          </cell>
          <cell r="D3057">
            <v>2.6930000000000001</v>
          </cell>
          <cell r="E3057">
            <v>-0.623</v>
          </cell>
          <cell r="F3057">
            <v>-6.5000000000000002E-2</v>
          </cell>
        </row>
        <row r="3058">
          <cell r="A3058">
            <v>825569</v>
          </cell>
          <cell r="B3058" t="str">
            <v xml:space="preserve">Paleta S/OCGC Sui Cong 1,5-3Kg Russia Cx 25Kg </v>
          </cell>
          <cell r="C3058">
            <v>3.63</v>
          </cell>
          <cell r="D3058">
            <v>3.63</v>
          </cell>
          <cell r="E3058">
            <v>-0.26</v>
          </cell>
          <cell r="F3058">
            <v>-9.4000000000000014E-2</v>
          </cell>
        </row>
        <row r="3059">
          <cell r="A3059">
            <v>835940</v>
          </cell>
          <cell r="B3059" t="str">
            <v>Pernil S/OC Sui 7-8% Gord Iwp Perd Russia Cx 25Kg</v>
          </cell>
          <cell r="C3059">
            <v>4.7960000000000003</v>
          </cell>
          <cell r="D3059">
            <v>4.7960000000000003</v>
          </cell>
          <cell r="E3059">
            <v>-0.53300000000000003</v>
          </cell>
          <cell r="F3059">
            <v>-0.1080000000000001</v>
          </cell>
        </row>
        <row r="3060">
          <cell r="A3060">
            <v>832968</v>
          </cell>
          <cell r="B3060" t="str">
            <v xml:space="preserve">Peru Int Temp Cong Perd 4-4,99Kg Cx 16Kg </v>
          </cell>
          <cell r="C3060">
            <v>3.4495</v>
          </cell>
          <cell r="D3060">
            <v>2.8262</v>
          </cell>
          <cell r="E3060">
            <v>-0.3377</v>
          </cell>
          <cell r="F3060">
            <v>-0.3574</v>
          </cell>
        </row>
        <row r="3061">
          <cell r="A3061">
            <v>832969</v>
          </cell>
          <cell r="B3061" t="str">
            <v xml:space="preserve">Peru Int Temp Cong Perd 5-6Kg Cx 15Kg </v>
          </cell>
          <cell r="C3061">
            <v>3.4630999999999998</v>
          </cell>
          <cell r="D3061">
            <v>2.8633999999999999</v>
          </cell>
          <cell r="E3061">
            <v>-0.3407</v>
          </cell>
          <cell r="F3061">
            <v>-0.3362</v>
          </cell>
        </row>
        <row r="3062">
          <cell r="A3062">
            <v>832967</v>
          </cell>
          <cell r="B3062" t="str">
            <v xml:space="preserve">Peru Int Temp Cong Perd 3-3,99Kg Cx 12Kg </v>
          </cell>
          <cell r="C3062">
            <v>3.4287000000000001</v>
          </cell>
          <cell r="D3062">
            <v>2.8121</v>
          </cell>
          <cell r="E3062">
            <v>-0.37819999999999998</v>
          </cell>
          <cell r="F3062">
            <v>-0.35449999999999998</v>
          </cell>
        </row>
        <row r="3063">
          <cell r="A3063">
            <v>834905</v>
          </cell>
          <cell r="B3063" t="str">
            <v xml:space="preserve">Peru Int Temp Cong Perd 3-3,99Kg Cx 13Kg </v>
          </cell>
          <cell r="C3063">
            <v>3.4287000000000001</v>
          </cell>
          <cell r="D3063">
            <v>2.8121</v>
          </cell>
          <cell r="E3063">
            <v>-0.37819999999999998</v>
          </cell>
          <cell r="F3063">
            <v>-0.35449999999999998</v>
          </cell>
        </row>
        <row r="3064">
          <cell r="A3064">
            <v>834906</v>
          </cell>
          <cell r="B3064" t="str">
            <v xml:space="preserve">Peru Int Temp Cong Perd 3-3,99Kg Cx 14Kg </v>
          </cell>
          <cell r="C3064">
            <v>3.4287000000000001</v>
          </cell>
          <cell r="D3064">
            <v>2.8121</v>
          </cell>
          <cell r="E3064">
            <v>-0.37819999999999998</v>
          </cell>
          <cell r="F3064">
            <v>-0.35449999999999998</v>
          </cell>
        </row>
        <row r="3065">
          <cell r="A3065">
            <v>834910</v>
          </cell>
          <cell r="B3065" t="str">
            <v xml:space="preserve">Peru Int Temp Cong Perd 3-3,99Kg Cx 14Kg </v>
          </cell>
          <cell r="C3065">
            <v>3.4287000000000001</v>
          </cell>
          <cell r="D3065">
            <v>2.8121</v>
          </cell>
          <cell r="E3065">
            <v>-0.37819999999999998</v>
          </cell>
          <cell r="F3065">
            <v>-0.35449999999999998</v>
          </cell>
        </row>
        <row r="3066">
          <cell r="A3066">
            <v>834911</v>
          </cell>
          <cell r="B3066" t="str">
            <v xml:space="preserve">Peru Int Temp Cong Perd 4-4,99Kg Cx 16Kg </v>
          </cell>
          <cell r="C3066">
            <v>3.4495</v>
          </cell>
          <cell r="D3066">
            <v>2.8262</v>
          </cell>
          <cell r="E3066">
            <v>-0.3377</v>
          </cell>
          <cell r="F3066">
            <v>-0.3574</v>
          </cell>
        </row>
        <row r="3067">
          <cell r="A3067">
            <v>834922</v>
          </cell>
          <cell r="B3067" t="str">
            <v xml:space="preserve">Peru Int Temp Cong Perd 4-4,99Kg Cx 17Kg </v>
          </cell>
          <cell r="C3067">
            <v>3.4495</v>
          </cell>
          <cell r="D3067">
            <v>2.8262</v>
          </cell>
          <cell r="E3067">
            <v>-0.3377</v>
          </cell>
          <cell r="F3067">
            <v>-0.3574</v>
          </cell>
        </row>
        <row r="3068">
          <cell r="A3068">
            <v>834923</v>
          </cell>
          <cell r="B3068" t="str">
            <v xml:space="preserve">Peru Int Temp Cong Perd 4-4,99Kg Cx 18Kg </v>
          </cell>
          <cell r="C3068">
            <v>3.4495</v>
          </cell>
          <cell r="D3068">
            <v>2.8262</v>
          </cell>
          <cell r="E3068">
            <v>-0.3377</v>
          </cell>
          <cell r="F3068">
            <v>-0.3574</v>
          </cell>
        </row>
        <row r="3069">
          <cell r="A3069">
            <v>834924</v>
          </cell>
          <cell r="B3069" t="str">
            <v xml:space="preserve">Peru Int Temp Cong Perd 4-4,99Kg Cx 19Kg </v>
          </cell>
          <cell r="C3069">
            <v>3.4495</v>
          </cell>
          <cell r="D3069">
            <v>2.8262</v>
          </cell>
          <cell r="E3069">
            <v>-0.3377</v>
          </cell>
          <cell r="F3069">
            <v>-0.3574</v>
          </cell>
        </row>
        <row r="3070">
          <cell r="A3070">
            <v>834925</v>
          </cell>
          <cell r="B3070" t="str">
            <v xml:space="preserve">Peru Int Temp Cong Perd 4-4,99Kg Cx 20Kg </v>
          </cell>
          <cell r="C3070">
            <v>3.4495</v>
          </cell>
          <cell r="D3070">
            <v>2.8262</v>
          </cell>
          <cell r="E3070">
            <v>-0.3377</v>
          </cell>
          <cell r="F3070">
            <v>-0.3574</v>
          </cell>
        </row>
        <row r="3071">
          <cell r="A3071">
            <v>834926</v>
          </cell>
          <cell r="B3071" t="str">
            <v xml:space="preserve">Peru Int Temp Cong Perd 5-6Kg Cx 16Kg </v>
          </cell>
          <cell r="C3071">
            <v>3.4630999999999998</v>
          </cell>
          <cell r="D3071">
            <v>2.8633999999999999</v>
          </cell>
          <cell r="E3071">
            <v>-0.3407</v>
          </cell>
          <cell r="F3071">
            <v>-0.3362</v>
          </cell>
        </row>
        <row r="3072">
          <cell r="A3072">
            <v>834927</v>
          </cell>
          <cell r="B3072" t="str">
            <v xml:space="preserve">Peru Int Temp Cong Perd 5-6Kg Cx 17Kg </v>
          </cell>
          <cell r="C3072">
            <v>3.4630999999999998</v>
          </cell>
          <cell r="D3072">
            <v>2.8633999999999999</v>
          </cell>
          <cell r="E3072">
            <v>-0.3407</v>
          </cell>
          <cell r="F3072">
            <v>-0.3362</v>
          </cell>
        </row>
        <row r="3073">
          <cell r="A3073">
            <v>834928</v>
          </cell>
          <cell r="B3073" t="str">
            <v xml:space="preserve">Peru Int Temp Cong Perd 5-6Kg Cx 18Kg </v>
          </cell>
          <cell r="C3073">
            <v>3.4630999999999998</v>
          </cell>
          <cell r="D3073">
            <v>2.8633999999999999</v>
          </cell>
          <cell r="E3073">
            <v>-0.3407</v>
          </cell>
          <cell r="F3073">
            <v>-0.3362</v>
          </cell>
        </row>
        <row r="3074">
          <cell r="A3074">
            <v>836153</v>
          </cell>
          <cell r="B3074" t="str">
            <v>Linguica Peru Cong Batavo 4Pt Cx 20Kg</v>
          </cell>
          <cell r="C3074">
            <v>4.2279999999999998</v>
          </cell>
          <cell r="D3074">
            <v>3.5139999999999998</v>
          </cell>
          <cell r="E3074">
            <v>-9.9000000000000005E-2</v>
          </cell>
          <cell r="F3074">
            <v>-0.50599999999999989</v>
          </cell>
        </row>
        <row r="3075">
          <cell r="A3075">
            <v>837401</v>
          </cell>
          <cell r="B3075" t="str">
            <v>Peru Inteiro C/Miudos S/Temp 10-11Kg Bat (B. B. Marine) Ilhas Can. Cx 21Kg</v>
          </cell>
          <cell r="C3075">
            <v>3.4903</v>
          </cell>
          <cell r="D3075">
            <v>2.9744000000000002</v>
          </cell>
          <cell r="E3075">
            <v>-0.34599999999999997</v>
          </cell>
          <cell r="F3075">
            <v>-0.30790000000000001</v>
          </cell>
        </row>
        <row r="3076">
          <cell r="A3076">
            <v>837565</v>
          </cell>
          <cell r="B3076" t="str">
            <v>Peru Inteiro C/Miudos S/Temp 11-13Kg Bat (B. B. Marine) Ilhas Can. Cx 12Kg</v>
          </cell>
          <cell r="C3076">
            <v>3.4847999999999999</v>
          </cell>
          <cell r="D3076">
            <v>2.7141999999999999</v>
          </cell>
          <cell r="E3076">
            <v>-0.42609999999999998</v>
          </cell>
          <cell r="F3076">
            <v>-0.37709999999999999</v>
          </cell>
        </row>
        <row r="3077">
          <cell r="A3077">
            <v>838022</v>
          </cell>
          <cell r="B3077" t="str">
            <v>Peito Peru S/Opc C/F Int 2000/up Itf Bat Ilhas Can. Cx 15Kg</v>
          </cell>
          <cell r="C3077">
            <v>7.09</v>
          </cell>
          <cell r="D3077">
            <v>7.09</v>
          </cell>
          <cell r="E3077">
            <v>-0.56399999999999995</v>
          </cell>
          <cell r="F3077">
            <v>-0.18</v>
          </cell>
        </row>
        <row r="3078">
          <cell r="A3078">
            <v>836684</v>
          </cell>
          <cell r="B3078" t="str">
            <v xml:space="preserve">Sambiquira Peru Cong Bl 7,5Kg Perd Africa do Sul Cx 15Kg </v>
          </cell>
          <cell r="C3078">
            <v>0.90300000000000002</v>
          </cell>
          <cell r="D3078">
            <v>0.79800000000000004</v>
          </cell>
          <cell r="E3078">
            <v>-0.14199999999999999</v>
          </cell>
          <cell r="F3078">
            <v>-0.1</v>
          </cell>
        </row>
        <row r="3079">
          <cell r="A3079">
            <v>836914</v>
          </cell>
          <cell r="B3079" t="str">
            <v>Traqueia Peru Cong Bl 8Kg Perd Argentina Pallet 1000Kg</v>
          </cell>
          <cell r="C3079">
            <v>0.90300000000000002</v>
          </cell>
          <cell r="D3079">
            <v>0.79800000000000004</v>
          </cell>
          <cell r="E3079">
            <v>-0.14199999999999999</v>
          </cell>
          <cell r="F3079">
            <v>-0.1</v>
          </cell>
        </row>
        <row r="3080">
          <cell r="A3080">
            <v>3046</v>
          </cell>
          <cell r="B3080" t="str">
            <v>Espinhaco Suino Resf Bat Cx 30Kg</v>
          </cell>
          <cell r="C3080">
            <v>0.66200000000000003</v>
          </cell>
          <cell r="D3080">
            <v>0.59099999999999997</v>
          </cell>
          <cell r="E3080">
            <v>0</v>
          </cell>
          <cell r="F3080">
            <v>-0.38900000000000001</v>
          </cell>
        </row>
        <row r="3081">
          <cell r="A3081">
            <v>3852</v>
          </cell>
          <cell r="B3081" t="str">
            <v>Duodeno Suino Cong Bat Cx 30Kg</v>
          </cell>
          <cell r="C3081">
            <v>3.226</v>
          </cell>
          <cell r="D3081">
            <v>3.226</v>
          </cell>
          <cell r="E3081">
            <v>-0.52500000000000002</v>
          </cell>
          <cell r="F3081">
            <v>-8.0000000000000071E-2</v>
          </cell>
        </row>
        <row r="3082">
          <cell r="A3082">
            <v>832642</v>
          </cell>
          <cell r="B3082" t="str">
            <v>Lombo Temp Cong Perd 8Pcs Cx 12Kg</v>
          </cell>
          <cell r="C3082">
            <v>7.133</v>
          </cell>
          <cell r="D3082">
            <v>6.1790000000000003</v>
          </cell>
          <cell r="E3082">
            <v>-0.307</v>
          </cell>
          <cell r="F3082">
            <v>-0.67599999999999993</v>
          </cell>
        </row>
        <row r="3083">
          <cell r="A3083">
            <v>832985</v>
          </cell>
          <cell r="B3083" t="str">
            <v>Paleta Temp Cong Batavo 6Pcs Cx 11,4Kg</v>
          </cell>
          <cell r="C3083">
            <v>4.71</v>
          </cell>
          <cell r="D3083">
            <v>4.71</v>
          </cell>
          <cell r="E3083">
            <v>-0.36599999999999999</v>
          </cell>
          <cell r="F3083">
            <v>-0.10799999999999998</v>
          </cell>
        </row>
        <row r="3084">
          <cell r="A3084">
            <v>832986</v>
          </cell>
          <cell r="B3084" t="str">
            <v>Lombo Temp Cong Batavo 8Pcs Cx 12Kg</v>
          </cell>
          <cell r="C3084">
            <v>7.133</v>
          </cell>
          <cell r="D3084">
            <v>6.1790000000000003</v>
          </cell>
          <cell r="E3084">
            <v>-0.307</v>
          </cell>
          <cell r="F3084">
            <v>-0.67599999999999993</v>
          </cell>
        </row>
        <row r="3085">
          <cell r="A3085">
            <v>832987</v>
          </cell>
          <cell r="B3085" t="str">
            <v>Pernil Temp Cong Batavo 5Pcs Cx 12,5Kg</v>
          </cell>
          <cell r="C3085">
            <v>5.6959999999999997</v>
          </cell>
          <cell r="D3085">
            <v>4.8540000000000001</v>
          </cell>
          <cell r="E3085">
            <v>-0.24199999999999999</v>
          </cell>
          <cell r="F3085">
            <v>-0.78700000000000014</v>
          </cell>
        </row>
        <row r="3086">
          <cell r="A3086">
            <v>837360</v>
          </cell>
          <cell r="B3086" t="str">
            <v>Fgo Griller 1100G Perd  Filipinas Cx 11Kg</v>
          </cell>
          <cell r="C3086">
            <v>1.952</v>
          </cell>
          <cell r="D3086">
            <v>1.952</v>
          </cell>
          <cell r="E3086">
            <v>-0.61</v>
          </cell>
          <cell r="F3086">
            <v>-4.6000000000000006E-2</v>
          </cell>
        </row>
        <row r="3087">
          <cell r="A3087">
            <v>816445</v>
          </cell>
          <cell r="B3087" t="str">
            <v>Fgo Griller 800G Perd Bahrain Cx 8Kg</v>
          </cell>
          <cell r="C3087">
            <v>2.802</v>
          </cell>
          <cell r="D3087">
            <v>2.802</v>
          </cell>
          <cell r="E3087">
            <v>-0.70099999999999996</v>
          </cell>
          <cell r="F3087">
            <v>-6.6999999999999948E-2</v>
          </cell>
        </row>
        <row r="3088">
          <cell r="A3088">
            <v>837495</v>
          </cell>
          <cell r="B3088" t="str">
            <v>Codorna Bdj 1Kg Unef E.A.U Cx 8Kg</v>
          </cell>
          <cell r="C3088">
            <v>6.2089999999999996</v>
          </cell>
          <cell r="D3088">
            <v>6.2089999999999996</v>
          </cell>
          <cell r="E3088">
            <v>-0.68100000000000005</v>
          </cell>
          <cell r="F3088">
            <v>-0.15599999999999992</v>
          </cell>
        </row>
        <row r="3089">
          <cell r="A3089">
            <v>833437</v>
          </cell>
          <cell r="B3089" t="str">
            <v>Presunto Tender Bola Pequeno Bat 12Pc Cx12Kg</v>
          </cell>
          <cell r="C3089">
            <v>12.366</v>
          </cell>
          <cell r="D3089">
            <v>8.9450000000000003</v>
          </cell>
          <cell r="E3089">
            <v>-0.217</v>
          </cell>
          <cell r="F3089">
            <v>-1.115</v>
          </cell>
        </row>
        <row r="3090">
          <cell r="A3090">
            <v>837013</v>
          </cell>
          <cell r="B3090" t="str">
            <v>Strogonoff Bovino Perd 8 Cart 600G  Cx 4,8Kg</v>
          </cell>
          <cell r="C3090">
            <v>9.3130000000000006</v>
          </cell>
          <cell r="D3090">
            <v>6.91</v>
          </cell>
          <cell r="E3090">
            <v>-0.23200000000000001</v>
          </cell>
          <cell r="F3090">
            <v>-1.0660000000000003</v>
          </cell>
        </row>
        <row r="3091">
          <cell r="A3091">
            <v>837015</v>
          </cell>
          <cell r="B3091" t="str">
            <v>Frango Xadrez Perd 8 Cart 600g Cx 4,8Kg</v>
          </cell>
          <cell r="C3091">
            <v>8.9420000000000002</v>
          </cell>
          <cell r="D3091">
            <v>6.6870000000000003</v>
          </cell>
          <cell r="E3091">
            <v>-0.245</v>
          </cell>
          <cell r="F3091">
            <v>-1.0369999999999999</v>
          </cell>
        </row>
        <row r="3092">
          <cell r="A3092">
            <v>837016</v>
          </cell>
          <cell r="B3092" t="str">
            <v>Peito de Frango Romana Perd  8 Cart 600g Cx 4,8 Kg</v>
          </cell>
          <cell r="C3092">
            <v>8.9420000000000002</v>
          </cell>
          <cell r="D3092">
            <v>6.6870000000000003</v>
          </cell>
          <cell r="E3092">
            <v>-0.245</v>
          </cell>
          <cell r="F3092">
            <v>-1.0369999999999999</v>
          </cell>
        </row>
        <row r="3093">
          <cell r="A3093">
            <v>837286</v>
          </cell>
          <cell r="B3093" t="str">
            <v>Capeletti Amatriciana Perd 8Cart 600g Cx 4,8 Kg</v>
          </cell>
          <cell r="C3093">
            <v>6.5</v>
          </cell>
          <cell r="D3093">
            <v>4.8769999999999998</v>
          </cell>
          <cell r="E3093">
            <v>-0.29899999999999999</v>
          </cell>
          <cell r="F3093">
            <v>-0.78500000000000003</v>
          </cell>
        </row>
        <row r="3094">
          <cell r="A3094">
            <v>833777</v>
          </cell>
          <cell r="B3094" t="str">
            <v>Ave Int Cong Temp Freski 6 Pc Cx 19 Kg</v>
          </cell>
          <cell r="C3094">
            <v>3.6261000000000001</v>
          </cell>
          <cell r="D3094">
            <v>3.0968</v>
          </cell>
          <cell r="E3094">
            <v>-0.2248</v>
          </cell>
          <cell r="F3094">
            <v>-0.443</v>
          </cell>
        </row>
        <row r="3095">
          <cell r="A3095">
            <v>833779</v>
          </cell>
          <cell r="B3095" t="str">
            <v>Ave Int Cong Temp Freski 6 Pc Cx 21 Kg</v>
          </cell>
          <cell r="C3095">
            <v>3.5103</v>
          </cell>
          <cell r="D3095">
            <v>2.9377</v>
          </cell>
          <cell r="E3095">
            <v>-0.26640000000000003</v>
          </cell>
          <cell r="F3095">
            <v>-0.40660000000000002</v>
          </cell>
        </row>
        <row r="3096">
          <cell r="A3096">
            <v>833780</v>
          </cell>
          <cell r="B3096" t="str">
            <v>Ave Int Cong Temp Freski 6 Pc Cx 20 Kg</v>
          </cell>
          <cell r="C3096">
            <v>3.4161000000000001</v>
          </cell>
          <cell r="D3096">
            <v>2.7875999999999999</v>
          </cell>
          <cell r="E3096">
            <v>-0.29530000000000001</v>
          </cell>
          <cell r="F3096">
            <v>-0.41599999999999998</v>
          </cell>
        </row>
        <row r="3097">
          <cell r="A3097">
            <v>833781</v>
          </cell>
          <cell r="B3097" t="str">
            <v>Ave Int Cong Temp Freski 6 Pc Cx 22 Kg</v>
          </cell>
          <cell r="C3097">
            <v>3.4971000000000001</v>
          </cell>
          <cell r="D3097">
            <v>2.8595000000000002</v>
          </cell>
          <cell r="E3097">
            <v>-0.2656</v>
          </cell>
          <cell r="F3097">
            <v>-0.39100000000000001</v>
          </cell>
        </row>
        <row r="3098">
          <cell r="A3098">
            <v>833852</v>
          </cell>
          <cell r="B3098" t="str">
            <v>Ave Int Cong Temp Freski 6 Pc Cx 23 Kg</v>
          </cell>
          <cell r="C3098">
            <v>3.5175999999999998</v>
          </cell>
          <cell r="D3098">
            <v>2.8852000000000002</v>
          </cell>
          <cell r="E3098">
            <v>-0.31319999999999998</v>
          </cell>
          <cell r="F3098">
            <v>-0.38829999999999998</v>
          </cell>
        </row>
        <row r="3099">
          <cell r="A3099">
            <v>833853</v>
          </cell>
          <cell r="B3099" t="str">
            <v>Ave Int Cong Temp Freski 6 Pc Cx 24 Kg</v>
          </cell>
          <cell r="C3099">
            <v>3.5287000000000002</v>
          </cell>
          <cell r="D3099">
            <v>2.9142999999999999</v>
          </cell>
          <cell r="E3099">
            <v>-0.29409999999999997</v>
          </cell>
          <cell r="F3099">
            <v>-0.40210000000000001</v>
          </cell>
        </row>
        <row r="3100">
          <cell r="A3100">
            <v>833854</v>
          </cell>
          <cell r="B3100" t="str">
            <v>Ave Int Cong Temp Freski 6 Pc Cx 25 Kg</v>
          </cell>
          <cell r="C3100">
            <v>3.5398999999999998</v>
          </cell>
          <cell r="D3100">
            <v>2.9230999999999998</v>
          </cell>
          <cell r="E3100">
            <v>-0.2833</v>
          </cell>
          <cell r="F3100">
            <v>-0.3886</v>
          </cell>
        </row>
        <row r="3101">
          <cell r="A3101">
            <v>833855</v>
          </cell>
          <cell r="B3101" t="str">
            <v>Ave Int Cong Temp Freski 6 Pc Cx 26 Kg</v>
          </cell>
          <cell r="C3101">
            <v>3.5430000000000001</v>
          </cell>
          <cell r="D3101">
            <v>2.8963000000000001</v>
          </cell>
          <cell r="E3101">
            <v>-0.29389999999999999</v>
          </cell>
          <cell r="F3101">
            <v>-0.38469999999999999</v>
          </cell>
        </row>
        <row r="3102">
          <cell r="A3102">
            <v>833856</v>
          </cell>
          <cell r="B3102" t="str">
            <v>Ave Int Cong Temp Freski 6 Pc Cx 27 Kg</v>
          </cell>
          <cell r="C3102">
            <v>3.5430000000000001</v>
          </cell>
          <cell r="D3102">
            <v>2.8963000000000001</v>
          </cell>
          <cell r="E3102">
            <v>-0.29389999999999999</v>
          </cell>
          <cell r="F3102">
            <v>-0.38469999999999999</v>
          </cell>
        </row>
        <row r="3103">
          <cell r="A3103">
            <v>837800</v>
          </cell>
          <cell r="B3103" t="str">
            <v>Peito S/Opcf Fgo Cong Met 110g\up Perd Holanda Cx 570Kg</v>
          </cell>
          <cell r="C3103">
            <v>5.4550000000000001</v>
          </cell>
          <cell r="D3103">
            <v>5.4550000000000001</v>
          </cell>
          <cell r="E3103">
            <v>-0.66300000000000003</v>
          </cell>
          <cell r="F3103">
            <v>-0.13600000000000012</v>
          </cell>
        </row>
        <row r="3104">
          <cell r="A3104">
            <v>837472</v>
          </cell>
          <cell r="B3104" t="str">
            <v>Peito S/Opfc Fgo Cong Met 140-160g Salm Perd Holanda Cx 570Kg</v>
          </cell>
          <cell r="C3104">
            <v>5.4740000000000002</v>
          </cell>
          <cell r="D3104">
            <v>5.4740000000000002</v>
          </cell>
          <cell r="E3104">
            <v>-0.41399999999999998</v>
          </cell>
          <cell r="F3104">
            <v>-0.13900000000000023</v>
          </cell>
        </row>
        <row r="3105">
          <cell r="A3105">
            <v>837473</v>
          </cell>
          <cell r="B3105" t="str">
            <v>Peito S/Opfc Fgo Cong Met 160-180g Salm Perd Holanda Cx 570Kg</v>
          </cell>
          <cell r="C3105">
            <v>5.4740000000000002</v>
          </cell>
          <cell r="D3105">
            <v>5.4740000000000002</v>
          </cell>
          <cell r="E3105">
            <v>-0.41399999999999998</v>
          </cell>
          <cell r="F3105">
            <v>-0.13900000000000023</v>
          </cell>
        </row>
        <row r="3106">
          <cell r="A3106">
            <v>837626</v>
          </cell>
          <cell r="B3106" t="str">
            <v>File Peito Fgo C/Tendao Salm Itf Perd Holanda Cx 15Kg</v>
          </cell>
          <cell r="C3106">
            <v>5.306</v>
          </cell>
          <cell r="D3106">
            <v>5.306</v>
          </cell>
          <cell r="E3106">
            <v>-0.56299999999999994</v>
          </cell>
          <cell r="F3106">
            <v>-0.12300000000000022</v>
          </cell>
        </row>
        <row r="3107">
          <cell r="A3107">
            <v>836057</v>
          </cell>
          <cell r="B3107" t="str">
            <v>File Peito Fgo Tamb/Coz/Emp Pt 10Kg Conf Alemanha Cx 10Kg</v>
          </cell>
          <cell r="C3107">
            <v>8.1419999999999995</v>
          </cell>
          <cell r="D3107">
            <v>8.1419999999999995</v>
          </cell>
          <cell r="E3107">
            <v>-0.91800000000000004</v>
          </cell>
          <cell r="F3107">
            <v>-0.20499999999999999</v>
          </cell>
        </row>
        <row r="3108">
          <cell r="A3108">
            <v>836088</v>
          </cell>
          <cell r="B3108" t="str">
            <v>Steak Fgo Form/Coz/Emp If Pt 8Kg Conf Alemanha Cx 8Kg</v>
          </cell>
          <cell r="C3108">
            <v>5.3570000000000002</v>
          </cell>
          <cell r="D3108">
            <v>4.0380000000000003</v>
          </cell>
          <cell r="E3108">
            <v>-0.222</v>
          </cell>
          <cell r="F3108">
            <v>-0.66700000000000004</v>
          </cell>
        </row>
        <row r="3109">
          <cell r="A3109">
            <v>836091</v>
          </cell>
          <cell r="B3109" t="str">
            <v>Steak Fgo Southern Fried Form/Coz/Emp If Pt 8Kg Conf Alemanha Cx 8Kg</v>
          </cell>
          <cell r="C3109">
            <v>5.3570000000000002</v>
          </cell>
          <cell r="D3109">
            <v>4.0380000000000003</v>
          </cell>
          <cell r="E3109">
            <v>-0.222</v>
          </cell>
          <cell r="F3109">
            <v>-0.66700000000000004</v>
          </cell>
        </row>
        <row r="3110">
          <cell r="A3110">
            <v>836124</v>
          </cell>
          <cell r="B3110" t="str">
            <v>Steak Fgo Form/Coz If Pt 8Kg Conf Alemanha Cx 8Kg</v>
          </cell>
          <cell r="C3110">
            <v>5.3570000000000002</v>
          </cell>
          <cell r="D3110">
            <v>4.0380000000000003</v>
          </cell>
          <cell r="E3110">
            <v>-0.222</v>
          </cell>
          <cell r="F3110">
            <v>-0.66700000000000004</v>
          </cell>
        </row>
        <row r="3111">
          <cell r="A3111">
            <v>836127</v>
          </cell>
          <cell r="B3111" t="str">
            <v>Cordon Bleu Fgo Cong Form/Rech/Emp Pt 9Kg Conf Alem Cx 9 Kg</v>
          </cell>
          <cell r="C3111">
            <v>6.093</v>
          </cell>
          <cell r="D3111">
            <v>6.093</v>
          </cell>
          <cell r="E3111">
            <v>-8.5999999999999993E-2</v>
          </cell>
          <cell r="F3111">
            <v>-0.15800000000000036</v>
          </cell>
        </row>
        <row r="3112">
          <cell r="A3112">
            <v>836130</v>
          </cell>
          <cell r="B3112" t="str">
            <v>Cordon Bleu Fgo Napolitano Form/Rech/Emp Pt 9Kg Conf Alem Cx 9 Kg</v>
          </cell>
          <cell r="C3112">
            <v>6.093</v>
          </cell>
          <cell r="D3112">
            <v>6.093</v>
          </cell>
          <cell r="E3112">
            <v>-8.5999999999999993E-2</v>
          </cell>
          <cell r="F3112">
            <v>-0.15800000000000036</v>
          </cell>
        </row>
        <row r="3113">
          <cell r="A3113">
            <v>836143</v>
          </cell>
          <cell r="B3113" t="str">
            <v>Nuggets Fgo Form/Emp/Coz Pt 10Kg Conf Alemanha Cx 10Kg</v>
          </cell>
          <cell r="C3113">
            <v>5.3570000000000002</v>
          </cell>
          <cell r="D3113">
            <v>4.0380000000000003</v>
          </cell>
          <cell r="E3113">
            <v>-0.222</v>
          </cell>
          <cell r="F3113">
            <v>-0.66700000000000004</v>
          </cell>
        </row>
        <row r="3114">
          <cell r="A3114">
            <v>836173</v>
          </cell>
          <cell r="B3114" t="str">
            <v>Peito S/opfc Fgo Tamb/Coz/Emp Pt 9Kg Conf Alemanha Cx 9 Kg</v>
          </cell>
          <cell r="C3114">
            <v>4.6189999999999998</v>
          </cell>
          <cell r="D3114">
            <v>4.6189999999999998</v>
          </cell>
          <cell r="E3114">
            <v>-0.48699999999999999</v>
          </cell>
          <cell r="F3114">
            <v>-0.11599999999999988</v>
          </cell>
        </row>
        <row r="3115">
          <cell r="A3115">
            <v>837792</v>
          </cell>
          <cell r="B3115" t="str">
            <v>Sobrecoxa C/O C/P 160-200G Pt 2Kg Perd Cingapura Cx 16 Kg</v>
          </cell>
          <cell r="C3115">
            <v>2.681</v>
          </cell>
          <cell r="D3115">
            <v>2.681</v>
          </cell>
          <cell r="E3115">
            <v>-0.65800000000000003</v>
          </cell>
          <cell r="F3115">
            <v>-6.4000000000000001E-2</v>
          </cell>
        </row>
        <row r="3116">
          <cell r="A3116">
            <v>837592</v>
          </cell>
          <cell r="B3116" t="str">
            <v>Asa Int Fgo Cong 80G/Up Itf Borella Cinga Cx 15Kg</v>
          </cell>
          <cell r="C3116">
            <v>2.3530000000000002</v>
          </cell>
          <cell r="D3116">
            <v>2.3530000000000002</v>
          </cell>
          <cell r="E3116">
            <v>-0.64600000000000002</v>
          </cell>
          <cell r="F3116">
            <v>-5.7000000000000023E-2</v>
          </cell>
        </row>
        <row r="3117">
          <cell r="A3117">
            <v>837368</v>
          </cell>
          <cell r="B3117" t="str">
            <v>Steak Fgo Cong Emp Pt 6,5 Kg Perd Hong Kong Cx 13Kg</v>
          </cell>
          <cell r="C3117">
            <v>3.4239999999999999</v>
          </cell>
          <cell r="D3117">
            <v>3.4239999999999999</v>
          </cell>
          <cell r="E3117">
            <v>-0.112</v>
          </cell>
          <cell r="F3117">
            <v>-0.08</v>
          </cell>
        </row>
        <row r="3118">
          <cell r="A3118">
            <v>837369</v>
          </cell>
          <cell r="B3118" t="str">
            <v>Hamburguer Fgo Emp Cong Cart 540g Perd Hong Kong Cx 8,1Kg</v>
          </cell>
          <cell r="C3118">
            <v>3.593</v>
          </cell>
          <cell r="D3118">
            <v>3.593</v>
          </cell>
          <cell r="E3118">
            <v>-0.113</v>
          </cell>
          <cell r="F3118">
            <v>-8.3999999999999964E-2</v>
          </cell>
        </row>
        <row r="3119">
          <cell r="A3119">
            <v>837289</v>
          </cell>
          <cell r="B3119" t="str">
            <v xml:space="preserve">Coxa Sobrec S/O S/P Fgo Pt 4Kg  Prime Japao Cx 12Kg </v>
          </cell>
          <cell r="C3119">
            <v>4.0720000000000001</v>
          </cell>
          <cell r="D3119">
            <v>4.0720000000000001</v>
          </cell>
          <cell r="E3119">
            <v>-0.67300000000000004</v>
          </cell>
          <cell r="F3119">
            <v>-0.10099999999999998</v>
          </cell>
        </row>
        <row r="3120">
          <cell r="A3120">
            <v>812382</v>
          </cell>
          <cell r="B3120" t="str">
            <v>Asa 2A Junta Fgo 15G/Up Sec Teba Pt 1Kg Prime Japao Cx 10Kg</v>
          </cell>
          <cell r="C3120">
            <v>4.3140000000000001</v>
          </cell>
          <cell r="D3120">
            <v>4.3140000000000001</v>
          </cell>
          <cell r="E3120">
            <v>-0.192</v>
          </cell>
          <cell r="F3120">
            <v>-0.11099999999999977</v>
          </cell>
        </row>
        <row r="3121">
          <cell r="A3121">
            <v>835909</v>
          </cell>
          <cell r="B3121" t="str">
            <v>Asa 2A Jta Fgo Secc Teban 15g/Up Pt 2Kg Vac Borel (Direx) Japao Cx 12Kg</v>
          </cell>
          <cell r="C3121">
            <v>4.3140000000000001</v>
          </cell>
          <cell r="D3121">
            <v>4.3140000000000001</v>
          </cell>
          <cell r="E3121">
            <v>-0.192</v>
          </cell>
          <cell r="F3121">
            <v>-0.11099999999999977</v>
          </cell>
        </row>
        <row r="3122">
          <cell r="A3122">
            <v>835910</v>
          </cell>
          <cell r="B3122" t="str">
            <v>Asa 2A Jta Fgo Secc Teban 15g/Up Pt 2Kg Vac Borel (Direx) Japao Cx 12Kg (Bca)</v>
          </cell>
          <cell r="C3122">
            <v>4.3140000000000001</v>
          </cell>
          <cell r="D3122">
            <v>4.3140000000000001</v>
          </cell>
          <cell r="E3122">
            <v>-0.192</v>
          </cell>
          <cell r="F3122">
            <v>-0.11099999999999977</v>
          </cell>
        </row>
        <row r="3123">
          <cell r="A3123">
            <v>837797</v>
          </cell>
          <cell r="B3123" t="str">
            <v>Asa 2A Jta Fgo 35-45g Pt 2Kg/Vac Perd (Direx) Japao Cx 12Kg</v>
          </cell>
          <cell r="C3123">
            <v>4.7830000000000004</v>
          </cell>
          <cell r="D3123">
            <v>4.7830000000000004</v>
          </cell>
          <cell r="E3123">
            <v>-0.65500000000000003</v>
          </cell>
          <cell r="F3123">
            <v>-0.11899999999999977</v>
          </cell>
        </row>
        <row r="3124">
          <cell r="A3124">
            <v>837496</v>
          </cell>
          <cell r="B3124" t="str">
            <v>Coxa C/Op Fgo Cong Drum S/Faixa Bdj 900g Halal Iemen Cx 10,8 Kg</v>
          </cell>
          <cell r="C3124">
            <v>3.282</v>
          </cell>
          <cell r="D3124">
            <v>3.282</v>
          </cell>
          <cell r="E3124">
            <v>-0.75700000000000001</v>
          </cell>
          <cell r="F3124">
            <v>-7.8999999999999959E-2</v>
          </cell>
        </row>
        <row r="3125">
          <cell r="A3125">
            <v>837497</v>
          </cell>
          <cell r="B3125" t="str">
            <v>Sobrecoxa C/Op Bdj S/Faixa 900G Halal Iemen Cx 10,8Kg</v>
          </cell>
          <cell r="C3125">
            <v>3.258</v>
          </cell>
          <cell r="D3125">
            <v>3.258</v>
          </cell>
          <cell r="E3125">
            <v>-0.79600000000000004</v>
          </cell>
          <cell r="F3125">
            <v>-7.8999999999999959E-2</v>
          </cell>
        </row>
        <row r="3126">
          <cell r="A3126">
            <v>837498</v>
          </cell>
          <cell r="B3126" t="str">
            <v>Coxa Sob C/Op Fgo Cong S/Faixa Bdj 900g Halal Iemen Cx 10,8Kg</v>
          </cell>
          <cell r="C3126">
            <v>3.282</v>
          </cell>
          <cell r="D3126">
            <v>3.282</v>
          </cell>
          <cell r="E3126">
            <v>-0.75700000000000001</v>
          </cell>
          <cell r="F3126">
            <v>-7.8999999999999959E-2</v>
          </cell>
        </row>
        <row r="3127">
          <cell r="A3127">
            <v>836026</v>
          </cell>
          <cell r="B3127" t="str">
            <v>Coxa C/O C/P Fgo Bdj 1Kg Perd Caribe Cx 12Kg</v>
          </cell>
          <cell r="C3127">
            <v>2.2959999999999998</v>
          </cell>
          <cell r="D3127">
            <v>2.2959999999999998</v>
          </cell>
          <cell r="E3127">
            <v>-0.48</v>
          </cell>
          <cell r="F3127">
            <v>-5.600000000000005E-2</v>
          </cell>
        </row>
        <row r="3128">
          <cell r="A3128">
            <v>837347</v>
          </cell>
          <cell r="B3128" t="str">
            <v>File Peito Fgo S/Pta Tendao Bl 7,5Kg Perd Romenia Cx 570Kg</v>
          </cell>
          <cell r="C3128">
            <v>7.0529999999999999</v>
          </cell>
          <cell r="D3128">
            <v>7.0529999999999999</v>
          </cell>
          <cell r="E3128">
            <v>-0.55100000000000005</v>
          </cell>
          <cell r="F3128">
            <v>-0.16500000000000001</v>
          </cell>
        </row>
        <row r="3129">
          <cell r="A3129">
            <v>835729</v>
          </cell>
          <cell r="B3129" t="str">
            <v>File Peito S/Pta Tend Fgo Cong Tamb/Coz/Ass Pt 10Kg Conf Alemanha Cx 10Kg</v>
          </cell>
          <cell r="C3129">
            <v>6.2480000000000002</v>
          </cell>
          <cell r="D3129">
            <v>6.2480000000000002</v>
          </cell>
          <cell r="E3129">
            <v>-0.40400000000000003</v>
          </cell>
          <cell r="F3129">
            <v>-0.185</v>
          </cell>
        </row>
        <row r="3130">
          <cell r="A3130">
            <v>835730</v>
          </cell>
          <cell r="B3130" t="str">
            <v>Peito S/Opfc Fgo Met 95g Cong Tamb/Coz/Ass Pt 10Kg Conf Alemanha Cx 10Kg</v>
          </cell>
          <cell r="C3130">
            <v>8.1829999999999998</v>
          </cell>
          <cell r="D3130">
            <v>8.1829999999999998</v>
          </cell>
          <cell r="E3130">
            <v>-0.56799999999999995</v>
          </cell>
          <cell r="F3130">
            <v>-0.20699999999999985</v>
          </cell>
        </row>
        <row r="3131">
          <cell r="A3131">
            <v>835731</v>
          </cell>
          <cell r="B3131" t="str">
            <v>Peito S/Opfc Fgo Met 105g Cong Tamb/Coz/Ass Pt 10Kg Conf Alemanha Cx 10Kg</v>
          </cell>
          <cell r="C3131">
            <v>8.1829999999999998</v>
          </cell>
          <cell r="D3131">
            <v>8.1829999999999998</v>
          </cell>
          <cell r="E3131">
            <v>-0.56799999999999995</v>
          </cell>
          <cell r="F3131">
            <v>-0.20699999999999985</v>
          </cell>
        </row>
        <row r="3132">
          <cell r="A3132">
            <v>835748</v>
          </cell>
          <cell r="B3132" t="str">
            <v>Peito S/Opfc Fgo Tiras 12mm Cong Tamb/Coz/Ass Pt 10Kg Conf Alemanha Cx 10Kg</v>
          </cell>
          <cell r="C3132">
            <v>8.1829999999999998</v>
          </cell>
          <cell r="D3132">
            <v>8.1829999999999998</v>
          </cell>
          <cell r="E3132">
            <v>-0.56799999999999995</v>
          </cell>
          <cell r="F3132">
            <v>-0.20699999999999985</v>
          </cell>
        </row>
        <row r="3133">
          <cell r="A3133">
            <v>835749</v>
          </cell>
          <cell r="B3133" t="str">
            <v>Peito+Coxa Sob S/Opfc Fgo Cubos 23mm Tamb/Coz/Ass Pt 10Kg Conf Alemanha Cx 10Kg</v>
          </cell>
          <cell r="C3133">
            <v>4.3860000000000001</v>
          </cell>
          <cell r="D3133">
            <v>4.3860000000000001</v>
          </cell>
          <cell r="E3133">
            <v>-0.38600000000000001</v>
          </cell>
          <cell r="F3133">
            <v>-0.11</v>
          </cell>
        </row>
        <row r="3134">
          <cell r="A3134">
            <v>835750</v>
          </cell>
          <cell r="B3134" t="str">
            <v>Peito+Coxa Sob S/Opfc Fgo Cubos 23mm Tamb/Coz/Ass Pt 10Kg Conf Alemanha Cx 10Kg</v>
          </cell>
          <cell r="C3134">
            <v>4.3860000000000001</v>
          </cell>
          <cell r="D3134">
            <v>4.3860000000000001</v>
          </cell>
          <cell r="E3134">
            <v>-0.38600000000000001</v>
          </cell>
          <cell r="F3134">
            <v>-0.11</v>
          </cell>
        </row>
        <row r="3135">
          <cell r="A3135">
            <v>835751</v>
          </cell>
          <cell r="B3135" t="str">
            <v>Peito(20%)+Coxa Sob(80%) S/Opfc Fgo Cubos 23mm Tamb/Coz/Ass Pt 10Kg Conf Alemanha Cx 10Kg</v>
          </cell>
          <cell r="C3135">
            <v>4.3860000000000001</v>
          </cell>
          <cell r="D3135">
            <v>4.3860000000000001</v>
          </cell>
          <cell r="E3135">
            <v>-0.38600000000000001</v>
          </cell>
          <cell r="F3135">
            <v>-0.11</v>
          </cell>
        </row>
        <row r="3136">
          <cell r="A3136">
            <v>835832</v>
          </cell>
          <cell r="B3136" t="str">
            <v>Peito(20%)+Coxa Sob(80%) S/Opfc Fgo Cubos 23mm Tamb/Coz/Ass Pt 10Kg Conf Alemanha Cx 10Kg</v>
          </cell>
          <cell r="C3136">
            <v>4.3860000000000001</v>
          </cell>
          <cell r="D3136">
            <v>4.3860000000000001</v>
          </cell>
          <cell r="E3136">
            <v>-0.38600000000000001</v>
          </cell>
          <cell r="F3136">
            <v>-0.11</v>
          </cell>
        </row>
        <row r="3137">
          <cell r="A3137">
            <v>835922</v>
          </cell>
          <cell r="B3137" t="str">
            <v>Peito S/Opfc Fgo Met 115g Cong Tamb/Coz/Ass Pt 10Kg Conf Alemanha Cx 10Kg</v>
          </cell>
          <cell r="C3137">
            <v>8.1829999999999998</v>
          </cell>
          <cell r="D3137">
            <v>8.1829999999999998</v>
          </cell>
          <cell r="E3137">
            <v>-0.56799999999999995</v>
          </cell>
          <cell r="F3137">
            <v>-0.20699999999999985</v>
          </cell>
        </row>
        <row r="3138">
          <cell r="A3138">
            <v>837032</v>
          </cell>
          <cell r="B3138" t="str">
            <v>Peito S/Opfc Fgo Cubos 12mm Cong Tamb/Coz Pt 2,5Kg Perd Inglaterra Cx 10Kg</v>
          </cell>
          <cell r="C3138">
            <v>7.5759999999999996</v>
          </cell>
          <cell r="D3138">
            <v>7.5759999999999996</v>
          </cell>
          <cell r="E3138">
            <v>-0.71499999999999997</v>
          </cell>
          <cell r="F3138">
            <v>-0.19</v>
          </cell>
        </row>
        <row r="3139">
          <cell r="A3139">
            <v>837033</v>
          </cell>
          <cell r="B3139" t="str">
            <v>Peito S/Opfc Fgo Cubos 8mm Cong Tamb/Coz Pt 2,5Kg Perd Inglaterra Cx 10Kg</v>
          </cell>
          <cell r="C3139">
            <v>7.5759999999999996</v>
          </cell>
          <cell r="D3139">
            <v>7.5759999999999996</v>
          </cell>
          <cell r="E3139">
            <v>-0.71499999999999997</v>
          </cell>
          <cell r="F3139">
            <v>-0.19</v>
          </cell>
        </row>
        <row r="3140">
          <cell r="A3140">
            <v>837034</v>
          </cell>
          <cell r="B3140" t="str">
            <v>Peito S/Opfc Fgo Tiras 8mm Cong Tamb/Coz Pt 2,5Kg Perd Inglaterra Cx 10Kg</v>
          </cell>
          <cell r="C3140">
            <v>7.5759999999999996</v>
          </cell>
          <cell r="D3140">
            <v>7.5759999999999996</v>
          </cell>
          <cell r="E3140">
            <v>-0.71499999999999997</v>
          </cell>
          <cell r="F3140">
            <v>-0.19</v>
          </cell>
        </row>
        <row r="3141">
          <cell r="A3141">
            <v>837326</v>
          </cell>
          <cell r="B3141" t="str">
            <v>File Peito Fgo S/Pta Tend Cong Tamb/Coz/Ass Pt 10Kg Perd Belgica Cx 10Kg</v>
          </cell>
          <cell r="C3141">
            <v>6.2480000000000002</v>
          </cell>
          <cell r="D3141">
            <v>6.2480000000000002</v>
          </cell>
          <cell r="E3141">
            <v>-0.40400000000000003</v>
          </cell>
          <cell r="F3141">
            <v>-0.185</v>
          </cell>
        </row>
        <row r="3142">
          <cell r="A3142">
            <v>837427</v>
          </cell>
          <cell r="B3142" t="str">
            <v>File Peito Fgo S/Pta Tend Cong Tamb/Coz/Ass Pt 10Kg Perd Belgica Cx 10Kg</v>
          </cell>
          <cell r="C3142">
            <v>6.2480000000000002</v>
          </cell>
          <cell r="D3142">
            <v>6.2480000000000002</v>
          </cell>
          <cell r="E3142">
            <v>-0.40400000000000003</v>
          </cell>
          <cell r="F3142">
            <v>-0.185</v>
          </cell>
        </row>
        <row r="3143">
          <cell r="A3143">
            <v>837366</v>
          </cell>
          <cell r="B3143" t="str">
            <v>Asa Inteira Fgo Cong 80-100g Pt 2Kg Perd Cingapura Cx 12Kg</v>
          </cell>
          <cell r="C3143">
            <v>2.3340000000000001</v>
          </cell>
          <cell r="D3143">
            <v>2.3340000000000001</v>
          </cell>
          <cell r="E3143">
            <v>-0.65100000000000002</v>
          </cell>
          <cell r="F3143">
            <v>-5.5999999999999994E-2</v>
          </cell>
        </row>
        <row r="3144">
          <cell r="A3144">
            <v>837367</v>
          </cell>
          <cell r="B3144" t="str">
            <v>Asa Inteira Fgo Cong 80/Up Pt 2Kg Borella Cingapura Cx 12Kg</v>
          </cell>
          <cell r="C3144">
            <v>2.3340000000000001</v>
          </cell>
          <cell r="D3144">
            <v>2.3340000000000001</v>
          </cell>
          <cell r="E3144">
            <v>-0.65100000000000002</v>
          </cell>
          <cell r="F3144">
            <v>-5.5999999999999994E-2</v>
          </cell>
        </row>
        <row r="3145">
          <cell r="A3145">
            <v>837786</v>
          </cell>
          <cell r="B3145" t="str">
            <v>Moela Fgo Pt 1Kg Perd Hong Kong Cx 16Kg</v>
          </cell>
          <cell r="C3145">
            <v>2.4910000000000001</v>
          </cell>
          <cell r="D3145">
            <v>2.4910000000000001</v>
          </cell>
          <cell r="E3145">
            <v>-0.38900000000000001</v>
          </cell>
          <cell r="F3145">
            <v>-6.0999999999999943E-2</v>
          </cell>
        </row>
        <row r="3146">
          <cell r="A3146">
            <v>837493</v>
          </cell>
          <cell r="B3146" t="str">
            <v>Fgo Griller 1600G Al-Noor E.A.U Cx 12,8Kg</v>
          </cell>
          <cell r="C3146">
            <v>2.8370000000000002</v>
          </cell>
          <cell r="D3146">
            <v>2.8370000000000002</v>
          </cell>
          <cell r="E3146">
            <v>-0.65500000000000003</v>
          </cell>
          <cell r="F3146">
            <v>-6.899999999999995E-2</v>
          </cell>
        </row>
        <row r="3147">
          <cell r="A3147">
            <v>837883</v>
          </cell>
          <cell r="B3147" t="str">
            <v>Asa 1A Jta Drum Fgo Cong 30g/Up Pt 1Kg Borella Cingapura Cx 16Kg</v>
          </cell>
          <cell r="C3147">
            <v>2.94</v>
          </cell>
          <cell r="D3147">
            <v>2.94</v>
          </cell>
          <cell r="E3147">
            <v>-0.66</v>
          </cell>
          <cell r="F3147">
            <v>-7.1000000000000008E-2</v>
          </cell>
        </row>
        <row r="3148">
          <cell r="A3148">
            <v>836025</v>
          </cell>
          <cell r="B3148" t="str">
            <v>COXA SOB C/OP FGO CONG BDJ PERD CARIBE</v>
          </cell>
          <cell r="C3148">
            <v>3.1549999999999998</v>
          </cell>
          <cell r="D3148">
            <v>3.1549999999999998</v>
          </cell>
          <cell r="E3148">
            <v>-0.76400000000000001</v>
          </cell>
          <cell r="F3148">
            <v>-8.3000000000000074E-2</v>
          </cell>
        </row>
        <row r="3149">
          <cell r="A3149">
            <v>836026</v>
          </cell>
          <cell r="B3149" t="str">
            <v>COXA C/OP FGO CONG BDJ PERD CARIBE</v>
          </cell>
          <cell r="C3149">
            <v>3.2080000000000002</v>
          </cell>
          <cell r="D3149">
            <v>3.2080000000000002</v>
          </cell>
          <cell r="E3149">
            <v>-0.73599999999999999</v>
          </cell>
          <cell r="F3149">
            <v>-8.5000000000000006E-2</v>
          </cell>
        </row>
        <row r="3150">
          <cell r="A3150">
            <v>836043</v>
          </cell>
          <cell r="B3150" t="str">
            <v>FILE PEITO FGO CONG C/TENDAO PERD KOSOVO</v>
          </cell>
          <cell r="C3150">
            <v>5.306</v>
          </cell>
          <cell r="D3150">
            <v>5.306</v>
          </cell>
          <cell r="E3150">
            <v>-0.56299999999999994</v>
          </cell>
          <cell r="F3150">
            <v>-0.12300000000000022</v>
          </cell>
        </row>
        <row r="3151">
          <cell r="A3151">
            <v>836046</v>
          </cell>
          <cell r="B3151" t="str">
            <v>COXA C/OP FGO CONG BDJ PERD KOSOVO</v>
          </cell>
          <cell r="C3151">
            <v>3.0390000000000001</v>
          </cell>
          <cell r="D3151">
            <v>3.0390000000000001</v>
          </cell>
          <cell r="E3151">
            <v>-0.56299999999999994</v>
          </cell>
          <cell r="F3151">
            <v>-6.9000000000000061E-2</v>
          </cell>
        </row>
        <row r="3152">
          <cell r="A3152">
            <v>836047</v>
          </cell>
          <cell r="B3152" t="str">
            <v>SOBRECOXA C/OP FGO CONG BDJ PERD KOSOVO</v>
          </cell>
          <cell r="C3152">
            <v>3.1360000000000001</v>
          </cell>
          <cell r="D3152">
            <v>3.1360000000000001</v>
          </cell>
          <cell r="E3152">
            <v>-0.56299999999999994</v>
          </cell>
          <cell r="F3152">
            <v>-7.1000000000000063E-2</v>
          </cell>
        </row>
        <row r="3153">
          <cell r="A3153">
            <v>836048</v>
          </cell>
          <cell r="B3153" t="str">
            <v>MORTADELA CONF MINI CONG PERD KOSOVO</v>
          </cell>
          <cell r="C3153">
            <v>2.774</v>
          </cell>
          <cell r="D3153">
            <v>2.774</v>
          </cell>
          <cell r="E3153">
            <v>-0.57899999999999996</v>
          </cell>
          <cell r="F3153">
            <v>-6.2999999999999945E-2</v>
          </cell>
        </row>
        <row r="3154">
          <cell r="A3154">
            <v>836051</v>
          </cell>
          <cell r="B3154" t="str">
            <v>PEITO S/O FGO CONG FORM/EMP/COZ PT CANAR</v>
          </cell>
          <cell r="C3154">
            <v>5.9560000000000004</v>
          </cell>
          <cell r="D3154">
            <v>5.9560000000000004</v>
          </cell>
          <cell r="E3154">
            <v>-0.438</v>
          </cell>
          <cell r="F3154">
            <v>-0.1509999999999998</v>
          </cell>
        </row>
        <row r="3155">
          <cell r="A3155">
            <v>836059</v>
          </cell>
          <cell r="B3155" t="str">
            <v>COXA SOB C/OP FGO CONG 200G/UP PERD ESPA</v>
          </cell>
          <cell r="C3155">
            <v>2.3109999999999999</v>
          </cell>
          <cell r="D3155">
            <v>2.3109999999999999</v>
          </cell>
          <cell r="E3155">
            <v>-0.44600000000000001</v>
          </cell>
          <cell r="F3155">
            <v>-5.3000000000000047E-2</v>
          </cell>
        </row>
        <row r="3156">
          <cell r="A3156">
            <v>836060</v>
          </cell>
          <cell r="B3156" t="str">
            <v>PEITO S/OPC C/F PERU CONG 2000G/UP ESPAN</v>
          </cell>
          <cell r="C3156">
            <v>7.34</v>
          </cell>
          <cell r="D3156">
            <v>7.34</v>
          </cell>
          <cell r="E3156">
            <v>-0.627</v>
          </cell>
          <cell r="F3156">
            <v>-0.16699999999999982</v>
          </cell>
        </row>
        <row r="3157">
          <cell r="A3157">
            <v>836146</v>
          </cell>
          <cell r="B3157" t="str">
            <v>PEITO S/O C/P FGO CONG BDJ HALAL OMAN</v>
          </cell>
          <cell r="C3157">
            <v>6.6849999999999996</v>
          </cell>
          <cell r="D3157">
            <v>6.6849999999999996</v>
          </cell>
          <cell r="E3157">
            <v>-0.77700000000000002</v>
          </cell>
          <cell r="F3157">
            <v>-0.155</v>
          </cell>
        </row>
        <row r="3158">
          <cell r="A3158">
            <v>836152</v>
          </cell>
          <cell r="B3158" t="str">
            <v>SOBRECOXA S/O C/P FGO CONG HALAL OMAN</v>
          </cell>
          <cell r="C3158">
            <v>4.26</v>
          </cell>
          <cell r="D3158">
            <v>4.26</v>
          </cell>
          <cell r="E3158">
            <v>-0.71</v>
          </cell>
          <cell r="F3158">
            <v>-9.8000000000000087E-2</v>
          </cell>
        </row>
        <row r="3159">
          <cell r="A3159">
            <v>836212</v>
          </cell>
          <cell r="B3159" t="str">
            <v>PEITO S/OPFC FGO CONG CUB 19MM TA/CO ING</v>
          </cell>
          <cell r="C3159">
            <v>7.827</v>
          </cell>
          <cell r="D3159">
            <v>7.827</v>
          </cell>
          <cell r="E3159">
            <v>-0.53900000000000003</v>
          </cell>
          <cell r="F3159">
            <v>-0.17899999999999983</v>
          </cell>
        </row>
        <row r="3160">
          <cell r="A3160">
            <v>836274</v>
          </cell>
          <cell r="B3160" t="str">
            <v>PEITO S/OPC C/F PERU CONG MET BAT KUWAIT</v>
          </cell>
          <cell r="C3160">
            <v>8.1790000000000003</v>
          </cell>
          <cell r="D3160">
            <v>8.1790000000000003</v>
          </cell>
          <cell r="E3160">
            <v>-1.0189999999999999</v>
          </cell>
          <cell r="F3160">
            <v>-0.22699999999999987</v>
          </cell>
        </row>
        <row r="3161">
          <cell r="A3161">
            <v>836302</v>
          </cell>
          <cell r="B3161" t="str">
            <v>SALSICHA FGO CONG PT 375G PERD BAHRAIN</v>
          </cell>
          <cell r="C3161">
            <v>2.4329999999999998</v>
          </cell>
          <cell r="D3161">
            <v>2.4329999999999998</v>
          </cell>
          <cell r="E3161">
            <v>-0.71899999999999997</v>
          </cell>
          <cell r="F3161">
            <v>-5.3999999999999992E-2</v>
          </cell>
        </row>
        <row r="3162">
          <cell r="A3162">
            <v>836306</v>
          </cell>
          <cell r="B3162" t="str">
            <v>LASANHA BOLONHESA BDJ CONG PERD KOSOVO</v>
          </cell>
          <cell r="C3162">
            <v>4.4649999999999999</v>
          </cell>
          <cell r="D3162">
            <v>4.4649999999999999</v>
          </cell>
          <cell r="E3162">
            <v>-0.58899999999999997</v>
          </cell>
          <cell r="F3162">
            <v>-9.9000000000000199E-2</v>
          </cell>
        </row>
        <row r="3163">
          <cell r="A3163">
            <v>836310</v>
          </cell>
          <cell r="B3163" t="str">
            <v>PIZZA PRESUNTO/CHAMPIGNON PERD KOSOVO</v>
          </cell>
          <cell r="C3163">
            <v>7.91</v>
          </cell>
          <cell r="D3163">
            <v>7.91</v>
          </cell>
          <cell r="E3163">
            <v>-0.58899999999999997</v>
          </cell>
          <cell r="F3163">
            <v>-0.17899999999999983</v>
          </cell>
        </row>
        <row r="3164">
          <cell r="A3164">
            <v>836319</v>
          </cell>
          <cell r="B3164" t="str">
            <v>SALAME ITALIANO CONG PERD KOSOVO CX 5KG</v>
          </cell>
          <cell r="C3164">
            <v>9.9719999999999995</v>
          </cell>
          <cell r="D3164">
            <v>9.9719999999999995</v>
          </cell>
          <cell r="E3164">
            <v>-0.64800000000000002</v>
          </cell>
          <cell r="F3164">
            <v>-0.22799999999999976</v>
          </cell>
        </row>
        <row r="3165">
          <cell r="A3165">
            <v>836320</v>
          </cell>
          <cell r="B3165" t="str">
            <v>LINGUICA FGO CONG PT 5KG PERD KOSOVO</v>
          </cell>
          <cell r="C3165">
            <v>3.702</v>
          </cell>
          <cell r="D3165">
            <v>3.702</v>
          </cell>
          <cell r="E3165">
            <v>-0.64200000000000002</v>
          </cell>
          <cell r="F3165">
            <v>-8.0999999999999961E-2</v>
          </cell>
        </row>
        <row r="3166">
          <cell r="A3166">
            <v>836322</v>
          </cell>
          <cell r="B3166" t="str">
            <v>RECHEADO CREME CHAMPIGNON PERD KOSOVO</v>
          </cell>
          <cell r="C3166">
            <v>5.7539999999999996</v>
          </cell>
          <cell r="D3166">
            <v>5.7539999999999996</v>
          </cell>
          <cell r="E3166">
            <v>-0.66700000000000004</v>
          </cell>
          <cell r="F3166">
            <v>-0.129</v>
          </cell>
        </row>
        <row r="3167">
          <cell r="A3167">
            <v>836325</v>
          </cell>
          <cell r="B3167" t="str">
            <v>SOBRECOXA FGO CONG EMPANADO PERD KOSOVO</v>
          </cell>
          <cell r="C3167">
            <v>5.4980000000000002</v>
          </cell>
          <cell r="D3167">
            <v>5.4980000000000002</v>
          </cell>
          <cell r="E3167">
            <v>-0.66700000000000004</v>
          </cell>
          <cell r="F3167">
            <v>-0.12399999999999989</v>
          </cell>
        </row>
        <row r="3168">
          <cell r="A3168">
            <v>836328</v>
          </cell>
          <cell r="B3168" t="str">
            <v>FRANGO INT DESOS TEMP PERD KOSOVO CX 10K</v>
          </cell>
          <cell r="C3168">
            <v>4.22</v>
          </cell>
          <cell r="D3168">
            <v>4.22</v>
          </cell>
          <cell r="E3168">
            <v>-0.66600000000000004</v>
          </cell>
          <cell r="F3168">
            <v>-9.4000000000000083E-2</v>
          </cell>
        </row>
        <row r="3169">
          <cell r="A3169">
            <v>836341</v>
          </cell>
          <cell r="B3169" t="str">
            <v>PEITO S/OPFC FGO CONG 160G/UP SALM HOLAN</v>
          </cell>
          <cell r="C3169">
            <v>6.548</v>
          </cell>
          <cell r="D3169">
            <v>6.548</v>
          </cell>
          <cell r="E3169">
            <v>-0.38200000000000001</v>
          </cell>
          <cell r="F3169">
            <v>-0.15</v>
          </cell>
        </row>
        <row r="3170">
          <cell r="A3170">
            <v>836357</v>
          </cell>
          <cell r="B3170" t="str">
            <v>MINI CHICKEN FGO CONG PT 1KG PERD CARIBE</v>
          </cell>
          <cell r="C3170">
            <v>3.121</v>
          </cell>
          <cell r="D3170">
            <v>3.121</v>
          </cell>
          <cell r="E3170">
            <v>-0.10100000000000001</v>
          </cell>
          <cell r="F3170">
            <v>-7.4999999999999997E-2</v>
          </cell>
        </row>
        <row r="3171">
          <cell r="A3171">
            <v>836420</v>
          </cell>
          <cell r="B3171" t="str">
            <v>ASA INT PERU CONG ITF PERD AFRICA SUL</v>
          </cell>
          <cell r="C3171">
            <v>1.847</v>
          </cell>
          <cell r="D3171">
            <v>1.847</v>
          </cell>
          <cell r="E3171">
            <v>-0.49</v>
          </cell>
          <cell r="F3171">
            <v>-4.4999999999999998E-2</v>
          </cell>
        </row>
        <row r="3172">
          <cell r="A3172">
            <v>836421</v>
          </cell>
          <cell r="B3172" t="str">
            <v>FRANGO GRILLER 1600G CONG PERD FRANCA</v>
          </cell>
          <cell r="C3172">
            <v>2.5950000000000002</v>
          </cell>
          <cell r="D3172">
            <v>2.5950000000000002</v>
          </cell>
          <cell r="E3172">
            <v>-0.437</v>
          </cell>
          <cell r="F3172">
            <v>-5.9000000000000052E-2</v>
          </cell>
        </row>
        <row r="3173">
          <cell r="A3173">
            <v>836462</v>
          </cell>
          <cell r="B3173" t="str">
            <v>SALSICHA FGO CONG PT 375G PERD EAU</v>
          </cell>
          <cell r="C3173">
            <v>2.8140000000000001</v>
          </cell>
          <cell r="D3173">
            <v>2.8140000000000001</v>
          </cell>
          <cell r="E3173">
            <v>-0.67400000000000004</v>
          </cell>
          <cell r="F3173">
            <v>-6.1000000000000054E-2</v>
          </cell>
        </row>
        <row r="3174">
          <cell r="A3174">
            <v>836502</v>
          </cell>
          <cell r="B3174" t="str">
            <v>COXA SOB S/O C/P FGO CONG 220-240G CINGA</v>
          </cell>
          <cell r="C3174">
            <v>4.0119999999999996</v>
          </cell>
          <cell r="D3174">
            <v>4.0119999999999996</v>
          </cell>
          <cell r="E3174">
            <v>-0.66500000000000004</v>
          </cell>
          <cell r="F3174">
            <v>-8.8999999999999968E-2</v>
          </cell>
        </row>
        <row r="3175">
          <cell r="A3175">
            <v>836536</v>
          </cell>
          <cell r="B3175" t="str">
            <v>COXA SOB C/OP FGO CONG 200G/UP CABO VERD</v>
          </cell>
          <cell r="C3175">
            <v>1.998</v>
          </cell>
          <cell r="D3175">
            <v>1.998</v>
          </cell>
          <cell r="E3175">
            <v>-9.9000000000000005E-2</v>
          </cell>
          <cell r="F3175">
            <v>-4.7000000000000042E-2</v>
          </cell>
        </row>
        <row r="3176">
          <cell r="A3176">
            <v>836537</v>
          </cell>
          <cell r="B3176" t="str">
            <v>ASA INT FGO CONG 100-120G PERD CABO VERD</v>
          </cell>
          <cell r="C3176">
            <v>1.998</v>
          </cell>
          <cell r="D3176">
            <v>1.998</v>
          </cell>
          <cell r="E3176">
            <v>-9.9000000000000005E-2</v>
          </cell>
          <cell r="F3176">
            <v>-4.8000000000000043E-2</v>
          </cell>
        </row>
        <row r="3177">
          <cell r="A3177">
            <v>836538</v>
          </cell>
          <cell r="B3177" t="str">
            <v>ASA INT FGO CONG 120-150G PERD CABO VERD</v>
          </cell>
          <cell r="C3177">
            <v>1.998</v>
          </cell>
          <cell r="D3177">
            <v>1.998</v>
          </cell>
          <cell r="E3177">
            <v>-9.9000000000000005E-2</v>
          </cell>
          <cell r="F3177">
            <v>-4.6999999999999931E-2</v>
          </cell>
        </row>
        <row r="3178">
          <cell r="A3178">
            <v>836556</v>
          </cell>
          <cell r="B3178" t="str">
            <v>ASA 1A JTA FGO CONG 30-40G PT PERD KUWAI</v>
          </cell>
          <cell r="C3178">
            <v>3.3170000000000002</v>
          </cell>
          <cell r="D3178">
            <v>3.3170000000000002</v>
          </cell>
          <cell r="E3178">
            <v>-0.73</v>
          </cell>
          <cell r="F3178">
            <v>-7.2999999999999954E-2</v>
          </cell>
        </row>
        <row r="3179">
          <cell r="A3179">
            <v>836557</v>
          </cell>
          <cell r="B3179" t="str">
            <v>COXA C/OP FGO CONG DRUM 70-90G PT KUWAIT</v>
          </cell>
          <cell r="C3179">
            <v>4.2089999999999996</v>
          </cell>
          <cell r="D3179">
            <v>4.2089999999999996</v>
          </cell>
          <cell r="E3179">
            <v>-0.754</v>
          </cell>
          <cell r="F3179">
            <v>-9.2999999999999972E-2</v>
          </cell>
        </row>
        <row r="3180">
          <cell r="A3180">
            <v>836558</v>
          </cell>
          <cell r="B3180" t="str">
            <v>SOBRECOXA C/OP FGO CONG 80-100G PT KUWAI</v>
          </cell>
          <cell r="C3180">
            <v>3.9540000000000002</v>
          </cell>
          <cell r="D3180">
            <v>3.9540000000000002</v>
          </cell>
          <cell r="E3180">
            <v>-0.747</v>
          </cell>
          <cell r="F3180">
            <v>-8.7999999999999856E-2</v>
          </cell>
        </row>
        <row r="3181">
          <cell r="A3181">
            <v>836560</v>
          </cell>
          <cell r="B3181" t="str">
            <v>ASA S/PTA FGO CONG 50-70G PT PERD KUWAIT</v>
          </cell>
          <cell r="C3181">
            <v>3.38</v>
          </cell>
          <cell r="D3181">
            <v>3.38</v>
          </cell>
          <cell r="E3181">
            <v>-0.73099999999999998</v>
          </cell>
          <cell r="F3181">
            <v>-7.4000000000000066E-2</v>
          </cell>
        </row>
        <row r="3182">
          <cell r="A3182">
            <v>836597</v>
          </cell>
          <cell r="B3182" t="str">
            <v>SOBREC C/OP FGO CONG 160-180G PERD CINGA</v>
          </cell>
          <cell r="C3182">
            <v>2.5529999999999999</v>
          </cell>
          <cell r="D3182">
            <v>2.5529999999999999</v>
          </cell>
          <cell r="E3182">
            <v>-0.63300000000000001</v>
          </cell>
          <cell r="F3182">
            <v>-6.0999999999999999E-2</v>
          </cell>
        </row>
        <row r="3183">
          <cell r="A3183">
            <v>836598</v>
          </cell>
          <cell r="B3183" t="str">
            <v>SOBREC C/OP FGO CONG 180-200G PERD CINGA</v>
          </cell>
          <cell r="C3183">
            <v>2.6659999999999999</v>
          </cell>
          <cell r="D3183">
            <v>2.6659999999999999</v>
          </cell>
          <cell r="E3183">
            <v>-0.65300000000000002</v>
          </cell>
          <cell r="F3183">
            <v>-6.5000000000000002E-2</v>
          </cell>
        </row>
        <row r="3184">
          <cell r="A3184">
            <v>836652</v>
          </cell>
          <cell r="B3184" t="str">
            <v>ASA INT FGO CONG 100G/UP BDJ PERD CARIBE</v>
          </cell>
          <cell r="C3184">
            <v>2.39</v>
          </cell>
          <cell r="D3184">
            <v>2.39</v>
          </cell>
          <cell r="E3184">
            <v>-0.67800000000000005</v>
          </cell>
          <cell r="F3184">
            <v>-5.099999999999999E-2</v>
          </cell>
        </row>
        <row r="3185">
          <cell r="A3185">
            <v>836653</v>
          </cell>
          <cell r="B3185" t="str">
            <v>COXA SOB S/OP FGO CONG ITF PERD CARIBE</v>
          </cell>
          <cell r="C3185">
            <v>4.181</v>
          </cell>
          <cell r="D3185">
            <v>4.181</v>
          </cell>
          <cell r="E3185">
            <v>-0.71499999999999997</v>
          </cell>
          <cell r="F3185">
            <v>-9.2000000000000082E-2</v>
          </cell>
        </row>
        <row r="3186">
          <cell r="A3186">
            <v>836655</v>
          </cell>
          <cell r="B3186" t="str">
            <v>LASANHA 4 QUEIJOS CONG CART 650G JAPAO</v>
          </cell>
          <cell r="C3186">
            <v>4.7610000000000001</v>
          </cell>
          <cell r="D3186">
            <v>4.7610000000000001</v>
          </cell>
          <cell r="E3186">
            <v>-6.6000000000000003E-2</v>
          </cell>
          <cell r="F3186">
            <v>-0.123</v>
          </cell>
        </row>
        <row r="3187">
          <cell r="A3187">
            <v>836656</v>
          </cell>
          <cell r="B3187" t="str">
            <v>PIZZA MUSSARELA 12 CART 440G PERD JAPAO</v>
          </cell>
          <cell r="C3187">
            <v>9.8019999999999996</v>
          </cell>
          <cell r="D3187">
            <v>9.8019999999999996</v>
          </cell>
          <cell r="E3187">
            <v>-6.5000000000000002E-2</v>
          </cell>
          <cell r="F3187">
            <v>-0.253</v>
          </cell>
        </row>
        <row r="3188">
          <cell r="A3188">
            <v>836657</v>
          </cell>
          <cell r="B3188" t="str">
            <v>PAO QUEIJO CONG PT 500G MONICA JAPAO</v>
          </cell>
          <cell r="C3188">
            <v>4.6210000000000004</v>
          </cell>
          <cell r="D3188">
            <v>4.6210000000000004</v>
          </cell>
          <cell r="E3188">
            <v>-6.5000000000000002E-2</v>
          </cell>
          <cell r="F3188">
            <v>-0.11899999999999999</v>
          </cell>
        </row>
        <row r="3189">
          <cell r="A3189">
            <v>836658</v>
          </cell>
          <cell r="B3189" t="str">
            <v>MINI PIZZA MUSSARELA MONICA JAPAO</v>
          </cell>
          <cell r="C3189">
            <v>9.8019999999999996</v>
          </cell>
          <cell r="D3189">
            <v>9.8019999999999996</v>
          </cell>
          <cell r="E3189">
            <v>-6.5000000000000002E-2</v>
          </cell>
          <cell r="F3189">
            <v>-0.25299999999999989</v>
          </cell>
        </row>
        <row r="3190">
          <cell r="A3190">
            <v>836669</v>
          </cell>
          <cell r="B3190" t="str">
            <v>PEITO S/OPFC FGO CONG MET 80G/UP BELGICA</v>
          </cell>
          <cell r="C3190">
            <v>7.4130000000000003</v>
          </cell>
          <cell r="D3190">
            <v>7.4130000000000003</v>
          </cell>
          <cell r="E3190">
            <v>-0.38</v>
          </cell>
          <cell r="F3190">
            <v>-0.17099999999999982</v>
          </cell>
        </row>
        <row r="3191">
          <cell r="A3191">
            <v>836684</v>
          </cell>
          <cell r="B3191" t="str">
            <v xml:space="preserve">Sambiquira Peru Cong Bl 7,5Kg Perd Africa do Sul Cx 15Kg </v>
          </cell>
          <cell r="C3191">
            <v>0.86699999999999999</v>
          </cell>
          <cell r="D3191">
            <v>0.76700000000000002</v>
          </cell>
          <cell r="E3191">
            <v>-0.186</v>
          </cell>
          <cell r="F3191">
            <v>-0.1</v>
          </cell>
        </row>
        <row r="3192">
          <cell r="A3192">
            <v>836713</v>
          </cell>
          <cell r="B3192" t="str">
            <v>SOBRECOXA S/OP PERU CONG BL ILHAS CANARI</v>
          </cell>
          <cell r="C3192">
            <v>4.673</v>
          </cell>
          <cell r="D3192">
            <v>4.673</v>
          </cell>
          <cell r="E3192">
            <v>-0.502</v>
          </cell>
          <cell r="F3192">
            <v>-0.11799999999999988</v>
          </cell>
        </row>
        <row r="3193">
          <cell r="A3193">
            <v>836796</v>
          </cell>
          <cell r="B3193" t="str">
            <v>PEITO S/OPFC FGO CONG MET TAMB/COZ INGLA</v>
          </cell>
          <cell r="C3193">
            <v>8.2680000000000007</v>
          </cell>
          <cell r="D3193">
            <v>8.2680000000000007</v>
          </cell>
          <cell r="E3193">
            <v>-0.60799999999999998</v>
          </cell>
          <cell r="F3193">
            <v>-0.23</v>
          </cell>
        </row>
        <row r="3194">
          <cell r="A3194">
            <v>837032</v>
          </cell>
          <cell r="B3194" t="str">
            <v>PEITO S/OPFC FGO CONG CUB 12MM TA/CO ING</v>
          </cell>
          <cell r="C3194">
            <v>7.851</v>
          </cell>
          <cell r="D3194">
            <v>7.851</v>
          </cell>
          <cell r="E3194">
            <v>-0.63300000000000001</v>
          </cell>
          <cell r="F3194">
            <v>-0.21800000000000019</v>
          </cell>
        </row>
        <row r="3195">
          <cell r="A3195">
            <v>837033</v>
          </cell>
          <cell r="B3195" t="str">
            <v>PEITO S/OPFC FGO CONG CUB 8MM TA/CO INGL</v>
          </cell>
          <cell r="C3195">
            <v>7.9279999999999999</v>
          </cell>
          <cell r="D3195">
            <v>7.9279999999999999</v>
          </cell>
          <cell r="E3195">
            <v>-0.63800000000000001</v>
          </cell>
          <cell r="F3195">
            <v>-0.22</v>
          </cell>
        </row>
        <row r="3196">
          <cell r="A3196">
            <v>837034</v>
          </cell>
          <cell r="B3196" t="str">
            <v>PEITO S/OPFC FGO CONG TIRA 8MM TA/CO ING</v>
          </cell>
          <cell r="C3196">
            <v>7.9279999999999999</v>
          </cell>
          <cell r="D3196">
            <v>7.9279999999999999</v>
          </cell>
          <cell r="E3196">
            <v>-0.63800000000000001</v>
          </cell>
          <cell r="F3196">
            <v>-0.22100000000000009</v>
          </cell>
        </row>
        <row r="3197">
          <cell r="A3197">
            <v>837053</v>
          </cell>
          <cell r="B3197" t="str">
            <v>ASA INT FGO CONG 80-100G ITF PERD RUSSIA</v>
          </cell>
          <cell r="C3197">
            <v>1.9059999999999999</v>
          </cell>
          <cell r="D3197">
            <v>1.9059999999999999</v>
          </cell>
          <cell r="E3197">
            <v>-0.53600000000000003</v>
          </cell>
          <cell r="F3197">
            <v>-4.5999999999999999E-2</v>
          </cell>
        </row>
        <row r="3198">
          <cell r="A3198">
            <v>837055</v>
          </cell>
          <cell r="B3198" t="str">
            <v>SALSICHA FGO CONG PT 375G PERD KOSOVO</v>
          </cell>
          <cell r="C3198">
            <v>2.8090000000000002</v>
          </cell>
          <cell r="D3198">
            <v>2.8090000000000002</v>
          </cell>
          <cell r="E3198">
            <v>-0.59799999999999998</v>
          </cell>
          <cell r="F3198">
            <v>-6.0999999999999943E-2</v>
          </cell>
        </row>
        <row r="3199">
          <cell r="A3199">
            <v>837056</v>
          </cell>
          <cell r="B3199" t="str">
            <v>CHESTER INT C/TEMP S/M CONG PERD JAPAO</v>
          </cell>
          <cell r="C3199">
            <v>3.7090000000000001</v>
          </cell>
          <cell r="D3199">
            <v>3.7090000000000001</v>
          </cell>
          <cell r="E3199">
            <v>-0.13500000000000001</v>
          </cell>
          <cell r="F3199">
            <v>-0.10599999999999987</v>
          </cell>
        </row>
        <row r="3200">
          <cell r="A3200">
            <v>837079</v>
          </cell>
          <cell r="B3200" t="str">
            <v>ASA 1A JTA FGO CONG 30G/UP PT UNEF CINGA</v>
          </cell>
          <cell r="C3200">
            <v>3.1909999999999998</v>
          </cell>
          <cell r="D3200">
            <v>3.1909999999999998</v>
          </cell>
          <cell r="E3200">
            <v>-0.65400000000000003</v>
          </cell>
          <cell r="F3200">
            <v>-7.0999999999999952E-2</v>
          </cell>
        </row>
        <row r="3201">
          <cell r="A3201">
            <v>837122</v>
          </cell>
          <cell r="B3201" t="str">
            <v>PEITO PERU S/O C/P TEMP BUT 2,5KG/UP ING</v>
          </cell>
          <cell r="C3201">
            <v>6.6130000000000004</v>
          </cell>
          <cell r="D3201">
            <v>6.6130000000000004</v>
          </cell>
          <cell r="E3201">
            <v>-0.41099999999999998</v>
          </cell>
          <cell r="F3201">
            <v>-0.16800000000000015</v>
          </cell>
        </row>
        <row r="3202">
          <cell r="A3202">
            <v>837123</v>
          </cell>
          <cell r="B3202" t="str">
            <v>PEITO S/OPFC FGO CONG MET SALM 110-130G</v>
          </cell>
          <cell r="C3202">
            <v>6.359</v>
          </cell>
          <cell r="D3202">
            <v>6.359</v>
          </cell>
          <cell r="E3202">
            <v>-0.67700000000000005</v>
          </cell>
          <cell r="F3202">
            <v>-0.16100000000000003</v>
          </cell>
        </row>
        <row r="3203">
          <cell r="A3203">
            <v>837124</v>
          </cell>
          <cell r="B3203" t="str">
            <v>PEITO S/OPFC FGO CONG MET 90GR/UP R.TCHE</v>
          </cell>
          <cell r="C3203">
            <v>5.9249999999999998</v>
          </cell>
          <cell r="D3203">
            <v>5.9249999999999998</v>
          </cell>
          <cell r="E3203">
            <v>-0.60199999999999998</v>
          </cell>
          <cell r="F3203">
            <v>-0.14900000000000002</v>
          </cell>
        </row>
        <row r="3204">
          <cell r="A3204">
            <v>837125</v>
          </cell>
          <cell r="B3204" t="str">
            <v>PEITO S/OPFC FGO CONG MET 90GR/UP R.TCHE</v>
          </cell>
          <cell r="C3204">
            <v>5.8609999999999998</v>
          </cell>
          <cell r="D3204">
            <v>5.8609999999999998</v>
          </cell>
          <cell r="E3204">
            <v>-0.59099999999999997</v>
          </cell>
          <cell r="F3204">
            <v>-0.1469999999999998</v>
          </cell>
        </row>
        <row r="3205">
          <cell r="A3205">
            <v>837156</v>
          </cell>
          <cell r="B3205" t="str">
            <v>ASA INT FGO CONG 80G/UP ITF PERD CARIBE</v>
          </cell>
          <cell r="C3205">
            <v>1.899</v>
          </cell>
          <cell r="D3205">
            <v>1.899</v>
          </cell>
          <cell r="E3205">
            <v>-9.6000000000000002E-2</v>
          </cell>
          <cell r="F3205">
            <v>-4.8999999999999988E-2</v>
          </cell>
        </row>
        <row r="3206">
          <cell r="A3206">
            <v>837171</v>
          </cell>
          <cell r="B3206" t="str">
            <v>PEITO S/OPFC FGO CONG PT 2,5KG BOREL EAU</v>
          </cell>
          <cell r="C3206">
            <v>7.2839999999999998</v>
          </cell>
          <cell r="D3206">
            <v>7.2839999999999998</v>
          </cell>
          <cell r="E3206">
            <v>-0.88100000000000001</v>
          </cell>
          <cell r="F3206">
            <v>-0.18399999999999972</v>
          </cell>
        </row>
        <row r="3207">
          <cell r="A3207">
            <v>837187</v>
          </cell>
          <cell r="B3207" t="str">
            <v>FILE PEITO FGO CONG S/PTA TEND BOREL EAU</v>
          </cell>
          <cell r="C3207">
            <v>6.1630000000000003</v>
          </cell>
          <cell r="D3207">
            <v>6.1630000000000003</v>
          </cell>
          <cell r="E3207">
            <v>-0.84599999999999997</v>
          </cell>
          <cell r="F3207">
            <v>-0.15399999999999991</v>
          </cell>
        </row>
        <row r="3208">
          <cell r="A3208">
            <v>837188</v>
          </cell>
          <cell r="B3208" t="str">
            <v>COXA SOB S/OP FGO CONG BL PERD JAPAO</v>
          </cell>
          <cell r="C3208">
            <v>4.0720000000000001</v>
          </cell>
          <cell r="D3208">
            <v>4.0720000000000001</v>
          </cell>
          <cell r="E3208">
            <v>-0.67300000000000004</v>
          </cell>
          <cell r="F3208">
            <v>-0.10099999999999998</v>
          </cell>
        </row>
        <row r="3209">
          <cell r="A3209">
            <v>837326</v>
          </cell>
          <cell r="B3209" t="str">
            <v>FILE PEITO FGO CONG S/PTA TEND PERD BELG</v>
          </cell>
          <cell r="C3209">
            <v>7.5110000000000001</v>
          </cell>
          <cell r="D3209">
            <v>7.5110000000000001</v>
          </cell>
          <cell r="E3209">
            <v>-0.71599999999999997</v>
          </cell>
          <cell r="F3209">
            <v>-0.20800000000000018</v>
          </cell>
        </row>
        <row r="3210">
          <cell r="A3210">
            <v>837327</v>
          </cell>
          <cell r="B3210" t="str">
            <v>FRANGO BROILER 1000G CONG PERD FILIPINAS</v>
          </cell>
          <cell r="C3210">
            <v>2.5640000000000001</v>
          </cell>
          <cell r="D3210">
            <v>2.5640000000000001</v>
          </cell>
          <cell r="E3210">
            <v>-0.67300000000000004</v>
          </cell>
          <cell r="F3210">
            <v>-6.2000000000000055E-2</v>
          </cell>
        </row>
        <row r="3211">
          <cell r="A3211">
            <v>837328</v>
          </cell>
          <cell r="B3211" t="str">
            <v>FRANGO BROILER 1100G CONG PERD FILIPINAS</v>
          </cell>
          <cell r="C3211">
            <v>2.5640000000000001</v>
          </cell>
          <cell r="D3211">
            <v>2.5640000000000001</v>
          </cell>
          <cell r="E3211">
            <v>-0.67300000000000004</v>
          </cell>
          <cell r="F3211">
            <v>-6.0999999999999943E-2</v>
          </cell>
        </row>
        <row r="3212">
          <cell r="A3212">
            <v>837329</v>
          </cell>
          <cell r="B3212" t="str">
            <v>FRANGO BROILER 1200G CONG PERD FILIPINAS</v>
          </cell>
          <cell r="C3212">
            <v>2.5640000000000001</v>
          </cell>
          <cell r="D3212">
            <v>2.5640000000000001</v>
          </cell>
          <cell r="E3212">
            <v>-0.67300000000000004</v>
          </cell>
          <cell r="F3212">
            <v>-6.0999999999999943E-2</v>
          </cell>
        </row>
        <row r="3213">
          <cell r="A3213">
            <v>837330</v>
          </cell>
          <cell r="B3213" t="str">
            <v>FRANGO BROILER 1300G CONG PERD FILIPINAS</v>
          </cell>
          <cell r="C3213">
            <v>2.5640000000000001</v>
          </cell>
          <cell r="D3213">
            <v>2.5640000000000001</v>
          </cell>
          <cell r="E3213">
            <v>-0.67300000000000004</v>
          </cell>
          <cell r="F3213">
            <v>-6.0999999999999943E-2</v>
          </cell>
        </row>
        <row r="3214">
          <cell r="A3214">
            <v>837331</v>
          </cell>
          <cell r="B3214" t="str">
            <v>FRANGO BROILER 1400G CONG PERD FILIPINAS</v>
          </cell>
          <cell r="C3214">
            <v>2.5640000000000001</v>
          </cell>
          <cell r="D3214">
            <v>2.5640000000000001</v>
          </cell>
          <cell r="E3214">
            <v>-0.67300000000000004</v>
          </cell>
          <cell r="F3214">
            <v>-6.1999999999999944E-2</v>
          </cell>
        </row>
        <row r="3215">
          <cell r="A3215">
            <v>837342</v>
          </cell>
          <cell r="B3215" t="str">
            <v>FRANGO BROILER 1500G CONG PERD FILIPINAS</v>
          </cell>
          <cell r="C3215">
            <v>2.5640000000000001</v>
          </cell>
          <cell r="D3215">
            <v>2.5640000000000001</v>
          </cell>
          <cell r="E3215">
            <v>-0.67300000000000004</v>
          </cell>
          <cell r="F3215">
            <v>-6.2000000000000055E-2</v>
          </cell>
        </row>
        <row r="3216">
          <cell r="A3216">
            <v>837346</v>
          </cell>
          <cell r="B3216" t="str">
            <v>PEITO S/OPFC FGO CONG MET 80G/UP BL ROME</v>
          </cell>
          <cell r="C3216">
            <v>5.5650000000000004</v>
          </cell>
          <cell r="D3216">
            <v>5.5650000000000004</v>
          </cell>
          <cell r="E3216">
            <v>-0.71299999999999997</v>
          </cell>
          <cell r="F3216">
            <v>-0.15200000000000014</v>
          </cell>
        </row>
        <row r="3217">
          <cell r="A3217">
            <v>837368</v>
          </cell>
          <cell r="B3217" t="str">
            <v>STEAK FGO CONG EMP PT PERD HONG KONG</v>
          </cell>
          <cell r="C3217">
            <v>2.9870000000000001</v>
          </cell>
          <cell r="D3217">
            <v>2.9870000000000001</v>
          </cell>
          <cell r="E3217">
            <v>-0.13600000000000001</v>
          </cell>
          <cell r="F3217">
            <v>-8.5000000000000006E-2</v>
          </cell>
        </row>
        <row r="3218">
          <cell r="A3218">
            <v>837395</v>
          </cell>
          <cell r="B3218" t="str">
            <v>FRANGO BROILER 1400G CONG PERD EAU</v>
          </cell>
          <cell r="C3218">
            <v>2.3370000000000002</v>
          </cell>
          <cell r="D3218">
            <v>2.3370000000000002</v>
          </cell>
          <cell r="E3218">
            <v>-0.73599999999999999</v>
          </cell>
          <cell r="F3218">
            <v>-5.5E-2</v>
          </cell>
        </row>
        <row r="3219">
          <cell r="A3219">
            <v>837396</v>
          </cell>
          <cell r="B3219" t="str">
            <v>FRANGO BROILER 1500G CONG PERD EAU</v>
          </cell>
          <cell r="C3219">
            <v>2.3370000000000002</v>
          </cell>
          <cell r="D3219">
            <v>2.3370000000000002</v>
          </cell>
          <cell r="E3219">
            <v>-0.73599999999999999</v>
          </cell>
          <cell r="F3219">
            <v>-5.5E-2</v>
          </cell>
        </row>
        <row r="3220">
          <cell r="A3220">
            <v>837397</v>
          </cell>
          <cell r="B3220" t="str">
            <v>FRANGO BROILER 1600G CONG PERD EAU</v>
          </cell>
          <cell r="C3220">
            <v>2.3370000000000002</v>
          </cell>
          <cell r="D3220">
            <v>2.3370000000000002</v>
          </cell>
          <cell r="E3220">
            <v>-0.73599999999999999</v>
          </cell>
          <cell r="F3220">
            <v>-5.5E-2</v>
          </cell>
        </row>
        <row r="3221">
          <cell r="A3221">
            <v>837398</v>
          </cell>
          <cell r="B3221" t="str">
            <v>FRANGO BROILER 1700G CONG PERD EAU</v>
          </cell>
          <cell r="C3221">
            <v>2.3370000000000002</v>
          </cell>
          <cell r="D3221">
            <v>2.3370000000000002</v>
          </cell>
          <cell r="E3221">
            <v>-0.73599999999999999</v>
          </cell>
          <cell r="F3221">
            <v>-5.5E-2</v>
          </cell>
        </row>
        <row r="3222">
          <cell r="A3222">
            <v>837399</v>
          </cell>
          <cell r="B3222" t="str">
            <v>FRANGO BROILER 1800G CONG PERD EAU</v>
          </cell>
          <cell r="C3222">
            <v>2.3370000000000002</v>
          </cell>
          <cell r="D3222">
            <v>2.3370000000000002</v>
          </cell>
          <cell r="E3222">
            <v>-0.73599999999999999</v>
          </cell>
          <cell r="F3222">
            <v>-5.5E-2</v>
          </cell>
        </row>
        <row r="3223">
          <cell r="A3223">
            <v>837401</v>
          </cell>
          <cell r="B3223" t="str">
            <v>PERU INT C/M S/TEMP CONG 10-11KG BAT CAN</v>
          </cell>
          <cell r="C3223">
            <v>3.605</v>
          </cell>
          <cell r="D3223">
            <v>3.605</v>
          </cell>
          <cell r="E3223">
            <v>-0.54100000000000004</v>
          </cell>
          <cell r="F3223">
            <v>-9.8999999999999977E-2</v>
          </cell>
        </row>
        <row r="3224">
          <cell r="A3224">
            <v>837427</v>
          </cell>
          <cell r="B3224" t="str">
            <v>FILE PEITO FGO CONG S/PTA TEND PERD BELG</v>
          </cell>
          <cell r="C3224">
            <v>7.5110000000000001</v>
          </cell>
          <cell r="D3224">
            <v>7.5110000000000001</v>
          </cell>
          <cell r="E3224">
            <v>-0.71599999999999997</v>
          </cell>
          <cell r="F3224">
            <v>-0.20800000000000018</v>
          </cell>
        </row>
        <row r="3225">
          <cell r="A3225">
            <v>837492</v>
          </cell>
          <cell r="B3225" t="str">
            <v>FRANGO GRILLER CONG 1600G ALNOOR OMAN</v>
          </cell>
          <cell r="C3225">
            <v>2.8370000000000002</v>
          </cell>
          <cell r="D3225">
            <v>2.8370000000000002</v>
          </cell>
          <cell r="E3225">
            <v>-0.65500000000000003</v>
          </cell>
          <cell r="F3225">
            <v>-6.899999999999995E-2</v>
          </cell>
        </row>
        <row r="3226">
          <cell r="A3226">
            <v>837494</v>
          </cell>
          <cell r="B3226" t="str">
            <v>COXA C/OP FGO CONG DRUM ALNOOR EAU</v>
          </cell>
          <cell r="C3226">
            <v>3.282</v>
          </cell>
          <cell r="D3226">
            <v>3.282</v>
          </cell>
          <cell r="E3226">
            <v>-0.75700000000000001</v>
          </cell>
          <cell r="F3226">
            <v>-7.8999999999999959E-2</v>
          </cell>
        </row>
        <row r="3227">
          <cell r="A3227">
            <v>837496</v>
          </cell>
          <cell r="B3227" t="str">
            <v>COXA C/OP FGO CONG DRUM HALAL IEMEN</v>
          </cell>
          <cell r="C3227">
            <v>3.2730000000000001</v>
          </cell>
          <cell r="D3227">
            <v>3.2730000000000001</v>
          </cell>
          <cell r="E3227">
            <v>-0.68700000000000006</v>
          </cell>
          <cell r="F3227">
            <v>-8.7999999999999967E-2</v>
          </cell>
        </row>
        <row r="3228">
          <cell r="A3228">
            <v>837497</v>
          </cell>
          <cell r="B3228" t="str">
            <v>SOBRECOXA C/OP FGO CONG 12BD HALAL IEMEN</v>
          </cell>
          <cell r="C3228">
            <v>3.137</v>
          </cell>
          <cell r="D3228">
            <v>3.137</v>
          </cell>
          <cell r="E3228">
            <v>-0.68300000000000005</v>
          </cell>
          <cell r="F3228">
            <v>-8.5000000000000006E-2</v>
          </cell>
        </row>
        <row r="3229">
          <cell r="A3229">
            <v>837498</v>
          </cell>
          <cell r="B3229" t="str">
            <v>COXA SOB C/OP FGO CONG BDJ HALAL IEMEN</v>
          </cell>
          <cell r="C3229">
            <v>3.1389999999999998</v>
          </cell>
          <cell r="D3229">
            <v>3.1389999999999998</v>
          </cell>
          <cell r="E3229">
            <v>-0.69299999999999995</v>
          </cell>
          <cell r="F3229">
            <v>-8.3999999999999964E-2</v>
          </cell>
        </row>
        <row r="3230">
          <cell r="A3230">
            <v>837500</v>
          </cell>
          <cell r="B3230" t="str">
            <v>PEITO S/OPFC FGO CONG MET 90G/UP R.THECA</v>
          </cell>
          <cell r="C3230">
            <v>5.2850000000000001</v>
          </cell>
          <cell r="D3230">
            <v>5.2850000000000001</v>
          </cell>
          <cell r="E3230">
            <v>-0.623</v>
          </cell>
          <cell r="F3230">
            <v>-0.14499999999999999</v>
          </cell>
        </row>
        <row r="3231">
          <cell r="A3231">
            <v>837564</v>
          </cell>
          <cell r="B3231" t="str">
            <v>COXA SOB SO CP FGO CONG 210G/UP SUN JAPA</v>
          </cell>
          <cell r="C3231">
            <v>4.8769999999999998</v>
          </cell>
          <cell r="D3231">
            <v>4.8769999999999998</v>
          </cell>
          <cell r="E3231">
            <v>-0.65700000000000003</v>
          </cell>
          <cell r="F3231">
            <v>-0.13300000000000001</v>
          </cell>
        </row>
        <row r="3232">
          <cell r="A3232">
            <v>837565</v>
          </cell>
          <cell r="B3232" t="str">
            <v>PERU INT C/M S/TEMP CONG 11-13KG BAT CAN</v>
          </cell>
          <cell r="C3232">
            <v>3.6</v>
          </cell>
          <cell r="D3232">
            <v>3.6</v>
          </cell>
          <cell r="E3232">
            <v>-0.54100000000000004</v>
          </cell>
          <cell r="F3232">
            <v>-9.8000000000000087E-2</v>
          </cell>
        </row>
        <row r="3233">
          <cell r="A3233">
            <v>837626</v>
          </cell>
          <cell r="B3233" t="str">
            <v>FILE PEITO FGO CONG C/TEND SALM ITF HOLA</v>
          </cell>
          <cell r="C3233">
            <v>4.5919999999999996</v>
          </cell>
          <cell r="D3233">
            <v>4.5919999999999996</v>
          </cell>
          <cell r="E3233">
            <v>-0.49299999999999999</v>
          </cell>
          <cell r="F3233">
            <v>-0.127</v>
          </cell>
        </row>
        <row r="3234">
          <cell r="A3234">
            <v>837630</v>
          </cell>
          <cell r="B3234" t="str">
            <v>PEITO S/OPFC FGO CONG BUTT PT SALM ITALI</v>
          </cell>
          <cell r="C3234">
            <v>5.5910000000000002</v>
          </cell>
          <cell r="D3234">
            <v>5.5910000000000002</v>
          </cell>
          <cell r="E3234">
            <v>-0.43</v>
          </cell>
          <cell r="F3234">
            <v>-0.15700000000000003</v>
          </cell>
        </row>
        <row r="3235">
          <cell r="A3235">
            <v>837783</v>
          </cell>
          <cell r="B3235" t="str">
            <v>PEITO S/OPFC FGO CONG INT SALM PERD ITAL</v>
          </cell>
          <cell r="C3235">
            <v>5.4550000000000001</v>
          </cell>
          <cell r="D3235">
            <v>5.4550000000000001</v>
          </cell>
          <cell r="E3235">
            <v>-0.621</v>
          </cell>
          <cell r="F3235">
            <v>-0.15100000000000002</v>
          </cell>
        </row>
        <row r="3236">
          <cell r="A3236">
            <v>837793</v>
          </cell>
          <cell r="B3236" t="str">
            <v>PEITO S/OPFC FGO CONG MET 100G TA/CO ING</v>
          </cell>
          <cell r="C3236">
            <v>8.0559999999999992</v>
          </cell>
          <cell r="D3236">
            <v>8.0559999999999992</v>
          </cell>
          <cell r="E3236">
            <v>-0.629</v>
          </cell>
          <cell r="F3236">
            <v>-0.22399999999999975</v>
          </cell>
        </row>
        <row r="3237">
          <cell r="A3237">
            <v>837795</v>
          </cell>
          <cell r="B3237" t="str">
            <v>ASA 2A JTA FGO CONG 40-50G PT PERD JAPAO</v>
          </cell>
          <cell r="C3237">
            <v>5.3529999999999998</v>
          </cell>
          <cell r="D3237">
            <v>5.3529999999999998</v>
          </cell>
          <cell r="E3237">
            <v>-0.76</v>
          </cell>
          <cell r="F3237">
            <v>-0.1469999999999998</v>
          </cell>
        </row>
        <row r="3238">
          <cell r="A3238">
            <v>837796</v>
          </cell>
          <cell r="B3238" t="str">
            <v>ASA 2A JTA FGO CONG 35G/UP PERD JAPAO</v>
          </cell>
          <cell r="C3238">
            <v>4.7830000000000004</v>
          </cell>
          <cell r="D3238">
            <v>4.7830000000000004</v>
          </cell>
          <cell r="E3238">
            <v>-0.65500000000000003</v>
          </cell>
          <cell r="F3238">
            <v>-0.11899999999999977</v>
          </cell>
        </row>
        <row r="3239">
          <cell r="A3239">
            <v>837797</v>
          </cell>
          <cell r="B3239" t="str">
            <v>ASA 2A JTA FGO CONG 35-45G PERD JAPAO</v>
          </cell>
          <cell r="C3239">
            <v>4.9180000000000001</v>
          </cell>
          <cell r="D3239">
            <v>4.9180000000000001</v>
          </cell>
          <cell r="E3239">
            <v>-0.75</v>
          </cell>
          <cell r="F3239">
            <v>-0.1339999999999999</v>
          </cell>
        </row>
        <row r="3240">
          <cell r="A3240">
            <v>837798</v>
          </cell>
          <cell r="B3240" t="str">
            <v>ASA 2A JTA FGO CONG 45-55G PERD JAPAO</v>
          </cell>
          <cell r="C3240">
            <v>4.9180000000000001</v>
          </cell>
          <cell r="D3240">
            <v>4.9180000000000001</v>
          </cell>
          <cell r="E3240">
            <v>-0.75</v>
          </cell>
          <cell r="F3240">
            <v>-0.1339999999999999</v>
          </cell>
        </row>
        <row r="3241">
          <cell r="A3241">
            <v>837799</v>
          </cell>
          <cell r="B3241" t="str">
            <v>PEITO S/OPC C/F PERU CONG 500-2500G ITAL</v>
          </cell>
          <cell r="C3241">
            <v>5.6909999999999998</v>
          </cell>
          <cell r="D3241">
            <v>5.6909999999999998</v>
          </cell>
          <cell r="E3241">
            <v>-0.64100000000000001</v>
          </cell>
          <cell r="F3241">
            <v>-0.15900000000000003</v>
          </cell>
        </row>
        <row r="3242">
          <cell r="A3242">
            <v>837800</v>
          </cell>
          <cell r="B3242" t="str">
            <v>PEITO S/OPFC FGO CONG MET 110G/UP BL HOL</v>
          </cell>
          <cell r="C3242">
            <v>4.9640000000000004</v>
          </cell>
          <cell r="D3242">
            <v>4.9640000000000004</v>
          </cell>
          <cell r="E3242">
            <v>-0.45400000000000001</v>
          </cell>
          <cell r="F3242">
            <v>-0.1379999999999999</v>
          </cell>
        </row>
        <row r="3243">
          <cell r="A3243">
            <v>837801</v>
          </cell>
          <cell r="B3243" t="str">
            <v>ASA INT FGO CONG ITF PERD CARIBE</v>
          </cell>
          <cell r="C3243">
            <v>2.5590000000000002</v>
          </cell>
          <cell r="D3243">
            <v>2.5590000000000002</v>
          </cell>
          <cell r="E3243">
            <v>-0.627</v>
          </cell>
          <cell r="F3243">
            <v>-6.6999999999999948E-2</v>
          </cell>
        </row>
        <row r="3244">
          <cell r="A3244">
            <v>837884</v>
          </cell>
          <cell r="B3244" t="str">
            <v>COXA SOB S/O C/P FGO CONG 30-35G PERD JA</v>
          </cell>
          <cell r="C3244">
            <v>5.1980000000000004</v>
          </cell>
          <cell r="D3244">
            <v>5.1980000000000004</v>
          </cell>
          <cell r="E3244">
            <v>-0.73</v>
          </cell>
          <cell r="F3244">
            <v>-0.14299999999999979</v>
          </cell>
        </row>
        <row r="3245">
          <cell r="A3245">
            <v>838010</v>
          </cell>
          <cell r="B3245" t="str">
            <v xml:space="preserve">Peito Peru S/Opc C/F Met 500-1500G Itf Perd Holanda </v>
          </cell>
          <cell r="C3245">
            <v>5.6909999999999998</v>
          </cell>
          <cell r="D3245">
            <v>5.6909999999999998</v>
          </cell>
          <cell r="E3245">
            <v>-0.64100000000000001</v>
          </cell>
          <cell r="F3245">
            <v>-0.15900000000000003</v>
          </cell>
        </row>
        <row r="3246">
          <cell r="A3246">
            <v>838022</v>
          </cell>
          <cell r="B3246" t="str">
            <v>PEITO S/OPC C/F PERU CONG 2000G/UP CANAR</v>
          </cell>
          <cell r="C3246">
            <v>7.0940000000000003</v>
          </cell>
          <cell r="D3246">
            <v>7.0940000000000003</v>
          </cell>
          <cell r="E3246">
            <v>-0.65600000000000003</v>
          </cell>
          <cell r="F3246">
            <v>-0.19899999999999984</v>
          </cell>
        </row>
        <row r="3247">
          <cell r="A3247">
            <v>838024</v>
          </cell>
          <cell r="B3247" t="str">
            <v>FRANGO GRILLER 1200G CONG BORELA FILIPIN</v>
          </cell>
          <cell r="C3247">
            <v>2.6059999999999999</v>
          </cell>
          <cell r="D3247">
            <v>2.6059999999999999</v>
          </cell>
          <cell r="E3247">
            <v>-0.71</v>
          </cell>
          <cell r="F3247">
            <v>-6.9000000000000006E-2</v>
          </cell>
        </row>
        <row r="3248">
          <cell r="A3248">
            <v>838025</v>
          </cell>
          <cell r="B3248" t="str">
            <v>FRANGO GRILLER 1300G CONG BORELA FILIPIN</v>
          </cell>
          <cell r="C3248">
            <v>2.6080000000000001</v>
          </cell>
          <cell r="D3248">
            <v>2.6080000000000001</v>
          </cell>
          <cell r="E3248">
            <v>-0.71</v>
          </cell>
          <cell r="F3248">
            <v>-6.8000000000000005E-2</v>
          </cell>
        </row>
        <row r="3249">
          <cell r="A3249">
            <v>838156</v>
          </cell>
          <cell r="B3249" t="str">
            <v>MINI CHICKEN FGO CONG TEMPURA PT CANARIA</v>
          </cell>
          <cell r="C3249">
            <v>5.6840000000000002</v>
          </cell>
          <cell r="D3249">
            <v>5.6840000000000002</v>
          </cell>
          <cell r="E3249">
            <v>-0.61899999999999999</v>
          </cell>
          <cell r="F3249">
            <v>-0.15900000000000025</v>
          </cell>
        </row>
        <row r="3250">
          <cell r="A3250">
            <v>838162</v>
          </cell>
          <cell r="B3250" t="str">
            <v>SOBREPALETA S/O SUI CONG 1,5-2,2KG CING</v>
          </cell>
          <cell r="C3250">
            <v>4.9809999999999999</v>
          </cell>
          <cell r="D3250">
            <v>4.9809999999999999</v>
          </cell>
          <cell r="E3250">
            <v>-1.407</v>
          </cell>
          <cell r="F3250">
            <v>-0.13600000000000001</v>
          </cell>
        </row>
        <row r="3251">
          <cell r="A3251">
            <v>838163</v>
          </cell>
          <cell r="B3251" t="str">
            <v>COXA SOB C/OP FGO CONG 300-340G CARIBE</v>
          </cell>
          <cell r="C3251">
            <v>2.278</v>
          </cell>
          <cell r="D3251">
            <v>2.278</v>
          </cell>
          <cell r="E3251">
            <v>-0.152</v>
          </cell>
          <cell r="F3251">
            <v>-6.4999999999999947E-2</v>
          </cell>
        </row>
        <row r="3252">
          <cell r="A3252">
            <v>838262</v>
          </cell>
          <cell r="B3252" t="str">
            <v>PEITO S/OPFC FGO CONG 80G/UP SALM HOLAND</v>
          </cell>
          <cell r="C3252">
            <v>6.1210000000000004</v>
          </cell>
          <cell r="D3252">
            <v>6.1210000000000004</v>
          </cell>
          <cell r="E3252">
            <v>-0.71199999999999997</v>
          </cell>
          <cell r="F3252">
            <v>-0.16799999999999971</v>
          </cell>
        </row>
        <row r="3253">
          <cell r="A3253">
            <v>839862</v>
          </cell>
          <cell r="B3253" t="str">
            <v>Utero Suino Cozido Cong Itf Batavo Hong Kong Cx 25Kg</v>
          </cell>
          <cell r="C3253">
            <v>2.4279999999999999</v>
          </cell>
          <cell r="D3253">
            <v>2.4279999999999999</v>
          </cell>
          <cell r="E3253">
            <v>-0.51200000000000001</v>
          </cell>
          <cell r="F3253">
            <v>-4.3999999999999817E-2</v>
          </cell>
        </row>
        <row r="3254">
          <cell r="A3254">
            <v>839863</v>
          </cell>
          <cell r="B3254" t="str">
            <v>Intestino Suino Cozido Itf Batavo Hong Kong Cx 25Kg</v>
          </cell>
          <cell r="C3254">
            <v>2.4319999999999999</v>
          </cell>
          <cell r="D3254">
            <v>2.4319999999999999</v>
          </cell>
          <cell r="E3254">
            <v>-0.51200000000000001</v>
          </cell>
          <cell r="F3254">
            <v>-4.4000000000000039E-2</v>
          </cell>
        </row>
        <row r="3255">
          <cell r="A3255">
            <v>836914</v>
          </cell>
          <cell r="B3255" t="str">
            <v>Traqueia Peru Cong Bl 8Kg Perd Argentina Pallet 1000Kg</v>
          </cell>
          <cell r="C3255">
            <v>4.5730000000000004</v>
          </cell>
          <cell r="D3255">
            <v>4.5730000000000004</v>
          </cell>
          <cell r="E3255">
            <v>-0.105</v>
          </cell>
          <cell r="F3255">
            <v>-8.7000000000000188E-2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rincipal"/>
      <sheetName val="Projetos de N. Produto"/>
      <sheetName val="Projetos de Melhoria"/>
      <sheetName val="BD"/>
      <sheetName val="Dados"/>
      <sheetName val="CAPA"/>
      <sheetName val="Marg_Break"/>
      <sheetName val="Entrada"/>
      <sheetName val="TD"/>
      <sheetName val="Extratif.paradas por máquina"/>
      <sheetName val="1 a 9 2005"/>
      <sheetName val="BadeR99_NBA"/>
      <sheetName val="Farol"/>
      <sheetName val="Validação"/>
      <sheetName val="PADRAO"/>
      <sheetName val="dados_total"/>
      <sheetName val="Nov"/>
      <sheetName val="Calculo"/>
      <sheetName val="SispecPSAP"/>
      <sheetName val="EXPLOSÃO"/>
      <sheetName val="Controle De ASO's"/>
      <sheetName val="Variaveis"/>
      <sheetName val="Previsão de Vagões"/>
      <sheetName val="Espera"/>
      <sheetName val="Saldos"/>
      <sheetName val="Gráficos"/>
      <sheetName val="Navios"/>
      <sheetName val="Armazéns"/>
      <sheetName val="Resumo"/>
      <sheetName val="DemoRes_(2)"/>
      <sheetName val="RecLiqServ_(2)"/>
      <sheetName val="DetDemoRes_(2)"/>
      <sheetName val="Projetos_de_N__Produto"/>
      <sheetName val="Projetos_de_Melhoria"/>
      <sheetName val="Prioritários"/>
      <sheetName val="dadosresp"/>
      <sheetName val="DemoRes_(2)1"/>
      <sheetName val="RecLiqServ_(2)1"/>
      <sheetName val="DetDemoRes_(2)1"/>
      <sheetName val="Projetos_de_N__Produto1"/>
      <sheetName val="Projetos_de_Melhoria1"/>
      <sheetName val="DemoRes_(2)2"/>
      <sheetName val="RecLiqServ_(2)2"/>
      <sheetName val="DetDemoRes_(2)2"/>
      <sheetName val="Projetos_de_N__Produto2"/>
      <sheetName val="Projetos_de_Melhoria2"/>
      <sheetName val="Comparativos"/>
      <sheetName val="Macro1"/>
      <sheetName val="Listas"/>
      <sheetName val="ESTOQUE"/>
      <sheetName val="DiarioBordo"/>
      <sheetName val="Check List- Gerrot"/>
      <sheetName val="Categorias"/>
      <sheetName val="récapprobable98"/>
      <sheetName val="Quadro Funcional"/>
      <sheetName val="Anexo X - ENSINO"/>
      <sheetName val="CLAS"/>
      <sheetName val="Step_0_Team_CALENDAR"/>
      <sheetName val="Step2_Correlation"/>
      <sheetName val="Step2_Histogram"/>
      <sheetName val="Lists"/>
      <sheetName val="Tabela1"/>
      <sheetName val="ComentariosCusteio"/>
      <sheetName val="Pacotes"/>
      <sheetName val="REB MX - TIPO"/>
      <sheetName val="Check List"/>
      <sheetName val="Disp 2005 FCA"/>
      <sheetName val="Controle_De_ASO's"/>
      <sheetName val="Previsão_de_Vagões"/>
      <sheetName val="Check_List-_Gerrot"/>
      <sheetName val="AMI"/>
      <sheetName val="Plan1"/>
      <sheetName val="PORTOS"/>
      <sheetName val="Check Farol"/>
      <sheetName val="Grupo x Justif"/>
      <sheetName val="PERGUNTAS"/>
      <sheetName val="EAIGESEN"/>
      <sheetName val="DCF"/>
      <sheetName val="Gerrot"/>
      <sheetName val="JANEIRO98"/>
      <sheetName val="Control_Anual"/>
      <sheetName val="Controle_De_ASO's1"/>
      <sheetName val="Previsão_de_Vagões1"/>
      <sheetName val="Check_List-_Gerrot1"/>
      <sheetName val="Controle_De_ASO's2"/>
      <sheetName val="Previsão_de_Vagões2"/>
      <sheetName val="Check_List-_Gerrot2"/>
      <sheetName val="BadeR99_NBA.xls"/>
      <sheetName val="Evolução Etapas Cal Mag"/>
      <sheetName val="Evolução Etapas Cromo"/>
      <sheetName val="EFC"/>
      <sheetName val="Veic Ind-Marcosa"/>
      <sheetName val="Pareto Dispersões por Produto"/>
      <sheetName val="Pareto Dispersões por Área"/>
      <sheetName val="Extratif Dispersões por Área"/>
      <sheetName val="BANCO DE DADOS_ESTRUTURA"/>
      <sheetName val="Veic_Ind-Marcosa"/>
      <sheetName val="Veic_Ind-Marcosa1"/>
      <sheetName val="Logica di Appuntamento"/>
      <sheetName val="N52"/>
      <sheetName val="PREMISSAS"/>
      <sheetName val="DIFL"/>
      <sheetName val="DIFN"/>
      <sheetName val="DIFS"/>
      <sheetName val="DIPE"/>
      <sheetName val="FGC"/>
      <sheetName val="Ligas"/>
      <sheetName val="Mn"/>
      <sheetName val="DemoRes_(2)3"/>
      <sheetName val="RecLiqServ_(2)3"/>
      <sheetName val="DetDemoRes_(2)3"/>
      <sheetName val="Veic_Ind-Marcosa3"/>
      <sheetName val="Pareto_Dispersões_por_Produto3"/>
      <sheetName val="Pareto_Dispersões_por_Área3"/>
      <sheetName val="Extratif_Dispersões_por_Área3"/>
      <sheetName val="Pareto_Dispersões_por_Produto"/>
      <sheetName val="Pareto_Dispersões_por_Área"/>
      <sheetName val="Extratif_Dispersões_por_Área"/>
      <sheetName val="Pareto_Dispersões_por_Produto1"/>
      <sheetName val="Pareto_Dispersões_por_Área1"/>
      <sheetName val="Extratif_Dispersões_por_Área1"/>
      <sheetName val="Veic_Ind-Marcosa2"/>
      <sheetName val="Pareto_Dispersões_por_Produto2"/>
      <sheetName val="Pareto_Dispersões_por_Área2"/>
      <sheetName val="Extratif_Dispersões_por_Área2"/>
      <sheetName val="Sispec"/>
      <sheetName val="Sispec99"/>
      <sheetName val="Tabelas"/>
      <sheetName val="Ciclo Vagão"/>
      <sheetName val="Decretos_PIS-COFINS"/>
      <sheetName val="Vagões ECM"/>
      <sheetName val="Apoio Validação"/>
      <sheetName val="Apoio Etapa 6 - Viagens"/>
      <sheetName val="Plan2"/>
      <sheetName val="tabela"/>
      <sheetName val="ABATE"/>
      <sheetName val="BW 2006"/>
      <sheetName val="FILIAISABR"/>
      <sheetName val="DemoRes_(2)4"/>
      <sheetName val="RecLiqServ_(2)4"/>
      <sheetName val="DetDemoRes_(2)4"/>
      <sheetName val="Projetos_de_N__Produto3"/>
      <sheetName val="Projetos_de_Melhoria3"/>
      <sheetName val="Extratif_paradas_por_máquina"/>
      <sheetName val="1_a_9_2005"/>
      <sheetName val="Controle_De_ASO's3"/>
      <sheetName val="Previsão_de_Vagões3"/>
      <sheetName val="Check_List-_Gerrot3"/>
      <sheetName val="Quadro_Funcional"/>
      <sheetName val="Anexo_X_-_ENSINO"/>
      <sheetName val="REB_MX_-_TIPO"/>
      <sheetName val="Check_List"/>
      <sheetName val="Disp_2005_FCA"/>
      <sheetName val="Check_Farol"/>
      <sheetName val="Grupo_x_Justif"/>
      <sheetName val="BadeR99_NBA_xls"/>
      <sheetName val="Evolução_Etapas_Cal_Mag"/>
      <sheetName val="Evolução_Etapas_Cromo"/>
      <sheetName val="Veic_Ind-Marcosa4"/>
      <sheetName val="Pareto_Dispersões_por_Produto4"/>
      <sheetName val="Pareto_Dispersões_por_Área4"/>
      <sheetName val="Extratif_Dispersões_por_Área4"/>
      <sheetName val="BANCO_DE_DADOS_ESTRUTURA"/>
      <sheetName val="Logica_di_Appuntamento"/>
      <sheetName val="Ciclo_Vagão"/>
      <sheetName val="Vagões_ECM"/>
      <sheetName val="Apoio_Validação"/>
      <sheetName val="Apoio_Etapa_6_-_Viagens"/>
      <sheetName val="BW_2006"/>
      <sheetName val="600ML"/>
      <sheetName val="Metas SGM"/>
      <sheetName val="DemoRes_(2)5"/>
      <sheetName val="RecLiqServ_(2)5"/>
      <sheetName val="DetDemoRes_(2)5"/>
      <sheetName val="Projetos_de_N__Produto4"/>
      <sheetName val="Projetos_de_Melhoria4"/>
      <sheetName val="Extratif_paradas_por_máquina1"/>
      <sheetName val="1_a_9_20051"/>
      <sheetName val="Controle_De_ASO's4"/>
      <sheetName val="Previsão_de_Vagões4"/>
      <sheetName val="Check_List-_Gerrot4"/>
      <sheetName val="Quadro_Funcional1"/>
      <sheetName val="Anexo_X_-_ENSINO1"/>
      <sheetName val="REB_MX_-_TIPO1"/>
      <sheetName val="Check_List1"/>
      <sheetName val="Disp_2005_FCA1"/>
      <sheetName val="Check_Farol1"/>
      <sheetName val="Grupo_x_Justif1"/>
      <sheetName val="BadeR99_NBA_xls1"/>
      <sheetName val="Evolução_Etapas_Cal_Mag1"/>
      <sheetName val="Evolução_Etapas_Cromo1"/>
      <sheetName val="Veic_Ind-Marcosa5"/>
      <sheetName val="Pareto_Dispersões_por_Produto5"/>
      <sheetName val="Pareto_Dispersões_por_Área5"/>
      <sheetName val="Extratif_Dispersões_por_Área5"/>
      <sheetName val="BANCO_DE_DADOS_ESTRUTURA1"/>
      <sheetName val="Logica_di_Appuntamento1"/>
      <sheetName val="Ciclo_Vagão1"/>
      <sheetName val="Vagões_ECM1"/>
      <sheetName val="Apoio_Validação1"/>
      <sheetName val="Apoio_Etapa_6_-_Viagens1"/>
      <sheetName val="BW_20061"/>
      <sheetName val="Metas_SGM"/>
      <sheetName val="DadosVL"/>
      <sheetName val="Divida Liquida"/>
      <sheetName val="Ev03_emp"/>
      <sheetName val="Planilha_Auxiliar"/>
      <sheetName val="PP"/>
      <sheetName val="Fab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Diversas"/>
      <sheetName val="Contr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rincipal"/>
      <sheetName val="BadeR99_NBA"/>
      <sheetName val="Dados"/>
      <sheetName val="SispecPSAP"/>
      <sheetName val="DemoRes_(2)"/>
      <sheetName val="RecLiqServ_(2)"/>
      <sheetName val="DetDemoRes_(2)"/>
      <sheetName val="Macro1"/>
      <sheetName val="DemoRes_(2)1"/>
      <sheetName val="RecLiqServ_(2)1"/>
      <sheetName val="DetDemoRes_(2)1"/>
      <sheetName val="DemoRes_(2)2"/>
      <sheetName val="RecLiqServ_(2)2"/>
      <sheetName val="DetDemoRes_(2)2"/>
      <sheetName val="Projetos de N. Produto"/>
      <sheetName val="Projetos de Melhoria"/>
      <sheetName val="Veic Ind-Marcosa"/>
      <sheetName val="Pareto Dispersões por Produto"/>
      <sheetName val="Pareto Dispersões por Área"/>
      <sheetName val="Extratif Dispersões por Área"/>
      <sheetName val="Plan1"/>
      <sheetName val="BANCO DE DADOS_ESTRUTURA"/>
      <sheetName val="Veic_Ind-Marcosa"/>
      <sheetName val="Veic_Ind-Marcosa1"/>
      <sheetName val="Logica di Appuntamento"/>
      <sheetName val="N52"/>
      <sheetName val="PREMISSAS"/>
      <sheetName val="DIFL"/>
      <sheetName val="DIFN"/>
      <sheetName val="DIFS"/>
      <sheetName val="DIPE"/>
      <sheetName val="FGC"/>
      <sheetName val="Ligas"/>
      <sheetName val="Mn"/>
      <sheetName val="BadeR99_NBA.xls"/>
      <sheetName val="DemoRes_(2)3"/>
      <sheetName val="RecLiqServ_(2)3"/>
      <sheetName val="DetDemoRes_(2)3"/>
      <sheetName val="Veic_Ind-Marcosa3"/>
      <sheetName val="Pareto_Dispersões_por_Produto3"/>
      <sheetName val="Pareto_Dispersões_por_Área3"/>
      <sheetName val="Extratif_Dispersões_por_Área3"/>
      <sheetName val="Pareto_Dispersões_por_Produto"/>
      <sheetName val="Pareto_Dispersões_por_Área"/>
      <sheetName val="Extratif_Dispersões_por_Área"/>
      <sheetName val="Pareto_Dispersões_por_Produto1"/>
      <sheetName val="Pareto_Dispersões_por_Área1"/>
      <sheetName val="Extratif_Dispersões_por_Área1"/>
      <sheetName val="Veic_Ind-Marcosa2"/>
      <sheetName val="Pareto_Dispersões_por_Produto2"/>
      <sheetName val="Pareto_Dispersões_por_Área2"/>
      <sheetName val="Extratif_Dispersões_por_Área2"/>
      <sheetName val="Sispec"/>
      <sheetName val="Sispec99"/>
      <sheetName val="Tabelas"/>
      <sheetName val="Variaveis"/>
      <sheetName val="REB MX - TIPO"/>
      <sheetName val="Ciclo Vagão"/>
      <sheetName val="Decretos_PIS-COFINS"/>
      <sheetName val="Vagões ECM"/>
      <sheetName val="Check List- Gerrot"/>
      <sheetName val="Previsão de Vagões"/>
      <sheetName val="Espera"/>
      <sheetName val="Saldos"/>
      <sheetName val="Gráficos"/>
      <sheetName val="Armazéns"/>
      <sheetName val="Resumo"/>
      <sheetName val="ComentariosCusteio"/>
      <sheetName val="Apoio Validação"/>
      <sheetName val="Apoio Etapa 6 - Viagens"/>
      <sheetName val="Plan2"/>
      <sheetName val="Navios"/>
      <sheetName val="Marg_Break"/>
      <sheetName val="Extratif.paradas por máquina"/>
      <sheetName val="1 a 9 2005"/>
      <sheetName val="Entrada"/>
      <sheetName val="BD"/>
      <sheetName val="PADRAO"/>
      <sheetName val="dados_total"/>
      <sheetName val="CAPA"/>
      <sheetName val="TD"/>
      <sheetName val="Nov"/>
      <sheetName val="Controle De ASO's"/>
      <sheetName val="Calculo"/>
      <sheetName val="EXPLOSÃO"/>
      <sheetName val="Projetos_de_N__Produto"/>
      <sheetName val="Projetos_de_Melhoria"/>
      <sheetName val="Prioritários"/>
      <sheetName val="dadosresp"/>
      <sheetName val="Projetos_de_N__Produto1"/>
      <sheetName val="Projetos_de_Melhoria1"/>
      <sheetName val="Projetos_de_N__Produto2"/>
      <sheetName val="Projetos_de_Melhoria2"/>
      <sheetName val="Comparativos"/>
      <sheetName val="Listas"/>
      <sheetName val="ESTOQUE"/>
      <sheetName val="Categorias"/>
      <sheetName val="récapprobable98"/>
      <sheetName val="Quadro Funcional"/>
      <sheetName val="Anexo X - ENSINO"/>
      <sheetName val="CLAS"/>
      <sheetName val="Step_0_Team_CALENDAR"/>
      <sheetName val="Step2_Correlation"/>
      <sheetName val="Step2_Histogram"/>
      <sheetName val="Lists"/>
      <sheetName val="Tabela1"/>
      <sheetName val="Pacotes"/>
      <sheetName val="Check List"/>
      <sheetName val="Disp 2005 FCA"/>
      <sheetName val="Controle_De_ASO's"/>
      <sheetName val="Previsão_de_Vagões"/>
      <sheetName val="Check_List-_Gerrot"/>
      <sheetName val="AMI"/>
      <sheetName val="PORTOS"/>
      <sheetName val="Check Farol"/>
      <sheetName val="Grupo x Justif"/>
      <sheetName val="PERGUNTAS"/>
      <sheetName val="EAIGESEN"/>
      <sheetName val="DCF"/>
      <sheetName val="Gerrot"/>
      <sheetName val="JANEIRO98"/>
      <sheetName val="Control_Anual"/>
      <sheetName val="Controle_De_ASO's1"/>
      <sheetName val="Previsão_de_Vagões1"/>
      <sheetName val="Check_List-_Gerrot1"/>
      <sheetName val="Controle_De_ASO's2"/>
      <sheetName val="Previsão_de_Vagões2"/>
      <sheetName val="Check_List-_Gerrot2"/>
      <sheetName val="Evolução Etapas Cal Mag"/>
      <sheetName val="Evolução Etapas Cromo"/>
      <sheetName val="EFC"/>
      <sheetName val="DiarioBordo"/>
      <sheetName val="DemoRes_(2)4"/>
      <sheetName val="RecLiqServ_(2)4"/>
      <sheetName val="DetDemoRes_(2)4"/>
      <sheetName val="Projetos_de_N__Produto3"/>
      <sheetName val="Projetos_de_Melhoria3"/>
      <sheetName val="Veic_Ind-Marcosa4"/>
      <sheetName val="Pareto_Dispersões_por_Produto4"/>
      <sheetName val="Pareto_Dispersões_por_Área4"/>
      <sheetName val="Extratif_Dispersões_por_Área4"/>
      <sheetName val="BANCO_DE_DADOS_ESTRUTURA"/>
      <sheetName val="Logica_di_Appuntamento"/>
      <sheetName val="BadeR99_NBA_xls"/>
      <sheetName val="REB_MX_-_TIPO"/>
      <sheetName val="Ciclo_Vagão"/>
      <sheetName val="Vagões_ECM"/>
      <sheetName val="Check_List-_Gerrot3"/>
      <sheetName val="Previsão_de_Vagões3"/>
      <sheetName val="Apoio_Validação"/>
      <sheetName val="Apoio_Etapa_6_-_Viagens"/>
      <sheetName val="Extratif_paradas_por_máquina"/>
      <sheetName val="1_a_9_2005"/>
      <sheetName val="Controle_De_ASO's3"/>
      <sheetName val="Quadro_Funcional"/>
      <sheetName val="Anexo_X_-_ENSINO"/>
      <sheetName val="Check_List"/>
      <sheetName val="Disp_2005_FCA"/>
      <sheetName val="Check_Farol"/>
      <sheetName val="Grupo_x_Justif"/>
      <sheetName val="Evolução_Etapas_Cal_Mag"/>
      <sheetName val="Evolução_Etapas_Cromo"/>
      <sheetName val="tabela"/>
      <sheetName val="ABATE"/>
      <sheetName val="BW 2006"/>
      <sheetName val="FILIAISABR"/>
      <sheetName val="Farol"/>
      <sheetName val="Validação"/>
      <sheetName val="DemoRes_(2)5"/>
      <sheetName val="RecLiqServ_(2)5"/>
      <sheetName val="DetDemoRes_(2)5"/>
      <sheetName val="Projetos_de_N__Produto4"/>
      <sheetName val="Projetos_de_Melhoria4"/>
      <sheetName val="Veic_Ind-Marcosa5"/>
      <sheetName val="Pareto_Dispersões_por_Produto5"/>
      <sheetName val="Pareto_Dispersões_por_Área5"/>
      <sheetName val="Extratif_Dispersões_por_Área5"/>
      <sheetName val="BANCO_DE_DADOS_ESTRUTURA1"/>
      <sheetName val="Logica_di_Appuntamento1"/>
      <sheetName val="BadeR99_NBA_xls1"/>
      <sheetName val="REB_MX_-_TIPO1"/>
      <sheetName val="Ciclo_Vagão1"/>
      <sheetName val="Vagões_ECM1"/>
      <sheetName val="Check_List-_Gerrot4"/>
      <sheetName val="Previsão_de_Vagões4"/>
      <sheetName val="Apoio_Validação1"/>
      <sheetName val="Apoio_Etapa_6_-_Viagens1"/>
      <sheetName val="Extratif_paradas_por_máquina1"/>
      <sheetName val="1_a_9_20051"/>
      <sheetName val="Controle_De_ASO's4"/>
      <sheetName val="Quadro_Funcional1"/>
      <sheetName val="Anexo_X_-_ENSINO1"/>
      <sheetName val="Check_List1"/>
      <sheetName val="Disp_2005_FCA1"/>
      <sheetName val="Check_Farol1"/>
      <sheetName val="Grupo_x_Justif1"/>
      <sheetName val="Evolução_Etapas_Cal_Mag1"/>
      <sheetName val="Evolução_Etapas_Cromo1"/>
      <sheetName val="BW_2006"/>
      <sheetName val="IOG"/>
      <sheetName val="JAN00"/>
      <sheetName val="Case"/>
      <sheetName val="SumVal"/>
      <sheetName val="SetUp"/>
      <sheetName val="12."/>
      <sheetName val="Gauge"/>
      <sheetName val="Soc 30"/>
      <sheetName val="Soc 68"/>
      <sheetName val="Ger_Oper.Normais 2003_2006"/>
      <sheetName val="Ger_Oper.Norma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Orça 2002"/>
      <sheetName val="VALIDAÇÃO"/>
      <sheetName val="base"/>
      <sheetName val="DEMONSTRAÇÃO_DE_RESULTADOS"/>
      <sheetName val="Macro1"/>
      <sheetName val="dre_acum_mensal"/>
      <sheetName val="Orça_2002"/>
      <sheetName val="Dados"/>
      <sheetName val="Empresas"/>
      <sheetName val="Resumo"/>
      <sheetName val="sc02"/>
      <sheetName val="Orça_20021"/>
      <sheetName val="Plan1"/>
      <sheetName val="Absoluto"/>
      <sheetName val="qryFiltroFrmOLajirR"/>
      <sheetName val="qryFiltroFrmRLajirR"/>
      <sheetName val="Orça_20022"/>
      <sheetName val="SCH 4a"/>
      <sheetName val="ME FAT $ Dados"/>
      <sheetName val="PLMM-R$"/>
      <sheetName val="plamarc"/>
      <sheetName val="livestock2005"/>
      <sheetName val="Orça_20023"/>
      <sheetName val="Commercial DDP"/>
      <sheetName val="Orça_20024"/>
      <sheetName val="SCH_4a"/>
      <sheetName val="Commercial_DDP"/>
      <sheetName val="Données table sbox"/>
      <sheetName val="Análise crítica-MA"/>
      <sheetName val="Análise crítica-SST"/>
    </sheetNames>
    <sheetDataSet>
      <sheetData sheetId="0" refreshError="1">
        <row r="2">
          <cell r="A2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scritivo Fraturas Centro"/>
      <sheetName val="BadeR2000_NRJ"/>
      <sheetName val="Macro1"/>
      <sheetName val="Código estrutura"/>
      <sheetName val="Entrada"/>
      <sheetName val="Meta10"/>
      <sheetName val="Meta11"/>
      <sheetName val="Absoluto"/>
      <sheetName val="qryFiltroFrmOLajirR"/>
      <sheetName val="qryFiltroFrmRLajirR"/>
      <sheetName val="AUX"/>
      <sheetName val="MOTO"/>
      <sheetName val="CEARA"/>
      <sheetName val="Padrões"/>
      <sheetName val="DemoRes_(2)"/>
      <sheetName val="RecLiqServ_(2)"/>
      <sheetName val="DetDemoRes_(2)"/>
      <sheetName val="Descritivo_Fraturas_Centro"/>
      <sheetName val="MOTIVOS"/>
      <sheetName val="Simu_POT"/>
      <sheetName val="Simulador"/>
      <sheetName val="Auxiliar"/>
      <sheetName val="Empresas"/>
      <sheetName val="Fabr1"/>
      <sheetName val="M1 Ranking SSC Local"/>
      <sheetName val="Custo Variável"/>
      <sheetName val="Multiples Output"/>
      <sheetName val="Principal"/>
      <sheetName val="MODELO"/>
      <sheetName val="Plan1"/>
      <sheetName val="Revisado"/>
      <sheetName val="Multiples_Output"/>
      <sheetName val="DemoRes_(2)1"/>
      <sheetName val="RecLiqServ_(2)1"/>
      <sheetName val="DetDemoRes_(2)1"/>
      <sheetName val="Descritivo_Fraturas_Centro1"/>
      <sheetName val="Multiples_Output1"/>
      <sheetName val="Check List"/>
      <sheetName val="capa"/>
      <sheetName val="DemoRes_(2)3"/>
      <sheetName val="RecLiqServ_(2)3"/>
      <sheetName val="DetDemoRes_(2)3"/>
      <sheetName val="Descritivo_Fraturas_Centro3"/>
      <sheetName val="Multiples_Output3"/>
      <sheetName val="DemoRes_(2)2"/>
      <sheetName val="RecLiqServ_(2)2"/>
      <sheetName val="DetDemoRes_(2)2"/>
      <sheetName val="Descritivo_Fraturas_Centro2"/>
      <sheetName val="Multiples_Output2"/>
      <sheetName val="#REF"/>
      <sheetName val="2005"/>
      <sheetName val="thp "/>
      <sheetName val="Lista"/>
      <sheetName val="serv"/>
      <sheetName val="Check Farol"/>
      <sheetName val="V&amp;V-TDDI-21040"/>
      <sheetName val="V&amp;V-PS-SCMT-21040"/>
      <sheetName val="Financials USD$"/>
      <sheetName val="Ano2001"/>
      <sheetName val="Consolida Investimento"/>
      <sheetName val="Idéias"/>
      <sheetName val="Volume"/>
      <sheetName val="Desembolso Financeiro"/>
      <sheetName val="FCD"/>
      <sheetName val="DemoRes_(2)4"/>
      <sheetName val="RecLiqServ_(2)4"/>
      <sheetName val="DetDemoRes_(2)4"/>
      <sheetName val="Descritivo_Fraturas_Centro4"/>
      <sheetName val="Código_estrutura"/>
      <sheetName val="M1_Ranking_SSC_Local"/>
      <sheetName val="Custo_Variável"/>
      <sheetName val="Multiples_Output4"/>
      <sheetName val="Check_List"/>
      <sheetName val="thp_"/>
      <sheetName val="Check_Farol"/>
      <sheetName val="Financials_USD$"/>
      <sheetName val="Consolida_Investimento"/>
      <sheetName val="Desembolso_Financeiro"/>
      <sheetName val="Resumo"/>
      <sheetName val="sispecabr99"/>
      <sheetName val="Geral"/>
      <sheetName val="Datos"/>
      <sheetName val="SIG_LANGUE"/>
      <sheetName val="Config"/>
      <sheetName val="Parâmetros"/>
      <sheetName val="Idiomas"/>
      <sheetName val="Produção"/>
      <sheetName val="Dados"/>
      <sheetName val="DemoRes_(2)5"/>
      <sheetName val="RecLiqServ_(2)5"/>
      <sheetName val="DetDemoRes_(2)5"/>
      <sheetName val="Descritivo_Fraturas_Centro5"/>
      <sheetName val="Código_estrutura1"/>
      <sheetName val="M1_Ranking_SSC_Local1"/>
      <sheetName val="Custo_Variável1"/>
      <sheetName val="Multiples_Output5"/>
      <sheetName val="Check_List1"/>
      <sheetName val="thp_1"/>
      <sheetName val="Check_Farol1"/>
      <sheetName val="Financials_USD$1"/>
      <sheetName val="Consolida_Investimento1"/>
      <sheetName val="Desembolso_Financeiro1"/>
      <sheetName val="B_Prod_Etq"/>
      <sheetName val="valor refer"/>
      <sheetName val="Matriz_Unidade"/>
      <sheetName val="Relato de Anomalia"/>
      <sheetName val="RESUMO DO DBASE PARA O VIVEIRO"/>
      <sheetName val="Dados Perdas"/>
      <sheetName val="Base_Acidentes"/>
      <sheetName val="Base_Horas"/>
      <sheetName val="Base_QLP"/>
      <sheetName val="Base_TO"/>
      <sheetName val="Farol de Metas"/>
      <sheetName val="Tab Aux"/>
      <sheetName val="Farol_de_Metas"/>
      <sheetName val="Parametrização"/>
      <sheetName val="Hidden"/>
      <sheetName val="Sheet3"/>
      <sheetName val="hulpblad"/>
      <sheetName val="Tabela_Preço"/>
      <sheetName val="Set Up"/>
      <sheetName val="Variavel"/>
      <sheetName val="Sispec99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  <sheetName val="Sispec"/>
      <sheetName val="Plan1"/>
      <sheetName val="Simulador"/>
      <sheetName val="AUX"/>
      <sheetName val="M1 Ranking SSC Local"/>
      <sheetName val="Simu_POT"/>
      <sheetName val="Principal"/>
      <sheetName val="RecLiqServ2000"/>
      <sheetName val="Revisado"/>
      <sheetName val="capa"/>
      <sheetName val="V&amp;V-TDDI-21040"/>
      <sheetName val="V&amp;V-PS-SCMT-21040"/>
      <sheetName val="Descritivo Fraturas Centro"/>
      <sheetName val="Ano2001"/>
      <sheetName val="Consolida Investimento"/>
      <sheetName val="SispecPSAP"/>
      <sheetName val="MODELO"/>
      <sheetName val="Check List"/>
      <sheetName val="Padrões"/>
      <sheetName val="HH_UP_Comp_Grafico"/>
      <sheetName val="M1_Ranking_SSC_Local"/>
      <sheetName val="Descritivo_Fraturas_Centro"/>
      <sheetName val="Consolida_Investimento"/>
      <sheetName val="Check_List"/>
      <sheetName val="Riscos"/>
      <sheetName val="Orça 2002"/>
      <sheetName val="CEARA"/>
      <sheetName val="Empresas"/>
      <sheetName val="Desd 2001_MetA"/>
      <sheetName val="SIG_LANGUE"/>
      <sheetName val="Fabr1"/>
      <sheetName val="M1_Ranking_SSC_Local1"/>
      <sheetName val="Descritivo_Fraturas_Centro1"/>
      <sheetName val="Consolida_Investimento1"/>
      <sheetName val="Check_List1"/>
      <sheetName val="Orça_2002"/>
      <sheetName val="Desd_2001_MetA"/>
      <sheetName val="Absoluto"/>
      <sheetName val="qryFiltroFrmOLajirR"/>
      <sheetName val="qryFiltroFrmRLajirR"/>
      <sheetName val="Base"/>
      <sheetName val="Mod 34(a)"/>
      <sheetName val="Matriz_Unidade"/>
      <sheetName val="Curvas"/>
      <sheetName val="Hidden"/>
      <sheetName val="Farol de Me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  <row r="65473">
          <cell r="A65473">
            <v>0</v>
          </cell>
          <cell r="B65473">
            <v>0</v>
          </cell>
          <cell r="C65473">
            <v>0</v>
          </cell>
          <cell r="D65473">
            <v>0</v>
          </cell>
          <cell r="E65473">
            <v>0</v>
          </cell>
          <cell r="F65473">
            <v>0</v>
          </cell>
          <cell r="G65473">
            <v>0</v>
          </cell>
          <cell r="H65473">
            <v>0</v>
          </cell>
          <cell r="I65473">
            <v>0</v>
          </cell>
          <cell r="J65473">
            <v>0</v>
          </cell>
          <cell r="K65473">
            <v>0</v>
          </cell>
          <cell r="L65473">
            <v>0</v>
          </cell>
          <cell r="M65473">
            <v>0</v>
          </cell>
        </row>
      </sheetData>
      <sheetData sheetId="24" refreshError="1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Sispec99"/>
      <sheetName val="Atendimento"/>
      <sheetName val="DemoRes_(2)"/>
      <sheetName val="RecLiqServ_(2)"/>
      <sheetName val="DetDemoRes_(2)"/>
      <sheetName val="DemoRes_(2)1"/>
      <sheetName val="RecLiqServ_(2)1"/>
      <sheetName val="DetDemoRes_(2)1"/>
      <sheetName val="Principal"/>
      <sheetName val="Simu_POT"/>
      <sheetName val="DemoRes_(2)3"/>
      <sheetName val="RecLiqServ_(2)3"/>
      <sheetName val="DetDemoRes_(2)3"/>
      <sheetName val="DemoRes_(2)2"/>
      <sheetName val="RecLiqServ_(2)2"/>
      <sheetName val="DetDemoRes_(2)2"/>
      <sheetName val="Simulador"/>
      <sheetName val="BadeR2000_TNL"/>
      <sheetName val="Ano2001"/>
      <sheetName val="VPS"/>
      <sheetName val="DemoRes_(2)4"/>
      <sheetName val="RecLiqServ_(2)4"/>
      <sheetName val="DetDemoRes_(2)4"/>
      <sheetName val="Empresas"/>
      <sheetName val="Gráfico"/>
      <sheetName val="DemoRes_(2)5"/>
      <sheetName val="RecLiqServ_(2)5"/>
      <sheetName val="DetDemoRes_(2)5"/>
      <sheetName val="Fabr1"/>
      <sheetName val="Mercado"/>
      <sheetName val="Plan1"/>
      <sheetName val="Matriz_Unid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5.bin" /><Relationship Id="rId4" Type="http://schemas.openxmlformats.org/officeDocument/2006/relationships/comments" Target="../comments1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I431"/>
  <sheetViews>
    <sheetView zoomScale="80" zoomScaleNormal="80" workbookViewId="0">
      <selection activeCell="D23" sqref="D23"/>
    </sheetView>
  </sheetViews>
  <sheetFormatPr defaultColWidth="9.14453125" defaultRowHeight="15"/>
  <cols>
    <col min="1" max="1" width="12.5078125" style="157" customWidth="1"/>
    <col min="2" max="2" width="9.14453125" style="157"/>
    <col min="3" max="3" width="51.38671875" style="123" customWidth="1"/>
    <col min="4" max="4" width="20.17578125" style="157" customWidth="1"/>
    <col min="5" max="5" width="13.71875" style="212" bestFit="1" customWidth="1"/>
    <col min="6" max="6" width="13.71875" style="123" bestFit="1" customWidth="1"/>
    <col min="7" max="7" width="11.1640625" style="123" customWidth="1"/>
    <col min="8" max="10" width="9.14453125" style="123"/>
    <col min="11" max="11" width="14.52734375" style="123" customWidth="1"/>
    <col min="12" max="16384" width="9.14453125" style="123"/>
  </cols>
  <sheetData>
    <row r="1" spans="1:9">
      <c r="A1" s="196" t="s">
        <v>980</v>
      </c>
      <c r="B1" s="196"/>
      <c r="C1" s="191" t="s">
        <v>981</v>
      </c>
      <c r="D1" s="196" t="s">
        <v>950</v>
      </c>
      <c r="E1" s="211">
        <f>SUBTOTAL(9,D2:D1204)</f>
        <v>2160000</v>
      </c>
      <c r="F1" s="197">
        <f>'BD VOLUME'!F3</f>
        <v>2160000</v>
      </c>
      <c r="G1" s="197">
        <f>E1-F1</f>
        <v>0</v>
      </c>
      <c r="I1" s="123">
        <f>30/130</f>
        <v>0.23076923076923078</v>
      </c>
    </row>
    <row r="2" spans="1:9">
      <c r="A2" s="821">
        <v>985996</v>
      </c>
      <c r="B2" s="783"/>
      <c r="C2" s="115" t="s">
        <v>5379</v>
      </c>
      <c r="D2" s="199">
        <f t="shared" ref="D2:D27" si="0">G2*1000</f>
        <v>0</v>
      </c>
      <c r="E2" s="790">
        <f>VLOOKUP(A2,'BD VOLUME'!A:F,6,0)</f>
        <v>0</v>
      </c>
      <c r="G2" s="224">
        <v>0</v>
      </c>
    </row>
    <row r="3" spans="1:9">
      <c r="A3" s="821">
        <v>797901</v>
      </c>
      <c r="B3" s="783"/>
      <c r="C3" s="115" t="s">
        <v>5380</v>
      </c>
      <c r="D3" s="199">
        <f t="shared" si="0"/>
        <v>0</v>
      </c>
      <c r="E3" s="790">
        <f>VLOOKUP(A3,'BD VOLUME'!A:F,6,0)</f>
        <v>0</v>
      </c>
      <c r="G3" s="224">
        <v>0</v>
      </c>
    </row>
    <row r="4" spans="1:9">
      <c r="A4" s="821">
        <v>18244</v>
      </c>
      <c r="B4" s="783"/>
      <c r="C4" s="115" t="s">
        <v>2039</v>
      </c>
      <c r="D4" s="199">
        <f t="shared" si="0"/>
        <v>73324.800000000003</v>
      </c>
      <c r="E4" s="790">
        <f>VLOOKUP(A4,'BD VOLUME'!A:F,6,0)</f>
        <v>73324.800000000003</v>
      </c>
      <c r="G4" s="224">
        <v>73.324799999999996</v>
      </c>
    </row>
    <row r="5" spans="1:9">
      <c r="A5" s="821">
        <v>990397</v>
      </c>
      <c r="B5" s="783"/>
      <c r="C5" s="115" t="s">
        <v>5354</v>
      </c>
      <c r="D5" s="199">
        <f t="shared" si="0"/>
        <v>1094.4000000000001</v>
      </c>
      <c r="E5" s="790">
        <f>VLOOKUP(A5,'BD VOLUME'!A:F,6,0)</f>
        <v>1094.4000000000001</v>
      </c>
      <c r="G5" s="224">
        <v>1.0944</v>
      </c>
    </row>
    <row r="6" spans="1:9">
      <c r="A6" s="821">
        <v>14290</v>
      </c>
      <c r="B6" s="783"/>
      <c r="C6" s="115" t="s">
        <v>5381</v>
      </c>
      <c r="D6" s="199">
        <f t="shared" si="0"/>
        <v>56908.800000000003</v>
      </c>
      <c r="E6" s="790">
        <f>VLOOKUP(A6,'BD VOLUME'!A:F,6,0)</f>
        <v>56908.800000000003</v>
      </c>
      <c r="G6" s="224">
        <v>56.908799999999999</v>
      </c>
    </row>
    <row r="7" spans="1:9">
      <c r="A7" s="821">
        <v>14133</v>
      </c>
      <c r="B7" s="783"/>
      <c r="C7" s="115" t="s">
        <v>3140</v>
      </c>
      <c r="D7" s="199">
        <f t="shared" si="0"/>
        <v>87552</v>
      </c>
      <c r="E7" s="790">
        <f>VLOOKUP(A7,'BD VOLUME'!A:F,6,0)</f>
        <v>87552</v>
      </c>
      <c r="G7" s="224">
        <v>87.552000000000007</v>
      </c>
    </row>
    <row r="8" spans="1:9">
      <c r="A8" s="821">
        <v>997653</v>
      </c>
      <c r="B8" s="783"/>
      <c r="C8" s="115" t="s">
        <v>5382</v>
      </c>
      <c r="D8" s="199">
        <f t="shared" si="0"/>
        <v>317087.99999999994</v>
      </c>
      <c r="E8" s="790">
        <f>VLOOKUP(A8,'BD VOLUME'!A:F,6,0)</f>
        <v>317087.99999999994</v>
      </c>
      <c r="G8" s="224">
        <v>317.08799999999997</v>
      </c>
    </row>
    <row r="9" spans="1:9">
      <c r="A9" s="821">
        <v>18163</v>
      </c>
      <c r="B9" s="783"/>
      <c r="C9" s="115" t="s">
        <v>5383</v>
      </c>
      <c r="D9" s="199">
        <f t="shared" si="0"/>
        <v>12095.999999999998</v>
      </c>
      <c r="E9" s="790">
        <f>VLOOKUP(A9,'BD VOLUME'!A:F,6,0)</f>
        <v>12095.999999999998</v>
      </c>
      <c r="G9" s="224">
        <v>12.095999999999998</v>
      </c>
    </row>
    <row r="10" spans="1:9">
      <c r="A10" s="821">
        <v>209669</v>
      </c>
      <c r="B10" s="783"/>
      <c r="C10" s="115" t="s">
        <v>3189</v>
      </c>
      <c r="D10" s="199">
        <f t="shared" si="0"/>
        <v>42336</v>
      </c>
      <c r="E10" s="790">
        <f>VLOOKUP(A10,'BD VOLUME'!A:F,6,0)</f>
        <v>42336</v>
      </c>
      <c r="G10" s="224">
        <v>42.335999999999999</v>
      </c>
    </row>
    <row r="11" spans="1:9">
      <c r="A11" s="821">
        <v>14567</v>
      </c>
      <c r="B11" s="783"/>
      <c r="C11" s="115" t="s">
        <v>5384</v>
      </c>
      <c r="D11" s="199">
        <f t="shared" si="0"/>
        <v>120657.60000000002</v>
      </c>
      <c r="E11" s="790">
        <f>VLOOKUP(A11,'BD VOLUME'!A:F,6,0)</f>
        <v>120657.60000000002</v>
      </c>
      <c r="G11" s="224">
        <v>120.65760000000002</v>
      </c>
    </row>
    <row r="12" spans="1:9">
      <c r="A12" s="821">
        <v>990389</v>
      </c>
      <c r="B12" s="783"/>
      <c r="C12" s="115" t="s">
        <v>5353</v>
      </c>
      <c r="D12" s="199">
        <f t="shared" si="0"/>
        <v>302.40000000000003</v>
      </c>
      <c r="E12" s="790">
        <f>VLOOKUP(A12,'BD VOLUME'!A:F,6,0)</f>
        <v>302.40000000000003</v>
      </c>
      <c r="G12" s="224">
        <v>0.30240000000000006</v>
      </c>
    </row>
    <row r="13" spans="1:9">
      <c r="A13" s="821">
        <v>18228</v>
      </c>
      <c r="B13" s="783"/>
      <c r="C13" s="115" t="s">
        <v>2060</v>
      </c>
      <c r="D13" s="199">
        <f t="shared" si="0"/>
        <v>35712</v>
      </c>
      <c r="E13" s="790">
        <f>VLOOKUP(A13,'BD VOLUME'!A:F,6,0)</f>
        <v>35712</v>
      </c>
      <c r="G13" s="224">
        <v>35.712000000000003</v>
      </c>
    </row>
    <row r="14" spans="1:9">
      <c r="A14" s="821">
        <v>729868</v>
      </c>
      <c r="B14" s="783"/>
      <c r="C14" s="115" t="s">
        <v>5385</v>
      </c>
      <c r="D14" s="199">
        <f t="shared" si="0"/>
        <v>0</v>
      </c>
      <c r="E14" s="790" t="e">
        <f>VLOOKUP(A14,'BD VOLUME'!A:F,6,0)</f>
        <v>#N/A</v>
      </c>
      <c r="G14" s="224">
        <v>0</v>
      </c>
    </row>
    <row r="15" spans="1:9">
      <c r="A15" s="821">
        <v>45517</v>
      </c>
      <c r="B15" s="783"/>
      <c r="C15" s="115" t="s">
        <v>3190</v>
      </c>
      <c r="D15" s="199">
        <f t="shared" si="0"/>
        <v>68256</v>
      </c>
      <c r="E15" s="790">
        <f>VLOOKUP(A15,'BD VOLUME'!A:F,6,0)</f>
        <v>68256</v>
      </c>
      <c r="G15" s="224">
        <v>68.256</v>
      </c>
    </row>
    <row r="16" spans="1:9">
      <c r="A16" s="821">
        <v>219089</v>
      </c>
      <c r="B16" s="783"/>
      <c r="C16" s="115" t="s">
        <v>5386</v>
      </c>
      <c r="D16" s="199">
        <f t="shared" si="0"/>
        <v>0</v>
      </c>
      <c r="E16" s="790" t="e">
        <f>VLOOKUP(A16,'BD VOLUME'!A:F,6,0)</f>
        <v>#N/A</v>
      </c>
      <c r="G16" s="224">
        <v>0</v>
      </c>
    </row>
    <row r="17" spans="1:7">
      <c r="A17" s="821">
        <v>220359</v>
      </c>
      <c r="B17" s="783"/>
      <c r="C17" s="115" t="s">
        <v>5387</v>
      </c>
      <c r="D17" s="199">
        <f t="shared" si="0"/>
        <v>408484.07999999996</v>
      </c>
      <c r="E17" s="790">
        <f>VLOOKUP(A17,'BD VOLUME'!A:F,6,0)</f>
        <v>408484.07999999996</v>
      </c>
      <c r="G17" s="224">
        <v>408.48407999999995</v>
      </c>
    </row>
    <row r="18" spans="1:7">
      <c r="A18" s="821">
        <v>990391</v>
      </c>
      <c r="B18" s="783"/>
      <c r="C18" s="115" t="s">
        <v>5352</v>
      </c>
      <c r="D18" s="199">
        <f t="shared" si="0"/>
        <v>1453.68</v>
      </c>
      <c r="E18" s="790">
        <f>VLOOKUP(A18,'BD VOLUME'!A:F,6,0)</f>
        <v>1453.68</v>
      </c>
      <c r="G18" s="224">
        <v>1.4536800000000001</v>
      </c>
    </row>
    <row r="19" spans="1:7">
      <c r="A19" s="821">
        <v>15105</v>
      </c>
      <c r="B19" s="783"/>
      <c r="C19" s="115" t="s">
        <v>5388</v>
      </c>
      <c r="D19" s="199">
        <f t="shared" si="0"/>
        <v>58147.199999999997</v>
      </c>
      <c r="E19" s="790">
        <f>VLOOKUP(A19,'BD VOLUME'!A:F,6,0)</f>
        <v>58147.199999999997</v>
      </c>
      <c r="G19" s="224">
        <v>58.147199999999998</v>
      </c>
    </row>
    <row r="20" spans="1:7">
      <c r="A20" s="821">
        <v>929883</v>
      </c>
      <c r="B20" s="783"/>
      <c r="C20" s="115" t="s">
        <v>5389</v>
      </c>
      <c r="D20" s="199">
        <f t="shared" si="0"/>
        <v>113387.04</v>
      </c>
      <c r="E20" s="790">
        <f>VLOOKUP(A20,'BD VOLUME'!A:F,6,0)</f>
        <v>113387.04</v>
      </c>
      <c r="G20" s="224">
        <v>113.38704</v>
      </c>
    </row>
    <row r="21" spans="1:7">
      <c r="A21" s="821">
        <v>12645</v>
      </c>
      <c r="B21" s="783"/>
      <c r="C21" s="115" t="s">
        <v>3080</v>
      </c>
      <c r="D21" s="199">
        <f t="shared" si="0"/>
        <v>51552.000000000007</v>
      </c>
      <c r="E21" s="790">
        <f>VLOOKUP(A21,'BD VOLUME'!A:F,6,0)</f>
        <v>51552.000000000007</v>
      </c>
      <c r="G21" s="224">
        <v>51.552000000000007</v>
      </c>
    </row>
    <row r="22" spans="1:7">
      <c r="A22" s="821">
        <v>729760</v>
      </c>
      <c r="B22" s="783"/>
      <c r="C22" s="115" t="s">
        <v>2047</v>
      </c>
      <c r="D22" s="199">
        <f t="shared" si="0"/>
        <v>0</v>
      </c>
      <c r="E22" s="790">
        <f>VLOOKUP(A22,'BD VOLUME'!A:F,6,0)</f>
        <v>0</v>
      </c>
      <c r="G22" s="224">
        <v>0</v>
      </c>
    </row>
    <row r="23" spans="1:7">
      <c r="A23" s="821">
        <v>990393</v>
      </c>
      <c r="B23" s="783"/>
      <c r="C23" s="115" t="s">
        <v>5390</v>
      </c>
      <c r="D23" s="199">
        <f t="shared" si="0"/>
        <v>1700.64</v>
      </c>
      <c r="E23" s="790">
        <f>VLOOKUP(A23,'BD VOLUME'!A:F,6,0)</f>
        <v>1700.64</v>
      </c>
      <c r="G23" s="224">
        <v>1.7006400000000002</v>
      </c>
    </row>
    <row r="24" spans="1:7">
      <c r="A24" s="821">
        <v>990390</v>
      </c>
      <c r="B24" s="783"/>
      <c r="C24" s="115" t="s">
        <v>5355</v>
      </c>
      <c r="D24" s="199">
        <f t="shared" si="0"/>
        <v>1700.64</v>
      </c>
      <c r="E24" s="790">
        <f>VLOOKUP(A24,'BD VOLUME'!A:F,6,0)</f>
        <v>1700.64</v>
      </c>
      <c r="G24" s="224">
        <v>1.7006400000000002</v>
      </c>
    </row>
    <row r="25" spans="1:7">
      <c r="A25" s="821">
        <v>14141</v>
      </c>
      <c r="B25" s="783"/>
      <c r="C25" s="115" t="s">
        <v>5391</v>
      </c>
      <c r="D25" s="199">
        <f t="shared" si="0"/>
        <v>0</v>
      </c>
      <c r="E25" s="790">
        <f>VLOOKUP(A25,'BD VOLUME'!A:F,6,0)</f>
        <v>0</v>
      </c>
      <c r="G25" s="224">
        <v>0</v>
      </c>
    </row>
    <row r="26" spans="1:7">
      <c r="A26" s="821">
        <v>795259</v>
      </c>
      <c r="B26" s="783"/>
      <c r="C26" s="115" t="s">
        <v>2246</v>
      </c>
      <c r="D26" s="199">
        <f t="shared" si="0"/>
        <v>676854.72000000009</v>
      </c>
      <c r="E26" s="790">
        <f>VLOOKUP(A26,'BD VOLUME'!A:F,6,0)</f>
        <v>676854.72000000009</v>
      </c>
      <c r="G26" s="224">
        <v>676.85472000000004</v>
      </c>
    </row>
    <row r="27" spans="1:7">
      <c r="A27" s="821">
        <v>32421</v>
      </c>
      <c r="B27" s="783"/>
      <c r="C27" s="115" t="s">
        <v>3093</v>
      </c>
      <c r="D27" s="199">
        <f t="shared" si="0"/>
        <v>20160</v>
      </c>
      <c r="E27" s="790">
        <f>VLOOKUP(A27,'BD VOLUME'!A:F,6,0)</f>
        <v>20160</v>
      </c>
      <c r="G27" s="224">
        <v>20.16</v>
      </c>
    </row>
    <row r="28" spans="1:7">
      <c r="A28" s="821">
        <v>55364</v>
      </c>
      <c r="B28" s="783"/>
      <c r="C28" s="115" t="s">
        <v>5392</v>
      </c>
      <c r="D28" s="199">
        <f>G28*1000</f>
        <v>11232</v>
      </c>
      <c r="E28" s="790">
        <f>VLOOKUP(A28,'BD VOLUME'!A:F,6,0)</f>
        <v>11232</v>
      </c>
      <c r="G28" s="224">
        <v>11.231999999999999</v>
      </c>
    </row>
    <row r="29" spans="1:7">
      <c r="A29" s="783"/>
      <c r="B29" s="783"/>
      <c r="C29" s="115"/>
      <c r="D29" s="199"/>
      <c r="E29" s="790" t="e">
        <f>VLOOKUP(A29,'BD VOLUME'!A:F,6,0)</f>
        <v>#N/A</v>
      </c>
      <c r="G29" s="224"/>
    </row>
    <row r="30" spans="1:7">
      <c r="A30" s="783"/>
      <c r="B30" s="783"/>
      <c r="C30" s="115"/>
      <c r="D30" s="199"/>
      <c r="E30" s="790" t="e">
        <f>VLOOKUP(A30,'BD VOLUME'!A:F,6,0)</f>
        <v>#N/A</v>
      </c>
      <c r="G30" s="224"/>
    </row>
    <row r="31" spans="1:7">
      <c r="A31" s="783"/>
      <c r="B31" s="783"/>
      <c r="C31" s="115"/>
      <c r="D31" s="199"/>
      <c r="E31" s="790" t="e">
        <f>VLOOKUP(A31,'BD VOLUME'!A:F,6,0)</f>
        <v>#N/A</v>
      </c>
      <c r="G31" s="224"/>
    </row>
    <row r="32" spans="1:7">
      <c r="A32" s="783"/>
      <c r="B32" s="783"/>
      <c r="C32" s="115"/>
      <c r="D32" s="199"/>
      <c r="E32" s="790" t="e">
        <f>VLOOKUP(A32,'BD VOLUME'!A:F,6,0)</f>
        <v>#N/A</v>
      </c>
      <c r="G32" s="224"/>
    </row>
    <row r="33" spans="1:7">
      <c r="A33" s="783"/>
      <c r="B33" s="783"/>
      <c r="C33" s="115"/>
      <c r="D33" s="199"/>
      <c r="E33" s="790" t="e">
        <f>VLOOKUP(A33,'BD VOLUME'!A:F,6,0)</f>
        <v>#N/A</v>
      </c>
      <c r="G33" s="224"/>
    </row>
    <row r="34" spans="1:7">
      <c r="A34" s="783"/>
      <c r="B34" s="783"/>
      <c r="C34" s="115"/>
      <c r="D34" s="199"/>
      <c r="E34" s="790" t="e">
        <f>VLOOKUP(A34,'BD VOLUME'!A:F,6,0)</f>
        <v>#N/A</v>
      </c>
      <c r="G34" s="224"/>
    </row>
    <row r="35" spans="1:7">
      <c r="A35" s="783"/>
      <c r="B35" s="783"/>
      <c r="C35" s="115"/>
      <c r="D35" s="199"/>
      <c r="E35" s="790" t="e">
        <f>VLOOKUP(A35,'BD VOLUME'!A:F,6,0)</f>
        <v>#N/A</v>
      </c>
      <c r="G35" s="224"/>
    </row>
    <row r="36" spans="1:7">
      <c r="A36" s="783"/>
      <c r="B36" s="783"/>
      <c r="C36" s="115"/>
      <c r="D36" s="199"/>
      <c r="E36" s="790" t="e">
        <f>VLOOKUP(A36,'BD VOLUME'!A:F,6,0)</f>
        <v>#N/A</v>
      </c>
      <c r="G36" s="224"/>
    </row>
    <row r="37" spans="1:7">
      <c r="A37" s="783"/>
      <c r="B37" s="783"/>
      <c r="C37" s="115"/>
      <c r="D37" s="199"/>
      <c r="E37" s="790" t="e">
        <f>VLOOKUP(A37,'BD VOLUME'!A:F,6,0)</f>
        <v>#N/A</v>
      </c>
      <c r="G37" s="224"/>
    </row>
    <row r="38" spans="1:7">
      <c r="A38" s="783"/>
      <c r="B38" s="783"/>
      <c r="C38" s="115"/>
      <c r="D38" s="199"/>
      <c r="E38" s="790" t="e">
        <f>VLOOKUP(A38,'BD VOLUME'!A:F,6,0)</f>
        <v>#N/A</v>
      </c>
      <c r="G38" s="224"/>
    </row>
    <row r="39" spans="1:7">
      <c r="A39" s="783"/>
      <c r="B39" s="783"/>
      <c r="C39" s="115"/>
      <c r="D39" s="199"/>
      <c r="E39" s="790" t="e">
        <f>VLOOKUP(A39,'BD VOLUME'!A:F,6,0)</f>
        <v>#N/A</v>
      </c>
      <c r="G39" s="224"/>
    </row>
    <row r="40" spans="1:7">
      <c r="A40" s="783"/>
      <c r="B40" s="783"/>
      <c r="C40" s="115"/>
      <c r="D40" s="199"/>
      <c r="E40" s="790" t="e">
        <f>VLOOKUP(A40,'BD VOLUME'!A:F,6,0)</f>
        <v>#N/A</v>
      </c>
      <c r="G40" s="224"/>
    </row>
    <row r="41" spans="1:7">
      <c r="A41" s="783"/>
      <c r="B41" s="783"/>
      <c r="C41" s="115"/>
      <c r="D41" s="199"/>
      <c r="E41" s="790" t="e">
        <f>VLOOKUP(A41,'BD VOLUME'!A:F,6,0)</f>
        <v>#N/A</v>
      </c>
      <c r="G41" s="224"/>
    </row>
    <row r="42" spans="1:7">
      <c r="A42" s="783"/>
      <c r="B42" s="783"/>
      <c r="C42" s="115"/>
      <c r="D42" s="199"/>
      <c r="E42" s="790" t="e">
        <f>VLOOKUP(A42,'BD VOLUME'!A:F,6,0)</f>
        <v>#N/A</v>
      </c>
      <c r="G42" s="224"/>
    </row>
    <row r="43" spans="1:7">
      <c r="A43" s="783"/>
      <c r="B43" s="783"/>
      <c r="C43" s="115"/>
      <c r="D43" s="199"/>
      <c r="E43" s="790" t="e">
        <f>VLOOKUP(A43,'BD VOLUME'!A:F,6,0)</f>
        <v>#N/A</v>
      </c>
      <c r="G43" s="224"/>
    </row>
    <row r="44" spans="1:7">
      <c r="A44" s="783"/>
      <c r="B44" s="783"/>
      <c r="C44" s="115"/>
      <c r="D44" s="199"/>
      <c r="E44" s="790" t="e">
        <f>VLOOKUP(A44,'BD VOLUME'!A:F,6,0)</f>
        <v>#N/A</v>
      </c>
      <c r="G44" s="224"/>
    </row>
    <row r="45" spans="1:7">
      <c r="A45" s="783"/>
      <c r="B45" s="783"/>
      <c r="C45" s="115"/>
      <c r="D45" s="199"/>
      <c r="E45" s="790" t="e">
        <f>VLOOKUP(A45,'BD VOLUME'!A:F,6,0)</f>
        <v>#N/A</v>
      </c>
      <c r="G45" s="224"/>
    </row>
    <row r="46" spans="1:7">
      <c r="A46" s="783"/>
      <c r="B46" s="783"/>
      <c r="C46" s="115"/>
      <c r="D46" s="199"/>
      <c r="E46" s="790" t="e">
        <f>VLOOKUP(A46,'BD VOLUME'!A:F,6,0)</f>
        <v>#N/A</v>
      </c>
      <c r="G46" s="224"/>
    </row>
    <row r="47" spans="1:7">
      <c r="A47" s="783"/>
      <c r="B47" s="783"/>
      <c r="C47" s="115"/>
      <c r="D47" s="199"/>
      <c r="E47" s="790" t="e">
        <f>VLOOKUP(A47,'BD VOLUME'!A:F,6,0)</f>
        <v>#N/A</v>
      </c>
      <c r="G47" s="224"/>
    </row>
    <row r="48" spans="1:7">
      <c r="A48" s="783"/>
      <c r="B48" s="783"/>
      <c r="C48" s="115"/>
      <c r="D48" s="199"/>
      <c r="E48" s="790" t="e">
        <f>VLOOKUP(A48,'BD VOLUME'!A:F,6,0)</f>
        <v>#N/A</v>
      </c>
      <c r="G48" s="224"/>
    </row>
    <row r="49" spans="1:7">
      <c r="A49" s="783"/>
      <c r="B49" s="783"/>
      <c r="C49" s="115"/>
      <c r="D49" s="199"/>
      <c r="E49" s="790" t="e">
        <f>VLOOKUP(A49,'BD VOLUME'!A:F,6,0)</f>
        <v>#N/A</v>
      </c>
      <c r="G49" s="224"/>
    </row>
    <row r="50" spans="1:7">
      <c r="A50" s="783"/>
      <c r="B50" s="783"/>
      <c r="C50" s="115"/>
      <c r="D50" s="199"/>
      <c r="E50" s="790" t="e">
        <f>VLOOKUP(A50,'BD VOLUME'!A:F,6,0)</f>
        <v>#N/A</v>
      </c>
      <c r="G50" s="224"/>
    </row>
    <row r="51" spans="1:7">
      <c r="A51" s="783"/>
      <c r="B51" s="783"/>
      <c r="C51" s="115"/>
      <c r="D51" s="199"/>
      <c r="E51" s="790" t="e">
        <f>VLOOKUP(A51,'BD VOLUME'!A:F,6,0)</f>
        <v>#N/A</v>
      </c>
      <c r="G51" s="224"/>
    </row>
    <row r="52" spans="1:7">
      <c r="A52" s="783"/>
      <c r="B52" s="783"/>
      <c r="C52" s="115"/>
      <c r="D52" s="199"/>
      <c r="E52" s="790" t="e">
        <f>VLOOKUP(A52,'BD VOLUME'!A:F,6,0)</f>
        <v>#N/A</v>
      </c>
      <c r="G52" s="224"/>
    </row>
    <row r="53" spans="1:7">
      <c r="A53" s="783"/>
      <c r="B53" s="783"/>
      <c r="C53" s="115"/>
      <c r="D53" s="199"/>
      <c r="E53" s="790" t="e">
        <f>VLOOKUP(A53,'BD VOLUME'!A:F,6,0)</f>
        <v>#N/A</v>
      </c>
      <c r="G53" s="224"/>
    </row>
    <row r="54" spans="1:7">
      <c r="A54" s="783"/>
      <c r="B54" s="783"/>
      <c r="C54" s="115"/>
      <c r="D54" s="199"/>
      <c r="E54" s="790" t="e">
        <f>VLOOKUP(A54,'BD VOLUME'!A:F,6,0)</f>
        <v>#N/A</v>
      </c>
      <c r="G54" s="224"/>
    </row>
    <row r="55" spans="1:7">
      <c r="A55" s="783"/>
      <c r="B55" s="783"/>
      <c r="C55" s="115"/>
      <c r="D55" s="199"/>
      <c r="E55" s="790" t="e">
        <f>VLOOKUP(A55,'BD VOLUME'!A:F,6,0)</f>
        <v>#N/A</v>
      </c>
      <c r="G55" s="224"/>
    </row>
    <row r="56" spans="1:7">
      <c r="A56" s="783"/>
      <c r="B56" s="783"/>
      <c r="C56" s="115"/>
      <c r="D56" s="199"/>
      <c r="E56" s="790" t="e">
        <f>VLOOKUP(A56,'BD VOLUME'!A:F,6,0)</f>
        <v>#N/A</v>
      </c>
      <c r="G56" s="224"/>
    </row>
    <row r="57" spans="1:7">
      <c r="A57" s="783"/>
      <c r="B57" s="783"/>
      <c r="C57" s="115"/>
      <c r="D57" s="199"/>
      <c r="E57" s="790" t="e">
        <f>VLOOKUP(A57,'BD VOLUME'!A:F,6,0)</f>
        <v>#N/A</v>
      </c>
      <c r="G57" s="224"/>
    </row>
    <row r="58" spans="1:7">
      <c r="A58" s="783"/>
      <c r="B58" s="783"/>
      <c r="C58" s="115"/>
      <c r="D58" s="199"/>
      <c r="E58" s="790" t="e">
        <f>VLOOKUP(A58,'BD VOLUME'!A:F,6,0)</f>
        <v>#N/A</v>
      </c>
      <c r="G58" s="224"/>
    </row>
    <row r="59" spans="1:7">
      <c r="A59" s="783"/>
      <c r="B59" s="783"/>
      <c r="C59" s="115"/>
      <c r="D59" s="199"/>
      <c r="E59" s="790" t="e">
        <f>VLOOKUP(A59,'BD VOLUME'!A:F,6,0)</f>
        <v>#N/A</v>
      </c>
      <c r="G59" s="224"/>
    </row>
    <row r="60" spans="1:7">
      <c r="A60" s="783"/>
      <c r="B60" s="783"/>
      <c r="C60" s="115"/>
      <c r="D60" s="199"/>
      <c r="E60" s="790" t="e">
        <f>VLOOKUP(A60,'BD VOLUME'!A:F,6,0)</f>
        <v>#N/A</v>
      </c>
      <c r="G60" s="224"/>
    </row>
    <row r="61" spans="1:7">
      <c r="A61" s="783"/>
      <c r="B61" s="783"/>
      <c r="C61" s="115"/>
      <c r="D61" s="199"/>
      <c r="E61" s="790" t="e">
        <f>VLOOKUP(A61,'BD VOLUME'!A:F,6,0)</f>
        <v>#N/A</v>
      </c>
      <c r="G61" s="224"/>
    </row>
    <row r="62" spans="1:7">
      <c r="A62" s="783"/>
      <c r="B62" s="783"/>
      <c r="C62" s="115"/>
      <c r="D62" s="199"/>
      <c r="E62" s="790" t="e">
        <f>VLOOKUP(A62,'BD VOLUME'!A:F,6,0)</f>
        <v>#N/A</v>
      </c>
      <c r="G62" s="224"/>
    </row>
    <row r="63" spans="1:7">
      <c r="A63" s="783"/>
      <c r="B63" s="783"/>
      <c r="C63" s="115"/>
      <c r="D63" s="199"/>
      <c r="E63" s="790" t="e">
        <f>VLOOKUP(A63,'BD VOLUME'!A:F,6,0)</f>
        <v>#N/A</v>
      </c>
      <c r="G63" s="224"/>
    </row>
    <row r="64" spans="1:7">
      <c r="A64" s="783"/>
      <c r="B64" s="783"/>
      <c r="C64" s="115"/>
      <c r="D64" s="199"/>
      <c r="E64" s="790" t="e">
        <f>VLOOKUP(A64,'BD VOLUME'!A:F,6,0)</f>
        <v>#N/A</v>
      </c>
      <c r="G64" s="224"/>
    </row>
    <row r="65" spans="1:7">
      <c r="A65" s="198"/>
      <c r="B65" s="198"/>
      <c r="C65" s="115"/>
      <c r="D65" s="199"/>
      <c r="E65" s="790" t="e">
        <f>VLOOKUP(A65,'BD VOLUME'!A:F,6,0)</f>
        <v>#N/A</v>
      </c>
      <c r="G65" s="224"/>
    </row>
    <row r="66" spans="1:7">
      <c r="A66" s="198"/>
      <c r="B66" s="198"/>
      <c r="C66" s="115"/>
      <c r="D66" s="199"/>
      <c r="E66" s="790" t="e">
        <f>VLOOKUP(A66,'BD VOLUME'!A:F,6,0)</f>
        <v>#N/A</v>
      </c>
      <c r="G66" s="224"/>
    </row>
    <row r="67" spans="1:7">
      <c r="A67" s="198"/>
      <c r="B67" s="198"/>
      <c r="C67" s="115"/>
      <c r="D67" s="199"/>
      <c r="E67" s="790" t="e">
        <f>VLOOKUP(A67,'BD VOLUME'!A:F,6,0)</f>
        <v>#N/A</v>
      </c>
      <c r="G67" s="224"/>
    </row>
    <row r="68" spans="1:7">
      <c r="A68" s="198"/>
      <c r="B68" s="198"/>
      <c r="C68" s="115"/>
      <c r="D68" s="199"/>
      <c r="E68" s="790" t="e">
        <f>VLOOKUP(A68,'BD VOLUME'!A:F,6,0)</f>
        <v>#N/A</v>
      </c>
      <c r="G68" s="224"/>
    </row>
    <row r="69" spans="1:7">
      <c r="A69" s="198"/>
      <c r="B69" s="198"/>
      <c r="C69" s="115"/>
      <c r="D69" s="199"/>
      <c r="E69" s="790" t="e">
        <f>VLOOKUP(A69,'BD VOLUME'!A:F,6,0)</f>
        <v>#N/A</v>
      </c>
      <c r="G69" s="224"/>
    </row>
    <row r="70" spans="1:7">
      <c r="A70" s="198"/>
      <c r="B70" s="198"/>
      <c r="C70" s="115"/>
      <c r="D70" s="199"/>
      <c r="E70" s="790" t="e">
        <f>VLOOKUP(A70,'BD VOLUME'!A:F,6,0)</f>
        <v>#N/A</v>
      </c>
      <c r="G70" s="224"/>
    </row>
    <row r="71" spans="1:7">
      <c r="A71" s="198"/>
      <c r="B71" s="198"/>
      <c r="C71" s="115"/>
      <c r="D71" s="198"/>
      <c r="E71" s="790" t="e">
        <f>VLOOKUP(A71,'BD VOLUME'!A:F,6,0)</f>
        <v>#N/A</v>
      </c>
      <c r="G71" s="224"/>
    </row>
    <row r="72" spans="1:7">
      <c r="A72" s="198"/>
      <c r="B72" s="198"/>
      <c r="C72" s="115"/>
      <c r="D72" s="198"/>
      <c r="E72" s="790" t="e">
        <f>VLOOKUP(A72,'BD VOLUME'!A:F,6,0)</f>
        <v>#N/A</v>
      </c>
      <c r="G72" s="224"/>
    </row>
    <row r="73" spans="1:7">
      <c r="A73" s="198"/>
      <c r="B73" s="198"/>
      <c r="C73" s="115"/>
      <c r="D73" s="198"/>
      <c r="E73" s="790" t="e">
        <f>VLOOKUP(A73,'BD VOLUME'!A:F,6,0)</f>
        <v>#N/A</v>
      </c>
      <c r="G73" s="224"/>
    </row>
    <row r="74" spans="1:7">
      <c r="A74" s="198"/>
      <c r="B74" s="198"/>
      <c r="C74" s="115"/>
      <c r="D74" s="198"/>
      <c r="E74" s="790" t="e">
        <f>VLOOKUP(A74,'BD VOLUME'!A:F,6,0)</f>
        <v>#N/A</v>
      </c>
      <c r="G74" s="224"/>
    </row>
    <row r="75" spans="1:7">
      <c r="A75" s="198"/>
      <c r="B75" s="198"/>
      <c r="C75" s="115"/>
      <c r="D75" s="198"/>
      <c r="E75" s="790" t="e">
        <f>VLOOKUP(A75,'BD VOLUME'!A:F,6,0)</f>
        <v>#N/A</v>
      </c>
      <c r="G75" s="224"/>
    </row>
    <row r="76" spans="1:7">
      <c r="A76" s="198"/>
      <c r="B76" s="198"/>
      <c r="C76" s="115"/>
      <c r="D76" s="198"/>
      <c r="E76" s="790" t="e">
        <f>VLOOKUP(A76,'BD VOLUME'!A:F,6,0)</f>
        <v>#N/A</v>
      </c>
      <c r="G76" s="224"/>
    </row>
    <row r="77" spans="1:7">
      <c r="A77" s="198"/>
      <c r="B77" s="198"/>
      <c r="C77" s="115"/>
      <c r="D77" s="198"/>
      <c r="E77" s="790" t="e">
        <f>VLOOKUP(A77,'BD VOLUME'!A:F,6,0)</f>
        <v>#N/A</v>
      </c>
      <c r="G77" s="224"/>
    </row>
    <row r="78" spans="1:7">
      <c r="A78" s="198"/>
      <c r="B78" s="198"/>
      <c r="C78" s="115"/>
      <c r="D78" s="198"/>
      <c r="E78" s="790" t="e">
        <f>VLOOKUP(A78,'BD VOLUME'!A:F,6,0)</f>
        <v>#N/A</v>
      </c>
      <c r="G78" s="224"/>
    </row>
    <row r="79" spans="1:7">
      <c r="A79" s="198"/>
      <c r="B79" s="198"/>
      <c r="C79" s="115"/>
      <c r="D79" s="198"/>
      <c r="E79" s="790" t="e">
        <f>VLOOKUP(A79,'BD VOLUME'!A:F,6,0)</f>
        <v>#N/A</v>
      </c>
      <c r="G79" s="224"/>
    </row>
    <row r="80" spans="1:7">
      <c r="A80" s="198"/>
      <c r="B80" s="198"/>
      <c r="C80" s="115"/>
      <c r="D80" s="198"/>
      <c r="E80" s="790" t="e">
        <f>VLOOKUP(A80,'BD VOLUME'!A:F,6,0)</f>
        <v>#N/A</v>
      </c>
      <c r="G80" s="224"/>
    </row>
    <row r="81" spans="1:7">
      <c r="A81" s="198"/>
      <c r="B81" s="198"/>
      <c r="C81" s="115"/>
      <c r="D81" s="198"/>
      <c r="E81" s="790" t="e">
        <f>VLOOKUP(A81,'BD VOLUME'!A:F,6,0)</f>
        <v>#N/A</v>
      </c>
      <c r="G81" s="224"/>
    </row>
    <row r="82" spans="1:7">
      <c r="A82" s="198"/>
      <c r="B82" s="198"/>
      <c r="C82" s="115"/>
      <c r="D82" s="198"/>
      <c r="E82" s="790" t="e">
        <f>VLOOKUP(A82,'BD VOLUME'!A:F,6,0)</f>
        <v>#N/A</v>
      </c>
      <c r="G82" s="224"/>
    </row>
    <row r="83" spans="1:7">
      <c r="A83" s="198"/>
      <c r="B83" s="198"/>
      <c r="C83" s="115"/>
      <c r="D83" s="198"/>
      <c r="E83" s="790" t="e">
        <f>VLOOKUP(A83,'BD VOLUME'!A:F,6,0)</f>
        <v>#N/A</v>
      </c>
      <c r="G83" s="224"/>
    </row>
    <row r="84" spans="1:7">
      <c r="A84" s="198"/>
      <c r="B84" s="198"/>
      <c r="C84" s="115"/>
      <c r="D84" s="198"/>
      <c r="E84" s="790" t="e">
        <f>VLOOKUP(A84,'BD VOLUME'!A:F,6,0)</f>
        <v>#N/A</v>
      </c>
      <c r="G84" s="224"/>
    </row>
    <row r="85" spans="1:7">
      <c r="A85" s="198"/>
      <c r="B85" s="198"/>
      <c r="C85" s="115"/>
      <c r="D85" s="198"/>
      <c r="E85" s="790" t="e">
        <f>VLOOKUP(A85,'BD VOLUME'!A:F,6,0)</f>
        <v>#N/A</v>
      </c>
      <c r="G85" s="224"/>
    </row>
    <row r="86" spans="1:7">
      <c r="A86" s="198"/>
      <c r="B86" s="198"/>
      <c r="C86" s="115"/>
      <c r="D86" s="198"/>
      <c r="E86" s="790" t="e">
        <f>VLOOKUP(A86,'BD VOLUME'!A:F,6,0)</f>
        <v>#N/A</v>
      </c>
      <c r="G86" s="224"/>
    </row>
    <row r="87" spans="1:7">
      <c r="A87" s="198"/>
      <c r="B87" s="198"/>
      <c r="C87" s="115"/>
      <c r="D87" s="198"/>
      <c r="E87" s="790" t="e">
        <f>VLOOKUP(A87,'BD VOLUME'!A:F,6,0)</f>
        <v>#N/A</v>
      </c>
      <c r="G87" s="224"/>
    </row>
    <row r="88" spans="1:7">
      <c r="A88" s="198"/>
      <c r="B88" s="198"/>
      <c r="C88" s="115"/>
      <c r="D88" s="198"/>
      <c r="E88" s="790" t="e">
        <f>VLOOKUP(A88,'BD VOLUME'!A:F,6,0)</f>
        <v>#N/A</v>
      </c>
      <c r="G88" s="224"/>
    </row>
    <row r="89" spans="1:7">
      <c r="A89" s="198"/>
      <c r="B89" s="198"/>
      <c r="C89" s="115"/>
      <c r="D89" s="198"/>
      <c r="E89" s="790" t="e">
        <f>VLOOKUP(A89,'BD VOLUME'!A:F,6,0)</f>
        <v>#N/A</v>
      </c>
      <c r="G89" s="224"/>
    </row>
    <row r="90" spans="1:7">
      <c r="A90" s="198"/>
      <c r="B90" s="198"/>
      <c r="C90" s="115"/>
      <c r="D90" s="198"/>
      <c r="E90" s="790" t="e">
        <f>VLOOKUP(A90,'BD VOLUME'!A:F,6,0)</f>
        <v>#N/A</v>
      </c>
      <c r="G90" s="224"/>
    </row>
    <row r="91" spans="1:7">
      <c r="A91" s="198"/>
      <c r="B91" s="198"/>
      <c r="C91" s="115"/>
      <c r="D91" s="198"/>
      <c r="E91" s="790" t="e">
        <f>VLOOKUP(A91,'BD VOLUME'!A:F,6,0)</f>
        <v>#N/A</v>
      </c>
      <c r="G91" s="224"/>
    </row>
    <row r="92" spans="1:7">
      <c r="A92" s="198"/>
      <c r="B92" s="198"/>
      <c r="C92" s="115"/>
      <c r="D92" s="198"/>
      <c r="E92" s="790" t="e">
        <f>VLOOKUP(A92,'BD VOLUME'!A:F,6,0)</f>
        <v>#N/A</v>
      </c>
      <c r="G92" s="224"/>
    </row>
    <row r="93" spans="1:7">
      <c r="A93" s="198"/>
      <c r="B93" s="198"/>
      <c r="C93" s="115"/>
      <c r="D93" s="198"/>
      <c r="E93" s="790" t="e">
        <f>VLOOKUP(A93,'BD VOLUME'!A:F,6,0)</f>
        <v>#N/A</v>
      </c>
      <c r="G93" s="224"/>
    </row>
    <row r="94" spans="1:7">
      <c r="A94" s="198"/>
      <c r="B94" s="198"/>
      <c r="C94" s="115"/>
      <c r="D94" s="198"/>
      <c r="E94" s="790" t="e">
        <f>VLOOKUP(A94,'BD VOLUME'!A:F,6,0)</f>
        <v>#N/A</v>
      </c>
      <c r="G94" s="224"/>
    </row>
    <row r="95" spans="1:7">
      <c r="A95" s="198"/>
      <c r="B95" s="198"/>
      <c r="C95" s="115"/>
      <c r="D95" s="198"/>
      <c r="E95" s="790" t="e">
        <f>VLOOKUP(A95,'BD VOLUME'!A:F,6,0)</f>
        <v>#N/A</v>
      </c>
      <c r="G95" s="224"/>
    </row>
    <row r="96" spans="1:7">
      <c r="A96" s="198"/>
      <c r="B96" s="198"/>
      <c r="C96" s="115"/>
      <c r="D96" s="198"/>
      <c r="E96" s="790" t="e">
        <f>VLOOKUP(A96,'BD VOLUME'!A:F,6,0)</f>
        <v>#N/A</v>
      </c>
      <c r="G96" s="224"/>
    </row>
    <row r="97" spans="1:7">
      <c r="A97" s="198"/>
      <c r="B97" s="198"/>
      <c r="C97" s="115"/>
      <c r="D97" s="198"/>
      <c r="E97" s="790" t="e">
        <f>VLOOKUP(A97,'BD VOLUME'!A:F,6,0)</f>
        <v>#N/A</v>
      </c>
      <c r="G97" s="224"/>
    </row>
    <row r="98" spans="1:7">
      <c r="A98" s="198"/>
      <c r="B98" s="198"/>
      <c r="C98" s="115"/>
      <c r="D98" s="198"/>
      <c r="E98" s="790" t="e">
        <f>VLOOKUP(A98,'BD VOLUME'!A:F,6,0)</f>
        <v>#N/A</v>
      </c>
      <c r="G98" s="224"/>
    </row>
    <row r="99" spans="1:7">
      <c r="A99" s="198"/>
      <c r="B99" s="198"/>
      <c r="C99" s="115"/>
      <c r="D99" s="198"/>
      <c r="E99" s="790" t="e">
        <f>VLOOKUP(A99,'BD VOLUME'!A:F,6,0)</f>
        <v>#N/A</v>
      </c>
      <c r="G99" s="224"/>
    </row>
    <row r="100" spans="1:7">
      <c r="A100" s="198"/>
      <c r="B100" s="198"/>
      <c r="C100" s="115"/>
      <c r="D100" s="198"/>
      <c r="E100" s="790" t="e">
        <f>VLOOKUP(A100,'BD VOLUME'!A:F,6,0)</f>
        <v>#N/A</v>
      </c>
      <c r="G100" s="224"/>
    </row>
    <row r="101" spans="1:7">
      <c r="A101" s="198"/>
      <c r="B101" s="198"/>
      <c r="C101" s="115"/>
      <c r="D101" s="198"/>
      <c r="E101" s="790" t="e">
        <f>VLOOKUP(A101,'BD VOLUME'!A:F,6,0)</f>
        <v>#N/A</v>
      </c>
      <c r="G101" s="224"/>
    </row>
    <row r="102" spans="1:7">
      <c r="A102" s="198"/>
      <c r="B102" s="198"/>
      <c r="C102" s="115"/>
      <c r="D102" s="198"/>
      <c r="E102" s="790" t="e">
        <f>VLOOKUP(A102,'BD VOLUME'!A:F,6,0)</f>
        <v>#N/A</v>
      </c>
      <c r="G102" s="224"/>
    </row>
    <row r="103" spans="1:7">
      <c r="A103" s="198"/>
      <c r="B103" s="198"/>
      <c r="C103" s="115"/>
      <c r="D103" s="198"/>
      <c r="E103" s="790" t="e">
        <f>VLOOKUP(A103,'BD VOLUME'!A:F,6,0)</f>
        <v>#N/A</v>
      </c>
      <c r="G103" s="224"/>
    </row>
    <row r="104" spans="1:7">
      <c r="A104" s="198"/>
      <c r="B104" s="198"/>
      <c r="C104" s="115"/>
      <c r="D104" s="198"/>
      <c r="E104" s="790" t="e">
        <f>VLOOKUP(A104,'BD VOLUME'!A:F,6,0)</f>
        <v>#N/A</v>
      </c>
      <c r="G104" s="224"/>
    </row>
    <row r="105" spans="1:7">
      <c r="A105" s="198"/>
      <c r="B105" s="198"/>
      <c r="C105" s="115"/>
      <c r="D105" s="198"/>
      <c r="E105" s="790" t="e">
        <f>VLOOKUP(A105,'BD VOLUME'!A:F,6,0)</f>
        <v>#N/A</v>
      </c>
      <c r="G105" s="224"/>
    </row>
    <row r="106" spans="1:7">
      <c r="A106" s="198"/>
      <c r="B106" s="198"/>
      <c r="C106" s="115"/>
      <c r="D106" s="198"/>
      <c r="E106" s="790" t="e">
        <f>VLOOKUP(A106,'BD VOLUME'!A:F,6,0)</f>
        <v>#N/A</v>
      </c>
      <c r="G106" s="224"/>
    </row>
    <row r="107" spans="1:7">
      <c r="A107" s="198"/>
      <c r="B107" s="198"/>
      <c r="C107" s="115"/>
      <c r="D107" s="198"/>
      <c r="E107" s="790" t="e">
        <f>VLOOKUP(A107,'BD VOLUME'!A:F,6,0)</f>
        <v>#N/A</v>
      </c>
      <c r="G107" s="224"/>
    </row>
    <row r="108" spans="1:7">
      <c r="A108" s="198"/>
      <c r="B108" s="198"/>
      <c r="C108" s="115"/>
      <c r="D108" s="198"/>
      <c r="E108" s="790" t="e">
        <f>VLOOKUP(A108,'BD VOLUME'!A:F,6,0)</f>
        <v>#N/A</v>
      </c>
      <c r="G108" s="224"/>
    </row>
    <row r="109" spans="1:7">
      <c r="A109" s="198"/>
      <c r="B109" s="198"/>
      <c r="C109" s="115"/>
      <c r="D109" s="198"/>
      <c r="E109" s="790" t="e">
        <f>VLOOKUP(A109,'BD VOLUME'!A:F,6,0)</f>
        <v>#N/A</v>
      </c>
      <c r="G109" s="224"/>
    </row>
    <row r="110" spans="1:7">
      <c r="A110" s="198"/>
      <c r="B110" s="198"/>
      <c r="C110" s="115"/>
      <c r="D110" s="198"/>
      <c r="E110" s="790" t="e">
        <f>VLOOKUP(A110,'BD VOLUME'!A:F,6,0)</f>
        <v>#N/A</v>
      </c>
      <c r="G110" s="224"/>
    </row>
    <row r="111" spans="1:7">
      <c r="A111" s="198"/>
      <c r="B111" s="198"/>
      <c r="C111" s="115"/>
      <c r="D111" s="198"/>
      <c r="E111" s="790" t="e">
        <f>VLOOKUP(A111,'BD VOLUME'!A:F,6,0)</f>
        <v>#N/A</v>
      </c>
      <c r="G111" s="224"/>
    </row>
    <row r="112" spans="1:7">
      <c r="A112" s="198"/>
      <c r="B112" s="198"/>
      <c r="C112" s="115"/>
      <c r="D112" s="198"/>
      <c r="E112" s="790" t="e">
        <f>VLOOKUP(A112,'BD VOLUME'!A:F,6,0)</f>
        <v>#N/A</v>
      </c>
      <c r="G112" s="224"/>
    </row>
    <row r="113" spans="1:7">
      <c r="A113" s="198"/>
      <c r="B113" s="198"/>
      <c r="C113" s="115"/>
      <c r="D113" s="198"/>
      <c r="E113" s="790" t="e">
        <f>VLOOKUP(A113,'BD VOLUME'!A:F,6,0)</f>
        <v>#N/A</v>
      </c>
      <c r="G113" s="224"/>
    </row>
    <row r="114" spans="1:7">
      <c r="A114" s="198"/>
      <c r="B114" s="198"/>
      <c r="C114" s="115"/>
      <c r="D114" s="198"/>
      <c r="E114" s="790" t="e">
        <f>VLOOKUP(A114,'BD VOLUME'!A:F,6,0)</f>
        <v>#N/A</v>
      </c>
    </row>
    <row r="115" spans="1:7">
      <c r="A115" s="198"/>
      <c r="B115" s="198"/>
      <c r="C115" s="115"/>
      <c r="D115" s="198"/>
      <c r="E115" s="790" t="e">
        <f>VLOOKUP(A115,'BD VOLUME'!A:F,6,0)</f>
        <v>#N/A</v>
      </c>
    </row>
    <row r="116" spans="1:7">
      <c r="A116" s="198"/>
      <c r="B116" s="198"/>
      <c r="C116" s="115"/>
      <c r="D116" s="198"/>
      <c r="E116" s="790" t="e">
        <f>VLOOKUP(A116,'BD VOLUME'!A:F,6,0)</f>
        <v>#N/A</v>
      </c>
    </row>
    <row r="117" spans="1:7">
      <c r="A117" s="198"/>
      <c r="B117" s="198"/>
      <c r="C117" s="115"/>
      <c r="D117" s="198"/>
      <c r="E117" s="790" t="e">
        <f>VLOOKUP(A117,'BD VOLUME'!A:F,6,0)</f>
        <v>#N/A</v>
      </c>
    </row>
    <row r="118" spans="1:7">
      <c r="A118" s="198"/>
      <c r="B118" s="198"/>
      <c r="C118" s="115"/>
      <c r="D118" s="198"/>
      <c r="E118" s="790" t="e">
        <f>VLOOKUP(A118,'BD VOLUME'!A:F,6,0)</f>
        <v>#N/A</v>
      </c>
    </row>
    <row r="119" spans="1:7">
      <c r="A119" s="198"/>
      <c r="B119" s="198"/>
      <c r="C119" s="115"/>
      <c r="D119" s="198"/>
      <c r="E119" s="790" t="e">
        <f>VLOOKUP(A119,'BD VOLUME'!A:F,6,0)</f>
        <v>#N/A</v>
      </c>
    </row>
    <row r="120" spans="1:7">
      <c r="A120" s="198"/>
      <c r="B120" s="198"/>
      <c r="C120" s="115"/>
      <c r="D120" s="198"/>
      <c r="E120" s="790" t="e">
        <f>VLOOKUP(A120,'BD VOLUME'!A:F,6,0)</f>
        <v>#N/A</v>
      </c>
    </row>
    <row r="121" spans="1:7">
      <c r="A121" s="198"/>
      <c r="B121" s="198"/>
      <c r="C121" s="115"/>
      <c r="D121" s="198"/>
      <c r="E121" s="790" t="e">
        <f>VLOOKUP(A121,'BD VOLUME'!A:F,6,0)</f>
        <v>#N/A</v>
      </c>
    </row>
    <row r="122" spans="1:7">
      <c r="A122" s="198"/>
      <c r="B122" s="198"/>
      <c r="C122" s="115"/>
      <c r="D122" s="198"/>
      <c r="E122" s="790" t="e">
        <f>VLOOKUP(A122,'BD VOLUME'!A:F,6,0)</f>
        <v>#N/A</v>
      </c>
    </row>
    <row r="123" spans="1:7">
      <c r="A123" s="198"/>
      <c r="B123" s="198"/>
      <c r="C123" s="115"/>
      <c r="D123" s="198"/>
      <c r="E123" s="790" t="e">
        <f>VLOOKUP(A123,'BD VOLUME'!A:F,6,0)</f>
        <v>#N/A</v>
      </c>
    </row>
    <row r="124" spans="1:7">
      <c r="A124" s="198"/>
      <c r="B124" s="198"/>
      <c r="C124" s="115"/>
      <c r="D124" s="198"/>
      <c r="E124" s="790" t="e">
        <f>VLOOKUP(A124,'BD VOLUME'!A:F,6,0)</f>
        <v>#N/A</v>
      </c>
    </row>
    <row r="125" spans="1:7">
      <c r="A125" s="198"/>
      <c r="B125" s="198"/>
      <c r="C125" s="115"/>
      <c r="D125" s="198"/>
      <c r="E125" s="790" t="e">
        <f>VLOOKUP(A125,'BD VOLUME'!A:F,6,0)</f>
        <v>#N/A</v>
      </c>
    </row>
    <row r="126" spans="1:7">
      <c r="A126" s="198"/>
      <c r="B126" s="198"/>
      <c r="C126" s="115"/>
      <c r="D126" s="198"/>
      <c r="E126" s="790" t="e">
        <f>VLOOKUP(A126,'BD VOLUME'!A:F,6,0)</f>
        <v>#N/A</v>
      </c>
    </row>
    <row r="127" spans="1:7">
      <c r="A127" s="198"/>
      <c r="B127" s="198"/>
      <c r="C127" s="115"/>
      <c r="D127" s="198"/>
      <c r="E127" s="790" t="e">
        <f>VLOOKUP(A127,'BD VOLUME'!A:F,6,0)</f>
        <v>#N/A</v>
      </c>
    </row>
    <row r="128" spans="1:7">
      <c r="A128" s="198"/>
      <c r="B128" s="198"/>
      <c r="C128" s="115"/>
      <c r="D128" s="198"/>
      <c r="E128" s="790" t="e">
        <f>VLOOKUP(A128,'BD VOLUME'!A:F,6,0)</f>
        <v>#N/A</v>
      </c>
    </row>
    <row r="129" spans="1:5">
      <c r="A129" s="198"/>
      <c r="B129" s="198"/>
      <c r="C129" s="115"/>
      <c r="D129" s="198"/>
      <c r="E129" s="790" t="e">
        <f>VLOOKUP(A129,'BD VOLUME'!A:F,6,0)</f>
        <v>#N/A</v>
      </c>
    </row>
    <row r="130" spans="1:5">
      <c r="A130" s="198"/>
      <c r="B130" s="198"/>
      <c r="C130" s="115"/>
      <c r="D130" s="198"/>
      <c r="E130" s="790" t="e">
        <f>VLOOKUP(A130,'BD VOLUME'!A:F,6,0)</f>
        <v>#N/A</v>
      </c>
    </row>
    <row r="131" spans="1:5">
      <c r="A131" s="198"/>
      <c r="B131" s="198"/>
      <c r="C131" s="115"/>
      <c r="D131" s="198"/>
      <c r="E131" s="790" t="e">
        <f>VLOOKUP(A131,'BD VOLUME'!A:F,6,0)</f>
        <v>#N/A</v>
      </c>
    </row>
    <row r="132" spans="1:5">
      <c r="A132" s="198"/>
      <c r="B132" s="198"/>
      <c r="C132" s="115"/>
      <c r="D132" s="198"/>
      <c r="E132" s="790" t="e">
        <f>VLOOKUP(A132,'BD VOLUME'!A:F,6,0)</f>
        <v>#N/A</v>
      </c>
    </row>
    <row r="133" spans="1:5">
      <c r="A133" s="198"/>
      <c r="B133" s="198"/>
      <c r="C133" s="115"/>
      <c r="D133" s="198"/>
      <c r="E133" s="790" t="e">
        <f>VLOOKUP(A133,'BD VOLUME'!A:F,6,0)</f>
        <v>#N/A</v>
      </c>
    </row>
    <row r="134" spans="1:5">
      <c r="A134" s="198"/>
      <c r="B134" s="198"/>
      <c r="C134" s="115"/>
      <c r="D134" s="198"/>
      <c r="E134" s="790" t="e">
        <f>VLOOKUP(A134,'BD VOLUME'!A:F,6,0)</f>
        <v>#N/A</v>
      </c>
    </row>
    <row r="135" spans="1:5">
      <c r="A135" s="198"/>
      <c r="B135" s="198"/>
      <c r="C135" s="115"/>
      <c r="D135" s="198"/>
      <c r="E135" s="790" t="e">
        <f>VLOOKUP(A135,'BD VOLUME'!A:F,6,0)</f>
        <v>#N/A</v>
      </c>
    </row>
    <row r="136" spans="1:5">
      <c r="A136" s="198"/>
      <c r="B136" s="198"/>
      <c r="C136" s="115"/>
      <c r="D136" s="198"/>
      <c r="E136" s="790" t="e">
        <f>VLOOKUP(A136,'BD VOLUME'!A:F,6,0)</f>
        <v>#N/A</v>
      </c>
    </row>
    <row r="137" spans="1:5">
      <c r="A137" s="198"/>
      <c r="B137" s="198"/>
      <c r="C137" s="115"/>
      <c r="D137" s="198"/>
      <c r="E137" s="790" t="e">
        <f>VLOOKUP(A137,'BD VOLUME'!A:F,6,0)</f>
        <v>#N/A</v>
      </c>
    </row>
    <row r="138" spans="1:5">
      <c r="A138" s="198"/>
      <c r="B138" s="198"/>
      <c r="C138" s="115"/>
      <c r="D138" s="198"/>
      <c r="E138" s="790" t="e">
        <f>VLOOKUP(A138,'BD VOLUME'!A:F,6,0)</f>
        <v>#N/A</v>
      </c>
    </row>
    <row r="139" spans="1:5">
      <c r="A139" s="198"/>
      <c r="B139" s="198"/>
      <c r="C139" s="115"/>
      <c r="D139" s="198"/>
      <c r="E139" s="790" t="e">
        <f>VLOOKUP(A139,'BD VOLUME'!A:F,6,0)</f>
        <v>#N/A</v>
      </c>
    </row>
    <row r="140" spans="1:5">
      <c r="A140" s="198"/>
      <c r="B140" s="198"/>
      <c r="C140" s="115"/>
      <c r="D140" s="198"/>
      <c r="E140" s="790" t="e">
        <f>VLOOKUP(A140,'BD VOLUME'!A:F,6,0)</f>
        <v>#N/A</v>
      </c>
    </row>
    <row r="141" spans="1:5">
      <c r="A141" s="198"/>
      <c r="B141" s="198"/>
      <c r="C141" s="115"/>
      <c r="D141" s="198"/>
      <c r="E141" s="790" t="e">
        <f>VLOOKUP(A141,'BD VOLUME'!A:F,6,0)</f>
        <v>#N/A</v>
      </c>
    </row>
    <row r="142" spans="1:5">
      <c r="A142" s="198"/>
      <c r="B142" s="198"/>
      <c r="C142" s="115"/>
      <c r="D142" s="198"/>
      <c r="E142" s="790" t="e">
        <f>VLOOKUP(A142,'BD VOLUME'!A:F,6,0)</f>
        <v>#N/A</v>
      </c>
    </row>
    <row r="143" spans="1:5">
      <c r="A143" s="198"/>
      <c r="B143" s="198"/>
      <c r="C143" s="115"/>
      <c r="D143" s="198"/>
      <c r="E143" s="790" t="e">
        <f>VLOOKUP(A143,'BD VOLUME'!A:F,6,0)</f>
        <v>#N/A</v>
      </c>
    </row>
    <row r="144" spans="1:5">
      <c r="A144" s="198"/>
      <c r="B144" s="198"/>
      <c r="C144" s="115"/>
      <c r="D144" s="198"/>
      <c r="E144" s="790" t="e">
        <f>VLOOKUP(A144,'BD VOLUME'!A:F,6,0)</f>
        <v>#N/A</v>
      </c>
    </row>
    <row r="145" spans="1:5">
      <c r="A145" s="198"/>
      <c r="B145" s="198"/>
      <c r="C145" s="115"/>
      <c r="D145" s="198"/>
      <c r="E145" s="790" t="e">
        <f>VLOOKUP(A145,'BD VOLUME'!A:F,6,0)</f>
        <v>#N/A</v>
      </c>
    </row>
    <row r="146" spans="1:5">
      <c r="A146" s="198"/>
      <c r="B146" s="198"/>
      <c r="C146" s="115"/>
      <c r="D146" s="198"/>
      <c r="E146" s="790" t="e">
        <f>VLOOKUP(A146,'BD VOLUME'!A:F,6,0)</f>
        <v>#N/A</v>
      </c>
    </row>
    <row r="147" spans="1:5">
      <c r="A147" s="198"/>
      <c r="B147" s="198"/>
      <c r="C147" s="115"/>
      <c r="D147" s="198"/>
      <c r="E147" s="790" t="e">
        <f>VLOOKUP(A147,'BD VOLUME'!A:F,6,0)</f>
        <v>#N/A</v>
      </c>
    </row>
    <row r="148" spans="1:5">
      <c r="A148" s="198"/>
      <c r="B148" s="198"/>
      <c r="C148" s="115"/>
      <c r="D148" s="198"/>
      <c r="E148" s="790" t="e">
        <f>VLOOKUP(A148,'BD VOLUME'!A:F,6,0)</f>
        <v>#N/A</v>
      </c>
    </row>
    <row r="149" spans="1:5">
      <c r="A149" s="198"/>
      <c r="B149" s="198"/>
      <c r="C149" s="115"/>
      <c r="D149" s="198"/>
      <c r="E149" s="790" t="e">
        <f>VLOOKUP(A149,'BD VOLUME'!A:F,6,0)</f>
        <v>#N/A</v>
      </c>
    </row>
    <row r="150" spans="1:5">
      <c r="A150" s="198"/>
      <c r="B150" s="198"/>
      <c r="C150" s="115"/>
      <c r="D150" s="198"/>
      <c r="E150" s="790" t="e">
        <f>VLOOKUP(A150,'BD VOLUME'!A:F,6,0)</f>
        <v>#N/A</v>
      </c>
    </row>
    <row r="151" spans="1:5">
      <c r="A151" s="198"/>
      <c r="B151" s="198"/>
      <c r="C151" s="115"/>
      <c r="D151" s="198"/>
      <c r="E151" s="790" t="e">
        <f>VLOOKUP(A151,'BD VOLUME'!A:F,6,0)</f>
        <v>#N/A</v>
      </c>
    </row>
    <row r="152" spans="1:5">
      <c r="A152" s="198"/>
      <c r="B152" s="198"/>
      <c r="C152" s="115"/>
      <c r="D152" s="198"/>
      <c r="E152" s="790" t="e">
        <f>VLOOKUP(A152,'BD VOLUME'!A:F,6,0)</f>
        <v>#N/A</v>
      </c>
    </row>
    <row r="153" spans="1:5">
      <c r="A153" s="198"/>
      <c r="B153" s="198"/>
      <c r="C153" s="115"/>
      <c r="D153" s="198"/>
      <c r="E153" s="790" t="e">
        <f>VLOOKUP(A153,'BD VOLUME'!A:F,6,0)</f>
        <v>#N/A</v>
      </c>
    </row>
    <row r="154" spans="1:5">
      <c r="A154" s="198"/>
      <c r="B154" s="198"/>
      <c r="C154" s="115"/>
      <c r="D154" s="198"/>
      <c r="E154" s="790" t="e">
        <f>VLOOKUP(A154,'BD VOLUME'!A:F,6,0)</f>
        <v>#N/A</v>
      </c>
    </row>
    <row r="155" spans="1:5">
      <c r="A155" s="198"/>
      <c r="B155" s="198"/>
      <c r="C155" s="115"/>
      <c r="D155" s="198"/>
      <c r="E155" s="790" t="e">
        <f>VLOOKUP(A155,'BD VOLUME'!A:F,6,0)</f>
        <v>#N/A</v>
      </c>
    </row>
    <row r="156" spans="1:5">
      <c r="A156" s="198"/>
      <c r="B156" s="198"/>
      <c r="C156" s="115"/>
      <c r="D156" s="198"/>
      <c r="E156" s="790" t="e">
        <f>VLOOKUP(A156,'BD VOLUME'!A:F,6,0)</f>
        <v>#N/A</v>
      </c>
    </row>
    <row r="157" spans="1:5">
      <c r="A157" s="198"/>
      <c r="B157" s="198"/>
      <c r="C157" s="115"/>
      <c r="D157" s="198"/>
      <c r="E157" s="790" t="e">
        <f>VLOOKUP(A157,'BD VOLUME'!A:F,6,0)</f>
        <v>#N/A</v>
      </c>
    </row>
    <row r="158" spans="1:5">
      <c r="A158" s="198"/>
      <c r="B158" s="198"/>
      <c r="C158" s="115"/>
      <c r="D158" s="198"/>
      <c r="E158" s="790" t="e">
        <f>VLOOKUP(A158,'BD VOLUME'!A:F,6,0)</f>
        <v>#N/A</v>
      </c>
    </row>
    <row r="159" spans="1:5">
      <c r="A159" s="198"/>
      <c r="B159" s="198"/>
      <c r="C159" s="115"/>
      <c r="D159" s="198"/>
      <c r="E159" s="790" t="e">
        <f>VLOOKUP(A159,'BD VOLUME'!A:F,6,0)</f>
        <v>#N/A</v>
      </c>
    </row>
    <row r="160" spans="1:5">
      <c r="A160" s="198"/>
      <c r="B160" s="198"/>
      <c r="C160" s="115"/>
      <c r="D160" s="198"/>
      <c r="E160" s="790" t="e">
        <f>VLOOKUP(A160,'BD VOLUME'!A:F,6,0)</f>
        <v>#N/A</v>
      </c>
    </row>
    <row r="161" spans="1:5">
      <c r="A161" s="198"/>
      <c r="B161" s="198"/>
      <c r="C161" s="115"/>
      <c r="D161" s="198"/>
      <c r="E161" s="790" t="e">
        <f>VLOOKUP(A161,'BD VOLUME'!A:F,6,0)</f>
        <v>#N/A</v>
      </c>
    </row>
    <row r="162" spans="1:5">
      <c r="A162" s="198"/>
      <c r="B162" s="198"/>
      <c r="C162" s="115"/>
      <c r="D162" s="198"/>
      <c r="E162" s="790" t="e">
        <f>VLOOKUP(A162,'BD VOLUME'!A:F,6,0)</f>
        <v>#N/A</v>
      </c>
    </row>
    <row r="163" spans="1:5">
      <c r="A163" s="198"/>
      <c r="B163" s="198"/>
      <c r="C163" s="115"/>
      <c r="D163" s="198"/>
      <c r="E163" s="790" t="e">
        <f>VLOOKUP(A163,'BD VOLUME'!A:F,6,0)</f>
        <v>#N/A</v>
      </c>
    </row>
    <row r="164" spans="1:5">
      <c r="A164" s="198"/>
      <c r="B164" s="198"/>
      <c r="C164" s="115"/>
      <c r="D164" s="198"/>
      <c r="E164" s="790" t="e">
        <f>VLOOKUP(A164,'BD VOLUME'!A:F,6,0)</f>
        <v>#N/A</v>
      </c>
    </row>
    <row r="165" spans="1:5">
      <c r="A165" s="198"/>
      <c r="B165" s="198"/>
      <c r="C165" s="115"/>
      <c r="D165" s="198"/>
      <c r="E165" s="790" t="e">
        <f>VLOOKUP(A165,'BD VOLUME'!A:F,6,0)</f>
        <v>#N/A</v>
      </c>
    </row>
    <row r="166" spans="1:5">
      <c r="A166" s="198"/>
      <c r="B166" s="198"/>
      <c r="C166" s="115"/>
      <c r="D166" s="198"/>
      <c r="E166" s="790" t="e">
        <f>VLOOKUP(A166,'BD VOLUME'!A:F,6,0)</f>
        <v>#N/A</v>
      </c>
    </row>
    <row r="167" spans="1:5">
      <c r="A167" s="198"/>
      <c r="B167" s="198"/>
      <c r="C167" s="115"/>
      <c r="D167" s="198"/>
      <c r="E167" s="790" t="e">
        <f>VLOOKUP(A167,'BD VOLUME'!A:F,6,0)</f>
        <v>#N/A</v>
      </c>
    </row>
    <row r="168" spans="1:5">
      <c r="A168" s="198"/>
      <c r="B168" s="198"/>
      <c r="C168" s="115"/>
      <c r="D168" s="198"/>
      <c r="E168" s="790" t="e">
        <f>VLOOKUP(A168,'BD VOLUME'!A:F,6,0)</f>
        <v>#N/A</v>
      </c>
    </row>
    <row r="169" spans="1:5">
      <c r="A169" s="198"/>
      <c r="B169" s="198"/>
      <c r="C169" s="115"/>
      <c r="D169" s="198"/>
      <c r="E169" s="790" t="e">
        <f>VLOOKUP(A169,'BD VOLUME'!A:F,6,0)</f>
        <v>#N/A</v>
      </c>
    </row>
    <row r="170" spans="1:5">
      <c r="A170" s="198"/>
      <c r="B170" s="198"/>
      <c r="C170" s="115"/>
      <c r="D170" s="198"/>
      <c r="E170" s="790" t="e">
        <f>VLOOKUP(A170,'BD VOLUME'!A:F,6,0)</f>
        <v>#N/A</v>
      </c>
    </row>
    <row r="171" spans="1:5">
      <c r="A171" s="198"/>
      <c r="B171" s="198"/>
      <c r="C171" s="115"/>
      <c r="D171" s="198"/>
      <c r="E171" s="790" t="e">
        <f>VLOOKUP(A171,'BD VOLUME'!A:F,6,0)</f>
        <v>#N/A</v>
      </c>
    </row>
    <row r="172" spans="1:5">
      <c r="A172" s="198"/>
      <c r="B172" s="198"/>
      <c r="C172" s="115"/>
      <c r="D172" s="198"/>
      <c r="E172" s="790" t="e">
        <f>VLOOKUP(A172,'BD VOLUME'!A:F,6,0)</f>
        <v>#N/A</v>
      </c>
    </row>
    <row r="173" spans="1:5">
      <c r="A173" s="198"/>
      <c r="B173" s="198"/>
      <c r="C173" s="115"/>
      <c r="D173" s="198"/>
      <c r="E173" s="790" t="e">
        <f>VLOOKUP(A173,'BD VOLUME'!A:F,6,0)</f>
        <v>#N/A</v>
      </c>
    </row>
    <row r="174" spans="1:5">
      <c r="A174" s="198"/>
      <c r="B174" s="198"/>
      <c r="C174" s="115"/>
      <c r="D174" s="198"/>
      <c r="E174" s="790" t="e">
        <f>VLOOKUP(A174,'BD VOLUME'!A:F,6,0)</f>
        <v>#N/A</v>
      </c>
    </row>
    <row r="175" spans="1:5">
      <c r="A175" s="198"/>
      <c r="B175" s="198"/>
      <c r="C175" s="115"/>
      <c r="D175" s="198"/>
      <c r="E175" s="790" t="e">
        <f>VLOOKUP(A175,'BD VOLUME'!A:F,6,0)</f>
        <v>#N/A</v>
      </c>
    </row>
    <row r="176" spans="1:5">
      <c r="A176" s="198"/>
      <c r="B176" s="198"/>
      <c r="C176" s="115"/>
      <c r="D176" s="198"/>
      <c r="E176" s="790" t="e">
        <f>VLOOKUP(A176,'BD VOLUME'!A:F,6,0)</f>
        <v>#N/A</v>
      </c>
    </row>
    <row r="177" spans="1:5">
      <c r="A177" s="198"/>
      <c r="B177" s="198"/>
      <c r="C177" s="115"/>
      <c r="D177" s="198"/>
      <c r="E177" s="790" t="e">
        <f>VLOOKUP(A177,'BD VOLUME'!A:F,6,0)</f>
        <v>#N/A</v>
      </c>
    </row>
    <row r="178" spans="1:5">
      <c r="A178" s="198"/>
      <c r="B178" s="198"/>
      <c r="C178" s="115"/>
      <c r="D178" s="198"/>
      <c r="E178" s="790" t="e">
        <f>VLOOKUP(A178,'BD VOLUME'!A:F,6,0)</f>
        <v>#N/A</v>
      </c>
    </row>
    <row r="179" spans="1:5">
      <c r="A179" s="198"/>
      <c r="B179" s="198"/>
      <c r="C179" s="115"/>
      <c r="D179" s="198"/>
      <c r="E179" s="790" t="e">
        <f>VLOOKUP(A179,'BD VOLUME'!A:F,6,0)</f>
        <v>#N/A</v>
      </c>
    </row>
    <row r="180" spans="1:5">
      <c r="A180" s="198"/>
      <c r="B180" s="198"/>
      <c r="C180" s="115"/>
      <c r="D180" s="198"/>
      <c r="E180" s="790" t="e">
        <f>VLOOKUP(A180,'BD VOLUME'!A:F,6,0)</f>
        <v>#N/A</v>
      </c>
    </row>
    <row r="181" spans="1:5">
      <c r="A181" s="198"/>
      <c r="B181" s="198"/>
      <c r="C181" s="115"/>
      <c r="D181" s="198"/>
      <c r="E181" s="790" t="e">
        <f>VLOOKUP(A181,'BD VOLUME'!A:F,6,0)</f>
        <v>#N/A</v>
      </c>
    </row>
    <row r="182" spans="1:5">
      <c r="A182" s="198"/>
      <c r="B182" s="198"/>
      <c r="C182" s="115"/>
      <c r="D182" s="198"/>
      <c r="E182" s="790" t="e">
        <f>VLOOKUP(A182,'BD VOLUME'!A:F,6,0)</f>
        <v>#N/A</v>
      </c>
    </row>
    <row r="183" spans="1:5">
      <c r="A183" s="198"/>
      <c r="B183" s="198"/>
      <c r="C183" s="115"/>
      <c r="D183" s="198"/>
      <c r="E183" s="790" t="e">
        <f>VLOOKUP(A183,'BD VOLUME'!A:F,6,0)</f>
        <v>#N/A</v>
      </c>
    </row>
    <row r="184" spans="1:5">
      <c r="A184" s="198"/>
      <c r="B184" s="198"/>
      <c r="C184" s="115"/>
      <c r="D184" s="198"/>
      <c r="E184" s="790" t="e">
        <f>VLOOKUP(A184,'BD VOLUME'!A:F,6,0)</f>
        <v>#N/A</v>
      </c>
    </row>
    <row r="185" spans="1:5">
      <c r="A185" s="198"/>
      <c r="B185" s="198"/>
      <c r="C185" s="115"/>
      <c r="D185" s="198"/>
      <c r="E185" s="790" t="e">
        <f>VLOOKUP(A185,'BD VOLUME'!A:F,6,0)</f>
        <v>#N/A</v>
      </c>
    </row>
    <row r="186" spans="1:5">
      <c r="A186" s="198"/>
      <c r="B186" s="198"/>
      <c r="C186" s="115"/>
      <c r="D186" s="198"/>
      <c r="E186" s="790" t="e">
        <f>VLOOKUP(A186,'BD VOLUME'!A:F,6,0)</f>
        <v>#N/A</v>
      </c>
    </row>
    <row r="187" spans="1:5">
      <c r="A187" s="198"/>
      <c r="B187" s="198"/>
      <c r="C187" s="115"/>
      <c r="D187" s="198"/>
      <c r="E187" s="790" t="e">
        <f>VLOOKUP(A187,'BD VOLUME'!A:F,6,0)</f>
        <v>#N/A</v>
      </c>
    </row>
    <row r="188" spans="1:5">
      <c r="A188" s="198"/>
      <c r="B188" s="198"/>
      <c r="C188" s="115"/>
      <c r="D188" s="198"/>
      <c r="E188" s="790" t="e">
        <f>VLOOKUP(A188,'BD VOLUME'!A:F,6,0)</f>
        <v>#N/A</v>
      </c>
    </row>
    <row r="189" spans="1:5">
      <c r="A189" s="198"/>
      <c r="B189" s="198"/>
      <c r="C189" s="115"/>
      <c r="D189" s="198"/>
      <c r="E189" s="790" t="e">
        <f>VLOOKUP(A189,'BD VOLUME'!A:F,6,0)</f>
        <v>#N/A</v>
      </c>
    </row>
    <row r="190" spans="1:5">
      <c r="A190" s="198"/>
      <c r="B190" s="198"/>
      <c r="C190" s="115"/>
      <c r="D190" s="198"/>
      <c r="E190" s="790" t="e">
        <f>VLOOKUP(A190,'BD VOLUME'!A:F,6,0)</f>
        <v>#N/A</v>
      </c>
    </row>
    <row r="191" spans="1:5">
      <c r="A191" s="198"/>
      <c r="B191" s="198"/>
      <c r="C191" s="115"/>
      <c r="D191" s="198"/>
      <c r="E191" s="790" t="e">
        <f>VLOOKUP(A191,'BD VOLUME'!A:F,6,0)</f>
        <v>#N/A</v>
      </c>
    </row>
    <row r="192" spans="1:5">
      <c r="A192" s="198"/>
      <c r="B192" s="198"/>
      <c r="C192" s="115"/>
      <c r="D192" s="198"/>
      <c r="E192" s="790" t="e">
        <f>VLOOKUP(A192,'BD VOLUME'!A:F,6,0)</f>
        <v>#N/A</v>
      </c>
    </row>
    <row r="193" spans="1:5">
      <c r="A193" s="198"/>
      <c r="B193" s="198"/>
      <c r="C193" s="115"/>
      <c r="D193" s="198"/>
      <c r="E193" s="790" t="e">
        <f>VLOOKUP(A193,'BD VOLUME'!A:F,6,0)</f>
        <v>#N/A</v>
      </c>
    </row>
    <row r="194" spans="1:5">
      <c r="A194" s="198"/>
      <c r="B194" s="198"/>
      <c r="C194" s="115"/>
      <c r="D194" s="198"/>
      <c r="E194" s="790" t="e">
        <f>VLOOKUP(A194,'BD VOLUME'!A:F,6,0)</f>
        <v>#N/A</v>
      </c>
    </row>
    <row r="195" spans="1:5">
      <c r="A195" s="198"/>
      <c r="B195" s="198"/>
      <c r="C195" s="115"/>
      <c r="D195" s="198"/>
      <c r="E195" s="790" t="e">
        <f>VLOOKUP(A195,'BD VOLUME'!A:F,6,0)</f>
        <v>#N/A</v>
      </c>
    </row>
    <row r="196" spans="1:5">
      <c r="A196" s="198"/>
      <c r="B196" s="198"/>
      <c r="C196" s="115"/>
      <c r="D196" s="198"/>
      <c r="E196" s="790" t="e">
        <f>VLOOKUP(A196,'BD VOLUME'!A:F,6,0)</f>
        <v>#N/A</v>
      </c>
    </row>
    <row r="197" spans="1:5">
      <c r="A197" s="198"/>
      <c r="B197" s="198"/>
      <c r="C197" s="115"/>
      <c r="D197" s="198"/>
      <c r="E197" s="790" t="e">
        <f>VLOOKUP(A197,'BD VOLUME'!A:F,6,0)</f>
        <v>#N/A</v>
      </c>
    </row>
    <row r="198" spans="1:5">
      <c r="A198" s="198"/>
      <c r="B198" s="198"/>
      <c r="C198" s="115"/>
      <c r="D198" s="198"/>
      <c r="E198" s="790" t="e">
        <f>VLOOKUP(A198,'BD VOLUME'!A:F,6,0)</f>
        <v>#N/A</v>
      </c>
    </row>
    <row r="199" spans="1:5">
      <c r="A199" s="198"/>
      <c r="B199" s="198"/>
      <c r="C199" s="115"/>
      <c r="D199" s="198"/>
      <c r="E199" s="790" t="e">
        <f>VLOOKUP(A199,'BD VOLUME'!A:F,6,0)</f>
        <v>#N/A</v>
      </c>
    </row>
    <row r="200" spans="1:5">
      <c r="A200" s="198"/>
      <c r="B200" s="198"/>
      <c r="C200" s="115"/>
      <c r="D200" s="198"/>
      <c r="E200" s="790" t="e">
        <f>VLOOKUP(A200,'BD VOLUME'!A:F,6,0)</f>
        <v>#N/A</v>
      </c>
    </row>
    <row r="201" spans="1:5">
      <c r="A201" s="198"/>
      <c r="B201" s="198"/>
      <c r="C201" s="115"/>
      <c r="D201" s="198"/>
      <c r="E201" s="790" t="e">
        <f>VLOOKUP(A201,'BD VOLUME'!A:F,6,0)</f>
        <v>#N/A</v>
      </c>
    </row>
    <row r="202" spans="1:5">
      <c r="A202" s="198"/>
      <c r="B202" s="198"/>
      <c r="C202" s="115"/>
      <c r="D202" s="198"/>
      <c r="E202" s="790" t="e">
        <f>VLOOKUP(A202,'BD VOLUME'!A:F,6,0)</f>
        <v>#N/A</v>
      </c>
    </row>
    <row r="203" spans="1:5">
      <c r="A203" s="198"/>
      <c r="B203" s="198"/>
      <c r="C203" s="115"/>
      <c r="D203" s="198"/>
      <c r="E203" s="790" t="e">
        <f>VLOOKUP(A203,'BD VOLUME'!A:F,6,0)</f>
        <v>#N/A</v>
      </c>
    </row>
    <row r="204" spans="1:5">
      <c r="A204" s="198"/>
      <c r="B204" s="198"/>
      <c r="C204" s="115"/>
      <c r="D204" s="198"/>
      <c r="E204" s="790" t="e">
        <f>VLOOKUP(A204,'BD VOLUME'!A:F,6,0)</f>
        <v>#N/A</v>
      </c>
    </row>
    <row r="205" spans="1:5">
      <c r="A205" s="198"/>
      <c r="B205" s="198"/>
      <c r="C205" s="115"/>
      <c r="D205" s="198"/>
      <c r="E205" s="790" t="e">
        <f>VLOOKUP(A205,'BD VOLUME'!A:F,6,0)</f>
        <v>#N/A</v>
      </c>
    </row>
    <row r="206" spans="1:5">
      <c r="A206" s="198"/>
      <c r="B206" s="198"/>
      <c r="C206" s="115"/>
      <c r="D206" s="198"/>
      <c r="E206" s="790" t="e">
        <f>VLOOKUP(A206,'BD VOLUME'!A:F,6,0)</f>
        <v>#N/A</v>
      </c>
    </row>
    <row r="207" spans="1:5">
      <c r="A207" s="198"/>
      <c r="B207" s="198"/>
      <c r="C207" s="115"/>
      <c r="D207" s="198"/>
      <c r="E207" s="790" t="e">
        <f>VLOOKUP(A207,'BD VOLUME'!A:F,6,0)</f>
        <v>#N/A</v>
      </c>
    </row>
    <row r="208" spans="1:5">
      <c r="A208" s="198"/>
      <c r="B208" s="198"/>
      <c r="C208" s="115"/>
      <c r="D208" s="198"/>
      <c r="E208" s="790" t="e">
        <f>VLOOKUP(A208,'BD VOLUME'!A:F,6,0)</f>
        <v>#N/A</v>
      </c>
    </row>
    <row r="209" spans="1:5">
      <c r="A209" s="198"/>
      <c r="B209" s="198"/>
      <c r="C209" s="115"/>
      <c r="D209" s="198"/>
      <c r="E209" s="790" t="e">
        <f>VLOOKUP(A209,'BD VOLUME'!A:F,6,0)</f>
        <v>#N/A</v>
      </c>
    </row>
    <row r="210" spans="1:5">
      <c r="A210" s="198"/>
      <c r="B210" s="198"/>
      <c r="C210" s="115"/>
      <c r="D210" s="198"/>
      <c r="E210" s="790" t="e">
        <f>VLOOKUP(A210,'BD VOLUME'!A:F,6,0)</f>
        <v>#N/A</v>
      </c>
    </row>
    <row r="211" spans="1:5">
      <c r="A211" s="198"/>
      <c r="B211" s="198"/>
      <c r="C211" s="115"/>
      <c r="D211" s="198"/>
      <c r="E211" s="790" t="e">
        <f>VLOOKUP(A211,'BD VOLUME'!A:F,6,0)</f>
        <v>#N/A</v>
      </c>
    </row>
    <row r="212" spans="1:5">
      <c r="A212" s="198"/>
      <c r="B212" s="198"/>
      <c r="C212" s="115"/>
      <c r="D212" s="198"/>
      <c r="E212" s="790" t="e">
        <f>VLOOKUP(A212,'BD VOLUME'!A:F,6,0)</f>
        <v>#N/A</v>
      </c>
    </row>
    <row r="213" spans="1:5">
      <c r="A213" s="198"/>
      <c r="B213" s="198"/>
      <c r="C213" s="115"/>
      <c r="D213" s="198"/>
      <c r="E213" s="790" t="e">
        <f>VLOOKUP(A213,'BD VOLUME'!A:F,6,0)</f>
        <v>#N/A</v>
      </c>
    </row>
    <row r="214" spans="1:5">
      <c r="A214" s="198"/>
      <c r="B214" s="198"/>
      <c r="C214" s="115"/>
      <c r="D214" s="198"/>
      <c r="E214" s="790" t="e">
        <f>VLOOKUP(A214,'BD VOLUME'!A:F,6,0)</f>
        <v>#N/A</v>
      </c>
    </row>
    <row r="215" spans="1:5">
      <c r="A215" s="198"/>
      <c r="B215" s="198"/>
      <c r="C215" s="115"/>
      <c r="D215" s="198"/>
      <c r="E215" s="790" t="e">
        <f>VLOOKUP(A215,'BD VOLUME'!A:F,6,0)</f>
        <v>#N/A</v>
      </c>
    </row>
    <row r="216" spans="1:5">
      <c r="A216" s="198"/>
      <c r="B216" s="198"/>
      <c r="C216" s="115"/>
      <c r="D216" s="198"/>
      <c r="E216" s="790" t="e">
        <f>VLOOKUP(A216,'BD VOLUME'!A:F,6,0)</f>
        <v>#N/A</v>
      </c>
    </row>
    <row r="217" spans="1:5">
      <c r="A217" s="198"/>
      <c r="B217" s="198"/>
      <c r="C217" s="115"/>
      <c r="D217" s="198"/>
      <c r="E217" s="790" t="e">
        <f>VLOOKUP(A217,'BD VOLUME'!A:F,6,0)</f>
        <v>#N/A</v>
      </c>
    </row>
    <row r="218" spans="1:5">
      <c r="A218" s="198"/>
      <c r="B218" s="198"/>
      <c r="C218" s="115"/>
      <c r="D218" s="198"/>
      <c r="E218" s="790" t="e">
        <f>VLOOKUP(A218,'BD VOLUME'!A:F,6,0)</f>
        <v>#N/A</v>
      </c>
    </row>
    <row r="219" spans="1:5">
      <c r="A219" s="198"/>
      <c r="B219" s="198"/>
      <c r="C219" s="115"/>
      <c r="D219" s="198"/>
      <c r="E219" s="790" t="e">
        <f>VLOOKUP(A219,'BD VOLUME'!A:F,6,0)</f>
        <v>#N/A</v>
      </c>
    </row>
    <row r="220" spans="1:5">
      <c r="A220" s="198"/>
      <c r="B220" s="198"/>
      <c r="C220" s="115"/>
      <c r="D220" s="198"/>
      <c r="E220" s="790" t="e">
        <f>VLOOKUP(A220,'BD VOLUME'!A:F,6,0)</f>
        <v>#N/A</v>
      </c>
    </row>
    <row r="221" spans="1:5">
      <c r="A221" s="198"/>
      <c r="B221" s="198"/>
      <c r="C221" s="115"/>
      <c r="D221" s="198"/>
      <c r="E221" s="790" t="e">
        <f>VLOOKUP(A221,'BD VOLUME'!A:F,6,0)</f>
        <v>#N/A</v>
      </c>
    </row>
    <row r="222" spans="1:5">
      <c r="A222" s="198"/>
      <c r="B222" s="198"/>
      <c r="C222" s="115"/>
      <c r="D222" s="198"/>
      <c r="E222" s="790" t="e">
        <f>VLOOKUP(A222,'BD VOLUME'!A:F,6,0)</f>
        <v>#N/A</v>
      </c>
    </row>
    <row r="223" spans="1:5">
      <c r="A223" s="198"/>
      <c r="B223" s="198"/>
      <c r="C223" s="115"/>
      <c r="D223" s="198"/>
      <c r="E223" s="790" t="e">
        <f>VLOOKUP(A223,'BD VOLUME'!A:F,6,0)</f>
        <v>#N/A</v>
      </c>
    </row>
    <row r="224" spans="1:5">
      <c r="A224" s="198"/>
      <c r="B224" s="198"/>
      <c r="C224" s="115"/>
      <c r="D224" s="198"/>
      <c r="E224" s="790" t="e">
        <f>VLOOKUP(A224,'BD VOLUME'!A:F,6,0)</f>
        <v>#N/A</v>
      </c>
    </row>
    <row r="225" spans="1:5">
      <c r="A225" s="198"/>
      <c r="B225" s="198"/>
      <c r="C225" s="115"/>
      <c r="D225" s="198"/>
      <c r="E225" s="790" t="e">
        <f>VLOOKUP(A225,'BD VOLUME'!A:F,6,0)</f>
        <v>#N/A</v>
      </c>
    </row>
    <row r="226" spans="1:5">
      <c r="A226" s="198"/>
      <c r="B226" s="198"/>
      <c r="C226" s="115"/>
      <c r="D226" s="198"/>
      <c r="E226" s="790" t="e">
        <f>VLOOKUP(A226,'BD VOLUME'!A:F,6,0)</f>
        <v>#N/A</v>
      </c>
    </row>
    <row r="227" spans="1:5">
      <c r="A227" s="198"/>
      <c r="B227" s="198"/>
      <c r="C227" s="115"/>
      <c r="D227" s="198"/>
      <c r="E227" s="790" t="e">
        <f>VLOOKUP(A227,'BD VOLUME'!A:F,6,0)</f>
        <v>#N/A</v>
      </c>
    </row>
    <row r="228" spans="1:5">
      <c r="A228" s="198"/>
      <c r="B228" s="198"/>
      <c r="C228" s="115"/>
      <c r="D228" s="198"/>
      <c r="E228" s="790" t="e">
        <f>VLOOKUP(A228,'BD VOLUME'!A:F,6,0)</f>
        <v>#N/A</v>
      </c>
    </row>
    <row r="229" spans="1:5">
      <c r="A229" s="198"/>
      <c r="B229" s="198"/>
      <c r="C229" s="115"/>
      <c r="D229" s="198"/>
      <c r="E229" s="790" t="e">
        <f>VLOOKUP(A229,'BD VOLUME'!A:F,6,0)</f>
        <v>#N/A</v>
      </c>
    </row>
    <row r="230" spans="1:5">
      <c r="A230" s="198"/>
      <c r="B230" s="198"/>
      <c r="C230" s="115"/>
      <c r="D230" s="198"/>
      <c r="E230" s="790" t="e">
        <f>VLOOKUP(A230,'BD VOLUME'!A:F,6,0)</f>
        <v>#N/A</v>
      </c>
    </row>
    <row r="231" spans="1:5">
      <c r="A231" s="198"/>
      <c r="B231" s="198"/>
      <c r="C231" s="115"/>
      <c r="D231" s="198"/>
      <c r="E231" s="790" t="e">
        <f>VLOOKUP(A231,'BD VOLUME'!A:F,6,0)</f>
        <v>#N/A</v>
      </c>
    </row>
    <row r="232" spans="1:5">
      <c r="A232" s="198"/>
      <c r="B232" s="198"/>
      <c r="C232" s="115"/>
      <c r="D232" s="198"/>
      <c r="E232" s="790" t="e">
        <f>VLOOKUP(A232,'BD VOLUME'!A:F,6,0)</f>
        <v>#N/A</v>
      </c>
    </row>
    <row r="233" spans="1:5">
      <c r="A233" s="198"/>
      <c r="B233" s="198"/>
      <c r="C233" s="115"/>
      <c r="D233" s="198"/>
      <c r="E233" s="790" t="e">
        <f>VLOOKUP(A233,'BD VOLUME'!A:F,6,0)</f>
        <v>#N/A</v>
      </c>
    </row>
    <row r="234" spans="1:5">
      <c r="A234" s="198"/>
      <c r="B234" s="198"/>
      <c r="C234" s="115"/>
      <c r="D234" s="198"/>
      <c r="E234" s="790" t="e">
        <f>VLOOKUP(A234,'BD VOLUME'!A:F,6,0)</f>
        <v>#N/A</v>
      </c>
    </row>
    <row r="235" spans="1:5">
      <c r="A235" s="198"/>
      <c r="B235" s="198"/>
      <c r="C235" s="115"/>
      <c r="D235" s="198"/>
      <c r="E235" s="790" t="e">
        <f>VLOOKUP(A235,'BD VOLUME'!A:F,6,0)</f>
        <v>#N/A</v>
      </c>
    </row>
    <row r="236" spans="1:5">
      <c r="A236" s="198"/>
      <c r="B236" s="198"/>
      <c r="C236" s="115"/>
      <c r="D236" s="198"/>
      <c r="E236" s="790" t="e">
        <f>VLOOKUP(A236,'BD VOLUME'!A:F,6,0)</f>
        <v>#N/A</v>
      </c>
    </row>
    <row r="237" spans="1:5">
      <c r="A237" s="198"/>
      <c r="B237" s="198"/>
      <c r="C237" s="115"/>
      <c r="D237" s="198"/>
      <c r="E237" s="790" t="e">
        <f>VLOOKUP(A237,'BD VOLUME'!A:F,6,0)</f>
        <v>#N/A</v>
      </c>
    </row>
    <row r="238" spans="1:5">
      <c r="A238" s="198"/>
      <c r="B238" s="198"/>
      <c r="C238" s="115"/>
      <c r="D238" s="198"/>
      <c r="E238" s="790" t="e">
        <f>VLOOKUP(A238,'BD VOLUME'!A:F,6,0)</f>
        <v>#N/A</v>
      </c>
    </row>
    <row r="239" spans="1:5">
      <c r="A239" s="198"/>
      <c r="B239" s="198"/>
      <c r="C239" s="115"/>
      <c r="D239" s="198"/>
      <c r="E239" s="790" t="e">
        <f>VLOOKUP(A239,'BD VOLUME'!A:F,6,0)</f>
        <v>#N/A</v>
      </c>
    </row>
    <row r="240" spans="1:5">
      <c r="A240" s="198"/>
      <c r="B240" s="198"/>
      <c r="C240" s="115"/>
      <c r="D240" s="198"/>
      <c r="E240" s="790" t="e">
        <f>VLOOKUP(A240,'BD VOLUME'!A:F,6,0)</f>
        <v>#N/A</v>
      </c>
    </row>
    <row r="241" spans="1:5">
      <c r="A241" s="198"/>
      <c r="B241" s="198"/>
      <c r="C241" s="115"/>
      <c r="D241" s="198"/>
      <c r="E241" s="790" t="e">
        <f>VLOOKUP(A241,'BD VOLUME'!A:F,6,0)</f>
        <v>#N/A</v>
      </c>
    </row>
    <row r="242" spans="1:5">
      <c r="A242" s="198"/>
      <c r="B242" s="198"/>
      <c r="C242" s="115"/>
      <c r="D242" s="198"/>
      <c r="E242" s="790" t="e">
        <f>VLOOKUP(A242,'BD VOLUME'!A:F,6,0)</f>
        <v>#N/A</v>
      </c>
    </row>
    <row r="243" spans="1:5">
      <c r="A243" s="198"/>
      <c r="B243" s="198"/>
      <c r="C243" s="115"/>
      <c r="D243" s="198"/>
      <c r="E243" s="790" t="e">
        <f>VLOOKUP(A243,'BD VOLUME'!A:F,6,0)</f>
        <v>#N/A</v>
      </c>
    </row>
    <row r="244" spans="1:5">
      <c r="A244" s="198"/>
      <c r="B244" s="198"/>
      <c r="C244" s="115"/>
      <c r="D244" s="198"/>
      <c r="E244" s="790" t="e">
        <f>VLOOKUP(A244,'BD VOLUME'!A:F,6,0)</f>
        <v>#N/A</v>
      </c>
    </row>
    <row r="245" spans="1:5">
      <c r="A245" s="198"/>
      <c r="B245" s="198"/>
      <c r="C245" s="115"/>
      <c r="D245" s="198"/>
      <c r="E245" s="790" t="e">
        <f>VLOOKUP(A245,'BD VOLUME'!A:F,6,0)</f>
        <v>#N/A</v>
      </c>
    </row>
    <row r="246" spans="1:5">
      <c r="A246" s="198"/>
      <c r="B246" s="198"/>
      <c r="C246" s="115"/>
      <c r="D246" s="198"/>
      <c r="E246" s="790" t="e">
        <f>VLOOKUP(A246,'BD VOLUME'!A:F,6,0)</f>
        <v>#N/A</v>
      </c>
    </row>
    <row r="247" spans="1:5">
      <c r="A247" s="198"/>
      <c r="B247" s="198"/>
      <c r="C247" s="115"/>
      <c r="D247" s="198"/>
      <c r="E247" s="790" t="e">
        <f>VLOOKUP(A247,'BD VOLUME'!A:F,6,0)</f>
        <v>#N/A</v>
      </c>
    </row>
    <row r="248" spans="1:5">
      <c r="A248" s="198"/>
      <c r="B248" s="198"/>
      <c r="C248" s="115"/>
      <c r="D248" s="198"/>
      <c r="E248" s="790" t="e">
        <f>VLOOKUP(A248,'BD VOLUME'!A:F,6,0)</f>
        <v>#N/A</v>
      </c>
    </row>
    <row r="249" spans="1:5">
      <c r="A249" s="198"/>
      <c r="B249" s="198"/>
      <c r="C249" s="115"/>
      <c r="D249" s="198"/>
      <c r="E249" s="790" t="e">
        <f>VLOOKUP(A249,'BD VOLUME'!A:F,6,0)</f>
        <v>#N/A</v>
      </c>
    </row>
    <row r="250" spans="1:5">
      <c r="A250" s="198"/>
      <c r="B250" s="198"/>
      <c r="C250" s="115"/>
      <c r="D250" s="198"/>
      <c r="E250" s="790" t="e">
        <f>VLOOKUP(A250,'BD VOLUME'!A:F,6,0)</f>
        <v>#N/A</v>
      </c>
    </row>
    <row r="251" spans="1:5">
      <c r="A251" s="198"/>
      <c r="B251" s="198"/>
      <c r="C251" s="115"/>
      <c r="D251" s="198"/>
      <c r="E251" s="790" t="e">
        <f>VLOOKUP(A251,'BD VOLUME'!A:F,6,0)</f>
        <v>#N/A</v>
      </c>
    </row>
    <row r="252" spans="1:5">
      <c r="A252" s="198"/>
      <c r="B252" s="198"/>
      <c r="C252" s="115"/>
      <c r="D252" s="198"/>
      <c r="E252" s="790" t="e">
        <f>VLOOKUP(A252,'BD VOLUME'!A:F,6,0)</f>
        <v>#N/A</v>
      </c>
    </row>
    <row r="253" spans="1:5">
      <c r="A253" s="198"/>
      <c r="B253" s="198"/>
      <c r="C253" s="115"/>
      <c r="D253" s="198"/>
      <c r="E253" s="790" t="e">
        <f>VLOOKUP(A253,'BD VOLUME'!A:F,6,0)</f>
        <v>#N/A</v>
      </c>
    </row>
    <row r="254" spans="1:5">
      <c r="A254" s="198"/>
      <c r="B254" s="198"/>
      <c r="C254" s="115"/>
      <c r="D254" s="198"/>
      <c r="E254" s="790" t="e">
        <f>VLOOKUP(A254,'BD VOLUME'!A:F,6,0)</f>
        <v>#N/A</v>
      </c>
    </row>
    <row r="255" spans="1:5">
      <c r="A255" s="198"/>
      <c r="B255" s="198"/>
      <c r="C255" s="115"/>
      <c r="D255" s="198"/>
      <c r="E255" s="790" t="e">
        <f>VLOOKUP(A255,'BD VOLUME'!A:F,6,0)</f>
        <v>#N/A</v>
      </c>
    </row>
    <row r="256" spans="1:5">
      <c r="A256" s="198"/>
      <c r="B256" s="198"/>
      <c r="C256" s="115"/>
      <c r="D256" s="198"/>
      <c r="E256" s="790" t="e">
        <f>VLOOKUP(A256,'BD VOLUME'!A:F,6,0)</f>
        <v>#N/A</v>
      </c>
    </row>
    <row r="257" spans="1:5">
      <c r="A257" s="198"/>
      <c r="B257" s="198"/>
      <c r="C257" s="115"/>
      <c r="D257" s="198"/>
      <c r="E257" s="790" t="e">
        <f>VLOOKUP(A257,'BD VOLUME'!A:F,6,0)</f>
        <v>#N/A</v>
      </c>
    </row>
    <row r="258" spans="1:5">
      <c r="A258" s="198"/>
      <c r="B258" s="198"/>
      <c r="C258" s="115"/>
      <c r="D258" s="198"/>
      <c r="E258" s="790" t="e">
        <f>VLOOKUP(A258,'BD VOLUME'!A:F,6,0)</f>
        <v>#N/A</v>
      </c>
    </row>
    <row r="259" spans="1:5">
      <c r="A259" s="198"/>
      <c r="B259" s="198"/>
      <c r="C259" s="115"/>
      <c r="D259" s="198"/>
      <c r="E259" s="790" t="e">
        <f>VLOOKUP(A259,'BD VOLUME'!A:F,6,0)</f>
        <v>#N/A</v>
      </c>
    </row>
    <row r="260" spans="1:5">
      <c r="A260" s="198"/>
      <c r="B260" s="198"/>
      <c r="C260" s="115"/>
      <c r="D260" s="198"/>
      <c r="E260" s="790" t="e">
        <f>VLOOKUP(A260,'BD VOLUME'!A:F,6,0)</f>
        <v>#N/A</v>
      </c>
    </row>
    <row r="261" spans="1:5">
      <c r="A261" s="198"/>
      <c r="B261" s="198"/>
      <c r="C261" s="115"/>
      <c r="D261" s="198"/>
      <c r="E261" s="790" t="e">
        <f>VLOOKUP(A261,'BD VOLUME'!A:F,6,0)</f>
        <v>#N/A</v>
      </c>
    </row>
    <row r="262" spans="1:5">
      <c r="A262" s="198"/>
      <c r="B262" s="198"/>
      <c r="C262" s="115"/>
      <c r="D262" s="198"/>
      <c r="E262" s="790" t="e">
        <f>VLOOKUP(A262,'BD VOLUME'!A:F,6,0)</f>
        <v>#N/A</v>
      </c>
    </row>
    <row r="263" spans="1:5">
      <c r="A263" s="198"/>
      <c r="B263" s="198"/>
      <c r="C263" s="115"/>
      <c r="D263" s="198"/>
      <c r="E263" s="790" t="e">
        <f>VLOOKUP(A263,'BD VOLUME'!A:F,6,0)</f>
        <v>#N/A</v>
      </c>
    </row>
    <row r="264" spans="1:5">
      <c r="A264" s="198"/>
      <c r="B264" s="198"/>
      <c r="C264" s="115"/>
      <c r="D264" s="198"/>
      <c r="E264" s="790" t="e">
        <f>VLOOKUP(A264,'BD VOLUME'!A:F,6,0)</f>
        <v>#N/A</v>
      </c>
    </row>
    <row r="265" spans="1:5">
      <c r="A265" s="198"/>
      <c r="B265" s="198"/>
      <c r="C265" s="115"/>
      <c r="D265" s="198"/>
      <c r="E265" s="790" t="e">
        <f>VLOOKUP(A265,'BD VOLUME'!A:F,6,0)</f>
        <v>#N/A</v>
      </c>
    </row>
    <row r="266" spans="1:5">
      <c r="A266" s="198"/>
      <c r="B266" s="198"/>
      <c r="C266" s="115"/>
      <c r="D266" s="198"/>
      <c r="E266" s="790" t="e">
        <f>VLOOKUP(A266,'BD VOLUME'!A:F,6,0)</f>
        <v>#N/A</v>
      </c>
    </row>
    <row r="267" spans="1:5">
      <c r="A267" s="198"/>
      <c r="B267" s="198"/>
      <c r="C267" s="115"/>
      <c r="D267" s="198"/>
      <c r="E267" s="790" t="e">
        <f>VLOOKUP(A267,'BD VOLUME'!A:F,6,0)</f>
        <v>#N/A</v>
      </c>
    </row>
    <row r="268" spans="1:5">
      <c r="A268" s="198"/>
      <c r="B268" s="198"/>
      <c r="C268" s="115"/>
      <c r="D268" s="198"/>
      <c r="E268" s="790" t="e">
        <f>VLOOKUP(A268,'BD VOLUME'!A:F,6,0)</f>
        <v>#N/A</v>
      </c>
    </row>
    <row r="269" spans="1:5">
      <c r="A269" s="198"/>
      <c r="B269" s="198"/>
      <c r="C269" s="115"/>
      <c r="D269" s="198"/>
      <c r="E269" s="790" t="e">
        <f>VLOOKUP(A269,'BD VOLUME'!A:F,6,0)</f>
        <v>#N/A</v>
      </c>
    </row>
    <row r="270" spans="1:5">
      <c r="A270" s="198"/>
      <c r="B270" s="198"/>
      <c r="C270" s="115"/>
      <c r="D270" s="198"/>
      <c r="E270" s="790" t="e">
        <f>VLOOKUP(A270,'BD VOLUME'!A:F,6,0)</f>
        <v>#N/A</v>
      </c>
    </row>
    <row r="271" spans="1:5">
      <c r="A271" s="198"/>
      <c r="B271" s="198"/>
      <c r="C271" s="115"/>
      <c r="D271" s="198"/>
      <c r="E271" s="790" t="e">
        <f>VLOOKUP(A271,'BD VOLUME'!A:F,6,0)</f>
        <v>#N/A</v>
      </c>
    </row>
    <row r="272" spans="1:5">
      <c r="A272" s="198"/>
      <c r="B272" s="198"/>
      <c r="C272" s="115"/>
      <c r="D272" s="198"/>
      <c r="E272" s="790" t="e">
        <f>VLOOKUP(A272,'BD VOLUME'!A:F,6,0)</f>
        <v>#N/A</v>
      </c>
    </row>
    <row r="273" spans="1:5">
      <c r="A273" s="198"/>
      <c r="B273" s="198"/>
      <c r="C273" s="115"/>
      <c r="D273" s="198"/>
      <c r="E273" s="790" t="e">
        <f>VLOOKUP(A273,'BD VOLUME'!A:F,6,0)</f>
        <v>#N/A</v>
      </c>
    </row>
    <row r="274" spans="1:5">
      <c r="A274" s="198"/>
      <c r="B274" s="198"/>
      <c r="C274" s="115"/>
      <c r="D274" s="198"/>
      <c r="E274" s="790" t="e">
        <f>VLOOKUP(A274,'BD VOLUME'!A:F,6,0)</f>
        <v>#N/A</v>
      </c>
    </row>
    <row r="275" spans="1:5">
      <c r="A275" s="198"/>
      <c r="B275" s="198"/>
      <c r="C275" s="115"/>
      <c r="D275" s="198"/>
      <c r="E275" s="790" t="e">
        <f>VLOOKUP(A275,'BD VOLUME'!A:F,6,0)</f>
        <v>#N/A</v>
      </c>
    </row>
    <row r="276" spans="1:5">
      <c r="A276" s="198"/>
      <c r="B276" s="198"/>
      <c r="C276" s="115"/>
      <c r="D276" s="198"/>
      <c r="E276" s="790" t="e">
        <f>VLOOKUP(A276,'BD VOLUME'!A:F,6,0)</f>
        <v>#N/A</v>
      </c>
    </row>
    <row r="277" spans="1:5">
      <c r="A277" s="198"/>
      <c r="B277" s="198"/>
      <c r="C277" s="115"/>
      <c r="D277" s="198"/>
      <c r="E277" s="790" t="e">
        <f>VLOOKUP(A277,'BD VOLUME'!A:F,6,0)</f>
        <v>#N/A</v>
      </c>
    </row>
    <row r="278" spans="1:5">
      <c r="A278" s="198"/>
      <c r="B278" s="198"/>
      <c r="C278" s="115"/>
      <c r="D278" s="198"/>
      <c r="E278" s="790" t="e">
        <f>VLOOKUP(A278,'BD VOLUME'!A:F,6,0)</f>
        <v>#N/A</v>
      </c>
    </row>
    <row r="279" spans="1:5">
      <c r="A279" s="198"/>
      <c r="B279" s="198"/>
      <c r="C279" s="115"/>
      <c r="D279" s="198"/>
      <c r="E279" s="790" t="e">
        <f>VLOOKUP(A279,'BD VOLUME'!A:F,6,0)</f>
        <v>#N/A</v>
      </c>
    </row>
    <row r="280" spans="1:5">
      <c r="A280" s="198"/>
      <c r="B280" s="198"/>
      <c r="C280" s="115"/>
      <c r="D280" s="198"/>
      <c r="E280" s="790" t="e">
        <f>VLOOKUP(A280,'BD VOLUME'!A:F,6,0)</f>
        <v>#N/A</v>
      </c>
    </row>
    <row r="281" spans="1:5">
      <c r="A281" s="198"/>
      <c r="B281" s="198"/>
      <c r="C281" s="115"/>
      <c r="D281" s="198"/>
      <c r="E281" s="790" t="e">
        <f>VLOOKUP(A281,'BD VOLUME'!A:F,6,0)</f>
        <v>#N/A</v>
      </c>
    </row>
    <row r="282" spans="1:5">
      <c r="A282" s="198"/>
      <c r="B282" s="198"/>
      <c r="C282" s="115"/>
      <c r="D282" s="198"/>
      <c r="E282" s="790" t="e">
        <f>VLOOKUP(A282,'BD VOLUME'!A:F,6,0)</f>
        <v>#N/A</v>
      </c>
    </row>
    <row r="283" spans="1:5">
      <c r="A283" s="198"/>
      <c r="B283" s="198"/>
      <c r="C283" s="115"/>
      <c r="D283" s="198"/>
      <c r="E283" s="790" t="e">
        <f>VLOOKUP(A283,'BD VOLUME'!A:F,6,0)</f>
        <v>#N/A</v>
      </c>
    </row>
    <row r="284" spans="1:5">
      <c r="A284" s="198"/>
      <c r="B284" s="198"/>
      <c r="C284" s="115"/>
      <c r="D284" s="198"/>
      <c r="E284" s="790" t="e">
        <f>VLOOKUP(A284,'BD VOLUME'!A:F,6,0)</f>
        <v>#N/A</v>
      </c>
    </row>
    <row r="285" spans="1:5">
      <c r="A285" s="198"/>
      <c r="B285" s="198"/>
      <c r="C285" s="115"/>
      <c r="D285" s="198"/>
      <c r="E285" s="790" t="e">
        <f>VLOOKUP(A285,'BD VOLUME'!A:F,6,0)</f>
        <v>#N/A</v>
      </c>
    </row>
    <row r="286" spans="1:5">
      <c r="A286" s="198"/>
      <c r="B286" s="198"/>
      <c r="C286" s="115"/>
      <c r="D286" s="198"/>
      <c r="E286" s="790" t="e">
        <f>VLOOKUP(A286,'BD VOLUME'!A:F,6,0)</f>
        <v>#N/A</v>
      </c>
    </row>
    <row r="287" spans="1:5">
      <c r="A287" s="198"/>
      <c r="B287" s="198"/>
      <c r="C287" s="115"/>
      <c r="D287" s="198"/>
      <c r="E287" s="790" t="e">
        <f>VLOOKUP(A287,'BD VOLUME'!A:F,6,0)</f>
        <v>#N/A</v>
      </c>
    </row>
    <row r="288" spans="1:5">
      <c r="A288" s="198"/>
      <c r="B288" s="198"/>
      <c r="C288" s="115"/>
      <c r="D288" s="198"/>
      <c r="E288" s="790" t="e">
        <f>VLOOKUP(A288,'BD VOLUME'!A:F,6,0)</f>
        <v>#N/A</v>
      </c>
    </row>
    <row r="289" spans="1:5">
      <c r="A289" s="198"/>
      <c r="B289" s="198"/>
      <c r="C289" s="115"/>
      <c r="D289" s="198"/>
      <c r="E289" s="790" t="e">
        <f>VLOOKUP(A289,'BD VOLUME'!A:F,6,0)</f>
        <v>#N/A</v>
      </c>
    </row>
    <row r="290" spans="1:5">
      <c r="A290" s="198"/>
      <c r="B290" s="198"/>
      <c r="C290" s="115"/>
      <c r="D290" s="198"/>
      <c r="E290" s="790" t="e">
        <f>VLOOKUP(A290,'BD VOLUME'!A:F,6,0)</f>
        <v>#N/A</v>
      </c>
    </row>
    <row r="291" spans="1:5">
      <c r="A291" s="198"/>
      <c r="B291" s="198"/>
      <c r="C291" s="115"/>
      <c r="D291" s="198"/>
      <c r="E291" s="790" t="e">
        <f>VLOOKUP(A291,'BD VOLUME'!A:F,6,0)</f>
        <v>#N/A</v>
      </c>
    </row>
    <row r="292" spans="1:5">
      <c r="A292" s="198"/>
      <c r="B292" s="198"/>
      <c r="C292" s="115"/>
      <c r="D292" s="198"/>
      <c r="E292" s="790" t="e">
        <f>VLOOKUP(A292,'BD VOLUME'!A:F,6,0)</f>
        <v>#N/A</v>
      </c>
    </row>
    <row r="293" spans="1:5">
      <c r="A293" s="198"/>
      <c r="B293" s="198"/>
      <c r="C293" s="115"/>
      <c r="D293" s="198"/>
      <c r="E293" s="790" t="e">
        <f>VLOOKUP(A293,'BD VOLUME'!A:F,6,0)</f>
        <v>#N/A</v>
      </c>
    </row>
    <row r="294" spans="1:5">
      <c r="A294" s="198"/>
      <c r="B294" s="198"/>
      <c r="C294" s="115"/>
      <c r="D294" s="198"/>
      <c r="E294" s="790" t="e">
        <f>VLOOKUP(A294,'BD VOLUME'!A:F,6,0)</f>
        <v>#N/A</v>
      </c>
    </row>
    <row r="295" spans="1:5">
      <c r="A295" s="198"/>
      <c r="B295" s="198"/>
      <c r="C295" s="115"/>
      <c r="D295" s="198"/>
      <c r="E295" s="790" t="e">
        <f>VLOOKUP(A295,'BD VOLUME'!A:F,6,0)</f>
        <v>#N/A</v>
      </c>
    </row>
    <row r="296" spans="1:5">
      <c r="A296" s="198"/>
      <c r="B296" s="198"/>
      <c r="C296" s="115"/>
      <c r="D296" s="198"/>
      <c r="E296" s="790" t="e">
        <f>VLOOKUP(A296,'BD VOLUME'!A:F,6,0)</f>
        <v>#N/A</v>
      </c>
    </row>
    <row r="297" spans="1:5">
      <c r="A297" s="198"/>
      <c r="B297" s="198"/>
      <c r="C297" s="115"/>
      <c r="D297" s="198"/>
      <c r="E297" s="790" t="e">
        <f>VLOOKUP(A297,'BD VOLUME'!A:F,6,0)</f>
        <v>#N/A</v>
      </c>
    </row>
    <row r="298" spans="1:5">
      <c r="A298" s="198"/>
      <c r="B298" s="198"/>
      <c r="C298" s="115"/>
      <c r="D298" s="198"/>
      <c r="E298" s="790" t="e">
        <f>VLOOKUP(A298,'BD VOLUME'!A:F,6,0)</f>
        <v>#N/A</v>
      </c>
    </row>
    <row r="299" spans="1:5">
      <c r="A299" s="198"/>
      <c r="B299" s="198"/>
      <c r="C299" s="115"/>
      <c r="D299" s="198"/>
      <c r="E299" s="790" t="e">
        <f>VLOOKUP(A299,'BD VOLUME'!A:F,6,0)</f>
        <v>#N/A</v>
      </c>
    </row>
    <row r="300" spans="1:5">
      <c r="A300" s="198"/>
      <c r="B300" s="198"/>
      <c r="C300" s="115"/>
      <c r="D300" s="198"/>
      <c r="E300" s="790" t="e">
        <f>VLOOKUP(A300,'BD VOLUME'!A:F,6,0)</f>
        <v>#N/A</v>
      </c>
    </row>
    <row r="301" spans="1:5">
      <c r="A301" s="198"/>
      <c r="B301" s="198"/>
      <c r="C301" s="115"/>
      <c r="D301" s="198"/>
      <c r="E301" s="790" t="e">
        <f>VLOOKUP(A301,'BD VOLUME'!A:F,6,0)</f>
        <v>#N/A</v>
      </c>
    </row>
    <row r="302" spans="1:5">
      <c r="A302" s="198"/>
      <c r="B302" s="198"/>
      <c r="C302" s="115"/>
      <c r="D302" s="198"/>
      <c r="E302" s="790" t="e">
        <f>VLOOKUP(A302,'BD VOLUME'!A:F,6,0)</f>
        <v>#N/A</v>
      </c>
    </row>
    <row r="303" spans="1:5">
      <c r="A303" s="198"/>
      <c r="B303" s="198"/>
      <c r="C303" s="115"/>
      <c r="D303" s="198"/>
      <c r="E303" s="790" t="e">
        <f>VLOOKUP(A303,'BD VOLUME'!A:F,6,0)</f>
        <v>#N/A</v>
      </c>
    </row>
    <row r="304" spans="1:5">
      <c r="A304" s="198"/>
      <c r="B304" s="198"/>
      <c r="C304" s="115"/>
      <c r="D304" s="198"/>
      <c r="E304" s="790" t="e">
        <f>VLOOKUP(A304,'BD VOLUME'!A:F,6,0)</f>
        <v>#N/A</v>
      </c>
    </row>
    <row r="305" spans="1:5">
      <c r="A305" s="198"/>
      <c r="B305" s="198"/>
      <c r="C305" s="115"/>
      <c r="D305" s="198"/>
      <c r="E305" s="790" t="e">
        <f>VLOOKUP(A305,'BD VOLUME'!A:F,6,0)</f>
        <v>#N/A</v>
      </c>
    </row>
    <row r="306" spans="1:5">
      <c r="A306" s="198"/>
      <c r="B306" s="198"/>
      <c r="C306" s="115"/>
      <c r="D306" s="198"/>
      <c r="E306" s="790" t="e">
        <f>VLOOKUP(A306,'BD VOLUME'!A:F,6,0)</f>
        <v>#N/A</v>
      </c>
    </row>
    <row r="307" spans="1:5">
      <c r="A307" s="198"/>
      <c r="B307" s="198"/>
      <c r="C307" s="115"/>
      <c r="D307" s="198"/>
      <c r="E307" s="790" t="e">
        <f>VLOOKUP(A307,'BD VOLUME'!A:F,6,0)</f>
        <v>#N/A</v>
      </c>
    </row>
    <row r="308" spans="1:5">
      <c r="A308" s="198"/>
      <c r="B308" s="198"/>
      <c r="C308" s="115"/>
      <c r="D308" s="198"/>
      <c r="E308" s="790" t="e">
        <f>VLOOKUP(A308,'BD VOLUME'!A:F,6,0)</f>
        <v>#N/A</v>
      </c>
    </row>
    <row r="309" spans="1:5">
      <c r="A309" s="198"/>
      <c r="B309" s="198"/>
      <c r="C309" s="115"/>
      <c r="D309" s="198"/>
      <c r="E309" s="790" t="e">
        <f>VLOOKUP(A309,'BD VOLUME'!A:F,6,0)</f>
        <v>#N/A</v>
      </c>
    </row>
    <row r="310" spans="1:5">
      <c r="A310" s="198"/>
      <c r="B310" s="198"/>
      <c r="C310" s="115"/>
      <c r="D310" s="198"/>
      <c r="E310" s="790" t="e">
        <f>VLOOKUP(A310,'BD VOLUME'!A:F,6,0)</f>
        <v>#N/A</v>
      </c>
    </row>
    <row r="311" spans="1:5">
      <c r="A311" s="198"/>
      <c r="B311" s="198"/>
      <c r="C311" s="115"/>
      <c r="D311" s="198"/>
      <c r="E311" s="790" t="e">
        <f>VLOOKUP(A311,'BD VOLUME'!A:F,6,0)</f>
        <v>#N/A</v>
      </c>
    </row>
    <row r="312" spans="1:5">
      <c r="A312" s="198"/>
      <c r="B312" s="198"/>
      <c r="C312" s="115"/>
      <c r="D312" s="198"/>
      <c r="E312" s="790" t="e">
        <f>VLOOKUP(A312,'BD VOLUME'!A:F,6,0)</f>
        <v>#N/A</v>
      </c>
    </row>
    <row r="313" spans="1:5">
      <c r="A313" s="198"/>
      <c r="B313" s="198"/>
      <c r="C313" s="115"/>
      <c r="D313" s="198"/>
      <c r="E313" s="790" t="e">
        <f>VLOOKUP(A313,'BD VOLUME'!A:F,6,0)</f>
        <v>#N/A</v>
      </c>
    </row>
    <row r="314" spans="1:5">
      <c r="A314" s="198"/>
      <c r="B314" s="198"/>
      <c r="C314" s="115"/>
      <c r="D314" s="198"/>
      <c r="E314" s="790" t="e">
        <f>VLOOKUP(A314,'BD VOLUME'!A:F,6,0)</f>
        <v>#N/A</v>
      </c>
    </row>
    <row r="315" spans="1:5">
      <c r="A315" s="198"/>
      <c r="B315" s="198"/>
      <c r="C315" s="115"/>
      <c r="D315" s="198"/>
      <c r="E315" s="790" t="e">
        <f>VLOOKUP(A315,'BD VOLUME'!A:F,6,0)</f>
        <v>#N/A</v>
      </c>
    </row>
    <row r="316" spans="1:5">
      <c r="A316" s="198"/>
      <c r="B316" s="198"/>
      <c r="C316" s="115"/>
      <c r="D316" s="198"/>
      <c r="E316" s="790" t="e">
        <f>VLOOKUP(A316,'BD VOLUME'!A:F,6,0)</f>
        <v>#N/A</v>
      </c>
    </row>
    <row r="317" spans="1:5">
      <c r="A317" s="198"/>
      <c r="B317" s="198"/>
      <c r="C317" s="115"/>
      <c r="D317" s="198"/>
      <c r="E317" s="790" t="e">
        <f>VLOOKUP(A317,'BD VOLUME'!A:F,6,0)</f>
        <v>#N/A</v>
      </c>
    </row>
    <row r="318" spans="1:5">
      <c r="A318" s="198"/>
      <c r="B318" s="198"/>
      <c r="C318" s="115"/>
      <c r="D318" s="198"/>
      <c r="E318" s="790" t="e">
        <f>VLOOKUP(A318,'BD VOLUME'!A:F,6,0)</f>
        <v>#N/A</v>
      </c>
    </row>
    <row r="319" spans="1:5">
      <c r="A319" s="198"/>
      <c r="B319" s="198"/>
      <c r="C319" s="115"/>
      <c r="D319" s="198"/>
      <c r="E319" s="790" t="e">
        <f>VLOOKUP(A319,'BD VOLUME'!A:F,6,0)</f>
        <v>#N/A</v>
      </c>
    </row>
    <row r="320" spans="1:5">
      <c r="A320" s="198"/>
      <c r="B320" s="198"/>
      <c r="C320" s="115"/>
      <c r="D320" s="198"/>
      <c r="E320" s="790" t="e">
        <f>VLOOKUP(A320,'BD VOLUME'!A:F,6,0)</f>
        <v>#N/A</v>
      </c>
    </row>
    <row r="321" spans="1:5">
      <c r="A321" s="198"/>
      <c r="B321" s="198"/>
      <c r="C321" s="115"/>
      <c r="D321" s="198"/>
      <c r="E321" s="790" t="e">
        <f>VLOOKUP(A321,'BD VOLUME'!A:F,6,0)</f>
        <v>#N/A</v>
      </c>
    </row>
    <row r="322" spans="1:5">
      <c r="A322" s="198"/>
      <c r="B322" s="198"/>
      <c r="C322" s="115"/>
      <c r="D322" s="198"/>
      <c r="E322" s="790" t="e">
        <f>VLOOKUP(A322,'BD VOLUME'!A:F,6,0)</f>
        <v>#N/A</v>
      </c>
    </row>
    <row r="323" spans="1:5">
      <c r="A323" s="198"/>
      <c r="B323" s="198"/>
      <c r="C323" s="115"/>
      <c r="D323" s="198"/>
      <c r="E323" s="790" t="e">
        <f>VLOOKUP(A323,'BD VOLUME'!A:F,6,0)</f>
        <v>#N/A</v>
      </c>
    </row>
    <row r="324" spans="1:5">
      <c r="A324" s="198"/>
      <c r="B324" s="198"/>
      <c r="C324" s="115"/>
      <c r="D324" s="198"/>
      <c r="E324" s="790" t="e">
        <f>VLOOKUP(A324,'BD VOLUME'!A:F,6,0)</f>
        <v>#N/A</v>
      </c>
    </row>
    <row r="325" spans="1:5">
      <c r="A325" s="198"/>
      <c r="B325" s="198"/>
      <c r="C325" s="115"/>
      <c r="D325" s="198"/>
      <c r="E325" s="790" t="e">
        <f>VLOOKUP(A325,'BD VOLUME'!A:F,6,0)</f>
        <v>#N/A</v>
      </c>
    </row>
    <row r="326" spans="1:5">
      <c r="A326" s="198"/>
      <c r="B326" s="198"/>
      <c r="C326" s="115"/>
      <c r="D326" s="198"/>
      <c r="E326" s="790" t="e">
        <f>VLOOKUP(A326,'BD VOLUME'!A:F,6,0)</f>
        <v>#N/A</v>
      </c>
    </row>
    <row r="327" spans="1:5">
      <c r="A327" s="198"/>
      <c r="B327" s="198"/>
      <c r="C327" s="115"/>
      <c r="D327" s="198"/>
      <c r="E327" s="790" t="e">
        <f>VLOOKUP(A327,'BD VOLUME'!A:F,6,0)</f>
        <v>#N/A</v>
      </c>
    </row>
    <row r="328" spans="1:5">
      <c r="A328" s="198"/>
      <c r="B328" s="198"/>
      <c r="C328" s="115"/>
      <c r="D328" s="198"/>
      <c r="E328" s="790" t="e">
        <f>VLOOKUP(A328,'BD VOLUME'!A:F,6,0)</f>
        <v>#N/A</v>
      </c>
    </row>
    <row r="329" spans="1:5">
      <c r="A329" s="198"/>
      <c r="B329" s="198"/>
      <c r="C329" s="115"/>
      <c r="D329" s="198"/>
      <c r="E329" s="790" t="e">
        <f>VLOOKUP(A329,'BD VOLUME'!A:F,6,0)</f>
        <v>#N/A</v>
      </c>
    </row>
    <row r="330" spans="1:5">
      <c r="A330" s="198"/>
      <c r="B330" s="198"/>
      <c r="C330" s="115"/>
      <c r="D330" s="198"/>
      <c r="E330" s="790" t="e">
        <f>VLOOKUP(A330,'BD VOLUME'!A:F,6,0)</f>
        <v>#N/A</v>
      </c>
    </row>
    <row r="331" spans="1:5">
      <c r="A331" s="198"/>
      <c r="B331" s="198"/>
      <c r="C331" s="115"/>
      <c r="D331" s="198"/>
      <c r="E331" s="790" t="e">
        <f>VLOOKUP(A331,'BD VOLUME'!A:F,6,0)</f>
        <v>#N/A</v>
      </c>
    </row>
    <row r="332" spans="1:5">
      <c r="A332" s="198"/>
      <c r="B332" s="198"/>
      <c r="C332" s="115"/>
      <c r="D332" s="198"/>
      <c r="E332" s="790" t="e">
        <f>VLOOKUP(A332,'BD VOLUME'!A:F,6,0)</f>
        <v>#N/A</v>
      </c>
    </row>
    <row r="333" spans="1:5">
      <c r="A333" s="198"/>
      <c r="B333" s="198"/>
      <c r="C333" s="115"/>
      <c r="D333" s="198"/>
      <c r="E333" s="790" t="e">
        <f>VLOOKUP(A333,'BD VOLUME'!A:F,6,0)</f>
        <v>#N/A</v>
      </c>
    </row>
    <row r="334" spans="1:5">
      <c r="A334" s="198"/>
      <c r="B334" s="198"/>
      <c r="C334" s="115"/>
      <c r="D334" s="198"/>
      <c r="E334" s="790" t="e">
        <f>VLOOKUP(A334,'BD VOLUME'!A:F,6,0)</f>
        <v>#N/A</v>
      </c>
    </row>
    <row r="335" spans="1:5">
      <c r="A335" s="198"/>
      <c r="B335" s="198"/>
      <c r="C335" s="115"/>
      <c r="D335" s="198"/>
      <c r="E335" s="790" t="e">
        <f>VLOOKUP(A335,'BD VOLUME'!A:F,6,0)</f>
        <v>#N/A</v>
      </c>
    </row>
    <row r="336" spans="1:5">
      <c r="A336" s="198"/>
      <c r="B336" s="198"/>
      <c r="C336" s="115"/>
      <c r="D336" s="198"/>
      <c r="E336" s="790" t="e">
        <f>VLOOKUP(A336,'BD VOLUME'!A:F,6,0)</f>
        <v>#N/A</v>
      </c>
    </row>
    <row r="337" spans="1:5">
      <c r="A337" s="198"/>
      <c r="B337" s="198"/>
      <c r="C337" s="115"/>
      <c r="D337" s="198"/>
      <c r="E337" s="790" t="e">
        <f>VLOOKUP(A337,'BD VOLUME'!A:F,6,0)</f>
        <v>#N/A</v>
      </c>
    </row>
    <row r="338" spans="1:5">
      <c r="A338" s="198"/>
      <c r="B338" s="198"/>
      <c r="C338" s="115"/>
      <c r="D338" s="198"/>
      <c r="E338" s="790" t="e">
        <f>VLOOKUP(A338,'BD VOLUME'!A:F,6,0)</f>
        <v>#N/A</v>
      </c>
    </row>
    <row r="339" spans="1:5">
      <c r="A339" s="198"/>
      <c r="B339" s="198"/>
      <c r="C339" s="115"/>
      <c r="D339" s="198"/>
      <c r="E339" s="790" t="e">
        <f>VLOOKUP(A339,'BD VOLUME'!A:F,6,0)</f>
        <v>#N/A</v>
      </c>
    </row>
    <row r="340" spans="1:5">
      <c r="A340" s="198"/>
      <c r="B340" s="198"/>
      <c r="C340" s="115"/>
      <c r="D340" s="198"/>
      <c r="E340" s="790" t="e">
        <f>VLOOKUP(A340,'BD VOLUME'!A:F,6,0)</f>
        <v>#N/A</v>
      </c>
    </row>
    <row r="341" spans="1:5">
      <c r="A341" s="198"/>
      <c r="B341" s="198"/>
      <c r="C341" s="115"/>
      <c r="D341" s="198"/>
      <c r="E341" s="790" t="e">
        <f>VLOOKUP(A341,'BD VOLUME'!A:F,6,0)</f>
        <v>#N/A</v>
      </c>
    </row>
    <row r="342" spans="1:5">
      <c r="A342" s="198"/>
      <c r="B342" s="198"/>
      <c r="C342" s="115"/>
      <c r="D342" s="198"/>
      <c r="E342" s="790" t="e">
        <f>VLOOKUP(A342,'BD VOLUME'!A:F,6,0)</f>
        <v>#N/A</v>
      </c>
    </row>
    <row r="343" spans="1:5">
      <c r="A343" s="198"/>
      <c r="B343" s="198"/>
      <c r="C343" s="115"/>
      <c r="D343" s="198"/>
      <c r="E343" s="790" t="e">
        <f>VLOOKUP(A343,'BD VOLUME'!A:F,6,0)</f>
        <v>#N/A</v>
      </c>
    </row>
    <row r="344" spans="1:5">
      <c r="A344" s="198"/>
      <c r="B344" s="198"/>
      <c r="C344" s="115"/>
      <c r="D344" s="198"/>
      <c r="E344" s="790" t="e">
        <f>VLOOKUP(A344,'BD VOLUME'!A:F,6,0)</f>
        <v>#N/A</v>
      </c>
    </row>
    <row r="345" spans="1:5">
      <c r="A345" s="198"/>
      <c r="B345" s="198"/>
      <c r="C345" s="115"/>
      <c r="D345" s="198"/>
      <c r="E345" s="790" t="e">
        <f>VLOOKUP(A345,'BD VOLUME'!A:F,6,0)</f>
        <v>#N/A</v>
      </c>
    </row>
    <row r="346" spans="1:5">
      <c r="A346" s="198"/>
      <c r="B346" s="198"/>
      <c r="C346" s="115"/>
      <c r="D346" s="198"/>
      <c r="E346" s="790" t="e">
        <f>VLOOKUP(A346,'BD VOLUME'!A:F,6,0)</f>
        <v>#N/A</v>
      </c>
    </row>
    <row r="347" spans="1:5">
      <c r="A347" s="198"/>
      <c r="B347" s="198"/>
      <c r="C347" s="115"/>
      <c r="D347" s="198"/>
      <c r="E347" s="790" t="e">
        <f>VLOOKUP(A347,'BD VOLUME'!A:F,6,0)</f>
        <v>#N/A</v>
      </c>
    </row>
    <row r="348" spans="1:5">
      <c r="A348" s="198"/>
      <c r="B348" s="198"/>
      <c r="C348" s="115"/>
      <c r="D348" s="198"/>
      <c r="E348" s="790" t="e">
        <f>VLOOKUP(A348,'BD VOLUME'!A:F,6,0)</f>
        <v>#N/A</v>
      </c>
    </row>
    <row r="349" spans="1:5">
      <c r="A349" s="198"/>
      <c r="B349" s="198"/>
      <c r="C349" s="115"/>
      <c r="D349" s="198"/>
      <c r="E349" s="790" t="e">
        <f>VLOOKUP(A349,'BD VOLUME'!A:F,6,0)</f>
        <v>#N/A</v>
      </c>
    </row>
    <row r="350" spans="1:5">
      <c r="A350" s="198"/>
      <c r="B350" s="198"/>
      <c r="C350" s="115"/>
      <c r="D350" s="198"/>
      <c r="E350" s="790" t="e">
        <f>VLOOKUP(A350,'BD VOLUME'!A:F,6,0)</f>
        <v>#N/A</v>
      </c>
    </row>
    <row r="351" spans="1:5">
      <c r="A351" s="198"/>
      <c r="B351" s="198"/>
      <c r="C351" s="115"/>
      <c r="D351" s="198"/>
      <c r="E351" s="790" t="e">
        <f>VLOOKUP(A351,'BD VOLUME'!A:F,6,0)</f>
        <v>#N/A</v>
      </c>
    </row>
    <row r="352" spans="1:5">
      <c r="A352" s="198"/>
      <c r="B352" s="198"/>
      <c r="C352" s="115"/>
      <c r="D352" s="198"/>
      <c r="E352" s="790" t="e">
        <f>VLOOKUP(A352,'BD VOLUME'!A:F,6,0)</f>
        <v>#N/A</v>
      </c>
    </row>
    <row r="353" spans="1:5">
      <c r="A353" s="198"/>
      <c r="B353" s="198"/>
      <c r="C353" s="115"/>
      <c r="D353" s="198"/>
      <c r="E353" s="790" t="e">
        <f>VLOOKUP(A353,'BD VOLUME'!A:F,6,0)</f>
        <v>#N/A</v>
      </c>
    </row>
    <row r="354" spans="1:5">
      <c r="A354" s="198"/>
      <c r="B354" s="198"/>
      <c r="C354" s="115"/>
      <c r="D354" s="198"/>
      <c r="E354" s="790" t="e">
        <f>VLOOKUP(A354,'BD VOLUME'!A:F,6,0)</f>
        <v>#N/A</v>
      </c>
    </row>
    <row r="355" spans="1:5">
      <c r="A355" s="198"/>
      <c r="B355" s="198"/>
      <c r="C355" s="115"/>
      <c r="D355" s="198"/>
      <c r="E355" s="790" t="e">
        <f>VLOOKUP(A355,'BD VOLUME'!A:F,6,0)</f>
        <v>#N/A</v>
      </c>
    </row>
    <row r="356" spans="1:5">
      <c r="A356" s="198"/>
      <c r="B356" s="198"/>
      <c r="C356" s="115"/>
      <c r="D356" s="198"/>
      <c r="E356" s="790" t="e">
        <f>VLOOKUP(A356,'BD VOLUME'!A:F,6,0)</f>
        <v>#N/A</v>
      </c>
    </row>
    <row r="357" spans="1:5">
      <c r="A357" s="198"/>
      <c r="B357" s="198"/>
      <c r="C357" s="115"/>
      <c r="D357" s="198"/>
      <c r="E357" s="790" t="e">
        <f>VLOOKUP(A357,'BD VOLUME'!A:F,6,0)</f>
        <v>#N/A</v>
      </c>
    </row>
    <row r="358" spans="1:5">
      <c r="A358" s="198"/>
      <c r="B358" s="198"/>
      <c r="C358" s="115"/>
      <c r="D358" s="198"/>
      <c r="E358" s="790" t="e">
        <f>VLOOKUP(A358,'BD VOLUME'!A:F,6,0)</f>
        <v>#N/A</v>
      </c>
    </row>
    <row r="359" spans="1:5">
      <c r="A359" s="198"/>
      <c r="B359" s="198"/>
      <c r="C359" s="115"/>
      <c r="D359" s="198"/>
      <c r="E359" s="790" t="e">
        <f>VLOOKUP(A359,'BD VOLUME'!A:F,6,0)</f>
        <v>#N/A</v>
      </c>
    </row>
    <row r="360" spans="1:5">
      <c r="A360" s="198"/>
      <c r="B360" s="198"/>
      <c r="C360" s="115"/>
      <c r="D360" s="198"/>
      <c r="E360" s="790" t="e">
        <f>VLOOKUP(A360,'BD VOLUME'!A:F,6,0)</f>
        <v>#N/A</v>
      </c>
    </row>
    <row r="361" spans="1:5">
      <c r="A361" s="198"/>
      <c r="B361" s="198"/>
      <c r="C361" s="115"/>
      <c r="D361" s="198"/>
      <c r="E361" s="790" t="e">
        <f>VLOOKUP(A361,'BD VOLUME'!A:F,6,0)</f>
        <v>#N/A</v>
      </c>
    </row>
    <row r="362" spans="1:5">
      <c r="A362" s="198"/>
      <c r="B362" s="198"/>
      <c r="C362" s="115"/>
      <c r="D362" s="198"/>
      <c r="E362" s="790" t="e">
        <f>VLOOKUP(A362,'BD VOLUME'!A:F,6,0)</f>
        <v>#N/A</v>
      </c>
    </row>
    <row r="363" spans="1:5">
      <c r="A363" s="198"/>
      <c r="B363" s="198"/>
      <c r="C363" s="115"/>
      <c r="D363" s="198"/>
      <c r="E363" s="790" t="e">
        <f>VLOOKUP(A363,'BD VOLUME'!A:F,6,0)</f>
        <v>#N/A</v>
      </c>
    </row>
    <row r="364" spans="1:5">
      <c r="A364" s="198"/>
      <c r="B364" s="198"/>
      <c r="C364" s="115"/>
      <c r="D364" s="198"/>
      <c r="E364" s="790" t="e">
        <f>VLOOKUP(A364,'BD VOLUME'!A:F,6,0)</f>
        <v>#N/A</v>
      </c>
    </row>
    <row r="365" spans="1:5">
      <c r="A365" s="198"/>
      <c r="B365" s="198"/>
      <c r="C365" s="115"/>
      <c r="D365" s="198"/>
      <c r="E365" s="790" t="e">
        <f>VLOOKUP(A365,'BD VOLUME'!A:F,6,0)</f>
        <v>#N/A</v>
      </c>
    </row>
    <row r="366" spans="1:5">
      <c r="A366" s="198"/>
      <c r="B366" s="198"/>
      <c r="C366" s="115"/>
      <c r="D366" s="198"/>
      <c r="E366" s="790" t="e">
        <f>VLOOKUP(A366,'BD VOLUME'!A:F,6,0)</f>
        <v>#N/A</v>
      </c>
    </row>
    <row r="367" spans="1:5">
      <c r="A367" s="198"/>
      <c r="B367" s="198"/>
      <c r="C367" s="115"/>
      <c r="D367" s="198"/>
      <c r="E367" s="790" t="e">
        <f>VLOOKUP(A367,'BD VOLUME'!A:F,6,0)</f>
        <v>#N/A</v>
      </c>
    </row>
    <row r="368" spans="1:5">
      <c r="A368" s="198"/>
      <c r="B368" s="198"/>
      <c r="C368" s="115"/>
      <c r="D368" s="198"/>
      <c r="E368" s="790" t="e">
        <f>VLOOKUP(A368,'BD VOLUME'!A:F,6,0)</f>
        <v>#N/A</v>
      </c>
    </row>
    <row r="369" spans="1:5">
      <c r="A369" s="198"/>
      <c r="B369" s="198"/>
      <c r="C369" s="115"/>
      <c r="D369" s="198"/>
      <c r="E369" s="790" t="e">
        <f>VLOOKUP(A369,'BD VOLUME'!A:F,6,0)</f>
        <v>#N/A</v>
      </c>
    </row>
    <row r="370" spans="1:5">
      <c r="A370" s="198"/>
      <c r="B370" s="198"/>
      <c r="C370" s="115"/>
      <c r="D370" s="198"/>
      <c r="E370" s="790" t="e">
        <f>VLOOKUP(A370,'BD VOLUME'!A:F,6,0)</f>
        <v>#N/A</v>
      </c>
    </row>
    <row r="371" spans="1:5">
      <c r="A371" s="198"/>
      <c r="B371" s="198"/>
      <c r="C371" s="115"/>
      <c r="D371" s="198"/>
      <c r="E371" s="790" t="e">
        <f>VLOOKUP(A371,'BD VOLUME'!A:F,6,0)</f>
        <v>#N/A</v>
      </c>
    </row>
    <row r="372" spans="1:5">
      <c r="A372" s="198"/>
      <c r="B372" s="198"/>
      <c r="C372" s="115"/>
      <c r="D372" s="198"/>
      <c r="E372" s="790" t="e">
        <f>VLOOKUP(A372,'BD VOLUME'!A:F,6,0)</f>
        <v>#N/A</v>
      </c>
    </row>
    <row r="373" spans="1:5">
      <c r="A373" s="198"/>
      <c r="B373" s="198"/>
      <c r="C373" s="115"/>
      <c r="D373" s="198"/>
      <c r="E373" s="790" t="e">
        <f>VLOOKUP(A373,'BD VOLUME'!A:F,6,0)</f>
        <v>#N/A</v>
      </c>
    </row>
    <row r="374" spans="1:5">
      <c r="A374" s="198"/>
      <c r="B374" s="198"/>
      <c r="C374" s="115"/>
      <c r="D374" s="198"/>
      <c r="E374" s="790" t="e">
        <f>VLOOKUP(A374,'BD VOLUME'!A:F,6,0)</f>
        <v>#N/A</v>
      </c>
    </row>
    <row r="375" spans="1:5">
      <c r="A375" s="198"/>
      <c r="B375" s="198"/>
      <c r="C375" s="115"/>
      <c r="D375" s="198"/>
      <c r="E375" s="790" t="e">
        <f>VLOOKUP(A375,'BD VOLUME'!A:F,6,0)</f>
        <v>#N/A</v>
      </c>
    </row>
    <row r="376" spans="1:5">
      <c r="A376" s="198"/>
      <c r="B376" s="198"/>
      <c r="C376" s="115"/>
      <c r="D376" s="198"/>
      <c r="E376" s="790" t="e">
        <f>VLOOKUP(A376,'BD VOLUME'!A:F,6,0)</f>
        <v>#N/A</v>
      </c>
    </row>
    <row r="377" spans="1:5">
      <c r="A377" s="198"/>
      <c r="B377" s="198"/>
      <c r="C377" s="115"/>
      <c r="D377" s="198"/>
      <c r="E377" s="790" t="e">
        <f>VLOOKUP(A377,'BD VOLUME'!A:F,6,0)</f>
        <v>#N/A</v>
      </c>
    </row>
    <row r="378" spans="1:5">
      <c r="A378" s="198"/>
      <c r="B378" s="198"/>
      <c r="C378" s="115"/>
      <c r="D378" s="198"/>
      <c r="E378" s="790" t="e">
        <f>VLOOKUP(A378,'BD VOLUME'!A:F,6,0)</f>
        <v>#N/A</v>
      </c>
    </row>
    <row r="379" spans="1:5">
      <c r="A379" s="198"/>
      <c r="B379" s="198"/>
      <c r="C379" s="115"/>
      <c r="D379" s="198"/>
      <c r="E379" s="790" t="e">
        <f>VLOOKUP(A379,'BD VOLUME'!A:F,6,0)</f>
        <v>#N/A</v>
      </c>
    </row>
    <row r="380" spans="1:5">
      <c r="A380" s="198"/>
      <c r="B380" s="198"/>
      <c r="C380" s="115"/>
      <c r="D380" s="198"/>
      <c r="E380" s="790" t="e">
        <f>VLOOKUP(A380,'BD VOLUME'!A:F,6,0)</f>
        <v>#N/A</v>
      </c>
    </row>
    <row r="381" spans="1:5">
      <c r="A381" s="198"/>
      <c r="B381" s="198"/>
      <c r="C381" s="115"/>
      <c r="D381" s="198"/>
      <c r="E381" s="790" t="e">
        <f>VLOOKUP(A381,'BD VOLUME'!A:F,6,0)</f>
        <v>#N/A</v>
      </c>
    </row>
    <row r="382" spans="1:5">
      <c r="A382" s="198"/>
      <c r="B382" s="198"/>
      <c r="C382" s="115"/>
      <c r="D382" s="198"/>
      <c r="E382" s="790" t="e">
        <f>VLOOKUP(A382,'BD VOLUME'!A:F,6,0)</f>
        <v>#N/A</v>
      </c>
    </row>
    <row r="383" spans="1:5">
      <c r="A383" s="198"/>
      <c r="B383" s="198"/>
      <c r="C383" s="115"/>
      <c r="D383" s="198"/>
      <c r="E383" s="790" t="e">
        <f>VLOOKUP(A383,'BD VOLUME'!A:F,6,0)</f>
        <v>#N/A</v>
      </c>
    </row>
    <row r="384" spans="1:5">
      <c r="A384" s="198"/>
      <c r="B384" s="198"/>
      <c r="C384" s="115"/>
      <c r="D384" s="198"/>
      <c r="E384" s="790" t="e">
        <f>VLOOKUP(A384,'BD VOLUME'!A:F,6,0)</f>
        <v>#N/A</v>
      </c>
    </row>
    <row r="385" spans="1:5">
      <c r="A385" s="198"/>
      <c r="B385" s="198"/>
      <c r="C385" s="115"/>
      <c r="D385" s="198"/>
      <c r="E385" s="790" t="e">
        <f>VLOOKUP(A385,'BD VOLUME'!A:F,6,0)</f>
        <v>#N/A</v>
      </c>
    </row>
    <row r="386" spans="1:5">
      <c r="A386" s="198"/>
      <c r="B386" s="198"/>
      <c r="C386" s="115"/>
      <c r="D386" s="198"/>
      <c r="E386" s="790" t="e">
        <f>VLOOKUP(A386,'BD VOLUME'!A:F,6,0)</f>
        <v>#N/A</v>
      </c>
    </row>
    <row r="387" spans="1:5">
      <c r="A387" s="198"/>
      <c r="B387" s="198"/>
      <c r="C387" s="115"/>
      <c r="D387" s="198"/>
      <c r="E387" s="790" t="e">
        <f>VLOOKUP(A387,'BD VOLUME'!A:F,6,0)</f>
        <v>#N/A</v>
      </c>
    </row>
    <row r="388" spans="1:5">
      <c r="A388" s="198"/>
      <c r="B388" s="198"/>
      <c r="C388" s="115"/>
      <c r="D388" s="198"/>
      <c r="E388" s="790" t="e">
        <f>VLOOKUP(A388,'BD VOLUME'!A:F,6,0)</f>
        <v>#N/A</v>
      </c>
    </row>
    <row r="389" spans="1:5">
      <c r="A389" s="198"/>
      <c r="B389" s="198"/>
      <c r="C389" s="115"/>
      <c r="D389" s="198"/>
      <c r="E389" s="790" t="e">
        <f>VLOOKUP(A389,'BD VOLUME'!A:F,6,0)</f>
        <v>#N/A</v>
      </c>
    </row>
    <row r="390" spans="1:5">
      <c r="A390" s="198"/>
      <c r="B390" s="198"/>
      <c r="C390" s="115"/>
      <c r="D390" s="198"/>
      <c r="E390" s="790" t="e">
        <f>VLOOKUP(A390,'BD VOLUME'!A:F,6,0)</f>
        <v>#N/A</v>
      </c>
    </row>
    <row r="391" spans="1:5">
      <c r="A391" s="198"/>
      <c r="B391" s="198"/>
      <c r="C391" s="115"/>
      <c r="D391" s="198"/>
      <c r="E391" s="790" t="e">
        <f>VLOOKUP(A391,'BD VOLUME'!A:F,6,0)</f>
        <v>#N/A</v>
      </c>
    </row>
    <row r="392" spans="1:5">
      <c r="A392" s="198"/>
      <c r="B392" s="198"/>
      <c r="C392" s="115"/>
      <c r="D392" s="198"/>
      <c r="E392" s="790" t="e">
        <f>VLOOKUP(A392,'BD VOLUME'!A:F,6,0)</f>
        <v>#N/A</v>
      </c>
    </row>
    <row r="393" spans="1:5">
      <c r="A393" s="198"/>
      <c r="B393" s="198"/>
      <c r="C393" s="115"/>
      <c r="D393" s="198"/>
      <c r="E393" s="790" t="e">
        <f>VLOOKUP(A393,'BD VOLUME'!A:F,6,0)</f>
        <v>#N/A</v>
      </c>
    </row>
    <row r="394" spans="1:5">
      <c r="A394" s="198"/>
      <c r="B394" s="198"/>
      <c r="C394" s="115"/>
      <c r="D394" s="198"/>
      <c r="E394" s="790" t="e">
        <f>VLOOKUP(A394,'BD VOLUME'!A:F,6,0)</f>
        <v>#N/A</v>
      </c>
    </row>
    <row r="395" spans="1:5">
      <c r="A395" s="198"/>
      <c r="B395" s="198"/>
      <c r="C395" s="115"/>
      <c r="D395" s="198"/>
      <c r="E395" s="790" t="e">
        <f>VLOOKUP(A395,'BD VOLUME'!A:F,6,0)</f>
        <v>#N/A</v>
      </c>
    </row>
    <row r="396" spans="1:5">
      <c r="A396" s="198"/>
      <c r="B396" s="198"/>
      <c r="C396" s="115"/>
      <c r="D396" s="198"/>
      <c r="E396" s="790" t="e">
        <f>VLOOKUP(A396,'BD VOLUME'!A:F,6,0)</f>
        <v>#N/A</v>
      </c>
    </row>
    <row r="397" spans="1:5">
      <c r="A397" s="198"/>
      <c r="B397" s="198"/>
      <c r="C397" s="115"/>
      <c r="D397" s="198"/>
      <c r="E397" s="790" t="e">
        <f>VLOOKUP(A397,'BD VOLUME'!A:F,6,0)</f>
        <v>#N/A</v>
      </c>
    </row>
    <row r="398" spans="1:5">
      <c r="A398" s="198"/>
      <c r="B398" s="198"/>
      <c r="C398" s="115"/>
      <c r="D398" s="198"/>
      <c r="E398" s="790" t="e">
        <f>VLOOKUP(A398,'BD VOLUME'!A:F,6,0)</f>
        <v>#N/A</v>
      </c>
    </row>
    <row r="399" spans="1:5">
      <c r="A399" s="198"/>
      <c r="B399" s="198"/>
      <c r="C399" s="115"/>
      <c r="D399" s="198"/>
      <c r="E399" s="790" t="e">
        <f>VLOOKUP(A399,'BD VOLUME'!A:F,6,0)</f>
        <v>#N/A</v>
      </c>
    </row>
    <row r="400" spans="1:5">
      <c r="A400" s="198"/>
      <c r="B400" s="198"/>
      <c r="C400" s="115"/>
      <c r="D400" s="198"/>
      <c r="E400" s="790" t="e">
        <f>VLOOKUP(A400,'BD VOLUME'!A:F,6,0)</f>
        <v>#N/A</v>
      </c>
    </row>
    <row r="401" spans="1:5">
      <c r="A401" s="198"/>
      <c r="B401" s="198"/>
      <c r="C401" s="115"/>
      <c r="D401" s="198"/>
      <c r="E401" s="790" t="e">
        <f>VLOOKUP(A401,'BD VOLUME'!A:F,6,0)</f>
        <v>#N/A</v>
      </c>
    </row>
    <row r="402" spans="1:5">
      <c r="A402" s="198"/>
      <c r="B402" s="198"/>
      <c r="C402" s="115"/>
      <c r="D402" s="198"/>
      <c r="E402" s="790" t="e">
        <f>VLOOKUP(A402,'BD VOLUME'!A:F,6,0)</f>
        <v>#N/A</v>
      </c>
    </row>
    <row r="403" spans="1:5">
      <c r="A403" s="198"/>
      <c r="B403" s="198"/>
      <c r="C403" s="115"/>
      <c r="D403" s="198"/>
      <c r="E403" s="790" t="e">
        <f>VLOOKUP(A403,'BD VOLUME'!A:F,6,0)</f>
        <v>#N/A</v>
      </c>
    </row>
    <row r="404" spans="1:5">
      <c r="A404" s="198"/>
      <c r="B404" s="198"/>
      <c r="C404" s="115"/>
      <c r="D404" s="198"/>
      <c r="E404" s="790" t="e">
        <f>VLOOKUP(A404,'BD VOLUME'!A:F,6,0)</f>
        <v>#N/A</v>
      </c>
    </row>
    <row r="405" spans="1:5">
      <c r="A405" s="198"/>
      <c r="B405" s="198"/>
      <c r="C405" s="115"/>
      <c r="D405" s="198"/>
      <c r="E405" s="790" t="e">
        <f>VLOOKUP(A405,'BD VOLUME'!A:F,6,0)</f>
        <v>#N/A</v>
      </c>
    </row>
    <row r="406" spans="1:5">
      <c r="A406" s="198"/>
      <c r="B406" s="198"/>
      <c r="C406" s="115"/>
      <c r="D406" s="198"/>
      <c r="E406" s="790" t="e">
        <f>VLOOKUP(A406,'BD VOLUME'!A:F,6,0)</f>
        <v>#N/A</v>
      </c>
    </row>
    <row r="407" spans="1:5">
      <c r="A407" s="198"/>
      <c r="B407" s="198"/>
      <c r="C407" s="115"/>
      <c r="D407" s="198"/>
      <c r="E407" s="790" t="e">
        <f>VLOOKUP(A407,'BD VOLUME'!A:F,6,0)</f>
        <v>#N/A</v>
      </c>
    </row>
    <row r="408" spans="1:5">
      <c r="A408" s="198"/>
      <c r="B408" s="198"/>
      <c r="C408" s="115"/>
      <c r="D408" s="198"/>
      <c r="E408" s="790" t="e">
        <f>VLOOKUP(A408,'BD VOLUME'!A:F,6,0)</f>
        <v>#N/A</v>
      </c>
    </row>
    <row r="409" spans="1:5">
      <c r="A409" s="198"/>
      <c r="B409" s="198"/>
      <c r="C409" s="115"/>
      <c r="D409" s="198"/>
      <c r="E409" s="790" t="e">
        <f>VLOOKUP(A409,'BD VOLUME'!A:F,6,0)</f>
        <v>#N/A</v>
      </c>
    </row>
    <row r="410" spans="1:5">
      <c r="A410" s="198"/>
      <c r="B410" s="198"/>
      <c r="C410" s="115"/>
      <c r="D410" s="198"/>
      <c r="E410" s="790" t="e">
        <f>VLOOKUP(A410,'BD VOLUME'!A:F,6,0)</f>
        <v>#N/A</v>
      </c>
    </row>
    <row r="411" spans="1:5">
      <c r="A411" s="198"/>
      <c r="B411" s="198"/>
      <c r="C411" s="115"/>
      <c r="D411" s="198"/>
      <c r="E411" s="790" t="e">
        <f>VLOOKUP(A411,'BD VOLUME'!A:F,6,0)</f>
        <v>#N/A</v>
      </c>
    </row>
    <row r="412" spans="1:5">
      <c r="A412" s="198"/>
      <c r="B412" s="198"/>
      <c r="C412" s="115"/>
      <c r="D412" s="198"/>
      <c r="E412" s="790" t="e">
        <f>VLOOKUP(A412,'BD VOLUME'!A:F,6,0)</f>
        <v>#N/A</v>
      </c>
    </row>
    <row r="413" spans="1:5">
      <c r="A413" s="198"/>
      <c r="B413" s="198"/>
      <c r="C413" s="115"/>
      <c r="D413" s="198"/>
      <c r="E413" s="790" t="e">
        <f>VLOOKUP(A413,'BD VOLUME'!A:F,6,0)</f>
        <v>#N/A</v>
      </c>
    </row>
    <row r="414" spans="1:5">
      <c r="A414" s="198"/>
      <c r="B414" s="198"/>
      <c r="C414" s="115"/>
      <c r="D414" s="198"/>
      <c r="E414" s="790" t="e">
        <f>VLOOKUP(A414,'BD VOLUME'!A:F,6,0)</f>
        <v>#N/A</v>
      </c>
    </row>
    <row r="415" spans="1:5">
      <c r="A415" s="198"/>
      <c r="B415" s="198"/>
      <c r="C415" s="115"/>
      <c r="D415" s="198"/>
      <c r="E415" s="790" t="e">
        <f>VLOOKUP(A415,'BD VOLUME'!A:F,6,0)</f>
        <v>#N/A</v>
      </c>
    </row>
    <row r="416" spans="1:5">
      <c r="A416" s="198"/>
      <c r="B416" s="198"/>
      <c r="C416" s="115"/>
      <c r="D416" s="198"/>
      <c r="E416" s="790" t="e">
        <f>VLOOKUP(A416,'BD VOLUME'!A:F,6,0)</f>
        <v>#N/A</v>
      </c>
    </row>
    <row r="417" spans="1:5">
      <c r="A417" s="198"/>
      <c r="B417" s="198"/>
      <c r="C417" s="115"/>
      <c r="D417" s="198"/>
      <c r="E417" s="790" t="e">
        <f>VLOOKUP(A417,'BD VOLUME'!A:F,6,0)</f>
        <v>#N/A</v>
      </c>
    </row>
    <row r="418" spans="1:5">
      <c r="A418" s="198"/>
      <c r="B418" s="198"/>
      <c r="C418" s="115"/>
      <c r="D418" s="198"/>
      <c r="E418" s="790" t="e">
        <f>VLOOKUP(A418,'BD VOLUME'!A:F,6,0)</f>
        <v>#N/A</v>
      </c>
    </row>
    <row r="419" spans="1:5">
      <c r="A419" s="198"/>
      <c r="B419" s="198"/>
      <c r="C419" s="115"/>
      <c r="D419" s="198"/>
      <c r="E419" s="790" t="e">
        <f>VLOOKUP(A419,'BD VOLUME'!A:F,6,0)</f>
        <v>#N/A</v>
      </c>
    </row>
    <row r="420" spans="1:5">
      <c r="A420" s="198"/>
      <c r="B420" s="198"/>
      <c r="C420" s="115"/>
      <c r="D420" s="198"/>
      <c r="E420" s="790" t="e">
        <f>VLOOKUP(A420,'BD VOLUME'!A:F,6,0)</f>
        <v>#N/A</v>
      </c>
    </row>
    <row r="421" spans="1:5">
      <c r="A421" s="198"/>
      <c r="B421" s="198"/>
      <c r="C421" s="115"/>
      <c r="D421" s="198"/>
      <c r="E421" s="790" t="e">
        <f>VLOOKUP(A421,'BD VOLUME'!A:F,6,0)</f>
        <v>#N/A</v>
      </c>
    </row>
    <row r="422" spans="1:5">
      <c r="A422" s="198"/>
      <c r="B422" s="198"/>
      <c r="C422" s="115"/>
      <c r="D422" s="198"/>
      <c r="E422" s="790" t="e">
        <f>VLOOKUP(A422,'BD VOLUME'!A:F,6,0)</f>
        <v>#N/A</v>
      </c>
    </row>
    <row r="423" spans="1:5">
      <c r="A423" s="198"/>
      <c r="B423" s="198"/>
      <c r="C423" s="115"/>
      <c r="D423" s="198"/>
      <c r="E423" s="790" t="e">
        <f>VLOOKUP(A423,'BD VOLUME'!A:F,6,0)</f>
        <v>#N/A</v>
      </c>
    </row>
    <row r="424" spans="1:5">
      <c r="A424" s="198"/>
      <c r="B424" s="198"/>
      <c r="C424" s="115"/>
      <c r="D424" s="198"/>
      <c r="E424" s="790" t="e">
        <f>VLOOKUP(A424,'BD VOLUME'!A:F,6,0)</f>
        <v>#N/A</v>
      </c>
    </row>
    <row r="425" spans="1:5">
      <c r="A425" s="198"/>
      <c r="B425" s="198"/>
      <c r="C425" s="115"/>
      <c r="D425" s="198"/>
      <c r="E425" s="790" t="e">
        <f>VLOOKUP(A425,'BD VOLUME'!A:F,6,0)</f>
        <v>#N/A</v>
      </c>
    </row>
    <row r="426" spans="1:5">
      <c r="A426" s="198"/>
      <c r="B426" s="198"/>
      <c r="C426" s="115"/>
      <c r="D426" s="198"/>
      <c r="E426" s="790" t="e">
        <f>VLOOKUP(A426,'BD VOLUME'!A:F,6,0)</f>
        <v>#N/A</v>
      </c>
    </row>
    <row r="427" spans="1:5">
      <c r="A427" s="198"/>
      <c r="B427" s="198"/>
      <c r="C427" s="115"/>
      <c r="D427" s="198"/>
      <c r="E427" s="790" t="e">
        <f>VLOOKUP(A427,'BD VOLUME'!A:F,6,0)</f>
        <v>#N/A</v>
      </c>
    </row>
    <row r="428" spans="1:5">
      <c r="A428" s="198"/>
      <c r="B428" s="198"/>
      <c r="C428" s="115"/>
      <c r="D428" s="198"/>
      <c r="E428" s="790" t="e">
        <f>VLOOKUP(A428,'BD VOLUME'!A:F,6,0)</f>
        <v>#N/A</v>
      </c>
    </row>
    <row r="429" spans="1:5">
      <c r="A429" s="198"/>
      <c r="B429" s="198"/>
      <c r="C429" s="115"/>
      <c r="D429" s="198"/>
      <c r="E429" s="790" t="e">
        <f>VLOOKUP(A429,'BD VOLUME'!A:F,6,0)</f>
        <v>#N/A</v>
      </c>
    </row>
    <row r="430" spans="1:5">
      <c r="A430" s="198"/>
      <c r="B430" s="198"/>
      <c r="C430" s="115"/>
      <c r="D430" s="198"/>
      <c r="E430" s="790" t="e">
        <f>VLOOKUP(A430,'BD VOLUME'!A:F,6,0)</f>
        <v>#N/A</v>
      </c>
    </row>
    <row r="431" spans="1:5">
      <c r="A431" s="198"/>
      <c r="B431" s="198"/>
      <c r="C431" s="115"/>
      <c r="D431" s="198"/>
      <c r="E431" s="790" t="e">
        <f>VLOOKUP(A431,'BD VOLUME'!A:F,6,0)</f>
        <v>#N/A</v>
      </c>
    </row>
  </sheetData>
  <autoFilter ref="A1:K431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outlinePr summaryBelow="0"/>
  </sheetPr>
  <dimension ref="A1:AM783"/>
  <sheetViews>
    <sheetView showGridLines="0" zoomScale="80" zoomScaleNormal="80" workbookViewId="0">
      <pane xSplit="1" ySplit="6" topLeftCell="B457" activePane="bottomRight" state="frozen"/>
      <selection pane="bottomLeft" activeCell="A6" sqref="A6"/>
      <selection pane="topRight" activeCell="B1" sqref="B1"/>
      <selection pane="bottomRight" activeCell="D474" sqref="D474"/>
    </sheetView>
  </sheetViews>
  <sheetFormatPr defaultRowHeight="15"/>
  <cols>
    <col min="1" max="2" width="10.89453125" style="4" customWidth="1"/>
    <col min="3" max="3" width="33.2265625" style="4" customWidth="1"/>
    <col min="4" max="4" width="15.33203125" style="4" customWidth="1"/>
    <col min="5" max="5" width="29.7265625" style="4" customWidth="1"/>
    <col min="6" max="7" width="13.046875" style="4" customWidth="1"/>
    <col min="8" max="8" width="10.89453125" style="4" customWidth="1"/>
    <col min="9" max="10" width="9.4140625" style="4" customWidth="1"/>
    <col min="11" max="19" width="7.53125" style="4" customWidth="1"/>
    <col min="20" max="29" width="7.12890625" style="4" customWidth="1"/>
    <col min="30" max="30" width="8.609375" style="4" customWidth="1"/>
    <col min="31" max="38" width="7.3984375" style="4" customWidth="1"/>
  </cols>
  <sheetData>
    <row r="1" spans="1:39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</row>
    <row r="2" spans="1:39" ht="37.5">
      <c r="B2" s="137" t="s">
        <v>920</v>
      </c>
      <c r="C2" s="133" t="s">
        <v>919</v>
      </c>
      <c r="D2" s="133" t="s">
        <v>918</v>
      </c>
      <c r="E2" s="133" t="s">
        <v>917</v>
      </c>
      <c r="F2" s="133" t="s">
        <v>949</v>
      </c>
      <c r="G2" s="133" t="s">
        <v>921</v>
      </c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636"/>
      <c r="AL2" s="134"/>
    </row>
    <row r="3" spans="1:39">
      <c r="A3" s="136" t="s">
        <v>1327</v>
      </c>
      <c r="B3" s="136">
        <f>(SUM(Preencher!$I$13:$K$13)/(SUM(Preencher!$I$15:$K$16)))</f>
        <v>4699.7389033942563</v>
      </c>
      <c r="C3" s="362">
        <f>SUM(Preencher!$I$15:$K$16)</f>
        <v>9.5749999999999993</v>
      </c>
      <c r="D3" s="313">
        <f>Preencher!$I$23</f>
        <v>3</v>
      </c>
      <c r="E3" s="152">
        <f>Preencher!$I$11</f>
        <v>22</v>
      </c>
      <c r="F3" s="132">
        <f>SUBTOTAL(9,F8:F777)</f>
        <v>2160000</v>
      </c>
      <c r="G3" s="132">
        <f>'COLAR PLANO'!E1</f>
        <v>2160000</v>
      </c>
      <c r="H3" s="135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</row>
    <row r="4" spans="1:39">
      <c r="A4" s="136" t="s">
        <v>1328</v>
      </c>
      <c r="B4" s="136">
        <f>(SUM(Preencher!$I$14:$K$14)/(SUM(Preencher!$I$15:$K$16)))</f>
        <v>0</v>
      </c>
      <c r="C4" s="362">
        <f>SUM(Preencher!$I$15:$K$16)</f>
        <v>9.5749999999999993</v>
      </c>
      <c r="D4" s="313">
        <f>Preencher!$I$24</f>
        <v>0</v>
      </c>
      <c r="E4" s="152">
        <f>Preencher!$I$11</f>
        <v>22</v>
      </c>
      <c r="F4" s="151"/>
      <c r="G4" s="151"/>
      <c r="H4" s="135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29"/>
    </row>
    <row r="5" spans="1:39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</row>
    <row r="6" spans="1:39" ht="49.5">
      <c r="A6" s="133" t="s">
        <v>910</v>
      </c>
      <c r="B6" s="133" t="s">
        <v>909</v>
      </c>
      <c r="C6" s="133" t="s">
        <v>908</v>
      </c>
      <c r="D6" s="133" t="s">
        <v>907</v>
      </c>
      <c r="E6" s="133" t="s">
        <v>906</v>
      </c>
      <c r="F6" s="133" t="s">
        <v>905</v>
      </c>
      <c r="G6" s="133" t="s">
        <v>1064</v>
      </c>
      <c r="H6" s="133" t="s">
        <v>1063</v>
      </c>
      <c r="I6" s="133" t="s">
        <v>1065</v>
      </c>
      <c r="J6" s="133" t="s">
        <v>904</v>
      </c>
      <c r="K6" s="133" t="s">
        <v>903</v>
      </c>
      <c r="L6" s="133" t="s">
        <v>902</v>
      </c>
      <c r="M6" s="133" t="s">
        <v>1070</v>
      </c>
      <c r="N6" s="133" t="s">
        <v>962</v>
      </c>
      <c r="O6" s="133" t="s">
        <v>1058</v>
      </c>
      <c r="P6" s="133" t="s">
        <v>1059</v>
      </c>
      <c r="Q6" s="133" t="s">
        <v>1060</v>
      </c>
      <c r="R6" s="133" t="s">
        <v>1434</v>
      </c>
      <c r="S6" s="133" t="s">
        <v>1061</v>
      </c>
      <c r="T6" s="133" t="s">
        <v>1062</v>
      </c>
      <c r="U6" s="133"/>
      <c r="V6" s="133"/>
      <c r="W6" s="630" t="s">
        <v>2229</v>
      </c>
      <c r="X6" s="630" t="s">
        <v>2220</v>
      </c>
      <c r="Y6" s="630" t="s">
        <v>2221</v>
      </c>
      <c r="Z6" s="630" t="s">
        <v>2280</v>
      </c>
      <c r="AA6" s="630" t="s">
        <v>2277</v>
      </c>
      <c r="AB6" s="630" t="s">
        <v>2278</v>
      </c>
      <c r="AC6" s="630" t="s">
        <v>2282</v>
      </c>
      <c r="AD6" s="133" t="s">
        <v>2290</v>
      </c>
      <c r="AE6" s="133" t="s">
        <v>2292</v>
      </c>
      <c r="AF6" s="630" t="s">
        <v>2754</v>
      </c>
      <c r="AG6" s="630" t="s">
        <v>2254</v>
      </c>
      <c r="AH6" s="630" t="s">
        <v>2253</v>
      </c>
      <c r="AI6" s="630" t="s">
        <v>2248</v>
      </c>
      <c r="AJ6" s="630" t="s">
        <v>2283</v>
      </c>
      <c r="AK6" s="133" t="s">
        <v>2291</v>
      </c>
      <c r="AL6" s="133" t="s">
        <v>2293</v>
      </c>
    </row>
    <row r="7" spans="1:39">
      <c r="A7" s="138" t="s">
        <v>941</v>
      </c>
      <c r="B7" s="136">
        <f>B3+B4</f>
        <v>4699.7389033942563</v>
      </c>
      <c r="C7" s="138"/>
      <c r="D7" s="313">
        <f>((B3*D3)+(B4*D4))/(B3+B4)</f>
        <v>3</v>
      </c>
      <c r="E7" s="138"/>
      <c r="F7" s="138"/>
      <c r="G7" s="138"/>
      <c r="H7" s="138"/>
      <c r="I7" s="138"/>
      <c r="J7" s="138"/>
      <c r="K7" s="138"/>
      <c r="L7" s="138"/>
      <c r="M7" s="634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634">
        <f>LARGE(AD8:AD1203,1)</f>
        <v>0</v>
      </c>
      <c r="AE7" s="634">
        <f>SUBTOTAL(9,AE8:AE1203)</f>
        <v>0</v>
      </c>
      <c r="AF7" s="138"/>
      <c r="AG7" s="138"/>
      <c r="AH7" s="138"/>
      <c r="AI7" s="138"/>
      <c r="AJ7" s="138"/>
      <c r="AK7" s="634">
        <f>LARGE(AK8:AK1203,1)</f>
        <v>0</v>
      </c>
      <c r="AL7" s="634">
        <f>SUBTOTAL(9,AL8:AL1203)</f>
        <v>0</v>
      </c>
    </row>
    <row r="8" spans="1:39">
      <c r="A8" s="128">
        <v>964310</v>
      </c>
      <c r="B8" s="128">
        <v>964310</v>
      </c>
      <c r="C8" s="5" t="s">
        <v>3188</v>
      </c>
      <c r="D8" s="5" t="s">
        <v>941</v>
      </c>
      <c r="E8" s="5" t="s">
        <v>2143</v>
      </c>
      <c r="F8" s="132">
        <f>SUMIF('COLAR PLANO'!$A:$A,A8,'COLAR PLANO'!$D:$D)</f>
        <v>0</v>
      </c>
      <c r="G8" s="131">
        <f t="shared" ref="G8:G55" si="0">IFERROR(F8/($E$3*$C$3),0)</f>
        <v>0</v>
      </c>
      <c r="H8" s="6">
        <v>1.06E-2</v>
      </c>
      <c r="I8" s="7">
        <f t="shared" ref="I8:I17" si="1">IFERROR(G8/$D$7/H8,0)</f>
        <v>0</v>
      </c>
      <c r="J8" s="130">
        <f t="shared" ref="J8:J17" si="2">IFERROR(I8/$B$7,0)</f>
        <v>0</v>
      </c>
      <c r="K8" s="257">
        <v>1</v>
      </c>
      <c r="L8" s="257">
        <v>12</v>
      </c>
      <c r="M8" s="257">
        <v>12</v>
      </c>
      <c r="N8" s="7">
        <f t="shared" ref="N8:N26" si="3">IFERROR(G8/K8,"-")</f>
        <v>0</v>
      </c>
      <c r="O8" s="311"/>
      <c r="P8" s="311">
        <f t="shared" ref="P8:P26" si="4">IFERROR(G8/M8,"-")</f>
        <v>0</v>
      </c>
      <c r="Q8" s="7"/>
      <c r="R8" s="7"/>
      <c r="S8" s="7"/>
      <c r="T8" s="7"/>
      <c r="U8" s="7" t="s">
        <v>2288</v>
      </c>
      <c r="V8" s="7" t="s">
        <v>2289</v>
      </c>
      <c r="W8" s="7" t="str">
        <f>Preencher!$B$3&amp;U8&amp;V8&amp;A8&amp;$W$6</f>
        <v>JARINU-FRG964310MQ.TUNEL DE CG (CONTINUO)</v>
      </c>
      <c r="X8" s="7" t="str">
        <f>Preencher!$B$3&amp;U8&amp;V8&amp;A8&amp;$X$6</f>
        <v>JARINU-FRG964310MQ.TUNEL DE CG (CONTINUO) (1)</v>
      </c>
      <c r="Y8" s="7" t="str">
        <f>Preencher!$B$3&amp;U8&amp;V8&amp;A8&amp;$Y$6</f>
        <v>JARINU-FRG964310MQ.TUNEL DE CG (CONTINUO) (2)</v>
      </c>
      <c r="Z8" s="7" t="str">
        <f>Preencher!$B$3&amp;U8&amp;V8&amp;A8&amp;$Z$6</f>
        <v>JARINU-FRG964310MQ.TUNEL DE CG (CONTINUO) (3)</v>
      </c>
      <c r="AA8" s="7" t="str">
        <f>Preencher!$B$3&amp;U8&amp;V8&amp;A8&amp;$AA$6</f>
        <v>JARINU-FRG964310MQ.TUNEL DE CG (ESTATICO)</v>
      </c>
      <c r="AB8" s="7" t="str">
        <f>Preencher!$B$3&amp;U8&amp;V8&amp;A8&amp;$AB$6</f>
        <v>JARINU-FRG964310MQ.TUNEL DE CG (ESTATICO) (1)</v>
      </c>
      <c r="AC8" s="7" t="str">
        <f>Preencher!$B$3&amp;U8&amp;V8&amp;A8&amp;$AC$6</f>
        <v>JARINU-FRG964310MQ.TUNEL DE CG (ESTATICO) (2)</v>
      </c>
      <c r="AD8" s="327">
        <f>IFERROR(SUMIF('BD Otimix'!A:A,'BD VOLUME'!X8,'BD Otimix'!O:O)+SUMIF('BD Otimix'!A:A,'BD VOLUME'!Y8,'BD Otimix'!O:O)+SUMIF('BD Otimix'!A:A,'BD VOLUME'!Z8,'BD Otimix'!O:O)+SUMIF('BD Otimix'!A:A,'BD VOLUME'!AA8,'BD Otimix'!O:O)+SUMIF('BD Otimix'!A:A,'BD VOLUME'!AB8,'BD Otimix'!O:O)+SUMIF('BD Otimix'!A:A,'BD VOLUME'!AC8,'BD Otimix'!O:O)+SUMIF('BD Otimix'!A:A,'BD VOLUME'!W8,'BD Otimix'!O:O),0)</f>
        <v>0</v>
      </c>
      <c r="AE8" s="327">
        <f>IFERROR(F8/$E$3/1000/AD8,0)</f>
        <v>0</v>
      </c>
      <c r="AF8" s="7" t="str">
        <f>Preencher!$B$3&amp;$U$8&amp;$V$8&amp;A8&amp;$AF$6</f>
        <v>JARINU-FRG964310MQ.GIROFREEZER</v>
      </c>
      <c r="AG8" s="7" t="str">
        <f>Preencher!$B$3&amp;$U$8&amp;$V$8&amp;A8&amp;$AG$6</f>
        <v>JARINU-FRG964310MQ.GIROFREEZER (1)</v>
      </c>
      <c r="AH8" s="7" t="str">
        <f>Preencher!$B$3&amp;$U$8&amp;$V$8&amp;A8&amp;$AH$6</f>
        <v>JARINU-FRG964310MQ.GIROFREEZER (2)</v>
      </c>
      <c r="AI8" s="7" t="str">
        <f>Preencher!$B$3&amp;$U$8&amp;$V$8&amp;A8&amp;$AI$6</f>
        <v>JARINU-FRG964310MQ.GIROFREEZER REV04</v>
      </c>
      <c r="AJ8" s="7" t="str">
        <f>Preencher!$B$3&amp;$U$8&amp;$V$8&amp;A8&amp;$AJ$6</f>
        <v>JARINU-FRG964310MQ.GIROFREEZER (3)</v>
      </c>
      <c r="AK8" s="327">
        <f>IFERROR(SUMIF('BD Otimix'!A:A,'BD VOLUME'!AG8,'BD Otimix'!O:O)+SUMIF('BD Otimix'!A:A,'BD VOLUME'!AH8,'BD Otimix'!O:O)+SUMIF('BD Otimix'!A:A,'BD VOLUME'!AI8,'BD Otimix'!O:O)+SUMIF('BD Otimix'!A:A,'BD VOLUME'!AJ8,'BD Otimix'!O:O)+SUMIF('BD Otimix'!A:A,'BD VOLUME'!AF8,'BD Otimix'!O:O),0)</f>
        <v>0</v>
      </c>
      <c r="AL8" s="7">
        <f>IFERROR(F8/$E$3/1000/AK8,0)</f>
        <v>0</v>
      </c>
      <c r="AM8" s="221"/>
    </row>
    <row r="9" spans="1:39">
      <c r="A9" s="580">
        <v>40843</v>
      </c>
      <c r="B9" s="580" t="s">
        <v>2058</v>
      </c>
      <c r="C9" s="5" t="s">
        <v>2057</v>
      </c>
      <c r="D9" s="5" t="s">
        <v>941</v>
      </c>
      <c r="E9" s="5" t="s">
        <v>2143</v>
      </c>
      <c r="F9" s="132">
        <f>SUMIF('COLAR PLANO'!$A:$A,A9,'COLAR PLANO'!$D:$D)</f>
        <v>0</v>
      </c>
      <c r="G9" s="131">
        <f t="shared" si="0"/>
        <v>0</v>
      </c>
      <c r="H9" s="6">
        <v>1.06E-2</v>
      </c>
      <c r="I9" s="7">
        <f t="shared" si="1"/>
        <v>0</v>
      </c>
      <c r="J9" s="130">
        <f t="shared" si="2"/>
        <v>0</v>
      </c>
      <c r="K9" s="580">
        <v>1</v>
      </c>
      <c r="L9" s="580">
        <v>12</v>
      </c>
      <c r="M9" s="580">
        <v>12</v>
      </c>
      <c r="N9" s="7">
        <f t="shared" si="3"/>
        <v>0</v>
      </c>
      <c r="O9" s="311"/>
      <c r="P9" s="311">
        <f t="shared" si="4"/>
        <v>0</v>
      </c>
      <c r="Q9" s="7"/>
      <c r="R9" s="7"/>
      <c r="S9" s="7"/>
      <c r="T9" s="7"/>
      <c r="U9" s="7" t="s">
        <v>2288</v>
      </c>
      <c r="V9" s="7" t="s">
        <v>2289</v>
      </c>
      <c r="W9" s="7" t="str">
        <f>Preencher!$B$3&amp;U9&amp;V9&amp;A9&amp;$W$6</f>
        <v>JARINU-FRG40843MQ.TUNEL DE CG (CONTINUO)</v>
      </c>
      <c r="X9" s="7" t="str">
        <f>Preencher!$B$3&amp;U9&amp;V9&amp;A9&amp;$X$6</f>
        <v>JARINU-FRG40843MQ.TUNEL DE CG (CONTINUO) (1)</v>
      </c>
      <c r="Y9" s="7" t="str">
        <f>Preencher!$B$3&amp;U9&amp;V9&amp;A9&amp;$Y$6</f>
        <v>JARINU-FRG40843MQ.TUNEL DE CG (CONTINUO) (2)</v>
      </c>
      <c r="Z9" s="7" t="str">
        <f>Preencher!$B$3&amp;U9&amp;V9&amp;A9&amp;$Z$6</f>
        <v>JARINU-FRG40843MQ.TUNEL DE CG (CONTINUO) (3)</v>
      </c>
      <c r="AA9" s="7" t="str">
        <f>Preencher!$B$3&amp;U9&amp;V9&amp;A9&amp;$AA$6</f>
        <v>JARINU-FRG40843MQ.TUNEL DE CG (ESTATICO)</v>
      </c>
      <c r="AB9" s="7" t="str">
        <f>Preencher!$B$3&amp;U9&amp;V9&amp;A9&amp;$AB$6</f>
        <v>JARINU-FRG40843MQ.TUNEL DE CG (ESTATICO) (1)</v>
      </c>
      <c r="AC9" s="7" t="str">
        <f>Preencher!$B$3&amp;U9&amp;V9&amp;A9&amp;$AC$6</f>
        <v>JARINU-FRG40843MQ.TUNEL DE CG (ESTATICO) (2)</v>
      </c>
      <c r="AD9" s="327">
        <f>IFERROR(SUMIF('BD Otimix'!A:A,'BD VOLUME'!X9,'BD Otimix'!O:O)+SUMIF('BD Otimix'!A:A,'BD VOLUME'!Y9,'BD Otimix'!O:O)+SUMIF('BD Otimix'!A:A,'BD VOLUME'!Z9,'BD Otimix'!O:O)+SUMIF('BD Otimix'!A:A,'BD VOLUME'!AA9,'BD Otimix'!O:O)+SUMIF('BD Otimix'!A:A,'BD VOLUME'!AB9,'BD Otimix'!O:O)+SUMIF('BD Otimix'!A:A,'BD VOLUME'!AC9,'BD Otimix'!O:O)+SUMIF('BD Otimix'!A:A,'BD VOLUME'!W9,'BD Otimix'!O:O),0)</f>
        <v>0</v>
      </c>
      <c r="AE9" s="327">
        <f>IFERROR(F9/$E$3/1000/AD9,0)</f>
        <v>0</v>
      </c>
      <c r="AF9" s="7" t="str">
        <f>Preencher!$B$3&amp;$U$8&amp;$V$8&amp;A9&amp;$AF$6</f>
        <v>JARINU-FRG40843MQ.GIROFREEZER</v>
      </c>
      <c r="AG9" s="7" t="str">
        <f>Preencher!$B$3&amp;$U$8&amp;$V$8&amp;A9&amp;$AG$6</f>
        <v>JARINU-FRG40843MQ.GIROFREEZER (1)</v>
      </c>
      <c r="AH9" s="7" t="str">
        <f>Preencher!$B$3&amp;$U$8&amp;$V$8&amp;A9&amp;$AH$6</f>
        <v>JARINU-FRG40843MQ.GIROFREEZER (2)</v>
      </c>
      <c r="AI9" s="7" t="str">
        <f>Preencher!$B$3&amp;$U$8&amp;$V$8&amp;A9&amp;$AI$6</f>
        <v>JARINU-FRG40843MQ.GIROFREEZER REV04</v>
      </c>
      <c r="AJ9" s="7" t="str">
        <f>Preencher!$B$3&amp;$U$8&amp;$V$8&amp;A9&amp;$AJ$6</f>
        <v>JARINU-FRG40843MQ.GIROFREEZER (3)</v>
      </c>
      <c r="AK9" s="327">
        <f>IFERROR(SUMIF('BD Otimix'!A:A,'BD VOLUME'!AG9,'BD Otimix'!O:O)+SUMIF('BD Otimix'!A:A,'BD VOLUME'!AH9,'BD Otimix'!O:O)+SUMIF('BD Otimix'!A:A,'BD VOLUME'!AI9,'BD Otimix'!O:O)+SUMIF('BD Otimix'!A:A,'BD VOLUME'!AJ9,'BD Otimix'!O:O)+SUMIF('BD Otimix'!A:A,'BD VOLUME'!AF9,'BD Otimix'!O:O),0)</f>
        <v>0</v>
      </c>
      <c r="AL9" s="7">
        <f>IFERROR(F9/$E$3/1000/AK9,0)</f>
        <v>0</v>
      </c>
      <c r="AM9" s="221"/>
    </row>
    <row r="10" spans="1:39">
      <c r="A10" s="666">
        <v>1039</v>
      </c>
      <c r="B10" s="666" t="s">
        <v>2450</v>
      </c>
      <c r="C10" s="5" t="s">
        <v>2057</v>
      </c>
      <c r="D10" s="5" t="s">
        <v>941</v>
      </c>
      <c r="E10" s="5" t="s">
        <v>2143</v>
      </c>
      <c r="F10" s="132">
        <f>SUMIF('COLAR PLANO'!$A:$A,A10,'COLAR PLANO'!$D:$D)</f>
        <v>0</v>
      </c>
      <c r="G10" s="131">
        <f t="shared" si="0"/>
        <v>0</v>
      </c>
      <c r="H10" s="6">
        <v>1.06E-2</v>
      </c>
      <c r="I10" s="7">
        <f t="shared" si="1"/>
        <v>0</v>
      </c>
      <c r="J10" s="130">
        <f t="shared" si="2"/>
        <v>0</v>
      </c>
      <c r="K10" s="666">
        <v>1</v>
      </c>
      <c r="L10" s="666">
        <v>12</v>
      </c>
      <c r="M10" s="666">
        <v>12</v>
      </c>
      <c r="N10" s="7">
        <f>IFERROR(G10/K10,"-")</f>
        <v>0</v>
      </c>
      <c r="O10" s="311"/>
      <c r="P10" s="311">
        <f>IFERROR(G10/M10,"-")</f>
        <v>0</v>
      </c>
      <c r="Q10" s="7"/>
      <c r="R10" s="7"/>
      <c r="S10" s="7"/>
      <c r="T10" s="7"/>
      <c r="U10" s="7" t="s">
        <v>2288</v>
      </c>
      <c r="V10" s="7" t="s">
        <v>2289</v>
      </c>
      <c r="W10" s="7" t="str">
        <f>Preencher!$B$3&amp;U10&amp;V10&amp;A10&amp;$W$6</f>
        <v>JARINU-FRG1039MQ.TUNEL DE CG (CONTINUO)</v>
      </c>
      <c r="X10" s="7" t="str">
        <f>Preencher!$B$3&amp;U10&amp;V10&amp;A10&amp;$X$6</f>
        <v>JARINU-FRG1039MQ.TUNEL DE CG (CONTINUO) (1)</v>
      </c>
      <c r="Y10" s="7" t="str">
        <f>Preencher!$B$3&amp;U10&amp;V10&amp;A10&amp;$Y$6</f>
        <v>JARINU-FRG1039MQ.TUNEL DE CG (CONTINUO) (2)</v>
      </c>
      <c r="Z10" s="7" t="str">
        <f>Preencher!$B$3&amp;U10&amp;V10&amp;A10&amp;$Z$6</f>
        <v>JARINU-FRG1039MQ.TUNEL DE CG (CONTINUO) (3)</v>
      </c>
      <c r="AA10" s="7" t="str">
        <f>Preencher!$B$3&amp;U10&amp;V10&amp;A10&amp;$AA$6</f>
        <v>JARINU-FRG1039MQ.TUNEL DE CG (ESTATICO)</v>
      </c>
      <c r="AB10" s="7" t="str">
        <f>Preencher!$B$3&amp;U10&amp;V10&amp;A10&amp;$AB$6</f>
        <v>JARINU-FRG1039MQ.TUNEL DE CG (ESTATICO) (1)</v>
      </c>
      <c r="AC10" s="7" t="str">
        <f>Preencher!$B$3&amp;U10&amp;V10&amp;A10&amp;$AC$6</f>
        <v>JARINU-FRG1039MQ.TUNEL DE CG (ESTATICO) (2)</v>
      </c>
      <c r="AD10" s="327">
        <f>IFERROR(SUMIF('BD Otimix'!A:A,'BD VOLUME'!X10,'BD Otimix'!O:O)+SUMIF('BD Otimix'!A:A,'BD VOLUME'!Y10,'BD Otimix'!O:O)+SUMIF('BD Otimix'!A:A,'BD VOLUME'!Z10,'BD Otimix'!O:O)+SUMIF('BD Otimix'!A:A,'BD VOLUME'!AA10,'BD Otimix'!O:O)+SUMIF('BD Otimix'!A:A,'BD VOLUME'!AB10,'BD Otimix'!O:O)+SUMIF('BD Otimix'!A:A,'BD VOLUME'!AC10,'BD Otimix'!O:O)+SUMIF('BD Otimix'!A:A,'BD VOLUME'!W10,'BD Otimix'!O:O),0)</f>
        <v>0</v>
      </c>
      <c r="AE10" s="327">
        <f>IFERROR(F10/$E$3/1000/AD10,0)</f>
        <v>0</v>
      </c>
      <c r="AF10" s="7" t="str">
        <f>Preencher!$B$3&amp;$U$8&amp;$V$8&amp;A10&amp;$AF$6</f>
        <v>JARINU-FRG1039MQ.GIROFREEZER</v>
      </c>
      <c r="AG10" s="7" t="str">
        <f>Preencher!$B$3&amp;$U$8&amp;$V$8&amp;A10&amp;$AG$6</f>
        <v>JARINU-FRG1039MQ.GIROFREEZER (1)</v>
      </c>
      <c r="AH10" s="7" t="str">
        <f>Preencher!$B$3&amp;$U$8&amp;$V$8&amp;A10&amp;$AH$6</f>
        <v>JARINU-FRG1039MQ.GIROFREEZER (2)</v>
      </c>
      <c r="AI10" s="7" t="str">
        <f>Preencher!$B$3&amp;$U$8&amp;$V$8&amp;A10&amp;$AI$6</f>
        <v>JARINU-FRG1039MQ.GIROFREEZER REV04</v>
      </c>
      <c r="AJ10" s="7" t="str">
        <f>Preencher!$B$3&amp;$U$8&amp;$V$8&amp;A10&amp;$AJ$6</f>
        <v>JARINU-FRG1039MQ.GIROFREEZER (3)</v>
      </c>
      <c r="AK10" s="327">
        <f>IFERROR(SUMIF('BD Otimix'!A:A,'BD VOLUME'!AG10,'BD Otimix'!O:O)+SUMIF('BD Otimix'!A:A,'BD VOLUME'!AH10,'BD Otimix'!O:O)+SUMIF('BD Otimix'!A:A,'BD VOLUME'!AI10,'BD Otimix'!O:O)+SUMIF('BD Otimix'!A:A,'BD VOLUME'!AJ10,'BD Otimix'!O:O)+SUMIF('BD Otimix'!A:A,'BD VOLUME'!AF10,'BD Otimix'!O:O),0)</f>
        <v>0</v>
      </c>
      <c r="AL10" s="7">
        <f>IFERROR(F10/$E$3/1000/AK10,0)</f>
        <v>0</v>
      </c>
      <c r="AM10" s="221"/>
    </row>
    <row r="11" spans="1:39">
      <c r="A11" s="580">
        <v>44903</v>
      </c>
      <c r="B11" s="580" t="s">
        <v>2056</v>
      </c>
      <c r="C11" s="5" t="s">
        <v>2057</v>
      </c>
      <c r="D11" s="5" t="s">
        <v>941</v>
      </c>
      <c r="E11" s="5" t="s">
        <v>2143</v>
      </c>
      <c r="F11" s="132">
        <f>SUMIF('COLAR PLANO'!$A:$A,A11,'COLAR PLANO'!$D:$D)</f>
        <v>0</v>
      </c>
      <c r="G11" s="131">
        <f t="shared" si="0"/>
        <v>0</v>
      </c>
      <c r="H11" s="6">
        <v>1.06E-2</v>
      </c>
      <c r="I11" s="7">
        <f t="shared" si="1"/>
        <v>0</v>
      </c>
      <c r="J11" s="130">
        <f t="shared" si="2"/>
        <v>0</v>
      </c>
      <c r="K11" s="580">
        <v>1</v>
      </c>
      <c r="L11" s="580">
        <v>16</v>
      </c>
      <c r="M11" s="580">
        <v>16</v>
      </c>
      <c r="N11" s="7">
        <f t="shared" si="3"/>
        <v>0</v>
      </c>
      <c r="O11" s="311"/>
      <c r="P11" s="311">
        <f t="shared" si="4"/>
        <v>0</v>
      </c>
      <c r="Q11" s="7"/>
      <c r="R11" s="7"/>
      <c r="S11" s="7"/>
      <c r="T11" s="7"/>
      <c r="U11" s="7" t="s">
        <v>2288</v>
      </c>
      <c r="V11" s="7" t="s">
        <v>2289</v>
      </c>
      <c r="W11" s="7" t="str">
        <f>Preencher!$B$3&amp;U11&amp;V11&amp;A11&amp;$W$6</f>
        <v>JARINU-FRG44903MQ.TUNEL DE CG (CONTINUO)</v>
      </c>
      <c r="X11" s="7" t="str">
        <f>Preencher!$B$3&amp;U11&amp;V11&amp;A11&amp;$X$6</f>
        <v>JARINU-FRG44903MQ.TUNEL DE CG (CONTINUO) (1)</v>
      </c>
      <c r="Y11" s="7" t="str">
        <f>Preencher!$B$3&amp;U11&amp;V11&amp;A11&amp;$Y$6</f>
        <v>JARINU-FRG44903MQ.TUNEL DE CG (CONTINUO) (2)</v>
      </c>
      <c r="Z11" s="7" t="str">
        <f>Preencher!$B$3&amp;U11&amp;V11&amp;A11&amp;$Z$6</f>
        <v>JARINU-FRG44903MQ.TUNEL DE CG (CONTINUO) (3)</v>
      </c>
      <c r="AA11" s="7" t="str">
        <f>Preencher!$B$3&amp;U11&amp;V11&amp;A11&amp;$AA$6</f>
        <v>JARINU-FRG44903MQ.TUNEL DE CG (ESTATICO)</v>
      </c>
      <c r="AB11" s="7" t="str">
        <f>Preencher!$B$3&amp;U11&amp;V11&amp;A11&amp;$AB$6</f>
        <v>JARINU-FRG44903MQ.TUNEL DE CG (ESTATICO) (1)</v>
      </c>
      <c r="AC11" s="7" t="str">
        <f>Preencher!$B$3&amp;U11&amp;V11&amp;A11&amp;$AC$6</f>
        <v>JARINU-FRG44903MQ.TUNEL DE CG (ESTATICO) (2)</v>
      </c>
      <c r="AD11" s="327">
        <f>IFERROR(SUMIF('BD Otimix'!A:A,'BD VOLUME'!X11,'BD Otimix'!O:O)+SUMIF('BD Otimix'!A:A,'BD VOLUME'!Y11,'BD Otimix'!O:O)+SUMIF('BD Otimix'!A:A,'BD VOLUME'!Z11,'BD Otimix'!O:O)+SUMIF('BD Otimix'!A:A,'BD VOLUME'!AA11,'BD Otimix'!O:O)+SUMIF('BD Otimix'!A:A,'BD VOLUME'!AB11,'BD Otimix'!O:O)+SUMIF('BD Otimix'!A:A,'BD VOLUME'!AC11,'BD Otimix'!O:O)+SUMIF('BD Otimix'!A:A,'BD VOLUME'!W11,'BD Otimix'!O:O),0)</f>
        <v>0</v>
      </c>
      <c r="AE11" s="327">
        <f t="shared" ref="AE11:AE63" si="5">IFERROR(F11/$E$3/1000/AD11,0)</f>
        <v>0</v>
      </c>
      <c r="AF11" s="7" t="str">
        <f>Preencher!$B$3&amp;$U$8&amp;$V$8&amp;A11&amp;$AF$6</f>
        <v>JARINU-FRG44903MQ.GIROFREEZER</v>
      </c>
      <c r="AG11" s="7" t="str">
        <f>Preencher!$B$3&amp;$U$8&amp;$V$8&amp;A11&amp;$AG$6</f>
        <v>JARINU-FRG44903MQ.GIROFREEZER (1)</v>
      </c>
      <c r="AH11" s="7" t="str">
        <f>Preencher!$B$3&amp;$U$8&amp;$V$8&amp;A11&amp;$AH$6</f>
        <v>JARINU-FRG44903MQ.GIROFREEZER (2)</v>
      </c>
      <c r="AI11" s="7" t="str">
        <f>Preencher!$B$3&amp;$U$8&amp;$V$8&amp;A11&amp;$AI$6</f>
        <v>JARINU-FRG44903MQ.GIROFREEZER REV04</v>
      </c>
      <c r="AJ11" s="7" t="str">
        <f>Preencher!$B$3&amp;$U$8&amp;$V$8&amp;A11&amp;$AJ$6</f>
        <v>JARINU-FRG44903MQ.GIROFREEZER (3)</v>
      </c>
      <c r="AK11" s="327">
        <f>IFERROR(SUMIF('BD Otimix'!A:A,'BD VOLUME'!AG11,'BD Otimix'!O:O)+SUMIF('BD Otimix'!A:A,'BD VOLUME'!AH11,'BD Otimix'!O:O)+SUMIF('BD Otimix'!A:A,'BD VOLUME'!AI11,'BD Otimix'!O:O)+SUMIF('BD Otimix'!A:A,'BD VOLUME'!AJ11,'BD Otimix'!O:O)+SUMIF('BD Otimix'!A:A,'BD VOLUME'!AF11,'BD Otimix'!O:O),0)</f>
        <v>0</v>
      </c>
      <c r="AL11" s="7">
        <f t="shared" ref="AL11:AL63" si="6">IFERROR(F11/$E$3/1000/AK11,0)</f>
        <v>0</v>
      </c>
      <c r="AM11" s="221"/>
    </row>
    <row r="12" spans="1:39">
      <c r="A12" s="580">
        <v>18228</v>
      </c>
      <c r="B12" s="580" t="s">
        <v>2059</v>
      </c>
      <c r="C12" s="5" t="s">
        <v>2060</v>
      </c>
      <c r="D12" s="5" t="s">
        <v>941</v>
      </c>
      <c r="E12" s="5" t="s">
        <v>2143</v>
      </c>
      <c r="F12" s="132">
        <f>SUMIF('COLAR PLANO'!$A:$A,A12,'COLAR PLANO'!$D:$D)</f>
        <v>35712</v>
      </c>
      <c r="G12" s="131">
        <f t="shared" si="0"/>
        <v>169.53239971516734</v>
      </c>
      <c r="H12" s="6">
        <v>1.06E-2</v>
      </c>
      <c r="I12" s="7">
        <f t="shared" si="1"/>
        <v>5331.2075382128096</v>
      </c>
      <c r="J12" s="130">
        <f t="shared" si="2"/>
        <v>1.1343624928530589</v>
      </c>
      <c r="K12" s="580">
        <v>1</v>
      </c>
      <c r="L12" s="580">
        <v>18</v>
      </c>
      <c r="M12" s="580">
        <v>18</v>
      </c>
      <c r="N12" s="7">
        <f t="shared" si="3"/>
        <v>169.53239971516734</v>
      </c>
      <c r="O12" s="311"/>
      <c r="P12" s="311">
        <f t="shared" si="4"/>
        <v>9.41846665084263</v>
      </c>
      <c r="Q12" s="7"/>
      <c r="R12" s="7"/>
      <c r="S12" s="7"/>
      <c r="T12" s="7"/>
      <c r="U12" s="7" t="s">
        <v>2288</v>
      </c>
      <c r="V12" s="7" t="s">
        <v>2289</v>
      </c>
      <c r="W12" s="7" t="str">
        <f>Preencher!$B$3&amp;U12&amp;V12&amp;A12&amp;$W$6</f>
        <v>JARINU-FRG18228MQ.TUNEL DE CG (CONTINUO)</v>
      </c>
      <c r="X12" s="7" t="str">
        <f>Preencher!$B$3&amp;U12&amp;V12&amp;A12&amp;$X$6</f>
        <v>JARINU-FRG18228MQ.TUNEL DE CG (CONTINUO) (1)</v>
      </c>
      <c r="Y12" s="7" t="str">
        <f>Preencher!$B$3&amp;U12&amp;V12&amp;A12&amp;$Y$6</f>
        <v>JARINU-FRG18228MQ.TUNEL DE CG (CONTINUO) (2)</v>
      </c>
      <c r="Z12" s="7" t="str">
        <f>Preencher!$B$3&amp;U12&amp;V12&amp;A12&amp;$Z$6</f>
        <v>JARINU-FRG18228MQ.TUNEL DE CG (CONTINUO) (3)</v>
      </c>
      <c r="AA12" s="7" t="str">
        <f>Preencher!$B$3&amp;U12&amp;V12&amp;A12&amp;$AA$6</f>
        <v>JARINU-FRG18228MQ.TUNEL DE CG (ESTATICO)</v>
      </c>
      <c r="AB12" s="7" t="str">
        <f>Preencher!$B$3&amp;U12&amp;V12&amp;A12&amp;$AB$6</f>
        <v>JARINU-FRG18228MQ.TUNEL DE CG (ESTATICO) (1)</v>
      </c>
      <c r="AC12" s="7" t="str">
        <f>Preencher!$B$3&amp;U12&amp;V12&amp;A12&amp;$AC$6</f>
        <v>JARINU-FRG18228MQ.TUNEL DE CG (ESTATICO) (2)</v>
      </c>
      <c r="AD12" s="327">
        <f>IFERROR(SUMIF('BD Otimix'!A:A,'BD VOLUME'!X12,'BD Otimix'!O:O)+SUMIF('BD Otimix'!A:A,'BD VOLUME'!Y12,'BD Otimix'!O:O)+SUMIF('BD Otimix'!A:A,'BD VOLUME'!Z12,'BD Otimix'!O:O)+SUMIF('BD Otimix'!A:A,'BD VOLUME'!AA12,'BD Otimix'!O:O)+SUMIF('BD Otimix'!A:A,'BD VOLUME'!AB12,'BD Otimix'!O:O)+SUMIF('BD Otimix'!A:A,'BD VOLUME'!AC12,'BD Otimix'!O:O)+SUMIF('BD Otimix'!A:A,'BD VOLUME'!W12,'BD Otimix'!O:O),0)</f>
        <v>0</v>
      </c>
      <c r="AE12" s="327">
        <f t="shared" si="5"/>
        <v>0</v>
      </c>
      <c r="AF12" s="7" t="str">
        <f>Preencher!$B$3&amp;$U$8&amp;$V$8&amp;A12&amp;$AF$6</f>
        <v>JARINU-FRG18228MQ.GIROFREEZER</v>
      </c>
      <c r="AG12" s="7" t="str">
        <f>Preencher!$B$3&amp;$U$8&amp;$V$8&amp;A12&amp;$AG$6</f>
        <v>JARINU-FRG18228MQ.GIROFREEZER (1)</v>
      </c>
      <c r="AH12" s="7" t="str">
        <f>Preencher!$B$3&amp;$U$8&amp;$V$8&amp;A12&amp;$AH$6</f>
        <v>JARINU-FRG18228MQ.GIROFREEZER (2)</v>
      </c>
      <c r="AI12" s="7" t="str">
        <f>Preencher!$B$3&amp;$U$8&amp;$V$8&amp;A12&amp;$AI$6</f>
        <v>JARINU-FRG18228MQ.GIROFREEZER REV04</v>
      </c>
      <c r="AJ12" s="7" t="str">
        <f>Preencher!$B$3&amp;$U$8&amp;$V$8&amp;A12&amp;$AJ$6</f>
        <v>JARINU-FRG18228MQ.GIROFREEZER (3)</v>
      </c>
      <c r="AK12" s="327">
        <f>IFERROR(SUMIF('BD Otimix'!A:A,'BD VOLUME'!AG12,'BD Otimix'!O:O)+SUMIF('BD Otimix'!A:A,'BD VOLUME'!AH12,'BD Otimix'!O:O)+SUMIF('BD Otimix'!A:A,'BD VOLUME'!AI12,'BD Otimix'!O:O)+SUMIF('BD Otimix'!A:A,'BD VOLUME'!AJ12,'BD Otimix'!O:O)+SUMIF('BD Otimix'!A:A,'BD VOLUME'!AF12,'BD Otimix'!O:O),0)</f>
        <v>0</v>
      </c>
      <c r="AL12" s="7">
        <f t="shared" si="6"/>
        <v>0</v>
      </c>
      <c r="AM12" s="221"/>
    </row>
    <row r="13" spans="1:39">
      <c r="A13" s="250">
        <v>236769</v>
      </c>
      <c r="B13" s="250"/>
      <c r="C13" s="5" t="s">
        <v>3070</v>
      </c>
      <c r="D13" s="5" t="s">
        <v>941</v>
      </c>
      <c r="E13" s="5" t="s">
        <v>1068</v>
      </c>
      <c r="F13" s="132">
        <f>SUMIF('COLAR PLANO'!$A:$A,A13,'COLAR PLANO'!$D:$D)</f>
        <v>0</v>
      </c>
      <c r="G13" s="131">
        <f t="shared" si="0"/>
        <v>0</v>
      </c>
      <c r="H13" s="6">
        <v>1.06E-2</v>
      </c>
      <c r="I13" s="7">
        <f t="shared" si="1"/>
        <v>0</v>
      </c>
      <c r="J13" s="130">
        <f t="shared" si="2"/>
        <v>0</v>
      </c>
      <c r="K13" s="647">
        <v>0.45</v>
      </c>
      <c r="L13" s="647">
        <v>16</v>
      </c>
      <c r="M13" s="647">
        <v>9</v>
      </c>
      <c r="N13" s="7">
        <f t="shared" si="3"/>
        <v>0</v>
      </c>
      <c r="O13" s="311"/>
      <c r="P13" s="311">
        <f t="shared" si="4"/>
        <v>0</v>
      </c>
      <c r="Q13" s="7"/>
      <c r="R13" s="7"/>
      <c r="S13" s="7"/>
      <c r="T13" s="7"/>
      <c r="U13" s="7" t="s">
        <v>2288</v>
      </c>
      <c r="V13" s="7" t="s">
        <v>2289</v>
      </c>
      <c r="W13" s="7" t="str">
        <f>Preencher!$B$3&amp;U13&amp;V13&amp;A13&amp;$W$6</f>
        <v>JARINU-FRG236769MQ.TUNEL DE CG (CONTINUO)</v>
      </c>
      <c r="X13" s="7" t="str">
        <f>Preencher!$B$3&amp;U13&amp;V13&amp;A13&amp;$X$6</f>
        <v>JARINU-FRG236769MQ.TUNEL DE CG (CONTINUO) (1)</v>
      </c>
      <c r="Y13" s="7" t="str">
        <f>Preencher!$B$3&amp;U13&amp;V13&amp;A13&amp;$Y$6</f>
        <v>JARINU-FRG236769MQ.TUNEL DE CG (CONTINUO) (2)</v>
      </c>
      <c r="Z13" s="7" t="str">
        <f>Preencher!$B$3&amp;U13&amp;V13&amp;A13&amp;$Z$6</f>
        <v>JARINU-FRG236769MQ.TUNEL DE CG (CONTINUO) (3)</v>
      </c>
      <c r="AA13" s="7" t="str">
        <f>Preencher!$B$3&amp;U13&amp;V13&amp;A13&amp;$AA$6</f>
        <v>JARINU-FRG236769MQ.TUNEL DE CG (ESTATICO)</v>
      </c>
      <c r="AB13" s="7" t="str">
        <f>Preencher!$B$3&amp;U13&amp;V13&amp;A13&amp;$AB$6</f>
        <v>JARINU-FRG236769MQ.TUNEL DE CG (ESTATICO) (1)</v>
      </c>
      <c r="AC13" s="7" t="str">
        <f>Preencher!$B$3&amp;U13&amp;V13&amp;A13&amp;$AC$6</f>
        <v>JARINU-FRG236769MQ.TUNEL DE CG (ESTATICO) (2)</v>
      </c>
      <c r="AD13" s="327">
        <f>IFERROR(SUMIF('BD Otimix'!A:A,'BD VOLUME'!X13,'BD Otimix'!O:O)+SUMIF('BD Otimix'!A:A,'BD VOLUME'!Y13,'BD Otimix'!O:O)+SUMIF('BD Otimix'!A:A,'BD VOLUME'!Z13,'BD Otimix'!O:O)+SUMIF('BD Otimix'!A:A,'BD VOLUME'!AA13,'BD Otimix'!O:O)+SUMIF('BD Otimix'!A:A,'BD VOLUME'!AB13,'BD Otimix'!O:O)+SUMIF('BD Otimix'!A:A,'BD VOLUME'!AC13,'BD Otimix'!O:O)+SUMIF('BD Otimix'!A:A,'BD VOLUME'!W13,'BD Otimix'!O:O),0)</f>
        <v>0</v>
      </c>
      <c r="AE13" s="327">
        <f t="shared" si="5"/>
        <v>0</v>
      </c>
      <c r="AF13" s="7" t="str">
        <f>Preencher!$B$3&amp;$U$8&amp;$V$8&amp;A13&amp;$AF$6</f>
        <v>JARINU-FRG236769MQ.GIROFREEZER</v>
      </c>
      <c r="AG13" s="7" t="str">
        <f>Preencher!$B$3&amp;$U$8&amp;$V$8&amp;A13&amp;$AG$6</f>
        <v>JARINU-FRG236769MQ.GIROFREEZER (1)</v>
      </c>
      <c r="AH13" s="7" t="str">
        <f>Preencher!$B$3&amp;$U$8&amp;$V$8&amp;A13&amp;$AH$6</f>
        <v>JARINU-FRG236769MQ.GIROFREEZER (2)</v>
      </c>
      <c r="AI13" s="7" t="str">
        <f>Preencher!$B$3&amp;$U$8&amp;$V$8&amp;A13&amp;$AI$6</f>
        <v>JARINU-FRG236769MQ.GIROFREEZER REV04</v>
      </c>
      <c r="AJ13" s="7" t="str">
        <f>Preencher!$B$3&amp;$U$8&amp;$V$8&amp;A13&amp;$AJ$6</f>
        <v>JARINU-FRG236769MQ.GIROFREEZER (3)</v>
      </c>
      <c r="AK13" s="327">
        <f>IFERROR(SUMIF('BD Otimix'!A:A,'BD VOLUME'!AG13,'BD Otimix'!O:O)+SUMIF('BD Otimix'!A:A,'BD VOLUME'!AH13,'BD Otimix'!O:O)+SUMIF('BD Otimix'!A:A,'BD VOLUME'!AI13,'BD Otimix'!O:O)+SUMIF('BD Otimix'!A:A,'BD VOLUME'!AJ13,'BD Otimix'!O:O)+SUMIF('BD Otimix'!A:A,'BD VOLUME'!AF13,'BD Otimix'!O:O),0)</f>
        <v>0</v>
      </c>
      <c r="AL13" s="7">
        <f t="shared" si="6"/>
        <v>0</v>
      </c>
      <c r="AM13" s="221"/>
    </row>
    <row r="14" spans="1:39">
      <c r="A14" s="685">
        <v>227909</v>
      </c>
      <c r="B14" s="685"/>
      <c r="C14" s="5" t="s">
        <v>3101</v>
      </c>
      <c r="D14" s="5" t="s">
        <v>941</v>
      </c>
      <c r="E14" s="5" t="s">
        <v>1068</v>
      </c>
      <c r="F14" s="132">
        <f>SUMIF('COLAR PLANO'!$A:$A,A14,'COLAR PLANO'!$D:$D)</f>
        <v>0</v>
      </c>
      <c r="G14" s="131">
        <f t="shared" si="0"/>
        <v>0</v>
      </c>
      <c r="H14" s="6">
        <v>1.06E-2</v>
      </c>
      <c r="I14" s="7">
        <f t="shared" si="1"/>
        <v>0</v>
      </c>
      <c r="J14" s="130">
        <f t="shared" si="2"/>
        <v>0</v>
      </c>
      <c r="K14" s="781">
        <v>1</v>
      </c>
      <c r="L14" s="781">
        <v>12</v>
      </c>
      <c r="M14" s="781">
        <v>12</v>
      </c>
      <c r="N14" s="7">
        <f>IFERROR(G14/K14,"-")</f>
        <v>0</v>
      </c>
      <c r="O14" s="311"/>
      <c r="P14" s="311">
        <f>IFERROR(G14/M14,"-")</f>
        <v>0</v>
      </c>
      <c r="Q14" s="7"/>
      <c r="R14" s="7"/>
      <c r="S14" s="7"/>
      <c r="T14" s="7"/>
      <c r="U14" s="7" t="s">
        <v>2288</v>
      </c>
      <c r="V14" s="7" t="s">
        <v>2289</v>
      </c>
      <c r="W14" s="7" t="str">
        <f>Preencher!$B$3&amp;U14&amp;V14&amp;A14&amp;$W$6</f>
        <v>JARINU-FRG227909MQ.TUNEL DE CG (CONTINUO)</v>
      </c>
      <c r="X14" s="7" t="str">
        <f>Preencher!$B$3&amp;U14&amp;V14&amp;A14&amp;$X$6</f>
        <v>JARINU-FRG227909MQ.TUNEL DE CG (CONTINUO) (1)</v>
      </c>
      <c r="Y14" s="7" t="str">
        <f>Preencher!$B$3&amp;U14&amp;V14&amp;A14&amp;$Y$6</f>
        <v>JARINU-FRG227909MQ.TUNEL DE CG (CONTINUO) (2)</v>
      </c>
      <c r="Z14" s="7" t="str">
        <f>Preencher!$B$3&amp;U14&amp;V14&amp;A14&amp;$Z$6</f>
        <v>JARINU-FRG227909MQ.TUNEL DE CG (CONTINUO) (3)</v>
      </c>
      <c r="AA14" s="7" t="str">
        <f>Preencher!$B$3&amp;U14&amp;V14&amp;A14&amp;$AA$6</f>
        <v>JARINU-FRG227909MQ.TUNEL DE CG (ESTATICO)</v>
      </c>
      <c r="AB14" s="7" t="str">
        <f>Preencher!$B$3&amp;U14&amp;V14&amp;A14&amp;$AB$6</f>
        <v>JARINU-FRG227909MQ.TUNEL DE CG (ESTATICO) (1)</v>
      </c>
      <c r="AC14" s="7" t="str">
        <f>Preencher!$B$3&amp;U14&amp;V14&amp;A14&amp;$AC$6</f>
        <v>JARINU-FRG227909MQ.TUNEL DE CG (ESTATICO) (2)</v>
      </c>
      <c r="AD14" s="327">
        <f>IFERROR(SUMIF('BD Otimix'!A:A,'BD VOLUME'!X14,'BD Otimix'!O:O)+SUMIF('BD Otimix'!A:A,'BD VOLUME'!Y14,'BD Otimix'!O:O)+SUMIF('BD Otimix'!A:A,'BD VOLUME'!Z14,'BD Otimix'!O:O)+SUMIF('BD Otimix'!A:A,'BD VOLUME'!AA14,'BD Otimix'!O:O)+SUMIF('BD Otimix'!A:A,'BD VOLUME'!AB14,'BD Otimix'!O:O)+SUMIF('BD Otimix'!A:A,'BD VOLUME'!AC14,'BD Otimix'!O:O)+SUMIF('BD Otimix'!A:A,'BD VOLUME'!W14,'BD Otimix'!O:O),0)</f>
        <v>0</v>
      </c>
      <c r="AE14" s="327">
        <f>IFERROR(F14/$E$3/1000/AD14,0)</f>
        <v>0</v>
      </c>
      <c r="AF14" s="7" t="str">
        <f>Preencher!$B$3&amp;$U$8&amp;$V$8&amp;A14&amp;$AF$6</f>
        <v>JARINU-FRG227909MQ.GIROFREEZER</v>
      </c>
      <c r="AG14" s="7" t="str">
        <f>Preencher!$B$3&amp;$U$8&amp;$V$8&amp;A14&amp;$AG$6</f>
        <v>JARINU-FRG227909MQ.GIROFREEZER (1)</v>
      </c>
      <c r="AH14" s="7" t="str">
        <f>Preencher!$B$3&amp;$U$8&amp;$V$8&amp;A14&amp;$AH$6</f>
        <v>JARINU-FRG227909MQ.GIROFREEZER (2)</v>
      </c>
      <c r="AI14" s="7" t="str">
        <f>Preencher!$B$3&amp;$U$8&amp;$V$8&amp;A14&amp;$AI$6</f>
        <v>JARINU-FRG227909MQ.GIROFREEZER REV04</v>
      </c>
      <c r="AJ14" s="7" t="str">
        <f>Preencher!$B$3&amp;$U$8&amp;$V$8&amp;A14&amp;$AJ$6</f>
        <v>JARINU-FRG227909MQ.GIROFREEZER (3)</v>
      </c>
      <c r="AK14" s="327">
        <f>IFERROR(SUMIF('BD Otimix'!A:A,'BD VOLUME'!AG14,'BD Otimix'!O:O)+SUMIF('BD Otimix'!A:A,'BD VOLUME'!AH14,'BD Otimix'!O:O)+SUMIF('BD Otimix'!A:A,'BD VOLUME'!AI14,'BD Otimix'!O:O)+SUMIF('BD Otimix'!A:A,'BD VOLUME'!AJ14,'BD Otimix'!O:O)+SUMIF('BD Otimix'!A:A,'BD VOLUME'!AF14,'BD Otimix'!O:O),0)</f>
        <v>0</v>
      </c>
      <c r="AL14" s="7">
        <f>IFERROR(F14/$E$3/1000/AK14,0)</f>
        <v>0</v>
      </c>
      <c r="AM14" s="221"/>
    </row>
    <row r="15" spans="1:39">
      <c r="A15" s="250">
        <v>999541</v>
      </c>
      <c r="B15" s="250"/>
      <c r="C15" s="5" t="s">
        <v>3106</v>
      </c>
      <c r="D15" s="5" t="s">
        <v>941</v>
      </c>
      <c r="E15" s="5" t="s">
        <v>1068</v>
      </c>
      <c r="F15" s="132">
        <f>SUMIF('COLAR PLANO'!$A:$A,A15,'COLAR PLANO'!$D:$D)</f>
        <v>0</v>
      </c>
      <c r="G15" s="131">
        <f t="shared" si="0"/>
        <v>0</v>
      </c>
      <c r="H15" s="6">
        <v>1.06E-2</v>
      </c>
      <c r="I15" s="7">
        <f t="shared" si="1"/>
        <v>0</v>
      </c>
      <c r="J15" s="130">
        <f t="shared" si="2"/>
        <v>0</v>
      </c>
      <c r="K15" s="647">
        <v>0.45</v>
      </c>
      <c r="L15" s="647">
        <v>20</v>
      </c>
      <c r="M15" s="647">
        <v>9</v>
      </c>
      <c r="N15" s="7">
        <f t="shared" si="3"/>
        <v>0</v>
      </c>
      <c r="O15" s="311"/>
      <c r="P15" s="311">
        <f t="shared" si="4"/>
        <v>0</v>
      </c>
      <c r="Q15" s="7"/>
      <c r="R15" s="7"/>
      <c r="S15" s="7"/>
      <c r="T15" s="7"/>
      <c r="U15" s="7" t="s">
        <v>2288</v>
      </c>
      <c r="V15" s="7" t="s">
        <v>2289</v>
      </c>
      <c r="W15" s="7" t="str">
        <f>Preencher!$B$3&amp;U15&amp;V15&amp;A15&amp;$W$6</f>
        <v>JARINU-FRG999541MQ.TUNEL DE CG (CONTINUO)</v>
      </c>
      <c r="X15" s="7" t="str">
        <f>Preencher!$B$3&amp;U15&amp;V15&amp;A15&amp;$X$6</f>
        <v>JARINU-FRG999541MQ.TUNEL DE CG (CONTINUO) (1)</v>
      </c>
      <c r="Y15" s="7" t="str">
        <f>Preencher!$B$3&amp;U15&amp;V15&amp;A15&amp;$Y$6</f>
        <v>JARINU-FRG999541MQ.TUNEL DE CG (CONTINUO) (2)</v>
      </c>
      <c r="Z15" s="7" t="str">
        <f>Preencher!$B$3&amp;U15&amp;V15&amp;A15&amp;$Z$6</f>
        <v>JARINU-FRG999541MQ.TUNEL DE CG (CONTINUO) (3)</v>
      </c>
      <c r="AA15" s="7" t="str">
        <f>Preencher!$B$3&amp;U15&amp;V15&amp;A15&amp;$AA$6</f>
        <v>JARINU-FRG999541MQ.TUNEL DE CG (ESTATICO)</v>
      </c>
      <c r="AB15" s="7" t="str">
        <f>Preencher!$B$3&amp;U15&amp;V15&amp;A15&amp;$AB$6</f>
        <v>JARINU-FRG999541MQ.TUNEL DE CG (ESTATICO) (1)</v>
      </c>
      <c r="AC15" s="7" t="str">
        <f>Preencher!$B$3&amp;U15&amp;V15&amp;A15&amp;$AC$6</f>
        <v>JARINU-FRG999541MQ.TUNEL DE CG (ESTATICO) (2)</v>
      </c>
      <c r="AD15" s="327">
        <f>IFERROR(SUMIF('BD Otimix'!A:A,'BD VOLUME'!X15,'BD Otimix'!O:O)+SUMIF('BD Otimix'!A:A,'BD VOLUME'!Y15,'BD Otimix'!O:O)+SUMIF('BD Otimix'!A:A,'BD VOLUME'!Z15,'BD Otimix'!O:O)+SUMIF('BD Otimix'!A:A,'BD VOLUME'!AA15,'BD Otimix'!O:O)+SUMIF('BD Otimix'!A:A,'BD VOLUME'!AB15,'BD Otimix'!O:O)+SUMIF('BD Otimix'!A:A,'BD VOLUME'!AC15,'BD Otimix'!O:O)+SUMIF('BD Otimix'!A:A,'BD VOLUME'!W15,'BD Otimix'!O:O),0)</f>
        <v>0</v>
      </c>
      <c r="AE15" s="327">
        <f t="shared" si="5"/>
        <v>0</v>
      </c>
      <c r="AF15" s="7" t="str">
        <f>Preencher!$B$3&amp;$U$8&amp;$V$8&amp;A15&amp;$AF$6</f>
        <v>JARINU-FRG999541MQ.GIROFREEZER</v>
      </c>
      <c r="AG15" s="7" t="str">
        <f>Preencher!$B$3&amp;$U$8&amp;$V$8&amp;A15&amp;$AG$6</f>
        <v>JARINU-FRG999541MQ.GIROFREEZER (1)</v>
      </c>
      <c r="AH15" s="7" t="str">
        <f>Preencher!$B$3&amp;$U$8&amp;$V$8&amp;A15&amp;$AH$6</f>
        <v>JARINU-FRG999541MQ.GIROFREEZER (2)</v>
      </c>
      <c r="AI15" s="7" t="str">
        <f>Preencher!$B$3&amp;$U$8&amp;$V$8&amp;A15&amp;$AI$6</f>
        <v>JARINU-FRG999541MQ.GIROFREEZER REV04</v>
      </c>
      <c r="AJ15" s="7" t="str">
        <f>Preencher!$B$3&amp;$U$8&amp;$V$8&amp;A15&amp;$AJ$6</f>
        <v>JARINU-FRG999541MQ.GIROFREEZER (3)</v>
      </c>
      <c r="AK15" s="327">
        <f>IFERROR(SUMIF('BD Otimix'!A:A,'BD VOLUME'!AG15,'BD Otimix'!O:O)+SUMIF('BD Otimix'!A:A,'BD VOLUME'!AH15,'BD Otimix'!O:O)+SUMIF('BD Otimix'!A:A,'BD VOLUME'!AI15,'BD Otimix'!O:O)+SUMIF('BD Otimix'!A:A,'BD VOLUME'!AJ15,'BD Otimix'!O:O)+SUMIF('BD Otimix'!A:A,'BD VOLUME'!AF15,'BD Otimix'!O:O),0)</f>
        <v>0</v>
      </c>
      <c r="AL15" s="7">
        <f t="shared" si="6"/>
        <v>0</v>
      </c>
      <c r="AM15" s="221"/>
    </row>
    <row r="16" spans="1:39">
      <c r="A16" s="647">
        <v>999544</v>
      </c>
      <c r="B16" s="647"/>
      <c r="C16" s="5" t="s">
        <v>3106</v>
      </c>
      <c r="D16" s="5" t="s">
        <v>941</v>
      </c>
      <c r="E16" s="5" t="s">
        <v>1068</v>
      </c>
      <c r="F16" s="132">
        <f>SUMIF('COLAR PLANO'!$A:$A,A16,'COLAR PLANO'!$D:$D)</f>
        <v>0</v>
      </c>
      <c r="G16" s="131">
        <f t="shared" si="0"/>
        <v>0</v>
      </c>
      <c r="H16" s="6">
        <v>1.06E-2</v>
      </c>
      <c r="I16" s="7">
        <f t="shared" si="1"/>
        <v>0</v>
      </c>
      <c r="J16" s="130">
        <f t="shared" si="2"/>
        <v>0</v>
      </c>
      <c r="K16" s="788">
        <v>0.45</v>
      </c>
      <c r="L16" s="788">
        <v>20</v>
      </c>
      <c r="M16" s="788">
        <v>9</v>
      </c>
      <c r="N16" s="7">
        <f t="shared" si="3"/>
        <v>0</v>
      </c>
      <c r="O16" s="311"/>
      <c r="P16" s="311">
        <f t="shared" si="4"/>
        <v>0</v>
      </c>
      <c r="Q16" s="7"/>
      <c r="R16" s="7"/>
      <c r="S16" s="7"/>
      <c r="T16" s="7"/>
      <c r="U16" s="7" t="s">
        <v>2288</v>
      </c>
      <c r="V16" s="7" t="s">
        <v>2289</v>
      </c>
      <c r="W16" s="7" t="str">
        <f>Preencher!$B$3&amp;U16&amp;V16&amp;A16&amp;$W$6</f>
        <v>JARINU-FRG999544MQ.TUNEL DE CG (CONTINUO)</v>
      </c>
      <c r="X16" s="7" t="str">
        <f>Preencher!$B$3&amp;U16&amp;V16&amp;A16&amp;$X$6</f>
        <v>JARINU-FRG999544MQ.TUNEL DE CG (CONTINUO) (1)</v>
      </c>
      <c r="Y16" s="7" t="str">
        <f>Preencher!$B$3&amp;U16&amp;V16&amp;A16&amp;$Y$6</f>
        <v>JARINU-FRG999544MQ.TUNEL DE CG (CONTINUO) (2)</v>
      </c>
      <c r="Z16" s="7" t="str">
        <f>Preencher!$B$3&amp;U16&amp;V16&amp;A16&amp;$Z$6</f>
        <v>JARINU-FRG999544MQ.TUNEL DE CG (CONTINUO) (3)</v>
      </c>
      <c r="AA16" s="7" t="str">
        <f>Preencher!$B$3&amp;U16&amp;V16&amp;A16&amp;$AA$6</f>
        <v>JARINU-FRG999544MQ.TUNEL DE CG (ESTATICO)</v>
      </c>
      <c r="AB16" s="7" t="str">
        <f>Preencher!$B$3&amp;U16&amp;V16&amp;A16&amp;$AB$6</f>
        <v>JARINU-FRG999544MQ.TUNEL DE CG (ESTATICO) (1)</v>
      </c>
      <c r="AC16" s="7" t="str">
        <f>Preencher!$B$3&amp;U16&amp;V16&amp;A16&amp;$AC$6</f>
        <v>JARINU-FRG999544MQ.TUNEL DE CG (ESTATICO) (2)</v>
      </c>
      <c r="AD16" s="327">
        <f>IFERROR(SUMIF('BD Otimix'!A:A,'BD VOLUME'!X16,'BD Otimix'!O:O)+SUMIF('BD Otimix'!A:A,'BD VOLUME'!Y16,'BD Otimix'!O:O)+SUMIF('BD Otimix'!A:A,'BD VOLUME'!Z16,'BD Otimix'!O:O)+SUMIF('BD Otimix'!A:A,'BD VOLUME'!AA16,'BD Otimix'!O:O)+SUMIF('BD Otimix'!A:A,'BD VOLUME'!AB16,'BD Otimix'!O:O)+SUMIF('BD Otimix'!A:A,'BD VOLUME'!AC16,'BD Otimix'!O:O)+SUMIF('BD Otimix'!A:A,'BD VOLUME'!W16,'BD Otimix'!O:O),0)</f>
        <v>0</v>
      </c>
      <c r="AE16" s="327">
        <f t="shared" si="5"/>
        <v>0</v>
      </c>
      <c r="AF16" s="7" t="str">
        <f>Preencher!$B$3&amp;$U$8&amp;$V$8&amp;A16&amp;$AF$6</f>
        <v>JARINU-FRG999544MQ.GIROFREEZER</v>
      </c>
      <c r="AG16" s="7" t="str">
        <f>Preencher!$B$3&amp;$U$8&amp;$V$8&amp;A16&amp;$AG$6</f>
        <v>JARINU-FRG999544MQ.GIROFREEZER (1)</v>
      </c>
      <c r="AH16" s="7" t="str">
        <f>Preencher!$B$3&amp;$U$8&amp;$V$8&amp;A16&amp;$AH$6</f>
        <v>JARINU-FRG999544MQ.GIROFREEZER (2)</v>
      </c>
      <c r="AI16" s="7" t="str">
        <f>Preencher!$B$3&amp;$U$8&amp;$V$8&amp;A16&amp;$AI$6</f>
        <v>JARINU-FRG999544MQ.GIROFREEZER REV04</v>
      </c>
      <c r="AJ16" s="7" t="str">
        <f>Preencher!$B$3&amp;$U$8&amp;$V$8&amp;A16&amp;$AJ$6</f>
        <v>JARINU-FRG999544MQ.GIROFREEZER (3)</v>
      </c>
      <c r="AK16" s="327">
        <f>IFERROR(SUMIF('BD Otimix'!A:A,'BD VOLUME'!AG16,'BD Otimix'!O:O)+SUMIF('BD Otimix'!A:A,'BD VOLUME'!AH16,'BD Otimix'!O:O)+SUMIF('BD Otimix'!A:A,'BD VOLUME'!AI16,'BD Otimix'!O:O)+SUMIF('BD Otimix'!A:A,'BD VOLUME'!AJ16,'BD Otimix'!O:O)+SUMIF('BD Otimix'!A:A,'BD VOLUME'!AF16,'BD Otimix'!O:O),0)</f>
        <v>0</v>
      </c>
      <c r="AL16" s="7">
        <f t="shared" si="6"/>
        <v>0</v>
      </c>
      <c r="AM16" s="221"/>
    </row>
    <row r="17" spans="1:39">
      <c r="A17" s="710">
        <v>12688</v>
      </c>
      <c r="B17" s="710"/>
      <c r="C17" s="5" t="s">
        <v>2693</v>
      </c>
      <c r="D17" s="5" t="s">
        <v>941</v>
      </c>
      <c r="E17" s="5" t="s">
        <v>2143</v>
      </c>
      <c r="F17" s="132">
        <f>SUMIF('COLAR PLANO'!$A:$A,A17,'COLAR PLANO'!$D:$D)</f>
        <v>0</v>
      </c>
      <c r="G17" s="131">
        <f>IFERROR(F17/($E$3*$C$3),0)</f>
        <v>0</v>
      </c>
      <c r="H17" s="6">
        <v>1.06E-2</v>
      </c>
      <c r="I17" s="7">
        <f t="shared" si="1"/>
        <v>0</v>
      </c>
      <c r="J17" s="130">
        <f t="shared" si="2"/>
        <v>0</v>
      </c>
      <c r="K17" s="710">
        <v>1</v>
      </c>
      <c r="L17" s="710">
        <v>16</v>
      </c>
      <c r="M17" s="710">
        <v>16</v>
      </c>
      <c r="N17" s="7">
        <f>IFERROR(G17/K17,"-")</f>
        <v>0</v>
      </c>
      <c r="O17" s="311"/>
      <c r="P17" s="311">
        <f>IFERROR(G17/M17,"-")</f>
        <v>0</v>
      </c>
      <c r="Q17" s="7"/>
      <c r="R17" s="7"/>
      <c r="S17" s="7"/>
      <c r="T17" s="7"/>
      <c r="U17" s="7" t="s">
        <v>2288</v>
      </c>
      <c r="V17" s="7" t="s">
        <v>2289</v>
      </c>
      <c r="W17" s="7" t="str">
        <f>Preencher!$B$3&amp;U17&amp;V17&amp;A17&amp;$W$6</f>
        <v>JARINU-FRG12688MQ.TUNEL DE CG (CONTINUO)</v>
      </c>
      <c r="X17" s="7" t="str">
        <f>Preencher!$B$3&amp;U17&amp;V17&amp;A17&amp;$X$6</f>
        <v>JARINU-FRG12688MQ.TUNEL DE CG (CONTINUO) (1)</v>
      </c>
      <c r="Y17" s="7" t="str">
        <f>Preencher!$B$3&amp;U17&amp;V17&amp;A17&amp;$Y$6</f>
        <v>JARINU-FRG12688MQ.TUNEL DE CG (CONTINUO) (2)</v>
      </c>
      <c r="Z17" s="7" t="str">
        <f>Preencher!$B$3&amp;U17&amp;V17&amp;A17&amp;$Z$6</f>
        <v>JARINU-FRG12688MQ.TUNEL DE CG (CONTINUO) (3)</v>
      </c>
      <c r="AA17" s="7" t="str">
        <f>Preencher!$B$3&amp;U17&amp;V17&amp;A17&amp;$AA$6</f>
        <v>JARINU-FRG12688MQ.TUNEL DE CG (ESTATICO)</v>
      </c>
      <c r="AB17" s="7" t="str">
        <f>Preencher!$B$3&amp;U17&amp;V17&amp;A17&amp;$AB$6</f>
        <v>JARINU-FRG12688MQ.TUNEL DE CG (ESTATICO) (1)</v>
      </c>
      <c r="AC17" s="7" t="str">
        <f>Preencher!$B$3&amp;U17&amp;V17&amp;A17&amp;$AC$6</f>
        <v>JARINU-FRG12688MQ.TUNEL DE CG (ESTATICO) (2)</v>
      </c>
      <c r="AD17" s="327">
        <f>IFERROR(SUMIF('BD Otimix'!A:A,'BD VOLUME'!X17,'BD Otimix'!O:O)+SUMIF('BD Otimix'!A:A,'BD VOLUME'!Y17,'BD Otimix'!O:O)+SUMIF('BD Otimix'!A:A,'BD VOLUME'!Z17,'BD Otimix'!O:O)+SUMIF('BD Otimix'!A:A,'BD VOLUME'!AA17,'BD Otimix'!O:O)+SUMIF('BD Otimix'!A:A,'BD VOLUME'!AB17,'BD Otimix'!O:O)+SUMIF('BD Otimix'!A:A,'BD VOLUME'!AC17,'BD Otimix'!O:O)+SUMIF('BD Otimix'!A:A,'BD VOLUME'!W17,'BD Otimix'!O:O),0)</f>
        <v>0</v>
      </c>
      <c r="AE17" s="327">
        <f>IFERROR(F17/$E$3/1000/AD17,0)</f>
        <v>0</v>
      </c>
      <c r="AF17" s="7" t="str">
        <f>Preencher!$B$3&amp;$U$8&amp;$V$8&amp;A17&amp;$AF$6</f>
        <v>JARINU-FRG12688MQ.GIROFREEZER</v>
      </c>
      <c r="AG17" s="7" t="str">
        <f>Preencher!$B$3&amp;$U$8&amp;$V$8&amp;A17&amp;$AG$6</f>
        <v>JARINU-FRG12688MQ.GIROFREEZER (1)</v>
      </c>
      <c r="AH17" s="7" t="str">
        <f>Preencher!$B$3&amp;$U$8&amp;$V$8&amp;A17&amp;$AH$6</f>
        <v>JARINU-FRG12688MQ.GIROFREEZER (2)</v>
      </c>
      <c r="AI17" s="7" t="str">
        <f>Preencher!$B$3&amp;$U$8&amp;$V$8&amp;A17&amp;$AI$6</f>
        <v>JARINU-FRG12688MQ.GIROFREEZER REV04</v>
      </c>
      <c r="AJ17" s="7" t="str">
        <f>Preencher!$B$3&amp;$U$8&amp;$V$8&amp;A17&amp;$AJ$6</f>
        <v>JARINU-FRG12688MQ.GIROFREEZER (3)</v>
      </c>
      <c r="AK17" s="327">
        <f>IFERROR(SUMIF('BD Otimix'!A:A,'BD VOLUME'!AG17,'BD Otimix'!O:O)+SUMIF('BD Otimix'!A:A,'BD VOLUME'!AH17,'BD Otimix'!O:O)+SUMIF('BD Otimix'!A:A,'BD VOLUME'!AI17,'BD Otimix'!O:O)+SUMIF('BD Otimix'!A:A,'BD VOLUME'!AJ17,'BD Otimix'!O:O)+SUMIF('BD Otimix'!A:A,'BD VOLUME'!AF17,'BD Otimix'!O:O),0)</f>
        <v>0</v>
      </c>
      <c r="AL17" s="7">
        <f>IFERROR(F17/$E$3/1000/AK17,0)</f>
        <v>0</v>
      </c>
      <c r="AM17" s="221"/>
    </row>
    <row r="18" spans="1:39">
      <c r="A18" s="710"/>
      <c r="B18" s="710"/>
      <c r="C18" s="5"/>
      <c r="D18" s="5"/>
      <c r="E18" s="5"/>
      <c r="F18" s="132"/>
      <c r="G18" s="131"/>
      <c r="H18" s="6"/>
      <c r="I18" s="7"/>
      <c r="J18" s="130"/>
      <c r="K18" s="710"/>
      <c r="L18" s="710"/>
      <c r="M18" s="710"/>
      <c r="N18" s="7"/>
      <c r="O18" s="311"/>
      <c r="P18" s="31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327"/>
      <c r="AE18" s="327"/>
      <c r="AF18" s="7"/>
      <c r="AG18" s="7"/>
      <c r="AH18" s="7"/>
      <c r="AI18" s="7"/>
      <c r="AJ18" s="7"/>
      <c r="AK18" s="327"/>
      <c r="AL18" s="7"/>
      <c r="AM18" s="221"/>
    </row>
    <row r="19" spans="1:39">
      <c r="A19" s="710"/>
      <c r="B19" s="710"/>
      <c r="C19" s="5"/>
      <c r="D19" s="5"/>
      <c r="E19" s="5"/>
      <c r="F19" s="132"/>
      <c r="G19" s="131"/>
      <c r="H19" s="6"/>
      <c r="I19" s="7"/>
      <c r="J19" s="130"/>
      <c r="K19" s="710"/>
      <c r="L19" s="710"/>
      <c r="M19" s="710"/>
      <c r="N19" s="7"/>
      <c r="O19" s="311"/>
      <c r="P19" s="31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327"/>
      <c r="AE19" s="327"/>
      <c r="AF19" s="7"/>
      <c r="AG19" s="7"/>
      <c r="AH19" s="7"/>
      <c r="AI19" s="7"/>
      <c r="AJ19" s="7"/>
      <c r="AK19" s="327"/>
      <c r="AL19" s="7"/>
      <c r="AM19" s="221"/>
    </row>
    <row r="20" spans="1:39">
      <c r="A20" s="710"/>
      <c r="B20" s="710"/>
      <c r="C20" s="5"/>
      <c r="D20" s="5"/>
      <c r="E20" s="5"/>
      <c r="F20" s="132"/>
      <c r="G20" s="131"/>
      <c r="H20" s="6"/>
      <c r="I20" s="7"/>
      <c r="J20" s="130"/>
      <c r="K20" s="710"/>
      <c r="L20" s="710"/>
      <c r="M20" s="710"/>
      <c r="N20" s="7"/>
      <c r="O20" s="311"/>
      <c r="P20" s="31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327"/>
      <c r="AE20" s="327"/>
      <c r="AF20" s="7"/>
      <c r="AG20" s="7"/>
      <c r="AH20" s="7"/>
      <c r="AI20" s="7"/>
      <c r="AJ20" s="7"/>
      <c r="AK20" s="327"/>
      <c r="AL20" s="7"/>
      <c r="AM20" s="221"/>
    </row>
    <row r="21" spans="1:39">
      <c r="A21" s="710"/>
      <c r="B21" s="710"/>
      <c r="C21" s="5"/>
      <c r="D21" s="5"/>
      <c r="E21" s="5"/>
      <c r="F21" s="132"/>
      <c r="G21" s="131"/>
      <c r="H21" s="6"/>
      <c r="I21" s="7"/>
      <c r="J21" s="130"/>
      <c r="K21" s="710"/>
      <c r="L21" s="710"/>
      <c r="M21" s="710"/>
      <c r="N21" s="7"/>
      <c r="O21" s="311"/>
      <c r="P21" s="31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327"/>
      <c r="AE21" s="327"/>
      <c r="AF21" s="7"/>
      <c r="AG21" s="7"/>
      <c r="AH21" s="7"/>
      <c r="AI21" s="7"/>
      <c r="AJ21" s="7"/>
      <c r="AK21" s="327"/>
      <c r="AL21" s="7"/>
      <c r="AM21" s="221"/>
    </row>
    <row r="22" spans="1:39">
      <c r="A22" s="710">
        <v>997111</v>
      </c>
      <c r="B22" s="710"/>
      <c r="C22" s="5" t="s">
        <v>3125</v>
      </c>
      <c r="D22" s="5" t="s">
        <v>941</v>
      </c>
      <c r="E22" s="5" t="s">
        <v>2144</v>
      </c>
      <c r="F22" s="132">
        <f>SUMIF('COLAR PLANO'!$A:$A,A22,'COLAR PLANO'!$D:$D)</f>
        <v>0</v>
      </c>
      <c r="G22" s="131">
        <f>IFERROR(F22/($E$3*$C$3),0)</f>
        <v>0</v>
      </c>
      <c r="H22" s="6">
        <v>4.7000000000000002E-3</v>
      </c>
      <c r="I22" s="7">
        <f t="shared" ref="I22:I44" si="7">IFERROR(G22/$D$7/H22,0)</f>
        <v>0</v>
      </c>
      <c r="J22" s="130">
        <f t="shared" ref="J22:J44" si="8">IFERROR(I22/$B$7,0)</f>
        <v>0</v>
      </c>
      <c r="K22" s="710">
        <v>1</v>
      </c>
      <c r="L22" s="710">
        <v>12</v>
      </c>
      <c r="M22" s="710">
        <v>12</v>
      </c>
      <c r="N22" s="7">
        <f>IFERROR(G22/K22,"-")</f>
        <v>0</v>
      </c>
      <c r="O22" s="311"/>
      <c r="P22" s="311">
        <f>IFERROR(G22/M22,"-")</f>
        <v>0</v>
      </c>
      <c r="Q22" s="7"/>
      <c r="R22" s="7"/>
      <c r="S22" s="7"/>
      <c r="T22" s="7"/>
      <c r="U22" s="7" t="s">
        <v>2288</v>
      </c>
      <c r="V22" s="7" t="s">
        <v>2289</v>
      </c>
      <c r="W22" s="7" t="str">
        <f>Preencher!$B$3&amp;U22&amp;V22&amp;A22&amp;$W$6</f>
        <v>JARINU-FRG997111MQ.TUNEL DE CG (CONTINUO)</v>
      </c>
      <c r="X22" s="7" t="str">
        <f>Preencher!$B$3&amp;U22&amp;V22&amp;A22&amp;$X$6</f>
        <v>JARINU-FRG997111MQ.TUNEL DE CG (CONTINUO) (1)</v>
      </c>
      <c r="Y22" s="7" t="str">
        <f>Preencher!$B$3&amp;U22&amp;V22&amp;A22&amp;$Y$6</f>
        <v>JARINU-FRG997111MQ.TUNEL DE CG (CONTINUO) (2)</v>
      </c>
      <c r="Z22" s="7" t="str">
        <f>Preencher!$B$3&amp;U22&amp;V22&amp;A22&amp;$Z$6</f>
        <v>JARINU-FRG997111MQ.TUNEL DE CG (CONTINUO) (3)</v>
      </c>
      <c r="AA22" s="7" t="str">
        <f>Preencher!$B$3&amp;U22&amp;V22&amp;A22&amp;$AA$6</f>
        <v>JARINU-FRG997111MQ.TUNEL DE CG (ESTATICO)</v>
      </c>
      <c r="AB22" s="7" t="str">
        <f>Preencher!$B$3&amp;U22&amp;V22&amp;A22&amp;$AB$6</f>
        <v>JARINU-FRG997111MQ.TUNEL DE CG (ESTATICO) (1)</v>
      </c>
      <c r="AC22" s="7" t="str">
        <f>Preencher!$B$3&amp;U22&amp;V22&amp;A22&amp;$AC$6</f>
        <v>JARINU-FRG997111MQ.TUNEL DE CG (ESTATICO) (2)</v>
      </c>
      <c r="AD22" s="327">
        <f>IFERROR(SUMIF('BD Otimix'!A:A,'BD VOLUME'!X22,'BD Otimix'!O:O)+SUMIF('BD Otimix'!A:A,'BD VOLUME'!Y22,'BD Otimix'!O:O)+SUMIF('BD Otimix'!A:A,'BD VOLUME'!Z22,'BD Otimix'!O:O)+SUMIF('BD Otimix'!A:A,'BD VOLUME'!AA22,'BD Otimix'!O:O)+SUMIF('BD Otimix'!A:A,'BD VOLUME'!AB22,'BD Otimix'!O:O)+SUMIF('BD Otimix'!A:A,'BD VOLUME'!AC22,'BD Otimix'!O:O)+SUMIF('BD Otimix'!A:A,'BD VOLUME'!W22,'BD Otimix'!O:O),0)</f>
        <v>0</v>
      </c>
      <c r="AE22" s="327">
        <f>IFERROR(F22/$E$3/1000/AD22,0)</f>
        <v>0</v>
      </c>
      <c r="AF22" s="7" t="str">
        <f>Preencher!$B$3&amp;$U$8&amp;$V$8&amp;A22&amp;$AF$6</f>
        <v>JARINU-FRG997111MQ.GIROFREEZER</v>
      </c>
      <c r="AG22" s="7" t="str">
        <f>Preencher!$B$3&amp;$U$8&amp;$V$8&amp;A22&amp;$AG$6</f>
        <v>JARINU-FRG997111MQ.GIROFREEZER (1)</v>
      </c>
      <c r="AH22" s="7" t="str">
        <f>Preencher!$B$3&amp;$U$8&amp;$V$8&amp;A22&amp;$AH$6</f>
        <v>JARINU-FRG997111MQ.GIROFREEZER (2)</v>
      </c>
      <c r="AI22" s="7" t="str">
        <f>Preencher!$B$3&amp;$U$8&amp;$V$8&amp;A22&amp;$AI$6</f>
        <v>JARINU-FRG997111MQ.GIROFREEZER REV04</v>
      </c>
      <c r="AJ22" s="7" t="str">
        <f>Preencher!$B$3&amp;$U$8&amp;$V$8&amp;A22&amp;$AJ$6</f>
        <v>JARINU-FRG997111MQ.GIROFREEZER (3)</v>
      </c>
      <c r="AK22" s="327">
        <f>IFERROR(SUMIF('BD Otimix'!A:A,'BD VOLUME'!AG22,'BD Otimix'!O:O)+SUMIF('BD Otimix'!A:A,'BD VOLUME'!AH22,'BD Otimix'!O:O)+SUMIF('BD Otimix'!A:A,'BD VOLUME'!AI22,'BD Otimix'!O:O)+SUMIF('BD Otimix'!A:A,'BD VOLUME'!AJ22,'BD Otimix'!O:O)+SUMIF('BD Otimix'!A:A,'BD VOLUME'!AF22,'BD Otimix'!O:O),0)</f>
        <v>0</v>
      </c>
      <c r="AL22" s="7">
        <f>IFERROR(F22/$E$3/1000/AK22,0)</f>
        <v>0</v>
      </c>
      <c r="AM22" s="221"/>
    </row>
    <row r="23" spans="1:39">
      <c r="A23" s="250">
        <v>18163</v>
      </c>
      <c r="B23" s="250" t="s">
        <v>1022</v>
      </c>
      <c r="C23" s="5" t="s">
        <v>943</v>
      </c>
      <c r="D23" s="5" t="s">
        <v>941</v>
      </c>
      <c r="E23" s="5" t="s">
        <v>2144</v>
      </c>
      <c r="F23" s="132">
        <f>SUMIF('COLAR PLANO'!$A:$A,A23,'COLAR PLANO'!$D:$D)</f>
        <v>12095.999999999998</v>
      </c>
      <c r="G23" s="131">
        <f t="shared" si="0"/>
        <v>57.422264419653452</v>
      </c>
      <c r="H23" s="6">
        <v>4.7000000000000002E-3</v>
      </c>
      <c r="I23" s="7">
        <f t="shared" si="7"/>
        <v>4072.5010226704576</v>
      </c>
      <c r="J23" s="130">
        <f t="shared" si="8"/>
        <v>0.8665377176015473</v>
      </c>
      <c r="K23" s="257">
        <v>1</v>
      </c>
      <c r="L23" s="257">
        <v>12</v>
      </c>
      <c r="M23" s="257">
        <v>12</v>
      </c>
      <c r="N23" s="7">
        <f t="shared" si="3"/>
        <v>57.422264419653452</v>
      </c>
      <c r="O23" s="311"/>
      <c r="P23" s="311">
        <f t="shared" si="4"/>
        <v>4.7851887016377876</v>
      </c>
      <c r="Q23" s="7"/>
      <c r="R23" s="7"/>
      <c r="S23" s="7"/>
      <c r="T23" s="7"/>
      <c r="U23" s="7" t="s">
        <v>2288</v>
      </c>
      <c r="V23" s="7" t="s">
        <v>2289</v>
      </c>
      <c r="W23" s="7" t="str">
        <f>Preencher!$B$3&amp;U23&amp;V23&amp;A23&amp;$W$6</f>
        <v>JARINU-FRG18163MQ.TUNEL DE CG (CONTINUO)</v>
      </c>
      <c r="X23" s="7" t="str">
        <f>Preencher!$B$3&amp;U23&amp;V23&amp;A23&amp;$X$6</f>
        <v>JARINU-FRG18163MQ.TUNEL DE CG (CONTINUO) (1)</v>
      </c>
      <c r="Y23" s="7" t="str">
        <f>Preencher!$B$3&amp;U23&amp;V23&amp;A23&amp;$Y$6</f>
        <v>JARINU-FRG18163MQ.TUNEL DE CG (CONTINUO) (2)</v>
      </c>
      <c r="Z23" s="7" t="str">
        <f>Preencher!$B$3&amp;U23&amp;V23&amp;A23&amp;$Z$6</f>
        <v>JARINU-FRG18163MQ.TUNEL DE CG (CONTINUO) (3)</v>
      </c>
      <c r="AA23" s="7" t="str">
        <f>Preencher!$B$3&amp;U23&amp;V23&amp;A23&amp;$AA$6</f>
        <v>JARINU-FRG18163MQ.TUNEL DE CG (ESTATICO)</v>
      </c>
      <c r="AB23" s="7" t="str">
        <f>Preencher!$B$3&amp;U23&amp;V23&amp;A23&amp;$AB$6</f>
        <v>JARINU-FRG18163MQ.TUNEL DE CG (ESTATICO) (1)</v>
      </c>
      <c r="AC23" s="7" t="str">
        <f>Preencher!$B$3&amp;U23&amp;V23&amp;A23&amp;$AC$6</f>
        <v>JARINU-FRG18163MQ.TUNEL DE CG (ESTATICO) (2)</v>
      </c>
      <c r="AD23" s="327">
        <f>IFERROR(SUMIF('BD Otimix'!A:A,'BD VOLUME'!X23,'BD Otimix'!O:O)+SUMIF('BD Otimix'!A:A,'BD VOLUME'!Y23,'BD Otimix'!O:O)+SUMIF('BD Otimix'!A:A,'BD VOLUME'!Z23,'BD Otimix'!O:O)+SUMIF('BD Otimix'!A:A,'BD VOLUME'!AA23,'BD Otimix'!O:O)+SUMIF('BD Otimix'!A:A,'BD VOLUME'!AB23,'BD Otimix'!O:O)+SUMIF('BD Otimix'!A:A,'BD VOLUME'!AC23,'BD Otimix'!O:O)+SUMIF('BD Otimix'!A:A,'BD VOLUME'!W23,'BD Otimix'!O:O),0)</f>
        <v>0</v>
      </c>
      <c r="AE23" s="327">
        <f t="shared" si="5"/>
        <v>0</v>
      </c>
      <c r="AF23" s="7" t="str">
        <f>Preencher!$B$3&amp;$U$8&amp;$V$8&amp;A23&amp;$AF$6</f>
        <v>JARINU-FRG18163MQ.GIROFREEZER</v>
      </c>
      <c r="AG23" s="7" t="str">
        <f>Preencher!$B$3&amp;$U$8&amp;$V$8&amp;A23&amp;$AG$6</f>
        <v>JARINU-FRG18163MQ.GIROFREEZER (1)</v>
      </c>
      <c r="AH23" s="7" t="str">
        <f>Preencher!$B$3&amp;$U$8&amp;$V$8&amp;A23&amp;$AH$6</f>
        <v>JARINU-FRG18163MQ.GIROFREEZER (2)</v>
      </c>
      <c r="AI23" s="7" t="str">
        <f>Preencher!$B$3&amp;$U$8&amp;$V$8&amp;A23&amp;$AI$6</f>
        <v>JARINU-FRG18163MQ.GIROFREEZER REV04</v>
      </c>
      <c r="AJ23" s="7" t="str">
        <f>Preencher!$B$3&amp;$U$8&amp;$V$8&amp;A23&amp;$AJ$6</f>
        <v>JARINU-FRG18163MQ.GIROFREEZER (3)</v>
      </c>
      <c r="AK23" s="327">
        <f>IFERROR(SUMIF('BD Otimix'!A:A,'BD VOLUME'!AG23,'BD Otimix'!O:O)+SUMIF('BD Otimix'!A:A,'BD VOLUME'!AH23,'BD Otimix'!O:O)+SUMIF('BD Otimix'!A:A,'BD VOLUME'!AI23,'BD Otimix'!O:O)+SUMIF('BD Otimix'!A:A,'BD VOLUME'!AJ23,'BD Otimix'!O:O)+SUMIF('BD Otimix'!A:A,'BD VOLUME'!AF23,'BD Otimix'!O:O),0)</f>
        <v>0</v>
      </c>
      <c r="AL23" s="7">
        <f t="shared" si="6"/>
        <v>0</v>
      </c>
      <c r="AM23" s="221"/>
    </row>
    <row r="24" spans="1:39">
      <c r="A24" s="210">
        <v>15423</v>
      </c>
      <c r="B24" s="210" t="s">
        <v>2343</v>
      </c>
      <c r="C24" s="5" t="s">
        <v>2249</v>
      </c>
      <c r="D24" s="5" t="s">
        <v>941</v>
      </c>
      <c r="E24" s="5" t="s">
        <v>1069</v>
      </c>
      <c r="F24" s="132">
        <f>SUMIF('COLAR PLANO'!$A:$A,A24,'COLAR PLANO'!$D:$D)</f>
        <v>0</v>
      </c>
      <c r="G24" s="131">
        <f t="shared" si="0"/>
        <v>0</v>
      </c>
      <c r="H24" s="6">
        <v>4.7000000000000002E-3</v>
      </c>
      <c r="I24" s="7">
        <f t="shared" si="7"/>
        <v>0</v>
      </c>
      <c r="J24" s="130">
        <f t="shared" si="8"/>
        <v>0</v>
      </c>
      <c r="K24" s="647">
        <v>0.45</v>
      </c>
      <c r="L24" s="647">
        <v>16</v>
      </c>
      <c r="M24" s="647">
        <v>9</v>
      </c>
      <c r="N24" s="7">
        <f t="shared" si="3"/>
        <v>0</v>
      </c>
      <c r="O24" s="311"/>
      <c r="P24" s="311">
        <f t="shared" si="4"/>
        <v>0</v>
      </c>
      <c r="Q24" s="7"/>
      <c r="R24" s="7"/>
      <c r="S24" s="7"/>
      <c r="T24" s="7"/>
      <c r="U24" s="7" t="s">
        <v>2288</v>
      </c>
      <c r="V24" s="7" t="s">
        <v>2289</v>
      </c>
      <c r="W24" s="7" t="str">
        <f>Preencher!$B$3&amp;U24&amp;V24&amp;A24&amp;$W$6</f>
        <v>JARINU-FRG15423MQ.TUNEL DE CG (CONTINUO)</v>
      </c>
      <c r="X24" s="7" t="str">
        <f>Preencher!$B$3&amp;U24&amp;V24&amp;A24&amp;$X$6</f>
        <v>JARINU-FRG15423MQ.TUNEL DE CG (CONTINUO) (1)</v>
      </c>
      <c r="Y24" s="7" t="str">
        <f>Preencher!$B$3&amp;U24&amp;V24&amp;A24&amp;$Y$6</f>
        <v>JARINU-FRG15423MQ.TUNEL DE CG (CONTINUO) (2)</v>
      </c>
      <c r="Z24" s="7" t="str">
        <f>Preencher!$B$3&amp;U24&amp;V24&amp;A24&amp;$Z$6</f>
        <v>JARINU-FRG15423MQ.TUNEL DE CG (CONTINUO) (3)</v>
      </c>
      <c r="AA24" s="7" t="str">
        <f>Preencher!$B$3&amp;U24&amp;V24&amp;A24&amp;$AA$6</f>
        <v>JARINU-FRG15423MQ.TUNEL DE CG (ESTATICO)</v>
      </c>
      <c r="AB24" s="7" t="str">
        <f>Preencher!$B$3&amp;U24&amp;V24&amp;A24&amp;$AB$6</f>
        <v>JARINU-FRG15423MQ.TUNEL DE CG (ESTATICO) (1)</v>
      </c>
      <c r="AC24" s="7" t="str">
        <f>Preencher!$B$3&amp;U24&amp;V24&amp;A24&amp;$AC$6</f>
        <v>JARINU-FRG15423MQ.TUNEL DE CG (ESTATICO) (2)</v>
      </c>
      <c r="AD24" s="327">
        <f>IFERROR(SUMIF('BD Otimix'!A:A,'BD VOLUME'!X24,'BD Otimix'!O:O)+SUMIF('BD Otimix'!A:A,'BD VOLUME'!Y24,'BD Otimix'!O:O)+SUMIF('BD Otimix'!A:A,'BD VOLUME'!Z24,'BD Otimix'!O:O)+SUMIF('BD Otimix'!A:A,'BD VOLUME'!AA24,'BD Otimix'!O:O)+SUMIF('BD Otimix'!A:A,'BD VOLUME'!AB24,'BD Otimix'!O:O)+SUMIF('BD Otimix'!A:A,'BD VOLUME'!AC24,'BD Otimix'!O:O)+SUMIF('BD Otimix'!A:A,'BD VOLUME'!W24,'BD Otimix'!O:O),0)</f>
        <v>0</v>
      </c>
      <c r="AE24" s="327">
        <f t="shared" si="5"/>
        <v>0</v>
      </c>
      <c r="AF24" s="7" t="str">
        <f>Preencher!$B$3&amp;$U$8&amp;$V$8&amp;A24&amp;$AF$6</f>
        <v>JARINU-FRG15423MQ.GIROFREEZER</v>
      </c>
      <c r="AG24" s="7" t="str">
        <f>Preencher!$B$3&amp;$U$8&amp;$V$8&amp;A24&amp;$AG$6</f>
        <v>JARINU-FRG15423MQ.GIROFREEZER (1)</v>
      </c>
      <c r="AH24" s="7" t="str">
        <f>Preencher!$B$3&amp;$U$8&amp;$V$8&amp;A24&amp;$AH$6</f>
        <v>JARINU-FRG15423MQ.GIROFREEZER (2)</v>
      </c>
      <c r="AI24" s="7" t="str">
        <f>Preencher!$B$3&amp;$U$8&amp;$V$8&amp;A24&amp;$AI$6</f>
        <v>JARINU-FRG15423MQ.GIROFREEZER REV04</v>
      </c>
      <c r="AJ24" s="7" t="str">
        <f>Preencher!$B$3&amp;$U$8&amp;$V$8&amp;A24&amp;$AJ$6</f>
        <v>JARINU-FRG15423MQ.GIROFREEZER (3)</v>
      </c>
      <c r="AK24" s="327">
        <f>IFERROR(SUMIF('BD Otimix'!A:A,'BD VOLUME'!AG24,'BD Otimix'!O:O)+SUMIF('BD Otimix'!A:A,'BD VOLUME'!AH24,'BD Otimix'!O:O)+SUMIF('BD Otimix'!A:A,'BD VOLUME'!AI24,'BD Otimix'!O:O)+SUMIF('BD Otimix'!A:A,'BD VOLUME'!AJ24,'BD Otimix'!O:O)+SUMIF('BD Otimix'!A:A,'BD VOLUME'!AF24,'BD Otimix'!O:O),0)</f>
        <v>0</v>
      </c>
      <c r="AL24" s="7">
        <f t="shared" si="6"/>
        <v>0</v>
      </c>
    </row>
    <row r="25" spans="1:39">
      <c r="A25" s="250">
        <v>729850</v>
      </c>
      <c r="B25" s="250" t="s">
        <v>2342</v>
      </c>
      <c r="C25" s="5" t="s">
        <v>2264</v>
      </c>
      <c r="D25" s="5" t="s">
        <v>941</v>
      </c>
      <c r="E25" s="5" t="s">
        <v>1002</v>
      </c>
      <c r="F25" s="132">
        <f>SUMIF('COLAR PLANO'!$A:$A,A25,'COLAR PLANO'!$D:$D)</f>
        <v>0</v>
      </c>
      <c r="G25" s="131">
        <f t="shared" si="0"/>
        <v>0</v>
      </c>
      <c r="H25" s="6">
        <v>4.7000000000000002E-3</v>
      </c>
      <c r="I25" s="7">
        <f t="shared" si="7"/>
        <v>0</v>
      </c>
      <c r="J25" s="130">
        <f t="shared" si="8"/>
        <v>0</v>
      </c>
      <c r="K25" s="647">
        <v>0.65</v>
      </c>
      <c r="L25" s="647">
        <v>10</v>
      </c>
      <c r="M25" s="647">
        <v>6.5</v>
      </c>
      <c r="N25" s="7">
        <f t="shared" si="3"/>
        <v>0</v>
      </c>
      <c r="O25" s="311"/>
      <c r="P25" s="311">
        <f t="shared" si="4"/>
        <v>0</v>
      </c>
      <c r="Q25" s="7"/>
      <c r="R25" s="7"/>
      <c r="S25" s="7"/>
      <c r="T25" s="7"/>
      <c r="U25" s="7" t="s">
        <v>2288</v>
      </c>
      <c r="V25" s="7" t="s">
        <v>2289</v>
      </c>
      <c r="W25" s="7" t="str">
        <f>Preencher!$B$3&amp;U25&amp;V25&amp;A25&amp;$W$6</f>
        <v>JARINU-FRG729850MQ.TUNEL DE CG (CONTINUO)</v>
      </c>
      <c r="X25" s="7" t="str">
        <f>Preencher!$B$3&amp;U25&amp;V25&amp;A25&amp;$X$6</f>
        <v>JARINU-FRG729850MQ.TUNEL DE CG (CONTINUO) (1)</v>
      </c>
      <c r="Y25" s="7" t="str">
        <f>Preencher!$B$3&amp;U25&amp;V25&amp;A25&amp;$Y$6</f>
        <v>JARINU-FRG729850MQ.TUNEL DE CG (CONTINUO) (2)</v>
      </c>
      <c r="Z25" s="7" t="str">
        <f>Preencher!$B$3&amp;U25&amp;V25&amp;A25&amp;$Z$6</f>
        <v>JARINU-FRG729850MQ.TUNEL DE CG (CONTINUO) (3)</v>
      </c>
      <c r="AA25" s="7" t="str">
        <f>Preencher!$B$3&amp;U25&amp;V25&amp;A25&amp;$AA$6</f>
        <v>JARINU-FRG729850MQ.TUNEL DE CG (ESTATICO)</v>
      </c>
      <c r="AB25" s="7" t="str">
        <f>Preencher!$B$3&amp;U25&amp;V25&amp;A25&amp;$AB$6</f>
        <v>JARINU-FRG729850MQ.TUNEL DE CG (ESTATICO) (1)</v>
      </c>
      <c r="AC25" s="7" t="str">
        <f>Preencher!$B$3&amp;U25&amp;V25&amp;A25&amp;$AC$6</f>
        <v>JARINU-FRG729850MQ.TUNEL DE CG (ESTATICO) (2)</v>
      </c>
      <c r="AD25" s="327">
        <f>IFERROR(SUMIF('BD Otimix'!A:A,'BD VOLUME'!X25,'BD Otimix'!O:O)+SUMIF('BD Otimix'!A:A,'BD VOLUME'!Y25,'BD Otimix'!O:O)+SUMIF('BD Otimix'!A:A,'BD VOLUME'!Z25,'BD Otimix'!O:O)+SUMIF('BD Otimix'!A:A,'BD VOLUME'!AA25,'BD Otimix'!O:O)+SUMIF('BD Otimix'!A:A,'BD VOLUME'!AB25,'BD Otimix'!O:O)+SUMIF('BD Otimix'!A:A,'BD VOLUME'!AC25,'BD Otimix'!O:O)+SUMIF('BD Otimix'!A:A,'BD VOLUME'!W25,'BD Otimix'!O:O),0)</f>
        <v>0</v>
      </c>
      <c r="AE25" s="327">
        <f t="shared" si="5"/>
        <v>0</v>
      </c>
      <c r="AF25" s="7" t="str">
        <f>Preencher!$B$3&amp;$U$8&amp;$V$8&amp;A25&amp;$AF$6</f>
        <v>JARINU-FRG729850MQ.GIROFREEZER</v>
      </c>
      <c r="AG25" s="7" t="str">
        <f>Preencher!$B$3&amp;$U$8&amp;$V$8&amp;A25&amp;$AG$6</f>
        <v>JARINU-FRG729850MQ.GIROFREEZER (1)</v>
      </c>
      <c r="AH25" s="7" t="str">
        <f>Preencher!$B$3&amp;$U$8&amp;$V$8&amp;A25&amp;$AH$6</f>
        <v>JARINU-FRG729850MQ.GIROFREEZER (2)</v>
      </c>
      <c r="AI25" s="7" t="str">
        <f>Preencher!$B$3&amp;$U$8&amp;$V$8&amp;A25&amp;$AI$6</f>
        <v>JARINU-FRG729850MQ.GIROFREEZER REV04</v>
      </c>
      <c r="AJ25" s="7" t="str">
        <f>Preencher!$B$3&amp;$U$8&amp;$V$8&amp;A25&amp;$AJ$6</f>
        <v>JARINU-FRG729850MQ.GIROFREEZER (3)</v>
      </c>
      <c r="AK25" s="327">
        <f>IFERROR(SUMIF('BD Otimix'!A:A,'BD VOLUME'!AG25,'BD Otimix'!O:O)+SUMIF('BD Otimix'!A:A,'BD VOLUME'!AH25,'BD Otimix'!O:O)+SUMIF('BD Otimix'!A:A,'BD VOLUME'!AI25,'BD Otimix'!O:O)+SUMIF('BD Otimix'!A:A,'BD VOLUME'!AJ25,'BD Otimix'!O:O)+SUMIF('BD Otimix'!A:A,'BD VOLUME'!AF25,'BD Otimix'!O:O),0)</f>
        <v>0</v>
      </c>
      <c r="AL25" s="7">
        <f t="shared" si="6"/>
        <v>0</v>
      </c>
    </row>
    <row r="26" spans="1:39">
      <c r="A26" s="685">
        <v>956767</v>
      </c>
      <c r="B26" s="685"/>
      <c r="C26" s="5" t="s">
        <v>2533</v>
      </c>
      <c r="D26" s="5" t="s">
        <v>941</v>
      </c>
      <c r="E26" s="5" t="s">
        <v>1069</v>
      </c>
      <c r="F26" s="132">
        <f>SUMIF('COLAR PLANO'!$A:$A,A26,'COLAR PLANO'!$D:$D)</f>
        <v>0</v>
      </c>
      <c r="G26" s="131">
        <f t="shared" si="0"/>
        <v>0</v>
      </c>
      <c r="H26" s="6">
        <v>4.7000000000000002E-3</v>
      </c>
      <c r="I26" s="7">
        <f t="shared" si="7"/>
        <v>0</v>
      </c>
      <c r="J26" s="130">
        <f t="shared" si="8"/>
        <v>0</v>
      </c>
      <c r="K26" s="685">
        <v>1</v>
      </c>
      <c r="L26" s="685">
        <v>12</v>
      </c>
      <c r="M26" s="685">
        <v>12</v>
      </c>
      <c r="N26" s="7">
        <f t="shared" si="3"/>
        <v>0</v>
      </c>
      <c r="O26" s="311"/>
      <c r="P26" s="311">
        <f t="shared" si="4"/>
        <v>0</v>
      </c>
      <c r="Q26" s="7"/>
      <c r="R26" s="7"/>
      <c r="S26" s="7"/>
      <c r="T26" s="7"/>
      <c r="U26" s="7" t="s">
        <v>2288</v>
      </c>
      <c r="V26" s="7" t="s">
        <v>2289</v>
      </c>
      <c r="W26" s="7" t="str">
        <f>Preencher!$B$3&amp;U26&amp;V26&amp;A26&amp;$W$6</f>
        <v>JARINU-FRG956767MQ.TUNEL DE CG (CONTINUO)</v>
      </c>
      <c r="X26" s="7" t="str">
        <f>Preencher!$B$3&amp;U26&amp;V26&amp;A26&amp;$X$6</f>
        <v>JARINU-FRG956767MQ.TUNEL DE CG (CONTINUO) (1)</v>
      </c>
      <c r="Y26" s="7" t="str">
        <f>Preencher!$B$3&amp;U26&amp;V26&amp;A26&amp;$Y$6</f>
        <v>JARINU-FRG956767MQ.TUNEL DE CG (CONTINUO) (2)</v>
      </c>
      <c r="Z26" s="7" t="str">
        <f>Preencher!$B$3&amp;U26&amp;V26&amp;A26&amp;$Z$6</f>
        <v>JARINU-FRG956767MQ.TUNEL DE CG (CONTINUO) (3)</v>
      </c>
      <c r="AA26" s="7" t="str">
        <f>Preencher!$B$3&amp;U26&amp;V26&amp;A26&amp;$AA$6</f>
        <v>JARINU-FRG956767MQ.TUNEL DE CG (ESTATICO)</v>
      </c>
      <c r="AB26" s="7" t="str">
        <f>Preencher!$B$3&amp;U26&amp;V26&amp;A26&amp;$AB$6</f>
        <v>JARINU-FRG956767MQ.TUNEL DE CG (ESTATICO) (1)</v>
      </c>
      <c r="AC26" s="7" t="str">
        <f>Preencher!$B$3&amp;U26&amp;V26&amp;A26&amp;$AC$6</f>
        <v>JARINU-FRG956767MQ.TUNEL DE CG (ESTATICO) (2)</v>
      </c>
      <c r="AD26" s="327">
        <f>IFERROR(SUMIF('BD Otimix'!A:A,'BD VOLUME'!X26,'BD Otimix'!O:O)+SUMIF('BD Otimix'!A:A,'BD VOLUME'!Y26,'BD Otimix'!O:O)+SUMIF('BD Otimix'!A:A,'BD VOLUME'!Z26,'BD Otimix'!O:O)+SUMIF('BD Otimix'!A:A,'BD VOLUME'!AA26,'BD Otimix'!O:O)+SUMIF('BD Otimix'!A:A,'BD VOLUME'!AB26,'BD Otimix'!O:O)+SUMIF('BD Otimix'!A:A,'BD VOLUME'!AC26,'BD Otimix'!O:O)+SUMIF('BD Otimix'!A:A,'BD VOLUME'!W26,'BD Otimix'!O:O),0)</f>
        <v>0</v>
      </c>
      <c r="AE26" s="327">
        <f t="shared" si="5"/>
        <v>0</v>
      </c>
      <c r="AF26" s="7" t="str">
        <f>Preencher!$B$3&amp;$U$8&amp;$V$8&amp;A26&amp;$AF$6</f>
        <v>JARINU-FRG956767MQ.GIROFREEZER</v>
      </c>
      <c r="AG26" s="7" t="str">
        <f>Preencher!$B$3&amp;$U$8&amp;$V$8&amp;A26&amp;$AG$6</f>
        <v>JARINU-FRG956767MQ.GIROFREEZER (1)</v>
      </c>
      <c r="AH26" s="7" t="str">
        <f>Preencher!$B$3&amp;$U$8&amp;$V$8&amp;A26&amp;$AH$6</f>
        <v>JARINU-FRG956767MQ.GIROFREEZER (2)</v>
      </c>
      <c r="AI26" s="7" t="str">
        <f>Preencher!$B$3&amp;$U$8&amp;$V$8&amp;A26&amp;$AI$6</f>
        <v>JARINU-FRG956767MQ.GIROFREEZER REV04</v>
      </c>
      <c r="AJ26" s="7" t="str">
        <f>Preencher!$B$3&amp;$U$8&amp;$V$8&amp;A26&amp;$AJ$6</f>
        <v>JARINU-FRG956767MQ.GIROFREEZER (3)</v>
      </c>
      <c r="AK26" s="327">
        <f>IFERROR(SUMIF('BD Otimix'!A:A,'BD VOLUME'!AG26,'BD Otimix'!O:O)+SUMIF('BD Otimix'!A:A,'BD VOLUME'!AH26,'BD Otimix'!O:O)+SUMIF('BD Otimix'!A:A,'BD VOLUME'!AI26,'BD Otimix'!O:O)+SUMIF('BD Otimix'!A:A,'BD VOLUME'!AJ26,'BD Otimix'!O:O)+SUMIF('BD Otimix'!A:A,'BD VOLUME'!AF26,'BD Otimix'!O:O),0)</f>
        <v>0</v>
      </c>
      <c r="AL26" s="7">
        <f t="shared" si="6"/>
        <v>0</v>
      </c>
    </row>
    <row r="27" spans="1:39">
      <c r="A27" s="685">
        <v>124462</v>
      </c>
      <c r="B27" s="685" t="s">
        <v>2560</v>
      </c>
      <c r="C27" s="5" t="s">
        <v>2532</v>
      </c>
      <c r="D27" s="5" t="s">
        <v>941</v>
      </c>
      <c r="E27" s="5" t="s">
        <v>1069</v>
      </c>
      <c r="F27" s="132">
        <f>SUMIF('COLAR PLANO'!$A:$A,A27,'COLAR PLANO'!$D:$D)</f>
        <v>0</v>
      </c>
      <c r="G27" s="131">
        <f t="shared" si="0"/>
        <v>0</v>
      </c>
      <c r="H27" s="6">
        <v>4.7000000000000002E-3</v>
      </c>
      <c r="I27" s="7">
        <f t="shared" si="7"/>
        <v>0</v>
      </c>
      <c r="J27" s="130">
        <f t="shared" si="8"/>
        <v>0</v>
      </c>
      <c r="K27" s="685">
        <v>1</v>
      </c>
      <c r="L27" s="685">
        <v>12</v>
      </c>
      <c r="M27" s="685">
        <v>12</v>
      </c>
      <c r="N27" s="7">
        <f t="shared" ref="N27:N43" si="9">IFERROR(G27/K27,"-")</f>
        <v>0</v>
      </c>
      <c r="O27" s="311"/>
      <c r="P27" s="311">
        <f t="shared" ref="P27:P37" si="10">IFERROR(G27/M27,"-")</f>
        <v>0</v>
      </c>
      <c r="Q27" s="7"/>
      <c r="R27" s="7"/>
      <c r="S27" s="7"/>
      <c r="T27" s="7"/>
      <c r="U27" s="7" t="s">
        <v>2288</v>
      </c>
      <c r="V27" s="7" t="s">
        <v>2289</v>
      </c>
      <c r="W27" s="7" t="str">
        <f>Preencher!$B$3&amp;U27&amp;V27&amp;A27&amp;$W$6</f>
        <v>JARINU-FRG124462MQ.TUNEL DE CG (CONTINUO)</v>
      </c>
      <c r="X27" s="7" t="str">
        <f>Preencher!$B$3&amp;U27&amp;V27&amp;A27&amp;$X$6</f>
        <v>JARINU-FRG124462MQ.TUNEL DE CG (CONTINUO) (1)</v>
      </c>
      <c r="Y27" s="7" t="str">
        <f>Preencher!$B$3&amp;U27&amp;V27&amp;A27&amp;$Y$6</f>
        <v>JARINU-FRG124462MQ.TUNEL DE CG (CONTINUO) (2)</v>
      </c>
      <c r="Z27" s="7" t="str">
        <f>Preencher!$B$3&amp;U27&amp;V27&amp;A27&amp;$Z$6</f>
        <v>JARINU-FRG124462MQ.TUNEL DE CG (CONTINUO) (3)</v>
      </c>
      <c r="AA27" s="7" t="str">
        <f>Preencher!$B$3&amp;U27&amp;V27&amp;A27&amp;$AA$6</f>
        <v>JARINU-FRG124462MQ.TUNEL DE CG (ESTATICO)</v>
      </c>
      <c r="AB27" s="7" t="str">
        <f>Preencher!$B$3&amp;U27&amp;V27&amp;A27&amp;$AB$6</f>
        <v>JARINU-FRG124462MQ.TUNEL DE CG (ESTATICO) (1)</v>
      </c>
      <c r="AC27" s="7" t="str">
        <f>Preencher!$B$3&amp;U27&amp;V27&amp;A27&amp;$AC$6</f>
        <v>JARINU-FRG124462MQ.TUNEL DE CG (ESTATICO) (2)</v>
      </c>
      <c r="AD27" s="327">
        <f>IFERROR(SUMIF('BD Otimix'!A:A,'BD VOLUME'!X27,'BD Otimix'!O:O)+SUMIF('BD Otimix'!A:A,'BD VOLUME'!Y27,'BD Otimix'!O:O)+SUMIF('BD Otimix'!A:A,'BD VOLUME'!Z27,'BD Otimix'!O:O)+SUMIF('BD Otimix'!A:A,'BD VOLUME'!AA27,'BD Otimix'!O:O)+SUMIF('BD Otimix'!A:A,'BD VOLUME'!AB27,'BD Otimix'!O:O)+SUMIF('BD Otimix'!A:A,'BD VOLUME'!AC27,'BD Otimix'!O:O)+SUMIF('BD Otimix'!A:A,'BD VOLUME'!W27,'BD Otimix'!O:O),0)</f>
        <v>0</v>
      </c>
      <c r="AE27" s="327">
        <f>IFERROR(F27/$E$3/1000/AD27,0)</f>
        <v>0</v>
      </c>
      <c r="AF27" s="7" t="str">
        <f>Preencher!$B$3&amp;$U$8&amp;$V$8&amp;A27&amp;$AF$6</f>
        <v>JARINU-FRG124462MQ.GIROFREEZER</v>
      </c>
      <c r="AG27" s="7" t="str">
        <f>Preencher!$B$3&amp;$U$8&amp;$V$8&amp;A27&amp;$AG$6</f>
        <v>JARINU-FRG124462MQ.GIROFREEZER (1)</v>
      </c>
      <c r="AH27" s="7" t="str">
        <f>Preencher!$B$3&amp;$U$8&amp;$V$8&amp;A27&amp;$AH$6</f>
        <v>JARINU-FRG124462MQ.GIROFREEZER (2)</v>
      </c>
      <c r="AI27" s="7" t="str">
        <f>Preencher!$B$3&amp;$U$8&amp;$V$8&amp;A27&amp;$AI$6</f>
        <v>JARINU-FRG124462MQ.GIROFREEZER REV04</v>
      </c>
      <c r="AJ27" s="7" t="str">
        <f>Preencher!$B$3&amp;$U$8&amp;$V$8&amp;A27&amp;$AJ$6</f>
        <v>JARINU-FRG124462MQ.GIROFREEZER (3)</v>
      </c>
      <c r="AK27" s="327">
        <f>IFERROR(SUMIF('BD Otimix'!A:A,'BD VOLUME'!AG27,'BD Otimix'!O:O)+SUMIF('BD Otimix'!A:A,'BD VOLUME'!AH27,'BD Otimix'!O:O)+SUMIF('BD Otimix'!A:A,'BD VOLUME'!AI27,'BD Otimix'!O:O)+SUMIF('BD Otimix'!A:A,'BD VOLUME'!AJ27,'BD Otimix'!O:O)+SUMIF('BD Otimix'!A:A,'BD VOLUME'!AF27,'BD Otimix'!O:O),0)</f>
        <v>0</v>
      </c>
      <c r="AL27" s="7">
        <f>IFERROR(F27/$E$3/1000/AK27,0)</f>
        <v>0</v>
      </c>
    </row>
    <row r="28" spans="1:39">
      <c r="A28" s="685">
        <v>124369</v>
      </c>
      <c r="B28" s="685"/>
      <c r="C28" s="5" t="s">
        <v>2531</v>
      </c>
      <c r="D28" s="5" t="s">
        <v>941</v>
      </c>
      <c r="E28" s="5" t="s">
        <v>1069</v>
      </c>
      <c r="F28" s="132">
        <f>SUMIF('COLAR PLANO'!$A:$A,A28,'COLAR PLANO'!$D:$D)</f>
        <v>0</v>
      </c>
      <c r="G28" s="131">
        <f t="shared" si="0"/>
        <v>0</v>
      </c>
      <c r="H28" s="6">
        <v>4.7000000000000002E-3</v>
      </c>
      <c r="I28" s="7">
        <f t="shared" si="7"/>
        <v>0</v>
      </c>
      <c r="J28" s="130">
        <f t="shared" si="8"/>
        <v>0</v>
      </c>
      <c r="K28" s="685">
        <v>1</v>
      </c>
      <c r="L28" s="685">
        <v>12</v>
      </c>
      <c r="M28" s="685">
        <v>12</v>
      </c>
      <c r="N28" s="7">
        <f t="shared" si="9"/>
        <v>0</v>
      </c>
      <c r="O28" s="311"/>
      <c r="P28" s="311">
        <f t="shared" si="10"/>
        <v>0</v>
      </c>
      <c r="Q28" s="7"/>
      <c r="R28" s="7"/>
      <c r="S28" s="7"/>
      <c r="T28" s="7"/>
      <c r="U28" s="7" t="s">
        <v>2288</v>
      </c>
      <c r="V28" s="7" t="s">
        <v>2289</v>
      </c>
      <c r="W28" s="7" t="str">
        <f>Preencher!$B$3&amp;U28&amp;V28&amp;A28&amp;$W$6</f>
        <v>JARINU-FRG124369MQ.TUNEL DE CG (CONTINUO)</v>
      </c>
      <c r="X28" s="7" t="str">
        <f>Preencher!$B$3&amp;U28&amp;V28&amp;A28&amp;$X$6</f>
        <v>JARINU-FRG124369MQ.TUNEL DE CG (CONTINUO) (1)</v>
      </c>
      <c r="Y28" s="7" t="str">
        <f>Preencher!$B$3&amp;U28&amp;V28&amp;A28&amp;$Y$6</f>
        <v>JARINU-FRG124369MQ.TUNEL DE CG (CONTINUO) (2)</v>
      </c>
      <c r="Z28" s="7" t="str">
        <f>Preencher!$B$3&amp;U28&amp;V28&amp;A28&amp;$Z$6</f>
        <v>JARINU-FRG124369MQ.TUNEL DE CG (CONTINUO) (3)</v>
      </c>
      <c r="AA28" s="7" t="str">
        <f>Preencher!$B$3&amp;U28&amp;V28&amp;A28&amp;$AA$6</f>
        <v>JARINU-FRG124369MQ.TUNEL DE CG (ESTATICO)</v>
      </c>
      <c r="AB28" s="7" t="str">
        <f>Preencher!$B$3&amp;U28&amp;V28&amp;A28&amp;$AB$6</f>
        <v>JARINU-FRG124369MQ.TUNEL DE CG (ESTATICO) (1)</v>
      </c>
      <c r="AC28" s="7" t="str">
        <f>Preencher!$B$3&amp;U28&amp;V28&amp;A28&amp;$AC$6</f>
        <v>JARINU-FRG124369MQ.TUNEL DE CG (ESTATICO) (2)</v>
      </c>
      <c r="AD28" s="327">
        <f>IFERROR(SUMIF('BD Otimix'!A:A,'BD VOLUME'!X28,'BD Otimix'!O:O)+SUMIF('BD Otimix'!A:A,'BD VOLUME'!Y28,'BD Otimix'!O:O)+SUMIF('BD Otimix'!A:A,'BD VOLUME'!Z28,'BD Otimix'!O:O)+SUMIF('BD Otimix'!A:A,'BD VOLUME'!AA28,'BD Otimix'!O:O)+SUMIF('BD Otimix'!A:A,'BD VOLUME'!AB28,'BD Otimix'!O:O)+SUMIF('BD Otimix'!A:A,'BD VOLUME'!AC28,'BD Otimix'!O:O)+SUMIF('BD Otimix'!A:A,'BD VOLUME'!W28,'BD Otimix'!O:O),0)</f>
        <v>0</v>
      </c>
      <c r="AE28" s="327">
        <f>IFERROR(F28/$E$3/1000/AD28,0)</f>
        <v>0</v>
      </c>
      <c r="AF28" s="7" t="str">
        <f>Preencher!$B$3&amp;$U$8&amp;$V$8&amp;A28&amp;$AF$6</f>
        <v>JARINU-FRG124369MQ.GIROFREEZER</v>
      </c>
      <c r="AG28" s="7" t="str">
        <f>Preencher!$B$3&amp;$U$8&amp;$V$8&amp;A28&amp;$AG$6</f>
        <v>JARINU-FRG124369MQ.GIROFREEZER (1)</v>
      </c>
      <c r="AH28" s="7" t="str">
        <f>Preencher!$B$3&amp;$U$8&amp;$V$8&amp;A28&amp;$AH$6</f>
        <v>JARINU-FRG124369MQ.GIROFREEZER (2)</v>
      </c>
      <c r="AI28" s="7" t="str">
        <f>Preencher!$B$3&amp;$U$8&amp;$V$8&amp;A28&amp;$AI$6</f>
        <v>JARINU-FRG124369MQ.GIROFREEZER REV04</v>
      </c>
      <c r="AJ28" s="7" t="str">
        <f>Preencher!$B$3&amp;$U$8&amp;$V$8&amp;A28&amp;$AJ$6</f>
        <v>JARINU-FRG124369MQ.GIROFREEZER (3)</v>
      </c>
      <c r="AK28" s="327">
        <f>IFERROR(SUMIF('BD Otimix'!A:A,'BD VOLUME'!AG28,'BD Otimix'!O:O)+SUMIF('BD Otimix'!A:A,'BD VOLUME'!AH28,'BD Otimix'!O:O)+SUMIF('BD Otimix'!A:A,'BD VOLUME'!AI28,'BD Otimix'!O:O)+SUMIF('BD Otimix'!A:A,'BD VOLUME'!AJ28,'BD Otimix'!O:O)+SUMIF('BD Otimix'!A:A,'BD VOLUME'!AF28,'BD Otimix'!O:O),0)</f>
        <v>0</v>
      </c>
      <c r="AL28" s="7">
        <f>IFERROR(F28/$E$3/1000/AK28,0)</f>
        <v>0</v>
      </c>
    </row>
    <row r="29" spans="1:39">
      <c r="A29" s="685">
        <v>124006</v>
      </c>
      <c r="B29" s="685"/>
      <c r="C29" s="5" t="s">
        <v>2530</v>
      </c>
      <c r="D29" s="5" t="s">
        <v>941</v>
      </c>
      <c r="E29" s="5" t="s">
        <v>1069</v>
      </c>
      <c r="F29" s="132">
        <f>SUMIF('COLAR PLANO'!$A:$A,A29,'COLAR PLANO'!$D:$D)</f>
        <v>0</v>
      </c>
      <c r="G29" s="131">
        <f t="shared" si="0"/>
        <v>0</v>
      </c>
      <c r="H29" s="6">
        <v>4.7000000000000002E-3</v>
      </c>
      <c r="I29" s="7">
        <f t="shared" si="7"/>
        <v>0</v>
      </c>
      <c r="J29" s="130">
        <f t="shared" si="8"/>
        <v>0</v>
      </c>
      <c r="K29" s="685">
        <v>1</v>
      </c>
      <c r="L29" s="685">
        <v>12</v>
      </c>
      <c r="M29" s="685">
        <v>12</v>
      </c>
      <c r="N29" s="7">
        <f t="shared" si="9"/>
        <v>0</v>
      </c>
      <c r="O29" s="311"/>
      <c r="P29" s="311">
        <f t="shared" si="10"/>
        <v>0</v>
      </c>
      <c r="Q29" s="7"/>
      <c r="R29" s="7"/>
      <c r="S29" s="7"/>
      <c r="T29" s="7"/>
      <c r="U29" s="7" t="s">
        <v>2288</v>
      </c>
      <c r="V29" s="7" t="s">
        <v>2289</v>
      </c>
      <c r="W29" s="7" t="str">
        <f>Preencher!$B$3&amp;U29&amp;V29&amp;A29&amp;$W$6</f>
        <v>JARINU-FRG124006MQ.TUNEL DE CG (CONTINUO)</v>
      </c>
      <c r="X29" s="7" t="str">
        <f>Preencher!$B$3&amp;U29&amp;V29&amp;A29&amp;$X$6</f>
        <v>JARINU-FRG124006MQ.TUNEL DE CG (CONTINUO) (1)</v>
      </c>
      <c r="Y29" s="7" t="str">
        <f>Preencher!$B$3&amp;U29&amp;V29&amp;A29&amp;$Y$6</f>
        <v>JARINU-FRG124006MQ.TUNEL DE CG (CONTINUO) (2)</v>
      </c>
      <c r="Z29" s="7" t="str">
        <f>Preencher!$B$3&amp;U29&amp;V29&amp;A29&amp;$Z$6</f>
        <v>JARINU-FRG124006MQ.TUNEL DE CG (CONTINUO) (3)</v>
      </c>
      <c r="AA29" s="7" t="str">
        <f>Preencher!$B$3&amp;U29&amp;V29&amp;A29&amp;$AA$6</f>
        <v>JARINU-FRG124006MQ.TUNEL DE CG (ESTATICO)</v>
      </c>
      <c r="AB29" s="7" t="str">
        <f>Preencher!$B$3&amp;U29&amp;V29&amp;A29&amp;$AB$6</f>
        <v>JARINU-FRG124006MQ.TUNEL DE CG (ESTATICO) (1)</v>
      </c>
      <c r="AC29" s="7" t="str">
        <f>Preencher!$B$3&amp;U29&amp;V29&amp;A29&amp;$AC$6</f>
        <v>JARINU-FRG124006MQ.TUNEL DE CG (ESTATICO) (2)</v>
      </c>
      <c r="AD29" s="327">
        <f>IFERROR(SUMIF('BD Otimix'!A:A,'BD VOLUME'!X29,'BD Otimix'!O:O)+SUMIF('BD Otimix'!A:A,'BD VOLUME'!Y29,'BD Otimix'!O:O)+SUMIF('BD Otimix'!A:A,'BD VOLUME'!Z29,'BD Otimix'!O:O)+SUMIF('BD Otimix'!A:A,'BD VOLUME'!AA29,'BD Otimix'!O:O)+SUMIF('BD Otimix'!A:A,'BD VOLUME'!AB29,'BD Otimix'!O:O)+SUMIF('BD Otimix'!A:A,'BD VOLUME'!AC29,'BD Otimix'!O:O)+SUMIF('BD Otimix'!A:A,'BD VOLUME'!W29,'BD Otimix'!O:O),0)</f>
        <v>0</v>
      </c>
      <c r="AE29" s="327">
        <f>IFERROR(F29/$E$3/1000/AD29,0)</f>
        <v>0</v>
      </c>
      <c r="AF29" s="7" t="str">
        <f>Preencher!$B$3&amp;$U$8&amp;$V$8&amp;A29&amp;$AF$6</f>
        <v>JARINU-FRG124006MQ.GIROFREEZER</v>
      </c>
      <c r="AG29" s="7" t="str">
        <f>Preencher!$B$3&amp;$U$8&amp;$V$8&amp;A29&amp;$AG$6</f>
        <v>JARINU-FRG124006MQ.GIROFREEZER (1)</v>
      </c>
      <c r="AH29" s="7" t="str">
        <f>Preencher!$B$3&amp;$U$8&amp;$V$8&amp;A29&amp;$AH$6</f>
        <v>JARINU-FRG124006MQ.GIROFREEZER (2)</v>
      </c>
      <c r="AI29" s="7" t="str">
        <f>Preencher!$B$3&amp;$U$8&amp;$V$8&amp;A29&amp;$AI$6</f>
        <v>JARINU-FRG124006MQ.GIROFREEZER REV04</v>
      </c>
      <c r="AJ29" s="7" t="str">
        <f>Preencher!$B$3&amp;$U$8&amp;$V$8&amp;A29&amp;$AJ$6</f>
        <v>JARINU-FRG124006MQ.GIROFREEZER (3)</v>
      </c>
      <c r="AK29" s="327">
        <f>IFERROR(SUMIF('BD Otimix'!A:A,'BD VOLUME'!AG29,'BD Otimix'!O:O)+SUMIF('BD Otimix'!A:A,'BD VOLUME'!AH29,'BD Otimix'!O:O)+SUMIF('BD Otimix'!A:A,'BD VOLUME'!AI29,'BD Otimix'!O:O)+SUMIF('BD Otimix'!A:A,'BD VOLUME'!AJ29,'BD Otimix'!O:O)+SUMIF('BD Otimix'!A:A,'BD VOLUME'!AF29,'BD Otimix'!O:O),0)</f>
        <v>0</v>
      </c>
      <c r="AL29" s="7">
        <f>IFERROR(F29/$E$3/1000/AK29,0)</f>
        <v>0</v>
      </c>
    </row>
    <row r="30" spans="1:39">
      <c r="A30" s="250"/>
      <c r="B30" s="250"/>
      <c r="C30" s="5"/>
      <c r="D30" s="5" t="s">
        <v>941</v>
      </c>
      <c r="E30" s="5" t="s">
        <v>1912</v>
      </c>
      <c r="F30" s="132">
        <f>SUMIF('COLAR PLANO'!$A:$A,A30,'COLAR PLANO'!$D:$D)</f>
        <v>0</v>
      </c>
      <c r="G30" s="131">
        <f t="shared" si="0"/>
        <v>0</v>
      </c>
      <c r="H30" s="6">
        <v>1.7500000000000002E-2</v>
      </c>
      <c r="I30" s="7">
        <f t="shared" si="7"/>
        <v>0</v>
      </c>
      <c r="J30" s="130">
        <f t="shared" si="8"/>
        <v>0</v>
      </c>
      <c r="K30" s="688">
        <v>0.5</v>
      </c>
      <c r="L30" s="688">
        <v>24</v>
      </c>
      <c r="M30" s="688">
        <v>12</v>
      </c>
      <c r="N30" s="7">
        <f t="shared" si="9"/>
        <v>0</v>
      </c>
      <c r="O30" s="311"/>
      <c r="P30" s="311">
        <f t="shared" si="10"/>
        <v>0</v>
      </c>
      <c r="Q30" s="7"/>
      <c r="R30" s="7"/>
      <c r="S30" s="7"/>
      <c r="T30" s="7"/>
      <c r="U30" s="7" t="s">
        <v>2288</v>
      </c>
      <c r="V30" s="7" t="s">
        <v>2289</v>
      </c>
      <c r="W30" s="7" t="str">
        <f>Preencher!$B$3&amp;U30&amp;V30&amp;A30&amp;$W$6</f>
        <v>JARINU-FRGMQ.TUNEL DE CG (CONTINUO)</v>
      </c>
      <c r="X30" s="7" t="str">
        <f>Preencher!$B$3&amp;U30&amp;V30&amp;A30&amp;$X$6</f>
        <v>JARINU-FRGMQ.TUNEL DE CG (CONTINUO) (1)</v>
      </c>
      <c r="Y30" s="7" t="str">
        <f>Preencher!$B$3&amp;U30&amp;V30&amp;A30&amp;$Y$6</f>
        <v>JARINU-FRGMQ.TUNEL DE CG (CONTINUO) (2)</v>
      </c>
      <c r="Z30" s="7" t="str">
        <f>Preencher!$B$3&amp;U30&amp;V30&amp;A30&amp;$Z$6</f>
        <v>JARINU-FRGMQ.TUNEL DE CG (CONTINUO) (3)</v>
      </c>
      <c r="AA30" s="7" t="str">
        <f>Preencher!$B$3&amp;U30&amp;V30&amp;A30&amp;$AA$6</f>
        <v>JARINU-FRGMQ.TUNEL DE CG (ESTATICO)</v>
      </c>
      <c r="AB30" s="7" t="str">
        <f>Preencher!$B$3&amp;U30&amp;V30&amp;A30&amp;$AB$6</f>
        <v>JARINU-FRGMQ.TUNEL DE CG (ESTATICO) (1)</v>
      </c>
      <c r="AC30" s="7" t="str">
        <f>Preencher!$B$3&amp;U30&amp;V30&amp;A30&amp;$AC$6</f>
        <v>JARINU-FRGMQ.TUNEL DE CG (ESTATICO) (2)</v>
      </c>
      <c r="AD30" s="327">
        <f>IFERROR(SUMIF('BD Otimix'!A:A,'BD VOLUME'!X30,'BD Otimix'!O:O)+SUMIF('BD Otimix'!A:A,'BD VOLUME'!Y30,'BD Otimix'!O:O)+SUMIF('BD Otimix'!A:A,'BD VOLUME'!Z30,'BD Otimix'!O:O)+SUMIF('BD Otimix'!A:A,'BD VOLUME'!AA30,'BD Otimix'!O:O)+SUMIF('BD Otimix'!A:A,'BD VOLUME'!AB30,'BD Otimix'!O:O)+SUMIF('BD Otimix'!A:A,'BD VOLUME'!AC30,'BD Otimix'!O:O)+SUMIF('BD Otimix'!A:A,'BD VOLUME'!W30,'BD Otimix'!O:O),0)</f>
        <v>0</v>
      </c>
      <c r="AE30" s="327">
        <f>IFERROR(F30/$E$3/1000/AD30,0)</f>
        <v>0</v>
      </c>
      <c r="AF30" s="7" t="str">
        <f>Preencher!$B$3&amp;$U$8&amp;$V$8&amp;A30&amp;$AF$6</f>
        <v>JARINU-FRGMQ.GIROFREEZER</v>
      </c>
      <c r="AG30" s="7" t="str">
        <f>Preencher!$B$3&amp;$U$8&amp;$V$8&amp;A30&amp;$AG$6</f>
        <v>JARINU-FRGMQ.GIROFREEZER (1)</v>
      </c>
      <c r="AH30" s="7" t="str">
        <f>Preencher!$B$3&amp;$U$8&amp;$V$8&amp;A30&amp;$AH$6</f>
        <v>JARINU-FRGMQ.GIROFREEZER (2)</v>
      </c>
      <c r="AI30" s="7" t="str">
        <f>Preencher!$B$3&amp;$U$8&amp;$V$8&amp;A30&amp;$AI$6</f>
        <v>JARINU-FRGMQ.GIROFREEZER REV04</v>
      </c>
      <c r="AJ30" s="7" t="str">
        <f>Preencher!$B$3&amp;$U$8&amp;$V$8&amp;A30&amp;$AJ$6</f>
        <v>JARINU-FRGMQ.GIROFREEZER (3)</v>
      </c>
      <c r="AK30" s="327">
        <f>IFERROR(SUMIF('BD Otimix'!A:A,'BD VOLUME'!AG30,'BD Otimix'!O:O)+SUMIF('BD Otimix'!A:A,'BD VOLUME'!AH30,'BD Otimix'!O:O)+SUMIF('BD Otimix'!A:A,'BD VOLUME'!AI30,'BD Otimix'!O:O)+SUMIF('BD Otimix'!A:A,'BD VOLUME'!AJ30,'BD Otimix'!O:O)+SUMIF('BD Otimix'!A:A,'BD VOLUME'!AF30,'BD Otimix'!O:O),0)</f>
        <v>0</v>
      </c>
      <c r="AL30" s="7">
        <f>IFERROR(F30/$E$3/1000/AK30,0)</f>
        <v>0</v>
      </c>
    </row>
    <row r="31" spans="1:39">
      <c r="A31" s="651">
        <v>729876</v>
      </c>
      <c r="B31" s="651" t="s">
        <v>2363</v>
      </c>
      <c r="C31" s="5" t="s">
        <v>2364</v>
      </c>
      <c r="D31" s="5" t="s">
        <v>941</v>
      </c>
      <c r="E31" s="5" t="s">
        <v>1888</v>
      </c>
      <c r="F31" s="132">
        <f>SUMIF('COLAR PLANO'!$A:$A,A31,'COLAR PLANO'!$D:$D)</f>
        <v>0</v>
      </c>
      <c r="G31" s="131">
        <f t="shared" si="0"/>
        <v>0</v>
      </c>
      <c r="H31" s="6">
        <v>1.7500000000000002E-2</v>
      </c>
      <c r="I31" s="7">
        <f t="shared" si="7"/>
        <v>0</v>
      </c>
      <c r="J31" s="130">
        <f t="shared" si="8"/>
        <v>0</v>
      </c>
      <c r="K31" s="688">
        <v>1</v>
      </c>
      <c r="L31" s="688">
        <v>12</v>
      </c>
      <c r="M31" s="688">
        <v>12</v>
      </c>
      <c r="N31" s="7">
        <f t="shared" si="9"/>
        <v>0</v>
      </c>
      <c r="O31" s="311"/>
      <c r="P31" s="311">
        <f t="shared" si="10"/>
        <v>0</v>
      </c>
      <c r="Q31" s="7"/>
      <c r="R31" s="7"/>
      <c r="S31" s="7"/>
      <c r="T31" s="7"/>
      <c r="U31" s="7" t="s">
        <v>2288</v>
      </c>
      <c r="V31" s="7" t="s">
        <v>2289</v>
      </c>
      <c r="W31" s="7" t="str">
        <f>Preencher!$B$3&amp;U31&amp;V31&amp;A31&amp;$W$6</f>
        <v>JARINU-FRG729876MQ.TUNEL DE CG (CONTINUO)</v>
      </c>
      <c r="X31" s="7" t="str">
        <f>Preencher!$B$3&amp;U31&amp;V31&amp;A31&amp;$X$6</f>
        <v>JARINU-FRG729876MQ.TUNEL DE CG (CONTINUO) (1)</v>
      </c>
      <c r="Y31" s="7" t="str">
        <f>Preencher!$B$3&amp;U31&amp;V31&amp;A31&amp;$Y$6</f>
        <v>JARINU-FRG729876MQ.TUNEL DE CG (CONTINUO) (2)</v>
      </c>
      <c r="Z31" s="7" t="str">
        <f>Preencher!$B$3&amp;U31&amp;V31&amp;A31&amp;$Z$6</f>
        <v>JARINU-FRG729876MQ.TUNEL DE CG (CONTINUO) (3)</v>
      </c>
      <c r="AA31" s="7" t="str">
        <f>Preencher!$B$3&amp;U31&amp;V31&amp;A31&amp;$AA$6</f>
        <v>JARINU-FRG729876MQ.TUNEL DE CG (ESTATICO)</v>
      </c>
      <c r="AB31" s="7" t="str">
        <f>Preencher!$B$3&amp;U31&amp;V31&amp;A31&amp;$AB$6</f>
        <v>JARINU-FRG729876MQ.TUNEL DE CG (ESTATICO) (1)</v>
      </c>
      <c r="AC31" s="7" t="str">
        <f>Preencher!$B$3&amp;U31&amp;V31&amp;A31&amp;$AC$6</f>
        <v>JARINU-FRG729876MQ.TUNEL DE CG (ESTATICO) (2)</v>
      </c>
      <c r="AD31" s="327">
        <f>IFERROR(SUMIF('BD Otimix'!A:A,'BD VOLUME'!X31,'BD Otimix'!O:O)+SUMIF('BD Otimix'!A:A,'BD VOLUME'!Y31,'BD Otimix'!O:O)+SUMIF('BD Otimix'!A:A,'BD VOLUME'!Z31,'BD Otimix'!O:O)+SUMIF('BD Otimix'!A:A,'BD VOLUME'!AA31,'BD Otimix'!O:O)+SUMIF('BD Otimix'!A:A,'BD VOLUME'!AB31,'BD Otimix'!O:O)+SUMIF('BD Otimix'!A:A,'BD VOLUME'!AC31,'BD Otimix'!O:O)+SUMIF('BD Otimix'!A:A,'BD VOLUME'!W31,'BD Otimix'!O:O),0)</f>
        <v>0</v>
      </c>
      <c r="AE31" s="327">
        <f t="shared" si="5"/>
        <v>0</v>
      </c>
      <c r="AF31" s="7" t="str">
        <f>Preencher!$B$3&amp;$U$8&amp;$V$8&amp;A31&amp;$AF$6</f>
        <v>JARINU-FRG729876MQ.GIROFREEZER</v>
      </c>
      <c r="AG31" s="7" t="str">
        <f>Preencher!$B$3&amp;$U$8&amp;$V$8&amp;A31&amp;$AG$6</f>
        <v>JARINU-FRG729876MQ.GIROFREEZER (1)</v>
      </c>
      <c r="AH31" s="7" t="str">
        <f>Preencher!$B$3&amp;$U$8&amp;$V$8&amp;A31&amp;$AH$6</f>
        <v>JARINU-FRG729876MQ.GIROFREEZER (2)</v>
      </c>
      <c r="AI31" s="7" t="str">
        <f>Preencher!$B$3&amp;$U$8&amp;$V$8&amp;A31&amp;$AI$6</f>
        <v>JARINU-FRG729876MQ.GIROFREEZER REV04</v>
      </c>
      <c r="AJ31" s="7" t="str">
        <f>Preencher!$B$3&amp;$U$8&amp;$V$8&amp;A31&amp;$AJ$6</f>
        <v>JARINU-FRG729876MQ.GIROFREEZER (3)</v>
      </c>
      <c r="AK31" s="327">
        <f>IFERROR(SUMIF('BD Otimix'!A:A,'BD VOLUME'!AG31,'BD Otimix'!O:O)+SUMIF('BD Otimix'!A:A,'BD VOLUME'!AH31,'BD Otimix'!O:O)+SUMIF('BD Otimix'!A:A,'BD VOLUME'!AI31,'BD Otimix'!O:O)+SUMIF('BD Otimix'!A:A,'BD VOLUME'!AJ31,'BD Otimix'!O:O)+SUMIF('BD Otimix'!A:A,'BD VOLUME'!AF31,'BD Otimix'!O:O),0)</f>
        <v>0</v>
      </c>
      <c r="AL31" s="7">
        <f t="shared" si="6"/>
        <v>0</v>
      </c>
    </row>
    <row r="32" spans="1:39">
      <c r="A32" s="250">
        <v>209669</v>
      </c>
      <c r="B32" s="250">
        <v>209669</v>
      </c>
      <c r="C32" s="5" t="s">
        <v>3189</v>
      </c>
      <c r="D32" s="5" t="s">
        <v>941</v>
      </c>
      <c r="E32" s="5" t="s">
        <v>2148</v>
      </c>
      <c r="F32" s="132">
        <f>SUMIF('COLAR PLANO'!$A:$A,A32,'COLAR PLANO'!$D:$D)</f>
        <v>42336</v>
      </c>
      <c r="G32" s="131">
        <f t="shared" si="0"/>
        <v>200.97792546878711</v>
      </c>
      <c r="H32" s="6">
        <v>1.7500000000000002E-2</v>
      </c>
      <c r="I32" s="7">
        <f t="shared" si="7"/>
        <v>3828.1509613102298</v>
      </c>
      <c r="J32" s="130">
        <f t="shared" si="8"/>
        <v>0.81454545454545435</v>
      </c>
      <c r="K32" s="250">
        <v>1</v>
      </c>
      <c r="L32" s="250">
        <v>16</v>
      </c>
      <c r="M32" s="250">
        <v>16</v>
      </c>
      <c r="N32" s="7">
        <f t="shared" si="9"/>
        <v>200.97792546878711</v>
      </c>
      <c r="O32" s="311"/>
      <c r="P32" s="311">
        <f t="shared" si="10"/>
        <v>12.561120341799194</v>
      </c>
      <c r="Q32" s="7"/>
      <c r="R32" s="7"/>
      <c r="S32" s="7"/>
      <c r="T32" s="7"/>
      <c r="U32" s="7" t="s">
        <v>2288</v>
      </c>
      <c r="V32" s="7" t="s">
        <v>2289</v>
      </c>
      <c r="W32" s="7" t="str">
        <f>Preencher!$B$3&amp;U32&amp;V32&amp;A32&amp;$W$6</f>
        <v>JARINU-FRG209669MQ.TUNEL DE CG (CONTINUO)</v>
      </c>
      <c r="X32" s="7" t="str">
        <f>Preencher!$B$3&amp;U32&amp;V32&amp;A32&amp;$X$6</f>
        <v>JARINU-FRG209669MQ.TUNEL DE CG (CONTINUO) (1)</v>
      </c>
      <c r="Y32" s="7" t="str">
        <f>Preencher!$B$3&amp;U32&amp;V32&amp;A32&amp;$Y$6</f>
        <v>JARINU-FRG209669MQ.TUNEL DE CG (CONTINUO) (2)</v>
      </c>
      <c r="Z32" s="7" t="str">
        <f>Preencher!$B$3&amp;U32&amp;V32&amp;A32&amp;$Z$6</f>
        <v>JARINU-FRG209669MQ.TUNEL DE CG (CONTINUO) (3)</v>
      </c>
      <c r="AA32" s="7" t="str">
        <f>Preencher!$B$3&amp;U32&amp;V32&amp;A32&amp;$AA$6</f>
        <v>JARINU-FRG209669MQ.TUNEL DE CG (ESTATICO)</v>
      </c>
      <c r="AB32" s="7" t="str">
        <f>Preencher!$B$3&amp;U32&amp;V32&amp;A32&amp;$AB$6</f>
        <v>JARINU-FRG209669MQ.TUNEL DE CG (ESTATICO) (1)</v>
      </c>
      <c r="AC32" s="7" t="str">
        <f>Preencher!$B$3&amp;U32&amp;V32&amp;A32&amp;$AC$6</f>
        <v>JARINU-FRG209669MQ.TUNEL DE CG (ESTATICO) (2)</v>
      </c>
      <c r="AD32" s="327">
        <f>IFERROR(SUMIF('BD Otimix'!A:A,'BD VOLUME'!X32,'BD Otimix'!O:O)+SUMIF('BD Otimix'!A:A,'BD VOLUME'!Y32,'BD Otimix'!O:O)+SUMIF('BD Otimix'!A:A,'BD VOLUME'!Z32,'BD Otimix'!O:O)+SUMIF('BD Otimix'!A:A,'BD VOLUME'!AA32,'BD Otimix'!O:O)+SUMIF('BD Otimix'!A:A,'BD VOLUME'!AB32,'BD Otimix'!O:O)+SUMIF('BD Otimix'!A:A,'BD VOLUME'!AC32,'BD Otimix'!O:O)+SUMIF('BD Otimix'!A:A,'BD VOLUME'!W32,'BD Otimix'!O:O),0)</f>
        <v>0</v>
      </c>
      <c r="AE32" s="327">
        <f t="shared" si="5"/>
        <v>0</v>
      </c>
      <c r="AF32" s="7" t="str">
        <f>Preencher!$B$3&amp;$U$8&amp;$V$8&amp;A32&amp;$AF$6</f>
        <v>JARINU-FRG209669MQ.GIROFREEZER</v>
      </c>
      <c r="AG32" s="7" t="str">
        <f>Preencher!$B$3&amp;$U$8&amp;$V$8&amp;A32&amp;$AG$6</f>
        <v>JARINU-FRG209669MQ.GIROFREEZER (1)</v>
      </c>
      <c r="AH32" s="7" t="str">
        <f>Preencher!$B$3&amp;$U$8&amp;$V$8&amp;A32&amp;$AH$6</f>
        <v>JARINU-FRG209669MQ.GIROFREEZER (2)</v>
      </c>
      <c r="AI32" s="7" t="str">
        <f>Preencher!$B$3&amp;$U$8&amp;$V$8&amp;A32&amp;$AI$6</f>
        <v>JARINU-FRG209669MQ.GIROFREEZER REV04</v>
      </c>
      <c r="AJ32" s="7" t="str">
        <f>Preencher!$B$3&amp;$U$8&amp;$V$8&amp;A32&amp;$AJ$6</f>
        <v>JARINU-FRG209669MQ.GIROFREEZER (3)</v>
      </c>
      <c r="AK32" s="327">
        <f>IFERROR(SUMIF('BD Otimix'!A:A,'BD VOLUME'!AG32,'BD Otimix'!O:O)+SUMIF('BD Otimix'!A:A,'BD VOLUME'!AH32,'BD Otimix'!O:O)+SUMIF('BD Otimix'!A:A,'BD VOLUME'!AI32,'BD Otimix'!O:O)+SUMIF('BD Otimix'!A:A,'BD VOLUME'!AJ32,'BD Otimix'!O:O)+SUMIF('BD Otimix'!A:A,'BD VOLUME'!AF32,'BD Otimix'!O:O),0)</f>
        <v>0</v>
      </c>
      <c r="AL32" s="7">
        <f t="shared" si="6"/>
        <v>0</v>
      </c>
    </row>
    <row r="33" spans="1:38">
      <c r="A33" s="685">
        <v>124695</v>
      </c>
      <c r="B33" s="685" t="s">
        <v>2537</v>
      </c>
      <c r="C33" s="5" t="s">
        <v>2538</v>
      </c>
      <c r="D33" s="5" t="s">
        <v>941</v>
      </c>
      <c r="E33" s="188" t="s">
        <v>1912</v>
      </c>
      <c r="F33" s="132">
        <f>SUMIF('COLAR PLANO'!$A:$A,A33,'COLAR PLANO'!$D:$D)</f>
        <v>0</v>
      </c>
      <c r="G33" s="131">
        <f t="shared" si="0"/>
        <v>0</v>
      </c>
      <c r="H33" s="6">
        <v>1.7500000000000002E-2</v>
      </c>
      <c r="I33" s="7">
        <f t="shared" si="7"/>
        <v>0</v>
      </c>
      <c r="J33" s="130">
        <f t="shared" si="8"/>
        <v>0</v>
      </c>
      <c r="K33" s="688">
        <v>0.5</v>
      </c>
      <c r="L33" s="688">
        <v>24</v>
      </c>
      <c r="M33" s="688">
        <v>12</v>
      </c>
      <c r="N33" s="7">
        <f t="shared" si="9"/>
        <v>0</v>
      </c>
      <c r="O33" s="311"/>
      <c r="P33" s="311">
        <f t="shared" si="10"/>
        <v>0</v>
      </c>
      <c r="Q33" s="7"/>
      <c r="R33" s="7"/>
      <c r="S33" s="7"/>
      <c r="T33" s="7"/>
      <c r="U33" s="7" t="s">
        <v>2288</v>
      </c>
      <c r="V33" s="7" t="s">
        <v>2289</v>
      </c>
      <c r="W33" s="7" t="str">
        <f>Preencher!$B$3&amp;U33&amp;V33&amp;A33&amp;$W$6</f>
        <v>JARINU-FRG124695MQ.TUNEL DE CG (CONTINUO)</v>
      </c>
      <c r="X33" s="7" t="str">
        <f>Preencher!$B$3&amp;U33&amp;V33&amp;A33&amp;$X$6</f>
        <v>JARINU-FRG124695MQ.TUNEL DE CG (CONTINUO) (1)</v>
      </c>
      <c r="Y33" s="7" t="str">
        <f>Preencher!$B$3&amp;U33&amp;V33&amp;A33&amp;$Y$6</f>
        <v>JARINU-FRG124695MQ.TUNEL DE CG (CONTINUO) (2)</v>
      </c>
      <c r="Z33" s="7" t="str">
        <f>Preencher!$B$3&amp;U33&amp;V33&amp;A33&amp;$Z$6</f>
        <v>JARINU-FRG124695MQ.TUNEL DE CG (CONTINUO) (3)</v>
      </c>
      <c r="AA33" s="7" t="str">
        <f>Preencher!$B$3&amp;U33&amp;V33&amp;A33&amp;$AA$6</f>
        <v>JARINU-FRG124695MQ.TUNEL DE CG (ESTATICO)</v>
      </c>
      <c r="AB33" s="7" t="str">
        <f>Preencher!$B$3&amp;U33&amp;V33&amp;A33&amp;$AB$6</f>
        <v>JARINU-FRG124695MQ.TUNEL DE CG (ESTATICO) (1)</v>
      </c>
      <c r="AC33" s="7" t="str">
        <f>Preencher!$B$3&amp;U33&amp;V33&amp;A33&amp;$AC$6</f>
        <v>JARINU-FRG124695MQ.TUNEL DE CG (ESTATICO) (2)</v>
      </c>
      <c r="AD33" s="327">
        <f>IFERROR(SUMIF('BD Otimix'!A:A,'BD VOLUME'!X33,'BD Otimix'!O:O)+SUMIF('BD Otimix'!A:A,'BD VOLUME'!Y33,'BD Otimix'!O:O)+SUMIF('BD Otimix'!A:A,'BD VOLUME'!Z33,'BD Otimix'!O:O)+SUMIF('BD Otimix'!A:A,'BD VOLUME'!AA33,'BD Otimix'!O:O)+SUMIF('BD Otimix'!A:A,'BD VOLUME'!AB33,'BD Otimix'!O:O)+SUMIF('BD Otimix'!A:A,'BD VOLUME'!AC33,'BD Otimix'!O:O)+SUMIF('BD Otimix'!A:A,'BD VOLUME'!W33,'BD Otimix'!O:O),0)</f>
        <v>0</v>
      </c>
      <c r="AE33" s="327">
        <f t="shared" si="5"/>
        <v>0</v>
      </c>
      <c r="AF33" s="7" t="str">
        <f>Preencher!$B$3&amp;$U$8&amp;$V$8&amp;A33&amp;$AF$6</f>
        <v>JARINU-FRG124695MQ.GIROFREEZER</v>
      </c>
      <c r="AG33" s="7" t="str">
        <f>Preencher!$B$3&amp;$U$8&amp;$V$8&amp;A33&amp;$AG$6</f>
        <v>JARINU-FRG124695MQ.GIROFREEZER (1)</v>
      </c>
      <c r="AH33" s="7" t="str">
        <f>Preencher!$B$3&amp;$U$8&amp;$V$8&amp;A33&amp;$AH$6</f>
        <v>JARINU-FRG124695MQ.GIROFREEZER (2)</v>
      </c>
      <c r="AI33" s="7" t="str">
        <f>Preencher!$B$3&amp;$U$8&amp;$V$8&amp;A33&amp;$AI$6</f>
        <v>JARINU-FRG124695MQ.GIROFREEZER REV04</v>
      </c>
      <c r="AJ33" s="7" t="str">
        <f>Preencher!$B$3&amp;$U$8&amp;$V$8&amp;A33&amp;$AJ$6</f>
        <v>JARINU-FRG124695MQ.GIROFREEZER (3)</v>
      </c>
      <c r="AK33" s="327">
        <f>IFERROR(SUMIF('BD Otimix'!A:A,'BD VOLUME'!AG33,'BD Otimix'!O:O)+SUMIF('BD Otimix'!A:A,'BD VOLUME'!AH33,'BD Otimix'!O:O)+SUMIF('BD Otimix'!A:A,'BD VOLUME'!AI33,'BD Otimix'!O:O)+SUMIF('BD Otimix'!A:A,'BD VOLUME'!AJ33,'BD Otimix'!O:O)+SUMIF('BD Otimix'!A:A,'BD VOLUME'!AF33,'BD Otimix'!O:O),0)</f>
        <v>0</v>
      </c>
      <c r="AL33" s="7">
        <f t="shared" si="6"/>
        <v>0</v>
      </c>
    </row>
    <row r="34" spans="1:38">
      <c r="A34" s="685">
        <v>236789</v>
      </c>
      <c r="B34" s="685"/>
      <c r="C34" s="5" t="s">
        <v>3074</v>
      </c>
      <c r="D34" s="5" t="s">
        <v>941</v>
      </c>
      <c r="E34" s="5" t="s">
        <v>2147</v>
      </c>
      <c r="F34" s="132">
        <f>SUMIF('COLAR PLANO'!$A:$A,A34,'COLAR PLANO'!$D:$D)</f>
        <v>0</v>
      </c>
      <c r="G34" s="131">
        <f t="shared" si="0"/>
        <v>0</v>
      </c>
      <c r="H34" s="6">
        <v>1.7500000000000002E-2</v>
      </c>
      <c r="I34" s="7">
        <f t="shared" si="7"/>
        <v>0</v>
      </c>
      <c r="J34" s="130">
        <f t="shared" si="8"/>
        <v>0</v>
      </c>
      <c r="K34" s="688">
        <v>1</v>
      </c>
      <c r="L34" s="688">
        <v>12</v>
      </c>
      <c r="M34" s="688">
        <v>12</v>
      </c>
      <c r="N34" s="7">
        <f t="shared" si="9"/>
        <v>0</v>
      </c>
      <c r="O34" s="311"/>
      <c r="P34" s="311">
        <f t="shared" si="10"/>
        <v>0</v>
      </c>
      <c r="Q34" s="7"/>
      <c r="R34" s="7"/>
      <c r="S34" s="7"/>
      <c r="T34" s="7"/>
      <c r="U34" s="7" t="s">
        <v>2288</v>
      </c>
      <c r="V34" s="7" t="s">
        <v>2289</v>
      </c>
      <c r="W34" s="7" t="str">
        <f>Preencher!$B$3&amp;U34&amp;V34&amp;A34&amp;$W$6</f>
        <v>JARINU-FRG236789MQ.TUNEL DE CG (CONTINUO)</v>
      </c>
      <c r="X34" s="7" t="str">
        <f>Preencher!$B$3&amp;U34&amp;V34&amp;A34&amp;$X$6</f>
        <v>JARINU-FRG236789MQ.TUNEL DE CG (CONTINUO) (1)</v>
      </c>
      <c r="Y34" s="7" t="str">
        <f>Preencher!$B$3&amp;U34&amp;V34&amp;A34&amp;$Y$6</f>
        <v>JARINU-FRG236789MQ.TUNEL DE CG (CONTINUO) (2)</v>
      </c>
      <c r="Z34" s="7" t="str">
        <f>Preencher!$B$3&amp;U34&amp;V34&amp;A34&amp;$Z$6</f>
        <v>JARINU-FRG236789MQ.TUNEL DE CG (CONTINUO) (3)</v>
      </c>
      <c r="AA34" s="7" t="str">
        <f>Preencher!$B$3&amp;U34&amp;V34&amp;A34&amp;$AA$6</f>
        <v>JARINU-FRG236789MQ.TUNEL DE CG (ESTATICO)</v>
      </c>
      <c r="AB34" s="7" t="str">
        <f>Preencher!$B$3&amp;U34&amp;V34&amp;A34&amp;$AB$6</f>
        <v>JARINU-FRG236789MQ.TUNEL DE CG (ESTATICO) (1)</v>
      </c>
      <c r="AC34" s="7" t="str">
        <f>Preencher!$B$3&amp;U34&amp;V34&amp;A34&amp;$AC$6</f>
        <v>JARINU-FRG236789MQ.TUNEL DE CG (ESTATICO) (2)</v>
      </c>
      <c r="AD34" s="327">
        <f>IFERROR(SUMIF('BD Otimix'!A:A,'BD VOLUME'!X34,'BD Otimix'!O:O)+SUMIF('BD Otimix'!A:A,'BD VOLUME'!Y34,'BD Otimix'!O:O)+SUMIF('BD Otimix'!A:A,'BD VOLUME'!Z34,'BD Otimix'!O:O)+SUMIF('BD Otimix'!A:A,'BD VOLUME'!AA34,'BD Otimix'!O:O)+SUMIF('BD Otimix'!A:A,'BD VOLUME'!AB34,'BD Otimix'!O:O)+SUMIF('BD Otimix'!A:A,'BD VOLUME'!AC34,'BD Otimix'!O:O)+SUMIF('BD Otimix'!A:A,'BD VOLUME'!W34,'BD Otimix'!O:O),0)</f>
        <v>0</v>
      </c>
      <c r="AE34" s="327">
        <f>IFERROR(F34/$E$3/1000/AD34,0)</f>
        <v>0</v>
      </c>
      <c r="AF34" s="7" t="str">
        <f>Preencher!$B$3&amp;$U$8&amp;$V$8&amp;A34&amp;$AF$6</f>
        <v>JARINU-FRG236789MQ.GIROFREEZER</v>
      </c>
      <c r="AG34" s="7" t="str">
        <f>Preencher!$B$3&amp;$U$8&amp;$V$8&amp;A34&amp;$AG$6</f>
        <v>JARINU-FRG236789MQ.GIROFREEZER (1)</v>
      </c>
      <c r="AH34" s="7" t="str">
        <f>Preencher!$B$3&amp;$U$8&amp;$V$8&amp;A34&amp;$AH$6</f>
        <v>JARINU-FRG236789MQ.GIROFREEZER (2)</v>
      </c>
      <c r="AI34" s="7" t="str">
        <f>Preencher!$B$3&amp;$U$8&amp;$V$8&amp;A34&amp;$AI$6</f>
        <v>JARINU-FRG236789MQ.GIROFREEZER REV04</v>
      </c>
      <c r="AJ34" s="7" t="str">
        <f>Preencher!$B$3&amp;$U$8&amp;$V$8&amp;A34&amp;$AJ$6</f>
        <v>JARINU-FRG236789MQ.GIROFREEZER (3)</v>
      </c>
      <c r="AK34" s="327">
        <f>IFERROR(SUMIF('BD Otimix'!A:A,'BD VOLUME'!AG34,'BD Otimix'!O:O)+SUMIF('BD Otimix'!A:A,'BD VOLUME'!AH34,'BD Otimix'!O:O)+SUMIF('BD Otimix'!A:A,'BD VOLUME'!AI34,'BD Otimix'!O:O)+SUMIF('BD Otimix'!A:A,'BD VOLUME'!AJ34,'BD Otimix'!O:O)+SUMIF('BD Otimix'!A:A,'BD VOLUME'!AF34,'BD Otimix'!O:O),0)</f>
        <v>0</v>
      </c>
      <c r="AL34" s="7">
        <f>IFERROR(F34/$E$3/1000/AK34,0)</f>
        <v>0</v>
      </c>
    </row>
    <row r="35" spans="1:38">
      <c r="A35" s="250">
        <v>227929</v>
      </c>
      <c r="B35" s="250"/>
      <c r="C35" s="5" t="s">
        <v>3102</v>
      </c>
      <c r="D35" s="5" t="s">
        <v>941</v>
      </c>
      <c r="E35" s="5" t="s">
        <v>2147</v>
      </c>
      <c r="F35" s="132">
        <f>SUMIF('COLAR PLANO'!$A:$A,A35,'COLAR PLANO'!$D:$D)</f>
        <v>0</v>
      </c>
      <c r="G35" s="131">
        <f t="shared" si="0"/>
        <v>0</v>
      </c>
      <c r="H35" s="6">
        <v>1.7500000000000002E-2</v>
      </c>
      <c r="I35" s="7">
        <f t="shared" si="7"/>
        <v>0</v>
      </c>
      <c r="J35" s="130">
        <f t="shared" si="8"/>
        <v>0</v>
      </c>
      <c r="K35" s="781">
        <v>1</v>
      </c>
      <c r="L35" s="781">
        <v>12</v>
      </c>
      <c r="M35" s="781">
        <v>12</v>
      </c>
      <c r="N35" s="7">
        <f t="shared" si="9"/>
        <v>0</v>
      </c>
      <c r="O35" s="311"/>
      <c r="P35" s="311">
        <f t="shared" si="10"/>
        <v>0</v>
      </c>
      <c r="Q35" s="7"/>
      <c r="R35" s="7"/>
      <c r="S35" s="7"/>
      <c r="T35" s="7"/>
      <c r="U35" s="7" t="s">
        <v>2288</v>
      </c>
      <c r="V35" s="7" t="s">
        <v>2289</v>
      </c>
      <c r="W35" s="7" t="str">
        <f>Preencher!$B$3&amp;U35&amp;V35&amp;A35&amp;$W$6</f>
        <v>JARINU-FRG227929MQ.TUNEL DE CG (CONTINUO)</v>
      </c>
      <c r="X35" s="7" t="str">
        <f>Preencher!$B$3&amp;U35&amp;V35&amp;A35&amp;$X$6</f>
        <v>JARINU-FRG227929MQ.TUNEL DE CG (CONTINUO) (1)</v>
      </c>
      <c r="Y35" s="7" t="str">
        <f>Preencher!$B$3&amp;U35&amp;V35&amp;A35&amp;$Y$6</f>
        <v>JARINU-FRG227929MQ.TUNEL DE CG (CONTINUO) (2)</v>
      </c>
      <c r="Z35" s="7" t="str">
        <f>Preencher!$B$3&amp;U35&amp;V35&amp;A35&amp;$Z$6</f>
        <v>JARINU-FRG227929MQ.TUNEL DE CG (CONTINUO) (3)</v>
      </c>
      <c r="AA35" s="7" t="str">
        <f>Preencher!$B$3&amp;U35&amp;V35&amp;A35&amp;$AA$6</f>
        <v>JARINU-FRG227929MQ.TUNEL DE CG (ESTATICO)</v>
      </c>
      <c r="AB35" s="7" t="str">
        <f>Preencher!$B$3&amp;U35&amp;V35&amp;A35&amp;$AB$6</f>
        <v>JARINU-FRG227929MQ.TUNEL DE CG (ESTATICO) (1)</v>
      </c>
      <c r="AC35" s="7" t="str">
        <f>Preencher!$B$3&amp;U35&amp;V35&amp;A35&amp;$AC$6</f>
        <v>JARINU-FRG227929MQ.TUNEL DE CG (ESTATICO) (2)</v>
      </c>
      <c r="AD35" s="327">
        <f>IFERROR(SUMIF('BD Otimix'!A:A,'BD VOLUME'!X35,'BD Otimix'!O:O)+SUMIF('BD Otimix'!A:A,'BD VOLUME'!Y35,'BD Otimix'!O:O)+SUMIF('BD Otimix'!A:A,'BD VOLUME'!Z35,'BD Otimix'!O:O)+SUMIF('BD Otimix'!A:A,'BD VOLUME'!AA35,'BD Otimix'!O:O)+SUMIF('BD Otimix'!A:A,'BD VOLUME'!AB35,'BD Otimix'!O:O)+SUMIF('BD Otimix'!A:A,'BD VOLUME'!AC35,'BD Otimix'!O:O)+SUMIF('BD Otimix'!A:A,'BD VOLUME'!W35,'BD Otimix'!O:O),0)</f>
        <v>0</v>
      </c>
      <c r="AE35" s="327">
        <f>IFERROR(F35/$E$3/1000/AD35,0)</f>
        <v>0</v>
      </c>
      <c r="AF35" s="7" t="str">
        <f>Preencher!$B$3&amp;$U$8&amp;$V$8&amp;A35&amp;$AF$6</f>
        <v>JARINU-FRG227929MQ.GIROFREEZER</v>
      </c>
      <c r="AG35" s="7" t="str">
        <f>Preencher!$B$3&amp;$U$8&amp;$V$8&amp;A35&amp;$AG$6</f>
        <v>JARINU-FRG227929MQ.GIROFREEZER (1)</v>
      </c>
      <c r="AH35" s="7" t="str">
        <f>Preencher!$B$3&amp;$U$8&amp;$V$8&amp;A35&amp;$AH$6</f>
        <v>JARINU-FRG227929MQ.GIROFREEZER (2)</v>
      </c>
      <c r="AI35" s="7" t="str">
        <f>Preencher!$B$3&amp;$U$8&amp;$V$8&amp;A35&amp;$AI$6</f>
        <v>JARINU-FRG227929MQ.GIROFREEZER REV04</v>
      </c>
      <c r="AJ35" s="7" t="str">
        <f>Preencher!$B$3&amp;$U$8&amp;$V$8&amp;A35&amp;$AJ$6</f>
        <v>JARINU-FRG227929MQ.GIROFREEZER (3)</v>
      </c>
      <c r="AK35" s="327">
        <f>IFERROR(SUMIF('BD Otimix'!A:A,'BD VOLUME'!AG35,'BD Otimix'!O:O)+SUMIF('BD Otimix'!A:A,'BD VOLUME'!AH35,'BD Otimix'!O:O)+SUMIF('BD Otimix'!A:A,'BD VOLUME'!AI35,'BD Otimix'!O:O)+SUMIF('BD Otimix'!A:A,'BD VOLUME'!AJ35,'BD Otimix'!O:O)+SUMIF('BD Otimix'!A:A,'BD VOLUME'!AF35,'BD Otimix'!O:O),0)</f>
        <v>0</v>
      </c>
      <c r="AL35" s="7">
        <f>IFERROR(F35/$E$3/1000/AK35,0)</f>
        <v>0</v>
      </c>
    </row>
    <row r="36" spans="1:38">
      <c r="A36" s="789">
        <v>241669</v>
      </c>
      <c r="B36" s="789"/>
      <c r="C36" s="5" t="s">
        <v>3102</v>
      </c>
      <c r="D36" s="5" t="s">
        <v>941</v>
      </c>
      <c r="E36" s="5" t="s">
        <v>2147</v>
      </c>
      <c r="F36" s="132">
        <f>SUMIF('COLAR PLANO'!$A:$A,A36,'COLAR PLANO'!$D:$D)</f>
        <v>0</v>
      </c>
      <c r="G36" s="131">
        <f>IFERROR(F36/($E$3*$C$3),0)</f>
        <v>0</v>
      </c>
      <c r="H36" s="6">
        <v>1.7500000000000002E-2</v>
      </c>
      <c r="I36" s="7">
        <f>IFERROR(G36/$D$7/H36,0)</f>
        <v>0</v>
      </c>
      <c r="J36" s="130">
        <f>IFERROR(I36/$B$7,0)</f>
        <v>0</v>
      </c>
      <c r="K36" s="789">
        <v>1</v>
      </c>
      <c r="L36" s="789">
        <v>12</v>
      </c>
      <c r="M36" s="789">
        <v>12</v>
      </c>
      <c r="N36" s="7">
        <f>IFERROR(G36/K36,"-")</f>
        <v>0</v>
      </c>
      <c r="O36" s="311"/>
      <c r="P36" s="311">
        <f>IFERROR(G36/M36,"-")</f>
        <v>0</v>
      </c>
      <c r="Q36" s="7"/>
      <c r="R36" s="7"/>
      <c r="S36" s="7"/>
      <c r="T36" s="7"/>
      <c r="U36" s="7" t="s">
        <v>2288</v>
      </c>
      <c r="V36" s="7" t="s">
        <v>2289</v>
      </c>
      <c r="W36" s="7" t="str">
        <f>Preencher!$B$3&amp;U36&amp;V36&amp;A36&amp;$W$6</f>
        <v>JARINU-FRG241669MQ.TUNEL DE CG (CONTINUO)</v>
      </c>
      <c r="X36" s="7" t="str">
        <f>Preencher!$B$3&amp;U36&amp;V36&amp;A36&amp;$X$6</f>
        <v>JARINU-FRG241669MQ.TUNEL DE CG (CONTINUO) (1)</v>
      </c>
      <c r="Y36" s="7" t="str">
        <f>Preencher!$B$3&amp;U36&amp;V36&amp;A36&amp;$Y$6</f>
        <v>JARINU-FRG241669MQ.TUNEL DE CG (CONTINUO) (2)</v>
      </c>
      <c r="Z36" s="7" t="str">
        <f>Preencher!$B$3&amp;U36&amp;V36&amp;A36&amp;$Z$6</f>
        <v>JARINU-FRG241669MQ.TUNEL DE CG (CONTINUO) (3)</v>
      </c>
      <c r="AA36" s="7" t="str">
        <f>Preencher!$B$3&amp;U36&amp;V36&amp;A36&amp;$AA$6</f>
        <v>JARINU-FRG241669MQ.TUNEL DE CG (ESTATICO)</v>
      </c>
      <c r="AB36" s="7" t="str">
        <f>Preencher!$B$3&amp;U36&amp;V36&amp;A36&amp;$AB$6</f>
        <v>JARINU-FRG241669MQ.TUNEL DE CG (ESTATICO) (1)</v>
      </c>
      <c r="AC36" s="7" t="str">
        <f>Preencher!$B$3&amp;U36&amp;V36&amp;A36&amp;$AC$6</f>
        <v>JARINU-FRG241669MQ.TUNEL DE CG (ESTATICO) (2)</v>
      </c>
      <c r="AD36" s="327">
        <f>IFERROR(SUMIF('BD Otimix'!A:A,'BD VOLUME'!X36,'BD Otimix'!O:O)+SUMIF('BD Otimix'!A:A,'BD VOLUME'!Y36,'BD Otimix'!O:O)+SUMIF('BD Otimix'!A:A,'BD VOLUME'!Z36,'BD Otimix'!O:O)+SUMIF('BD Otimix'!A:A,'BD VOLUME'!AA36,'BD Otimix'!O:O)+SUMIF('BD Otimix'!A:A,'BD VOLUME'!AB36,'BD Otimix'!O:O)+SUMIF('BD Otimix'!A:A,'BD VOLUME'!AC36,'BD Otimix'!O:O)+SUMIF('BD Otimix'!A:A,'BD VOLUME'!W36,'BD Otimix'!O:O),0)</f>
        <v>0</v>
      </c>
      <c r="AE36" s="327">
        <f>IFERROR(F36/$E$3/1000/AD36,0)</f>
        <v>0</v>
      </c>
      <c r="AF36" s="7" t="str">
        <f>Preencher!$B$3&amp;$U$8&amp;$V$8&amp;A36&amp;$AF$6</f>
        <v>JARINU-FRG241669MQ.GIROFREEZER</v>
      </c>
      <c r="AG36" s="7" t="str">
        <f>Preencher!$B$3&amp;$U$8&amp;$V$8&amp;A36&amp;$AG$6</f>
        <v>JARINU-FRG241669MQ.GIROFREEZER (1)</v>
      </c>
      <c r="AH36" s="7" t="str">
        <f>Preencher!$B$3&amp;$U$8&amp;$V$8&amp;A36&amp;$AH$6</f>
        <v>JARINU-FRG241669MQ.GIROFREEZER (2)</v>
      </c>
      <c r="AI36" s="7" t="str">
        <f>Preencher!$B$3&amp;$U$8&amp;$V$8&amp;A36&amp;$AI$6</f>
        <v>JARINU-FRG241669MQ.GIROFREEZER REV04</v>
      </c>
      <c r="AJ36" s="7" t="str">
        <f>Preencher!$B$3&amp;$U$8&amp;$V$8&amp;A36&amp;$AJ$6</f>
        <v>JARINU-FRG241669MQ.GIROFREEZER (3)</v>
      </c>
      <c r="AK36" s="327">
        <f>IFERROR(SUMIF('BD Otimix'!A:A,'BD VOLUME'!AG36,'BD Otimix'!O:O)+SUMIF('BD Otimix'!A:A,'BD VOLUME'!AH36,'BD Otimix'!O:O)+SUMIF('BD Otimix'!A:A,'BD VOLUME'!AI36,'BD Otimix'!O:O)+SUMIF('BD Otimix'!A:A,'BD VOLUME'!AJ36,'BD Otimix'!O:O)+SUMIF('BD Otimix'!A:A,'BD VOLUME'!AF36,'BD Otimix'!O:O),0)</f>
        <v>0</v>
      </c>
      <c r="AL36" s="7">
        <f>IFERROR(F36/$E$3/1000/AK36,0)</f>
        <v>0</v>
      </c>
    </row>
    <row r="37" spans="1:38">
      <c r="A37" s="651">
        <v>999543</v>
      </c>
      <c r="B37" s="651"/>
      <c r="C37" s="5" t="s">
        <v>3106</v>
      </c>
      <c r="D37" s="5" t="s">
        <v>941</v>
      </c>
      <c r="E37" s="5" t="s">
        <v>2147</v>
      </c>
      <c r="F37" s="132">
        <f>SUMIF('COLAR PLANO'!$A:$A,A37,'COLAR PLANO'!$D:$D)</f>
        <v>0</v>
      </c>
      <c r="G37" s="131">
        <f t="shared" si="0"/>
        <v>0</v>
      </c>
      <c r="H37" s="6">
        <v>1.7500000000000002E-2</v>
      </c>
      <c r="I37" s="7">
        <f t="shared" si="7"/>
        <v>0</v>
      </c>
      <c r="J37" s="130">
        <f t="shared" si="8"/>
        <v>0</v>
      </c>
      <c r="K37" s="788">
        <v>0.45</v>
      </c>
      <c r="L37" s="788">
        <v>12</v>
      </c>
      <c r="M37" s="788">
        <v>9</v>
      </c>
      <c r="N37" s="7">
        <f t="shared" si="9"/>
        <v>0</v>
      </c>
      <c r="O37" s="311"/>
      <c r="P37" s="311">
        <f t="shared" si="10"/>
        <v>0</v>
      </c>
      <c r="Q37" s="7"/>
      <c r="R37" s="7"/>
      <c r="S37" s="7"/>
      <c r="T37" s="7"/>
      <c r="U37" s="7" t="s">
        <v>2288</v>
      </c>
      <c r="V37" s="7" t="s">
        <v>2289</v>
      </c>
      <c r="W37" s="7" t="str">
        <f>Preencher!$B$3&amp;U37&amp;V37&amp;A37&amp;$W$6</f>
        <v>JARINU-FRG999543MQ.TUNEL DE CG (CONTINUO)</v>
      </c>
      <c r="X37" s="7" t="str">
        <f>Preencher!$B$3&amp;U37&amp;V37&amp;A37&amp;$X$6</f>
        <v>JARINU-FRG999543MQ.TUNEL DE CG (CONTINUO) (1)</v>
      </c>
      <c r="Y37" s="7" t="str">
        <f>Preencher!$B$3&amp;U37&amp;V37&amp;A37&amp;$Y$6</f>
        <v>JARINU-FRG999543MQ.TUNEL DE CG (CONTINUO) (2)</v>
      </c>
      <c r="Z37" s="7" t="str">
        <f>Preencher!$B$3&amp;U37&amp;V37&amp;A37&amp;$Z$6</f>
        <v>JARINU-FRG999543MQ.TUNEL DE CG (CONTINUO) (3)</v>
      </c>
      <c r="AA37" s="7" t="str">
        <f>Preencher!$B$3&amp;U37&amp;V37&amp;A37&amp;$AA$6</f>
        <v>JARINU-FRG999543MQ.TUNEL DE CG (ESTATICO)</v>
      </c>
      <c r="AB37" s="7" t="str">
        <f>Preencher!$B$3&amp;U37&amp;V37&amp;A37&amp;$AB$6</f>
        <v>JARINU-FRG999543MQ.TUNEL DE CG (ESTATICO) (1)</v>
      </c>
      <c r="AC37" s="7" t="str">
        <f>Preencher!$B$3&amp;U37&amp;V37&amp;A37&amp;$AC$6</f>
        <v>JARINU-FRG999543MQ.TUNEL DE CG (ESTATICO) (2)</v>
      </c>
      <c r="AD37" s="327">
        <f>IFERROR(SUMIF('BD Otimix'!A:A,'BD VOLUME'!X37,'BD Otimix'!O:O)+SUMIF('BD Otimix'!A:A,'BD VOLUME'!Y37,'BD Otimix'!O:O)+SUMIF('BD Otimix'!A:A,'BD VOLUME'!Z37,'BD Otimix'!O:O)+SUMIF('BD Otimix'!A:A,'BD VOLUME'!AA37,'BD Otimix'!O:O)+SUMIF('BD Otimix'!A:A,'BD VOLUME'!AB37,'BD Otimix'!O:O)+SUMIF('BD Otimix'!A:A,'BD VOLUME'!AC37,'BD Otimix'!O:O)+SUMIF('BD Otimix'!A:A,'BD VOLUME'!W37,'BD Otimix'!O:O),0)</f>
        <v>0</v>
      </c>
      <c r="AE37" s="327">
        <f>IFERROR(F37/$E$3/1000/AD37,0)</f>
        <v>0</v>
      </c>
      <c r="AF37" s="7" t="str">
        <f>Preencher!$B$3&amp;$U$8&amp;$V$8&amp;A37&amp;$AF$6</f>
        <v>JARINU-FRG999543MQ.GIROFREEZER</v>
      </c>
      <c r="AG37" s="7" t="str">
        <f>Preencher!$B$3&amp;$U$8&amp;$V$8&amp;A37&amp;$AG$6</f>
        <v>JARINU-FRG999543MQ.GIROFREEZER (1)</v>
      </c>
      <c r="AH37" s="7" t="str">
        <f>Preencher!$B$3&amp;$U$8&amp;$V$8&amp;A37&amp;$AH$6</f>
        <v>JARINU-FRG999543MQ.GIROFREEZER (2)</v>
      </c>
      <c r="AI37" s="7" t="str">
        <f>Preencher!$B$3&amp;$U$8&amp;$V$8&amp;A37&amp;$AI$6</f>
        <v>JARINU-FRG999543MQ.GIROFREEZER REV04</v>
      </c>
      <c r="AJ37" s="7" t="str">
        <f>Preencher!$B$3&amp;$U$8&amp;$V$8&amp;A37&amp;$AJ$6</f>
        <v>JARINU-FRG999543MQ.GIROFREEZER (3)</v>
      </c>
      <c r="AK37" s="327">
        <f>IFERROR(SUMIF('BD Otimix'!A:A,'BD VOLUME'!AG37,'BD Otimix'!O:O)+SUMIF('BD Otimix'!A:A,'BD VOLUME'!AH37,'BD Otimix'!O:O)+SUMIF('BD Otimix'!A:A,'BD VOLUME'!AI37,'BD Otimix'!O:O)+SUMIF('BD Otimix'!A:A,'BD VOLUME'!AJ37,'BD Otimix'!O:O)+SUMIF('BD Otimix'!A:A,'BD VOLUME'!AF37,'BD Otimix'!O:O),0)</f>
        <v>0</v>
      </c>
      <c r="AL37" s="7">
        <f>IFERROR(F37/$E$3/1000/AK37,0)</f>
        <v>0</v>
      </c>
    </row>
    <row r="38" spans="1:38">
      <c r="A38" s="708">
        <v>13005</v>
      </c>
      <c r="B38" s="708" t="s">
        <v>2610</v>
      </c>
      <c r="C38" s="5" t="s">
        <v>2611</v>
      </c>
      <c r="D38" s="5" t="s">
        <v>941</v>
      </c>
      <c r="E38" s="5" t="s">
        <v>2145</v>
      </c>
      <c r="F38" s="132">
        <f>SUMIF('COLAR PLANO'!$A:$A,A38,'COLAR PLANO'!$D:$D)</f>
        <v>0</v>
      </c>
      <c r="G38" s="131">
        <f>IFERROR(F38/($E$3*$C$3),0)</f>
        <v>0</v>
      </c>
      <c r="H38" s="6">
        <v>1.7500000000000002E-2</v>
      </c>
      <c r="I38" s="7">
        <f t="shared" si="7"/>
        <v>0</v>
      </c>
      <c r="J38" s="130">
        <f t="shared" si="8"/>
        <v>0</v>
      </c>
      <c r="K38" s="122">
        <v>15</v>
      </c>
      <c r="L38" s="122">
        <v>1</v>
      </c>
      <c r="M38" s="122">
        <v>15</v>
      </c>
      <c r="N38" s="7">
        <f>IFERROR(G38/K38,"-")</f>
        <v>0</v>
      </c>
      <c r="O38" s="311"/>
      <c r="P38" s="311"/>
      <c r="Q38" s="311">
        <f>IFERROR(G38/M38,"-")</f>
        <v>0</v>
      </c>
      <c r="R38" s="311"/>
      <c r="S38" s="7"/>
      <c r="T38" s="7"/>
      <c r="U38" s="7" t="s">
        <v>2288</v>
      </c>
      <c r="V38" s="7" t="s">
        <v>2289</v>
      </c>
      <c r="W38" s="7" t="str">
        <f>Preencher!$B$3&amp;U38&amp;V38&amp;A38&amp;$W$6</f>
        <v>JARINU-FRG13005MQ.TUNEL DE CG (CONTINUO)</v>
      </c>
      <c r="X38" s="7" t="str">
        <f>Preencher!$B$3&amp;U38&amp;V38&amp;A38&amp;$X$6</f>
        <v>JARINU-FRG13005MQ.TUNEL DE CG (CONTINUO) (1)</v>
      </c>
      <c r="Y38" s="7" t="str">
        <f>Preencher!$B$3&amp;U38&amp;V38&amp;A38&amp;$Y$6</f>
        <v>JARINU-FRG13005MQ.TUNEL DE CG (CONTINUO) (2)</v>
      </c>
      <c r="Z38" s="7" t="str">
        <f>Preencher!$B$3&amp;U38&amp;V38&amp;A38&amp;$Z$6</f>
        <v>JARINU-FRG13005MQ.TUNEL DE CG (CONTINUO) (3)</v>
      </c>
      <c r="AA38" s="7" t="str">
        <f>Preencher!$B$3&amp;U38&amp;V38&amp;A38&amp;$AA$6</f>
        <v>JARINU-FRG13005MQ.TUNEL DE CG (ESTATICO)</v>
      </c>
      <c r="AB38" s="7" t="str">
        <f>Preencher!$B$3&amp;U38&amp;V38&amp;A38&amp;$AB$6</f>
        <v>JARINU-FRG13005MQ.TUNEL DE CG (ESTATICO) (1)</v>
      </c>
      <c r="AC38" s="7" t="str">
        <f>Preencher!$B$3&amp;U38&amp;V38&amp;A38&amp;$AC$6</f>
        <v>JARINU-FRG13005MQ.TUNEL DE CG (ESTATICO) (2)</v>
      </c>
      <c r="AD38" s="327">
        <f>IFERROR(SUMIF('BD Otimix'!A:A,'BD VOLUME'!X38,'BD Otimix'!O:O)+SUMIF('BD Otimix'!A:A,'BD VOLUME'!Y38,'BD Otimix'!O:O)+SUMIF('BD Otimix'!A:A,'BD VOLUME'!Z38,'BD Otimix'!O:O)+SUMIF('BD Otimix'!A:A,'BD VOLUME'!AA38,'BD Otimix'!O:O)+SUMIF('BD Otimix'!A:A,'BD VOLUME'!AB38,'BD Otimix'!O:O)+SUMIF('BD Otimix'!A:A,'BD VOLUME'!AC38,'BD Otimix'!O:O)+SUMIF('BD Otimix'!A:A,'BD VOLUME'!W38,'BD Otimix'!O:O),0)</f>
        <v>0</v>
      </c>
      <c r="AE38" s="327">
        <f>IFERROR(F38/$E$3/1000/AD38,0)</f>
        <v>0</v>
      </c>
      <c r="AF38" s="7" t="str">
        <f>Preencher!$B$3&amp;$U$8&amp;$V$8&amp;A38&amp;$AF$6</f>
        <v>JARINU-FRG13005MQ.GIROFREEZER</v>
      </c>
      <c r="AG38" s="7" t="str">
        <f>Preencher!$B$3&amp;$U$8&amp;$V$8&amp;A38&amp;$AG$6</f>
        <v>JARINU-FRG13005MQ.GIROFREEZER (1)</v>
      </c>
      <c r="AH38" s="7" t="str">
        <f>Preencher!$B$3&amp;$U$8&amp;$V$8&amp;A38&amp;$AH$6</f>
        <v>JARINU-FRG13005MQ.GIROFREEZER (2)</v>
      </c>
      <c r="AI38" s="7" t="str">
        <f>Preencher!$B$3&amp;$U$8&amp;$V$8&amp;A38&amp;$AI$6</f>
        <v>JARINU-FRG13005MQ.GIROFREEZER REV04</v>
      </c>
      <c r="AJ38" s="7" t="str">
        <f>Preencher!$B$3&amp;$U$8&amp;$V$8&amp;A38&amp;$AJ$6</f>
        <v>JARINU-FRG13005MQ.GIROFREEZER (3)</v>
      </c>
      <c r="AK38" s="327">
        <f>IFERROR(SUMIF('BD Otimix'!A:A,'BD VOLUME'!AG38,'BD Otimix'!O:O)+SUMIF('BD Otimix'!A:A,'BD VOLUME'!AH38,'BD Otimix'!O:O)+SUMIF('BD Otimix'!A:A,'BD VOLUME'!AI38,'BD Otimix'!O:O)+SUMIF('BD Otimix'!A:A,'BD VOLUME'!AJ38,'BD Otimix'!O:O)+SUMIF('BD Otimix'!A:A,'BD VOLUME'!AF38,'BD Otimix'!O:O),0)</f>
        <v>0</v>
      </c>
      <c r="AL38" s="7">
        <f>IFERROR(F38/$E$3/1000/AK38,0)</f>
        <v>0</v>
      </c>
    </row>
    <row r="39" spans="1:38">
      <c r="A39" s="651">
        <v>726494</v>
      </c>
      <c r="B39" s="651" t="s">
        <v>2365</v>
      </c>
      <c r="C39" s="5" t="s">
        <v>2082</v>
      </c>
      <c r="D39" s="5" t="s">
        <v>941</v>
      </c>
      <c r="E39" s="5" t="s">
        <v>2145</v>
      </c>
      <c r="F39" s="132">
        <f>SUMIF('COLAR PLANO'!$A:$A,A39,'COLAR PLANO'!$D:$D)</f>
        <v>0</v>
      </c>
      <c r="G39" s="131">
        <f t="shared" si="0"/>
        <v>0</v>
      </c>
      <c r="H39" s="6">
        <v>1.7500000000000002E-2</v>
      </c>
      <c r="I39" s="7">
        <f t="shared" si="7"/>
        <v>0</v>
      </c>
      <c r="J39" s="130">
        <f t="shared" si="8"/>
        <v>0</v>
      </c>
      <c r="K39" s="122">
        <v>15</v>
      </c>
      <c r="L39" s="122">
        <v>1</v>
      </c>
      <c r="M39" s="122">
        <v>15</v>
      </c>
      <c r="N39" s="7">
        <f t="shared" si="9"/>
        <v>0</v>
      </c>
      <c r="O39" s="311"/>
      <c r="P39" s="311"/>
      <c r="Q39" s="311">
        <f>IFERROR(G39/M39,"-")</f>
        <v>0</v>
      </c>
      <c r="R39" s="311"/>
      <c r="S39" s="7"/>
      <c r="T39" s="7"/>
      <c r="U39" s="7" t="s">
        <v>2288</v>
      </c>
      <c r="V39" s="7" t="s">
        <v>2289</v>
      </c>
      <c r="W39" s="7" t="str">
        <f>Preencher!$B$3&amp;U39&amp;V39&amp;A39&amp;$W$6</f>
        <v>JARINU-FRG726494MQ.TUNEL DE CG (CONTINUO)</v>
      </c>
      <c r="X39" s="7" t="str">
        <f>Preencher!$B$3&amp;U39&amp;V39&amp;A39&amp;$X$6</f>
        <v>JARINU-FRG726494MQ.TUNEL DE CG (CONTINUO) (1)</v>
      </c>
      <c r="Y39" s="7" t="str">
        <f>Preencher!$B$3&amp;U39&amp;V39&amp;A39&amp;$Y$6</f>
        <v>JARINU-FRG726494MQ.TUNEL DE CG (CONTINUO) (2)</v>
      </c>
      <c r="Z39" s="7" t="str">
        <f>Preencher!$B$3&amp;U39&amp;V39&amp;A39&amp;$Z$6</f>
        <v>JARINU-FRG726494MQ.TUNEL DE CG (CONTINUO) (3)</v>
      </c>
      <c r="AA39" s="7" t="str">
        <f>Preencher!$B$3&amp;U39&amp;V39&amp;A39&amp;$AA$6</f>
        <v>JARINU-FRG726494MQ.TUNEL DE CG (ESTATICO)</v>
      </c>
      <c r="AB39" s="7" t="str">
        <f>Preencher!$B$3&amp;U39&amp;V39&amp;A39&amp;$AB$6</f>
        <v>JARINU-FRG726494MQ.TUNEL DE CG (ESTATICO) (1)</v>
      </c>
      <c r="AC39" s="7" t="str">
        <f>Preencher!$B$3&amp;U39&amp;V39&amp;A39&amp;$AC$6</f>
        <v>JARINU-FRG726494MQ.TUNEL DE CG (ESTATICO) (2)</v>
      </c>
      <c r="AD39" s="327">
        <f>IFERROR(SUMIF('BD Otimix'!A:A,'BD VOLUME'!X39,'BD Otimix'!O:O)+SUMIF('BD Otimix'!A:A,'BD VOLUME'!Y39,'BD Otimix'!O:O)+SUMIF('BD Otimix'!A:A,'BD VOLUME'!Z39,'BD Otimix'!O:O)+SUMIF('BD Otimix'!A:A,'BD VOLUME'!AA39,'BD Otimix'!O:O)+SUMIF('BD Otimix'!A:A,'BD VOLUME'!AB39,'BD Otimix'!O:O)+SUMIF('BD Otimix'!A:A,'BD VOLUME'!AC39,'BD Otimix'!O:O)+SUMIF('BD Otimix'!A:A,'BD VOLUME'!W39,'BD Otimix'!O:O),0)</f>
        <v>0</v>
      </c>
      <c r="AE39" s="327">
        <f t="shared" si="5"/>
        <v>0</v>
      </c>
      <c r="AF39" s="7" t="str">
        <f>Preencher!$B$3&amp;$U$8&amp;$V$8&amp;A39&amp;$AF$6</f>
        <v>JARINU-FRG726494MQ.GIROFREEZER</v>
      </c>
      <c r="AG39" s="7" t="str">
        <f>Preencher!$B$3&amp;$U$8&amp;$V$8&amp;A39&amp;$AG$6</f>
        <v>JARINU-FRG726494MQ.GIROFREEZER (1)</v>
      </c>
      <c r="AH39" s="7" t="str">
        <f>Preencher!$B$3&amp;$U$8&amp;$V$8&amp;A39&amp;$AH$6</f>
        <v>JARINU-FRG726494MQ.GIROFREEZER (2)</v>
      </c>
      <c r="AI39" s="7" t="str">
        <f>Preencher!$B$3&amp;$U$8&amp;$V$8&amp;A39&amp;$AI$6</f>
        <v>JARINU-FRG726494MQ.GIROFREEZER REV04</v>
      </c>
      <c r="AJ39" s="7" t="str">
        <f>Preencher!$B$3&amp;$U$8&amp;$V$8&amp;A39&amp;$AJ$6</f>
        <v>JARINU-FRG726494MQ.GIROFREEZER (3)</v>
      </c>
      <c r="AK39" s="327">
        <f>IFERROR(SUMIF('BD Otimix'!A:A,'BD VOLUME'!AG39,'BD Otimix'!O:O)+SUMIF('BD Otimix'!A:A,'BD VOLUME'!AH39,'BD Otimix'!O:O)+SUMIF('BD Otimix'!A:A,'BD VOLUME'!AI39,'BD Otimix'!O:O)+SUMIF('BD Otimix'!A:A,'BD VOLUME'!AJ39,'BD Otimix'!O:O)+SUMIF('BD Otimix'!A:A,'BD VOLUME'!AF39,'BD Otimix'!O:O),0)</f>
        <v>0</v>
      </c>
      <c r="AL39" s="7">
        <f t="shared" si="6"/>
        <v>0</v>
      </c>
    </row>
    <row r="40" spans="1:38">
      <c r="A40" s="250"/>
      <c r="B40" s="250"/>
      <c r="C40" s="5"/>
      <c r="D40" s="5" t="s">
        <v>941</v>
      </c>
      <c r="E40" s="5" t="s">
        <v>2146</v>
      </c>
      <c r="F40" s="132">
        <f>SUMIF('COLAR PLANO'!$A:$A,A40,'COLAR PLANO'!$D:$D)</f>
        <v>0</v>
      </c>
      <c r="G40" s="131">
        <f t="shared" si="0"/>
        <v>0</v>
      </c>
      <c r="H40" s="6">
        <v>1.7500000000000002E-2</v>
      </c>
      <c r="I40" s="7">
        <f t="shared" si="7"/>
        <v>0</v>
      </c>
      <c r="J40" s="130">
        <f t="shared" si="8"/>
        <v>0</v>
      </c>
      <c r="K40" s="688">
        <v>1</v>
      </c>
      <c r="L40" s="688">
        <v>12</v>
      </c>
      <c r="M40" s="688">
        <v>12</v>
      </c>
      <c r="N40" s="7">
        <f t="shared" si="9"/>
        <v>0</v>
      </c>
      <c r="O40" s="311"/>
      <c r="P40" s="311">
        <f>IFERROR(G40/M40,"-")</f>
        <v>0</v>
      </c>
      <c r="Q40" s="7"/>
      <c r="R40" s="7"/>
      <c r="S40" s="7"/>
      <c r="T40" s="7"/>
      <c r="U40" s="7" t="s">
        <v>2288</v>
      </c>
      <c r="V40" s="7" t="s">
        <v>2289</v>
      </c>
      <c r="W40" s="7" t="str">
        <f>Preencher!$B$3&amp;U40&amp;V40&amp;A40&amp;$W$6</f>
        <v>JARINU-FRGMQ.TUNEL DE CG (CONTINUO)</v>
      </c>
      <c r="X40" s="7" t="str">
        <f>Preencher!$B$3&amp;U40&amp;V40&amp;A40&amp;$X$6</f>
        <v>JARINU-FRGMQ.TUNEL DE CG (CONTINUO) (1)</v>
      </c>
      <c r="Y40" s="7" t="str">
        <f>Preencher!$B$3&amp;U40&amp;V40&amp;A40&amp;$Y$6</f>
        <v>JARINU-FRGMQ.TUNEL DE CG (CONTINUO) (2)</v>
      </c>
      <c r="Z40" s="7" t="str">
        <f>Preencher!$B$3&amp;U40&amp;V40&amp;A40&amp;$Z$6</f>
        <v>JARINU-FRGMQ.TUNEL DE CG (CONTINUO) (3)</v>
      </c>
      <c r="AA40" s="7" t="str">
        <f>Preencher!$B$3&amp;U40&amp;V40&amp;A40&amp;$AA$6</f>
        <v>JARINU-FRGMQ.TUNEL DE CG (ESTATICO)</v>
      </c>
      <c r="AB40" s="7" t="str">
        <f>Preencher!$B$3&amp;U40&amp;V40&amp;A40&amp;$AB$6</f>
        <v>JARINU-FRGMQ.TUNEL DE CG (ESTATICO) (1)</v>
      </c>
      <c r="AC40" s="7" t="str">
        <f>Preencher!$B$3&amp;U40&amp;V40&amp;A40&amp;$AC$6</f>
        <v>JARINU-FRGMQ.TUNEL DE CG (ESTATICO) (2)</v>
      </c>
      <c r="AD40" s="327">
        <f>IFERROR(SUMIF('BD Otimix'!A:A,'BD VOLUME'!X40,'BD Otimix'!O:O)+SUMIF('BD Otimix'!A:A,'BD VOLUME'!Y40,'BD Otimix'!O:O)+SUMIF('BD Otimix'!A:A,'BD VOLUME'!Z40,'BD Otimix'!O:O)+SUMIF('BD Otimix'!A:A,'BD VOLUME'!AA40,'BD Otimix'!O:O)+SUMIF('BD Otimix'!A:A,'BD VOLUME'!AB40,'BD Otimix'!O:O)+SUMIF('BD Otimix'!A:A,'BD VOLUME'!AC40,'BD Otimix'!O:O)+SUMIF('BD Otimix'!A:A,'BD VOLUME'!W40,'BD Otimix'!O:O),0)</f>
        <v>0</v>
      </c>
      <c r="AE40" s="327">
        <f t="shared" si="5"/>
        <v>0</v>
      </c>
      <c r="AF40" s="7" t="str">
        <f>Preencher!$B$3&amp;$U$8&amp;$V$8&amp;A40&amp;$AF$6</f>
        <v>JARINU-FRGMQ.GIROFREEZER</v>
      </c>
      <c r="AG40" s="7" t="str">
        <f>Preencher!$B$3&amp;$U$8&amp;$V$8&amp;A40&amp;$AG$6</f>
        <v>JARINU-FRGMQ.GIROFREEZER (1)</v>
      </c>
      <c r="AH40" s="7" t="str">
        <f>Preencher!$B$3&amp;$U$8&amp;$V$8&amp;A40&amp;$AH$6</f>
        <v>JARINU-FRGMQ.GIROFREEZER (2)</v>
      </c>
      <c r="AI40" s="7" t="str">
        <f>Preencher!$B$3&amp;$U$8&amp;$V$8&amp;A40&amp;$AI$6</f>
        <v>JARINU-FRGMQ.GIROFREEZER REV04</v>
      </c>
      <c r="AJ40" s="7" t="str">
        <f>Preencher!$B$3&amp;$U$8&amp;$V$8&amp;A40&amp;$AJ$6</f>
        <v>JARINU-FRGMQ.GIROFREEZER (3)</v>
      </c>
      <c r="AK40" s="327">
        <f>IFERROR(SUMIF('BD Otimix'!A:A,'BD VOLUME'!AG40,'BD Otimix'!O:O)+SUMIF('BD Otimix'!A:A,'BD VOLUME'!AH40,'BD Otimix'!O:O)+SUMIF('BD Otimix'!A:A,'BD VOLUME'!AI40,'BD Otimix'!O:O)+SUMIF('BD Otimix'!A:A,'BD VOLUME'!AJ40,'BD Otimix'!O:O)+SUMIF('BD Otimix'!A:A,'BD VOLUME'!AF40,'BD Otimix'!O:O),0)</f>
        <v>0</v>
      </c>
      <c r="AL40" s="7">
        <f t="shared" si="6"/>
        <v>0</v>
      </c>
    </row>
    <row r="41" spans="1:38">
      <c r="A41" s="250">
        <v>12246</v>
      </c>
      <c r="B41" s="250"/>
      <c r="C41" s="5" t="s">
        <v>1087</v>
      </c>
      <c r="D41" s="5" t="s">
        <v>941</v>
      </c>
      <c r="E41" s="5" t="s">
        <v>2145</v>
      </c>
      <c r="F41" s="132">
        <f>SUMIF('COLAR PLANO'!$A:$A,A41,'COLAR PLANO'!$D:$D)</f>
        <v>0</v>
      </c>
      <c r="G41" s="131">
        <f t="shared" si="0"/>
        <v>0</v>
      </c>
      <c r="H41" s="6">
        <v>1.7500000000000002E-2</v>
      </c>
      <c r="I41" s="7">
        <f t="shared" si="7"/>
        <v>0</v>
      </c>
      <c r="J41" s="130">
        <f t="shared" si="8"/>
        <v>0</v>
      </c>
      <c r="K41" s="122">
        <v>15</v>
      </c>
      <c r="L41" s="122">
        <v>1</v>
      </c>
      <c r="M41" s="122">
        <v>15</v>
      </c>
      <c r="N41" s="7">
        <f t="shared" si="9"/>
        <v>0</v>
      </c>
      <c r="O41" s="311"/>
      <c r="P41" s="311"/>
      <c r="Q41" s="311">
        <f>IFERROR(G41/M41,"-")</f>
        <v>0</v>
      </c>
      <c r="R41" s="311"/>
      <c r="S41" s="7"/>
      <c r="T41" s="7"/>
      <c r="U41" s="7" t="s">
        <v>2288</v>
      </c>
      <c r="V41" s="7" t="s">
        <v>2289</v>
      </c>
      <c r="W41" s="7" t="str">
        <f>Preencher!$B$3&amp;U41&amp;V41&amp;A41&amp;$W$6</f>
        <v>JARINU-FRG12246MQ.TUNEL DE CG (CONTINUO)</v>
      </c>
      <c r="X41" s="7" t="str">
        <f>Preencher!$B$3&amp;U41&amp;V41&amp;A41&amp;$X$6</f>
        <v>JARINU-FRG12246MQ.TUNEL DE CG (CONTINUO) (1)</v>
      </c>
      <c r="Y41" s="7" t="str">
        <f>Preencher!$B$3&amp;U41&amp;V41&amp;A41&amp;$Y$6</f>
        <v>JARINU-FRG12246MQ.TUNEL DE CG (CONTINUO) (2)</v>
      </c>
      <c r="Z41" s="7" t="str">
        <f>Preencher!$B$3&amp;U41&amp;V41&amp;A41&amp;$Z$6</f>
        <v>JARINU-FRG12246MQ.TUNEL DE CG (CONTINUO) (3)</v>
      </c>
      <c r="AA41" s="7" t="str">
        <f>Preencher!$B$3&amp;U41&amp;V41&amp;A41&amp;$AA$6</f>
        <v>JARINU-FRG12246MQ.TUNEL DE CG (ESTATICO)</v>
      </c>
      <c r="AB41" s="7" t="str">
        <f>Preencher!$B$3&amp;U41&amp;V41&amp;A41&amp;$AB$6</f>
        <v>JARINU-FRG12246MQ.TUNEL DE CG (ESTATICO) (1)</v>
      </c>
      <c r="AC41" s="7" t="str">
        <f>Preencher!$B$3&amp;U41&amp;V41&amp;A41&amp;$AC$6</f>
        <v>JARINU-FRG12246MQ.TUNEL DE CG (ESTATICO) (2)</v>
      </c>
      <c r="AD41" s="327">
        <f>IFERROR(SUMIF('BD Otimix'!A:A,'BD VOLUME'!X41,'BD Otimix'!O:O)+SUMIF('BD Otimix'!A:A,'BD VOLUME'!Y41,'BD Otimix'!O:O)+SUMIF('BD Otimix'!A:A,'BD VOLUME'!Z41,'BD Otimix'!O:O)+SUMIF('BD Otimix'!A:A,'BD VOLUME'!AA41,'BD Otimix'!O:O)+SUMIF('BD Otimix'!A:A,'BD VOLUME'!AB41,'BD Otimix'!O:O)+SUMIF('BD Otimix'!A:A,'BD VOLUME'!AC41,'BD Otimix'!O:O)+SUMIF('BD Otimix'!A:A,'BD VOLUME'!W41,'BD Otimix'!O:O),0)</f>
        <v>0</v>
      </c>
      <c r="AE41" s="327">
        <f t="shared" si="5"/>
        <v>0</v>
      </c>
      <c r="AF41" s="7" t="str">
        <f>Preencher!$B$3&amp;$U$8&amp;$V$8&amp;A41&amp;$AF$6</f>
        <v>JARINU-FRG12246MQ.GIROFREEZER</v>
      </c>
      <c r="AG41" s="7" t="str">
        <f>Preencher!$B$3&amp;$U$8&amp;$V$8&amp;A41&amp;$AG$6</f>
        <v>JARINU-FRG12246MQ.GIROFREEZER (1)</v>
      </c>
      <c r="AH41" s="7" t="str">
        <f>Preencher!$B$3&amp;$U$8&amp;$V$8&amp;A41&amp;$AH$6</f>
        <v>JARINU-FRG12246MQ.GIROFREEZER (2)</v>
      </c>
      <c r="AI41" s="7" t="str">
        <f>Preencher!$B$3&amp;$U$8&amp;$V$8&amp;A41&amp;$AI$6</f>
        <v>JARINU-FRG12246MQ.GIROFREEZER REV04</v>
      </c>
      <c r="AJ41" s="7" t="str">
        <f>Preencher!$B$3&amp;$U$8&amp;$V$8&amp;A41&amp;$AJ$6</f>
        <v>JARINU-FRG12246MQ.GIROFREEZER (3)</v>
      </c>
      <c r="AK41" s="327">
        <f>IFERROR(SUMIF('BD Otimix'!A:A,'BD VOLUME'!AG41,'BD Otimix'!O:O)+SUMIF('BD Otimix'!A:A,'BD VOLUME'!AH41,'BD Otimix'!O:O)+SUMIF('BD Otimix'!A:A,'BD VOLUME'!AI41,'BD Otimix'!O:O)+SUMIF('BD Otimix'!A:A,'BD VOLUME'!AJ41,'BD Otimix'!O:O)+SUMIF('BD Otimix'!A:A,'BD VOLUME'!AF41,'BD Otimix'!O:O),0)</f>
        <v>0</v>
      </c>
      <c r="AL41" s="7">
        <f t="shared" si="6"/>
        <v>0</v>
      </c>
    </row>
    <row r="42" spans="1:38">
      <c r="A42" s="257">
        <v>55638</v>
      </c>
      <c r="B42" s="257"/>
      <c r="C42" s="5" t="s">
        <v>942</v>
      </c>
      <c r="D42" s="5" t="s">
        <v>941</v>
      </c>
      <c r="E42" s="5" t="s">
        <v>2145</v>
      </c>
      <c r="F42" s="132">
        <f>SUMIF('COLAR PLANO'!$A:$A,A42,'COLAR PLANO'!$D:$D)</f>
        <v>0</v>
      </c>
      <c r="G42" s="131">
        <f t="shared" si="0"/>
        <v>0</v>
      </c>
      <c r="H42" s="6">
        <v>1.7500000000000002E-2</v>
      </c>
      <c r="I42" s="7">
        <f t="shared" si="7"/>
        <v>0</v>
      </c>
      <c r="J42" s="130">
        <f t="shared" si="8"/>
        <v>0</v>
      </c>
      <c r="K42" s="122">
        <v>15</v>
      </c>
      <c r="L42" s="122">
        <v>1</v>
      </c>
      <c r="M42" s="122">
        <v>15</v>
      </c>
      <c r="N42" s="7">
        <f t="shared" si="9"/>
        <v>0</v>
      </c>
      <c r="O42" s="311"/>
      <c r="P42" s="311"/>
      <c r="Q42" s="311">
        <f>IFERROR(G42/M42,"-")</f>
        <v>0</v>
      </c>
      <c r="R42" s="311"/>
      <c r="S42" s="7"/>
      <c r="T42" s="7"/>
      <c r="U42" s="7" t="s">
        <v>2288</v>
      </c>
      <c r="V42" s="7" t="s">
        <v>2289</v>
      </c>
      <c r="W42" s="7" t="str">
        <f>Preencher!$B$3&amp;U42&amp;V42&amp;A42&amp;$W$6</f>
        <v>JARINU-FRG55638MQ.TUNEL DE CG (CONTINUO)</v>
      </c>
      <c r="X42" s="7" t="str">
        <f>Preencher!$B$3&amp;U42&amp;V42&amp;A42&amp;$X$6</f>
        <v>JARINU-FRG55638MQ.TUNEL DE CG (CONTINUO) (1)</v>
      </c>
      <c r="Y42" s="7" t="str">
        <f>Preencher!$B$3&amp;U42&amp;V42&amp;A42&amp;$Y$6</f>
        <v>JARINU-FRG55638MQ.TUNEL DE CG (CONTINUO) (2)</v>
      </c>
      <c r="Z42" s="7" t="str">
        <f>Preencher!$B$3&amp;U42&amp;V42&amp;A42&amp;$Z$6</f>
        <v>JARINU-FRG55638MQ.TUNEL DE CG (CONTINUO) (3)</v>
      </c>
      <c r="AA42" s="7" t="str">
        <f>Preencher!$B$3&amp;U42&amp;V42&amp;A42&amp;$AA$6</f>
        <v>JARINU-FRG55638MQ.TUNEL DE CG (ESTATICO)</v>
      </c>
      <c r="AB42" s="7" t="str">
        <f>Preencher!$B$3&amp;U42&amp;V42&amp;A42&amp;$AB$6</f>
        <v>JARINU-FRG55638MQ.TUNEL DE CG (ESTATICO) (1)</v>
      </c>
      <c r="AC42" s="7" t="str">
        <f>Preencher!$B$3&amp;U42&amp;V42&amp;A42&amp;$AC$6</f>
        <v>JARINU-FRG55638MQ.TUNEL DE CG (ESTATICO) (2)</v>
      </c>
      <c r="AD42" s="327">
        <f>IFERROR(SUMIF('BD Otimix'!A:A,'BD VOLUME'!X42,'BD Otimix'!O:O)+SUMIF('BD Otimix'!A:A,'BD VOLUME'!Y42,'BD Otimix'!O:O)+SUMIF('BD Otimix'!A:A,'BD VOLUME'!Z42,'BD Otimix'!O:O)+SUMIF('BD Otimix'!A:A,'BD VOLUME'!AA42,'BD Otimix'!O:O)+SUMIF('BD Otimix'!A:A,'BD VOLUME'!AB42,'BD Otimix'!O:O)+SUMIF('BD Otimix'!A:A,'BD VOLUME'!AC42,'BD Otimix'!O:O)+SUMIF('BD Otimix'!A:A,'BD VOLUME'!W42,'BD Otimix'!O:O),0)</f>
        <v>0</v>
      </c>
      <c r="AE42" s="327">
        <f t="shared" si="5"/>
        <v>0</v>
      </c>
      <c r="AF42" s="7" t="str">
        <f>Preencher!$B$3&amp;$U$8&amp;$V$8&amp;A42&amp;$AF$6</f>
        <v>JARINU-FRG55638MQ.GIROFREEZER</v>
      </c>
      <c r="AG42" s="7" t="str">
        <f>Preencher!$B$3&amp;$U$8&amp;$V$8&amp;A42&amp;$AG$6</f>
        <v>JARINU-FRG55638MQ.GIROFREEZER (1)</v>
      </c>
      <c r="AH42" s="7" t="str">
        <f>Preencher!$B$3&amp;$U$8&amp;$V$8&amp;A42&amp;$AH$6</f>
        <v>JARINU-FRG55638MQ.GIROFREEZER (2)</v>
      </c>
      <c r="AI42" s="7" t="str">
        <f>Preencher!$B$3&amp;$U$8&amp;$V$8&amp;A42&amp;$AI$6</f>
        <v>JARINU-FRG55638MQ.GIROFREEZER REV04</v>
      </c>
      <c r="AJ42" s="7" t="str">
        <f>Preencher!$B$3&amp;$U$8&amp;$V$8&amp;A42&amp;$AJ$6</f>
        <v>JARINU-FRG55638MQ.GIROFREEZER (3)</v>
      </c>
      <c r="AK42" s="327">
        <f>IFERROR(SUMIF('BD Otimix'!A:A,'BD VOLUME'!AG42,'BD Otimix'!O:O)+SUMIF('BD Otimix'!A:A,'BD VOLUME'!AH42,'BD Otimix'!O:O)+SUMIF('BD Otimix'!A:A,'BD VOLUME'!AI42,'BD Otimix'!O:O)+SUMIF('BD Otimix'!A:A,'BD VOLUME'!AJ42,'BD Otimix'!O:O)+SUMIF('BD Otimix'!A:A,'BD VOLUME'!AF42,'BD Otimix'!O:O),0)</f>
        <v>0</v>
      </c>
      <c r="AL42" s="7">
        <f t="shared" si="6"/>
        <v>0</v>
      </c>
    </row>
    <row r="43" spans="1:38">
      <c r="A43" s="580">
        <v>796425</v>
      </c>
      <c r="B43" s="580"/>
      <c r="C43" s="5" t="s">
        <v>3048</v>
      </c>
      <c r="D43" s="5" t="s">
        <v>941</v>
      </c>
      <c r="E43" s="5" t="s">
        <v>2145</v>
      </c>
      <c r="F43" s="132">
        <f>SUMIF('COLAR PLANO'!$A:$A,A43,'COLAR PLANO'!$D:$D)</f>
        <v>0</v>
      </c>
      <c r="G43" s="131">
        <f t="shared" si="0"/>
        <v>0</v>
      </c>
      <c r="H43" s="6">
        <v>1.7500000000000002E-2</v>
      </c>
      <c r="I43" s="7">
        <f t="shared" si="7"/>
        <v>0</v>
      </c>
      <c r="J43" s="130">
        <f t="shared" si="8"/>
        <v>0</v>
      </c>
      <c r="K43" s="122">
        <v>15</v>
      </c>
      <c r="L43" s="122">
        <v>1</v>
      </c>
      <c r="M43" s="122">
        <v>15</v>
      </c>
      <c r="N43" s="7">
        <f t="shared" si="9"/>
        <v>0</v>
      </c>
      <c r="O43" s="311"/>
      <c r="P43" s="311"/>
      <c r="Q43" s="311">
        <f>IFERROR(G43/M43,"-")</f>
        <v>0</v>
      </c>
      <c r="R43" s="311"/>
      <c r="S43" s="7"/>
      <c r="T43" s="7"/>
      <c r="U43" s="7" t="s">
        <v>2288</v>
      </c>
      <c r="V43" s="7" t="s">
        <v>2289</v>
      </c>
      <c r="W43" s="7" t="str">
        <f>Preencher!$B$3&amp;U43&amp;V43&amp;A43&amp;$W$6</f>
        <v>JARINU-FRG796425MQ.TUNEL DE CG (CONTINUO)</v>
      </c>
      <c r="X43" s="7" t="str">
        <f>Preencher!$B$3&amp;U43&amp;V43&amp;A43&amp;$X$6</f>
        <v>JARINU-FRG796425MQ.TUNEL DE CG (CONTINUO) (1)</v>
      </c>
      <c r="Y43" s="7" t="str">
        <f>Preencher!$B$3&amp;U43&amp;V43&amp;A43&amp;$Y$6</f>
        <v>JARINU-FRG796425MQ.TUNEL DE CG (CONTINUO) (2)</v>
      </c>
      <c r="Z43" s="7" t="str">
        <f>Preencher!$B$3&amp;U43&amp;V43&amp;A43&amp;$Z$6</f>
        <v>JARINU-FRG796425MQ.TUNEL DE CG (CONTINUO) (3)</v>
      </c>
      <c r="AA43" s="7" t="str">
        <f>Preencher!$B$3&amp;U43&amp;V43&amp;A43&amp;$AA$6</f>
        <v>JARINU-FRG796425MQ.TUNEL DE CG (ESTATICO)</v>
      </c>
      <c r="AB43" s="7" t="str">
        <f>Preencher!$B$3&amp;U43&amp;V43&amp;A43&amp;$AB$6</f>
        <v>JARINU-FRG796425MQ.TUNEL DE CG (ESTATICO) (1)</v>
      </c>
      <c r="AC43" s="7" t="str">
        <f>Preencher!$B$3&amp;U43&amp;V43&amp;A43&amp;$AC$6</f>
        <v>JARINU-FRG796425MQ.TUNEL DE CG (ESTATICO) (2)</v>
      </c>
      <c r="AD43" s="327">
        <f>IFERROR(SUMIF('BD Otimix'!A:A,'BD VOLUME'!X43,'BD Otimix'!O:O)+SUMIF('BD Otimix'!A:A,'BD VOLUME'!Y43,'BD Otimix'!O:O)+SUMIF('BD Otimix'!A:A,'BD VOLUME'!Z43,'BD Otimix'!O:O)+SUMIF('BD Otimix'!A:A,'BD VOLUME'!AA43,'BD Otimix'!O:O)+SUMIF('BD Otimix'!A:A,'BD VOLUME'!AB43,'BD Otimix'!O:O)+SUMIF('BD Otimix'!A:A,'BD VOLUME'!AC43,'BD Otimix'!O:O)+SUMIF('BD Otimix'!A:A,'BD VOLUME'!W43,'BD Otimix'!O:O),0)</f>
        <v>0</v>
      </c>
      <c r="AE43" s="327">
        <f t="shared" si="5"/>
        <v>0</v>
      </c>
      <c r="AF43" s="7" t="str">
        <f>Preencher!$B$3&amp;$U$8&amp;$V$8&amp;A43&amp;$AF$6</f>
        <v>JARINU-FRG796425MQ.GIROFREEZER</v>
      </c>
      <c r="AG43" s="7" t="str">
        <f>Preencher!$B$3&amp;$U$8&amp;$V$8&amp;A43&amp;$AG$6</f>
        <v>JARINU-FRG796425MQ.GIROFREEZER (1)</v>
      </c>
      <c r="AH43" s="7" t="str">
        <f>Preencher!$B$3&amp;$U$8&amp;$V$8&amp;A43&amp;$AH$6</f>
        <v>JARINU-FRG796425MQ.GIROFREEZER (2)</v>
      </c>
      <c r="AI43" s="7" t="str">
        <f>Preencher!$B$3&amp;$U$8&amp;$V$8&amp;A43&amp;$AI$6</f>
        <v>JARINU-FRG796425MQ.GIROFREEZER REV04</v>
      </c>
      <c r="AJ43" s="7" t="str">
        <f>Preencher!$B$3&amp;$U$8&amp;$V$8&amp;A43&amp;$AJ$6</f>
        <v>JARINU-FRG796425MQ.GIROFREEZER (3)</v>
      </c>
      <c r="AK43" s="327">
        <f>IFERROR(SUMIF('BD Otimix'!A:A,'BD VOLUME'!AG43,'BD Otimix'!O:O)+SUMIF('BD Otimix'!A:A,'BD VOLUME'!AH43,'BD Otimix'!O:O)+SUMIF('BD Otimix'!A:A,'BD VOLUME'!AI43,'BD Otimix'!O:O)+SUMIF('BD Otimix'!A:A,'BD VOLUME'!AJ43,'BD Otimix'!O:O)+SUMIF('BD Otimix'!A:A,'BD VOLUME'!AF43,'BD Otimix'!O:O),0)</f>
        <v>0</v>
      </c>
      <c r="AL43" s="7">
        <f t="shared" si="6"/>
        <v>0</v>
      </c>
    </row>
    <row r="44" spans="1:38">
      <c r="A44" s="250">
        <v>124014</v>
      </c>
      <c r="B44" s="250"/>
      <c r="C44" s="5" t="s">
        <v>2778</v>
      </c>
      <c r="D44" s="5" t="s">
        <v>941</v>
      </c>
      <c r="E44" s="5" t="s">
        <v>2145</v>
      </c>
      <c r="F44" s="132">
        <f>SUMIF('COLAR PLANO'!$A:$A,A44,'COLAR PLANO'!$D:$D)</f>
        <v>0</v>
      </c>
      <c r="G44" s="131">
        <f>IFERROR(F44/($E$3*$C$3),0)</f>
        <v>0</v>
      </c>
      <c r="H44" s="6">
        <v>1.7500000000000002E-2</v>
      </c>
      <c r="I44" s="7">
        <f t="shared" si="7"/>
        <v>0</v>
      </c>
      <c r="J44" s="130">
        <f t="shared" si="8"/>
        <v>0</v>
      </c>
      <c r="K44" s="122">
        <v>15</v>
      </c>
      <c r="L44" s="122">
        <v>1</v>
      </c>
      <c r="M44" s="122">
        <v>15</v>
      </c>
      <c r="N44" s="7">
        <f>IFERROR(G44/K44,"-")</f>
        <v>0</v>
      </c>
      <c r="O44" s="311"/>
      <c r="P44" s="311"/>
      <c r="Q44" s="311">
        <f>IFERROR(G44/M44,"-")</f>
        <v>0</v>
      </c>
      <c r="R44" s="311"/>
      <c r="S44" s="7"/>
      <c r="T44" s="7"/>
      <c r="U44" s="7" t="s">
        <v>2288</v>
      </c>
      <c r="V44" s="7" t="s">
        <v>2289</v>
      </c>
      <c r="W44" s="7" t="str">
        <f>Preencher!$B$3&amp;U44&amp;V44&amp;A44&amp;$W$6</f>
        <v>JARINU-FRG124014MQ.TUNEL DE CG (CONTINUO)</v>
      </c>
      <c r="X44" s="7" t="str">
        <f>Preencher!$B$3&amp;U44&amp;V44&amp;A44&amp;$X$6</f>
        <v>JARINU-FRG124014MQ.TUNEL DE CG (CONTINUO) (1)</v>
      </c>
      <c r="Y44" s="7" t="str">
        <f>Preencher!$B$3&amp;U44&amp;V44&amp;A44&amp;$Y$6</f>
        <v>JARINU-FRG124014MQ.TUNEL DE CG (CONTINUO) (2)</v>
      </c>
      <c r="Z44" s="7" t="str">
        <f>Preencher!$B$3&amp;U44&amp;V44&amp;A44&amp;$Z$6</f>
        <v>JARINU-FRG124014MQ.TUNEL DE CG (CONTINUO) (3)</v>
      </c>
      <c r="AA44" s="7" t="str">
        <f>Preencher!$B$3&amp;U44&amp;V44&amp;A44&amp;$AA$6</f>
        <v>JARINU-FRG124014MQ.TUNEL DE CG (ESTATICO)</v>
      </c>
      <c r="AB44" s="7" t="str">
        <f>Preencher!$B$3&amp;U44&amp;V44&amp;A44&amp;$AB$6</f>
        <v>JARINU-FRG124014MQ.TUNEL DE CG (ESTATICO) (1)</v>
      </c>
      <c r="AC44" s="7" t="str">
        <f>Preencher!$B$3&amp;U44&amp;V44&amp;A44&amp;$AC$6</f>
        <v>JARINU-FRG124014MQ.TUNEL DE CG (ESTATICO) (2)</v>
      </c>
      <c r="AD44" s="327">
        <f>IFERROR(SUMIF('BD Otimix'!A:A,'BD VOLUME'!X44,'BD Otimix'!O:O)+SUMIF('BD Otimix'!A:A,'BD VOLUME'!Y44,'BD Otimix'!O:O)+SUMIF('BD Otimix'!A:A,'BD VOLUME'!Z44,'BD Otimix'!O:O)+SUMIF('BD Otimix'!A:A,'BD VOLUME'!AA44,'BD Otimix'!O:O)+SUMIF('BD Otimix'!A:A,'BD VOLUME'!AB44,'BD Otimix'!O:O)+SUMIF('BD Otimix'!A:A,'BD VOLUME'!AC44,'BD Otimix'!O:O)+SUMIF('BD Otimix'!A:A,'BD VOLUME'!W44,'BD Otimix'!O:O),0)</f>
        <v>0</v>
      </c>
      <c r="AE44" s="327">
        <f>IFERROR(F44/$E$3/1000/AD44,0)</f>
        <v>0</v>
      </c>
      <c r="AF44" s="7" t="str">
        <f>Preencher!$B$3&amp;$U$8&amp;$V$8&amp;A44&amp;$AF$6</f>
        <v>JARINU-FRG124014MQ.GIROFREEZER</v>
      </c>
      <c r="AG44" s="7" t="str">
        <f>Preencher!$B$3&amp;$U$8&amp;$V$8&amp;A44&amp;$AG$6</f>
        <v>JARINU-FRG124014MQ.GIROFREEZER (1)</v>
      </c>
      <c r="AH44" s="7" t="str">
        <f>Preencher!$B$3&amp;$U$8&amp;$V$8&amp;A44&amp;$AH$6</f>
        <v>JARINU-FRG124014MQ.GIROFREEZER (2)</v>
      </c>
      <c r="AI44" s="7" t="str">
        <f>Preencher!$B$3&amp;$U$8&amp;$V$8&amp;A44&amp;$AI$6</f>
        <v>JARINU-FRG124014MQ.GIROFREEZER REV04</v>
      </c>
      <c r="AJ44" s="7" t="str">
        <f>Preencher!$B$3&amp;$U$8&amp;$V$8&amp;A44&amp;$AJ$6</f>
        <v>JARINU-FRG124014MQ.GIROFREEZER (3)</v>
      </c>
      <c r="AK44" s="327">
        <f>IFERROR(SUMIF('BD Otimix'!A:A,'BD VOLUME'!AG44,'BD Otimix'!O:O)+SUMIF('BD Otimix'!A:A,'BD VOLUME'!AH44,'BD Otimix'!O:O)+SUMIF('BD Otimix'!A:A,'BD VOLUME'!AI44,'BD Otimix'!O:O)+SUMIF('BD Otimix'!A:A,'BD VOLUME'!AJ44,'BD Otimix'!O:O)+SUMIF('BD Otimix'!A:A,'BD VOLUME'!AF44,'BD Otimix'!O:O),0)</f>
        <v>0</v>
      </c>
      <c r="AL44" s="7">
        <f>IFERROR(F44/$E$3/1000/AK44,0)</f>
        <v>0</v>
      </c>
    </row>
    <row r="45" spans="1:38">
      <c r="A45" s="720"/>
      <c r="B45" s="720"/>
      <c r="C45" s="5"/>
      <c r="D45" s="5"/>
      <c r="E45" s="5"/>
      <c r="F45" s="132"/>
      <c r="G45" s="131"/>
      <c r="H45" s="6"/>
      <c r="I45" s="7"/>
      <c r="J45" s="130"/>
      <c r="K45" s="720"/>
      <c r="L45" s="720"/>
      <c r="M45" s="720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327"/>
      <c r="AE45" s="327"/>
      <c r="AF45" s="7"/>
      <c r="AG45" s="7"/>
      <c r="AH45" s="7"/>
      <c r="AI45" s="7"/>
      <c r="AJ45" s="7"/>
      <c r="AK45" s="327"/>
      <c r="AL45" s="7"/>
    </row>
    <row r="46" spans="1:38">
      <c r="A46" s="750">
        <v>45517</v>
      </c>
      <c r="B46" s="750">
        <v>45517</v>
      </c>
      <c r="C46" s="5" t="s">
        <v>3190</v>
      </c>
      <c r="D46" s="5" t="s">
        <v>941</v>
      </c>
      <c r="E46" s="5" t="s">
        <v>1145</v>
      </c>
      <c r="F46" s="132">
        <f>SUMIF('COLAR PLANO'!$A:$A,A46,'COLAR PLANO'!$D:$D)</f>
        <v>68256</v>
      </c>
      <c r="G46" s="131">
        <f>IFERROR(F46/($E$3*$C$3),0)</f>
        <v>324.02563493947309</v>
      </c>
      <c r="H46" s="6">
        <v>2.3326397481037306E-2</v>
      </c>
      <c r="I46" s="7">
        <f>IFERROR(G46/$D$7/H46,0)</f>
        <v>4630.3140065939278</v>
      </c>
      <c r="J46" s="130">
        <f>IFERROR(I46/$B$7,0)</f>
        <v>0.98522792473637455</v>
      </c>
      <c r="K46" s="750">
        <v>10</v>
      </c>
      <c r="L46" s="750">
        <v>1</v>
      </c>
      <c r="M46" s="750">
        <v>10</v>
      </c>
      <c r="N46" s="7">
        <f>IFERROR(G46/K46,"-")</f>
        <v>32.402563493947312</v>
      </c>
      <c r="O46" s="7"/>
      <c r="P46" s="311">
        <f>IFERROR(G46/M46,"-")</f>
        <v>32.402563493947312</v>
      </c>
      <c r="Q46" s="7"/>
      <c r="R46" s="7"/>
      <c r="S46" s="7"/>
      <c r="T46" s="7"/>
      <c r="U46" s="7" t="s">
        <v>2288</v>
      </c>
      <c r="V46" s="7" t="s">
        <v>2289</v>
      </c>
      <c r="W46" s="7" t="str">
        <f>Preencher!$B$3&amp;U46&amp;V46&amp;A46&amp;$W$6</f>
        <v>JARINU-FRG45517MQ.TUNEL DE CG (CONTINUO)</v>
      </c>
      <c r="X46" s="7" t="str">
        <f>Preencher!$B$3&amp;U46&amp;V46&amp;A46&amp;$X$6</f>
        <v>JARINU-FRG45517MQ.TUNEL DE CG (CONTINUO) (1)</v>
      </c>
      <c r="Y46" s="7" t="str">
        <f>Preencher!$B$3&amp;U46&amp;V46&amp;A46&amp;$Y$6</f>
        <v>JARINU-FRG45517MQ.TUNEL DE CG (CONTINUO) (2)</v>
      </c>
      <c r="Z46" s="7" t="str">
        <f>Preencher!$B$3&amp;U46&amp;V46&amp;A46&amp;$Z$6</f>
        <v>JARINU-FRG45517MQ.TUNEL DE CG (CONTINUO) (3)</v>
      </c>
      <c r="AA46" s="7" t="str">
        <f>Preencher!$B$3&amp;U46&amp;V46&amp;A46&amp;$AA$6</f>
        <v>JARINU-FRG45517MQ.TUNEL DE CG (ESTATICO)</v>
      </c>
      <c r="AB46" s="7" t="str">
        <f>Preencher!$B$3&amp;U46&amp;V46&amp;A46&amp;$AB$6</f>
        <v>JARINU-FRG45517MQ.TUNEL DE CG (ESTATICO) (1)</v>
      </c>
      <c r="AC46" s="7" t="str">
        <f>Preencher!$B$3&amp;U46&amp;V46&amp;A46&amp;$AC$6</f>
        <v>JARINU-FRG45517MQ.TUNEL DE CG (ESTATICO) (2)</v>
      </c>
      <c r="AD46" s="327">
        <f>IFERROR(SUMIF('BD Otimix'!A:A,'BD VOLUME'!X46,'BD Otimix'!O:O)+SUMIF('BD Otimix'!A:A,'BD VOLUME'!Y46,'BD Otimix'!O:O)+SUMIF('BD Otimix'!A:A,'BD VOLUME'!Z46,'BD Otimix'!O:O)+SUMIF('BD Otimix'!A:A,'BD VOLUME'!AA46,'BD Otimix'!O:O)+SUMIF('BD Otimix'!A:A,'BD VOLUME'!AB46,'BD Otimix'!O:O)+SUMIF('BD Otimix'!A:A,'BD VOLUME'!AC46,'BD Otimix'!O:O)+SUMIF('BD Otimix'!A:A,'BD VOLUME'!W46,'BD Otimix'!O:O),0)</f>
        <v>0</v>
      </c>
      <c r="AE46" s="327">
        <f>IFERROR(F46/$E$3/1000/AD46,0)</f>
        <v>0</v>
      </c>
      <c r="AF46" s="7" t="str">
        <f>Preencher!$B$3&amp;$U$8&amp;$V$8&amp;A46&amp;$AF$6</f>
        <v>JARINU-FRG45517MQ.GIROFREEZER</v>
      </c>
      <c r="AG46" s="7" t="str">
        <f>Preencher!$B$3&amp;$U$8&amp;$V$8&amp;A46&amp;$AG$6</f>
        <v>JARINU-FRG45517MQ.GIROFREEZER (1)</v>
      </c>
      <c r="AH46" s="7" t="str">
        <f>Preencher!$B$3&amp;$U$8&amp;$V$8&amp;A46&amp;$AH$6</f>
        <v>JARINU-FRG45517MQ.GIROFREEZER (2)</v>
      </c>
      <c r="AI46" s="7" t="str">
        <f>Preencher!$B$3&amp;$U$8&amp;$V$8&amp;A46&amp;$AI$6</f>
        <v>JARINU-FRG45517MQ.GIROFREEZER REV04</v>
      </c>
      <c r="AJ46" s="7" t="str">
        <f>Preencher!$B$3&amp;$U$8&amp;$V$8&amp;A46&amp;$AJ$6</f>
        <v>JARINU-FRG45517MQ.GIROFREEZER (3)</v>
      </c>
      <c r="AK46" s="327">
        <f>IFERROR(SUMIF('BD Otimix'!A:A,'BD VOLUME'!AG46,'BD Otimix'!O:O)+SUMIF('BD Otimix'!A:A,'BD VOLUME'!AH46,'BD Otimix'!O:O)+SUMIF('BD Otimix'!A:A,'BD VOLUME'!AI46,'BD Otimix'!O:O)+SUMIF('BD Otimix'!A:A,'BD VOLUME'!AJ46,'BD Otimix'!O:O)+SUMIF('BD Otimix'!A:A,'BD VOLUME'!AF46,'BD Otimix'!O:O),0)</f>
        <v>0</v>
      </c>
      <c r="AL46" s="7">
        <f>IFERROR(F46/$E$3/1000/AK46,0)</f>
        <v>0</v>
      </c>
    </row>
    <row r="47" spans="1:38">
      <c r="A47" s="720">
        <v>41262</v>
      </c>
      <c r="B47" s="720"/>
      <c r="C47" s="5" t="s">
        <v>3099</v>
      </c>
      <c r="D47" s="5" t="s">
        <v>941</v>
      </c>
      <c r="E47" s="5" t="s">
        <v>1145</v>
      </c>
      <c r="F47" s="132">
        <f>SUMIF('COLAR PLANO'!$A:$A,A47,'COLAR PLANO'!$D:$D)</f>
        <v>0</v>
      </c>
      <c r="G47" s="131">
        <f t="shared" ref="G47:G52" si="11">IFERROR(F47/($E$3*$C$3),0)</f>
        <v>0</v>
      </c>
      <c r="H47" s="6">
        <v>2.3326397481037306E-2</v>
      </c>
      <c r="I47" s="7">
        <f>IFERROR(G47/$D$7/H47,0)</f>
        <v>0</v>
      </c>
      <c r="J47" s="130">
        <f>IFERROR(I47/$B$7,0)</f>
        <v>0</v>
      </c>
      <c r="K47" s="720">
        <v>10</v>
      </c>
      <c r="L47" s="720">
        <v>1</v>
      </c>
      <c r="M47" s="720">
        <v>10</v>
      </c>
      <c r="N47" s="7">
        <f>IFERROR(G47/K47,"-")</f>
        <v>0</v>
      </c>
      <c r="O47" s="7"/>
      <c r="P47" s="311">
        <f t="shared" ref="P47:P52" si="12">IFERROR(G47/M47,"-")</f>
        <v>0</v>
      </c>
      <c r="Q47" s="7"/>
      <c r="R47" s="7"/>
      <c r="S47" s="7"/>
      <c r="T47" s="7"/>
      <c r="U47" s="7" t="s">
        <v>2288</v>
      </c>
      <c r="V47" s="7" t="s">
        <v>2289</v>
      </c>
      <c r="W47" s="7" t="str">
        <f>Preencher!$B$3&amp;U47&amp;V47&amp;A47&amp;$W$6</f>
        <v>JARINU-FRG41262MQ.TUNEL DE CG (CONTINUO)</v>
      </c>
      <c r="X47" s="7" t="str">
        <f>Preencher!$B$3&amp;U47&amp;V47&amp;A47&amp;$X$6</f>
        <v>JARINU-FRG41262MQ.TUNEL DE CG (CONTINUO) (1)</v>
      </c>
      <c r="Y47" s="7" t="str">
        <f>Preencher!$B$3&amp;U47&amp;V47&amp;A47&amp;$Y$6</f>
        <v>JARINU-FRG41262MQ.TUNEL DE CG (CONTINUO) (2)</v>
      </c>
      <c r="Z47" s="7" t="str">
        <f>Preencher!$B$3&amp;U47&amp;V47&amp;A47&amp;$Z$6</f>
        <v>JARINU-FRG41262MQ.TUNEL DE CG (CONTINUO) (3)</v>
      </c>
      <c r="AA47" s="7" t="str">
        <f>Preencher!$B$3&amp;U47&amp;V47&amp;A47&amp;$AA$6</f>
        <v>JARINU-FRG41262MQ.TUNEL DE CG (ESTATICO)</v>
      </c>
      <c r="AB47" s="7" t="str">
        <f>Preencher!$B$3&amp;U47&amp;V47&amp;A47&amp;$AB$6</f>
        <v>JARINU-FRG41262MQ.TUNEL DE CG (ESTATICO) (1)</v>
      </c>
      <c r="AC47" s="7" t="str">
        <f>Preencher!$B$3&amp;U47&amp;V47&amp;A47&amp;$AC$6</f>
        <v>JARINU-FRG41262MQ.TUNEL DE CG (ESTATICO) (2)</v>
      </c>
      <c r="AD47" s="327">
        <f>IFERROR(SUMIF('BD Otimix'!A:A,'BD VOLUME'!X47,'BD Otimix'!O:O)+SUMIF('BD Otimix'!A:A,'BD VOLUME'!Y47,'BD Otimix'!O:O)+SUMIF('BD Otimix'!A:A,'BD VOLUME'!Z47,'BD Otimix'!O:O)+SUMIF('BD Otimix'!A:A,'BD VOLUME'!AA47,'BD Otimix'!O:O)+SUMIF('BD Otimix'!A:A,'BD VOLUME'!AB47,'BD Otimix'!O:O)+SUMIF('BD Otimix'!A:A,'BD VOLUME'!AC47,'BD Otimix'!O:O)+SUMIF('BD Otimix'!A:A,'BD VOLUME'!W47,'BD Otimix'!O:O),0)</f>
        <v>0</v>
      </c>
      <c r="AE47" s="327">
        <f t="shared" ref="AE47:AE52" si="13">IFERROR(F47/$E$3/1000/AD47,0)</f>
        <v>0</v>
      </c>
      <c r="AF47" s="7" t="str">
        <f>Preencher!$B$3&amp;$U$8&amp;$V$8&amp;A47&amp;$AF$6</f>
        <v>JARINU-FRG41262MQ.GIROFREEZER</v>
      </c>
      <c r="AG47" s="7" t="str">
        <f>Preencher!$B$3&amp;$U$8&amp;$V$8&amp;A47&amp;$AG$6</f>
        <v>JARINU-FRG41262MQ.GIROFREEZER (1)</v>
      </c>
      <c r="AH47" s="7" t="str">
        <f>Preencher!$B$3&amp;$U$8&amp;$V$8&amp;A47&amp;$AH$6</f>
        <v>JARINU-FRG41262MQ.GIROFREEZER (2)</v>
      </c>
      <c r="AI47" s="7" t="str">
        <f>Preencher!$B$3&amp;$U$8&amp;$V$8&amp;A47&amp;$AI$6</f>
        <v>JARINU-FRG41262MQ.GIROFREEZER REV04</v>
      </c>
      <c r="AJ47" s="7" t="str">
        <f>Preencher!$B$3&amp;$U$8&amp;$V$8&amp;A47&amp;$AJ$6</f>
        <v>JARINU-FRG41262MQ.GIROFREEZER (3)</v>
      </c>
      <c r="AK47" s="327">
        <f>IFERROR(SUMIF('BD Otimix'!A:A,'BD VOLUME'!AG47,'BD Otimix'!O:O)+SUMIF('BD Otimix'!A:A,'BD VOLUME'!AH47,'BD Otimix'!O:O)+SUMIF('BD Otimix'!A:A,'BD VOLUME'!AI47,'BD Otimix'!O:O)+SUMIF('BD Otimix'!A:A,'BD VOLUME'!AJ47,'BD Otimix'!O:O)+SUMIF('BD Otimix'!A:A,'BD VOLUME'!AF47,'BD Otimix'!O:O),0)</f>
        <v>0</v>
      </c>
      <c r="AL47" s="7">
        <f t="shared" ref="AL47:AL52" si="14">IFERROR(F47/$E$3/1000/AK47,0)</f>
        <v>0</v>
      </c>
    </row>
    <row r="48" spans="1:38">
      <c r="A48" s="720">
        <v>790729</v>
      </c>
      <c r="B48" s="720" t="s">
        <v>2771</v>
      </c>
      <c r="C48" s="5" t="s">
        <v>2689</v>
      </c>
      <c r="D48" s="5" t="s">
        <v>941</v>
      </c>
      <c r="E48" s="5" t="s">
        <v>1145</v>
      </c>
      <c r="F48" s="132">
        <f>SUMIF('COLAR PLANO'!$A:$A,A48,'COLAR PLANO'!$D:$D)</f>
        <v>0</v>
      </c>
      <c r="G48" s="131">
        <f t="shared" si="11"/>
        <v>0</v>
      </c>
      <c r="H48" s="6">
        <v>2.3326397481037306E-2</v>
      </c>
      <c r="I48" s="7">
        <f>IFERROR(G48/$D$7/H48,0)</f>
        <v>0</v>
      </c>
      <c r="J48" s="130">
        <f>IFERROR(I48/$B$7,0)</f>
        <v>0</v>
      </c>
      <c r="K48" s="720">
        <v>10</v>
      </c>
      <c r="L48" s="720">
        <v>1</v>
      </c>
      <c r="M48" s="720">
        <v>10</v>
      </c>
      <c r="N48" s="7">
        <f>IFERROR(G48/K48,"-")</f>
        <v>0</v>
      </c>
      <c r="O48" s="7"/>
      <c r="P48" s="311">
        <f t="shared" si="12"/>
        <v>0</v>
      </c>
      <c r="Q48" s="7"/>
      <c r="R48" s="7"/>
      <c r="S48" s="7"/>
      <c r="T48" s="7"/>
      <c r="U48" s="7" t="s">
        <v>2288</v>
      </c>
      <c r="V48" s="7" t="s">
        <v>2289</v>
      </c>
      <c r="W48" s="7" t="str">
        <f>Preencher!$B$3&amp;U48&amp;V48&amp;A48&amp;$W$6</f>
        <v>JARINU-FRG790729MQ.TUNEL DE CG (CONTINUO)</v>
      </c>
      <c r="X48" s="7" t="str">
        <f>Preencher!$B$3&amp;U48&amp;V48&amp;A48&amp;$X$6</f>
        <v>JARINU-FRG790729MQ.TUNEL DE CG (CONTINUO) (1)</v>
      </c>
      <c r="Y48" s="7" t="str">
        <f>Preencher!$B$3&amp;U48&amp;V48&amp;A48&amp;$Y$6</f>
        <v>JARINU-FRG790729MQ.TUNEL DE CG (CONTINUO) (2)</v>
      </c>
      <c r="Z48" s="7" t="str">
        <f>Preencher!$B$3&amp;U48&amp;V48&amp;A48&amp;$Z$6</f>
        <v>JARINU-FRG790729MQ.TUNEL DE CG (CONTINUO) (3)</v>
      </c>
      <c r="AA48" s="7" t="str">
        <f>Preencher!$B$3&amp;U48&amp;V48&amp;A48&amp;$AA$6</f>
        <v>JARINU-FRG790729MQ.TUNEL DE CG (ESTATICO)</v>
      </c>
      <c r="AB48" s="7" t="str">
        <f>Preencher!$B$3&amp;U48&amp;V48&amp;A48&amp;$AB$6</f>
        <v>JARINU-FRG790729MQ.TUNEL DE CG (ESTATICO) (1)</v>
      </c>
      <c r="AC48" s="7" t="str">
        <f>Preencher!$B$3&amp;U48&amp;V48&amp;A48&amp;$AC$6</f>
        <v>JARINU-FRG790729MQ.TUNEL DE CG (ESTATICO) (2)</v>
      </c>
      <c r="AD48" s="327">
        <f>IFERROR(SUMIF('BD Otimix'!A:A,'BD VOLUME'!X48,'BD Otimix'!O:O)+SUMIF('BD Otimix'!A:A,'BD VOLUME'!Y48,'BD Otimix'!O:O)+SUMIF('BD Otimix'!A:A,'BD VOLUME'!Z48,'BD Otimix'!O:O)+SUMIF('BD Otimix'!A:A,'BD VOLUME'!AA48,'BD Otimix'!O:O)+SUMIF('BD Otimix'!A:A,'BD VOLUME'!AB48,'BD Otimix'!O:O)+SUMIF('BD Otimix'!A:A,'BD VOLUME'!AC48,'BD Otimix'!O:O)+SUMIF('BD Otimix'!A:A,'BD VOLUME'!W48,'BD Otimix'!O:O),0)</f>
        <v>0</v>
      </c>
      <c r="AE48" s="327">
        <f t="shared" si="13"/>
        <v>0</v>
      </c>
      <c r="AF48" s="7" t="str">
        <f>Preencher!$B$3&amp;$U$8&amp;$V$8&amp;A48&amp;$AF$6</f>
        <v>JARINU-FRG790729MQ.GIROFREEZER</v>
      </c>
      <c r="AG48" s="7" t="str">
        <f>Preencher!$B$3&amp;$U$8&amp;$V$8&amp;A48&amp;$AG$6</f>
        <v>JARINU-FRG790729MQ.GIROFREEZER (1)</v>
      </c>
      <c r="AH48" s="7" t="str">
        <f>Preencher!$B$3&amp;$U$8&amp;$V$8&amp;A48&amp;$AH$6</f>
        <v>JARINU-FRG790729MQ.GIROFREEZER (2)</v>
      </c>
      <c r="AI48" s="7" t="str">
        <f>Preencher!$B$3&amp;$U$8&amp;$V$8&amp;A48&amp;$AI$6</f>
        <v>JARINU-FRG790729MQ.GIROFREEZER REV04</v>
      </c>
      <c r="AJ48" s="7" t="str">
        <f>Preencher!$B$3&amp;$U$8&amp;$V$8&amp;A48&amp;$AJ$6</f>
        <v>JARINU-FRG790729MQ.GIROFREEZER (3)</v>
      </c>
      <c r="AK48" s="327">
        <f>IFERROR(SUMIF('BD Otimix'!A:A,'BD VOLUME'!AG48,'BD Otimix'!O:O)+SUMIF('BD Otimix'!A:A,'BD VOLUME'!AH48,'BD Otimix'!O:O)+SUMIF('BD Otimix'!A:A,'BD VOLUME'!AI48,'BD Otimix'!O:O)+SUMIF('BD Otimix'!A:A,'BD VOLUME'!AJ48,'BD Otimix'!O:O)+SUMIF('BD Otimix'!A:A,'BD VOLUME'!AF48,'BD Otimix'!O:O),0)</f>
        <v>0</v>
      </c>
      <c r="AL48" s="7">
        <f t="shared" si="14"/>
        <v>0</v>
      </c>
    </row>
    <row r="49" spans="1:38">
      <c r="A49" s="710">
        <v>977128</v>
      </c>
      <c r="B49" s="710" t="s">
        <v>2772</v>
      </c>
      <c r="C49" s="5" t="s">
        <v>2691</v>
      </c>
      <c r="D49" s="5" t="s">
        <v>941</v>
      </c>
      <c r="E49" s="5" t="s">
        <v>1145</v>
      </c>
      <c r="F49" s="132">
        <f>SUMIF('COLAR PLANO'!$A:$A,A49,'COLAR PLANO'!$D:$D)</f>
        <v>0</v>
      </c>
      <c r="G49" s="131">
        <f t="shared" si="11"/>
        <v>0</v>
      </c>
      <c r="H49" s="6">
        <v>2.3326397481037306E-2</v>
      </c>
      <c r="I49" s="7">
        <f>IFERROR(G49/$D$7/H49,0)</f>
        <v>0</v>
      </c>
      <c r="J49" s="130">
        <f>IFERROR(I49/$B$7,0)</f>
        <v>0</v>
      </c>
      <c r="K49" s="720">
        <v>10</v>
      </c>
      <c r="L49" s="720">
        <v>1</v>
      </c>
      <c r="M49" s="720">
        <v>10</v>
      </c>
      <c r="N49" s="7">
        <f>IFERROR(G49/K49,"-")</f>
        <v>0</v>
      </c>
      <c r="O49" s="7"/>
      <c r="P49" s="311">
        <f t="shared" si="12"/>
        <v>0</v>
      </c>
      <c r="Q49" s="7"/>
      <c r="R49" s="7"/>
      <c r="S49" s="7"/>
      <c r="T49" s="7"/>
      <c r="U49" s="7" t="s">
        <v>2288</v>
      </c>
      <c r="V49" s="7" t="s">
        <v>2289</v>
      </c>
      <c r="W49" s="7" t="str">
        <f>Preencher!$B$3&amp;U49&amp;V49&amp;A49&amp;$W$6</f>
        <v>JARINU-FRG977128MQ.TUNEL DE CG (CONTINUO)</v>
      </c>
      <c r="X49" s="7" t="str">
        <f>Preencher!$B$3&amp;U49&amp;V49&amp;A49&amp;$X$6</f>
        <v>JARINU-FRG977128MQ.TUNEL DE CG (CONTINUO) (1)</v>
      </c>
      <c r="Y49" s="7" t="str">
        <f>Preencher!$B$3&amp;U49&amp;V49&amp;A49&amp;$Y$6</f>
        <v>JARINU-FRG977128MQ.TUNEL DE CG (CONTINUO) (2)</v>
      </c>
      <c r="Z49" s="7" t="str">
        <f>Preencher!$B$3&amp;U49&amp;V49&amp;A49&amp;$Z$6</f>
        <v>JARINU-FRG977128MQ.TUNEL DE CG (CONTINUO) (3)</v>
      </c>
      <c r="AA49" s="7" t="str">
        <f>Preencher!$B$3&amp;U49&amp;V49&amp;A49&amp;$AA$6</f>
        <v>JARINU-FRG977128MQ.TUNEL DE CG (ESTATICO)</v>
      </c>
      <c r="AB49" s="7" t="str">
        <f>Preencher!$B$3&amp;U49&amp;V49&amp;A49&amp;$AB$6</f>
        <v>JARINU-FRG977128MQ.TUNEL DE CG (ESTATICO) (1)</v>
      </c>
      <c r="AC49" s="7" t="str">
        <f>Preencher!$B$3&amp;U49&amp;V49&amp;A49&amp;$AC$6</f>
        <v>JARINU-FRG977128MQ.TUNEL DE CG (ESTATICO) (2)</v>
      </c>
      <c r="AD49" s="327">
        <f>IFERROR(SUMIF('BD Otimix'!A:A,'BD VOLUME'!X49,'BD Otimix'!O:O)+SUMIF('BD Otimix'!A:A,'BD VOLUME'!Y49,'BD Otimix'!O:O)+SUMIF('BD Otimix'!A:A,'BD VOLUME'!Z49,'BD Otimix'!O:O)+SUMIF('BD Otimix'!A:A,'BD VOLUME'!AA49,'BD Otimix'!O:O)+SUMIF('BD Otimix'!A:A,'BD VOLUME'!AB49,'BD Otimix'!O:O)+SUMIF('BD Otimix'!A:A,'BD VOLUME'!AC49,'BD Otimix'!O:O)+SUMIF('BD Otimix'!A:A,'BD VOLUME'!W49,'BD Otimix'!O:O),0)</f>
        <v>0</v>
      </c>
      <c r="AE49" s="327">
        <f t="shared" si="13"/>
        <v>0</v>
      </c>
      <c r="AF49" s="7" t="str">
        <f>Preencher!$B$3&amp;$U$8&amp;$V$8&amp;A49&amp;$AF$6</f>
        <v>JARINU-FRG977128MQ.GIROFREEZER</v>
      </c>
      <c r="AG49" s="7" t="str">
        <f>Preencher!$B$3&amp;$U$8&amp;$V$8&amp;A49&amp;$AG$6</f>
        <v>JARINU-FRG977128MQ.GIROFREEZER (1)</v>
      </c>
      <c r="AH49" s="7" t="str">
        <f>Preencher!$B$3&amp;$U$8&amp;$V$8&amp;A49&amp;$AH$6</f>
        <v>JARINU-FRG977128MQ.GIROFREEZER (2)</v>
      </c>
      <c r="AI49" s="7" t="str">
        <f>Preencher!$B$3&amp;$U$8&amp;$V$8&amp;A49&amp;$AI$6</f>
        <v>JARINU-FRG977128MQ.GIROFREEZER REV04</v>
      </c>
      <c r="AJ49" s="7" t="str">
        <f>Preencher!$B$3&amp;$U$8&amp;$V$8&amp;A49&amp;$AJ$6</f>
        <v>JARINU-FRG977128MQ.GIROFREEZER (3)</v>
      </c>
      <c r="AK49" s="327">
        <f>IFERROR(SUMIF('BD Otimix'!A:A,'BD VOLUME'!AG49,'BD Otimix'!O:O)+SUMIF('BD Otimix'!A:A,'BD VOLUME'!AH49,'BD Otimix'!O:O)+SUMIF('BD Otimix'!A:A,'BD VOLUME'!AI49,'BD Otimix'!O:O)+SUMIF('BD Otimix'!A:A,'BD VOLUME'!AJ49,'BD Otimix'!O:O)+SUMIF('BD Otimix'!A:A,'BD VOLUME'!AF49,'BD Otimix'!O:O),0)</f>
        <v>0</v>
      </c>
      <c r="AL49" s="7">
        <f t="shared" si="14"/>
        <v>0</v>
      </c>
    </row>
    <row r="50" spans="1:38">
      <c r="A50" s="710">
        <v>929301</v>
      </c>
      <c r="B50" s="710" t="s">
        <v>2692</v>
      </c>
      <c r="C50" s="5" t="s">
        <v>2601</v>
      </c>
      <c r="D50" s="5" t="s">
        <v>941</v>
      </c>
      <c r="E50" s="5" t="s">
        <v>1146</v>
      </c>
      <c r="F50" s="132">
        <f>SUMIF('COLAR PLANO'!$A:$A,A50,'COLAR PLANO'!$D:$D)</f>
        <v>0</v>
      </c>
      <c r="G50" s="131">
        <f t="shared" si="11"/>
        <v>0</v>
      </c>
      <c r="H50" s="6">
        <v>2.3326397481037306E-2</v>
      </c>
      <c r="I50" s="7">
        <f t="shared" ref="I50:I56" si="15">IFERROR(G50/$D$7/H50,0)</f>
        <v>0</v>
      </c>
      <c r="J50" s="130">
        <f t="shared" ref="J50:J56" si="16">IFERROR(I50/$B$7,0)</f>
        <v>0</v>
      </c>
      <c r="K50" s="710">
        <v>15</v>
      </c>
      <c r="L50" s="710">
        <v>1</v>
      </c>
      <c r="M50" s="710">
        <v>15</v>
      </c>
      <c r="N50" s="7">
        <f t="shared" ref="N50:N56" si="17">IFERROR(G50/K50,"-")</f>
        <v>0</v>
      </c>
      <c r="O50" s="7"/>
      <c r="P50" s="311">
        <f t="shared" si="12"/>
        <v>0</v>
      </c>
      <c r="Q50" s="7"/>
      <c r="R50" s="7"/>
      <c r="S50" s="7"/>
      <c r="T50" s="7"/>
      <c r="U50" s="7" t="s">
        <v>2288</v>
      </c>
      <c r="V50" s="7" t="s">
        <v>2289</v>
      </c>
      <c r="W50" s="7" t="str">
        <f>Preencher!$B$3&amp;U50&amp;V50&amp;A50&amp;$W$6</f>
        <v>JARINU-FRG929301MQ.TUNEL DE CG (CONTINUO)</v>
      </c>
      <c r="X50" s="7" t="str">
        <f>Preencher!$B$3&amp;U50&amp;V50&amp;A50&amp;$X$6</f>
        <v>JARINU-FRG929301MQ.TUNEL DE CG (CONTINUO) (1)</v>
      </c>
      <c r="Y50" s="7" t="str">
        <f>Preencher!$B$3&amp;U50&amp;V50&amp;A50&amp;$Y$6</f>
        <v>JARINU-FRG929301MQ.TUNEL DE CG (CONTINUO) (2)</v>
      </c>
      <c r="Z50" s="7" t="str">
        <f>Preencher!$B$3&amp;U50&amp;V50&amp;A50&amp;$Z$6</f>
        <v>JARINU-FRG929301MQ.TUNEL DE CG (CONTINUO) (3)</v>
      </c>
      <c r="AA50" s="7" t="str">
        <f>Preencher!$B$3&amp;U50&amp;V50&amp;A50&amp;$AA$6</f>
        <v>JARINU-FRG929301MQ.TUNEL DE CG (ESTATICO)</v>
      </c>
      <c r="AB50" s="7" t="str">
        <f>Preencher!$B$3&amp;U50&amp;V50&amp;A50&amp;$AB$6</f>
        <v>JARINU-FRG929301MQ.TUNEL DE CG (ESTATICO) (1)</v>
      </c>
      <c r="AC50" s="7" t="str">
        <f>Preencher!$B$3&amp;U50&amp;V50&amp;A50&amp;$AC$6</f>
        <v>JARINU-FRG929301MQ.TUNEL DE CG (ESTATICO) (2)</v>
      </c>
      <c r="AD50" s="327">
        <f>IFERROR(SUMIF('BD Otimix'!A:A,'BD VOLUME'!X50,'BD Otimix'!O:O)+SUMIF('BD Otimix'!A:A,'BD VOLUME'!Y50,'BD Otimix'!O:O)+SUMIF('BD Otimix'!A:A,'BD VOLUME'!Z50,'BD Otimix'!O:O)+SUMIF('BD Otimix'!A:A,'BD VOLUME'!AA50,'BD Otimix'!O:O)+SUMIF('BD Otimix'!A:A,'BD VOLUME'!AB50,'BD Otimix'!O:O)+SUMIF('BD Otimix'!A:A,'BD VOLUME'!AC50,'BD Otimix'!O:O)+SUMIF('BD Otimix'!A:A,'BD VOLUME'!W50,'BD Otimix'!O:O),0)</f>
        <v>0</v>
      </c>
      <c r="AE50" s="327">
        <f t="shared" si="13"/>
        <v>0</v>
      </c>
      <c r="AF50" s="7" t="str">
        <f>Preencher!$B$3&amp;$U$8&amp;$V$8&amp;A50&amp;$AF$6</f>
        <v>JARINU-FRG929301MQ.GIROFREEZER</v>
      </c>
      <c r="AG50" s="7" t="str">
        <f>Preencher!$B$3&amp;$U$8&amp;$V$8&amp;A50&amp;$AG$6</f>
        <v>JARINU-FRG929301MQ.GIROFREEZER (1)</v>
      </c>
      <c r="AH50" s="7" t="str">
        <f>Preencher!$B$3&amp;$U$8&amp;$V$8&amp;A50&amp;$AH$6</f>
        <v>JARINU-FRG929301MQ.GIROFREEZER (2)</v>
      </c>
      <c r="AI50" s="7" t="str">
        <f>Preencher!$B$3&amp;$U$8&amp;$V$8&amp;A50&amp;$AI$6</f>
        <v>JARINU-FRG929301MQ.GIROFREEZER REV04</v>
      </c>
      <c r="AJ50" s="7" t="str">
        <f>Preencher!$B$3&amp;$U$8&amp;$V$8&amp;A50&amp;$AJ$6</f>
        <v>JARINU-FRG929301MQ.GIROFREEZER (3)</v>
      </c>
      <c r="AK50" s="327">
        <f>IFERROR(SUMIF('BD Otimix'!A:A,'BD VOLUME'!AG50,'BD Otimix'!O:O)+SUMIF('BD Otimix'!A:A,'BD VOLUME'!AH50,'BD Otimix'!O:O)+SUMIF('BD Otimix'!A:A,'BD VOLUME'!AI50,'BD Otimix'!O:O)+SUMIF('BD Otimix'!A:A,'BD VOLUME'!AJ50,'BD Otimix'!O:O)+SUMIF('BD Otimix'!A:A,'BD VOLUME'!AF50,'BD Otimix'!O:O),0)</f>
        <v>0</v>
      </c>
      <c r="AL50" s="7">
        <f t="shared" si="14"/>
        <v>0</v>
      </c>
    </row>
    <row r="51" spans="1:38">
      <c r="A51" s="710">
        <v>977110</v>
      </c>
      <c r="B51" s="710" t="s">
        <v>2690</v>
      </c>
      <c r="C51" s="5" t="s">
        <v>2691</v>
      </c>
      <c r="D51" s="5" t="s">
        <v>941</v>
      </c>
      <c r="E51" s="5" t="s">
        <v>1146</v>
      </c>
      <c r="F51" s="132">
        <f>SUMIF('COLAR PLANO'!$A:$A,A51,'COLAR PLANO'!$D:$D)</f>
        <v>0</v>
      </c>
      <c r="G51" s="131">
        <f t="shared" si="11"/>
        <v>0</v>
      </c>
      <c r="H51" s="6">
        <v>2.3326397481037306E-2</v>
      </c>
      <c r="I51" s="7">
        <f t="shared" si="15"/>
        <v>0</v>
      </c>
      <c r="J51" s="130">
        <f t="shared" si="16"/>
        <v>0</v>
      </c>
      <c r="K51" s="710">
        <v>15</v>
      </c>
      <c r="L51" s="710">
        <v>1</v>
      </c>
      <c r="M51" s="710">
        <v>15</v>
      </c>
      <c r="N51" s="7">
        <f t="shared" si="17"/>
        <v>0</v>
      </c>
      <c r="O51" s="7"/>
      <c r="P51" s="311">
        <f t="shared" si="12"/>
        <v>0</v>
      </c>
      <c r="Q51" s="7"/>
      <c r="R51" s="7"/>
      <c r="S51" s="7"/>
      <c r="T51" s="7"/>
      <c r="U51" s="7" t="s">
        <v>2288</v>
      </c>
      <c r="V51" s="7" t="s">
        <v>2289</v>
      </c>
      <c r="W51" s="7" t="str">
        <f>Preencher!$B$3&amp;U51&amp;V51&amp;A51&amp;$W$6</f>
        <v>JARINU-FRG977110MQ.TUNEL DE CG (CONTINUO)</v>
      </c>
      <c r="X51" s="7" t="str">
        <f>Preencher!$B$3&amp;U51&amp;V51&amp;A51&amp;$X$6</f>
        <v>JARINU-FRG977110MQ.TUNEL DE CG (CONTINUO) (1)</v>
      </c>
      <c r="Y51" s="7" t="str">
        <f>Preencher!$B$3&amp;U51&amp;V51&amp;A51&amp;$Y$6</f>
        <v>JARINU-FRG977110MQ.TUNEL DE CG (CONTINUO) (2)</v>
      </c>
      <c r="Z51" s="7" t="str">
        <f>Preencher!$B$3&amp;U51&amp;V51&amp;A51&amp;$Z$6</f>
        <v>JARINU-FRG977110MQ.TUNEL DE CG (CONTINUO) (3)</v>
      </c>
      <c r="AA51" s="7" t="str">
        <f>Preencher!$B$3&amp;U51&amp;V51&amp;A51&amp;$AA$6</f>
        <v>JARINU-FRG977110MQ.TUNEL DE CG (ESTATICO)</v>
      </c>
      <c r="AB51" s="7" t="str">
        <f>Preencher!$B$3&amp;U51&amp;V51&amp;A51&amp;$AB$6</f>
        <v>JARINU-FRG977110MQ.TUNEL DE CG (ESTATICO) (1)</v>
      </c>
      <c r="AC51" s="7" t="str">
        <f>Preencher!$B$3&amp;U51&amp;V51&amp;A51&amp;$AC$6</f>
        <v>JARINU-FRG977110MQ.TUNEL DE CG (ESTATICO) (2)</v>
      </c>
      <c r="AD51" s="327">
        <f>IFERROR(SUMIF('BD Otimix'!A:A,'BD VOLUME'!X51,'BD Otimix'!O:O)+SUMIF('BD Otimix'!A:A,'BD VOLUME'!Y51,'BD Otimix'!O:O)+SUMIF('BD Otimix'!A:A,'BD VOLUME'!Z51,'BD Otimix'!O:O)+SUMIF('BD Otimix'!A:A,'BD VOLUME'!AA51,'BD Otimix'!O:O)+SUMIF('BD Otimix'!A:A,'BD VOLUME'!AB51,'BD Otimix'!O:O)+SUMIF('BD Otimix'!A:A,'BD VOLUME'!AC51,'BD Otimix'!O:O)+SUMIF('BD Otimix'!A:A,'BD VOLUME'!W51,'BD Otimix'!O:O),0)</f>
        <v>0</v>
      </c>
      <c r="AE51" s="327">
        <f t="shared" si="13"/>
        <v>0</v>
      </c>
      <c r="AF51" s="7" t="str">
        <f>Preencher!$B$3&amp;$U$8&amp;$V$8&amp;A51&amp;$AF$6</f>
        <v>JARINU-FRG977110MQ.GIROFREEZER</v>
      </c>
      <c r="AG51" s="7" t="str">
        <f>Preencher!$B$3&amp;$U$8&amp;$V$8&amp;A51&amp;$AG$6</f>
        <v>JARINU-FRG977110MQ.GIROFREEZER (1)</v>
      </c>
      <c r="AH51" s="7" t="str">
        <f>Preencher!$B$3&amp;$U$8&amp;$V$8&amp;A51&amp;$AH$6</f>
        <v>JARINU-FRG977110MQ.GIROFREEZER (2)</v>
      </c>
      <c r="AI51" s="7" t="str">
        <f>Preencher!$B$3&amp;$U$8&amp;$V$8&amp;A51&amp;$AI$6</f>
        <v>JARINU-FRG977110MQ.GIROFREEZER REV04</v>
      </c>
      <c r="AJ51" s="7" t="str">
        <f>Preencher!$B$3&amp;$U$8&amp;$V$8&amp;A51&amp;$AJ$6</f>
        <v>JARINU-FRG977110MQ.GIROFREEZER (3)</v>
      </c>
      <c r="AK51" s="327">
        <f>IFERROR(SUMIF('BD Otimix'!A:A,'BD VOLUME'!AG51,'BD Otimix'!O:O)+SUMIF('BD Otimix'!A:A,'BD VOLUME'!AH51,'BD Otimix'!O:O)+SUMIF('BD Otimix'!A:A,'BD VOLUME'!AI51,'BD Otimix'!O:O)+SUMIF('BD Otimix'!A:A,'BD VOLUME'!AJ51,'BD Otimix'!O:O)+SUMIF('BD Otimix'!A:A,'BD VOLUME'!AF51,'BD Otimix'!O:O),0)</f>
        <v>0</v>
      </c>
      <c r="AL51" s="7">
        <f t="shared" si="14"/>
        <v>0</v>
      </c>
    </row>
    <row r="52" spans="1:38">
      <c r="A52" s="710">
        <v>59510</v>
      </c>
      <c r="B52" s="710" t="s">
        <v>2688</v>
      </c>
      <c r="C52" s="5" t="s">
        <v>2689</v>
      </c>
      <c r="D52" s="5" t="s">
        <v>941</v>
      </c>
      <c r="E52" s="5" t="s">
        <v>1146</v>
      </c>
      <c r="F52" s="132">
        <f>SUMIF('COLAR PLANO'!$A:$A,A52,'COLAR PLANO'!$D:$D)</f>
        <v>0</v>
      </c>
      <c r="G52" s="131">
        <f t="shared" si="11"/>
        <v>0</v>
      </c>
      <c r="H52" s="6">
        <v>2.3326397481037306E-2</v>
      </c>
      <c r="I52" s="7">
        <f t="shared" si="15"/>
        <v>0</v>
      </c>
      <c r="J52" s="130">
        <f t="shared" si="16"/>
        <v>0</v>
      </c>
      <c r="K52" s="710">
        <v>15</v>
      </c>
      <c r="L52" s="710">
        <v>1</v>
      </c>
      <c r="M52" s="710">
        <v>15</v>
      </c>
      <c r="N52" s="7">
        <f t="shared" si="17"/>
        <v>0</v>
      </c>
      <c r="O52" s="7"/>
      <c r="P52" s="311">
        <f t="shared" si="12"/>
        <v>0</v>
      </c>
      <c r="Q52" s="7"/>
      <c r="R52" s="7"/>
      <c r="S52" s="7"/>
      <c r="T52" s="7"/>
      <c r="U52" s="7" t="s">
        <v>2288</v>
      </c>
      <c r="V52" s="7" t="s">
        <v>2289</v>
      </c>
      <c r="W52" s="7" t="str">
        <f>Preencher!$B$3&amp;U52&amp;V52&amp;A52&amp;$W$6</f>
        <v>JARINU-FRG59510MQ.TUNEL DE CG (CONTINUO)</v>
      </c>
      <c r="X52" s="7" t="str">
        <f>Preencher!$B$3&amp;U52&amp;V52&amp;A52&amp;$X$6</f>
        <v>JARINU-FRG59510MQ.TUNEL DE CG (CONTINUO) (1)</v>
      </c>
      <c r="Y52" s="7" t="str">
        <f>Preencher!$B$3&amp;U52&amp;V52&amp;A52&amp;$Y$6</f>
        <v>JARINU-FRG59510MQ.TUNEL DE CG (CONTINUO) (2)</v>
      </c>
      <c r="Z52" s="7" t="str">
        <f>Preencher!$B$3&amp;U52&amp;V52&amp;A52&amp;$Z$6</f>
        <v>JARINU-FRG59510MQ.TUNEL DE CG (CONTINUO) (3)</v>
      </c>
      <c r="AA52" s="7" t="str">
        <f>Preencher!$B$3&amp;U52&amp;V52&amp;A52&amp;$AA$6</f>
        <v>JARINU-FRG59510MQ.TUNEL DE CG (ESTATICO)</v>
      </c>
      <c r="AB52" s="7" t="str">
        <f>Preencher!$B$3&amp;U52&amp;V52&amp;A52&amp;$AB$6</f>
        <v>JARINU-FRG59510MQ.TUNEL DE CG (ESTATICO) (1)</v>
      </c>
      <c r="AC52" s="7" t="str">
        <f>Preencher!$B$3&amp;U52&amp;V52&amp;A52&amp;$AC$6</f>
        <v>JARINU-FRG59510MQ.TUNEL DE CG (ESTATICO) (2)</v>
      </c>
      <c r="AD52" s="327">
        <f>IFERROR(SUMIF('BD Otimix'!A:A,'BD VOLUME'!X52,'BD Otimix'!O:O)+SUMIF('BD Otimix'!A:A,'BD VOLUME'!Y52,'BD Otimix'!O:O)+SUMIF('BD Otimix'!A:A,'BD VOLUME'!Z52,'BD Otimix'!O:O)+SUMIF('BD Otimix'!A:A,'BD VOLUME'!AA52,'BD Otimix'!O:O)+SUMIF('BD Otimix'!A:A,'BD VOLUME'!AB52,'BD Otimix'!O:O)+SUMIF('BD Otimix'!A:A,'BD VOLUME'!AC52,'BD Otimix'!O:O)+SUMIF('BD Otimix'!A:A,'BD VOLUME'!W52,'BD Otimix'!O:O),0)</f>
        <v>0</v>
      </c>
      <c r="AE52" s="327">
        <f t="shared" si="13"/>
        <v>0</v>
      </c>
      <c r="AF52" s="7" t="str">
        <f>Preencher!$B$3&amp;$U$8&amp;$V$8&amp;A52&amp;$AF$6</f>
        <v>JARINU-FRG59510MQ.GIROFREEZER</v>
      </c>
      <c r="AG52" s="7" t="str">
        <f>Preencher!$B$3&amp;$U$8&amp;$V$8&amp;A52&amp;$AG$6</f>
        <v>JARINU-FRG59510MQ.GIROFREEZER (1)</v>
      </c>
      <c r="AH52" s="7" t="str">
        <f>Preencher!$B$3&amp;$U$8&amp;$V$8&amp;A52&amp;$AH$6</f>
        <v>JARINU-FRG59510MQ.GIROFREEZER (2)</v>
      </c>
      <c r="AI52" s="7" t="str">
        <f>Preencher!$B$3&amp;$U$8&amp;$V$8&amp;A52&amp;$AI$6</f>
        <v>JARINU-FRG59510MQ.GIROFREEZER REV04</v>
      </c>
      <c r="AJ52" s="7" t="str">
        <f>Preencher!$B$3&amp;$U$8&amp;$V$8&amp;A52&amp;$AJ$6</f>
        <v>JARINU-FRG59510MQ.GIROFREEZER (3)</v>
      </c>
      <c r="AK52" s="327">
        <f>IFERROR(SUMIF('BD Otimix'!A:A,'BD VOLUME'!AG52,'BD Otimix'!O:O)+SUMIF('BD Otimix'!A:A,'BD VOLUME'!AH52,'BD Otimix'!O:O)+SUMIF('BD Otimix'!A:A,'BD VOLUME'!AI52,'BD Otimix'!O:O)+SUMIF('BD Otimix'!A:A,'BD VOLUME'!AJ52,'BD Otimix'!O:O)+SUMIF('BD Otimix'!A:A,'BD VOLUME'!AF52,'BD Otimix'!O:O),0)</f>
        <v>0</v>
      </c>
      <c r="AL52" s="7">
        <f t="shared" si="14"/>
        <v>0</v>
      </c>
    </row>
    <row r="53" spans="1:38">
      <c r="A53" s="580">
        <v>42030</v>
      </c>
      <c r="B53" s="580" t="s">
        <v>2054</v>
      </c>
      <c r="C53" s="5" t="s">
        <v>1090</v>
      </c>
      <c r="D53" s="5" t="s">
        <v>941</v>
      </c>
      <c r="E53" s="5" t="s">
        <v>1144</v>
      </c>
      <c r="F53" s="132">
        <f>SUMIF('COLAR PLANO'!$A:$A,A53,'COLAR PLANO'!$D:$D)</f>
        <v>0</v>
      </c>
      <c r="G53" s="131">
        <f t="shared" si="0"/>
        <v>0</v>
      </c>
      <c r="H53" s="6">
        <v>3.5000000000000003E-2</v>
      </c>
      <c r="I53" s="7">
        <f t="shared" si="15"/>
        <v>0</v>
      </c>
      <c r="J53" s="130">
        <f t="shared" si="16"/>
        <v>0</v>
      </c>
      <c r="K53" s="580">
        <v>7.5</v>
      </c>
      <c r="L53" s="580">
        <v>2</v>
      </c>
      <c r="M53" s="580">
        <v>15</v>
      </c>
      <c r="N53" s="7">
        <f t="shared" si="17"/>
        <v>0</v>
      </c>
      <c r="O53" s="7">
        <f>IFERROR(G53/M53,"-")</f>
        <v>0</v>
      </c>
      <c r="P53" s="311"/>
      <c r="Q53" s="7"/>
      <c r="R53" s="7"/>
      <c r="S53" s="7"/>
      <c r="T53" s="7"/>
      <c r="U53" s="7" t="s">
        <v>2288</v>
      </c>
      <c r="V53" s="7" t="s">
        <v>2289</v>
      </c>
      <c r="W53" s="7" t="str">
        <f>Preencher!$B$3&amp;U53&amp;V53&amp;A53&amp;$W$6</f>
        <v>JARINU-FRG42030MQ.TUNEL DE CG (CONTINUO)</v>
      </c>
      <c r="X53" s="7" t="str">
        <f>Preencher!$B$3&amp;U53&amp;V53&amp;A53&amp;$X$6</f>
        <v>JARINU-FRG42030MQ.TUNEL DE CG (CONTINUO) (1)</v>
      </c>
      <c r="Y53" s="7" t="str">
        <f>Preencher!$B$3&amp;U53&amp;V53&amp;A53&amp;$Y$6</f>
        <v>JARINU-FRG42030MQ.TUNEL DE CG (CONTINUO) (2)</v>
      </c>
      <c r="Z53" s="7" t="str">
        <f>Preencher!$B$3&amp;U53&amp;V53&amp;A53&amp;$Z$6</f>
        <v>JARINU-FRG42030MQ.TUNEL DE CG (CONTINUO) (3)</v>
      </c>
      <c r="AA53" s="7" t="str">
        <f>Preencher!$B$3&amp;U53&amp;V53&amp;A53&amp;$AA$6</f>
        <v>JARINU-FRG42030MQ.TUNEL DE CG (ESTATICO)</v>
      </c>
      <c r="AB53" s="7" t="str">
        <f>Preencher!$B$3&amp;U53&amp;V53&amp;A53&amp;$AB$6</f>
        <v>JARINU-FRG42030MQ.TUNEL DE CG (ESTATICO) (1)</v>
      </c>
      <c r="AC53" s="7" t="str">
        <f>Preencher!$B$3&amp;U53&amp;V53&amp;A53&amp;$AC$6</f>
        <v>JARINU-FRG42030MQ.TUNEL DE CG (ESTATICO) (2)</v>
      </c>
      <c r="AD53" s="327">
        <f>IFERROR(SUMIF('BD Otimix'!A:A,'BD VOLUME'!X53,'BD Otimix'!O:O)+SUMIF('BD Otimix'!A:A,'BD VOLUME'!Y53,'BD Otimix'!O:O)+SUMIF('BD Otimix'!A:A,'BD VOLUME'!Z53,'BD Otimix'!O:O)+SUMIF('BD Otimix'!A:A,'BD VOLUME'!AA53,'BD Otimix'!O:O)+SUMIF('BD Otimix'!A:A,'BD VOLUME'!AB53,'BD Otimix'!O:O)+SUMIF('BD Otimix'!A:A,'BD VOLUME'!AC53,'BD Otimix'!O:O)+SUMIF('BD Otimix'!A:A,'BD VOLUME'!W53,'BD Otimix'!O:O),0)</f>
        <v>0</v>
      </c>
      <c r="AE53" s="327">
        <f t="shared" si="5"/>
        <v>0</v>
      </c>
      <c r="AF53" s="7" t="str">
        <f>Preencher!$B$3&amp;$U$8&amp;$V$8&amp;A53&amp;$AF$6</f>
        <v>JARINU-FRG42030MQ.GIROFREEZER</v>
      </c>
      <c r="AG53" s="7" t="str">
        <f>Preencher!$B$3&amp;$U$8&amp;$V$8&amp;A53&amp;$AG$6</f>
        <v>JARINU-FRG42030MQ.GIROFREEZER (1)</v>
      </c>
      <c r="AH53" s="7" t="str">
        <f>Preencher!$B$3&amp;$U$8&amp;$V$8&amp;A53&amp;$AH$6</f>
        <v>JARINU-FRG42030MQ.GIROFREEZER (2)</v>
      </c>
      <c r="AI53" s="7" t="str">
        <f>Preencher!$B$3&amp;$U$8&amp;$V$8&amp;A53&amp;$AI$6</f>
        <v>JARINU-FRG42030MQ.GIROFREEZER REV04</v>
      </c>
      <c r="AJ53" s="7" t="str">
        <f>Preencher!$B$3&amp;$U$8&amp;$V$8&amp;A53&amp;$AJ$6</f>
        <v>JARINU-FRG42030MQ.GIROFREEZER (3)</v>
      </c>
      <c r="AK53" s="327">
        <f>IFERROR(SUMIF('BD Otimix'!A:A,'BD VOLUME'!AG53,'BD Otimix'!O:O)+SUMIF('BD Otimix'!A:A,'BD VOLUME'!AH53,'BD Otimix'!O:O)+SUMIF('BD Otimix'!A:A,'BD VOLUME'!AI53,'BD Otimix'!O:O)+SUMIF('BD Otimix'!A:A,'BD VOLUME'!AJ53,'BD Otimix'!O:O)+SUMIF('BD Otimix'!A:A,'BD VOLUME'!AF53,'BD Otimix'!O:O),0)</f>
        <v>0</v>
      </c>
      <c r="AL53" s="7">
        <f t="shared" si="6"/>
        <v>0</v>
      </c>
    </row>
    <row r="54" spans="1:38">
      <c r="A54" s="580">
        <v>977713</v>
      </c>
      <c r="B54" s="580" t="s">
        <v>2055</v>
      </c>
      <c r="C54" s="5" t="s">
        <v>1093</v>
      </c>
      <c r="D54" s="5" t="s">
        <v>941</v>
      </c>
      <c r="E54" s="5" t="s">
        <v>1144</v>
      </c>
      <c r="F54" s="132">
        <f>SUMIF('COLAR PLANO'!$A:$A,A54,'COLAR PLANO'!$D:$D)</f>
        <v>0</v>
      </c>
      <c r="G54" s="131">
        <f t="shared" si="0"/>
        <v>0</v>
      </c>
      <c r="H54" s="6">
        <v>3.5000000000000003E-2</v>
      </c>
      <c r="I54" s="7">
        <f t="shared" si="15"/>
        <v>0</v>
      </c>
      <c r="J54" s="130">
        <f t="shared" si="16"/>
        <v>0</v>
      </c>
      <c r="K54" s="580">
        <v>7.5</v>
      </c>
      <c r="L54" s="580">
        <v>2</v>
      </c>
      <c r="M54" s="580">
        <v>15</v>
      </c>
      <c r="N54" s="7">
        <f t="shared" si="17"/>
        <v>0</v>
      </c>
      <c r="O54" s="7">
        <f>IFERROR(G54/M54,"-")</f>
        <v>0</v>
      </c>
      <c r="P54" s="311"/>
      <c r="Q54" s="7"/>
      <c r="R54" s="7"/>
      <c r="S54" s="7"/>
      <c r="T54" s="7"/>
      <c r="U54" s="7" t="s">
        <v>2288</v>
      </c>
      <c r="V54" s="7" t="s">
        <v>2289</v>
      </c>
      <c r="W54" s="7" t="str">
        <f>Preencher!$B$3&amp;U54&amp;V54&amp;A54&amp;$W$6</f>
        <v>JARINU-FRG977713MQ.TUNEL DE CG (CONTINUO)</v>
      </c>
      <c r="X54" s="7" t="str">
        <f>Preencher!$B$3&amp;U54&amp;V54&amp;A54&amp;$X$6</f>
        <v>JARINU-FRG977713MQ.TUNEL DE CG (CONTINUO) (1)</v>
      </c>
      <c r="Y54" s="7" t="str">
        <f>Preencher!$B$3&amp;U54&amp;V54&amp;A54&amp;$Y$6</f>
        <v>JARINU-FRG977713MQ.TUNEL DE CG (CONTINUO) (2)</v>
      </c>
      <c r="Z54" s="7" t="str">
        <f>Preencher!$B$3&amp;U54&amp;V54&amp;A54&amp;$Z$6</f>
        <v>JARINU-FRG977713MQ.TUNEL DE CG (CONTINUO) (3)</v>
      </c>
      <c r="AA54" s="7" t="str">
        <f>Preencher!$B$3&amp;U54&amp;V54&amp;A54&amp;$AA$6</f>
        <v>JARINU-FRG977713MQ.TUNEL DE CG (ESTATICO)</v>
      </c>
      <c r="AB54" s="7" t="str">
        <f>Preencher!$B$3&amp;U54&amp;V54&amp;A54&amp;$AB$6</f>
        <v>JARINU-FRG977713MQ.TUNEL DE CG (ESTATICO) (1)</v>
      </c>
      <c r="AC54" s="7" t="str">
        <f>Preencher!$B$3&amp;U54&amp;V54&amp;A54&amp;$AC$6</f>
        <v>JARINU-FRG977713MQ.TUNEL DE CG (ESTATICO) (2)</v>
      </c>
      <c r="AD54" s="327">
        <f>IFERROR(SUMIF('BD Otimix'!A:A,'BD VOLUME'!X54,'BD Otimix'!O:O)+SUMIF('BD Otimix'!A:A,'BD VOLUME'!Y54,'BD Otimix'!O:O)+SUMIF('BD Otimix'!A:A,'BD VOLUME'!Z54,'BD Otimix'!O:O)+SUMIF('BD Otimix'!A:A,'BD VOLUME'!AA54,'BD Otimix'!O:O)+SUMIF('BD Otimix'!A:A,'BD VOLUME'!AB54,'BD Otimix'!O:O)+SUMIF('BD Otimix'!A:A,'BD VOLUME'!AC54,'BD Otimix'!O:O)+SUMIF('BD Otimix'!A:A,'BD VOLUME'!W54,'BD Otimix'!O:O),0)</f>
        <v>0</v>
      </c>
      <c r="AE54" s="327">
        <f t="shared" si="5"/>
        <v>0</v>
      </c>
      <c r="AF54" s="7" t="str">
        <f>Preencher!$B$3&amp;$U$8&amp;$V$8&amp;A54&amp;$AF$6</f>
        <v>JARINU-FRG977713MQ.GIROFREEZER</v>
      </c>
      <c r="AG54" s="7" t="str">
        <f>Preencher!$B$3&amp;$U$8&amp;$V$8&amp;A54&amp;$AG$6</f>
        <v>JARINU-FRG977713MQ.GIROFREEZER (1)</v>
      </c>
      <c r="AH54" s="7" t="str">
        <f>Preencher!$B$3&amp;$U$8&amp;$V$8&amp;A54&amp;$AH$6</f>
        <v>JARINU-FRG977713MQ.GIROFREEZER (2)</v>
      </c>
      <c r="AI54" s="7" t="str">
        <f>Preencher!$B$3&amp;$U$8&amp;$V$8&amp;A54&amp;$AI$6</f>
        <v>JARINU-FRG977713MQ.GIROFREEZER REV04</v>
      </c>
      <c r="AJ54" s="7" t="str">
        <f>Preencher!$B$3&amp;$U$8&amp;$V$8&amp;A54&amp;$AJ$6</f>
        <v>JARINU-FRG977713MQ.GIROFREEZER (3)</v>
      </c>
      <c r="AK54" s="327">
        <f>IFERROR(SUMIF('BD Otimix'!A:A,'BD VOLUME'!AG54,'BD Otimix'!O:O)+SUMIF('BD Otimix'!A:A,'BD VOLUME'!AH54,'BD Otimix'!O:O)+SUMIF('BD Otimix'!A:A,'BD VOLUME'!AI54,'BD Otimix'!O:O)+SUMIF('BD Otimix'!A:A,'BD VOLUME'!AJ54,'BD Otimix'!O:O)+SUMIF('BD Otimix'!A:A,'BD VOLUME'!AF54,'BD Otimix'!O:O),0)</f>
        <v>0</v>
      </c>
      <c r="AL54" s="7">
        <f t="shared" si="6"/>
        <v>0</v>
      </c>
    </row>
    <row r="55" spans="1:38">
      <c r="A55" s="663">
        <v>40819</v>
      </c>
      <c r="B55" s="663" t="s">
        <v>2431</v>
      </c>
      <c r="C55" s="5" t="s">
        <v>2226</v>
      </c>
      <c r="D55" s="5" t="s">
        <v>941</v>
      </c>
      <c r="E55" s="5" t="s">
        <v>1146</v>
      </c>
      <c r="F55" s="132">
        <f>SUMIF('COLAR PLANO'!$A:$A,A55,'COLAR PLANO'!$D:$D)</f>
        <v>0</v>
      </c>
      <c r="G55" s="131">
        <f t="shared" si="0"/>
        <v>0</v>
      </c>
      <c r="H55" s="6">
        <v>2.3326397481037306E-2</v>
      </c>
      <c r="I55" s="7">
        <f t="shared" si="15"/>
        <v>0</v>
      </c>
      <c r="J55" s="130">
        <f t="shared" si="16"/>
        <v>0</v>
      </c>
      <c r="K55" s="663">
        <v>15</v>
      </c>
      <c r="L55" s="663">
        <v>1</v>
      </c>
      <c r="M55" s="663">
        <v>15</v>
      </c>
      <c r="N55" s="7">
        <f t="shared" si="17"/>
        <v>0</v>
      </c>
      <c r="O55" s="7"/>
      <c r="P55" s="311">
        <f>IFERROR(G55/M55,"-")</f>
        <v>0</v>
      </c>
      <c r="Q55" s="7"/>
      <c r="R55" s="7"/>
      <c r="S55" s="7"/>
      <c r="T55" s="7"/>
      <c r="U55" s="7" t="s">
        <v>2288</v>
      </c>
      <c r="V55" s="7" t="s">
        <v>2289</v>
      </c>
      <c r="W55" s="7" t="str">
        <f>Preencher!$B$3&amp;U55&amp;V55&amp;A55&amp;$W$6</f>
        <v>JARINU-FRG40819MQ.TUNEL DE CG (CONTINUO)</v>
      </c>
      <c r="X55" s="7" t="str">
        <f>Preencher!$B$3&amp;U55&amp;V55&amp;A55&amp;$X$6</f>
        <v>JARINU-FRG40819MQ.TUNEL DE CG (CONTINUO) (1)</v>
      </c>
      <c r="Y55" s="7" t="str">
        <f>Preencher!$B$3&amp;U55&amp;V55&amp;A55&amp;$Y$6</f>
        <v>JARINU-FRG40819MQ.TUNEL DE CG (CONTINUO) (2)</v>
      </c>
      <c r="Z55" s="7" t="str">
        <f>Preencher!$B$3&amp;U55&amp;V55&amp;A55&amp;$Z$6</f>
        <v>JARINU-FRG40819MQ.TUNEL DE CG (CONTINUO) (3)</v>
      </c>
      <c r="AA55" s="7" t="str">
        <f>Preencher!$B$3&amp;U55&amp;V55&amp;A55&amp;$AA$6</f>
        <v>JARINU-FRG40819MQ.TUNEL DE CG (ESTATICO)</v>
      </c>
      <c r="AB55" s="7" t="str">
        <f>Preencher!$B$3&amp;U55&amp;V55&amp;A55&amp;$AB$6</f>
        <v>JARINU-FRG40819MQ.TUNEL DE CG (ESTATICO) (1)</v>
      </c>
      <c r="AC55" s="7" t="str">
        <f>Preencher!$B$3&amp;U55&amp;V55&amp;A55&amp;$AC$6</f>
        <v>JARINU-FRG40819MQ.TUNEL DE CG (ESTATICO) (2)</v>
      </c>
      <c r="AD55" s="327">
        <f>IFERROR(SUMIF('BD Otimix'!A:A,'BD VOLUME'!X55,'BD Otimix'!O:O)+SUMIF('BD Otimix'!A:A,'BD VOLUME'!Y55,'BD Otimix'!O:O)+SUMIF('BD Otimix'!A:A,'BD VOLUME'!Z55,'BD Otimix'!O:O)+SUMIF('BD Otimix'!A:A,'BD VOLUME'!AA55,'BD Otimix'!O:O)+SUMIF('BD Otimix'!A:A,'BD VOLUME'!AB55,'BD Otimix'!O:O)+SUMIF('BD Otimix'!A:A,'BD VOLUME'!AC55,'BD Otimix'!O:O)+SUMIF('BD Otimix'!A:A,'BD VOLUME'!W55,'BD Otimix'!O:O),0)</f>
        <v>0</v>
      </c>
      <c r="AE55" s="327">
        <f t="shared" si="5"/>
        <v>0</v>
      </c>
      <c r="AF55" s="7" t="str">
        <f>Preencher!$B$3&amp;$U$8&amp;$V$8&amp;A55&amp;$AF$6</f>
        <v>JARINU-FRG40819MQ.GIROFREEZER</v>
      </c>
      <c r="AG55" s="7" t="str">
        <f>Preencher!$B$3&amp;$U$8&amp;$V$8&amp;A55&amp;$AG$6</f>
        <v>JARINU-FRG40819MQ.GIROFREEZER (1)</v>
      </c>
      <c r="AH55" s="7" t="str">
        <f>Preencher!$B$3&amp;$U$8&amp;$V$8&amp;A55&amp;$AH$6</f>
        <v>JARINU-FRG40819MQ.GIROFREEZER (2)</v>
      </c>
      <c r="AI55" s="7" t="str">
        <f>Preencher!$B$3&amp;$U$8&amp;$V$8&amp;A55&amp;$AI$6</f>
        <v>JARINU-FRG40819MQ.GIROFREEZER REV04</v>
      </c>
      <c r="AJ55" s="7" t="str">
        <f>Preencher!$B$3&amp;$U$8&amp;$V$8&amp;A55&amp;$AJ$6</f>
        <v>JARINU-FRG40819MQ.GIROFREEZER (3)</v>
      </c>
      <c r="AK55" s="327">
        <f>IFERROR(SUMIF('BD Otimix'!A:A,'BD VOLUME'!AG55,'BD Otimix'!O:O)+SUMIF('BD Otimix'!A:A,'BD VOLUME'!AH55,'BD Otimix'!O:O)+SUMIF('BD Otimix'!A:A,'BD VOLUME'!AI55,'BD Otimix'!O:O)+SUMIF('BD Otimix'!A:A,'BD VOLUME'!AJ55,'BD Otimix'!O:O)+SUMIF('BD Otimix'!A:A,'BD VOLUME'!AF55,'BD Otimix'!O:O),0)</f>
        <v>0</v>
      </c>
      <c r="AL55" s="7">
        <f t="shared" si="6"/>
        <v>0</v>
      </c>
    </row>
    <row r="56" spans="1:38">
      <c r="A56" s="708">
        <v>11193</v>
      </c>
      <c r="B56" s="708" t="s">
        <v>2605</v>
      </c>
      <c r="C56" s="5" t="s">
        <v>2606</v>
      </c>
      <c r="D56" s="5" t="s">
        <v>941</v>
      </c>
      <c r="E56" s="5" t="s">
        <v>1146</v>
      </c>
      <c r="F56" s="132">
        <f>SUMIF('COLAR PLANO'!$A:$A,A56,'COLAR PLANO'!$D:$D)</f>
        <v>0</v>
      </c>
      <c r="G56" s="131">
        <f>IFERROR(F56/($E$3*$C$3),0)</f>
        <v>0</v>
      </c>
      <c r="H56" s="6">
        <v>2.3326397481037306E-2</v>
      </c>
      <c r="I56" s="7">
        <f t="shared" si="15"/>
        <v>0</v>
      </c>
      <c r="J56" s="130">
        <f t="shared" si="16"/>
        <v>0</v>
      </c>
      <c r="K56" s="708">
        <v>15</v>
      </c>
      <c r="L56" s="708">
        <v>1</v>
      </c>
      <c r="M56" s="708">
        <v>15</v>
      </c>
      <c r="N56" s="7">
        <f t="shared" si="17"/>
        <v>0</v>
      </c>
      <c r="O56" s="7"/>
      <c r="P56" s="311">
        <f>IFERROR(G56/M56,"-")</f>
        <v>0</v>
      </c>
      <c r="Q56" s="7"/>
      <c r="R56" s="7"/>
      <c r="S56" s="7"/>
      <c r="T56" s="7"/>
      <c r="U56" s="7" t="s">
        <v>2288</v>
      </c>
      <c r="V56" s="7" t="s">
        <v>2289</v>
      </c>
      <c r="W56" s="7" t="str">
        <f>Preencher!$B$3&amp;U56&amp;V56&amp;A56&amp;$W$6</f>
        <v>JARINU-FRG11193MQ.TUNEL DE CG (CONTINUO)</v>
      </c>
      <c r="X56" s="7" t="str">
        <f>Preencher!$B$3&amp;U56&amp;V56&amp;A56&amp;$X$6</f>
        <v>JARINU-FRG11193MQ.TUNEL DE CG (CONTINUO) (1)</v>
      </c>
      <c r="Y56" s="7" t="str">
        <f>Preencher!$B$3&amp;U56&amp;V56&amp;A56&amp;$Y$6</f>
        <v>JARINU-FRG11193MQ.TUNEL DE CG (CONTINUO) (2)</v>
      </c>
      <c r="Z56" s="7" t="str">
        <f>Preencher!$B$3&amp;U56&amp;V56&amp;A56&amp;$Z$6</f>
        <v>JARINU-FRG11193MQ.TUNEL DE CG (CONTINUO) (3)</v>
      </c>
      <c r="AA56" s="7" t="str">
        <f>Preencher!$B$3&amp;U56&amp;V56&amp;A56&amp;$AA$6</f>
        <v>JARINU-FRG11193MQ.TUNEL DE CG (ESTATICO)</v>
      </c>
      <c r="AB56" s="7" t="str">
        <f>Preencher!$B$3&amp;U56&amp;V56&amp;A56&amp;$AB$6</f>
        <v>JARINU-FRG11193MQ.TUNEL DE CG (ESTATICO) (1)</v>
      </c>
      <c r="AC56" s="7" t="str">
        <f>Preencher!$B$3&amp;U56&amp;V56&amp;A56&amp;$AC$6</f>
        <v>JARINU-FRG11193MQ.TUNEL DE CG (ESTATICO) (2)</v>
      </c>
      <c r="AD56" s="327">
        <f>IFERROR(SUMIF('BD Otimix'!A:A,'BD VOLUME'!X56,'BD Otimix'!O:O)+SUMIF('BD Otimix'!A:A,'BD VOLUME'!Y56,'BD Otimix'!O:O)+SUMIF('BD Otimix'!A:A,'BD VOLUME'!Z56,'BD Otimix'!O:O)+SUMIF('BD Otimix'!A:A,'BD VOLUME'!AA56,'BD Otimix'!O:O)+SUMIF('BD Otimix'!A:A,'BD VOLUME'!AB56,'BD Otimix'!O:O)+SUMIF('BD Otimix'!A:A,'BD VOLUME'!AC56,'BD Otimix'!O:O)+SUMIF('BD Otimix'!A:A,'BD VOLUME'!W56,'BD Otimix'!O:O),0)</f>
        <v>0</v>
      </c>
      <c r="AE56" s="327">
        <f>IFERROR(F56/$E$3/1000/AD56,0)</f>
        <v>0</v>
      </c>
      <c r="AF56" s="7" t="str">
        <f>Preencher!$B$3&amp;$U$8&amp;$V$8&amp;A56&amp;$AF$6</f>
        <v>JARINU-FRG11193MQ.GIROFREEZER</v>
      </c>
      <c r="AG56" s="7" t="str">
        <f>Preencher!$B$3&amp;$U$8&amp;$V$8&amp;A56&amp;$AG$6</f>
        <v>JARINU-FRG11193MQ.GIROFREEZER (1)</v>
      </c>
      <c r="AH56" s="7" t="str">
        <f>Preencher!$B$3&amp;$U$8&amp;$V$8&amp;A56&amp;$AH$6</f>
        <v>JARINU-FRG11193MQ.GIROFREEZER (2)</v>
      </c>
      <c r="AI56" s="7" t="str">
        <f>Preencher!$B$3&amp;$U$8&amp;$V$8&amp;A56&amp;$AI$6</f>
        <v>JARINU-FRG11193MQ.GIROFREEZER REV04</v>
      </c>
      <c r="AJ56" s="7" t="str">
        <f>Preencher!$B$3&amp;$U$8&amp;$V$8&amp;A56&amp;$AJ$6</f>
        <v>JARINU-FRG11193MQ.GIROFREEZER (3)</v>
      </c>
      <c r="AK56" s="327">
        <f>IFERROR(SUMIF('BD Otimix'!A:A,'BD VOLUME'!AG56,'BD Otimix'!O:O)+SUMIF('BD Otimix'!A:A,'BD VOLUME'!AH56,'BD Otimix'!O:O)+SUMIF('BD Otimix'!A:A,'BD VOLUME'!AI56,'BD Otimix'!O:O)+SUMIF('BD Otimix'!A:A,'BD VOLUME'!AJ56,'BD Otimix'!O:O)+SUMIF('BD Otimix'!A:A,'BD VOLUME'!AF56,'BD Otimix'!O:O),0)</f>
        <v>0</v>
      </c>
      <c r="AL56" s="7">
        <f>IFERROR(F56/$E$3/1000/AK56,0)</f>
        <v>0</v>
      </c>
    </row>
    <row r="57" spans="1:38">
      <c r="A57" s="209">
        <v>792837</v>
      </c>
      <c r="B57" s="209" t="s">
        <v>1022</v>
      </c>
      <c r="C57" s="5" t="s">
        <v>1090</v>
      </c>
      <c r="D57" s="5" t="s">
        <v>941</v>
      </c>
      <c r="E57" s="5" t="s">
        <v>1145</v>
      </c>
      <c r="F57" s="132">
        <f>SUMIF('COLAR PLANO'!$A:$A,A57,'COLAR PLANO'!$D:$D)</f>
        <v>0</v>
      </c>
      <c r="G57" s="131">
        <f t="shared" ref="G57:G62" si="18">IFERROR(F57/($E$3*$C$3),0)</f>
        <v>0</v>
      </c>
      <c r="H57" s="6">
        <v>2.3326397481037306E-2</v>
      </c>
      <c r="I57" s="7">
        <f t="shared" ref="I57:I62" si="19">IFERROR(G57/$D$7/H57,0)</f>
        <v>0</v>
      </c>
      <c r="J57" s="130">
        <f t="shared" ref="J57:J62" si="20">IFERROR(I57/$B$7,0)</f>
        <v>0</v>
      </c>
      <c r="K57" s="257">
        <v>10</v>
      </c>
      <c r="L57" s="257">
        <v>1</v>
      </c>
      <c r="M57" s="209">
        <v>10</v>
      </c>
      <c r="N57" s="7">
        <f t="shared" ref="N57:N62" si="21">IFERROR(G57/K57,"-")</f>
        <v>0</v>
      </c>
      <c r="O57" s="7"/>
      <c r="P57" s="311">
        <f t="shared" ref="P57:P62" si="22">IFERROR(G57/M57,"-")</f>
        <v>0</v>
      </c>
      <c r="Q57" s="7"/>
      <c r="R57" s="7"/>
      <c r="S57" s="7"/>
      <c r="T57" s="7"/>
      <c r="U57" s="7" t="s">
        <v>2288</v>
      </c>
      <c r="V57" s="7" t="s">
        <v>2289</v>
      </c>
      <c r="W57" s="7" t="str">
        <f>Preencher!$B$3&amp;U57&amp;V57&amp;A57&amp;$W$6</f>
        <v>JARINU-FRG792837MQ.TUNEL DE CG (CONTINUO)</v>
      </c>
      <c r="X57" s="7" t="str">
        <f>Preencher!$B$3&amp;U57&amp;V57&amp;A57&amp;$X$6</f>
        <v>JARINU-FRG792837MQ.TUNEL DE CG (CONTINUO) (1)</v>
      </c>
      <c r="Y57" s="7" t="str">
        <f>Preencher!$B$3&amp;U57&amp;V57&amp;A57&amp;$Y$6</f>
        <v>JARINU-FRG792837MQ.TUNEL DE CG (CONTINUO) (2)</v>
      </c>
      <c r="Z57" s="7" t="str">
        <f>Preencher!$B$3&amp;U57&amp;V57&amp;A57&amp;$Z$6</f>
        <v>JARINU-FRG792837MQ.TUNEL DE CG (CONTINUO) (3)</v>
      </c>
      <c r="AA57" s="7" t="str">
        <f>Preencher!$B$3&amp;U57&amp;V57&amp;A57&amp;$AA$6</f>
        <v>JARINU-FRG792837MQ.TUNEL DE CG (ESTATICO)</v>
      </c>
      <c r="AB57" s="7" t="str">
        <f>Preencher!$B$3&amp;U57&amp;V57&amp;A57&amp;$AB$6</f>
        <v>JARINU-FRG792837MQ.TUNEL DE CG (ESTATICO) (1)</v>
      </c>
      <c r="AC57" s="7" t="str">
        <f>Preencher!$B$3&amp;U57&amp;V57&amp;A57&amp;$AC$6</f>
        <v>JARINU-FRG792837MQ.TUNEL DE CG (ESTATICO) (2)</v>
      </c>
      <c r="AD57" s="327">
        <f>IFERROR(SUMIF('BD Otimix'!A:A,'BD VOLUME'!X57,'BD Otimix'!O:O)+SUMIF('BD Otimix'!A:A,'BD VOLUME'!Y57,'BD Otimix'!O:O)+SUMIF('BD Otimix'!A:A,'BD VOLUME'!Z57,'BD Otimix'!O:O)+SUMIF('BD Otimix'!A:A,'BD VOLUME'!AA57,'BD Otimix'!O:O)+SUMIF('BD Otimix'!A:A,'BD VOLUME'!AB57,'BD Otimix'!O:O)+SUMIF('BD Otimix'!A:A,'BD VOLUME'!AC57,'BD Otimix'!O:O)+SUMIF('BD Otimix'!A:A,'BD VOLUME'!W57,'BD Otimix'!O:O),0)</f>
        <v>0</v>
      </c>
      <c r="AE57" s="327">
        <f t="shared" si="5"/>
        <v>0</v>
      </c>
      <c r="AF57" s="7" t="str">
        <f>Preencher!$B$3&amp;$U$8&amp;$V$8&amp;A57&amp;$AF$6</f>
        <v>JARINU-FRG792837MQ.GIROFREEZER</v>
      </c>
      <c r="AG57" s="7" t="str">
        <f>Preencher!$B$3&amp;$U$8&amp;$V$8&amp;A57&amp;$AG$6</f>
        <v>JARINU-FRG792837MQ.GIROFREEZER (1)</v>
      </c>
      <c r="AH57" s="7" t="str">
        <f>Preencher!$B$3&amp;$U$8&amp;$V$8&amp;A57&amp;$AH$6</f>
        <v>JARINU-FRG792837MQ.GIROFREEZER (2)</v>
      </c>
      <c r="AI57" s="7" t="str">
        <f>Preencher!$B$3&amp;$U$8&amp;$V$8&amp;A57&amp;$AI$6</f>
        <v>JARINU-FRG792837MQ.GIROFREEZER REV04</v>
      </c>
      <c r="AJ57" s="7" t="str">
        <f>Preencher!$B$3&amp;$U$8&amp;$V$8&amp;A57&amp;$AJ$6</f>
        <v>JARINU-FRG792837MQ.GIROFREEZER (3)</v>
      </c>
      <c r="AK57" s="327">
        <f>IFERROR(SUMIF('BD Otimix'!A:A,'BD VOLUME'!AG57,'BD Otimix'!O:O)+SUMIF('BD Otimix'!A:A,'BD VOLUME'!AH57,'BD Otimix'!O:O)+SUMIF('BD Otimix'!A:A,'BD VOLUME'!AI57,'BD Otimix'!O:O)+SUMIF('BD Otimix'!A:A,'BD VOLUME'!AJ57,'BD Otimix'!O:O)+SUMIF('BD Otimix'!A:A,'BD VOLUME'!AF57,'BD Otimix'!O:O),0)</f>
        <v>0</v>
      </c>
      <c r="AL57" s="7">
        <f t="shared" si="6"/>
        <v>0</v>
      </c>
    </row>
    <row r="58" spans="1:38">
      <c r="A58" s="257">
        <v>977160</v>
      </c>
      <c r="B58" s="257"/>
      <c r="C58" s="5" t="s">
        <v>1091</v>
      </c>
      <c r="D58" s="5" t="s">
        <v>941</v>
      </c>
      <c r="E58" s="5" t="s">
        <v>1145</v>
      </c>
      <c r="F58" s="132">
        <f>SUMIF('COLAR PLANO'!$A:$A,A58,'COLAR PLANO'!$D:$D)</f>
        <v>0</v>
      </c>
      <c r="G58" s="131">
        <f t="shared" si="18"/>
        <v>0</v>
      </c>
      <c r="H58" s="6">
        <v>2.3326397481037306E-2</v>
      </c>
      <c r="I58" s="7">
        <f t="shared" si="19"/>
        <v>0</v>
      </c>
      <c r="J58" s="130">
        <f t="shared" si="20"/>
        <v>0</v>
      </c>
      <c r="K58" s="257">
        <v>10</v>
      </c>
      <c r="L58" s="257">
        <v>1</v>
      </c>
      <c r="M58" s="257">
        <v>10</v>
      </c>
      <c r="N58" s="7">
        <f t="shared" si="21"/>
        <v>0</v>
      </c>
      <c r="O58" s="7"/>
      <c r="P58" s="311">
        <f t="shared" si="22"/>
        <v>0</v>
      </c>
      <c r="Q58" s="7"/>
      <c r="R58" s="7"/>
      <c r="S58" s="7"/>
      <c r="T58" s="7"/>
      <c r="U58" s="7" t="s">
        <v>2288</v>
      </c>
      <c r="V58" s="7" t="s">
        <v>2289</v>
      </c>
      <c r="W58" s="7" t="str">
        <f>Preencher!$B$3&amp;U58&amp;V58&amp;A58&amp;$W$6</f>
        <v>JARINU-FRG977160MQ.TUNEL DE CG (CONTINUO)</v>
      </c>
      <c r="X58" s="7" t="str">
        <f>Preencher!$B$3&amp;U58&amp;V58&amp;A58&amp;$X$6</f>
        <v>JARINU-FRG977160MQ.TUNEL DE CG (CONTINUO) (1)</v>
      </c>
      <c r="Y58" s="7" t="str">
        <f>Preencher!$B$3&amp;U58&amp;V58&amp;A58&amp;$Y$6</f>
        <v>JARINU-FRG977160MQ.TUNEL DE CG (CONTINUO) (2)</v>
      </c>
      <c r="Z58" s="7" t="str">
        <f>Preencher!$B$3&amp;U58&amp;V58&amp;A58&amp;$Z$6</f>
        <v>JARINU-FRG977160MQ.TUNEL DE CG (CONTINUO) (3)</v>
      </c>
      <c r="AA58" s="7" t="str">
        <f>Preencher!$B$3&amp;U58&amp;V58&amp;A58&amp;$AA$6</f>
        <v>JARINU-FRG977160MQ.TUNEL DE CG (ESTATICO)</v>
      </c>
      <c r="AB58" s="7" t="str">
        <f>Preencher!$B$3&amp;U58&amp;V58&amp;A58&amp;$AB$6</f>
        <v>JARINU-FRG977160MQ.TUNEL DE CG (ESTATICO) (1)</v>
      </c>
      <c r="AC58" s="7" t="str">
        <f>Preencher!$B$3&amp;U58&amp;V58&amp;A58&amp;$AC$6</f>
        <v>JARINU-FRG977160MQ.TUNEL DE CG (ESTATICO) (2)</v>
      </c>
      <c r="AD58" s="327">
        <f>IFERROR(SUMIF('BD Otimix'!A:A,'BD VOLUME'!X58,'BD Otimix'!O:O)+SUMIF('BD Otimix'!A:A,'BD VOLUME'!Y58,'BD Otimix'!O:O)+SUMIF('BD Otimix'!A:A,'BD VOLUME'!Z58,'BD Otimix'!O:O)+SUMIF('BD Otimix'!A:A,'BD VOLUME'!AA58,'BD Otimix'!O:O)+SUMIF('BD Otimix'!A:A,'BD VOLUME'!AB58,'BD Otimix'!O:O)+SUMIF('BD Otimix'!A:A,'BD VOLUME'!AC58,'BD Otimix'!O:O)+SUMIF('BD Otimix'!A:A,'BD VOLUME'!W58,'BD Otimix'!O:O),0)</f>
        <v>0</v>
      </c>
      <c r="AE58" s="327">
        <f t="shared" si="5"/>
        <v>0</v>
      </c>
      <c r="AF58" s="7" t="str">
        <f>Preencher!$B$3&amp;$U$8&amp;$V$8&amp;A58&amp;$AF$6</f>
        <v>JARINU-FRG977160MQ.GIROFREEZER</v>
      </c>
      <c r="AG58" s="7" t="str">
        <f>Preencher!$B$3&amp;$U$8&amp;$V$8&amp;A58&amp;$AG$6</f>
        <v>JARINU-FRG977160MQ.GIROFREEZER (1)</v>
      </c>
      <c r="AH58" s="7" t="str">
        <f>Preencher!$B$3&amp;$U$8&amp;$V$8&amp;A58&amp;$AH$6</f>
        <v>JARINU-FRG977160MQ.GIROFREEZER (2)</v>
      </c>
      <c r="AI58" s="7" t="str">
        <f>Preencher!$B$3&amp;$U$8&amp;$V$8&amp;A58&amp;$AI$6</f>
        <v>JARINU-FRG977160MQ.GIROFREEZER REV04</v>
      </c>
      <c r="AJ58" s="7" t="str">
        <f>Preencher!$B$3&amp;$U$8&amp;$V$8&amp;A58&amp;$AJ$6</f>
        <v>JARINU-FRG977160MQ.GIROFREEZER (3)</v>
      </c>
      <c r="AK58" s="327">
        <f>IFERROR(SUMIF('BD Otimix'!A:A,'BD VOLUME'!AG58,'BD Otimix'!O:O)+SUMIF('BD Otimix'!A:A,'BD VOLUME'!AH58,'BD Otimix'!O:O)+SUMIF('BD Otimix'!A:A,'BD VOLUME'!AI58,'BD Otimix'!O:O)+SUMIF('BD Otimix'!A:A,'BD VOLUME'!AJ58,'BD Otimix'!O:O)+SUMIF('BD Otimix'!A:A,'BD VOLUME'!AF58,'BD Otimix'!O:O),0)</f>
        <v>0</v>
      </c>
      <c r="AL58" s="7">
        <f t="shared" si="6"/>
        <v>0</v>
      </c>
    </row>
    <row r="59" spans="1:38">
      <c r="A59" s="257">
        <v>977187</v>
      </c>
      <c r="B59" s="257"/>
      <c r="C59" s="5" t="s">
        <v>1092</v>
      </c>
      <c r="D59" s="5" t="s">
        <v>941</v>
      </c>
      <c r="E59" s="5" t="s">
        <v>1145</v>
      </c>
      <c r="F59" s="132">
        <f>SUMIF('COLAR PLANO'!$A:$A,A59,'COLAR PLANO'!$D:$D)</f>
        <v>0</v>
      </c>
      <c r="G59" s="131">
        <f t="shared" si="18"/>
        <v>0</v>
      </c>
      <c r="H59" s="6">
        <v>2.3326397481037306E-2</v>
      </c>
      <c r="I59" s="7">
        <f t="shared" si="19"/>
        <v>0</v>
      </c>
      <c r="J59" s="130">
        <f t="shared" si="20"/>
        <v>0</v>
      </c>
      <c r="K59" s="257">
        <v>10</v>
      </c>
      <c r="L59" s="257">
        <v>1</v>
      </c>
      <c r="M59" s="257">
        <v>10</v>
      </c>
      <c r="N59" s="7">
        <f t="shared" si="21"/>
        <v>0</v>
      </c>
      <c r="O59" s="7"/>
      <c r="P59" s="311">
        <f t="shared" si="22"/>
        <v>0</v>
      </c>
      <c r="Q59" s="7"/>
      <c r="R59" s="7"/>
      <c r="S59" s="7"/>
      <c r="T59" s="7"/>
      <c r="U59" s="7" t="s">
        <v>2288</v>
      </c>
      <c r="V59" s="7" t="s">
        <v>2289</v>
      </c>
      <c r="W59" s="7" t="str">
        <f>Preencher!$B$3&amp;U59&amp;V59&amp;A59&amp;$W$6</f>
        <v>JARINU-FRG977187MQ.TUNEL DE CG (CONTINUO)</v>
      </c>
      <c r="X59" s="7" t="str">
        <f>Preencher!$B$3&amp;U59&amp;V59&amp;A59&amp;$X$6</f>
        <v>JARINU-FRG977187MQ.TUNEL DE CG (CONTINUO) (1)</v>
      </c>
      <c r="Y59" s="7" t="str">
        <f>Preencher!$B$3&amp;U59&amp;V59&amp;A59&amp;$Y$6</f>
        <v>JARINU-FRG977187MQ.TUNEL DE CG (CONTINUO) (2)</v>
      </c>
      <c r="Z59" s="7" t="str">
        <f>Preencher!$B$3&amp;U59&amp;V59&amp;A59&amp;$Z$6</f>
        <v>JARINU-FRG977187MQ.TUNEL DE CG (CONTINUO) (3)</v>
      </c>
      <c r="AA59" s="7" t="str">
        <f>Preencher!$B$3&amp;U59&amp;V59&amp;A59&amp;$AA$6</f>
        <v>JARINU-FRG977187MQ.TUNEL DE CG (ESTATICO)</v>
      </c>
      <c r="AB59" s="7" t="str">
        <f>Preencher!$B$3&amp;U59&amp;V59&amp;A59&amp;$AB$6</f>
        <v>JARINU-FRG977187MQ.TUNEL DE CG (ESTATICO) (1)</v>
      </c>
      <c r="AC59" s="7" t="str">
        <f>Preencher!$B$3&amp;U59&amp;V59&amp;A59&amp;$AC$6</f>
        <v>JARINU-FRG977187MQ.TUNEL DE CG (ESTATICO) (2)</v>
      </c>
      <c r="AD59" s="327">
        <f>IFERROR(SUMIF('BD Otimix'!A:A,'BD VOLUME'!X59,'BD Otimix'!O:O)+SUMIF('BD Otimix'!A:A,'BD VOLUME'!Y59,'BD Otimix'!O:O)+SUMIF('BD Otimix'!A:A,'BD VOLUME'!Z59,'BD Otimix'!O:O)+SUMIF('BD Otimix'!A:A,'BD VOLUME'!AA59,'BD Otimix'!O:O)+SUMIF('BD Otimix'!A:A,'BD VOLUME'!AB59,'BD Otimix'!O:O)+SUMIF('BD Otimix'!A:A,'BD VOLUME'!AC59,'BD Otimix'!O:O)+SUMIF('BD Otimix'!A:A,'BD VOLUME'!W59,'BD Otimix'!O:O),0)</f>
        <v>0</v>
      </c>
      <c r="AE59" s="327">
        <f t="shared" si="5"/>
        <v>0</v>
      </c>
      <c r="AF59" s="7" t="str">
        <f>Preencher!$B$3&amp;$U$8&amp;$V$8&amp;A59&amp;$AF$6</f>
        <v>JARINU-FRG977187MQ.GIROFREEZER</v>
      </c>
      <c r="AG59" s="7" t="str">
        <f>Preencher!$B$3&amp;$U$8&amp;$V$8&amp;A59&amp;$AG$6</f>
        <v>JARINU-FRG977187MQ.GIROFREEZER (1)</v>
      </c>
      <c r="AH59" s="7" t="str">
        <f>Preencher!$B$3&amp;$U$8&amp;$V$8&amp;A59&amp;$AH$6</f>
        <v>JARINU-FRG977187MQ.GIROFREEZER (2)</v>
      </c>
      <c r="AI59" s="7" t="str">
        <f>Preencher!$B$3&amp;$U$8&amp;$V$8&amp;A59&amp;$AI$6</f>
        <v>JARINU-FRG977187MQ.GIROFREEZER REV04</v>
      </c>
      <c r="AJ59" s="7" t="str">
        <f>Preencher!$B$3&amp;$U$8&amp;$V$8&amp;A59&amp;$AJ$6</f>
        <v>JARINU-FRG977187MQ.GIROFREEZER (3)</v>
      </c>
      <c r="AK59" s="327">
        <f>IFERROR(SUMIF('BD Otimix'!A:A,'BD VOLUME'!AG59,'BD Otimix'!O:O)+SUMIF('BD Otimix'!A:A,'BD VOLUME'!AH59,'BD Otimix'!O:O)+SUMIF('BD Otimix'!A:A,'BD VOLUME'!AI59,'BD Otimix'!O:O)+SUMIF('BD Otimix'!A:A,'BD VOLUME'!AJ59,'BD Otimix'!O:O)+SUMIF('BD Otimix'!A:A,'BD VOLUME'!AF59,'BD Otimix'!O:O),0)</f>
        <v>0</v>
      </c>
      <c r="AL59" s="7">
        <f t="shared" si="6"/>
        <v>0</v>
      </c>
    </row>
    <row r="60" spans="1:38">
      <c r="A60" s="257">
        <v>977721</v>
      </c>
      <c r="B60" s="257"/>
      <c r="C60" s="5" t="s">
        <v>1093</v>
      </c>
      <c r="D60" s="5" t="s">
        <v>941</v>
      </c>
      <c r="E60" s="5" t="s">
        <v>1145</v>
      </c>
      <c r="F60" s="132">
        <f>SUMIF('COLAR PLANO'!$A:$A,A60,'COLAR PLANO'!$D:$D)</f>
        <v>0</v>
      </c>
      <c r="G60" s="131">
        <f t="shared" si="18"/>
        <v>0</v>
      </c>
      <c r="H60" s="6">
        <v>2.3326397481037306E-2</v>
      </c>
      <c r="I60" s="7">
        <f t="shared" si="19"/>
        <v>0</v>
      </c>
      <c r="J60" s="130">
        <f t="shared" si="20"/>
        <v>0</v>
      </c>
      <c r="K60" s="257">
        <v>10</v>
      </c>
      <c r="L60" s="257">
        <v>1</v>
      </c>
      <c r="M60" s="257">
        <v>10</v>
      </c>
      <c r="N60" s="7">
        <f t="shared" si="21"/>
        <v>0</v>
      </c>
      <c r="O60" s="7"/>
      <c r="P60" s="311">
        <f t="shared" si="22"/>
        <v>0</v>
      </c>
      <c r="Q60" s="7"/>
      <c r="R60" s="7"/>
      <c r="S60" s="7"/>
      <c r="T60" s="7"/>
      <c r="U60" s="7" t="s">
        <v>2288</v>
      </c>
      <c r="V60" s="7" t="s">
        <v>2289</v>
      </c>
      <c r="W60" s="7" t="str">
        <f>Preencher!$B$3&amp;U60&amp;V60&amp;A60&amp;$W$6</f>
        <v>JARINU-FRG977721MQ.TUNEL DE CG (CONTINUO)</v>
      </c>
      <c r="X60" s="7" t="str">
        <f>Preencher!$B$3&amp;U60&amp;V60&amp;A60&amp;$X$6</f>
        <v>JARINU-FRG977721MQ.TUNEL DE CG (CONTINUO) (1)</v>
      </c>
      <c r="Y60" s="7" t="str">
        <f>Preencher!$B$3&amp;U60&amp;V60&amp;A60&amp;$Y$6</f>
        <v>JARINU-FRG977721MQ.TUNEL DE CG (CONTINUO) (2)</v>
      </c>
      <c r="Z60" s="7" t="str">
        <f>Preencher!$B$3&amp;U60&amp;V60&amp;A60&amp;$Z$6</f>
        <v>JARINU-FRG977721MQ.TUNEL DE CG (CONTINUO) (3)</v>
      </c>
      <c r="AA60" s="7" t="str">
        <f>Preencher!$B$3&amp;U60&amp;V60&amp;A60&amp;$AA$6</f>
        <v>JARINU-FRG977721MQ.TUNEL DE CG (ESTATICO)</v>
      </c>
      <c r="AB60" s="7" t="str">
        <f>Preencher!$B$3&amp;U60&amp;V60&amp;A60&amp;$AB$6</f>
        <v>JARINU-FRG977721MQ.TUNEL DE CG (ESTATICO) (1)</v>
      </c>
      <c r="AC60" s="7" t="str">
        <f>Preencher!$B$3&amp;U60&amp;V60&amp;A60&amp;$AC$6</f>
        <v>JARINU-FRG977721MQ.TUNEL DE CG (ESTATICO) (2)</v>
      </c>
      <c r="AD60" s="327">
        <f>IFERROR(SUMIF('BD Otimix'!A:A,'BD VOLUME'!X60,'BD Otimix'!O:O)+SUMIF('BD Otimix'!A:A,'BD VOLUME'!Y60,'BD Otimix'!O:O)+SUMIF('BD Otimix'!A:A,'BD VOLUME'!Z60,'BD Otimix'!O:O)+SUMIF('BD Otimix'!A:A,'BD VOLUME'!AA60,'BD Otimix'!O:O)+SUMIF('BD Otimix'!A:A,'BD VOLUME'!AB60,'BD Otimix'!O:O)+SUMIF('BD Otimix'!A:A,'BD VOLUME'!AC60,'BD Otimix'!O:O)+SUMIF('BD Otimix'!A:A,'BD VOLUME'!W60,'BD Otimix'!O:O),0)</f>
        <v>0</v>
      </c>
      <c r="AE60" s="327">
        <f t="shared" si="5"/>
        <v>0</v>
      </c>
      <c r="AF60" s="7" t="str">
        <f>Preencher!$B$3&amp;$U$8&amp;$V$8&amp;A60&amp;$AF$6</f>
        <v>JARINU-FRG977721MQ.GIROFREEZER</v>
      </c>
      <c r="AG60" s="7" t="str">
        <f>Preencher!$B$3&amp;$U$8&amp;$V$8&amp;A60&amp;$AG$6</f>
        <v>JARINU-FRG977721MQ.GIROFREEZER (1)</v>
      </c>
      <c r="AH60" s="7" t="str">
        <f>Preencher!$B$3&amp;$U$8&amp;$V$8&amp;A60&amp;$AH$6</f>
        <v>JARINU-FRG977721MQ.GIROFREEZER (2)</v>
      </c>
      <c r="AI60" s="7" t="str">
        <f>Preencher!$B$3&amp;$U$8&amp;$V$8&amp;A60&amp;$AI$6</f>
        <v>JARINU-FRG977721MQ.GIROFREEZER REV04</v>
      </c>
      <c r="AJ60" s="7" t="str">
        <f>Preencher!$B$3&amp;$U$8&amp;$V$8&amp;A60&amp;$AJ$6</f>
        <v>JARINU-FRG977721MQ.GIROFREEZER (3)</v>
      </c>
      <c r="AK60" s="327">
        <f>IFERROR(SUMIF('BD Otimix'!A:A,'BD VOLUME'!AG60,'BD Otimix'!O:O)+SUMIF('BD Otimix'!A:A,'BD VOLUME'!AH60,'BD Otimix'!O:O)+SUMIF('BD Otimix'!A:A,'BD VOLUME'!AI60,'BD Otimix'!O:O)+SUMIF('BD Otimix'!A:A,'BD VOLUME'!AJ60,'BD Otimix'!O:O)+SUMIF('BD Otimix'!A:A,'BD VOLUME'!AF60,'BD Otimix'!O:O),0)</f>
        <v>0</v>
      </c>
      <c r="AL60" s="7">
        <f t="shared" si="6"/>
        <v>0</v>
      </c>
    </row>
    <row r="61" spans="1:38">
      <c r="A61" s="580">
        <v>51292</v>
      </c>
      <c r="B61" s="580" t="s">
        <v>2052</v>
      </c>
      <c r="C61" s="5" t="s">
        <v>2053</v>
      </c>
      <c r="D61" s="5" t="s">
        <v>941</v>
      </c>
      <c r="E61" s="5" t="s">
        <v>1145</v>
      </c>
      <c r="F61" s="132">
        <f>SUMIF('COLAR PLANO'!$A:$A,A61,'COLAR PLANO'!$D:$D)</f>
        <v>0</v>
      </c>
      <c r="G61" s="131">
        <f t="shared" si="18"/>
        <v>0</v>
      </c>
      <c r="H61" s="6">
        <v>3.4529999999999998E-2</v>
      </c>
      <c r="I61" s="7">
        <f t="shared" si="19"/>
        <v>0</v>
      </c>
      <c r="J61" s="130">
        <f t="shared" si="20"/>
        <v>0</v>
      </c>
      <c r="K61" s="580">
        <v>10</v>
      </c>
      <c r="L61" s="580">
        <v>1</v>
      </c>
      <c r="M61" s="580">
        <v>10</v>
      </c>
      <c r="N61" s="7">
        <f t="shared" si="21"/>
        <v>0</v>
      </c>
      <c r="O61" s="7"/>
      <c r="P61" s="311">
        <f t="shared" si="22"/>
        <v>0</v>
      </c>
      <c r="Q61" s="7"/>
      <c r="R61" s="7"/>
      <c r="S61" s="7"/>
      <c r="T61" s="7"/>
      <c r="U61" s="7" t="s">
        <v>2288</v>
      </c>
      <c r="V61" s="7" t="s">
        <v>2289</v>
      </c>
      <c r="W61" s="7" t="str">
        <f>Preencher!$B$3&amp;U61&amp;V61&amp;A61&amp;$W$6</f>
        <v>JARINU-FRG51292MQ.TUNEL DE CG (CONTINUO)</v>
      </c>
      <c r="X61" s="7" t="str">
        <f>Preencher!$B$3&amp;U61&amp;V61&amp;A61&amp;$X$6</f>
        <v>JARINU-FRG51292MQ.TUNEL DE CG (CONTINUO) (1)</v>
      </c>
      <c r="Y61" s="7" t="str">
        <f>Preencher!$B$3&amp;U61&amp;V61&amp;A61&amp;$Y$6</f>
        <v>JARINU-FRG51292MQ.TUNEL DE CG (CONTINUO) (2)</v>
      </c>
      <c r="Z61" s="7" t="str">
        <f>Preencher!$B$3&amp;U61&amp;V61&amp;A61&amp;$Z$6</f>
        <v>JARINU-FRG51292MQ.TUNEL DE CG (CONTINUO) (3)</v>
      </c>
      <c r="AA61" s="7" t="str">
        <f>Preencher!$B$3&amp;U61&amp;V61&amp;A61&amp;$AA$6</f>
        <v>JARINU-FRG51292MQ.TUNEL DE CG (ESTATICO)</v>
      </c>
      <c r="AB61" s="7" t="str">
        <f>Preencher!$B$3&amp;U61&amp;V61&amp;A61&amp;$AB$6</f>
        <v>JARINU-FRG51292MQ.TUNEL DE CG (ESTATICO) (1)</v>
      </c>
      <c r="AC61" s="7" t="str">
        <f>Preencher!$B$3&amp;U61&amp;V61&amp;A61&amp;$AC$6</f>
        <v>JARINU-FRG51292MQ.TUNEL DE CG (ESTATICO) (2)</v>
      </c>
      <c r="AD61" s="327">
        <f>IFERROR(SUMIF('BD Otimix'!A:A,'BD VOLUME'!X61,'BD Otimix'!O:O)+SUMIF('BD Otimix'!A:A,'BD VOLUME'!Y61,'BD Otimix'!O:O)+SUMIF('BD Otimix'!A:A,'BD VOLUME'!Z61,'BD Otimix'!O:O)+SUMIF('BD Otimix'!A:A,'BD VOLUME'!AA61,'BD Otimix'!O:O)+SUMIF('BD Otimix'!A:A,'BD VOLUME'!AB61,'BD Otimix'!O:O)+SUMIF('BD Otimix'!A:A,'BD VOLUME'!AC61,'BD Otimix'!O:O)+SUMIF('BD Otimix'!A:A,'BD VOLUME'!W61,'BD Otimix'!O:O),0)</f>
        <v>0</v>
      </c>
      <c r="AE61" s="327">
        <f t="shared" si="5"/>
        <v>0</v>
      </c>
      <c r="AF61" s="7" t="str">
        <f>Preencher!$B$3&amp;$U$8&amp;$V$8&amp;A61&amp;$AF$6</f>
        <v>JARINU-FRG51292MQ.GIROFREEZER</v>
      </c>
      <c r="AG61" s="7" t="str">
        <f>Preencher!$B$3&amp;$U$8&amp;$V$8&amp;A61&amp;$AG$6</f>
        <v>JARINU-FRG51292MQ.GIROFREEZER (1)</v>
      </c>
      <c r="AH61" s="7" t="str">
        <f>Preencher!$B$3&amp;$U$8&amp;$V$8&amp;A61&amp;$AH$6</f>
        <v>JARINU-FRG51292MQ.GIROFREEZER (2)</v>
      </c>
      <c r="AI61" s="7" t="str">
        <f>Preencher!$B$3&amp;$U$8&amp;$V$8&amp;A61&amp;$AI$6</f>
        <v>JARINU-FRG51292MQ.GIROFREEZER REV04</v>
      </c>
      <c r="AJ61" s="7" t="str">
        <f>Preencher!$B$3&amp;$U$8&amp;$V$8&amp;A61&amp;$AJ$6</f>
        <v>JARINU-FRG51292MQ.GIROFREEZER (3)</v>
      </c>
      <c r="AK61" s="327">
        <f>IFERROR(SUMIF('BD Otimix'!A:A,'BD VOLUME'!AG61,'BD Otimix'!O:O)+SUMIF('BD Otimix'!A:A,'BD VOLUME'!AH61,'BD Otimix'!O:O)+SUMIF('BD Otimix'!A:A,'BD VOLUME'!AI61,'BD Otimix'!O:O)+SUMIF('BD Otimix'!A:A,'BD VOLUME'!AJ61,'BD Otimix'!O:O)+SUMIF('BD Otimix'!A:A,'BD VOLUME'!AF61,'BD Otimix'!O:O),0)</f>
        <v>0</v>
      </c>
      <c r="AL61" s="7">
        <f t="shared" si="6"/>
        <v>0</v>
      </c>
    </row>
    <row r="62" spans="1:38">
      <c r="A62" s="321">
        <v>727571</v>
      </c>
      <c r="B62" s="321" t="s">
        <v>2091</v>
      </c>
      <c r="C62" s="5" t="s">
        <v>2092</v>
      </c>
      <c r="D62" s="5" t="s">
        <v>941</v>
      </c>
      <c r="E62" s="5" t="s">
        <v>1146</v>
      </c>
      <c r="F62" s="132">
        <f>SUMIF('COLAR PLANO'!$A:$A,A62,'COLAR PLANO'!$D:$D)</f>
        <v>0</v>
      </c>
      <c r="G62" s="131">
        <f t="shared" si="18"/>
        <v>0</v>
      </c>
      <c r="H62" s="6">
        <v>3.5000000000000003E-2</v>
      </c>
      <c r="I62" s="7">
        <f t="shared" si="19"/>
        <v>0</v>
      </c>
      <c r="J62" s="130">
        <f t="shared" si="20"/>
        <v>0</v>
      </c>
      <c r="K62" s="580">
        <v>15</v>
      </c>
      <c r="L62" s="580">
        <v>1</v>
      </c>
      <c r="M62" s="580">
        <v>15</v>
      </c>
      <c r="N62" s="7">
        <f t="shared" si="21"/>
        <v>0</v>
      </c>
      <c r="O62" s="7"/>
      <c r="P62" s="311">
        <f t="shared" si="22"/>
        <v>0</v>
      </c>
      <c r="Q62" s="7"/>
      <c r="R62" s="7"/>
      <c r="S62" s="7"/>
      <c r="T62" s="7"/>
      <c r="U62" s="7" t="s">
        <v>2288</v>
      </c>
      <c r="V62" s="7" t="s">
        <v>2289</v>
      </c>
      <c r="W62" s="7" t="str">
        <f>Preencher!$B$3&amp;U62&amp;V62&amp;A62&amp;$W$6</f>
        <v>JARINU-FRG727571MQ.TUNEL DE CG (CONTINUO)</v>
      </c>
      <c r="X62" s="7" t="str">
        <f>Preencher!$B$3&amp;U62&amp;V62&amp;A62&amp;$X$6</f>
        <v>JARINU-FRG727571MQ.TUNEL DE CG (CONTINUO) (1)</v>
      </c>
      <c r="Y62" s="7" t="str">
        <f>Preencher!$B$3&amp;U62&amp;V62&amp;A62&amp;$Y$6</f>
        <v>JARINU-FRG727571MQ.TUNEL DE CG (CONTINUO) (2)</v>
      </c>
      <c r="Z62" s="7" t="str">
        <f>Preencher!$B$3&amp;U62&amp;V62&amp;A62&amp;$Z$6</f>
        <v>JARINU-FRG727571MQ.TUNEL DE CG (CONTINUO) (3)</v>
      </c>
      <c r="AA62" s="7" t="str">
        <f>Preencher!$B$3&amp;U62&amp;V62&amp;A62&amp;$AA$6</f>
        <v>JARINU-FRG727571MQ.TUNEL DE CG (ESTATICO)</v>
      </c>
      <c r="AB62" s="7" t="str">
        <f>Preencher!$B$3&amp;U62&amp;V62&amp;A62&amp;$AB$6</f>
        <v>JARINU-FRG727571MQ.TUNEL DE CG (ESTATICO) (1)</v>
      </c>
      <c r="AC62" s="7" t="str">
        <f>Preencher!$B$3&amp;U62&amp;V62&amp;A62&amp;$AC$6</f>
        <v>JARINU-FRG727571MQ.TUNEL DE CG (ESTATICO) (2)</v>
      </c>
      <c r="AD62" s="327">
        <f>IFERROR(SUMIF('BD Otimix'!A:A,'BD VOLUME'!X62,'BD Otimix'!O:O)+SUMIF('BD Otimix'!A:A,'BD VOLUME'!Y62,'BD Otimix'!O:O)+SUMIF('BD Otimix'!A:A,'BD VOLUME'!Z62,'BD Otimix'!O:O)+SUMIF('BD Otimix'!A:A,'BD VOLUME'!AA62,'BD Otimix'!O:O)+SUMIF('BD Otimix'!A:A,'BD VOLUME'!AB62,'BD Otimix'!O:O)+SUMIF('BD Otimix'!A:A,'BD VOLUME'!AC62,'BD Otimix'!O:O)+SUMIF('BD Otimix'!A:A,'BD VOLUME'!W62,'BD Otimix'!O:O),0)</f>
        <v>0</v>
      </c>
      <c r="AE62" s="327">
        <f t="shared" si="5"/>
        <v>0</v>
      </c>
      <c r="AF62" s="7" t="str">
        <f>Preencher!$B$3&amp;$U$8&amp;$V$8&amp;A62&amp;$AF$6</f>
        <v>JARINU-FRG727571MQ.GIROFREEZER</v>
      </c>
      <c r="AG62" s="7" t="str">
        <f>Preencher!$B$3&amp;$U$8&amp;$V$8&amp;A62&amp;$AG$6</f>
        <v>JARINU-FRG727571MQ.GIROFREEZER (1)</v>
      </c>
      <c r="AH62" s="7" t="str">
        <f>Preencher!$B$3&amp;$U$8&amp;$V$8&amp;A62&amp;$AH$6</f>
        <v>JARINU-FRG727571MQ.GIROFREEZER (2)</v>
      </c>
      <c r="AI62" s="7" t="str">
        <f>Preencher!$B$3&amp;$U$8&amp;$V$8&amp;A62&amp;$AI$6</f>
        <v>JARINU-FRG727571MQ.GIROFREEZER REV04</v>
      </c>
      <c r="AJ62" s="7" t="str">
        <f>Preencher!$B$3&amp;$U$8&amp;$V$8&amp;A62&amp;$AJ$6</f>
        <v>JARINU-FRG727571MQ.GIROFREEZER (3)</v>
      </c>
      <c r="AK62" s="327">
        <f>IFERROR(SUMIF('BD Otimix'!A:A,'BD VOLUME'!AG62,'BD Otimix'!O:O)+SUMIF('BD Otimix'!A:A,'BD VOLUME'!AH62,'BD Otimix'!O:O)+SUMIF('BD Otimix'!A:A,'BD VOLUME'!AI62,'BD Otimix'!O:O)+SUMIF('BD Otimix'!A:A,'BD VOLUME'!AJ62,'BD Otimix'!O:O)+SUMIF('BD Otimix'!A:A,'BD VOLUME'!AF62,'BD Otimix'!O:O),0)</f>
        <v>0</v>
      </c>
      <c r="AL62" s="7">
        <f t="shared" si="6"/>
        <v>0</v>
      </c>
    </row>
    <row r="63" spans="1:38">
      <c r="A63" s="128"/>
      <c r="B63" s="128"/>
      <c r="C63" s="5"/>
      <c r="D63" s="5"/>
      <c r="E63" s="5"/>
      <c r="F63" s="132"/>
      <c r="G63" s="131"/>
      <c r="H63" s="6"/>
      <c r="I63" s="7"/>
      <c r="J63" s="130"/>
      <c r="K63" s="128"/>
      <c r="L63" s="128"/>
      <c r="M63" s="128"/>
      <c r="N63" s="7"/>
      <c r="O63" s="7"/>
      <c r="P63" s="7"/>
      <c r="Q63" s="7"/>
      <c r="R63" s="7"/>
      <c r="S63" s="7"/>
      <c r="T63" s="7"/>
      <c r="U63" s="7" t="s">
        <v>2288</v>
      </c>
      <c r="V63" s="7" t="s">
        <v>2289</v>
      </c>
      <c r="W63" s="7" t="str">
        <f>Preencher!$B$3&amp;U63&amp;V63&amp;A63&amp;$W$6</f>
        <v>JARINU-FRGMQ.TUNEL DE CG (CONTINUO)</v>
      </c>
      <c r="X63" s="7" t="str">
        <f>Preencher!$B$3&amp;U63&amp;V63&amp;A63&amp;$X$6</f>
        <v>JARINU-FRGMQ.TUNEL DE CG (CONTINUO) (1)</v>
      </c>
      <c r="Y63" s="7" t="str">
        <f>Preencher!$B$3&amp;U63&amp;V63&amp;A63&amp;$Y$6</f>
        <v>JARINU-FRGMQ.TUNEL DE CG (CONTINUO) (2)</v>
      </c>
      <c r="Z63" s="7" t="str">
        <f>Preencher!$B$3&amp;U63&amp;V63&amp;A63&amp;$Z$6</f>
        <v>JARINU-FRGMQ.TUNEL DE CG (CONTINUO) (3)</v>
      </c>
      <c r="AA63" s="7" t="str">
        <f>Preencher!$B$3&amp;U63&amp;V63&amp;A63&amp;$AA$6</f>
        <v>JARINU-FRGMQ.TUNEL DE CG (ESTATICO)</v>
      </c>
      <c r="AB63" s="7" t="str">
        <f>Preencher!$B$3&amp;U63&amp;V63&amp;A63&amp;$AB$6</f>
        <v>JARINU-FRGMQ.TUNEL DE CG (ESTATICO) (1)</v>
      </c>
      <c r="AC63" s="7" t="str">
        <f>Preencher!$B$3&amp;U63&amp;V63&amp;A63&amp;$AC$6</f>
        <v>JARINU-FRGMQ.TUNEL DE CG (ESTATICO) (2)</v>
      </c>
      <c r="AD63" s="327">
        <f>IFERROR(SUMIF('BD Otimix'!A:A,'BD VOLUME'!X63,'BD Otimix'!O:O)+SUMIF('BD Otimix'!A:A,'BD VOLUME'!Y63,'BD Otimix'!O:O)+SUMIF('BD Otimix'!A:A,'BD VOLUME'!Z63,'BD Otimix'!O:O)+SUMIF('BD Otimix'!A:A,'BD VOLUME'!AA63,'BD Otimix'!O:O)+SUMIF('BD Otimix'!A:A,'BD VOLUME'!AB63,'BD Otimix'!O:O)+SUMIF('BD Otimix'!A:A,'BD VOLUME'!AC63,'BD Otimix'!O:O)+SUMIF('BD Otimix'!A:A,'BD VOLUME'!W63,'BD Otimix'!O:O),0)</f>
        <v>0</v>
      </c>
      <c r="AE63" s="327">
        <f t="shared" si="5"/>
        <v>0</v>
      </c>
      <c r="AF63" s="7" t="str">
        <f>Preencher!$B$3&amp;$U$8&amp;$V$8&amp;A63&amp;$AF$6</f>
        <v>JARINU-FRGMQ.GIROFREEZER</v>
      </c>
      <c r="AG63" s="7" t="str">
        <f>Preencher!$B$3&amp;$U$8&amp;$V$8&amp;A63&amp;$AG$6</f>
        <v>JARINU-FRGMQ.GIROFREEZER (1)</v>
      </c>
      <c r="AH63" s="7" t="str">
        <f>Preencher!$B$3&amp;$U$8&amp;$V$8&amp;A63&amp;$AH$6</f>
        <v>JARINU-FRGMQ.GIROFREEZER (2)</v>
      </c>
      <c r="AI63" s="7" t="str">
        <f>Preencher!$B$3&amp;$U$8&amp;$V$8&amp;A63&amp;$AI$6</f>
        <v>JARINU-FRGMQ.GIROFREEZER REV04</v>
      </c>
      <c r="AJ63" s="7" t="str">
        <f>Preencher!$B$3&amp;$U$8&amp;$V$8&amp;A63&amp;$AJ$6</f>
        <v>JARINU-FRGMQ.GIROFREEZER (3)</v>
      </c>
      <c r="AK63" s="327">
        <f>IFERROR(SUMIF('BD Otimix'!A:A,'BD VOLUME'!AG63,'BD Otimix'!O:O)+SUMIF('BD Otimix'!A:A,'BD VOLUME'!AH63,'BD Otimix'!O:O)+SUMIF('BD Otimix'!A:A,'BD VOLUME'!AI63,'BD Otimix'!O:O)+SUMIF('BD Otimix'!A:A,'BD VOLUME'!AJ63,'BD Otimix'!O:O)+SUMIF('BD Otimix'!A:A,'BD VOLUME'!AF63,'BD Otimix'!O:O),0)</f>
        <v>0</v>
      </c>
      <c r="AL63" s="7">
        <f t="shared" si="6"/>
        <v>0</v>
      </c>
    </row>
    <row r="64" spans="1:38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</row>
    <row r="65" spans="1:38">
      <c r="A65" s="138" t="s">
        <v>1066</v>
      </c>
      <c r="B65" s="136">
        <f>B3</f>
        <v>4699.7389033942563</v>
      </c>
      <c r="C65" s="138"/>
      <c r="D65" s="138"/>
      <c r="E65" s="138"/>
      <c r="F65" s="138"/>
      <c r="G65" s="138"/>
      <c r="H65" s="138"/>
      <c r="I65" s="330">
        <f>SUBTOTAL(9,I66:I143)</f>
        <v>0</v>
      </c>
      <c r="J65" s="331">
        <f>SUBTOTAL(9,J66:J143)</f>
        <v>0</v>
      </c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</row>
    <row r="66" spans="1:38">
      <c r="A66" s="128">
        <v>963232</v>
      </c>
      <c r="B66" s="128"/>
      <c r="C66" s="5" t="s">
        <v>940</v>
      </c>
      <c r="D66" s="5" t="s">
        <v>939</v>
      </c>
      <c r="E66" s="5" t="s">
        <v>1338</v>
      </c>
      <c r="F66" s="132">
        <f>SUMIF('COLAR PLANO'!$A:$A,A66,'COLAR PLANO'!$D:$D)</f>
        <v>0</v>
      </c>
      <c r="G66" s="131">
        <f>IFERROR(F66/($E$3*$C$3),0)</f>
        <v>0</v>
      </c>
      <c r="H66" s="6">
        <v>0.78949999999999998</v>
      </c>
      <c r="I66" s="7">
        <f>IFERROR(G66/$D$3/H66,0)</f>
        <v>0</v>
      </c>
      <c r="J66" s="130">
        <f>IFERROR(I66/$B$65,0)</f>
        <v>0</v>
      </c>
      <c r="K66" s="128">
        <v>2.125</v>
      </c>
      <c r="L66" s="128">
        <v>8</v>
      </c>
      <c r="M66" s="128">
        <v>17</v>
      </c>
      <c r="N66" s="7">
        <f t="shared" ref="N66:N129" si="23">IFERROR(G66/K66,"-")</f>
        <v>0</v>
      </c>
      <c r="O66" s="7"/>
      <c r="P66" s="7"/>
      <c r="Q66" s="7"/>
      <c r="R66" s="7"/>
      <c r="S66" s="7"/>
      <c r="T66" s="7"/>
      <c r="U66" s="7" t="s">
        <v>2288</v>
      </c>
      <c r="V66" s="7" t="s">
        <v>2289</v>
      </c>
      <c r="W66" s="7" t="str">
        <f>Preencher!$B$3&amp;U66&amp;V66&amp;A66&amp;$W$6</f>
        <v>JARINU-FRG963232MQ.TUNEL DE CG (CONTINUO)</v>
      </c>
      <c r="X66" s="7" t="str">
        <f>Preencher!$B$3&amp;U66&amp;V66&amp;A66&amp;$X$6</f>
        <v>JARINU-FRG963232MQ.TUNEL DE CG (CONTINUO) (1)</v>
      </c>
      <c r="Y66" s="7" t="str">
        <f>Preencher!$B$3&amp;U66&amp;V66&amp;A66&amp;$Y$6</f>
        <v>JARINU-FRG963232MQ.TUNEL DE CG (CONTINUO) (2)</v>
      </c>
      <c r="Z66" s="7" t="str">
        <f>Preencher!$B$3&amp;U66&amp;V66&amp;A66&amp;$Z$6</f>
        <v>JARINU-FRG963232MQ.TUNEL DE CG (CONTINUO) (3)</v>
      </c>
      <c r="AA66" s="7" t="str">
        <f>Preencher!$B$3&amp;U66&amp;V66&amp;A66&amp;$AA$6</f>
        <v>JARINU-FRG963232MQ.TUNEL DE CG (ESTATICO)</v>
      </c>
      <c r="AB66" s="7" t="str">
        <f>Preencher!$B$3&amp;U66&amp;V66&amp;A66&amp;$AB$6</f>
        <v>JARINU-FRG963232MQ.TUNEL DE CG (ESTATICO) (1)</v>
      </c>
      <c r="AC66" s="7" t="str">
        <f>Preencher!$B$3&amp;U66&amp;V66&amp;A66&amp;$AC$6</f>
        <v>JARINU-FRG963232MQ.TUNEL DE CG (ESTATICO) (2)</v>
      </c>
      <c r="AD66" s="327">
        <f>IFERROR(SUMIF('BD Otimix'!A:A,'BD VOLUME'!X66,'BD Otimix'!O:O)+SUMIF('BD Otimix'!A:A,'BD VOLUME'!Y66,'BD Otimix'!O:O)+SUMIF('BD Otimix'!A:A,'BD VOLUME'!Z66,'BD Otimix'!O:O)+SUMIF('BD Otimix'!A:A,'BD VOLUME'!AA66,'BD Otimix'!O:O)+SUMIF('BD Otimix'!A:A,'BD VOLUME'!AB66,'BD Otimix'!O:O)+SUMIF('BD Otimix'!A:A,'BD VOLUME'!AC66,'BD Otimix'!O:O)+SUMIF('BD Otimix'!A:A,'BD VOLUME'!W66,'BD Otimix'!O:O),0)</f>
        <v>0</v>
      </c>
      <c r="AE66" s="327">
        <f t="shared" ref="AE66:AE130" si="24">IFERROR(F66/$E$3/1000/AD66,0)</f>
        <v>0</v>
      </c>
      <c r="AF66" s="7" t="str">
        <f>Preencher!$B$3&amp;$U$8&amp;$V$8&amp;A66&amp;$AF$6</f>
        <v>JARINU-FRG963232MQ.GIROFREEZER</v>
      </c>
      <c r="AG66" s="7" t="str">
        <f>Preencher!$B$3&amp;$U$8&amp;$V$8&amp;A66&amp;$AG$6</f>
        <v>JARINU-FRG963232MQ.GIROFREEZER (1)</v>
      </c>
      <c r="AH66" s="7" t="str">
        <f>Preencher!$B$3&amp;$U$8&amp;$V$8&amp;A66&amp;$AH$6</f>
        <v>JARINU-FRG963232MQ.GIROFREEZER (2)</v>
      </c>
      <c r="AI66" s="7" t="str">
        <f>Preencher!$B$3&amp;$U$8&amp;$V$8&amp;A66&amp;$AI$6</f>
        <v>JARINU-FRG963232MQ.GIROFREEZER REV04</v>
      </c>
      <c r="AJ66" s="7" t="str">
        <f>Preencher!$B$3&amp;$U$8&amp;$V$8&amp;A66&amp;$AJ$6</f>
        <v>JARINU-FRG963232MQ.GIROFREEZER (3)</v>
      </c>
      <c r="AK66" s="327">
        <f>IFERROR(SUMIF('BD Otimix'!A:A,'BD VOLUME'!AG66,'BD Otimix'!O:O)+SUMIF('BD Otimix'!A:A,'BD VOLUME'!AH66,'BD Otimix'!O:O)+SUMIF('BD Otimix'!A:A,'BD VOLUME'!AI66,'BD Otimix'!O:O)+SUMIF('BD Otimix'!A:A,'BD VOLUME'!AJ66,'BD Otimix'!O:O)+SUMIF('BD Otimix'!A:A,'BD VOLUME'!AF66,'BD Otimix'!O:O),0)</f>
        <v>0</v>
      </c>
      <c r="AL66" s="7">
        <f t="shared" ref="AL66:AL130" si="25">IFERROR(F66/$E$3/1000/AK66,0)</f>
        <v>0</v>
      </c>
    </row>
    <row r="67" spans="1:38">
      <c r="A67" s="346">
        <v>11061</v>
      </c>
      <c r="B67" s="346" t="s">
        <v>1369</v>
      </c>
      <c r="C67" s="5" t="s">
        <v>940</v>
      </c>
      <c r="D67" s="5" t="s">
        <v>939</v>
      </c>
      <c r="E67" s="5" t="s">
        <v>1338</v>
      </c>
      <c r="F67" s="132">
        <f>SUMIF('COLAR PLANO'!$A:$A,A67,'COLAR PLANO'!$D:$D)</f>
        <v>0</v>
      </c>
      <c r="G67" s="131">
        <f t="shared" ref="G67:G75" si="26">IFERROR(F67/($E$3*$C$3),0)</f>
        <v>0</v>
      </c>
      <c r="H67" s="6">
        <v>0.74129999999999996</v>
      </c>
      <c r="I67" s="7">
        <f t="shared" ref="I67:I131" si="27">IFERROR(G67/$D$3/H67,0)</f>
        <v>0</v>
      </c>
      <c r="J67" s="130">
        <f t="shared" ref="J67:J131" si="28">IFERROR(I67/$B$65,0)</f>
        <v>0</v>
      </c>
      <c r="K67" s="819">
        <v>2.125</v>
      </c>
      <c r="L67" s="819">
        <v>8</v>
      </c>
      <c r="M67" s="819">
        <v>17</v>
      </c>
      <c r="N67" s="7">
        <f t="shared" ref="N67:N94" si="29">IFERROR(G67/K67,"-")</f>
        <v>0</v>
      </c>
      <c r="O67" s="7"/>
      <c r="P67" s="7"/>
      <c r="Q67" s="7"/>
      <c r="R67" s="7"/>
      <c r="S67" s="7"/>
      <c r="T67" s="7"/>
      <c r="U67" s="7" t="s">
        <v>2288</v>
      </c>
      <c r="V67" s="7" t="s">
        <v>2289</v>
      </c>
      <c r="W67" s="7" t="str">
        <f>Preencher!$B$3&amp;U67&amp;V67&amp;A67&amp;$W$6</f>
        <v>JARINU-FRG11061MQ.TUNEL DE CG (CONTINUO)</v>
      </c>
      <c r="X67" s="7" t="str">
        <f>Preencher!$B$3&amp;U67&amp;V67&amp;A67&amp;$X$6</f>
        <v>JARINU-FRG11061MQ.TUNEL DE CG (CONTINUO) (1)</v>
      </c>
      <c r="Y67" s="7" t="str">
        <f>Preencher!$B$3&amp;U67&amp;V67&amp;A67&amp;$Y$6</f>
        <v>JARINU-FRG11061MQ.TUNEL DE CG (CONTINUO) (2)</v>
      </c>
      <c r="Z67" s="7" t="str">
        <f>Preencher!$B$3&amp;U67&amp;V67&amp;A67&amp;$Z$6</f>
        <v>JARINU-FRG11061MQ.TUNEL DE CG (CONTINUO) (3)</v>
      </c>
      <c r="AA67" s="7" t="str">
        <f>Preencher!$B$3&amp;U67&amp;V67&amp;A67&amp;$AA$6</f>
        <v>JARINU-FRG11061MQ.TUNEL DE CG (ESTATICO)</v>
      </c>
      <c r="AB67" s="7" t="str">
        <f>Preencher!$B$3&amp;U67&amp;V67&amp;A67&amp;$AB$6</f>
        <v>JARINU-FRG11061MQ.TUNEL DE CG (ESTATICO) (1)</v>
      </c>
      <c r="AC67" s="7" t="str">
        <f>Preencher!$B$3&amp;U67&amp;V67&amp;A67&amp;$AC$6</f>
        <v>JARINU-FRG11061MQ.TUNEL DE CG (ESTATICO) (2)</v>
      </c>
      <c r="AD67" s="327">
        <f>IFERROR(SUMIF('BD Otimix'!A:A,'BD VOLUME'!X67,'BD Otimix'!O:O)+SUMIF('BD Otimix'!A:A,'BD VOLUME'!Y67,'BD Otimix'!O:O)+SUMIF('BD Otimix'!A:A,'BD VOLUME'!Z67,'BD Otimix'!O:O)+SUMIF('BD Otimix'!A:A,'BD VOLUME'!AA67,'BD Otimix'!O:O)+SUMIF('BD Otimix'!A:A,'BD VOLUME'!AB67,'BD Otimix'!O:O)+SUMIF('BD Otimix'!A:A,'BD VOLUME'!AC67,'BD Otimix'!O:O)+SUMIF('BD Otimix'!A:A,'BD VOLUME'!W67,'BD Otimix'!O:O),0)</f>
        <v>0</v>
      </c>
      <c r="AE67" s="327">
        <f t="shared" si="24"/>
        <v>0</v>
      </c>
      <c r="AF67" s="7" t="str">
        <f>Preencher!$B$3&amp;$U$8&amp;$V$8&amp;A67&amp;$AF$6</f>
        <v>JARINU-FRG11061MQ.GIROFREEZER</v>
      </c>
      <c r="AG67" s="7" t="str">
        <f>Preencher!$B$3&amp;$U$8&amp;$V$8&amp;A67&amp;$AG$6</f>
        <v>JARINU-FRG11061MQ.GIROFREEZER (1)</v>
      </c>
      <c r="AH67" s="7" t="str">
        <f>Preencher!$B$3&amp;$U$8&amp;$V$8&amp;A67&amp;$AH$6</f>
        <v>JARINU-FRG11061MQ.GIROFREEZER (2)</v>
      </c>
      <c r="AI67" s="7" t="str">
        <f>Preencher!$B$3&amp;$U$8&amp;$V$8&amp;A67&amp;$AI$6</f>
        <v>JARINU-FRG11061MQ.GIROFREEZER REV04</v>
      </c>
      <c r="AJ67" s="7" t="str">
        <f>Preencher!$B$3&amp;$U$8&amp;$V$8&amp;A67&amp;$AJ$6</f>
        <v>JARINU-FRG11061MQ.GIROFREEZER (3)</v>
      </c>
      <c r="AK67" s="327">
        <f>IFERROR(SUMIF('BD Otimix'!A:A,'BD VOLUME'!AG67,'BD Otimix'!O:O)+SUMIF('BD Otimix'!A:A,'BD VOLUME'!AH67,'BD Otimix'!O:O)+SUMIF('BD Otimix'!A:A,'BD VOLUME'!AI67,'BD Otimix'!O:O)+SUMIF('BD Otimix'!A:A,'BD VOLUME'!AJ67,'BD Otimix'!O:O)+SUMIF('BD Otimix'!A:A,'BD VOLUME'!AF67,'BD Otimix'!O:O),0)</f>
        <v>0</v>
      </c>
      <c r="AL67" s="7">
        <f t="shared" si="25"/>
        <v>0</v>
      </c>
    </row>
    <row r="68" spans="1:38">
      <c r="A68" s="346">
        <v>929638</v>
      </c>
      <c r="B68" s="346"/>
      <c r="C68" s="5" t="s">
        <v>940</v>
      </c>
      <c r="D68" s="5" t="s">
        <v>939</v>
      </c>
      <c r="E68" s="5" t="s">
        <v>1338</v>
      </c>
      <c r="F68" s="132">
        <f>SUMIF('COLAR PLANO'!$A:$A,A68,'COLAR PLANO'!$D:$D)</f>
        <v>0</v>
      </c>
      <c r="G68" s="131">
        <f t="shared" si="26"/>
        <v>0</v>
      </c>
      <c r="H68" s="6">
        <v>0.78129999999999999</v>
      </c>
      <c r="I68" s="7">
        <f t="shared" si="27"/>
        <v>0</v>
      </c>
      <c r="J68" s="130">
        <f t="shared" si="28"/>
        <v>0</v>
      </c>
      <c r="K68" s="819">
        <v>2.125</v>
      </c>
      <c r="L68" s="819">
        <v>8</v>
      </c>
      <c r="M68" s="819">
        <v>17</v>
      </c>
      <c r="N68" s="7">
        <f t="shared" si="29"/>
        <v>0</v>
      </c>
      <c r="O68" s="7"/>
      <c r="P68" s="7"/>
      <c r="Q68" s="7"/>
      <c r="R68" s="7"/>
      <c r="S68" s="7"/>
      <c r="T68" s="7"/>
      <c r="U68" s="7" t="s">
        <v>2288</v>
      </c>
      <c r="V68" s="7" t="s">
        <v>2289</v>
      </c>
      <c r="W68" s="7" t="str">
        <f>Preencher!$B$3&amp;U68&amp;V68&amp;A68&amp;$W$6</f>
        <v>JARINU-FRG929638MQ.TUNEL DE CG (CONTINUO)</v>
      </c>
      <c r="X68" s="7" t="str">
        <f>Preencher!$B$3&amp;U68&amp;V68&amp;A68&amp;$X$6</f>
        <v>JARINU-FRG929638MQ.TUNEL DE CG (CONTINUO) (1)</v>
      </c>
      <c r="Y68" s="7" t="str">
        <f>Preencher!$B$3&amp;U68&amp;V68&amp;A68&amp;$Y$6</f>
        <v>JARINU-FRG929638MQ.TUNEL DE CG (CONTINUO) (2)</v>
      </c>
      <c r="Z68" s="7" t="str">
        <f>Preencher!$B$3&amp;U68&amp;V68&amp;A68&amp;$Z$6</f>
        <v>JARINU-FRG929638MQ.TUNEL DE CG (CONTINUO) (3)</v>
      </c>
      <c r="AA68" s="7" t="str">
        <f>Preencher!$B$3&amp;U68&amp;V68&amp;A68&amp;$AA$6</f>
        <v>JARINU-FRG929638MQ.TUNEL DE CG (ESTATICO)</v>
      </c>
      <c r="AB68" s="7" t="str">
        <f>Preencher!$B$3&amp;U68&amp;V68&amp;A68&amp;$AB$6</f>
        <v>JARINU-FRG929638MQ.TUNEL DE CG (ESTATICO) (1)</v>
      </c>
      <c r="AC68" s="7" t="str">
        <f>Preencher!$B$3&amp;U68&amp;V68&amp;A68&amp;$AC$6</f>
        <v>JARINU-FRG929638MQ.TUNEL DE CG (ESTATICO) (2)</v>
      </c>
      <c r="AD68" s="327">
        <f>IFERROR(SUMIF('BD Otimix'!A:A,'BD VOLUME'!X68,'BD Otimix'!O:O)+SUMIF('BD Otimix'!A:A,'BD VOLUME'!Y68,'BD Otimix'!O:O)+SUMIF('BD Otimix'!A:A,'BD VOLUME'!Z68,'BD Otimix'!O:O)+SUMIF('BD Otimix'!A:A,'BD VOLUME'!AA68,'BD Otimix'!O:O)+SUMIF('BD Otimix'!A:A,'BD VOLUME'!AB68,'BD Otimix'!O:O)+SUMIF('BD Otimix'!A:A,'BD VOLUME'!AC68,'BD Otimix'!O:O)+SUMIF('BD Otimix'!A:A,'BD VOLUME'!W68,'BD Otimix'!O:O),0)</f>
        <v>0</v>
      </c>
      <c r="AE68" s="327">
        <f t="shared" si="24"/>
        <v>0</v>
      </c>
      <c r="AF68" s="7" t="str">
        <f>Preencher!$B$3&amp;$U$8&amp;$V$8&amp;A68&amp;$AF$6</f>
        <v>JARINU-FRG929638MQ.GIROFREEZER</v>
      </c>
      <c r="AG68" s="7" t="str">
        <f>Preencher!$B$3&amp;$U$8&amp;$V$8&amp;A68&amp;$AG$6</f>
        <v>JARINU-FRG929638MQ.GIROFREEZER (1)</v>
      </c>
      <c r="AH68" s="7" t="str">
        <f>Preencher!$B$3&amp;$U$8&amp;$V$8&amp;A68&amp;$AH$6</f>
        <v>JARINU-FRG929638MQ.GIROFREEZER (2)</v>
      </c>
      <c r="AI68" s="7" t="str">
        <f>Preencher!$B$3&amp;$U$8&amp;$V$8&amp;A68&amp;$AI$6</f>
        <v>JARINU-FRG929638MQ.GIROFREEZER REV04</v>
      </c>
      <c r="AJ68" s="7" t="str">
        <f>Preencher!$B$3&amp;$U$8&amp;$V$8&amp;A68&amp;$AJ$6</f>
        <v>JARINU-FRG929638MQ.GIROFREEZER (3)</v>
      </c>
      <c r="AK68" s="327">
        <f>IFERROR(SUMIF('BD Otimix'!A:A,'BD VOLUME'!AG68,'BD Otimix'!O:O)+SUMIF('BD Otimix'!A:A,'BD VOLUME'!AH68,'BD Otimix'!O:O)+SUMIF('BD Otimix'!A:A,'BD VOLUME'!AI68,'BD Otimix'!O:O)+SUMIF('BD Otimix'!A:A,'BD VOLUME'!AJ68,'BD Otimix'!O:O)+SUMIF('BD Otimix'!A:A,'BD VOLUME'!AF68,'BD Otimix'!O:O),0)</f>
        <v>0</v>
      </c>
      <c r="AL68" s="7">
        <f t="shared" si="25"/>
        <v>0</v>
      </c>
    </row>
    <row r="69" spans="1:38">
      <c r="A69" s="346">
        <v>928313</v>
      </c>
      <c r="B69" s="346" t="s">
        <v>998</v>
      </c>
      <c r="C69" s="5" t="s">
        <v>940</v>
      </c>
      <c r="D69" s="5" t="s">
        <v>939</v>
      </c>
      <c r="E69" s="5" t="s">
        <v>2588</v>
      </c>
      <c r="F69" s="132">
        <f>SUMIF('COLAR PLANO'!$A:$A,A69,'COLAR PLANO'!$D:$D)</f>
        <v>0</v>
      </c>
      <c r="G69" s="131">
        <f t="shared" si="26"/>
        <v>0</v>
      </c>
      <c r="H69" s="6">
        <v>0.77989999999999993</v>
      </c>
      <c r="I69" s="7">
        <f t="shared" si="27"/>
        <v>0</v>
      </c>
      <c r="J69" s="130">
        <f t="shared" si="28"/>
        <v>0</v>
      </c>
      <c r="K69" s="819">
        <v>2.125</v>
      </c>
      <c r="L69" s="819">
        <v>8</v>
      </c>
      <c r="M69" s="819">
        <v>17</v>
      </c>
      <c r="N69" s="7">
        <f t="shared" si="29"/>
        <v>0</v>
      </c>
      <c r="O69" s="7"/>
      <c r="P69" s="7"/>
      <c r="Q69" s="7"/>
      <c r="R69" s="7"/>
      <c r="S69" s="7"/>
      <c r="T69" s="7"/>
      <c r="U69" s="7" t="s">
        <v>2288</v>
      </c>
      <c r="V69" s="7" t="s">
        <v>2289</v>
      </c>
      <c r="W69" s="7" t="str">
        <f>Preencher!$B$3&amp;U69&amp;V69&amp;A69&amp;$W$6</f>
        <v>JARINU-FRG928313MQ.TUNEL DE CG (CONTINUO)</v>
      </c>
      <c r="X69" s="7" t="str">
        <f>Preencher!$B$3&amp;U69&amp;V69&amp;A69&amp;$X$6</f>
        <v>JARINU-FRG928313MQ.TUNEL DE CG (CONTINUO) (1)</v>
      </c>
      <c r="Y69" s="7" t="str">
        <f>Preencher!$B$3&amp;U69&amp;V69&amp;A69&amp;$Y$6</f>
        <v>JARINU-FRG928313MQ.TUNEL DE CG (CONTINUO) (2)</v>
      </c>
      <c r="Z69" s="7" t="str">
        <f>Preencher!$B$3&amp;U69&amp;V69&amp;A69&amp;$Z$6</f>
        <v>JARINU-FRG928313MQ.TUNEL DE CG (CONTINUO) (3)</v>
      </c>
      <c r="AA69" s="7" t="str">
        <f>Preencher!$B$3&amp;U69&amp;V69&amp;A69&amp;$AA$6</f>
        <v>JARINU-FRG928313MQ.TUNEL DE CG (ESTATICO)</v>
      </c>
      <c r="AB69" s="7" t="str">
        <f>Preencher!$B$3&amp;U69&amp;V69&amp;A69&amp;$AB$6</f>
        <v>JARINU-FRG928313MQ.TUNEL DE CG (ESTATICO) (1)</v>
      </c>
      <c r="AC69" s="7" t="str">
        <f>Preencher!$B$3&amp;U69&amp;V69&amp;A69&amp;$AC$6</f>
        <v>JARINU-FRG928313MQ.TUNEL DE CG (ESTATICO) (2)</v>
      </c>
      <c r="AD69" s="327">
        <f>IFERROR(SUMIF('BD Otimix'!A:A,'BD VOLUME'!X69,'BD Otimix'!O:O)+SUMIF('BD Otimix'!A:A,'BD VOLUME'!Y69,'BD Otimix'!O:O)+SUMIF('BD Otimix'!A:A,'BD VOLUME'!Z69,'BD Otimix'!O:O)+SUMIF('BD Otimix'!A:A,'BD VOLUME'!AA69,'BD Otimix'!O:O)+SUMIF('BD Otimix'!A:A,'BD VOLUME'!AB69,'BD Otimix'!O:O)+SUMIF('BD Otimix'!A:A,'BD VOLUME'!AC69,'BD Otimix'!O:O)+SUMIF('BD Otimix'!A:A,'BD VOLUME'!W69,'BD Otimix'!O:O),0)</f>
        <v>0</v>
      </c>
      <c r="AE69" s="327">
        <f t="shared" si="24"/>
        <v>0</v>
      </c>
      <c r="AF69" s="7" t="str">
        <f>Preencher!$B$3&amp;$U$8&amp;$V$8&amp;A69&amp;$AF$6</f>
        <v>JARINU-FRG928313MQ.GIROFREEZER</v>
      </c>
      <c r="AG69" s="7" t="str">
        <f>Preencher!$B$3&amp;$U$8&amp;$V$8&amp;A69&amp;$AG$6</f>
        <v>JARINU-FRG928313MQ.GIROFREEZER (1)</v>
      </c>
      <c r="AH69" s="7" t="str">
        <f>Preencher!$B$3&amp;$U$8&amp;$V$8&amp;A69&amp;$AH$6</f>
        <v>JARINU-FRG928313MQ.GIROFREEZER (2)</v>
      </c>
      <c r="AI69" s="7" t="str">
        <f>Preencher!$B$3&amp;$U$8&amp;$V$8&amp;A69&amp;$AI$6</f>
        <v>JARINU-FRG928313MQ.GIROFREEZER REV04</v>
      </c>
      <c r="AJ69" s="7" t="str">
        <f>Preencher!$B$3&amp;$U$8&amp;$V$8&amp;A69&amp;$AJ$6</f>
        <v>JARINU-FRG928313MQ.GIROFREEZER (3)</v>
      </c>
      <c r="AK69" s="327">
        <f>IFERROR(SUMIF('BD Otimix'!A:A,'BD VOLUME'!AG69,'BD Otimix'!O:O)+SUMIF('BD Otimix'!A:A,'BD VOLUME'!AH69,'BD Otimix'!O:O)+SUMIF('BD Otimix'!A:A,'BD VOLUME'!AI69,'BD Otimix'!O:O)+SUMIF('BD Otimix'!A:A,'BD VOLUME'!AJ69,'BD Otimix'!O:O)+SUMIF('BD Otimix'!A:A,'BD VOLUME'!AF69,'BD Otimix'!O:O),0)</f>
        <v>0</v>
      </c>
      <c r="AL69" s="7">
        <f t="shared" si="25"/>
        <v>0</v>
      </c>
    </row>
    <row r="70" spans="1:38">
      <c r="A70" s="685">
        <v>213129</v>
      </c>
      <c r="B70" s="685"/>
      <c r="C70" s="5" t="s">
        <v>2519</v>
      </c>
      <c r="D70" s="5" t="s">
        <v>939</v>
      </c>
      <c r="E70" s="5" t="s">
        <v>2586</v>
      </c>
      <c r="F70" s="132">
        <f>SUMIF('COLAR PLANO'!$A:$A,A70,'COLAR PLANO'!$D:$D)</f>
        <v>0</v>
      </c>
      <c r="G70" s="131">
        <f>IFERROR(F70/($E$3*$C$3),0)</f>
        <v>0</v>
      </c>
      <c r="H70" s="6">
        <v>0.77989999999999993</v>
      </c>
      <c r="I70" s="7">
        <f>IFERROR(G70/$D$3/H70,0)</f>
        <v>0</v>
      </c>
      <c r="J70" s="130">
        <f>IFERROR(I70/$B$65,0)</f>
        <v>0</v>
      </c>
      <c r="K70" s="819">
        <v>2.125</v>
      </c>
      <c r="L70" s="819">
        <v>8</v>
      </c>
      <c r="M70" s="819">
        <v>17</v>
      </c>
      <c r="N70" s="7">
        <f t="shared" si="29"/>
        <v>0</v>
      </c>
      <c r="O70" s="7"/>
      <c r="P70" s="311">
        <f t="shared" ref="P70:P97" si="30">IFERROR(G70/M70,"-")</f>
        <v>0</v>
      </c>
      <c r="Q70" s="7"/>
      <c r="R70" s="7"/>
      <c r="S70" s="7"/>
      <c r="T70" s="7"/>
      <c r="U70" s="7" t="s">
        <v>2288</v>
      </c>
      <c r="V70" s="7" t="s">
        <v>2289</v>
      </c>
      <c r="W70" s="7" t="str">
        <f>Preencher!$B$3&amp;U70&amp;V70&amp;A70&amp;$W$6</f>
        <v>JARINU-FRG213129MQ.TUNEL DE CG (CONTINUO)</v>
      </c>
      <c r="X70" s="7" t="str">
        <f>Preencher!$B$3&amp;U70&amp;V70&amp;A70&amp;$X$6</f>
        <v>JARINU-FRG213129MQ.TUNEL DE CG (CONTINUO) (1)</v>
      </c>
      <c r="Y70" s="7" t="str">
        <f>Preencher!$B$3&amp;U70&amp;V70&amp;A70&amp;$Y$6</f>
        <v>JARINU-FRG213129MQ.TUNEL DE CG (CONTINUO) (2)</v>
      </c>
      <c r="Z70" s="7" t="str">
        <f>Preencher!$B$3&amp;U70&amp;V70&amp;A70&amp;$Z$6</f>
        <v>JARINU-FRG213129MQ.TUNEL DE CG (CONTINUO) (3)</v>
      </c>
      <c r="AA70" s="7" t="str">
        <f>Preencher!$B$3&amp;U70&amp;V70&amp;A70&amp;$AA$6</f>
        <v>JARINU-FRG213129MQ.TUNEL DE CG (ESTATICO)</v>
      </c>
      <c r="AB70" s="7" t="str">
        <f>Preencher!$B$3&amp;U70&amp;V70&amp;A70&amp;$AB$6</f>
        <v>JARINU-FRG213129MQ.TUNEL DE CG (ESTATICO) (1)</v>
      </c>
      <c r="AC70" s="7" t="str">
        <f>Preencher!$B$3&amp;U70&amp;V70&amp;A70&amp;$AC$6</f>
        <v>JARINU-FRG213129MQ.TUNEL DE CG (ESTATICO) (2)</v>
      </c>
      <c r="AD70" s="327">
        <f>IFERROR(SUMIF('BD Otimix'!A:A,'BD VOLUME'!X70,'BD Otimix'!O:O)+SUMIF('BD Otimix'!A:A,'BD VOLUME'!Y70,'BD Otimix'!O:O)+SUMIF('BD Otimix'!A:A,'BD VOLUME'!Z70,'BD Otimix'!O:O)+SUMIF('BD Otimix'!A:A,'BD VOLUME'!AA70,'BD Otimix'!O:O)+SUMIF('BD Otimix'!A:A,'BD VOLUME'!AB70,'BD Otimix'!O:O)+SUMIF('BD Otimix'!A:A,'BD VOLUME'!AC70,'BD Otimix'!O:O)+SUMIF('BD Otimix'!A:A,'BD VOLUME'!W70,'BD Otimix'!O:O),0)</f>
        <v>0</v>
      </c>
      <c r="AE70" s="327">
        <f>IFERROR(F70/$E$3/1000/AD70,0)</f>
        <v>0</v>
      </c>
      <c r="AF70" s="7" t="str">
        <f>Preencher!$B$3&amp;$U$8&amp;$V$8&amp;A70&amp;$AF$6</f>
        <v>JARINU-FRG213129MQ.GIROFREEZER</v>
      </c>
      <c r="AG70" s="7" t="str">
        <f>Preencher!$B$3&amp;$U$8&amp;$V$8&amp;A70&amp;$AG$6</f>
        <v>JARINU-FRG213129MQ.GIROFREEZER (1)</v>
      </c>
      <c r="AH70" s="7" t="str">
        <f>Preencher!$B$3&amp;$U$8&amp;$V$8&amp;A70&amp;$AH$6</f>
        <v>JARINU-FRG213129MQ.GIROFREEZER (2)</v>
      </c>
      <c r="AI70" s="7" t="str">
        <f>Preencher!$B$3&amp;$U$8&amp;$V$8&amp;A70&amp;$AI$6</f>
        <v>JARINU-FRG213129MQ.GIROFREEZER REV04</v>
      </c>
      <c r="AJ70" s="7" t="str">
        <f>Preencher!$B$3&amp;$U$8&amp;$V$8&amp;A70&amp;$AJ$6</f>
        <v>JARINU-FRG213129MQ.GIROFREEZER (3)</v>
      </c>
      <c r="AK70" s="327">
        <f>IFERROR(SUMIF('BD Otimix'!A:A,'BD VOLUME'!AG70,'BD Otimix'!O:O)+SUMIF('BD Otimix'!A:A,'BD VOLUME'!AH70,'BD Otimix'!O:O)+SUMIF('BD Otimix'!A:A,'BD VOLUME'!AI70,'BD Otimix'!O:O)+SUMIF('BD Otimix'!A:A,'BD VOLUME'!AJ70,'BD Otimix'!O:O)+SUMIF('BD Otimix'!A:A,'BD VOLUME'!AF70,'BD Otimix'!O:O),0)</f>
        <v>0</v>
      </c>
      <c r="AL70" s="7">
        <f>IFERROR(F70/$E$3/1000/AK70,0)</f>
        <v>0</v>
      </c>
    </row>
    <row r="71" spans="1:38">
      <c r="A71" s="346">
        <v>952846</v>
      </c>
      <c r="B71" s="346"/>
      <c r="C71" s="5" t="s">
        <v>940</v>
      </c>
      <c r="D71" s="5" t="s">
        <v>939</v>
      </c>
      <c r="E71" s="5" t="s">
        <v>1338</v>
      </c>
      <c r="F71" s="132">
        <f>SUMIF('COLAR PLANO'!$A:$A,A71,'COLAR PLANO'!$D:$D)</f>
        <v>0</v>
      </c>
      <c r="G71" s="131">
        <f t="shared" si="26"/>
        <v>0</v>
      </c>
      <c r="H71" s="6">
        <v>0.78170000000000006</v>
      </c>
      <c r="I71" s="7">
        <f t="shared" si="27"/>
        <v>0</v>
      </c>
      <c r="J71" s="130">
        <f t="shared" si="28"/>
        <v>0</v>
      </c>
      <c r="K71" s="819">
        <v>2.125</v>
      </c>
      <c r="L71" s="819">
        <v>8</v>
      </c>
      <c r="M71" s="819">
        <v>17</v>
      </c>
      <c r="N71" s="7">
        <f t="shared" si="29"/>
        <v>0</v>
      </c>
      <c r="O71" s="7"/>
      <c r="P71" s="311">
        <f t="shared" si="30"/>
        <v>0</v>
      </c>
      <c r="Q71" s="7"/>
      <c r="R71" s="7"/>
      <c r="S71" s="7"/>
      <c r="T71" s="7"/>
      <c r="U71" s="7" t="s">
        <v>2288</v>
      </c>
      <c r="V71" s="7" t="s">
        <v>2289</v>
      </c>
      <c r="W71" s="7" t="str">
        <f>Preencher!$B$3&amp;U71&amp;V71&amp;A71&amp;$W$6</f>
        <v>JARINU-FRG952846MQ.TUNEL DE CG (CONTINUO)</v>
      </c>
      <c r="X71" s="7" t="str">
        <f>Preencher!$B$3&amp;U71&amp;V71&amp;A71&amp;$X$6</f>
        <v>JARINU-FRG952846MQ.TUNEL DE CG (CONTINUO) (1)</v>
      </c>
      <c r="Y71" s="7" t="str">
        <f>Preencher!$B$3&amp;U71&amp;V71&amp;A71&amp;$Y$6</f>
        <v>JARINU-FRG952846MQ.TUNEL DE CG (CONTINUO) (2)</v>
      </c>
      <c r="Z71" s="7" t="str">
        <f>Preencher!$B$3&amp;U71&amp;V71&amp;A71&amp;$Z$6</f>
        <v>JARINU-FRG952846MQ.TUNEL DE CG (CONTINUO) (3)</v>
      </c>
      <c r="AA71" s="7" t="str">
        <f>Preencher!$B$3&amp;U71&amp;V71&amp;A71&amp;$AA$6</f>
        <v>JARINU-FRG952846MQ.TUNEL DE CG (ESTATICO)</v>
      </c>
      <c r="AB71" s="7" t="str">
        <f>Preencher!$B$3&amp;U71&amp;V71&amp;A71&amp;$AB$6</f>
        <v>JARINU-FRG952846MQ.TUNEL DE CG (ESTATICO) (1)</v>
      </c>
      <c r="AC71" s="7" t="str">
        <f>Preencher!$B$3&amp;U71&amp;V71&amp;A71&amp;$AC$6</f>
        <v>JARINU-FRG952846MQ.TUNEL DE CG (ESTATICO) (2)</v>
      </c>
      <c r="AD71" s="327">
        <f>IFERROR(SUMIF('BD Otimix'!A:A,'BD VOLUME'!X71,'BD Otimix'!O:O)+SUMIF('BD Otimix'!A:A,'BD VOLUME'!Y71,'BD Otimix'!O:O)+SUMIF('BD Otimix'!A:A,'BD VOLUME'!Z71,'BD Otimix'!O:O)+SUMIF('BD Otimix'!A:A,'BD VOLUME'!AA71,'BD Otimix'!O:O)+SUMIF('BD Otimix'!A:A,'BD VOLUME'!AB71,'BD Otimix'!O:O)+SUMIF('BD Otimix'!A:A,'BD VOLUME'!AC71,'BD Otimix'!O:O)+SUMIF('BD Otimix'!A:A,'BD VOLUME'!W71,'BD Otimix'!O:O),0)</f>
        <v>0</v>
      </c>
      <c r="AE71" s="327">
        <f t="shared" si="24"/>
        <v>0</v>
      </c>
      <c r="AF71" s="7" t="str">
        <f>Preencher!$B$3&amp;$U$8&amp;$V$8&amp;A71&amp;$AF$6</f>
        <v>JARINU-FRG952846MQ.GIROFREEZER</v>
      </c>
      <c r="AG71" s="7" t="str">
        <f>Preencher!$B$3&amp;$U$8&amp;$V$8&amp;A71&amp;$AG$6</f>
        <v>JARINU-FRG952846MQ.GIROFREEZER (1)</v>
      </c>
      <c r="AH71" s="7" t="str">
        <f>Preencher!$B$3&amp;$U$8&amp;$V$8&amp;A71&amp;$AH$6</f>
        <v>JARINU-FRG952846MQ.GIROFREEZER (2)</v>
      </c>
      <c r="AI71" s="7" t="str">
        <f>Preencher!$B$3&amp;$U$8&amp;$V$8&amp;A71&amp;$AI$6</f>
        <v>JARINU-FRG952846MQ.GIROFREEZER REV04</v>
      </c>
      <c r="AJ71" s="7" t="str">
        <f>Preencher!$B$3&amp;$U$8&amp;$V$8&amp;A71&amp;$AJ$6</f>
        <v>JARINU-FRG952846MQ.GIROFREEZER (3)</v>
      </c>
      <c r="AK71" s="327">
        <f>IFERROR(SUMIF('BD Otimix'!A:A,'BD VOLUME'!AG71,'BD Otimix'!O:O)+SUMIF('BD Otimix'!A:A,'BD VOLUME'!AH71,'BD Otimix'!O:O)+SUMIF('BD Otimix'!A:A,'BD VOLUME'!AI71,'BD Otimix'!O:O)+SUMIF('BD Otimix'!A:A,'BD VOLUME'!AJ71,'BD Otimix'!O:O)+SUMIF('BD Otimix'!A:A,'BD VOLUME'!AF71,'BD Otimix'!O:O),0)</f>
        <v>0</v>
      </c>
      <c r="AL71" s="7">
        <f t="shared" si="25"/>
        <v>0</v>
      </c>
    </row>
    <row r="72" spans="1:38">
      <c r="A72" s="346">
        <v>953320</v>
      </c>
      <c r="B72" s="346"/>
      <c r="C72" s="5" t="s">
        <v>940</v>
      </c>
      <c r="D72" s="5" t="s">
        <v>939</v>
      </c>
      <c r="E72" s="5" t="s">
        <v>1338</v>
      </c>
      <c r="F72" s="132">
        <f>SUMIF('COLAR PLANO'!$A:$A,A72,'COLAR PLANO'!$D:$D)</f>
        <v>0</v>
      </c>
      <c r="G72" s="131">
        <f t="shared" si="26"/>
        <v>0</v>
      </c>
      <c r="H72" s="6">
        <v>0.78170000000000006</v>
      </c>
      <c r="I72" s="7">
        <f t="shared" si="27"/>
        <v>0</v>
      </c>
      <c r="J72" s="130">
        <f t="shared" si="28"/>
        <v>0</v>
      </c>
      <c r="K72" s="819">
        <v>2.125</v>
      </c>
      <c r="L72" s="819">
        <v>8</v>
      </c>
      <c r="M72" s="819">
        <v>17</v>
      </c>
      <c r="N72" s="7">
        <f t="shared" si="29"/>
        <v>0</v>
      </c>
      <c r="O72" s="7"/>
      <c r="P72" s="311">
        <f t="shared" si="30"/>
        <v>0</v>
      </c>
      <c r="Q72" s="7"/>
      <c r="R72" s="7"/>
      <c r="S72" s="7"/>
      <c r="T72" s="7"/>
      <c r="U72" s="7" t="s">
        <v>2288</v>
      </c>
      <c r="V72" s="7" t="s">
        <v>2289</v>
      </c>
      <c r="W72" s="7" t="str">
        <f>Preencher!$B$3&amp;U72&amp;V72&amp;A72&amp;$W$6</f>
        <v>JARINU-FRG953320MQ.TUNEL DE CG (CONTINUO)</v>
      </c>
      <c r="X72" s="7" t="str">
        <f>Preencher!$B$3&amp;U72&amp;V72&amp;A72&amp;$X$6</f>
        <v>JARINU-FRG953320MQ.TUNEL DE CG (CONTINUO) (1)</v>
      </c>
      <c r="Y72" s="7" t="str">
        <f>Preencher!$B$3&amp;U72&amp;V72&amp;A72&amp;$Y$6</f>
        <v>JARINU-FRG953320MQ.TUNEL DE CG (CONTINUO) (2)</v>
      </c>
      <c r="Z72" s="7" t="str">
        <f>Preencher!$B$3&amp;U72&amp;V72&amp;A72&amp;$Z$6</f>
        <v>JARINU-FRG953320MQ.TUNEL DE CG (CONTINUO) (3)</v>
      </c>
      <c r="AA72" s="7" t="str">
        <f>Preencher!$B$3&amp;U72&amp;V72&amp;A72&amp;$AA$6</f>
        <v>JARINU-FRG953320MQ.TUNEL DE CG (ESTATICO)</v>
      </c>
      <c r="AB72" s="7" t="str">
        <f>Preencher!$B$3&amp;U72&amp;V72&amp;A72&amp;$AB$6</f>
        <v>JARINU-FRG953320MQ.TUNEL DE CG (ESTATICO) (1)</v>
      </c>
      <c r="AC72" s="7" t="str">
        <f>Preencher!$B$3&amp;U72&amp;V72&amp;A72&amp;$AC$6</f>
        <v>JARINU-FRG953320MQ.TUNEL DE CG (ESTATICO) (2)</v>
      </c>
      <c r="AD72" s="327">
        <f>IFERROR(SUMIF('BD Otimix'!A:A,'BD VOLUME'!X72,'BD Otimix'!O:O)+SUMIF('BD Otimix'!A:A,'BD VOLUME'!Y72,'BD Otimix'!O:O)+SUMIF('BD Otimix'!A:A,'BD VOLUME'!Z72,'BD Otimix'!O:O)+SUMIF('BD Otimix'!A:A,'BD VOLUME'!AA72,'BD Otimix'!O:O)+SUMIF('BD Otimix'!A:A,'BD VOLUME'!AB72,'BD Otimix'!O:O)+SUMIF('BD Otimix'!A:A,'BD VOLUME'!AC72,'BD Otimix'!O:O)+SUMIF('BD Otimix'!A:A,'BD VOLUME'!W72,'BD Otimix'!O:O),0)</f>
        <v>0</v>
      </c>
      <c r="AE72" s="327">
        <f t="shared" si="24"/>
        <v>0</v>
      </c>
      <c r="AF72" s="7" t="str">
        <f>Preencher!$B$3&amp;$U$8&amp;$V$8&amp;A72&amp;$AF$6</f>
        <v>JARINU-FRG953320MQ.GIROFREEZER</v>
      </c>
      <c r="AG72" s="7" t="str">
        <f>Preencher!$B$3&amp;$U$8&amp;$V$8&amp;A72&amp;$AG$6</f>
        <v>JARINU-FRG953320MQ.GIROFREEZER (1)</v>
      </c>
      <c r="AH72" s="7" t="str">
        <f>Preencher!$B$3&amp;$U$8&amp;$V$8&amp;A72&amp;$AH$6</f>
        <v>JARINU-FRG953320MQ.GIROFREEZER (2)</v>
      </c>
      <c r="AI72" s="7" t="str">
        <f>Preencher!$B$3&amp;$U$8&amp;$V$8&amp;A72&amp;$AI$6</f>
        <v>JARINU-FRG953320MQ.GIROFREEZER REV04</v>
      </c>
      <c r="AJ72" s="7" t="str">
        <f>Preencher!$B$3&amp;$U$8&amp;$V$8&amp;A72&amp;$AJ$6</f>
        <v>JARINU-FRG953320MQ.GIROFREEZER (3)</v>
      </c>
      <c r="AK72" s="327">
        <f>IFERROR(SUMIF('BD Otimix'!A:A,'BD VOLUME'!AG72,'BD Otimix'!O:O)+SUMIF('BD Otimix'!A:A,'BD VOLUME'!AH72,'BD Otimix'!O:O)+SUMIF('BD Otimix'!A:A,'BD VOLUME'!AI72,'BD Otimix'!O:O)+SUMIF('BD Otimix'!A:A,'BD VOLUME'!AJ72,'BD Otimix'!O:O)+SUMIF('BD Otimix'!A:A,'BD VOLUME'!AF72,'BD Otimix'!O:O),0)</f>
        <v>0</v>
      </c>
      <c r="AL72" s="7">
        <f t="shared" si="25"/>
        <v>0</v>
      </c>
    </row>
    <row r="73" spans="1:38">
      <c r="A73" s="346">
        <v>953895</v>
      </c>
      <c r="B73" s="346"/>
      <c r="C73" s="5" t="s">
        <v>940</v>
      </c>
      <c r="D73" s="5" t="s">
        <v>939</v>
      </c>
      <c r="E73" s="5" t="s">
        <v>1338</v>
      </c>
      <c r="F73" s="132">
        <f>SUMIF('COLAR PLANO'!$A:$A,A73,'COLAR PLANO'!$D:$D)</f>
        <v>0</v>
      </c>
      <c r="G73" s="131">
        <f t="shared" si="26"/>
        <v>0</v>
      </c>
      <c r="H73" s="6">
        <v>0.78170000000000006</v>
      </c>
      <c r="I73" s="7">
        <f t="shared" si="27"/>
        <v>0</v>
      </c>
      <c r="J73" s="130">
        <f t="shared" si="28"/>
        <v>0</v>
      </c>
      <c r="K73" s="819">
        <v>2.125</v>
      </c>
      <c r="L73" s="819">
        <v>8</v>
      </c>
      <c r="M73" s="819">
        <v>17</v>
      </c>
      <c r="N73" s="7">
        <f t="shared" si="29"/>
        <v>0</v>
      </c>
      <c r="O73" s="7"/>
      <c r="P73" s="311">
        <f t="shared" si="30"/>
        <v>0</v>
      </c>
      <c r="Q73" s="7"/>
      <c r="R73" s="7"/>
      <c r="S73" s="7"/>
      <c r="T73" s="7"/>
      <c r="U73" s="7" t="s">
        <v>2288</v>
      </c>
      <c r="V73" s="7" t="s">
        <v>2289</v>
      </c>
      <c r="W73" s="7" t="str">
        <f>Preencher!$B$3&amp;U73&amp;V73&amp;A73&amp;$W$6</f>
        <v>JARINU-FRG953895MQ.TUNEL DE CG (CONTINUO)</v>
      </c>
      <c r="X73" s="7" t="str">
        <f>Preencher!$B$3&amp;U73&amp;V73&amp;A73&amp;$X$6</f>
        <v>JARINU-FRG953895MQ.TUNEL DE CG (CONTINUO) (1)</v>
      </c>
      <c r="Y73" s="7" t="str">
        <f>Preencher!$B$3&amp;U73&amp;V73&amp;A73&amp;$Y$6</f>
        <v>JARINU-FRG953895MQ.TUNEL DE CG (CONTINUO) (2)</v>
      </c>
      <c r="Z73" s="7" t="str">
        <f>Preencher!$B$3&amp;U73&amp;V73&amp;A73&amp;$Z$6</f>
        <v>JARINU-FRG953895MQ.TUNEL DE CG (CONTINUO) (3)</v>
      </c>
      <c r="AA73" s="7" t="str">
        <f>Preencher!$B$3&amp;U73&amp;V73&amp;A73&amp;$AA$6</f>
        <v>JARINU-FRG953895MQ.TUNEL DE CG (ESTATICO)</v>
      </c>
      <c r="AB73" s="7" t="str">
        <f>Preencher!$B$3&amp;U73&amp;V73&amp;A73&amp;$AB$6</f>
        <v>JARINU-FRG953895MQ.TUNEL DE CG (ESTATICO) (1)</v>
      </c>
      <c r="AC73" s="7" t="str">
        <f>Preencher!$B$3&amp;U73&amp;V73&amp;A73&amp;$AC$6</f>
        <v>JARINU-FRG953895MQ.TUNEL DE CG (ESTATICO) (2)</v>
      </c>
      <c r="AD73" s="327">
        <f>IFERROR(SUMIF('BD Otimix'!A:A,'BD VOLUME'!X73,'BD Otimix'!O:O)+SUMIF('BD Otimix'!A:A,'BD VOLUME'!Y73,'BD Otimix'!O:O)+SUMIF('BD Otimix'!A:A,'BD VOLUME'!Z73,'BD Otimix'!O:O)+SUMIF('BD Otimix'!A:A,'BD VOLUME'!AA73,'BD Otimix'!O:O)+SUMIF('BD Otimix'!A:A,'BD VOLUME'!AB73,'BD Otimix'!O:O)+SUMIF('BD Otimix'!A:A,'BD VOLUME'!AC73,'BD Otimix'!O:O)+SUMIF('BD Otimix'!A:A,'BD VOLUME'!W73,'BD Otimix'!O:O),0)</f>
        <v>0</v>
      </c>
      <c r="AE73" s="327">
        <f t="shared" si="24"/>
        <v>0</v>
      </c>
      <c r="AF73" s="7" t="str">
        <f>Preencher!$B$3&amp;$U$8&amp;$V$8&amp;A73&amp;$AF$6</f>
        <v>JARINU-FRG953895MQ.GIROFREEZER</v>
      </c>
      <c r="AG73" s="7" t="str">
        <f>Preencher!$B$3&amp;$U$8&amp;$V$8&amp;A73&amp;$AG$6</f>
        <v>JARINU-FRG953895MQ.GIROFREEZER (1)</v>
      </c>
      <c r="AH73" s="7" t="str">
        <f>Preencher!$B$3&amp;$U$8&amp;$V$8&amp;A73&amp;$AH$6</f>
        <v>JARINU-FRG953895MQ.GIROFREEZER (2)</v>
      </c>
      <c r="AI73" s="7" t="str">
        <f>Preencher!$B$3&amp;$U$8&amp;$V$8&amp;A73&amp;$AI$6</f>
        <v>JARINU-FRG953895MQ.GIROFREEZER REV04</v>
      </c>
      <c r="AJ73" s="7" t="str">
        <f>Preencher!$B$3&amp;$U$8&amp;$V$8&amp;A73&amp;$AJ$6</f>
        <v>JARINU-FRG953895MQ.GIROFREEZER (3)</v>
      </c>
      <c r="AK73" s="327">
        <f>IFERROR(SUMIF('BD Otimix'!A:A,'BD VOLUME'!AG73,'BD Otimix'!O:O)+SUMIF('BD Otimix'!A:A,'BD VOLUME'!AH73,'BD Otimix'!O:O)+SUMIF('BD Otimix'!A:A,'BD VOLUME'!AI73,'BD Otimix'!O:O)+SUMIF('BD Otimix'!A:A,'BD VOLUME'!AJ73,'BD Otimix'!O:O)+SUMIF('BD Otimix'!A:A,'BD VOLUME'!AF73,'BD Otimix'!O:O),0)</f>
        <v>0</v>
      </c>
      <c r="AL73" s="7">
        <f t="shared" si="25"/>
        <v>0</v>
      </c>
    </row>
    <row r="74" spans="1:38">
      <c r="A74" s="346">
        <v>954540</v>
      </c>
      <c r="B74" s="346"/>
      <c r="C74" s="5" t="s">
        <v>940</v>
      </c>
      <c r="D74" s="5" t="s">
        <v>939</v>
      </c>
      <c r="E74" s="5" t="s">
        <v>1338</v>
      </c>
      <c r="F74" s="132">
        <f>SUMIF('COLAR PLANO'!$A:$A,A74,'COLAR PLANO'!$D:$D)</f>
        <v>0</v>
      </c>
      <c r="G74" s="131">
        <f t="shared" si="26"/>
        <v>0</v>
      </c>
      <c r="H74" s="6">
        <v>0.78170000000000006</v>
      </c>
      <c r="I74" s="7">
        <f t="shared" si="27"/>
        <v>0</v>
      </c>
      <c r="J74" s="130">
        <f t="shared" si="28"/>
        <v>0</v>
      </c>
      <c r="K74" s="819">
        <v>2.125</v>
      </c>
      <c r="L74" s="819">
        <v>8</v>
      </c>
      <c r="M74" s="819">
        <v>17</v>
      </c>
      <c r="N74" s="7">
        <f t="shared" si="29"/>
        <v>0</v>
      </c>
      <c r="O74" s="7"/>
      <c r="P74" s="311">
        <f t="shared" si="30"/>
        <v>0</v>
      </c>
      <c r="Q74" s="7"/>
      <c r="R74" s="7"/>
      <c r="S74" s="7"/>
      <c r="T74" s="7"/>
      <c r="U74" s="7" t="s">
        <v>2288</v>
      </c>
      <c r="V74" s="7" t="s">
        <v>2289</v>
      </c>
      <c r="W74" s="7" t="str">
        <f>Preencher!$B$3&amp;U74&amp;V74&amp;A74&amp;$W$6</f>
        <v>JARINU-FRG954540MQ.TUNEL DE CG (CONTINUO)</v>
      </c>
      <c r="X74" s="7" t="str">
        <f>Preencher!$B$3&amp;U74&amp;V74&amp;A74&amp;$X$6</f>
        <v>JARINU-FRG954540MQ.TUNEL DE CG (CONTINUO) (1)</v>
      </c>
      <c r="Y74" s="7" t="str">
        <f>Preencher!$B$3&amp;U74&amp;V74&amp;A74&amp;$Y$6</f>
        <v>JARINU-FRG954540MQ.TUNEL DE CG (CONTINUO) (2)</v>
      </c>
      <c r="Z74" s="7" t="str">
        <f>Preencher!$B$3&amp;U74&amp;V74&amp;A74&amp;$Z$6</f>
        <v>JARINU-FRG954540MQ.TUNEL DE CG (CONTINUO) (3)</v>
      </c>
      <c r="AA74" s="7" t="str">
        <f>Preencher!$B$3&amp;U74&amp;V74&amp;A74&amp;$AA$6</f>
        <v>JARINU-FRG954540MQ.TUNEL DE CG (ESTATICO)</v>
      </c>
      <c r="AB74" s="7" t="str">
        <f>Preencher!$B$3&amp;U74&amp;V74&amp;A74&amp;$AB$6</f>
        <v>JARINU-FRG954540MQ.TUNEL DE CG (ESTATICO) (1)</v>
      </c>
      <c r="AC74" s="7" t="str">
        <f>Preencher!$B$3&amp;U74&amp;V74&amp;A74&amp;$AC$6</f>
        <v>JARINU-FRG954540MQ.TUNEL DE CG (ESTATICO) (2)</v>
      </c>
      <c r="AD74" s="327">
        <f>IFERROR(SUMIF('BD Otimix'!A:A,'BD VOLUME'!X74,'BD Otimix'!O:O)+SUMIF('BD Otimix'!A:A,'BD VOLUME'!Y74,'BD Otimix'!O:O)+SUMIF('BD Otimix'!A:A,'BD VOLUME'!Z74,'BD Otimix'!O:O)+SUMIF('BD Otimix'!A:A,'BD VOLUME'!AA74,'BD Otimix'!O:O)+SUMIF('BD Otimix'!A:A,'BD VOLUME'!AB74,'BD Otimix'!O:O)+SUMIF('BD Otimix'!A:A,'BD VOLUME'!AC74,'BD Otimix'!O:O)+SUMIF('BD Otimix'!A:A,'BD VOLUME'!W74,'BD Otimix'!O:O),0)</f>
        <v>0</v>
      </c>
      <c r="AE74" s="327">
        <f t="shared" si="24"/>
        <v>0</v>
      </c>
      <c r="AF74" s="7" t="str">
        <f>Preencher!$B$3&amp;$U$8&amp;$V$8&amp;A74&amp;$AF$6</f>
        <v>JARINU-FRG954540MQ.GIROFREEZER</v>
      </c>
      <c r="AG74" s="7" t="str">
        <f>Preencher!$B$3&amp;$U$8&amp;$V$8&amp;A74&amp;$AG$6</f>
        <v>JARINU-FRG954540MQ.GIROFREEZER (1)</v>
      </c>
      <c r="AH74" s="7" t="str">
        <f>Preencher!$B$3&amp;$U$8&amp;$V$8&amp;A74&amp;$AH$6</f>
        <v>JARINU-FRG954540MQ.GIROFREEZER (2)</v>
      </c>
      <c r="AI74" s="7" t="str">
        <f>Preencher!$B$3&amp;$U$8&amp;$V$8&amp;A74&amp;$AI$6</f>
        <v>JARINU-FRG954540MQ.GIROFREEZER REV04</v>
      </c>
      <c r="AJ74" s="7" t="str">
        <f>Preencher!$B$3&amp;$U$8&amp;$V$8&amp;A74&amp;$AJ$6</f>
        <v>JARINU-FRG954540MQ.GIROFREEZER (3)</v>
      </c>
      <c r="AK74" s="327">
        <f>IFERROR(SUMIF('BD Otimix'!A:A,'BD VOLUME'!AG74,'BD Otimix'!O:O)+SUMIF('BD Otimix'!A:A,'BD VOLUME'!AH74,'BD Otimix'!O:O)+SUMIF('BD Otimix'!A:A,'BD VOLUME'!AI74,'BD Otimix'!O:O)+SUMIF('BD Otimix'!A:A,'BD VOLUME'!AJ74,'BD Otimix'!O:O)+SUMIF('BD Otimix'!A:A,'BD VOLUME'!AF74,'BD Otimix'!O:O),0)</f>
        <v>0</v>
      </c>
      <c r="AL74" s="7">
        <f t="shared" si="25"/>
        <v>0</v>
      </c>
    </row>
    <row r="75" spans="1:38">
      <c r="A75" s="346">
        <v>954542</v>
      </c>
      <c r="B75" s="346"/>
      <c r="C75" s="5" t="s">
        <v>940</v>
      </c>
      <c r="D75" s="5" t="s">
        <v>939</v>
      </c>
      <c r="E75" s="5" t="s">
        <v>1338</v>
      </c>
      <c r="F75" s="132">
        <f>SUMIF('COLAR PLANO'!$A:$A,A75,'COLAR PLANO'!$D:$D)</f>
        <v>0</v>
      </c>
      <c r="G75" s="131">
        <f t="shared" si="26"/>
        <v>0</v>
      </c>
      <c r="H75" s="6">
        <v>0.78170000000000006</v>
      </c>
      <c r="I75" s="7">
        <f t="shared" si="27"/>
        <v>0</v>
      </c>
      <c r="J75" s="130">
        <f t="shared" si="28"/>
        <v>0</v>
      </c>
      <c r="K75" s="819">
        <v>2.125</v>
      </c>
      <c r="L75" s="819">
        <v>8</v>
      </c>
      <c r="M75" s="819">
        <v>17</v>
      </c>
      <c r="N75" s="7">
        <f t="shared" si="29"/>
        <v>0</v>
      </c>
      <c r="O75" s="7"/>
      <c r="P75" s="311">
        <f t="shared" si="30"/>
        <v>0</v>
      </c>
      <c r="Q75" s="7"/>
      <c r="R75" s="7"/>
      <c r="S75" s="7"/>
      <c r="T75" s="7"/>
      <c r="U75" s="7" t="s">
        <v>2288</v>
      </c>
      <c r="V75" s="7" t="s">
        <v>2289</v>
      </c>
      <c r="W75" s="7" t="str">
        <f>Preencher!$B$3&amp;U75&amp;V75&amp;A75&amp;$W$6</f>
        <v>JARINU-FRG954542MQ.TUNEL DE CG (CONTINUO)</v>
      </c>
      <c r="X75" s="7" t="str">
        <f>Preencher!$B$3&amp;U75&amp;V75&amp;A75&amp;$X$6</f>
        <v>JARINU-FRG954542MQ.TUNEL DE CG (CONTINUO) (1)</v>
      </c>
      <c r="Y75" s="7" t="str">
        <f>Preencher!$B$3&amp;U75&amp;V75&amp;A75&amp;$Y$6</f>
        <v>JARINU-FRG954542MQ.TUNEL DE CG (CONTINUO) (2)</v>
      </c>
      <c r="Z75" s="7" t="str">
        <f>Preencher!$B$3&amp;U75&amp;V75&amp;A75&amp;$Z$6</f>
        <v>JARINU-FRG954542MQ.TUNEL DE CG (CONTINUO) (3)</v>
      </c>
      <c r="AA75" s="7" t="str">
        <f>Preencher!$B$3&amp;U75&amp;V75&amp;A75&amp;$AA$6</f>
        <v>JARINU-FRG954542MQ.TUNEL DE CG (ESTATICO)</v>
      </c>
      <c r="AB75" s="7" t="str">
        <f>Preencher!$B$3&amp;U75&amp;V75&amp;A75&amp;$AB$6</f>
        <v>JARINU-FRG954542MQ.TUNEL DE CG (ESTATICO) (1)</v>
      </c>
      <c r="AC75" s="7" t="str">
        <f>Preencher!$B$3&amp;U75&amp;V75&amp;A75&amp;$AC$6</f>
        <v>JARINU-FRG954542MQ.TUNEL DE CG (ESTATICO) (2)</v>
      </c>
      <c r="AD75" s="327">
        <f>IFERROR(SUMIF('BD Otimix'!A:A,'BD VOLUME'!X75,'BD Otimix'!O:O)+SUMIF('BD Otimix'!A:A,'BD VOLUME'!Y75,'BD Otimix'!O:O)+SUMIF('BD Otimix'!A:A,'BD VOLUME'!Z75,'BD Otimix'!O:O)+SUMIF('BD Otimix'!A:A,'BD VOLUME'!AA75,'BD Otimix'!O:O)+SUMIF('BD Otimix'!A:A,'BD VOLUME'!AB75,'BD Otimix'!O:O)+SUMIF('BD Otimix'!A:A,'BD VOLUME'!AC75,'BD Otimix'!O:O)+SUMIF('BD Otimix'!A:A,'BD VOLUME'!W75,'BD Otimix'!O:O),0)</f>
        <v>0</v>
      </c>
      <c r="AE75" s="327">
        <f t="shared" si="24"/>
        <v>0</v>
      </c>
      <c r="AF75" s="7" t="str">
        <f>Preencher!$B$3&amp;$U$8&amp;$V$8&amp;A75&amp;$AF$6</f>
        <v>JARINU-FRG954542MQ.GIROFREEZER</v>
      </c>
      <c r="AG75" s="7" t="str">
        <f>Preencher!$B$3&amp;$U$8&amp;$V$8&amp;A75&amp;$AG$6</f>
        <v>JARINU-FRG954542MQ.GIROFREEZER (1)</v>
      </c>
      <c r="AH75" s="7" t="str">
        <f>Preencher!$B$3&amp;$U$8&amp;$V$8&amp;A75&amp;$AH$6</f>
        <v>JARINU-FRG954542MQ.GIROFREEZER (2)</v>
      </c>
      <c r="AI75" s="7" t="str">
        <f>Preencher!$B$3&amp;$U$8&amp;$V$8&amp;A75&amp;$AI$6</f>
        <v>JARINU-FRG954542MQ.GIROFREEZER REV04</v>
      </c>
      <c r="AJ75" s="7" t="str">
        <f>Preencher!$B$3&amp;$U$8&amp;$V$8&amp;A75&amp;$AJ$6</f>
        <v>JARINU-FRG954542MQ.GIROFREEZER (3)</v>
      </c>
      <c r="AK75" s="327">
        <f>IFERROR(SUMIF('BD Otimix'!A:A,'BD VOLUME'!AG75,'BD Otimix'!O:O)+SUMIF('BD Otimix'!A:A,'BD VOLUME'!AH75,'BD Otimix'!O:O)+SUMIF('BD Otimix'!A:A,'BD VOLUME'!AI75,'BD Otimix'!O:O)+SUMIF('BD Otimix'!A:A,'BD VOLUME'!AJ75,'BD Otimix'!O:O)+SUMIF('BD Otimix'!A:A,'BD VOLUME'!AF75,'BD Otimix'!O:O),0)</f>
        <v>0</v>
      </c>
      <c r="AL75" s="7">
        <f t="shared" si="25"/>
        <v>0</v>
      </c>
    </row>
    <row r="76" spans="1:38">
      <c r="A76" s="346">
        <v>984699</v>
      </c>
      <c r="B76" s="346"/>
      <c r="C76" s="5" t="s">
        <v>940</v>
      </c>
      <c r="D76" s="5" t="s">
        <v>939</v>
      </c>
      <c r="E76" s="5" t="s">
        <v>1338</v>
      </c>
      <c r="F76" s="132">
        <f>SUMIF('COLAR PLANO'!$A:$A,A76,'COLAR PLANO'!$D:$D)</f>
        <v>0</v>
      </c>
      <c r="G76" s="131">
        <f>IFERROR(F76/($E$3*$C$3),0)</f>
        <v>0</v>
      </c>
      <c r="H76" s="6">
        <v>0.7419</v>
      </c>
      <c r="I76" s="7">
        <f t="shared" si="27"/>
        <v>0</v>
      </c>
      <c r="J76" s="130">
        <f t="shared" si="28"/>
        <v>0</v>
      </c>
      <c r="K76" s="819">
        <v>2.125</v>
      </c>
      <c r="L76" s="819">
        <v>8</v>
      </c>
      <c r="M76" s="819">
        <v>17</v>
      </c>
      <c r="N76" s="7">
        <f t="shared" si="29"/>
        <v>0</v>
      </c>
      <c r="O76" s="7"/>
      <c r="P76" s="311">
        <f t="shared" si="30"/>
        <v>0</v>
      </c>
      <c r="Q76" s="7"/>
      <c r="R76" s="7"/>
      <c r="S76" s="7"/>
      <c r="T76" s="7"/>
      <c r="U76" s="7" t="s">
        <v>2288</v>
      </c>
      <c r="V76" s="7" t="s">
        <v>2289</v>
      </c>
      <c r="W76" s="7" t="str">
        <f>Preencher!$B$3&amp;U76&amp;V76&amp;A76&amp;$W$6</f>
        <v>JARINU-FRG984699MQ.TUNEL DE CG (CONTINUO)</v>
      </c>
      <c r="X76" s="7" t="str">
        <f>Preencher!$B$3&amp;U76&amp;V76&amp;A76&amp;$X$6</f>
        <v>JARINU-FRG984699MQ.TUNEL DE CG (CONTINUO) (1)</v>
      </c>
      <c r="Y76" s="7" t="str">
        <f>Preencher!$B$3&amp;U76&amp;V76&amp;A76&amp;$Y$6</f>
        <v>JARINU-FRG984699MQ.TUNEL DE CG (CONTINUO) (2)</v>
      </c>
      <c r="Z76" s="7" t="str">
        <f>Preencher!$B$3&amp;U76&amp;V76&amp;A76&amp;$Z$6</f>
        <v>JARINU-FRG984699MQ.TUNEL DE CG (CONTINUO) (3)</v>
      </c>
      <c r="AA76" s="7" t="str">
        <f>Preencher!$B$3&amp;U76&amp;V76&amp;A76&amp;$AA$6</f>
        <v>JARINU-FRG984699MQ.TUNEL DE CG (ESTATICO)</v>
      </c>
      <c r="AB76" s="7" t="str">
        <f>Preencher!$B$3&amp;U76&amp;V76&amp;A76&amp;$AB$6</f>
        <v>JARINU-FRG984699MQ.TUNEL DE CG (ESTATICO) (1)</v>
      </c>
      <c r="AC76" s="7" t="str">
        <f>Preencher!$B$3&amp;U76&amp;V76&amp;A76&amp;$AC$6</f>
        <v>JARINU-FRG984699MQ.TUNEL DE CG (ESTATICO) (2)</v>
      </c>
      <c r="AD76" s="327">
        <f>IFERROR(SUMIF('BD Otimix'!A:A,'BD VOLUME'!X76,'BD Otimix'!O:O)+SUMIF('BD Otimix'!A:A,'BD VOLUME'!Y76,'BD Otimix'!O:O)+SUMIF('BD Otimix'!A:A,'BD VOLUME'!Z76,'BD Otimix'!O:O)+SUMIF('BD Otimix'!A:A,'BD VOLUME'!AA76,'BD Otimix'!O:O)+SUMIF('BD Otimix'!A:A,'BD VOLUME'!AB76,'BD Otimix'!O:O)+SUMIF('BD Otimix'!A:A,'BD VOLUME'!AC76,'BD Otimix'!O:O)+SUMIF('BD Otimix'!A:A,'BD VOLUME'!W76,'BD Otimix'!O:O),0)</f>
        <v>0</v>
      </c>
      <c r="AE76" s="327">
        <f t="shared" si="24"/>
        <v>0</v>
      </c>
      <c r="AF76" s="7" t="str">
        <f>Preencher!$B$3&amp;$U$8&amp;$V$8&amp;A76&amp;$AF$6</f>
        <v>JARINU-FRG984699MQ.GIROFREEZER</v>
      </c>
      <c r="AG76" s="7" t="str">
        <f>Preencher!$B$3&amp;$U$8&amp;$V$8&amp;A76&amp;$AG$6</f>
        <v>JARINU-FRG984699MQ.GIROFREEZER (1)</v>
      </c>
      <c r="AH76" s="7" t="str">
        <f>Preencher!$B$3&amp;$U$8&amp;$V$8&amp;A76&amp;$AH$6</f>
        <v>JARINU-FRG984699MQ.GIROFREEZER (2)</v>
      </c>
      <c r="AI76" s="7" t="str">
        <f>Preencher!$B$3&amp;$U$8&amp;$V$8&amp;A76&amp;$AI$6</f>
        <v>JARINU-FRG984699MQ.GIROFREEZER REV04</v>
      </c>
      <c r="AJ76" s="7" t="str">
        <f>Preencher!$B$3&amp;$U$8&amp;$V$8&amp;A76&amp;$AJ$6</f>
        <v>JARINU-FRG984699MQ.GIROFREEZER (3)</v>
      </c>
      <c r="AK76" s="327">
        <f>IFERROR(SUMIF('BD Otimix'!A:A,'BD VOLUME'!AG76,'BD Otimix'!O:O)+SUMIF('BD Otimix'!A:A,'BD VOLUME'!AH76,'BD Otimix'!O:O)+SUMIF('BD Otimix'!A:A,'BD VOLUME'!AI76,'BD Otimix'!O:O)+SUMIF('BD Otimix'!A:A,'BD VOLUME'!AJ76,'BD Otimix'!O:O)+SUMIF('BD Otimix'!A:A,'BD VOLUME'!AF76,'BD Otimix'!O:O),0)</f>
        <v>0</v>
      </c>
      <c r="AL76" s="7">
        <f t="shared" si="25"/>
        <v>0</v>
      </c>
    </row>
    <row r="77" spans="1:38">
      <c r="A77" s="346">
        <v>13854</v>
      </c>
      <c r="B77" s="346" t="s">
        <v>1373</v>
      </c>
      <c r="C77" s="5" t="s">
        <v>940</v>
      </c>
      <c r="D77" s="5" t="s">
        <v>939</v>
      </c>
      <c r="E77" s="5" t="s">
        <v>1338</v>
      </c>
      <c r="F77" s="132">
        <f>SUMIF('COLAR PLANO'!$A:$A,A77,'COLAR PLANO'!$D:$D)</f>
        <v>0</v>
      </c>
      <c r="G77" s="131">
        <f t="shared" ref="G77:G117" si="31">IFERROR(F77/($E$3*$C$3),0)</f>
        <v>0</v>
      </c>
      <c r="H77" s="6">
        <v>0.73519999999999996</v>
      </c>
      <c r="I77" s="7">
        <f t="shared" si="27"/>
        <v>0</v>
      </c>
      <c r="J77" s="130">
        <f t="shared" si="28"/>
        <v>0</v>
      </c>
      <c r="K77" s="819">
        <v>2.125</v>
      </c>
      <c r="L77" s="819">
        <v>8</v>
      </c>
      <c r="M77" s="819">
        <v>17</v>
      </c>
      <c r="N77" s="7">
        <f t="shared" si="29"/>
        <v>0</v>
      </c>
      <c r="O77" s="7"/>
      <c r="P77" s="311">
        <f t="shared" si="30"/>
        <v>0</v>
      </c>
      <c r="Q77" s="7"/>
      <c r="R77" s="7"/>
      <c r="S77" s="7"/>
      <c r="T77" s="7"/>
      <c r="U77" s="7" t="s">
        <v>2288</v>
      </c>
      <c r="V77" s="7" t="s">
        <v>2289</v>
      </c>
      <c r="W77" s="7" t="str">
        <f>Preencher!$B$3&amp;U77&amp;V77&amp;A77&amp;$W$6</f>
        <v>JARINU-FRG13854MQ.TUNEL DE CG (CONTINUO)</v>
      </c>
      <c r="X77" s="7" t="str">
        <f>Preencher!$B$3&amp;U77&amp;V77&amp;A77&amp;$X$6</f>
        <v>JARINU-FRG13854MQ.TUNEL DE CG (CONTINUO) (1)</v>
      </c>
      <c r="Y77" s="7" t="str">
        <f>Preencher!$B$3&amp;U77&amp;V77&amp;A77&amp;$Y$6</f>
        <v>JARINU-FRG13854MQ.TUNEL DE CG (CONTINUO) (2)</v>
      </c>
      <c r="Z77" s="7" t="str">
        <f>Preencher!$B$3&amp;U77&amp;V77&amp;A77&amp;$Z$6</f>
        <v>JARINU-FRG13854MQ.TUNEL DE CG (CONTINUO) (3)</v>
      </c>
      <c r="AA77" s="7" t="str">
        <f>Preencher!$B$3&amp;U77&amp;V77&amp;A77&amp;$AA$6</f>
        <v>JARINU-FRG13854MQ.TUNEL DE CG (ESTATICO)</v>
      </c>
      <c r="AB77" s="7" t="str">
        <f>Preencher!$B$3&amp;U77&amp;V77&amp;A77&amp;$AB$6</f>
        <v>JARINU-FRG13854MQ.TUNEL DE CG (ESTATICO) (1)</v>
      </c>
      <c r="AC77" s="7" t="str">
        <f>Preencher!$B$3&amp;U77&amp;V77&amp;A77&amp;$AC$6</f>
        <v>JARINU-FRG13854MQ.TUNEL DE CG (ESTATICO) (2)</v>
      </c>
      <c r="AD77" s="327">
        <f>IFERROR(SUMIF('BD Otimix'!A:A,'BD VOLUME'!X77,'BD Otimix'!O:O)+SUMIF('BD Otimix'!A:A,'BD VOLUME'!Y77,'BD Otimix'!O:O)+SUMIF('BD Otimix'!A:A,'BD VOLUME'!Z77,'BD Otimix'!O:O)+SUMIF('BD Otimix'!A:A,'BD VOLUME'!AA77,'BD Otimix'!O:O)+SUMIF('BD Otimix'!A:A,'BD VOLUME'!AB77,'BD Otimix'!O:O)+SUMIF('BD Otimix'!A:A,'BD VOLUME'!AC77,'BD Otimix'!O:O)+SUMIF('BD Otimix'!A:A,'BD VOLUME'!W77,'BD Otimix'!O:O),0)</f>
        <v>0</v>
      </c>
      <c r="AE77" s="327">
        <f t="shared" si="24"/>
        <v>0</v>
      </c>
      <c r="AF77" s="7" t="str">
        <f>Preencher!$B$3&amp;$U$8&amp;$V$8&amp;A77&amp;$AF$6</f>
        <v>JARINU-FRG13854MQ.GIROFREEZER</v>
      </c>
      <c r="AG77" s="7" t="str">
        <f>Preencher!$B$3&amp;$U$8&amp;$V$8&amp;A77&amp;$AG$6</f>
        <v>JARINU-FRG13854MQ.GIROFREEZER (1)</v>
      </c>
      <c r="AH77" s="7" t="str">
        <f>Preencher!$B$3&amp;$U$8&amp;$V$8&amp;A77&amp;$AH$6</f>
        <v>JARINU-FRG13854MQ.GIROFREEZER (2)</v>
      </c>
      <c r="AI77" s="7" t="str">
        <f>Preencher!$B$3&amp;$U$8&amp;$V$8&amp;A77&amp;$AI$6</f>
        <v>JARINU-FRG13854MQ.GIROFREEZER REV04</v>
      </c>
      <c r="AJ77" s="7" t="str">
        <f>Preencher!$B$3&amp;$U$8&amp;$V$8&amp;A77&amp;$AJ$6</f>
        <v>JARINU-FRG13854MQ.GIROFREEZER (3)</v>
      </c>
      <c r="AK77" s="327">
        <f>IFERROR(SUMIF('BD Otimix'!A:A,'BD VOLUME'!AG77,'BD Otimix'!O:O)+SUMIF('BD Otimix'!A:A,'BD VOLUME'!AH77,'BD Otimix'!O:O)+SUMIF('BD Otimix'!A:A,'BD VOLUME'!AI77,'BD Otimix'!O:O)+SUMIF('BD Otimix'!A:A,'BD VOLUME'!AJ77,'BD Otimix'!O:O)+SUMIF('BD Otimix'!A:A,'BD VOLUME'!AF77,'BD Otimix'!O:O),0)</f>
        <v>0</v>
      </c>
      <c r="AL77" s="7">
        <f t="shared" si="25"/>
        <v>0</v>
      </c>
    </row>
    <row r="78" spans="1:38">
      <c r="A78" s="346">
        <v>950969</v>
      </c>
      <c r="B78" s="346"/>
      <c r="C78" s="5" t="s">
        <v>940</v>
      </c>
      <c r="D78" s="5" t="s">
        <v>939</v>
      </c>
      <c r="E78" s="5" t="s">
        <v>1338</v>
      </c>
      <c r="F78" s="132">
        <f>SUMIF('COLAR PLANO'!$A:$A,A78,'COLAR PLANO'!$D:$D)</f>
        <v>0</v>
      </c>
      <c r="G78" s="131">
        <f t="shared" si="31"/>
        <v>0</v>
      </c>
      <c r="H78" s="6">
        <v>0.78379999999999994</v>
      </c>
      <c r="I78" s="7">
        <f t="shared" si="27"/>
        <v>0</v>
      </c>
      <c r="J78" s="130">
        <f t="shared" si="28"/>
        <v>0</v>
      </c>
      <c r="K78" s="819">
        <v>2.125</v>
      </c>
      <c r="L78" s="819">
        <v>8</v>
      </c>
      <c r="M78" s="819">
        <v>17</v>
      </c>
      <c r="N78" s="7">
        <f t="shared" si="29"/>
        <v>0</v>
      </c>
      <c r="O78" s="7"/>
      <c r="P78" s="311">
        <f t="shared" si="30"/>
        <v>0</v>
      </c>
      <c r="Q78" s="7"/>
      <c r="R78" s="7"/>
      <c r="S78" s="7"/>
      <c r="T78" s="7"/>
      <c r="U78" s="7" t="s">
        <v>2288</v>
      </c>
      <c r="V78" s="7" t="s">
        <v>2289</v>
      </c>
      <c r="W78" s="7" t="str">
        <f>Preencher!$B$3&amp;U78&amp;V78&amp;A78&amp;$W$6</f>
        <v>JARINU-FRG950969MQ.TUNEL DE CG (CONTINUO)</v>
      </c>
      <c r="X78" s="7" t="str">
        <f>Preencher!$B$3&amp;U78&amp;V78&amp;A78&amp;$X$6</f>
        <v>JARINU-FRG950969MQ.TUNEL DE CG (CONTINUO) (1)</v>
      </c>
      <c r="Y78" s="7" t="str">
        <f>Preencher!$B$3&amp;U78&amp;V78&amp;A78&amp;$Y$6</f>
        <v>JARINU-FRG950969MQ.TUNEL DE CG (CONTINUO) (2)</v>
      </c>
      <c r="Z78" s="7" t="str">
        <f>Preencher!$B$3&amp;U78&amp;V78&amp;A78&amp;$Z$6</f>
        <v>JARINU-FRG950969MQ.TUNEL DE CG (CONTINUO) (3)</v>
      </c>
      <c r="AA78" s="7" t="str">
        <f>Preencher!$B$3&amp;U78&amp;V78&amp;A78&amp;$AA$6</f>
        <v>JARINU-FRG950969MQ.TUNEL DE CG (ESTATICO)</v>
      </c>
      <c r="AB78" s="7" t="str">
        <f>Preencher!$B$3&amp;U78&amp;V78&amp;A78&amp;$AB$6</f>
        <v>JARINU-FRG950969MQ.TUNEL DE CG (ESTATICO) (1)</v>
      </c>
      <c r="AC78" s="7" t="str">
        <f>Preencher!$B$3&amp;U78&amp;V78&amp;A78&amp;$AC$6</f>
        <v>JARINU-FRG950969MQ.TUNEL DE CG (ESTATICO) (2)</v>
      </c>
      <c r="AD78" s="327">
        <f>IFERROR(SUMIF('BD Otimix'!A:A,'BD VOLUME'!X78,'BD Otimix'!O:O)+SUMIF('BD Otimix'!A:A,'BD VOLUME'!Y78,'BD Otimix'!O:O)+SUMIF('BD Otimix'!A:A,'BD VOLUME'!Z78,'BD Otimix'!O:O)+SUMIF('BD Otimix'!A:A,'BD VOLUME'!AA78,'BD Otimix'!O:O)+SUMIF('BD Otimix'!A:A,'BD VOLUME'!AB78,'BD Otimix'!O:O)+SUMIF('BD Otimix'!A:A,'BD VOLUME'!AC78,'BD Otimix'!O:O)+SUMIF('BD Otimix'!A:A,'BD VOLUME'!W78,'BD Otimix'!O:O),0)</f>
        <v>0</v>
      </c>
      <c r="AE78" s="327">
        <f t="shared" si="24"/>
        <v>0</v>
      </c>
      <c r="AF78" s="7" t="str">
        <f>Preencher!$B$3&amp;$U$8&amp;$V$8&amp;A78&amp;$AF$6</f>
        <v>JARINU-FRG950969MQ.GIROFREEZER</v>
      </c>
      <c r="AG78" s="7" t="str">
        <f>Preencher!$B$3&amp;$U$8&amp;$V$8&amp;A78&amp;$AG$6</f>
        <v>JARINU-FRG950969MQ.GIROFREEZER (1)</v>
      </c>
      <c r="AH78" s="7" t="str">
        <f>Preencher!$B$3&amp;$U$8&amp;$V$8&amp;A78&amp;$AH$6</f>
        <v>JARINU-FRG950969MQ.GIROFREEZER (2)</v>
      </c>
      <c r="AI78" s="7" t="str">
        <f>Preencher!$B$3&amp;$U$8&amp;$V$8&amp;A78&amp;$AI$6</f>
        <v>JARINU-FRG950969MQ.GIROFREEZER REV04</v>
      </c>
      <c r="AJ78" s="7" t="str">
        <f>Preencher!$B$3&amp;$U$8&amp;$V$8&amp;A78&amp;$AJ$6</f>
        <v>JARINU-FRG950969MQ.GIROFREEZER (3)</v>
      </c>
      <c r="AK78" s="327">
        <f>IFERROR(SUMIF('BD Otimix'!A:A,'BD VOLUME'!AG78,'BD Otimix'!O:O)+SUMIF('BD Otimix'!A:A,'BD VOLUME'!AH78,'BD Otimix'!O:O)+SUMIF('BD Otimix'!A:A,'BD VOLUME'!AI78,'BD Otimix'!O:O)+SUMIF('BD Otimix'!A:A,'BD VOLUME'!AJ78,'BD Otimix'!O:O)+SUMIF('BD Otimix'!A:A,'BD VOLUME'!AF78,'BD Otimix'!O:O),0)</f>
        <v>0</v>
      </c>
      <c r="AL78" s="7">
        <f t="shared" si="25"/>
        <v>0</v>
      </c>
    </row>
    <row r="79" spans="1:38">
      <c r="A79" s="346">
        <v>11029</v>
      </c>
      <c r="B79" s="346"/>
      <c r="C79" s="5" t="s">
        <v>940</v>
      </c>
      <c r="D79" s="5" t="s">
        <v>939</v>
      </c>
      <c r="E79" s="5" t="s">
        <v>1338</v>
      </c>
      <c r="F79" s="132">
        <f>SUMIF('COLAR PLANO'!$A:$A,A79,'COLAR PLANO'!$D:$D)</f>
        <v>0</v>
      </c>
      <c r="G79" s="131">
        <f t="shared" si="31"/>
        <v>0</v>
      </c>
      <c r="H79" s="6">
        <v>0.78680000000000005</v>
      </c>
      <c r="I79" s="7">
        <f t="shared" si="27"/>
        <v>0</v>
      </c>
      <c r="J79" s="130">
        <f t="shared" si="28"/>
        <v>0</v>
      </c>
      <c r="K79" s="819">
        <v>2.125</v>
      </c>
      <c r="L79" s="819">
        <v>8</v>
      </c>
      <c r="M79" s="819">
        <v>17</v>
      </c>
      <c r="N79" s="7">
        <f t="shared" si="29"/>
        <v>0</v>
      </c>
      <c r="O79" s="7"/>
      <c r="P79" s="311">
        <f t="shared" si="30"/>
        <v>0</v>
      </c>
      <c r="Q79" s="7"/>
      <c r="R79" s="7"/>
      <c r="S79" s="7"/>
      <c r="T79" s="7"/>
      <c r="U79" s="7" t="s">
        <v>2288</v>
      </c>
      <c r="V79" s="7" t="s">
        <v>2289</v>
      </c>
      <c r="W79" s="7" t="str">
        <f>Preencher!$B$3&amp;U79&amp;V79&amp;A79&amp;$W$6</f>
        <v>JARINU-FRG11029MQ.TUNEL DE CG (CONTINUO)</v>
      </c>
      <c r="X79" s="7" t="str">
        <f>Preencher!$B$3&amp;U79&amp;V79&amp;A79&amp;$X$6</f>
        <v>JARINU-FRG11029MQ.TUNEL DE CG (CONTINUO) (1)</v>
      </c>
      <c r="Y79" s="7" t="str">
        <f>Preencher!$B$3&amp;U79&amp;V79&amp;A79&amp;$Y$6</f>
        <v>JARINU-FRG11029MQ.TUNEL DE CG (CONTINUO) (2)</v>
      </c>
      <c r="Z79" s="7" t="str">
        <f>Preencher!$B$3&amp;U79&amp;V79&amp;A79&amp;$Z$6</f>
        <v>JARINU-FRG11029MQ.TUNEL DE CG (CONTINUO) (3)</v>
      </c>
      <c r="AA79" s="7" t="str">
        <f>Preencher!$B$3&amp;U79&amp;V79&amp;A79&amp;$AA$6</f>
        <v>JARINU-FRG11029MQ.TUNEL DE CG (ESTATICO)</v>
      </c>
      <c r="AB79" s="7" t="str">
        <f>Preencher!$B$3&amp;U79&amp;V79&amp;A79&amp;$AB$6</f>
        <v>JARINU-FRG11029MQ.TUNEL DE CG (ESTATICO) (1)</v>
      </c>
      <c r="AC79" s="7" t="str">
        <f>Preencher!$B$3&amp;U79&amp;V79&amp;A79&amp;$AC$6</f>
        <v>JARINU-FRG11029MQ.TUNEL DE CG (ESTATICO) (2)</v>
      </c>
      <c r="AD79" s="327">
        <f>IFERROR(SUMIF('BD Otimix'!A:A,'BD VOLUME'!X79,'BD Otimix'!O:O)+SUMIF('BD Otimix'!A:A,'BD VOLUME'!Y79,'BD Otimix'!O:O)+SUMIF('BD Otimix'!A:A,'BD VOLUME'!Z79,'BD Otimix'!O:O)+SUMIF('BD Otimix'!A:A,'BD VOLUME'!AA79,'BD Otimix'!O:O)+SUMIF('BD Otimix'!A:A,'BD VOLUME'!AB79,'BD Otimix'!O:O)+SUMIF('BD Otimix'!A:A,'BD VOLUME'!AC79,'BD Otimix'!O:O)+SUMIF('BD Otimix'!A:A,'BD VOLUME'!W79,'BD Otimix'!O:O),0)</f>
        <v>0</v>
      </c>
      <c r="AE79" s="327">
        <f t="shared" si="24"/>
        <v>0</v>
      </c>
      <c r="AF79" s="7" t="str">
        <f>Preencher!$B$3&amp;$U$8&amp;$V$8&amp;A79&amp;$AF$6</f>
        <v>JARINU-FRG11029MQ.GIROFREEZER</v>
      </c>
      <c r="AG79" s="7" t="str">
        <f>Preencher!$B$3&amp;$U$8&amp;$V$8&amp;A79&amp;$AG$6</f>
        <v>JARINU-FRG11029MQ.GIROFREEZER (1)</v>
      </c>
      <c r="AH79" s="7" t="str">
        <f>Preencher!$B$3&amp;$U$8&amp;$V$8&amp;A79&amp;$AH$6</f>
        <v>JARINU-FRG11029MQ.GIROFREEZER (2)</v>
      </c>
      <c r="AI79" s="7" t="str">
        <f>Preencher!$B$3&amp;$U$8&amp;$V$8&amp;A79&amp;$AI$6</f>
        <v>JARINU-FRG11029MQ.GIROFREEZER REV04</v>
      </c>
      <c r="AJ79" s="7" t="str">
        <f>Preencher!$B$3&amp;$U$8&amp;$V$8&amp;A79&amp;$AJ$6</f>
        <v>JARINU-FRG11029MQ.GIROFREEZER (3)</v>
      </c>
      <c r="AK79" s="327">
        <f>IFERROR(SUMIF('BD Otimix'!A:A,'BD VOLUME'!AG79,'BD Otimix'!O:O)+SUMIF('BD Otimix'!A:A,'BD VOLUME'!AH79,'BD Otimix'!O:O)+SUMIF('BD Otimix'!A:A,'BD VOLUME'!AI79,'BD Otimix'!O:O)+SUMIF('BD Otimix'!A:A,'BD VOLUME'!AJ79,'BD Otimix'!O:O)+SUMIF('BD Otimix'!A:A,'BD VOLUME'!AF79,'BD Otimix'!O:O),0)</f>
        <v>0</v>
      </c>
      <c r="AL79" s="7">
        <f t="shared" si="25"/>
        <v>0</v>
      </c>
    </row>
    <row r="80" spans="1:38">
      <c r="A80" s="346">
        <v>950191</v>
      </c>
      <c r="B80" s="346"/>
      <c r="C80" s="5" t="s">
        <v>940</v>
      </c>
      <c r="D80" s="5" t="s">
        <v>939</v>
      </c>
      <c r="E80" s="5" t="s">
        <v>1338</v>
      </c>
      <c r="F80" s="132">
        <f>SUMIF('COLAR PLANO'!$A:$A,A80,'COLAR PLANO'!$D:$D)</f>
        <v>0</v>
      </c>
      <c r="G80" s="131">
        <f t="shared" si="31"/>
        <v>0</v>
      </c>
      <c r="H80" s="6">
        <v>0.78680000000000005</v>
      </c>
      <c r="I80" s="7">
        <f t="shared" si="27"/>
        <v>0</v>
      </c>
      <c r="J80" s="130">
        <f t="shared" si="28"/>
        <v>0</v>
      </c>
      <c r="K80" s="819">
        <v>2.125</v>
      </c>
      <c r="L80" s="819">
        <v>8</v>
      </c>
      <c r="M80" s="819">
        <v>17</v>
      </c>
      <c r="N80" s="7">
        <f t="shared" si="29"/>
        <v>0</v>
      </c>
      <c r="O80" s="7"/>
      <c r="P80" s="311">
        <f t="shared" si="30"/>
        <v>0</v>
      </c>
      <c r="Q80" s="7"/>
      <c r="R80" s="7"/>
      <c r="S80" s="7"/>
      <c r="T80" s="7"/>
      <c r="U80" s="7" t="s">
        <v>2288</v>
      </c>
      <c r="V80" s="7" t="s">
        <v>2289</v>
      </c>
      <c r="W80" s="7" t="str">
        <f>Preencher!$B$3&amp;U80&amp;V80&amp;A80&amp;$W$6</f>
        <v>JARINU-FRG950191MQ.TUNEL DE CG (CONTINUO)</v>
      </c>
      <c r="X80" s="7" t="str">
        <f>Preencher!$B$3&amp;U80&amp;V80&amp;A80&amp;$X$6</f>
        <v>JARINU-FRG950191MQ.TUNEL DE CG (CONTINUO) (1)</v>
      </c>
      <c r="Y80" s="7" t="str">
        <f>Preencher!$B$3&amp;U80&amp;V80&amp;A80&amp;$Y$6</f>
        <v>JARINU-FRG950191MQ.TUNEL DE CG (CONTINUO) (2)</v>
      </c>
      <c r="Z80" s="7" t="str">
        <f>Preencher!$B$3&amp;U80&amp;V80&amp;A80&amp;$Z$6</f>
        <v>JARINU-FRG950191MQ.TUNEL DE CG (CONTINUO) (3)</v>
      </c>
      <c r="AA80" s="7" t="str">
        <f>Preencher!$B$3&amp;U80&amp;V80&amp;A80&amp;$AA$6</f>
        <v>JARINU-FRG950191MQ.TUNEL DE CG (ESTATICO)</v>
      </c>
      <c r="AB80" s="7" t="str">
        <f>Preencher!$B$3&amp;U80&amp;V80&amp;A80&amp;$AB$6</f>
        <v>JARINU-FRG950191MQ.TUNEL DE CG (ESTATICO) (1)</v>
      </c>
      <c r="AC80" s="7" t="str">
        <f>Preencher!$B$3&amp;U80&amp;V80&amp;A80&amp;$AC$6</f>
        <v>JARINU-FRG950191MQ.TUNEL DE CG (ESTATICO) (2)</v>
      </c>
      <c r="AD80" s="327">
        <f>IFERROR(SUMIF('BD Otimix'!A:A,'BD VOLUME'!X80,'BD Otimix'!O:O)+SUMIF('BD Otimix'!A:A,'BD VOLUME'!Y80,'BD Otimix'!O:O)+SUMIF('BD Otimix'!A:A,'BD VOLUME'!Z80,'BD Otimix'!O:O)+SUMIF('BD Otimix'!A:A,'BD VOLUME'!AA80,'BD Otimix'!O:O)+SUMIF('BD Otimix'!A:A,'BD VOLUME'!AB80,'BD Otimix'!O:O)+SUMIF('BD Otimix'!A:A,'BD VOLUME'!AC80,'BD Otimix'!O:O)+SUMIF('BD Otimix'!A:A,'BD VOLUME'!W80,'BD Otimix'!O:O),0)</f>
        <v>0</v>
      </c>
      <c r="AE80" s="327">
        <f t="shared" si="24"/>
        <v>0</v>
      </c>
      <c r="AF80" s="7" t="str">
        <f>Preencher!$B$3&amp;$U$8&amp;$V$8&amp;A80&amp;$AF$6</f>
        <v>JARINU-FRG950191MQ.GIROFREEZER</v>
      </c>
      <c r="AG80" s="7" t="str">
        <f>Preencher!$B$3&amp;$U$8&amp;$V$8&amp;A80&amp;$AG$6</f>
        <v>JARINU-FRG950191MQ.GIROFREEZER (1)</v>
      </c>
      <c r="AH80" s="7" t="str">
        <f>Preencher!$B$3&amp;$U$8&amp;$V$8&amp;A80&amp;$AH$6</f>
        <v>JARINU-FRG950191MQ.GIROFREEZER (2)</v>
      </c>
      <c r="AI80" s="7" t="str">
        <f>Preencher!$B$3&amp;$U$8&amp;$V$8&amp;A80&amp;$AI$6</f>
        <v>JARINU-FRG950191MQ.GIROFREEZER REV04</v>
      </c>
      <c r="AJ80" s="7" t="str">
        <f>Preencher!$B$3&amp;$U$8&amp;$V$8&amp;A80&amp;$AJ$6</f>
        <v>JARINU-FRG950191MQ.GIROFREEZER (3)</v>
      </c>
      <c r="AK80" s="327">
        <f>IFERROR(SUMIF('BD Otimix'!A:A,'BD VOLUME'!AG80,'BD Otimix'!O:O)+SUMIF('BD Otimix'!A:A,'BD VOLUME'!AH80,'BD Otimix'!O:O)+SUMIF('BD Otimix'!A:A,'BD VOLUME'!AI80,'BD Otimix'!O:O)+SUMIF('BD Otimix'!A:A,'BD VOLUME'!AJ80,'BD Otimix'!O:O)+SUMIF('BD Otimix'!A:A,'BD VOLUME'!AF80,'BD Otimix'!O:O),0)</f>
        <v>0</v>
      </c>
      <c r="AL80" s="7">
        <f t="shared" si="25"/>
        <v>0</v>
      </c>
    </row>
    <row r="81" spans="1:38">
      <c r="A81" s="346">
        <v>727342</v>
      </c>
      <c r="B81" s="346"/>
      <c r="C81" s="5" t="s">
        <v>940</v>
      </c>
      <c r="D81" s="5" t="s">
        <v>939</v>
      </c>
      <c r="E81" s="5" t="s">
        <v>1338</v>
      </c>
      <c r="F81" s="132">
        <f>SUMIF('COLAR PLANO'!$A:$A,A81,'COLAR PLANO'!$D:$D)</f>
        <v>0</v>
      </c>
      <c r="G81" s="131">
        <f t="shared" si="31"/>
        <v>0</v>
      </c>
      <c r="H81" s="6">
        <v>0.77639999999999998</v>
      </c>
      <c r="I81" s="7">
        <f t="shared" si="27"/>
        <v>0</v>
      </c>
      <c r="J81" s="130">
        <f t="shared" si="28"/>
        <v>0</v>
      </c>
      <c r="K81" s="819">
        <v>2.125</v>
      </c>
      <c r="L81" s="819">
        <v>8</v>
      </c>
      <c r="M81" s="819">
        <v>17</v>
      </c>
      <c r="N81" s="7">
        <f t="shared" si="29"/>
        <v>0</v>
      </c>
      <c r="O81" s="7"/>
      <c r="P81" s="311">
        <f t="shared" si="30"/>
        <v>0</v>
      </c>
      <c r="Q81" s="7"/>
      <c r="R81" s="7"/>
      <c r="S81" s="7"/>
      <c r="T81" s="7"/>
      <c r="U81" s="7" t="s">
        <v>2288</v>
      </c>
      <c r="V81" s="7" t="s">
        <v>2289</v>
      </c>
      <c r="W81" s="7" t="str">
        <f>Preencher!$B$3&amp;U81&amp;V81&amp;A81&amp;$W$6</f>
        <v>JARINU-FRG727342MQ.TUNEL DE CG (CONTINUO)</v>
      </c>
      <c r="X81" s="7" t="str">
        <f>Preencher!$B$3&amp;U81&amp;V81&amp;A81&amp;$X$6</f>
        <v>JARINU-FRG727342MQ.TUNEL DE CG (CONTINUO) (1)</v>
      </c>
      <c r="Y81" s="7" t="str">
        <f>Preencher!$B$3&amp;U81&amp;V81&amp;A81&amp;$Y$6</f>
        <v>JARINU-FRG727342MQ.TUNEL DE CG (CONTINUO) (2)</v>
      </c>
      <c r="Z81" s="7" t="str">
        <f>Preencher!$B$3&amp;U81&amp;V81&amp;A81&amp;$Z$6</f>
        <v>JARINU-FRG727342MQ.TUNEL DE CG (CONTINUO) (3)</v>
      </c>
      <c r="AA81" s="7" t="str">
        <f>Preencher!$B$3&amp;U81&amp;V81&amp;A81&amp;$AA$6</f>
        <v>JARINU-FRG727342MQ.TUNEL DE CG (ESTATICO)</v>
      </c>
      <c r="AB81" s="7" t="str">
        <f>Preencher!$B$3&amp;U81&amp;V81&amp;A81&amp;$AB$6</f>
        <v>JARINU-FRG727342MQ.TUNEL DE CG (ESTATICO) (1)</v>
      </c>
      <c r="AC81" s="7" t="str">
        <f>Preencher!$B$3&amp;U81&amp;V81&amp;A81&amp;$AC$6</f>
        <v>JARINU-FRG727342MQ.TUNEL DE CG (ESTATICO) (2)</v>
      </c>
      <c r="AD81" s="327">
        <f>IFERROR(SUMIF('BD Otimix'!A:A,'BD VOLUME'!X81,'BD Otimix'!O:O)+SUMIF('BD Otimix'!A:A,'BD VOLUME'!Y81,'BD Otimix'!O:O)+SUMIF('BD Otimix'!A:A,'BD VOLUME'!Z81,'BD Otimix'!O:O)+SUMIF('BD Otimix'!A:A,'BD VOLUME'!AA81,'BD Otimix'!O:O)+SUMIF('BD Otimix'!A:A,'BD VOLUME'!AB81,'BD Otimix'!O:O)+SUMIF('BD Otimix'!A:A,'BD VOLUME'!AC81,'BD Otimix'!O:O)+SUMIF('BD Otimix'!A:A,'BD VOLUME'!W81,'BD Otimix'!O:O),0)</f>
        <v>0</v>
      </c>
      <c r="AE81" s="327">
        <f t="shared" si="24"/>
        <v>0</v>
      </c>
      <c r="AF81" s="7" t="str">
        <f>Preencher!$B$3&amp;$U$8&amp;$V$8&amp;A81&amp;$AF$6</f>
        <v>JARINU-FRG727342MQ.GIROFREEZER</v>
      </c>
      <c r="AG81" s="7" t="str">
        <f>Preencher!$B$3&amp;$U$8&amp;$V$8&amp;A81&amp;$AG$6</f>
        <v>JARINU-FRG727342MQ.GIROFREEZER (1)</v>
      </c>
      <c r="AH81" s="7" t="str">
        <f>Preencher!$B$3&amp;$U$8&amp;$V$8&amp;A81&amp;$AH$6</f>
        <v>JARINU-FRG727342MQ.GIROFREEZER (2)</v>
      </c>
      <c r="AI81" s="7" t="str">
        <f>Preencher!$B$3&amp;$U$8&amp;$V$8&amp;A81&amp;$AI$6</f>
        <v>JARINU-FRG727342MQ.GIROFREEZER REV04</v>
      </c>
      <c r="AJ81" s="7" t="str">
        <f>Preencher!$B$3&amp;$U$8&amp;$V$8&amp;A81&amp;$AJ$6</f>
        <v>JARINU-FRG727342MQ.GIROFREEZER (3)</v>
      </c>
      <c r="AK81" s="327">
        <f>IFERROR(SUMIF('BD Otimix'!A:A,'BD VOLUME'!AG81,'BD Otimix'!O:O)+SUMIF('BD Otimix'!A:A,'BD VOLUME'!AH81,'BD Otimix'!O:O)+SUMIF('BD Otimix'!A:A,'BD VOLUME'!AI81,'BD Otimix'!O:O)+SUMIF('BD Otimix'!A:A,'BD VOLUME'!AJ81,'BD Otimix'!O:O)+SUMIF('BD Otimix'!A:A,'BD VOLUME'!AF81,'BD Otimix'!O:O),0)</f>
        <v>0</v>
      </c>
      <c r="AL81" s="7">
        <f t="shared" si="25"/>
        <v>0</v>
      </c>
    </row>
    <row r="82" spans="1:38">
      <c r="A82" s="346">
        <v>124055</v>
      </c>
      <c r="B82" s="346"/>
      <c r="C82" s="5" t="s">
        <v>940</v>
      </c>
      <c r="D82" s="5" t="s">
        <v>939</v>
      </c>
      <c r="E82" s="5" t="s">
        <v>1338</v>
      </c>
      <c r="F82" s="132">
        <f>SUMIF('COLAR PLANO'!$A:$A,A82,'COLAR PLANO'!$D:$D)</f>
        <v>0</v>
      </c>
      <c r="G82" s="131">
        <f t="shared" si="31"/>
        <v>0</v>
      </c>
      <c r="H82" s="6">
        <v>0.78610000000000002</v>
      </c>
      <c r="I82" s="7">
        <f t="shared" si="27"/>
        <v>0</v>
      </c>
      <c r="J82" s="130">
        <f t="shared" si="28"/>
        <v>0</v>
      </c>
      <c r="K82" s="819">
        <v>2.125</v>
      </c>
      <c r="L82" s="819">
        <v>8</v>
      </c>
      <c r="M82" s="819">
        <v>17</v>
      </c>
      <c r="N82" s="7">
        <f t="shared" si="29"/>
        <v>0</v>
      </c>
      <c r="O82" s="7"/>
      <c r="P82" s="311">
        <f t="shared" si="30"/>
        <v>0</v>
      </c>
      <c r="Q82" s="7"/>
      <c r="R82" s="7"/>
      <c r="S82" s="7"/>
      <c r="T82" s="7"/>
      <c r="U82" s="7" t="s">
        <v>2288</v>
      </c>
      <c r="V82" s="7" t="s">
        <v>2289</v>
      </c>
      <c r="W82" s="7" t="str">
        <f>Preencher!$B$3&amp;U82&amp;V82&amp;A82&amp;$W$6</f>
        <v>JARINU-FRG124055MQ.TUNEL DE CG (CONTINUO)</v>
      </c>
      <c r="X82" s="7" t="str">
        <f>Preencher!$B$3&amp;U82&amp;V82&amp;A82&amp;$X$6</f>
        <v>JARINU-FRG124055MQ.TUNEL DE CG (CONTINUO) (1)</v>
      </c>
      <c r="Y82" s="7" t="str">
        <f>Preencher!$B$3&amp;U82&amp;V82&amp;A82&amp;$Y$6</f>
        <v>JARINU-FRG124055MQ.TUNEL DE CG (CONTINUO) (2)</v>
      </c>
      <c r="Z82" s="7" t="str">
        <f>Preencher!$B$3&amp;U82&amp;V82&amp;A82&amp;$Z$6</f>
        <v>JARINU-FRG124055MQ.TUNEL DE CG (CONTINUO) (3)</v>
      </c>
      <c r="AA82" s="7" t="str">
        <f>Preencher!$B$3&amp;U82&amp;V82&amp;A82&amp;$AA$6</f>
        <v>JARINU-FRG124055MQ.TUNEL DE CG (ESTATICO)</v>
      </c>
      <c r="AB82" s="7" t="str">
        <f>Preencher!$B$3&amp;U82&amp;V82&amp;A82&amp;$AB$6</f>
        <v>JARINU-FRG124055MQ.TUNEL DE CG (ESTATICO) (1)</v>
      </c>
      <c r="AC82" s="7" t="str">
        <f>Preencher!$B$3&amp;U82&amp;V82&amp;A82&amp;$AC$6</f>
        <v>JARINU-FRG124055MQ.TUNEL DE CG (ESTATICO) (2)</v>
      </c>
      <c r="AD82" s="327">
        <f>IFERROR(SUMIF('BD Otimix'!A:A,'BD VOLUME'!X82,'BD Otimix'!O:O)+SUMIF('BD Otimix'!A:A,'BD VOLUME'!Y82,'BD Otimix'!O:O)+SUMIF('BD Otimix'!A:A,'BD VOLUME'!Z82,'BD Otimix'!O:O)+SUMIF('BD Otimix'!A:A,'BD VOLUME'!AA82,'BD Otimix'!O:O)+SUMIF('BD Otimix'!A:A,'BD VOLUME'!AB82,'BD Otimix'!O:O)+SUMIF('BD Otimix'!A:A,'BD VOLUME'!AC82,'BD Otimix'!O:O)+SUMIF('BD Otimix'!A:A,'BD VOLUME'!W82,'BD Otimix'!O:O),0)</f>
        <v>0</v>
      </c>
      <c r="AE82" s="327">
        <f t="shared" si="24"/>
        <v>0</v>
      </c>
      <c r="AF82" s="7" t="str">
        <f>Preencher!$B$3&amp;$U$8&amp;$V$8&amp;A82&amp;$AF$6</f>
        <v>JARINU-FRG124055MQ.GIROFREEZER</v>
      </c>
      <c r="AG82" s="7" t="str">
        <f>Preencher!$B$3&amp;$U$8&amp;$V$8&amp;A82&amp;$AG$6</f>
        <v>JARINU-FRG124055MQ.GIROFREEZER (1)</v>
      </c>
      <c r="AH82" s="7" t="str">
        <f>Preencher!$B$3&amp;$U$8&amp;$V$8&amp;A82&amp;$AH$6</f>
        <v>JARINU-FRG124055MQ.GIROFREEZER (2)</v>
      </c>
      <c r="AI82" s="7" t="str">
        <f>Preencher!$B$3&amp;$U$8&amp;$V$8&amp;A82&amp;$AI$6</f>
        <v>JARINU-FRG124055MQ.GIROFREEZER REV04</v>
      </c>
      <c r="AJ82" s="7" t="str">
        <f>Preencher!$B$3&amp;$U$8&amp;$V$8&amp;A82&amp;$AJ$6</f>
        <v>JARINU-FRG124055MQ.GIROFREEZER (3)</v>
      </c>
      <c r="AK82" s="327">
        <f>IFERROR(SUMIF('BD Otimix'!A:A,'BD VOLUME'!AG82,'BD Otimix'!O:O)+SUMIF('BD Otimix'!A:A,'BD VOLUME'!AH82,'BD Otimix'!O:O)+SUMIF('BD Otimix'!A:A,'BD VOLUME'!AI82,'BD Otimix'!O:O)+SUMIF('BD Otimix'!A:A,'BD VOLUME'!AJ82,'BD Otimix'!O:O)+SUMIF('BD Otimix'!A:A,'BD VOLUME'!AF82,'BD Otimix'!O:O),0)</f>
        <v>0</v>
      </c>
      <c r="AL82" s="7">
        <f t="shared" si="25"/>
        <v>0</v>
      </c>
    </row>
    <row r="83" spans="1:38">
      <c r="A83" s="346">
        <v>124149</v>
      </c>
      <c r="B83" s="346" t="s">
        <v>1374</v>
      </c>
      <c r="C83" s="5" t="s">
        <v>940</v>
      </c>
      <c r="D83" s="5" t="s">
        <v>939</v>
      </c>
      <c r="E83" s="5" t="s">
        <v>1338</v>
      </c>
      <c r="F83" s="132">
        <f>SUMIF('COLAR PLANO'!$A:$A,A83,'COLAR PLANO'!$D:$D)</f>
        <v>0</v>
      </c>
      <c r="G83" s="131">
        <f t="shared" si="31"/>
        <v>0</v>
      </c>
      <c r="H83" s="6">
        <v>0.74109999999999998</v>
      </c>
      <c r="I83" s="7">
        <f t="shared" si="27"/>
        <v>0</v>
      </c>
      <c r="J83" s="130">
        <f t="shared" si="28"/>
        <v>0</v>
      </c>
      <c r="K83" s="819">
        <v>2.125</v>
      </c>
      <c r="L83" s="819">
        <v>8</v>
      </c>
      <c r="M83" s="819">
        <v>17</v>
      </c>
      <c r="N83" s="7">
        <f t="shared" si="29"/>
        <v>0</v>
      </c>
      <c r="O83" s="7"/>
      <c r="P83" s="311">
        <f t="shared" si="30"/>
        <v>0</v>
      </c>
      <c r="Q83" s="7"/>
      <c r="R83" s="7"/>
      <c r="S83" s="7"/>
      <c r="T83" s="7"/>
      <c r="U83" s="7" t="s">
        <v>2288</v>
      </c>
      <c r="V83" s="7" t="s">
        <v>2289</v>
      </c>
      <c r="W83" s="7" t="str">
        <f>Preencher!$B$3&amp;U83&amp;V83&amp;A83&amp;$W$6</f>
        <v>JARINU-FRG124149MQ.TUNEL DE CG (CONTINUO)</v>
      </c>
      <c r="X83" s="7" t="str">
        <f>Preencher!$B$3&amp;U83&amp;V83&amp;A83&amp;$X$6</f>
        <v>JARINU-FRG124149MQ.TUNEL DE CG (CONTINUO) (1)</v>
      </c>
      <c r="Y83" s="7" t="str">
        <f>Preencher!$B$3&amp;U83&amp;V83&amp;A83&amp;$Y$6</f>
        <v>JARINU-FRG124149MQ.TUNEL DE CG (CONTINUO) (2)</v>
      </c>
      <c r="Z83" s="7" t="str">
        <f>Preencher!$B$3&amp;U83&amp;V83&amp;A83&amp;$Z$6</f>
        <v>JARINU-FRG124149MQ.TUNEL DE CG (CONTINUO) (3)</v>
      </c>
      <c r="AA83" s="7" t="str">
        <f>Preencher!$B$3&amp;U83&amp;V83&amp;A83&amp;$AA$6</f>
        <v>JARINU-FRG124149MQ.TUNEL DE CG (ESTATICO)</v>
      </c>
      <c r="AB83" s="7" t="str">
        <f>Preencher!$B$3&amp;U83&amp;V83&amp;A83&amp;$AB$6</f>
        <v>JARINU-FRG124149MQ.TUNEL DE CG (ESTATICO) (1)</v>
      </c>
      <c r="AC83" s="7" t="str">
        <f>Preencher!$B$3&amp;U83&amp;V83&amp;A83&amp;$AC$6</f>
        <v>JARINU-FRG124149MQ.TUNEL DE CG (ESTATICO) (2)</v>
      </c>
      <c r="AD83" s="327">
        <f>IFERROR(SUMIF('BD Otimix'!A:A,'BD VOLUME'!X83,'BD Otimix'!O:O)+SUMIF('BD Otimix'!A:A,'BD VOLUME'!Y83,'BD Otimix'!O:O)+SUMIF('BD Otimix'!A:A,'BD VOLUME'!Z83,'BD Otimix'!O:O)+SUMIF('BD Otimix'!A:A,'BD VOLUME'!AA83,'BD Otimix'!O:O)+SUMIF('BD Otimix'!A:A,'BD VOLUME'!AB83,'BD Otimix'!O:O)+SUMIF('BD Otimix'!A:A,'BD VOLUME'!AC83,'BD Otimix'!O:O)+SUMIF('BD Otimix'!A:A,'BD VOLUME'!W83,'BD Otimix'!O:O),0)</f>
        <v>0</v>
      </c>
      <c r="AE83" s="327">
        <f t="shared" si="24"/>
        <v>0</v>
      </c>
      <c r="AF83" s="7" t="str">
        <f>Preencher!$B$3&amp;$U$8&amp;$V$8&amp;A83&amp;$AF$6</f>
        <v>JARINU-FRG124149MQ.GIROFREEZER</v>
      </c>
      <c r="AG83" s="7" t="str">
        <f>Preencher!$B$3&amp;$U$8&amp;$V$8&amp;A83&amp;$AG$6</f>
        <v>JARINU-FRG124149MQ.GIROFREEZER (1)</v>
      </c>
      <c r="AH83" s="7" t="str">
        <f>Preencher!$B$3&amp;$U$8&amp;$V$8&amp;A83&amp;$AH$6</f>
        <v>JARINU-FRG124149MQ.GIROFREEZER (2)</v>
      </c>
      <c r="AI83" s="7" t="str">
        <f>Preencher!$B$3&amp;$U$8&amp;$V$8&amp;A83&amp;$AI$6</f>
        <v>JARINU-FRG124149MQ.GIROFREEZER REV04</v>
      </c>
      <c r="AJ83" s="7" t="str">
        <f>Preencher!$B$3&amp;$U$8&amp;$V$8&amp;A83&amp;$AJ$6</f>
        <v>JARINU-FRG124149MQ.GIROFREEZER (3)</v>
      </c>
      <c r="AK83" s="327">
        <f>IFERROR(SUMIF('BD Otimix'!A:A,'BD VOLUME'!AG83,'BD Otimix'!O:O)+SUMIF('BD Otimix'!A:A,'BD VOLUME'!AH83,'BD Otimix'!O:O)+SUMIF('BD Otimix'!A:A,'BD VOLUME'!AI83,'BD Otimix'!O:O)+SUMIF('BD Otimix'!A:A,'BD VOLUME'!AJ83,'BD Otimix'!O:O)+SUMIF('BD Otimix'!A:A,'BD VOLUME'!AF83,'BD Otimix'!O:O),0)</f>
        <v>0</v>
      </c>
      <c r="AL83" s="7">
        <f t="shared" si="25"/>
        <v>0</v>
      </c>
    </row>
    <row r="84" spans="1:38">
      <c r="A84" s="346">
        <v>124171</v>
      </c>
      <c r="B84" s="346" t="s">
        <v>1375</v>
      </c>
      <c r="C84" s="5" t="s">
        <v>940</v>
      </c>
      <c r="D84" s="5" t="s">
        <v>939</v>
      </c>
      <c r="E84" s="5" t="s">
        <v>1338</v>
      </c>
      <c r="F84" s="132">
        <f>SUMIF('COLAR PLANO'!$A:$A,A84,'COLAR PLANO'!$D:$D)</f>
        <v>0</v>
      </c>
      <c r="G84" s="131">
        <f t="shared" si="31"/>
        <v>0</v>
      </c>
      <c r="H84" s="6">
        <v>0.74109999999999998</v>
      </c>
      <c r="I84" s="7">
        <f t="shared" si="27"/>
        <v>0</v>
      </c>
      <c r="J84" s="130">
        <f t="shared" si="28"/>
        <v>0</v>
      </c>
      <c r="K84" s="819">
        <v>2.125</v>
      </c>
      <c r="L84" s="819">
        <v>8</v>
      </c>
      <c r="M84" s="819">
        <v>17</v>
      </c>
      <c r="N84" s="7">
        <f t="shared" si="29"/>
        <v>0</v>
      </c>
      <c r="O84" s="7"/>
      <c r="P84" s="311">
        <f t="shared" si="30"/>
        <v>0</v>
      </c>
      <c r="Q84" s="7"/>
      <c r="R84" s="7"/>
      <c r="S84" s="7"/>
      <c r="T84" s="7"/>
      <c r="U84" s="7" t="s">
        <v>2288</v>
      </c>
      <c r="V84" s="7" t="s">
        <v>2289</v>
      </c>
      <c r="W84" s="7" t="str">
        <f>Preencher!$B$3&amp;U84&amp;V84&amp;A84&amp;$W$6</f>
        <v>JARINU-FRG124171MQ.TUNEL DE CG (CONTINUO)</v>
      </c>
      <c r="X84" s="7" t="str">
        <f>Preencher!$B$3&amp;U84&amp;V84&amp;A84&amp;$X$6</f>
        <v>JARINU-FRG124171MQ.TUNEL DE CG (CONTINUO) (1)</v>
      </c>
      <c r="Y84" s="7" t="str">
        <f>Preencher!$B$3&amp;U84&amp;V84&amp;A84&amp;$Y$6</f>
        <v>JARINU-FRG124171MQ.TUNEL DE CG (CONTINUO) (2)</v>
      </c>
      <c r="Z84" s="7" t="str">
        <f>Preencher!$B$3&amp;U84&amp;V84&amp;A84&amp;$Z$6</f>
        <v>JARINU-FRG124171MQ.TUNEL DE CG (CONTINUO) (3)</v>
      </c>
      <c r="AA84" s="7" t="str">
        <f>Preencher!$B$3&amp;U84&amp;V84&amp;A84&amp;$AA$6</f>
        <v>JARINU-FRG124171MQ.TUNEL DE CG (ESTATICO)</v>
      </c>
      <c r="AB84" s="7" t="str">
        <f>Preencher!$B$3&amp;U84&amp;V84&amp;A84&amp;$AB$6</f>
        <v>JARINU-FRG124171MQ.TUNEL DE CG (ESTATICO) (1)</v>
      </c>
      <c r="AC84" s="7" t="str">
        <f>Preencher!$B$3&amp;U84&amp;V84&amp;A84&amp;$AC$6</f>
        <v>JARINU-FRG124171MQ.TUNEL DE CG (ESTATICO) (2)</v>
      </c>
      <c r="AD84" s="327">
        <f>IFERROR(SUMIF('BD Otimix'!A:A,'BD VOLUME'!X84,'BD Otimix'!O:O)+SUMIF('BD Otimix'!A:A,'BD VOLUME'!Y84,'BD Otimix'!O:O)+SUMIF('BD Otimix'!A:A,'BD VOLUME'!Z84,'BD Otimix'!O:O)+SUMIF('BD Otimix'!A:A,'BD VOLUME'!AA84,'BD Otimix'!O:O)+SUMIF('BD Otimix'!A:A,'BD VOLUME'!AB84,'BD Otimix'!O:O)+SUMIF('BD Otimix'!A:A,'BD VOLUME'!AC84,'BD Otimix'!O:O)+SUMIF('BD Otimix'!A:A,'BD VOLUME'!W84,'BD Otimix'!O:O),0)</f>
        <v>0</v>
      </c>
      <c r="AE84" s="327">
        <f t="shared" si="24"/>
        <v>0</v>
      </c>
      <c r="AF84" s="7" t="str">
        <f>Preencher!$B$3&amp;$U$8&amp;$V$8&amp;A84&amp;$AF$6</f>
        <v>JARINU-FRG124171MQ.GIROFREEZER</v>
      </c>
      <c r="AG84" s="7" t="str">
        <f>Preencher!$B$3&amp;$U$8&amp;$V$8&amp;A84&amp;$AG$6</f>
        <v>JARINU-FRG124171MQ.GIROFREEZER (1)</v>
      </c>
      <c r="AH84" s="7" t="str">
        <f>Preencher!$B$3&amp;$U$8&amp;$V$8&amp;A84&amp;$AH$6</f>
        <v>JARINU-FRG124171MQ.GIROFREEZER (2)</v>
      </c>
      <c r="AI84" s="7" t="str">
        <f>Preencher!$B$3&amp;$U$8&amp;$V$8&amp;A84&amp;$AI$6</f>
        <v>JARINU-FRG124171MQ.GIROFREEZER REV04</v>
      </c>
      <c r="AJ84" s="7" t="str">
        <f>Preencher!$B$3&amp;$U$8&amp;$V$8&amp;A84&amp;$AJ$6</f>
        <v>JARINU-FRG124171MQ.GIROFREEZER (3)</v>
      </c>
      <c r="AK84" s="327">
        <f>IFERROR(SUMIF('BD Otimix'!A:A,'BD VOLUME'!AG84,'BD Otimix'!O:O)+SUMIF('BD Otimix'!A:A,'BD VOLUME'!AH84,'BD Otimix'!O:O)+SUMIF('BD Otimix'!A:A,'BD VOLUME'!AI84,'BD Otimix'!O:O)+SUMIF('BD Otimix'!A:A,'BD VOLUME'!AJ84,'BD Otimix'!O:O)+SUMIF('BD Otimix'!A:A,'BD VOLUME'!AF84,'BD Otimix'!O:O),0)</f>
        <v>0</v>
      </c>
      <c r="AL84" s="7">
        <f t="shared" si="25"/>
        <v>0</v>
      </c>
    </row>
    <row r="85" spans="1:38">
      <c r="A85" s="346">
        <v>124172</v>
      </c>
      <c r="B85" s="346" t="s">
        <v>1376</v>
      </c>
      <c r="C85" s="5" t="s">
        <v>940</v>
      </c>
      <c r="D85" s="5" t="s">
        <v>939</v>
      </c>
      <c r="E85" s="5" t="s">
        <v>1338</v>
      </c>
      <c r="F85" s="132">
        <f>SUMIF('COLAR PLANO'!$A:$A,A85,'COLAR PLANO'!$D:$D)</f>
        <v>0</v>
      </c>
      <c r="G85" s="131">
        <f t="shared" si="31"/>
        <v>0</v>
      </c>
      <c r="H85" s="6">
        <v>0.74109999999999998</v>
      </c>
      <c r="I85" s="7">
        <f t="shared" si="27"/>
        <v>0</v>
      </c>
      <c r="J85" s="130">
        <f t="shared" si="28"/>
        <v>0</v>
      </c>
      <c r="K85" s="819">
        <v>2.125</v>
      </c>
      <c r="L85" s="819">
        <v>8</v>
      </c>
      <c r="M85" s="819">
        <v>17</v>
      </c>
      <c r="N85" s="7">
        <f t="shared" si="29"/>
        <v>0</v>
      </c>
      <c r="O85" s="7"/>
      <c r="P85" s="311">
        <f t="shared" si="30"/>
        <v>0</v>
      </c>
      <c r="Q85" s="7"/>
      <c r="R85" s="7"/>
      <c r="S85" s="7"/>
      <c r="T85" s="7"/>
      <c r="U85" s="7" t="s">
        <v>2288</v>
      </c>
      <c r="V85" s="7" t="s">
        <v>2289</v>
      </c>
      <c r="W85" s="7" t="str">
        <f>Preencher!$B$3&amp;U85&amp;V85&amp;A85&amp;$W$6</f>
        <v>JARINU-FRG124172MQ.TUNEL DE CG (CONTINUO)</v>
      </c>
      <c r="X85" s="7" t="str">
        <f>Preencher!$B$3&amp;U85&amp;V85&amp;A85&amp;$X$6</f>
        <v>JARINU-FRG124172MQ.TUNEL DE CG (CONTINUO) (1)</v>
      </c>
      <c r="Y85" s="7" t="str">
        <f>Preencher!$B$3&amp;U85&amp;V85&amp;A85&amp;$Y$6</f>
        <v>JARINU-FRG124172MQ.TUNEL DE CG (CONTINUO) (2)</v>
      </c>
      <c r="Z85" s="7" t="str">
        <f>Preencher!$B$3&amp;U85&amp;V85&amp;A85&amp;$Z$6</f>
        <v>JARINU-FRG124172MQ.TUNEL DE CG (CONTINUO) (3)</v>
      </c>
      <c r="AA85" s="7" t="str">
        <f>Preencher!$B$3&amp;U85&amp;V85&amp;A85&amp;$AA$6</f>
        <v>JARINU-FRG124172MQ.TUNEL DE CG (ESTATICO)</v>
      </c>
      <c r="AB85" s="7" t="str">
        <f>Preencher!$B$3&amp;U85&amp;V85&amp;A85&amp;$AB$6</f>
        <v>JARINU-FRG124172MQ.TUNEL DE CG (ESTATICO) (1)</v>
      </c>
      <c r="AC85" s="7" t="str">
        <f>Preencher!$B$3&amp;U85&amp;V85&amp;A85&amp;$AC$6</f>
        <v>JARINU-FRG124172MQ.TUNEL DE CG (ESTATICO) (2)</v>
      </c>
      <c r="AD85" s="327">
        <f>IFERROR(SUMIF('BD Otimix'!A:A,'BD VOLUME'!X85,'BD Otimix'!O:O)+SUMIF('BD Otimix'!A:A,'BD VOLUME'!Y85,'BD Otimix'!O:O)+SUMIF('BD Otimix'!A:A,'BD VOLUME'!Z85,'BD Otimix'!O:O)+SUMIF('BD Otimix'!A:A,'BD VOLUME'!AA85,'BD Otimix'!O:O)+SUMIF('BD Otimix'!A:A,'BD VOLUME'!AB85,'BD Otimix'!O:O)+SUMIF('BD Otimix'!A:A,'BD VOLUME'!AC85,'BD Otimix'!O:O)+SUMIF('BD Otimix'!A:A,'BD VOLUME'!W85,'BD Otimix'!O:O),0)</f>
        <v>0</v>
      </c>
      <c r="AE85" s="327">
        <f t="shared" si="24"/>
        <v>0</v>
      </c>
      <c r="AF85" s="7" t="str">
        <f>Preencher!$B$3&amp;$U$8&amp;$V$8&amp;A85&amp;$AF$6</f>
        <v>JARINU-FRG124172MQ.GIROFREEZER</v>
      </c>
      <c r="AG85" s="7" t="str">
        <f>Preencher!$B$3&amp;$U$8&amp;$V$8&amp;A85&amp;$AG$6</f>
        <v>JARINU-FRG124172MQ.GIROFREEZER (1)</v>
      </c>
      <c r="AH85" s="7" t="str">
        <f>Preencher!$B$3&amp;$U$8&amp;$V$8&amp;A85&amp;$AH$6</f>
        <v>JARINU-FRG124172MQ.GIROFREEZER (2)</v>
      </c>
      <c r="AI85" s="7" t="str">
        <f>Preencher!$B$3&amp;$U$8&amp;$V$8&amp;A85&amp;$AI$6</f>
        <v>JARINU-FRG124172MQ.GIROFREEZER REV04</v>
      </c>
      <c r="AJ85" s="7" t="str">
        <f>Preencher!$B$3&amp;$U$8&amp;$V$8&amp;A85&amp;$AJ$6</f>
        <v>JARINU-FRG124172MQ.GIROFREEZER (3)</v>
      </c>
      <c r="AK85" s="327">
        <f>IFERROR(SUMIF('BD Otimix'!A:A,'BD VOLUME'!AG85,'BD Otimix'!O:O)+SUMIF('BD Otimix'!A:A,'BD VOLUME'!AH85,'BD Otimix'!O:O)+SUMIF('BD Otimix'!A:A,'BD VOLUME'!AI85,'BD Otimix'!O:O)+SUMIF('BD Otimix'!A:A,'BD VOLUME'!AJ85,'BD Otimix'!O:O)+SUMIF('BD Otimix'!A:A,'BD VOLUME'!AF85,'BD Otimix'!O:O),0)</f>
        <v>0</v>
      </c>
      <c r="AL85" s="7">
        <f t="shared" si="25"/>
        <v>0</v>
      </c>
    </row>
    <row r="86" spans="1:38">
      <c r="A86" s="346">
        <v>124173</v>
      </c>
      <c r="B86" s="346" t="s">
        <v>1377</v>
      </c>
      <c r="C86" s="5" t="s">
        <v>940</v>
      </c>
      <c r="D86" s="5" t="s">
        <v>939</v>
      </c>
      <c r="E86" s="5" t="s">
        <v>1338</v>
      </c>
      <c r="F86" s="132">
        <f>SUMIF('COLAR PLANO'!$A:$A,A86,'COLAR PLANO'!$D:$D)</f>
        <v>0</v>
      </c>
      <c r="G86" s="131">
        <f t="shared" si="31"/>
        <v>0</v>
      </c>
      <c r="H86" s="6">
        <v>0.74109999999999998</v>
      </c>
      <c r="I86" s="7">
        <f t="shared" si="27"/>
        <v>0</v>
      </c>
      <c r="J86" s="130">
        <f t="shared" si="28"/>
        <v>0</v>
      </c>
      <c r="K86" s="819">
        <v>2.125</v>
      </c>
      <c r="L86" s="819">
        <v>8</v>
      </c>
      <c r="M86" s="819">
        <v>17</v>
      </c>
      <c r="N86" s="7">
        <f t="shared" si="29"/>
        <v>0</v>
      </c>
      <c r="O86" s="7"/>
      <c r="P86" s="311">
        <f t="shared" si="30"/>
        <v>0</v>
      </c>
      <c r="Q86" s="7"/>
      <c r="R86" s="7"/>
      <c r="S86" s="7"/>
      <c r="T86" s="7"/>
      <c r="U86" s="7" t="s">
        <v>2288</v>
      </c>
      <c r="V86" s="7" t="s">
        <v>2289</v>
      </c>
      <c r="W86" s="7" t="str">
        <f>Preencher!$B$3&amp;U86&amp;V86&amp;A86&amp;$W$6</f>
        <v>JARINU-FRG124173MQ.TUNEL DE CG (CONTINUO)</v>
      </c>
      <c r="X86" s="7" t="str">
        <f>Preencher!$B$3&amp;U86&amp;V86&amp;A86&amp;$X$6</f>
        <v>JARINU-FRG124173MQ.TUNEL DE CG (CONTINUO) (1)</v>
      </c>
      <c r="Y86" s="7" t="str">
        <f>Preencher!$B$3&amp;U86&amp;V86&amp;A86&amp;$Y$6</f>
        <v>JARINU-FRG124173MQ.TUNEL DE CG (CONTINUO) (2)</v>
      </c>
      <c r="Z86" s="7" t="str">
        <f>Preencher!$B$3&amp;U86&amp;V86&amp;A86&amp;$Z$6</f>
        <v>JARINU-FRG124173MQ.TUNEL DE CG (CONTINUO) (3)</v>
      </c>
      <c r="AA86" s="7" t="str">
        <f>Preencher!$B$3&amp;U86&amp;V86&amp;A86&amp;$AA$6</f>
        <v>JARINU-FRG124173MQ.TUNEL DE CG (ESTATICO)</v>
      </c>
      <c r="AB86" s="7" t="str">
        <f>Preencher!$B$3&amp;U86&amp;V86&amp;A86&amp;$AB$6</f>
        <v>JARINU-FRG124173MQ.TUNEL DE CG (ESTATICO) (1)</v>
      </c>
      <c r="AC86" s="7" t="str">
        <f>Preencher!$B$3&amp;U86&amp;V86&amp;A86&amp;$AC$6</f>
        <v>JARINU-FRG124173MQ.TUNEL DE CG (ESTATICO) (2)</v>
      </c>
      <c r="AD86" s="327">
        <f>IFERROR(SUMIF('BD Otimix'!A:A,'BD VOLUME'!X86,'BD Otimix'!O:O)+SUMIF('BD Otimix'!A:A,'BD VOLUME'!Y86,'BD Otimix'!O:O)+SUMIF('BD Otimix'!A:A,'BD VOLUME'!Z86,'BD Otimix'!O:O)+SUMIF('BD Otimix'!A:A,'BD VOLUME'!AA86,'BD Otimix'!O:O)+SUMIF('BD Otimix'!A:A,'BD VOLUME'!AB86,'BD Otimix'!O:O)+SUMIF('BD Otimix'!A:A,'BD VOLUME'!AC86,'BD Otimix'!O:O)+SUMIF('BD Otimix'!A:A,'BD VOLUME'!W86,'BD Otimix'!O:O),0)</f>
        <v>0</v>
      </c>
      <c r="AE86" s="327">
        <f t="shared" si="24"/>
        <v>0</v>
      </c>
      <c r="AF86" s="7" t="str">
        <f>Preencher!$B$3&amp;$U$8&amp;$V$8&amp;A86&amp;$AF$6</f>
        <v>JARINU-FRG124173MQ.GIROFREEZER</v>
      </c>
      <c r="AG86" s="7" t="str">
        <f>Preencher!$B$3&amp;$U$8&amp;$V$8&amp;A86&amp;$AG$6</f>
        <v>JARINU-FRG124173MQ.GIROFREEZER (1)</v>
      </c>
      <c r="AH86" s="7" t="str">
        <f>Preencher!$B$3&amp;$U$8&amp;$V$8&amp;A86&amp;$AH$6</f>
        <v>JARINU-FRG124173MQ.GIROFREEZER (2)</v>
      </c>
      <c r="AI86" s="7" t="str">
        <f>Preencher!$B$3&amp;$U$8&amp;$V$8&amp;A86&amp;$AI$6</f>
        <v>JARINU-FRG124173MQ.GIROFREEZER REV04</v>
      </c>
      <c r="AJ86" s="7" t="str">
        <f>Preencher!$B$3&amp;$U$8&amp;$V$8&amp;A86&amp;$AJ$6</f>
        <v>JARINU-FRG124173MQ.GIROFREEZER (3)</v>
      </c>
      <c r="AK86" s="327">
        <f>IFERROR(SUMIF('BD Otimix'!A:A,'BD VOLUME'!AG86,'BD Otimix'!O:O)+SUMIF('BD Otimix'!A:A,'BD VOLUME'!AH86,'BD Otimix'!O:O)+SUMIF('BD Otimix'!A:A,'BD VOLUME'!AI86,'BD Otimix'!O:O)+SUMIF('BD Otimix'!A:A,'BD VOLUME'!AJ86,'BD Otimix'!O:O)+SUMIF('BD Otimix'!A:A,'BD VOLUME'!AF86,'BD Otimix'!O:O),0)</f>
        <v>0</v>
      </c>
      <c r="AL86" s="7">
        <f t="shared" si="25"/>
        <v>0</v>
      </c>
    </row>
    <row r="87" spans="1:38">
      <c r="A87" s="346">
        <v>124174</v>
      </c>
      <c r="B87" s="346" t="s">
        <v>1378</v>
      </c>
      <c r="C87" s="5" t="s">
        <v>940</v>
      </c>
      <c r="D87" s="5" t="s">
        <v>939</v>
      </c>
      <c r="E87" s="5" t="s">
        <v>1338</v>
      </c>
      <c r="F87" s="132">
        <f>SUMIF('COLAR PLANO'!$A:$A,A87,'COLAR PLANO'!$D:$D)</f>
        <v>0</v>
      </c>
      <c r="G87" s="131">
        <f t="shared" si="31"/>
        <v>0</v>
      </c>
      <c r="H87" s="6">
        <v>0.74109999999999998</v>
      </c>
      <c r="I87" s="7">
        <f t="shared" si="27"/>
        <v>0</v>
      </c>
      <c r="J87" s="130">
        <f t="shared" si="28"/>
        <v>0</v>
      </c>
      <c r="K87" s="819">
        <v>2.125</v>
      </c>
      <c r="L87" s="819">
        <v>8</v>
      </c>
      <c r="M87" s="819">
        <v>17</v>
      </c>
      <c r="N87" s="7">
        <f t="shared" si="29"/>
        <v>0</v>
      </c>
      <c r="O87" s="7"/>
      <c r="P87" s="311">
        <f t="shared" si="30"/>
        <v>0</v>
      </c>
      <c r="Q87" s="7"/>
      <c r="R87" s="7"/>
      <c r="S87" s="7"/>
      <c r="T87" s="7"/>
      <c r="U87" s="7" t="s">
        <v>2288</v>
      </c>
      <c r="V87" s="7" t="s">
        <v>2289</v>
      </c>
      <c r="W87" s="7" t="str">
        <f>Preencher!$B$3&amp;U87&amp;V87&amp;A87&amp;$W$6</f>
        <v>JARINU-FRG124174MQ.TUNEL DE CG (CONTINUO)</v>
      </c>
      <c r="X87" s="7" t="str">
        <f>Preencher!$B$3&amp;U87&amp;V87&amp;A87&amp;$X$6</f>
        <v>JARINU-FRG124174MQ.TUNEL DE CG (CONTINUO) (1)</v>
      </c>
      <c r="Y87" s="7" t="str">
        <f>Preencher!$B$3&amp;U87&amp;V87&amp;A87&amp;$Y$6</f>
        <v>JARINU-FRG124174MQ.TUNEL DE CG (CONTINUO) (2)</v>
      </c>
      <c r="Z87" s="7" t="str">
        <f>Preencher!$B$3&amp;U87&amp;V87&amp;A87&amp;$Z$6</f>
        <v>JARINU-FRG124174MQ.TUNEL DE CG (CONTINUO) (3)</v>
      </c>
      <c r="AA87" s="7" t="str">
        <f>Preencher!$B$3&amp;U87&amp;V87&amp;A87&amp;$AA$6</f>
        <v>JARINU-FRG124174MQ.TUNEL DE CG (ESTATICO)</v>
      </c>
      <c r="AB87" s="7" t="str">
        <f>Preencher!$B$3&amp;U87&amp;V87&amp;A87&amp;$AB$6</f>
        <v>JARINU-FRG124174MQ.TUNEL DE CG (ESTATICO) (1)</v>
      </c>
      <c r="AC87" s="7" t="str">
        <f>Preencher!$B$3&amp;U87&amp;V87&amp;A87&amp;$AC$6</f>
        <v>JARINU-FRG124174MQ.TUNEL DE CG (ESTATICO) (2)</v>
      </c>
      <c r="AD87" s="327">
        <f>IFERROR(SUMIF('BD Otimix'!A:A,'BD VOLUME'!X87,'BD Otimix'!O:O)+SUMIF('BD Otimix'!A:A,'BD VOLUME'!Y87,'BD Otimix'!O:O)+SUMIF('BD Otimix'!A:A,'BD VOLUME'!Z87,'BD Otimix'!O:O)+SUMIF('BD Otimix'!A:A,'BD VOLUME'!AA87,'BD Otimix'!O:O)+SUMIF('BD Otimix'!A:A,'BD VOLUME'!AB87,'BD Otimix'!O:O)+SUMIF('BD Otimix'!A:A,'BD VOLUME'!AC87,'BD Otimix'!O:O)+SUMIF('BD Otimix'!A:A,'BD VOLUME'!W87,'BD Otimix'!O:O),0)</f>
        <v>0</v>
      </c>
      <c r="AE87" s="327">
        <f t="shared" si="24"/>
        <v>0</v>
      </c>
      <c r="AF87" s="7" t="str">
        <f>Preencher!$B$3&amp;$U$8&amp;$V$8&amp;A87&amp;$AF$6</f>
        <v>JARINU-FRG124174MQ.GIROFREEZER</v>
      </c>
      <c r="AG87" s="7" t="str">
        <f>Preencher!$B$3&amp;$U$8&amp;$V$8&amp;A87&amp;$AG$6</f>
        <v>JARINU-FRG124174MQ.GIROFREEZER (1)</v>
      </c>
      <c r="AH87" s="7" t="str">
        <f>Preencher!$B$3&amp;$U$8&amp;$V$8&amp;A87&amp;$AH$6</f>
        <v>JARINU-FRG124174MQ.GIROFREEZER (2)</v>
      </c>
      <c r="AI87" s="7" t="str">
        <f>Preencher!$B$3&amp;$U$8&amp;$V$8&amp;A87&amp;$AI$6</f>
        <v>JARINU-FRG124174MQ.GIROFREEZER REV04</v>
      </c>
      <c r="AJ87" s="7" t="str">
        <f>Preencher!$B$3&amp;$U$8&amp;$V$8&amp;A87&amp;$AJ$6</f>
        <v>JARINU-FRG124174MQ.GIROFREEZER (3)</v>
      </c>
      <c r="AK87" s="327">
        <f>IFERROR(SUMIF('BD Otimix'!A:A,'BD VOLUME'!AG87,'BD Otimix'!O:O)+SUMIF('BD Otimix'!A:A,'BD VOLUME'!AH87,'BD Otimix'!O:O)+SUMIF('BD Otimix'!A:A,'BD VOLUME'!AI87,'BD Otimix'!O:O)+SUMIF('BD Otimix'!A:A,'BD VOLUME'!AJ87,'BD Otimix'!O:O)+SUMIF('BD Otimix'!A:A,'BD VOLUME'!AF87,'BD Otimix'!O:O),0)</f>
        <v>0</v>
      </c>
      <c r="AL87" s="7">
        <f t="shared" si="25"/>
        <v>0</v>
      </c>
    </row>
    <row r="88" spans="1:38">
      <c r="A88" s="346">
        <v>124175</v>
      </c>
      <c r="B88" s="346" t="s">
        <v>1379</v>
      </c>
      <c r="C88" s="5" t="s">
        <v>940</v>
      </c>
      <c r="D88" s="5" t="s">
        <v>939</v>
      </c>
      <c r="E88" s="5" t="s">
        <v>1338</v>
      </c>
      <c r="F88" s="132">
        <f>SUMIF('COLAR PLANO'!$A:$A,A88,'COLAR PLANO'!$D:$D)</f>
        <v>0</v>
      </c>
      <c r="G88" s="131">
        <f t="shared" si="31"/>
        <v>0</v>
      </c>
      <c r="H88" s="6">
        <v>0.74109999999999998</v>
      </c>
      <c r="I88" s="7">
        <f t="shared" si="27"/>
        <v>0</v>
      </c>
      <c r="J88" s="130">
        <f t="shared" si="28"/>
        <v>0</v>
      </c>
      <c r="K88" s="819">
        <v>2.125</v>
      </c>
      <c r="L88" s="819">
        <v>8</v>
      </c>
      <c r="M88" s="819">
        <v>17</v>
      </c>
      <c r="N88" s="7">
        <f t="shared" si="29"/>
        <v>0</v>
      </c>
      <c r="O88" s="7"/>
      <c r="P88" s="311">
        <f t="shared" si="30"/>
        <v>0</v>
      </c>
      <c r="Q88" s="7"/>
      <c r="R88" s="7"/>
      <c r="S88" s="7"/>
      <c r="T88" s="7"/>
      <c r="U88" s="7" t="s">
        <v>2288</v>
      </c>
      <c r="V88" s="7" t="s">
        <v>2289</v>
      </c>
      <c r="W88" s="7" t="str">
        <f>Preencher!$B$3&amp;U88&amp;V88&amp;A88&amp;$W$6</f>
        <v>JARINU-FRG124175MQ.TUNEL DE CG (CONTINUO)</v>
      </c>
      <c r="X88" s="7" t="str">
        <f>Preencher!$B$3&amp;U88&amp;V88&amp;A88&amp;$X$6</f>
        <v>JARINU-FRG124175MQ.TUNEL DE CG (CONTINUO) (1)</v>
      </c>
      <c r="Y88" s="7" t="str">
        <f>Preencher!$B$3&amp;U88&amp;V88&amp;A88&amp;$Y$6</f>
        <v>JARINU-FRG124175MQ.TUNEL DE CG (CONTINUO) (2)</v>
      </c>
      <c r="Z88" s="7" t="str">
        <f>Preencher!$B$3&amp;U88&amp;V88&amp;A88&amp;$Z$6</f>
        <v>JARINU-FRG124175MQ.TUNEL DE CG (CONTINUO) (3)</v>
      </c>
      <c r="AA88" s="7" t="str">
        <f>Preencher!$B$3&amp;U88&amp;V88&amp;A88&amp;$AA$6</f>
        <v>JARINU-FRG124175MQ.TUNEL DE CG (ESTATICO)</v>
      </c>
      <c r="AB88" s="7" t="str">
        <f>Preencher!$B$3&amp;U88&amp;V88&amp;A88&amp;$AB$6</f>
        <v>JARINU-FRG124175MQ.TUNEL DE CG (ESTATICO) (1)</v>
      </c>
      <c r="AC88" s="7" t="str">
        <f>Preencher!$B$3&amp;U88&amp;V88&amp;A88&amp;$AC$6</f>
        <v>JARINU-FRG124175MQ.TUNEL DE CG (ESTATICO) (2)</v>
      </c>
      <c r="AD88" s="327">
        <f>IFERROR(SUMIF('BD Otimix'!A:A,'BD VOLUME'!X88,'BD Otimix'!O:O)+SUMIF('BD Otimix'!A:A,'BD VOLUME'!Y88,'BD Otimix'!O:O)+SUMIF('BD Otimix'!A:A,'BD VOLUME'!Z88,'BD Otimix'!O:O)+SUMIF('BD Otimix'!A:A,'BD VOLUME'!AA88,'BD Otimix'!O:O)+SUMIF('BD Otimix'!A:A,'BD VOLUME'!AB88,'BD Otimix'!O:O)+SUMIF('BD Otimix'!A:A,'BD VOLUME'!AC88,'BD Otimix'!O:O)+SUMIF('BD Otimix'!A:A,'BD VOLUME'!W88,'BD Otimix'!O:O),0)</f>
        <v>0</v>
      </c>
      <c r="AE88" s="327">
        <f t="shared" si="24"/>
        <v>0</v>
      </c>
      <c r="AF88" s="7" t="str">
        <f>Preencher!$B$3&amp;$U$8&amp;$V$8&amp;A88&amp;$AF$6</f>
        <v>JARINU-FRG124175MQ.GIROFREEZER</v>
      </c>
      <c r="AG88" s="7" t="str">
        <f>Preencher!$B$3&amp;$U$8&amp;$V$8&amp;A88&amp;$AG$6</f>
        <v>JARINU-FRG124175MQ.GIROFREEZER (1)</v>
      </c>
      <c r="AH88" s="7" t="str">
        <f>Preencher!$B$3&amp;$U$8&amp;$V$8&amp;A88&amp;$AH$6</f>
        <v>JARINU-FRG124175MQ.GIROFREEZER (2)</v>
      </c>
      <c r="AI88" s="7" t="str">
        <f>Preencher!$B$3&amp;$U$8&amp;$V$8&amp;A88&amp;$AI$6</f>
        <v>JARINU-FRG124175MQ.GIROFREEZER REV04</v>
      </c>
      <c r="AJ88" s="7" t="str">
        <f>Preencher!$B$3&amp;$U$8&amp;$V$8&amp;A88&amp;$AJ$6</f>
        <v>JARINU-FRG124175MQ.GIROFREEZER (3)</v>
      </c>
      <c r="AK88" s="327">
        <f>IFERROR(SUMIF('BD Otimix'!A:A,'BD VOLUME'!AG88,'BD Otimix'!O:O)+SUMIF('BD Otimix'!A:A,'BD VOLUME'!AH88,'BD Otimix'!O:O)+SUMIF('BD Otimix'!A:A,'BD VOLUME'!AI88,'BD Otimix'!O:O)+SUMIF('BD Otimix'!A:A,'BD VOLUME'!AJ88,'BD Otimix'!O:O)+SUMIF('BD Otimix'!A:A,'BD VOLUME'!AF88,'BD Otimix'!O:O),0)</f>
        <v>0</v>
      </c>
      <c r="AL88" s="7">
        <f t="shared" si="25"/>
        <v>0</v>
      </c>
    </row>
    <row r="89" spans="1:38">
      <c r="A89" s="346">
        <v>124305</v>
      </c>
      <c r="B89" s="346"/>
      <c r="C89" s="5" t="s">
        <v>940</v>
      </c>
      <c r="D89" s="5" t="s">
        <v>939</v>
      </c>
      <c r="E89" s="5" t="s">
        <v>1338</v>
      </c>
      <c r="F89" s="132">
        <f>SUMIF('COLAR PLANO'!$A:$A,A89,'COLAR PLANO'!$D:$D)</f>
        <v>0</v>
      </c>
      <c r="G89" s="131">
        <f t="shared" si="31"/>
        <v>0</v>
      </c>
      <c r="H89" s="6">
        <v>0.74109999999999998</v>
      </c>
      <c r="I89" s="7">
        <f t="shared" si="27"/>
        <v>0</v>
      </c>
      <c r="J89" s="130">
        <f t="shared" si="28"/>
        <v>0</v>
      </c>
      <c r="K89" s="819">
        <v>2.125</v>
      </c>
      <c r="L89" s="819">
        <v>8</v>
      </c>
      <c r="M89" s="819">
        <v>17</v>
      </c>
      <c r="N89" s="7">
        <f t="shared" si="29"/>
        <v>0</v>
      </c>
      <c r="O89" s="7"/>
      <c r="P89" s="311">
        <f t="shared" si="30"/>
        <v>0</v>
      </c>
      <c r="Q89" s="7"/>
      <c r="R89" s="7"/>
      <c r="S89" s="7"/>
      <c r="T89" s="7"/>
      <c r="U89" s="7" t="s">
        <v>2288</v>
      </c>
      <c r="V89" s="7" t="s">
        <v>2289</v>
      </c>
      <c r="W89" s="7" t="str">
        <f>Preencher!$B$3&amp;U89&amp;V89&amp;A89&amp;$W$6</f>
        <v>JARINU-FRG124305MQ.TUNEL DE CG (CONTINUO)</v>
      </c>
      <c r="X89" s="7" t="str">
        <f>Preencher!$B$3&amp;U89&amp;V89&amp;A89&amp;$X$6</f>
        <v>JARINU-FRG124305MQ.TUNEL DE CG (CONTINUO) (1)</v>
      </c>
      <c r="Y89" s="7" t="str">
        <f>Preencher!$B$3&amp;U89&amp;V89&amp;A89&amp;$Y$6</f>
        <v>JARINU-FRG124305MQ.TUNEL DE CG (CONTINUO) (2)</v>
      </c>
      <c r="Z89" s="7" t="str">
        <f>Preencher!$B$3&amp;U89&amp;V89&amp;A89&amp;$Z$6</f>
        <v>JARINU-FRG124305MQ.TUNEL DE CG (CONTINUO) (3)</v>
      </c>
      <c r="AA89" s="7" t="str">
        <f>Preencher!$B$3&amp;U89&amp;V89&amp;A89&amp;$AA$6</f>
        <v>JARINU-FRG124305MQ.TUNEL DE CG (ESTATICO)</v>
      </c>
      <c r="AB89" s="7" t="str">
        <f>Preencher!$B$3&amp;U89&amp;V89&amp;A89&amp;$AB$6</f>
        <v>JARINU-FRG124305MQ.TUNEL DE CG (ESTATICO) (1)</v>
      </c>
      <c r="AC89" s="7" t="str">
        <f>Preencher!$B$3&amp;U89&amp;V89&amp;A89&amp;$AC$6</f>
        <v>JARINU-FRG124305MQ.TUNEL DE CG (ESTATICO) (2)</v>
      </c>
      <c r="AD89" s="327">
        <f>IFERROR(SUMIF('BD Otimix'!A:A,'BD VOLUME'!X89,'BD Otimix'!O:O)+SUMIF('BD Otimix'!A:A,'BD VOLUME'!Y89,'BD Otimix'!O:O)+SUMIF('BD Otimix'!A:A,'BD VOLUME'!Z89,'BD Otimix'!O:O)+SUMIF('BD Otimix'!A:A,'BD VOLUME'!AA89,'BD Otimix'!O:O)+SUMIF('BD Otimix'!A:A,'BD VOLUME'!AB89,'BD Otimix'!O:O)+SUMIF('BD Otimix'!A:A,'BD VOLUME'!AC89,'BD Otimix'!O:O)+SUMIF('BD Otimix'!A:A,'BD VOLUME'!W89,'BD Otimix'!O:O),0)</f>
        <v>0</v>
      </c>
      <c r="AE89" s="327">
        <f t="shared" si="24"/>
        <v>0</v>
      </c>
      <c r="AF89" s="7" t="str">
        <f>Preencher!$B$3&amp;$U$8&amp;$V$8&amp;A89&amp;$AF$6</f>
        <v>JARINU-FRG124305MQ.GIROFREEZER</v>
      </c>
      <c r="AG89" s="7" t="str">
        <f>Preencher!$B$3&amp;$U$8&amp;$V$8&amp;A89&amp;$AG$6</f>
        <v>JARINU-FRG124305MQ.GIROFREEZER (1)</v>
      </c>
      <c r="AH89" s="7" t="str">
        <f>Preencher!$B$3&amp;$U$8&amp;$V$8&amp;A89&amp;$AH$6</f>
        <v>JARINU-FRG124305MQ.GIROFREEZER (2)</v>
      </c>
      <c r="AI89" s="7" t="str">
        <f>Preencher!$B$3&amp;$U$8&amp;$V$8&amp;A89&amp;$AI$6</f>
        <v>JARINU-FRG124305MQ.GIROFREEZER REV04</v>
      </c>
      <c r="AJ89" s="7" t="str">
        <f>Preencher!$B$3&amp;$U$8&amp;$V$8&amp;A89&amp;$AJ$6</f>
        <v>JARINU-FRG124305MQ.GIROFREEZER (3)</v>
      </c>
      <c r="AK89" s="327">
        <f>IFERROR(SUMIF('BD Otimix'!A:A,'BD VOLUME'!AG89,'BD Otimix'!O:O)+SUMIF('BD Otimix'!A:A,'BD VOLUME'!AH89,'BD Otimix'!O:O)+SUMIF('BD Otimix'!A:A,'BD VOLUME'!AI89,'BD Otimix'!O:O)+SUMIF('BD Otimix'!A:A,'BD VOLUME'!AJ89,'BD Otimix'!O:O)+SUMIF('BD Otimix'!A:A,'BD VOLUME'!AF89,'BD Otimix'!O:O),0)</f>
        <v>0</v>
      </c>
      <c r="AL89" s="7">
        <f t="shared" si="25"/>
        <v>0</v>
      </c>
    </row>
    <row r="90" spans="1:38">
      <c r="A90" s="346">
        <v>124307</v>
      </c>
      <c r="B90" s="346"/>
      <c r="C90" s="5" t="s">
        <v>940</v>
      </c>
      <c r="D90" s="5" t="s">
        <v>939</v>
      </c>
      <c r="E90" s="5" t="s">
        <v>1338</v>
      </c>
      <c r="F90" s="132">
        <f>SUMIF('COLAR PLANO'!$A:$A,A90,'COLAR PLANO'!$D:$D)</f>
        <v>0</v>
      </c>
      <c r="G90" s="131">
        <f t="shared" si="31"/>
        <v>0</v>
      </c>
      <c r="H90" s="6">
        <v>0.74109999999999998</v>
      </c>
      <c r="I90" s="7">
        <f t="shared" si="27"/>
        <v>0</v>
      </c>
      <c r="J90" s="130">
        <f t="shared" si="28"/>
        <v>0</v>
      </c>
      <c r="K90" s="819">
        <v>2.125</v>
      </c>
      <c r="L90" s="819">
        <v>8</v>
      </c>
      <c r="M90" s="819">
        <v>17</v>
      </c>
      <c r="N90" s="7">
        <f t="shared" si="29"/>
        <v>0</v>
      </c>
      <c r="O90" s="7"/>
      <c r="P90" s="311">
        <f t="shared" si="30"/>
        <v>0</v>
      </c>
      <c r="Q90" s="7"/>
      <c r="R90" s="7"/>
      <c r="S90" s="7"/>
      <c r="T90" s="7"/>
      <c r="U90" s="7" t="s">
        <v>2288</v>
      </c>
      <c r="V90" s="7" t="s">
        <v>2289</v>
      </c>
      <c r="W90" s="7" t="str">
        <f>Preencher!$B$3&amp;U90&amp;V90&amp;A90&amp;$W$6</f>
        <v>JARINU-FRG124307MQ.TUNEL DE CG (CONTINUO)</v>
      </c>
      <c r="X90" s="7" t="str">
        <f>Preencher!$B$3&amp;U90&amp;V90&amp;A90&amp;$X$6</f>
        <v>JARINU-FRG124307MQ.TUNEL DE CG (CONTINUO) (1)</v>
      </c>
      <c r="Y90" s="7" t="str">
        <f>Preencher!$B$3&amp;U90&amp;V90&amp;A90&amp;$Y$6</f>
        <v>JARINU-FRG124307MQ.TUNEL DE CG (CONTINUO) (2)</v>
      </c>
      <c r="Z90" s="7" t="str">
        <f>Preencher!$B$3&amp;U90&amp;V90&amp;A90&amp;$Z$6</f>
        <v>JARINU-FRG124307MQ.TUNEL DE CG (CONTINUO) (3)</v>
      </c>
      <c r="AA90" s="7" t="str">
        <f>Preencher!$B$3&amp;U90&amp;V90&amp;A90&amp;$AA$6</f>
        <v>JARINU-FRG124307MQ.TUNEL DE CG (ESTATICO)</v>
      </c>
      <c r="AB90" s="7" t="str">
        <f>Preencher!$B$3&amp;U90&amp;V90&amp;A90&amp;$AB$6</f>
        <v>JARINU-FRG124307MQ.TUNEL DE CG (ESTATICO) (1)</v>
      </c>
      <c r="AC90" s="7" t="str">
        <f>Preencher!$B$3&amp;U90&amp;V90&amp;A90&amp;$AC$6</f>
        <v>JARINU-FRG124307MQ.TUNEL DE CG (ESTATICO) (2)</v>
      </c>
      <c r="AD90" s="327">
        <f>IFERROR(SUMIF('BD Otimix'!A:A,'BD VOLUME'!X90,'BD Otimix'!O:O)+SUMIF('BD Otimix'!A:A,'BD VOLUME'!Y90,'BD Otimix'!O:O)+SUMIF('BD Otimix'!A:A,'BD VOLUME'!Z90,'BD Otimix'!O:O)+SUMIF('BD Otimix'!A:A,'BD VOLUME'!AA90,'BD Otimix'!O:O)+SUMIF('BD Otimix'!A:A,'BD VOLUME'!AB90,'BD Otimix'!O:O)+SUMIF('BD Otimix'!A:A,'BD VOLUME'!AC90,'BD Otimix'!O:O)+SUMIF('BD Otimix'!A:A,'BD VOLUME'!W90,'BD Otimix'!O:O),0)</f>
        <v>0</v>
      </c>
      <c r="AE90" s="327">
        <f t="shared" si="24"/>
        <v>0</v>
      </c>
      <c r="AF90" s="7" t="str">
        <f>Preencher!$B$3&amp;$U$8&amp;$V$8&amp;A90&amp;$AF$6</f>
        <v>JARINU-FRG124307MQ.GIROFREEZER</v>
      </c>
      <c r="AG90" s="7" t="str">
        <f>Preencher!$B$3&amp;$U$8&amp;$V$8&amp;A90&amp;$AG$6</f>
        <v>JARINU-FRG124307MQ.GIROFREEZER (1)</v>
      </c>
      <c r="AH90" s="7" t="str">
        <f>Preencher!$B$3&amp;$U$8&amp;$V$8&amp;A90&amp;$AH$6</f>
        <v>JARINU-FRG124307MQ.GIROFREEZER (2)</v>
      </c>
      <c r="AI90" s="7" t="str">
        <f>Preencher!$B$3&amp;$U$8&amp;$V$8&amp;A90&amp;$AI$6</f>
        <v>JARINU-FRG124307MQ.GIROFREEZER REV04</v>
      </c>
      <c r="AJ90" s="7" t="str">
        <f>Preencher!$B$3&amp;$U$8&amp;$V$8&amp;A90&amp;$AJ$6</f>
        <v>JARINU-FRG124307MQ.GIROFREEZER (3)</v>
      </c>
      <c r="AK90" s="327">
        <f>IFERROR(SUMIF('BD Otimix'!A:A,'BD VOLUME'!AG90,'BD Otimix'!O:O)+SUMIF('BD Otimix'!A:A,'BD VOLUME'!AH90,'BD Otimix'!O:O)+SUMIF('BD Otimix'!A:A,'BD VOLUME'!AI90,'BD Otimix'!O:O)+SUMIF('BD Otimix'!A:A,'BD VOLUME'!AJ90,'BD Otimix'!O:O)+SUMIF('BD Otimix'!A:A,'BD VOLUME'!AF90,'BD Otimix'!O:O),0)</f>
        <v>0</v>
      </c>
      <c r="AL90" s="7">
        <f t="shared" si="25"/>
        <v>0</v>
      </c>
    </row>
    <row r="91" spans="1:38">
      <c r="A91" s="346">
        <v>956805</v>
      </c>
      <c r="B91" s="346" t="s">
        <v>1380</v>
      </c>
      <c r="C91" s="5" t="s">
        <v>940</v>
      </c>
      <c r="D91" s="5" t="s">
        <v>939</v>
      </c>
      <c r="E91" s="5" t="s">
        <v>1338</v>
      </c>
      <c r="F91" s="132">
        <f>SUMIF('COLAR PLANO'!$A:$A,A91,'COLAR PLANO'!$D:$D)</f>
        <v>0</v>
      </c>
      <c r="G91" s="131">
        <f t="shared" si="31"/>
        <v>0</v>
      </c>
      <c r="H91" s="6">
        <v>0.74109999999999998</v>
      </c>
      <c r="I91" s="7">
        <f t="shared" si="27"/>
        <v>0</v>
      </c>
      <c r="J91" s="130">
        <f t="shared" si="28"/>
        <v>0</v>
      </c>
      <c r="K91" s="819">
        <v>2.125</v>
      </c>
      <c r="L91" s="819">
        <v>8</v>
      </c>
      <c r="M91" s="819">
        <v>17</v>
      </c>
      <c r="N91" s="7">
        <f t="shared" si="29"/>
        <v>0</v>
      </c>
      <c r="O91" s="7"/>
      <c r="P91" s="311">
        <f t="shared" si="30"/>
        <v>0</v>
      </c>
      <c r="Q91" s="7"/>
      <c r="R91" s="7"/>
      <c r="S91" s="7"/>
      <c r="T91" s="7"/>
      <c r="U91" s="7" t="s">
        <v>2288</v>
      </c>
      <c r="V91" s="7" t="s">
        <v>2289</v>
      </c>
      <c r="W91" s="7" t="str">
        <f>Preencher!$B$3&amp;U91&amp;V91&amp;A91&amp;$W$6</f>
        <v>JARINU-FRG956805MQ.TUNEL DE CG (CONTINUO)</v>
      </c>
      <c r="X91" s="7" t="str">
        <f>Preencher!$B$3&amp;U91&amp;V91&amp;A91&amp;$X$6</f>
        <v>JARINU-FRG956805MQ.TUNEL DE CG (CONTINUO) (1)</v>
      </c>
      <c r="Y91" s="7" t="str">
        <f>Preencher!$B$3&amp;U91&amp;V91&amp;A91&amp;$Y$6</f>
        <v>JARINU-FRG956805MQ.TUNEL DE CG (CONTINUO) (2)</v>
      </c>
      <c r="Z91" s="7" t="str">
        <f>Preencher!$B$3&amp;U91&amp;V91&amp;A91&amp;$Z$6</f>
        <v>JARINU-FRG956805MQ.TUNEL DE CG (CONTINUO) (3)</v>
      </c>
      <c r="AA91" s="7" t="str">
        <f>Preencher!$B$3&amp;U91&amp;V91&amp;A91&amp;$AA$6</f>
        <v>JARINU-FRG956805MQ.TUNEL DE CG (ESTATICO)</v>
      </c>
      <c r="AB91" s="7" t="str">
        <f>Preencher!$B$3&amp;U91&amp;V91&amp;A91&amp;$AB$6</f>
        <v>JARINU-FRG956805MQ.TUNEL DE CG (ESTATICO) (1)</v>
      </c>
      <c r="AC91" s="7" t="str">
        <f>Preencher!$B$3&amp;U91&amp;V91&amp;A91&amp;$AC$6</f>
        <v>JARINU-FRG956805MQ.TUNEL DE CG (ESTATICO) (2)</v>
      </c>
      <c r="AD91" s="327">
        <f>IFERROR(SUMIF('BD Otimix'!A:A,'BD VOLUME'!X91,'BD Otimix'!O:O)+SUMIF('BD Otimix'!A:A,'BD VOLUME'!Y91,'BD Otimix'!O:O)+SUMIF('BD Otimix'!A:A,'BD VOLUME'!Z91,'BD Otimix'!O:O)+SUMIF('BD Otimix'!A:A,'BD VOLUME'!AA91,'BD Otimix'!O:O)+SUMIF('BD Otimix'!A:A,'BD VOLUME'!AB91,'BD Otimix'!O:O)+SUMIF('BD Otimix'!A:A,'BD VOLUME'!AC91,'BD Otimix'!O:O)+SUMIF('BD Otimix'!A:A,'BD VOLUME'!W91,'BD Otimix'!O:O),0)</f>
        <v>0</v>
      </c>
      <c r="AE91" s="327">
        <f t="shared" si="24"/>
        <v>0</v>
      </c>
      <c r="AF91" s="7" t="str">
        <f>Preencher!$B$3&amp;$U$8&amp;$V$8&amp;A91&amp;$AF$6</f>
        <v>JARINU-FRG956805MQ.GIROFREEZER</v>
      </c>
      <c r="AG91" s="7" t="str">
        <f>Preencher!$B$3&amp;$U$8&amp;$V$8&amp;A91&amp;$AG$6</f>
        <v>JARINU-FRG956805MQ.GIROFREEZER (1)</v>
      </c>
      <c r="AH91" s="7" t="str">
        <f>Preencher!$B$3&amp;$U$8&amp;$V$8&amp;A91&amp;$AH$6</f>
        <v>JARINU-FRG956805MQ.GIROFREEZER (2)</v>
      </c>
      <c r="AI91" s="7" t="str">
        <f>Preencher!$B$3&amp;$U$8&amp;$V$8&amp;A91&amp;$AI$6</f>
        <v>JARINU-FRG956805MQ.GIROFREEZER REV04</v>
      </c>
      <c r="AJ91" s="7" t="str">
        <f>Preencher!$B$3&amp;$U$8&amp;$V$8&amp;A91&amp;$AJ$6</f>
        <v>JARINU-FRG956805MQ.GIROFREEZER (3)</v>
      </c>
      <c r="AK91" s="327">
        <f>IFERROR(SUMIF('BD Otimix'!A:A,'BD VOLUME'!AG91,'BD Otimix'!O:O)+SUMIF('BD Otimix'!A:A,'BD VOLUME'!AH91,'BD Otimix'!O:O)+SUMIF('BD Otimix'!A:A,'BD VOLUME'!AI91,'BD Otimix'!O:O)+SUMIF('BD Otimix'!A:A,'BD VOLUME'!AJ91,'BD Otimix'!O:O)+SUMIF('BD Otimix'!A:A,'BD VOLUME'!AF91,'BD Otimix'!O:O),0)</f>
        <v>0</v>
      </c>
      <c r="AL91" s="7">
        <f t="shared" si="25"/>
        <v>0</v>
      </c>
    </row>
    <row r="92" spans="1:38">
      <c r="A92" s="346">
        <v>956821</v>
      </c>
      <c r="B92" s="346" t="s">
        <v>1381</v>
      </c>
      <c r="C92" s="5" t="s">
        <v>940</v>
      </c>
      <c r="D92" s="5" t="s">
        <v>939</v>
      </c>
      <c r="E92" s="5" t="s">
        <v>1338</v>
      </c>
      <c r="F92" s="132">
        <f>SUMIF('COLAR PLANO'!$A:$A,A92,'COLAR PLANO'!$D:$D)</f>
        <v>0</v>
      </c>
      <c r="G92" s="131">
        <f t="shared" si="31"/>
        <v>0</v>
      </c>
      <c r="H92" s="6">
        <v>0.74109999999999998</v>
      </c>
      <c r="I92" s="7">
        <f t="shared" si="27"/>
        <v>0</v>
      </c>
      <c r="J92" s="130">
        <f t="shared" si="28"/>
        <v>0</v>
      </c>
      <c r="K92" s="819">
        <v>2.125</v>
      </c>
      <c r="L92" s="819">
        <v>8</v>
      </c>
      <c r="M92" s="819">
        <v>17</v>
      </c>
      <c r="N92" s="7">
        <f t="shared" si="29"/>
        <v>0</v>
      </c>
      <c r="O92" s="7"/>
      <c r="P92" s="311">
        <f t="shared" si="30"/>
        <v>0</v>
      </c>
      <c r="Q92" s="7"/>
      <c r="R92" s="7"/>
      <c r="S92" s="7"/>
      <c r="T92" s="7"/>
      <c r="U92" s="7" t="s">
        <v>2288</v>
      </c>
      <c r="V92" s="7" t="s">
        <v>2289</v>
      </c>
      <c r="W92" s="7" t="str">
        <f>Preencher!$B$3&amp;U92&amp;V92&amp;A92&amp;$W$6</f>
        <v>JARINU-FRG956821MQ.TUNEL DE CG (CONTINUO)</v>
      </c>
      <c r="X92" s="7" t="str">
        <f>Preencher!$B$3&amp;U92&amp;V92&amp;A92&amp;$X$6</f>
        <v>JARINU-FRG956821MQ.TUNEL DE CG (CONTINUO) (1)</v>
      </c>
      <c r="Y92" s="7" t="str">
        <f>Preencher!$B$3&amp;U92&amp;V92&amp;A92&amp;$Y$6</f>
        <v>JARINU-FRG956821MQ.TUNEL DE CG (CONTINUO) (2)</v>
      </c>
      <c r="Z92" s="7" t="str">
        <f>Preencher!$B$3&amp;U92&amp;V92&amp;A92&amp;$Z$6</f>
        <v>JARINU-FRG956821MQ.TUNEL DE CG (CONTINUO) (3)</v>
      </c>
      <c r="AA92" s="7" t="str">
        <f>Preencher!$B$3&amp;U92&amp;V92&amp;A92&amp;$AA$6</f>
        <v>JARINU-FRG956821MQ.TUNEL DE CG (ESTATICO)</v>
      </c>
      <c r="AB92" s="7" t="str">
        <f>Preencher!$B$3&amp;U92&amp;V92&amp;A92&amp;$AB$6</f>
        <v>JARINU-FRG956821MQ.TUNEL DE CG (ESTATICO) (1)</v>
      </c>
      <c r="AC92" s="7" t="str">
        <f>Preencher!$B$3&amp;U92&amp;V92&amp;A92&amp;$AC$6</f>
        <v>JARINU-FRG956821MQ.TUNEL DE CG (ESTATICO) (2)</v>
      </c>
      <c r="AD92" s="327">
        <f>IFERROR(SUMIF('BD Otimix'!A:A,'BD VOLUME'!X92,'BD Otimix'!O:O)+SUMIF('BD Otimix'!A:A,'BD VOLUME'!Y92,'BD Otimix'!O:O)+SUMIF('BD Otimix'!A:A,'BD VOLUME'!Z92,'BD Otimix'!O:O)+SUMIF('BD Otimix'!A:A,'BD VOLUME'!AA92,'BD Otimix'!O:O)+SUMIF('BD Otimix'!A:A,'BD VOLUME'!AB92,'BD Otimix'!O:O)+SUMIF('BD Otimix'!A:A,'BD VOLUME'!AC92,'BD Otimix'!O:O)+SUMIF('BD Otimix'!A:A,'BD VOLUME'!W92,'BD Otimix'!O:O),0)</f>
        <v>0</v>
      </c>
      <c r="AE92" s="327">
        <f t="shared" si="24"/>
        <v>0</v>
      </c>
      <c r="AF92" s="7" t="str">
        <f>Preencher!$B$3&amp;$U$8&amp;$V$8&amp;A92&amp;$AF$6</f>
        <v>JARINU-FRG956821MQ.GIROFREEZER</v>
      </c>
      <c r="AG92" s="7" t="str">
        <f>Preencher!$B$3&amp;$U$8&amp;$V$8&amp;A92&amp;$AG$6</f>
        <v>JARINU-FRG956821MQ.GIROFREEZER (1)</v>
      </c>
      <c r="AH92" s="7" t="str">
        <f>Preencher!$B$3&amp;$U$8&amp;$V$8&amp;A92&amp;$AH$6</f>
        <v>JARINU-FRG956821MQ.GIROFREEZER (2)</v>
      </c>
      <c r="AI92" s="7" t="str">
        <f>Preencher!$B$3&amp;$U$8&amp;$V$8&amp;A92&amp;$AI$6</f>
        <v>JARINU-FRG956821MQ.GIROFREEZER REV04</v>
      </c>
      <c r="AJ92" s="7" t="str">
        <f>Preencher!$B$3&amp;$U$8&amp;$V$8&amp;A92&amp;$AJ$6</f>
        <v>JARINU-FRG956821MQ.GIROFREEZER (3)</v>
      </c>
      <c r="AK92" s="327">
        <f>IFERROR(SUMIF('BD Otimix'!A:A,'BD VOLUME'!AG92,'BD Otimix'!O:O)+SUMIF('BD Otimix'!A:A,'BD VOLUME'!AH92,'BD Otimix'!O:O)+SUMIF('BD Otimix'!A:A,'BD VOLUME'!AI92,'BD Otimix'!O:O)+SUMIF('BD Otimix'!A:A,'BD VOLUME'!AJ92,'BD Otimix'!O:O)+SUMIF('BD Otimix'!A:A,'BD VOLUME'!AF92,'BD Otimix'!O:O),0)</f>
        <v>0</v>
      </c>
      <c r="AL92" s="7">
        <f t="shared" si="25"/>
        <v>0</v>
      </c>
    </row>
    <row r="93" spans="1:38">
      <c r="A93" s="346">
        <v>925128</v>
      </c>
      <c r="B93" s="346" t="s">
        <v>1382</v>
      </c>
      <c r="C93" s="5" t="s">
        <v>940</v>
      </c>
      <c r="D93" s="5" t="s">
        <v>939</v>
      </c>
      <c r="E93" s="5" t="s">
        <v>1338</v>
      </c>
      <c r="F93" s="132">
        <f>SUMIF('COLAR PLANO'!$A:$A,A93,'COLAR PLANO'!$D:$D)</f>
        <v>0</v>
      </c>
      <c r="G93" s="131">
        <f t="shared" si="31"/>
        <v>0</v>
      </c>
      <c r="H93" s="6">
        <v>0.74010000000000009</v>
      </c>
      <c r="I93" s="7">
        <f t="shared" si="27"/>
        <v>0</v>
      </c>
      <c r="J93" s="130">
        <f t="shared" si="28"/>
        <v>0</v>
      </c>
      <c r="K93" s="819">
        <v>2.125</v>
      </c>
      <c r="L93" s="819">
        <v>8</v>
      </c>
      <c r="M93" s="819">
        <v>17</v>
      </c>
      <c r="N93" s="7">
        <f t="shared" si="29"/>
        <v>0</v>
      </c>
      <c r="O93" s="7"/>
      <c r="P93" s="311">
        <f t="shared" si="30"/>
        <v>0</v>
      </c>
      <c r="Q93" s="7"/>
      <c r="R93" s="7"/>
      <c r="S93" s="7"/>
      <c r="T93" s="7"/>
      <c r="U93" s="7" t="s">
        <v>2288</v>
      </c>
      <c r="V93" s="7" t="s">
        <v>2289</v>
      </c>
      <c r="W93" s="7" t="str">
        <f>Preencher!$B$3&amp;U93&amp;V93&amp;A93&amp;$W$6</f>
        <v>JARINU-FRG925128MQ.TUNEL DE CG (CONTINUO)</v>
      </c>
      <c r="X93" s="7" t="str">
        <f>Preencher!$B$3&amp;U93&amp;V93&amp;A93&amp;$X$6</f>
        <v>JARINU-FRG925128MQ.TUNEL DE CG (CONTINUO) (1)</v>
      </c>
      <c r="Y93" s="7" t="str">
        <f>Preencher!$B$3&amp;U93&amp;V93&amp;A93&amp;$Y$6</f>
        <v>JARINU-FRG925128MQ.TUNEL DE CG (CONTINUO) (2)</v>
      </c>
      <c r="Z93" s="7" t="str">
        <f>Preencher!$B$3&amp;U93&amp;V93&amp;A93&amp;$Z$6</f>
        <v>JARINU-FRG925128MQ.TUNEL DE CG (CONTINUO) (3)</v>
      </c>
      <c r="AA93" s="7" t="str">
        <f>Preencher!$B$3&amp;U93&amp;V93&amp;A93&amp;$AA$6</f>
        <v>JARINU-FRG925128MQ.TUNEL DE CG (ESTATICO)</v>
      </c>
      <c r="AB93" s="7" t="str">
        <f>Preencher!$B$3&amp;U93&amp;V93&amp;A93&amp;$AB$6</f>
        <v>JARINU-FRG925128MQ.TUNEL DE CG (ESTATICO) (1)</v>
      </c>
      <c r="AC93" s="7" t="str">
        <f>Preencher!$B$3&amp;U93&amp;V93&amp;A93&amp;$AC$6</f>
        <v>JARINU-FRG925128MQ.TUNEL DE CG (ESTATICO) (2)</v>
      </c>
      <c r="AD93" s="327">
        <f>IFERROR(SUMIF('BD Otimix'!A:A,'BD VOLUME'!X93,'BD Otimix'!O:O)+SUMIF('BD Otimix'!A:A,'BD VOLUME'!Y93,'BD Otimix'!O:O)+SUMIF('BD Otimix'!A:A,'BD VOLUME'!Z93,'BD Otimix'!O:O)+SUMIF('BD Otimix'!A:A,'BD VOLUME'!AA93,'BD Otimix'!O:O)+SUMIF('BD Otimix'!A:A,'BD VOLUME'!AB93,'BD Otimix'!O:O)+SUMIF('BD Otimix'!A:A,'BD VOLUME'!AC93,'BD Otimix'!O:O)+SUMIF('BD Otimix'!A:A,'BD VOLUME'!W93,'BD Otimix'!O:O),0)</f>
        <v>0</v>
      </c>
      <c r="AE93" s="327">
        <f t="shared" si="24"/>
        <v>0</v>
      </c>
      <c r="AF93" s="7" t="str">
        <f>Preencher!$B$3&amp;$U$8&amp;$V$8&amp;A93&amp;$AF$6</f>
        <v>JARINU-FRG925128MQ.GIROFREEZER</v>
      </c>
      <c r="AG93" s="7" t="str">
        <f>Preencher!$B$3&amp;$U$8&amp;$V$8&amp;A93&amp;$AG$6</f>
        <v>JARINU-FRG925128MQ.GIROFREEZER (1)</v>
      </c>
      <c r="AH93" s="7" t="str">
        <f>Preencher!$B$3&amp;$U$8&amp;$V$8&amp;A93&amp;$AH$6</f>
        <v>JARINU-FRG925128MQ.GIROFREEZER (2)</v>
      </c>
      <c r="AI93" s="7" t="str">
        <f>Preencher!$B$3&amp;$U$8&amp;$V$8&amp;A93&amp;$AI$6</f>
        <v>JARINU-FRG925128MQ.GIROFREEZER REV04</v>
      </c>
      <c r="AJ93" s="7" t="str">
        <f>Preencher!$B$3&amp;$U$8&amp;$V$8&amp;A93&amp;$AJ$6</f>
        <v>JARINU-FRG925128MQ.GIROFREEZER (3)</v>
      </c>
      <c r="AK93" s="327">
        <f>IFERROR(SUMIF('BD Otimix'!A:A,'BD VOLUME'!AG93,'BD Otimix'!O:O)+SUMIF('BD Otimix'!A:A,'BD VOLUME'!AH93,'BD Otimix'!O:O)+SUMIF('BD Otimix'!A:A,'BD VOLUME'!AI93,'BD Otimix'!O:O)+SUMIF('BD Otimix'!A:A,'BD VOLUME'!AJ93,'BD Otimix'!O:O)+SUMIF('BD Otimix'!A:A,'BD VOLUME'!AF93,'BD Otimix'!O:O),0)</f>
        <v>0</v>
      </c>
      <c r="AL93" s="7">
        <f t="shared" si="25"/>
        <v>0</v>
      </c>
    </row>
    <row r="94" spans="1:38">
      <c r="A94" s="346">
        <v>985767</v>
      </c>
      <c r="B94" s="346"/>
      <c r="C94" s="5" t="s">
        <v>940</v>
      </c>
      <c r="D94" s="5" t="s">
        <v>939</v>
      </c>
      <c r="E94" s="5" t="s">
        <v>1338</v>
      </c>
      <c r="F94" s="132">
        <f>SUMIF('COLAR PLANO'!$A:$A,A94,'COLAR PLANO'!$D:$D)</f>
        <v>0</v>
      </c>
      <c r="G94" s="131">
        <f t="shared" si="31"/>
        <v>0</v>
      </c>
      <c r="H94" s="6">
        <v>0.79579999999999995</v>
      </c>
      <c r="I94" s="7">
        <f t="shared" si="27"/>
        <v>0</v>
      </c>
      <c r="J94" s="130">
        <f t="shared" si="28"/>
        <v>0</v>
      </c>
      <c r="K94" s="819">
        <v>2.125</v>
      </c>
      <c r="L94" s="819">
        <v>8</v>
      </c>
      <c r="M94" s="819">
        <v>17</v>
      </c>
      <c r="N94" s="7">
        <f t="shared" si="29"/>
        <v>0</v>
      </c>
      <c r="O94" s="7"/>
      <c r="P94" s="311">
        <f t="shared" si="30"/>
        <v>0</v>
      </c>
      <c r="Q94" s="7"/>
      <c r="R94" s="7"/>
      <c r="S94" s="7"/>
      <c r="T94" s="7"/>
      <c r="U94" s="7" t="s">
        <v>2288</v>
      </c>
      <c r="V94" s="7" t="s">
        <v>2289</v>
      </c>
      <c r="W94" s="7" t="str">
        <f>Preencher!$B$3&amp;U94&amp;V94&amp;A94&amp;$W$6</f>
        <v>JARINU-FRG985767MQ.TUNEL DE CG (CONTINUO)</v>
      </c>
      <c r="X94" s="7" t="str">
        <f>Preencher!$B$3&amp;U94&amp;V94&amp;A94&amp;$X$6</f>
        <v>JARINU-FRG985767MQ.TUNEL DE CG (CONTINUO) (1)</v>
      </c>
      <c r="Y94" s="7" t="str">
        <f>Preencher!$B$3&amp;U94&amp;V94&amp;A94&amp;$Y$6</f>
        <v>JARINU-FRG985767MQ.TUNEL DE CG (CONTINUO) (2)</v>
      </c>
      <c r="Z94" s="7" t="str">
        <f>Preencher!$B$3&amp;U94&amp;V94&amp;A94&amp;$Z$6</f>
        <v>JARINU-FRG985767MQ.TUNEL DE CG (CONTINUO) (3)</v>
      </c>
      <c r="AA94" s="7" t="str">
        <f>Preencher!$B$3&amp;U94&amp;V94&amp;A94&amp;$AA$6</f>
        <v>JARINU-FRG985767MQ.TUNEL DE CG (ESTATICO)</v>
      </c>
      <c r="AB94" s="7" t="str">
        <f>Preencher!$B$3&amp;U94&amp;V94&amp;A94&amp;$AB$6</f>
        <v>JARINU-FRG985767MQ.TUNEL DE CG (ESTATICO) (1)</v>
      </c>
      <c r="AC94" s="7" t="str">
        <f>Preencher!$B$3&amp;U94&amp;V94&amp;A94&amp;$AC$6</f>
        <v>JARINU-FRG985767MQ.TUNEL DE CG (ESTATICO) (2)</v>
      </c>
      <c r="AD94" s="327">
        <f>IFERROR(SUMIF('BD Otimix'!A:A,'BD VOLUME'!X94,'BD Otimix'!O:O)+SUMIF('BD Otimix'!A:A,'BD VOLUME'!Y94,'BD Otimix'!O:O)+SUMIF('BD Otimix'!A:A,'BD VOLUME'!Z94,'BD Otimix'!O:O)+SUMIF('BD Otimix'!A:A,'BD VOLUME'!AA94,'BD Otimix'!O:O)+SUMIF('BD Otimix'!A:A,'BD VOLUME'!AB94,'BD Otimix'!O:O)+SUMIF('BD Otimix'!A:A,'BD VOLUME'!AC94,'BD Otimix'!O:O)+SUMIF('BD Otimix'!A:A,'BD VOLUME'!W94,'BD Otimix'!O:O),0)</f>
        <v>0</v>
      </c>
      <c r="AE94" s="327">
        <f t="shared" si="24"/>
        <v>0</v>
      </c>
      <c r="AF94" s="7" t="str">
        <f>Preencher!$B$3&amp;$U$8&amp;$V$8&amp;A94&amp;$AF$6</f>
        <v>JARINU-FRG985767MQ.GIROFREEZER</v>
      </c>
      <c r="AG94" s="7" t="str">
        <f>Preencher!$B$3&amp;$U$8&amp;$V$8&amp;A94&amp;$AG$6</f>
        <v>JARINU-FRG985767MQ.GIROFREEZER (1)</v>
      </c>
      <c r="AH94" s="7" t="str">
        <f>Preencher!$B$3&amp;$U$8&amp;$V$8&amp;A94&amp;$AH$6</f>
        <v>JARINU-FRG985767MQ.GIROFREEZER (2)</v>
      </c>
      <c r="AI94" s="7" t="str">
        <f>Preencher!$B$3&amp;$U$8&amp;$V$8&amp;A94&amp;$AI$6</f>
        <v>JARINU-FRG985767MQ.GIROFREEZER REV04</v>
      </c>
      <c r="AJ94" s="7" t="str">
        <f>Preencher!$B$3&amp;$U$8&amp;$V$8&amp;A94&amp;$AJ$6</f>
        <v>JARINU-FRG985767MQ.GIROFREEZER (3)</v>
      </c>
      <c r="AK94" s="327">
        <f>IFERROR(SUMIF('BD Otimix'!A:A,'BD VOLUME'!AG94,'BD Otimix'!O:O)+SUMIF('BD Otimix'!A:A,'BD VOLUME'!AH94,'BD Otimix'!O:O)+SUMIF('BD Otimix'!A:A,'BD VOLUME'!AI94,'BD Otimix'!O:O)+SUMIF('BD Otimix'!A:A,'BD VOLUME'!AJ94,'BD Otimix'!O:O)+SUMIF('BD Otimix'!A:A,'BD VOLUME'!AF94,'BD Otimix'!O:O),0)</f>
        <v>0</v>
      </c>
      <c r="AL94" s="7">
        <f t="shared" si="25"/>
        <v>0</v>
      </c>
    </row>
    <row r="95" spans="1:38">
      <c r="A95" s="346">
        <v>985996</v>
      </c>
      <c r="B95" s="346"/>
      <c r="C95" s="5" t="s">
        <v>940</v>
      </c>
      <c r="D95" s="5" t="s">
        <v>939</v>
      </c>
      <c r="E95" s="5" t="s">
        <v>2588</v>
      </c>
      <c r="F95" s="132">
        <f>SUMIF('COLAR PLANO'!$A:$A,A95,'COLAR PLANO'!$D:$D)</f>
        <v>0</v>
      </c>
      <c r="G95" s="131">
        <f t="shared" si="31"/>
        <v>0</v>
      </c>
      <c r="H95" s="6">
        <v>0.77989999999999993</v>
      </c>
      <c r="I95" s="7">
        <f t="shared" ref="I95" si="32">IFERROR(G95/$D$3/H95,0)</f>
        <v>0</v>
      </c>
      <c r="J95" s="130">
        <f t="shared" ref="J95" si="33">IFERROR(I95/$B$65,0)</f>
        <v>0</v>
      </c>
      <c r="K95" s="819">
        <v>2.125</v>
      </c>
      <c r="L95" s="819">
        <v>8</v>
      </c>
      <c r="M95" s="819">
        <v>17</v>
      </c>
      <c r="N95" s="7">
        <f t="shared" ref="N95" si="34">IFERROR(G95/K95,"-")</f>
        <v>0</v>
      </c>
      <c r="O95" s="7"/>
      <c r="P95" s="7"/>
      <c r="Q95" s="7"/>
      <c r="R95" s="7"/>
      <c r="S95" s="7"/>
      <c r="T95" s="7"/>
      <c r="U95" s="7" t="s">
        <v>2288</v>
      </c>
      <c r="V95" s="7" t="s">
        <v>2289</v>
      </c>
      <c r="W95" s="7" t="str">
        <f>Preencher!$B$3&amp;U95&amp;V95&amp;A95&amp;$W$6</f>
        <v>JARINU-FRG985996MQ.TUNEL DE CG (CONTINUO)</v>
      </c>
      <c r="X95" s="7" t="str">
        <f>Preencher!$B$3&amp;U95&amp;V95&amp;A95&amp;$X$6</f>
        <v>JARINU-FRG985996MQ.TUNEL DE CG (CONTINUO) (1)</v>
      </c>
      <c r="Y95" s="7" t="str">
        <f>Preencher!$B$3&amp;U95&amp;V95&amp;A95&amp;$Y$6</f>
        <v>JARINU-FRG985996MQ.TUNEL DE CG (CONTINUO) (2)</v>
      </c>
      <c r="Z95" s="7" t="str">
        <f>Preencher!$B$3&amp;U95&amp;V95&amp;A95&amp;$Z$6</f>
        <v>JARINU-FRG985996MQ.TUNEL DE CG (CONTINUO) (3)</v>
      </c>
      <c r="AA95" s="7" t="str">
        <f>Preencher!$B$3&amp;U95&amp;V95&amp;A95&amp;$AA$6</f>
        <v>JARINU-FRG985996MQ.TUNEL DE CG (ESTATICO)</v>
      </c>
      <c r="AB95" s="7" t="str">
        <f>Preencher!$B$3&amp;U95&amp;V95&amp;A95&amp;$AB$6</f>
        <v>JARINU-FRG985996MQ.TUNEL DE CG (ESTATICO) (1)</v>
      </c>
      <c r="AC95" s="7" t="str">
        <f>Preencher!$B$3&amp;U95&amp;V95&amp;A95&amp;$AC$6</f>
        <v>JARINU-FRG985996MQ.TUNEL DE CG (ESTATICO) (2)</v>
      </c>
      <c r="AD95" s="327">
        <f>IFERROR(SUMIF('BD Otimix'!A:A,'BD VOLUME'!X95,'BD Otimix'!O:O)+SUMIF('BD Otimix'!A:A,'BD VOLUME'!Y95,'BD Otimix'!O:O)+SUMIF('BD Otimix'!A:A,'BD VOLUME'!Z95,'BD Otimix'!O:O)+SUMIF('BD Otimix'!A:A,'BD VOLUME'!AA95,'BD Otimix'!O:O)+SUMIF('BD Otimix'!A:A,'BD VOLUME'!AB95,'BD Otimix'!O:O)+SUMIF('BD Otimix'!A:A,'BD VOLUME'!AC95,'BD Otimix'!O:O)+SUMIF('BD Otimix'!A:A,'BD VOLUME'!W95,'BD Otimix'!O:O),0)</f>
        <v>0</v>
      </c>
      <c r="AE95" s="327">
        <f t="shared" si="24"/>
        <v>0</v>
      </c>
      <c r="AF95" s="7" t="str">
        <f>Preencher!$B$3&amp;$U$8&amp;$V$8&amp;A95&amp;$AF$6</f>
        <v>JARINU-FRG985996MQ.GIROFREEZER</v>
      </c>
      <c r="AG95" s="7" t="str">
        <f>Preencher!$B$3&amp;$U$8&amp;$V$8&amp;A95&amp;$AG$6</f>
        <v>JARINU-FRG985996MQ.GIROFREEZER (1)</v>
      </c>
      <c r="AH95" s="7" t="str">
        <f>Preencher!$B$3&amp;$U$8&amp;$V$8&amp;A95&amp;$AH$6</f>
        <v>JARINU-FRG985996MQ.GIROFREEZER (2)</v>
      </c>
      <c r="AI95" s="7" t="str">
        <f>Preencher!$B$3&amp;$U$8&amp;$V$8&amp;A95&amp;$AI$6</f>
        <v>JARINU-FRG985996MQ.GIROFREEZER REV04</v>
      </c>
      <c r="AJ95" s="7" t="str">
        <f>Preencher!$B$3&amp;$U$8&amp;$V$8&amp;A95&amp;$AJ$6</f>
        <v>JARINU-FRG985996MQ.GIROFREEZER (3)</v>
      </c>
      <c r="AK95" s="327">
        <f>IFERROR(SUMIF('BD Otimix'!A:A,'BD VOLUME'!AG95,'BD Otimix'!O:O)+SUMIF('BD Otimix'!A:A,'BD VOLUME'!AH95,'BD Otimix'!O:O)+SUMIF('BD Otimix'!A:A,'BD VOLUME'!AI95,'BD Otimix'!O:O)+SUMIF('BD Otimix'!A:A,'BD VOLUME'!AJ95,'BD Otimix'!O:O)+SUMIF('BD Otimix'!A:A,'BD VOLUME'!AF95,'BD Otimix'!O:O),0)</f>
        <v>0</v>
      </c>
      <c r="AL95" s="7">
        <f t="shared" si="25"/>
        <v>0</v>
      </c>
    </row>
    <row r="96" spans="1:38">
      <c r="A96" s="346">
        <v>986020</v>
      </c>
      <c r="B96" s="346"/>
      <c r="C96" s="5" t="s">
        <v>940</v>
      </c>
      <c r="D96" s="5" t="s">
        <v>939</v>
      </c>
      <c r="E96" s="5" t="s">
        <v>1338</v>
      </c>
      <c r="F96" s="132">
        <f>SUMIF('COLAR PLANO'!$A:$A,A96,'COLAR PLANO'!$D:$D)</f>
        <v>0</v>
      </c>
      <c r="G96" s="131">
        <f t="shared" si="31"/>
        <v>0</v>
      </c>
      <c r="H96" s="6">
        <v>0.79579999999999995</v>
      </c>
      <c r="I96" s="7">
        <f t="shared" si="27"/>
        <v>0</v>
      </c>
      <c r="J96" s="130">
        <f t="shared" si="28"/>
        <v>0</v>
      </c>
      <c r="K96" s="346"/>
      <c r="L96" s="346"/>
      <c r="M96" s="346"/>
      <c r="N96" s="7" t="str">
        <f t="shared" si="23"/>
        <v>-</v>
      </c>
      <c r="O96" s="7"/>
      <c r="P96" s="311" t="str">
        <f t="shared" si="30"/>
        <v>-</v>
      </c>
      <c r="Q96" s="7"/>
      <c r="R96" s="7"/>
      <c r="S96" s="7"/>
      <c r="T96" s="7"/>
      <c r="U96" s="7" t="s">
        <v>2288</v>
      </c>
      <c r="V96" s="7" t="s">
        <v>2289</v>
      </c>
      <c r="W96" s="7" t="str">
        <f>Preencher!$B$3&amp;U96&amp;V96&amp;A96&amp;$W$6</f>
        <v>JARINU-FRG986020MQ.TUNEL DE CG (CONTINUO)</v>
      </c>
      <c r="X96" s="7" t="str">
        <f>Preencher!$B$3&amp;U96&amp;V96&amp;A96&amp;$X$6</f>
        <v>JARINU-FRG986020MQ.TUNEL DE CG (CONTINUO) (1)</v>
      </c>
      <c r="Y96" s="7" t="str">
        <f>Preencher!$B$3&amp;U96&amp;V96&amp;A96&amp;$Y$6</f>
        <v>JARINU-FRG986020MQ.TUNEL DE CG (CONTINUO) (2)</v>
      </c>
      <c r="Z96" s="7" t="str">
        <f>Preencher!$B$3&amp;U96&amp;V96&amp;A96&amp;$Z$6</f>
        <v>JARINU-FRG986020MQ.TUNEL DE CG (CONTINUO) (3)</v>
      </c>
      <c r="AA96" s="7" t="str">
        <f>Preencher!$B$3&amp;U96&amp;V96&amp;A96&amp;$AA$6</f>
        <v>JARINU-FRG986020MQ.TUNEL DE CG (ESTATICO)</v>
      </c>
      <c r="AB96" s="7" t="str">
        <f>Preencher!$B$3&amp;U96&amp;V96&amp;A96&amp;$AB$6</f>
        <v>JARINU-FRG986020MQ.TUNEL DE CG (ESTATICO) (1)</v>
      </c>
      <c r="AC96" s="7" t="str">
        <f>Preencher!$B$3&amp;U96&amp;V96&amp;A96&amp;$AC$6</f>
        <v>JARINU-FRG986020MQ.TUNEL DE CG (ESTATICO) (2)</v>
      </c>
      <c r="AD96" s="327">
        <f>IFERROR(SUMIF('BD Otimix'!A:A,'BD VOLUME'!X96,'BD Otimix'!O:O)+SUMIF('BD Otimix'!A:A,'BD VOLUME'!Y96,'BD Otimix'!O:O)+SUMIF('BD Otimix'!A:A,'BD VOLUME'!Z96,'BD Otimix'!O:O)+SUMIF('BD Otimix'!A:A,'BD VOLUME'!AA96,'BD Otimix'!O:O)+SUMIF('BD Otimix'!A:A,'BD VOLUME'!AB96,'BD Otimix'!O:O)+SUMIF('BD Otimix'!A:A,'BD VOLUME'!AC96,'BD Otimix'!O:O)+SUMIF('BD Otimix'!A:A,'BD VOLUME'!W96,'BD Otimix'!O:O),0)</f>
        <v>0</v>
      </c>
      <c r="AE96" s="327">
        <f t="shared" si="24"/>
        <v>0</v>
      </c>
      <c r="AF96" s="7" t="str">
        <f>Preencher!$B$3&amp;$U$8&amp;$V$8&amp;A96&amp;$AF$6</f>
        <v>JARINU-FRG986020MQ.GIROFREEZER</v>
      </c>
      <c r="AG96" s="7" t="str">
        <f>Preencher!$B$3&amp;$U$8&amp;$V$8&amp;A96&amp;$AG$6</f>
        <v>JARINU-FRG986020MQ.GIROFREEZER (1)</v>
      </c>
      <c r="AH96" s="7" t="str">
        <f>Preencher!$B$3&amp;$U$8&amp;$V$8&amp;A96&amp;$AH$6</f>
        <v>JARINU-FRG986020MQ.GIROFREEZER (2)</v>
      </c>
      <c r="AI96" s="7" t="str">
        <f>Preencher!$B$3&amp;$U$8&amp;$V$8&amp;A96&amp;$AI$6</f>
        <v>JARINU-FRG986020MQ.GIROFREEZER REV04</v>
      </c>
      <c r="AJ96" s="7" t="str">
        <f>Preencher!$B$3&amp;$U$8&amp;$V$8&amp;A96&amp;$AJ$6</f>
        <v>JARINU-FRG986020MQ.GIROFREEZER (3)</v>
      </c>
      <c r="AK96" s="327">
        <f>IFERROR(SUMIF('BD Otimix'!A:A,'BD VOLUME'!AG96,'BD Otimix'!O:O)+SUMIF('BD Otimix'!A:A,'BD VOLUME'!AH96,'BD Otimix'!O:O)+SUMIF('BD Otimix'!A:A,'BD VOLUME'!AI96,'BD Otimix'!O:O)+SUMIF('BD Otimix'!A:A,'BD VOLUME'!AJ96,'BD Otimix'!O:O)+SUMIF('BD Otimix'!A:A,'BD VOLUME'!AF96,'BD Otimix'!O:O),0)</f>
        <v>0</v>
      </c>
      <c r="AL96" s="7">
        <f t="shared" si="25"/>
        <v>0</v>
      </c>
    </row>
    <row r="97" spans="1:38">
      <c r="A97" s="346">
        <v>986127</v>
      </c>
      <c r="B97" s="346"/>
      <c r="C97" s="5" t="s">
        <v>940</v>
      </c>
      <c r="D97" s="5" t="s">
        <v>939</v>
      </c>
      <c r="E97" s="5" t="s">
        <v>1338</v>
      </c>
      <c r="F97" s="132">
        <f>SUMIF('COLAR PLANO'!$A:$A,A97,'COLAR PLANO'!$D:$D)</f>
        <v>0</v>
      </c>
      <c r="G97" s="131">
        <f t="shared" si="31"/>
        <v>0</v>
      </c>
      <c r="H97" s="6">
        <v>0.79579999999999995</v>
      </c>
      <c r="I97" s="7">
        <f t="shared" si="27"/>
        <v>0</v>
      </c>
      <c r="J97" s="130">
        <f t="shared" si="28"/>
        <v>0</v>
      </c>
      <c r="K97" s="346"/>
      <c r="L97" s="346"/>
      <c r="M97" s="346"/>
      <c r="N97" s="7" t="str">
        <f t="shared" si="23"/>
        <v>-</v>
      </c>
      <c r="O97" s="7"/>
      <c r="P97" s="311" t="str">
        <f t="shared" si="30"/>
        <v>-</v>
      </c>
      <c r="Q97" s="7"/>
      <c r="R97" s="7"/>
      <c r="S97" s="7"/>
      <c r="T97" s="7"/>
      <c r="U97" s="7" t="s">
        <v>2288</v>
      </c>
      <c r="V97" s="7" t="s">
        <v>2289</v>
      </c>
      <c r="W97" s="7" t="str">
        <f>Preencher!$B$3&amp;U97&amp;V97&amp;A97&amp;$W$6</f>
        <v>JARINU-FRG986127MQ.TUNEL DE CG (CONTINUO)</v>
      </c>
      <c r="X97" s="7" t="str">
        <f>Preencher!$B$3&amp;U97&amp;V97&amp;A97&amp;$X$6</f>
        <v>JARINU-FRG986127MQ.TUNEL DE CG (CONTINUO) (1)</v>
      </c>
      <c r="Y97" s="7" t="str">
        <f>Preencher!$B$3&amp;U97&amp;V97&amp;A97&amp;$Y$6</f>
        <v>JARINU-FRG986127MQ.TUNEL DE CG (CONTINUO) (2)</v>
      </c>
      <c r="Z97" s="7" t="str">
        <f>Preencher!$B$3&amp;U97&amp;V97&amp;A97&amp;$Z$6</f>
        <v>JARINU-FRG986127MQ.TUNEL DE CG (CONTINUO) (3)</v>
      </c>
      <c r="AA97" s="7" t="str">
        <f>Preencher!$B$3&amp;U97&amp;V97&amp;A97&amp;$AA$6</f>
        <v>JARINU-FRG986127MQ.TUNEL DE CG (ESTATICO)</v>
      </c>
      <c r="AB97" s="7" t="str">
        <f>Preencher!$B$3&amp;U97&amp;V97&amp;A97&amp;$AB$6</f>
        <v>JARINU-FRG986127MQ.TUNEL DE CG (ESTATICO) (1)</v>
      </c>
      <c r="AC97" s="7" t="str">
        <f>Preencher!$B$3&amp;U97&amp;V97&amp;A97&amp;$AC$6</f>
        <v>JARINU-FRG986127MQ.TUNEL DE CG (ESTATICO) (2)</v>
      </c>
      <c r="AD97" s="327">
        <f>IFERROR(SUMIF('BD Otimix'!A:A,'BD VOLUME'!X97,'BD Otimix'!O:O)+SUMIF('BD Otimix'!A:A,'BD VOLUME'!Y97,'BD Otimix'!O:O)+SUMIF('BD Otimix'!A:A,'BD VOLUME'!Z97,'BD Otimix'!O:O)+SUMIF('BD Otimix'!A:A,'BD VOLUME'!AA97,'BD Otimix'!O:O)+SUMIF('BD Otimix'!A:A,'BD VOLUME'!AB97,'BD Otimix'!O:O)+SUMIF('BD Otimix'!A:A,'BD VOLUME'!AC97,'BD Otimix'!O:O)+SUMIF('BD Otimix'!A:A,'BD VOLUME'!W97,'BD Otimix'!O:O),0)</f>
        <v>0</v>
      </c>
      <c r="AE97" s="327">
        <f t="shared" si="24"/>
        <v>0</v>
      </c>
      <c r="AF97" s="7" t="str">
        <f>Preencher!$B$3&amp;$U$8&amp;$V$8&amp;A97&amp;$AF$6</f>
        <v>JARINU-FRG986127MQ.GIROFREEZER</v>
      </c>
      <c r="AG97" s="7" t="str">
        <f>Preencher!$B$3&amp;$U$8&amp;$V$8&amp;A97&amp;$AG$6</f>
        <v>JARINU-FRG986127MQ.GIROFREEZER (1)</v>
      </c>
      <c r="AH97" s="7" t="str">
        <f>Preencher!$B$3&amp;$U$8&amp;$V$8&amp;A97&amp;$AH$6</f>
        <v>JARINU-FRG986127MQ.GIROFREEZER (2)</v>
      </c>
      <c r="AI97" s="7" t="str">
        <f>Preencher!$B$3&amp;$U$8&amp;$V$8&amp;A97&amp;$AI$6</f>
        <v>JARINU-FRG986127MQ.GIROFREEZER REV04</v>
      </c>
      <c r="AJ97" s="7" t="str">
        <f>Preencher!$B$3&amp;$U$8&amp;$V$8&amp;A97&amp;$AJ$6</f>
        <v>JARINU-FRG986127MQ.GIROFREEZER (3)</v>
      </c>
      <c r="AK97" s="327">
        <f>IFERROR(SUMIF('BD Otimix'!A:A,'BD VOLUME'!AG97,'BD Otimix'!O:O)+SUMIF('BD Otimix'!A:A,'BD VOLUME'!AH97,'BD Otimix'!O:O)+SUMIF('BD Otimix'!A:A,'BD VOLUME'!AI97,'BD Otimix'!O:O)+SUMIF('BD Otimix'!A:A,'BD VOLUME'!AJ97,'BD Otimix'!O:O)+SUMIF('BD Otimix'!A:A,'BD VOLUME'!AF97,'BD Otimix'!O:O),0)</f>
        <v>0</v>
      </c>
      <c r="AL97" s="7">
        <f t="shared" si="25"/>
        <v>0</v>
      </c>
    </row>
    <row r="98" spans="1:38">
      <c r="A98" s="346">
        <v>124146</v>
      </c>
      <c r="B98" s="346" t="s">
        <v>1383</v>
      </c>
      <c r="C98" s="5" t="s">
        <v>940</v>
      </c>
      <c r="D98" s="5" t="s">
        <v>939</v>
      </c>
      <c r="E98" s="5" t="s">
        <v>1338</v>
      </c>
      <c r="F98" s="132">
        <f>SUMIF('COLAR PLANO'!$A:$A,A98,'COLAR PLANO'!$D:$D)</f>
        <v>0</v>
      </c>
      <c r="G98" s="131">
        <f t="shared" si="31"/>
        <v>0</v>
      </c>
      <c r="H98" s="6">
        <v>0.74239999999999995</v>
      </c>
      <c r="I98" s="7">
        <f t="shared" si="27"/>
        <v>0</v>
      </c>
      <c r="J98" s="130">
        <f t="shared" si="28"/>
        <v>0</v>
      </c>
      <c r="K98" s="346">
        <v>1.2</v>
      </c>
      <c r="L98" s="346">
        <v>10</v>
      </c>
      <c r="M98" s="346">
        <v>12</v>
      </c>
      <c r="N98" s="7">
        <f t="shared" si="23"/>
        <v>0</v>
      </c>
      <c r="O98" s="7"/>
      <c r="P98" s="311">
        <f>IFERROR(G98/M98,"-")</f>
        <v>0</v>
      </c>
      <c r="Q98" s="7"/>
      <c r="R98" s="7"/>
      <c r="S98" s="7"/>
      <c r="T98" s="7"/>
      <c r="U98" s="7" t="s">
        <v>2288</v>
      </c>
      <c r="V98" s="7" t="s">
        <v>2289</v>
      </c>
      <c r="W98" s="7" t="str">
        <f>Preencher!$B$3&amp;U98&amp;V98&amp;A98&amp;$W$6</f>
        <v>JARINU-FRG124146MQ.TUNEL DE CG (CONTINUO)</v>
      </c>
      <c r="X98" s="7" t="str">
        <f>Preencher!$B$3&amp;U98&amp;V98&amp;A98&amp;$X$6</f>
        <v>JARINU-FRG124146MQ.TUNEL DE CG (CONTINUO) (1)</v>
      </c>
      <c r="Y98" s="7" t="str">
        <f>Preencher!$B$3&amp;U98&amp;V98&amp;A98&amp;$Y$6</f>
        <v>JARINU-FRG124146MQ.TUNEL DE CG (CONTINUO) (2)</v>
      </c>
      <c r="Z98" s="7" t="str">
        <f>Preencher!$B$3&amp;U98&amp;V98&amp;A98&amp;$Z$6</f>
        <v>JARINU-FRG124146MQ.TUNEL DE CG (CONTINUO) (3)</v>
      </c>
      <c r="AA98" s="7" t="str">
        <f>Preencher!$B$3&amp;U98&amp;V98&amp;A98&amp;$AA$6</f>
        <v>JARINU-FRG124146MQ.TUNEL DE CG (ESTATICO)</v>
      </c>
      <c r="AB98" s="7" t="str">
        <f>Preencher!$B$3&amp;U98&amp;V98&amp;A98&amp;$AB$6</f>
        <v>JARINU-FRG124146MQ.TUNEL DE CG (ESTATICO) (1)</v>
      </c>
      <c r="AC98" s="7" t="str">
        <f>Preencher!$B$3&amp;U98&amp;V98&amp;A98&amp;$AC$6</f>
        <v>JARINU-FRG124146MQ.TUNEL DE CG (ESTATICO) (2)</v>
      </c>
      <c r="AD98" s="327">
        <f>IFERROR(SUMIF('BD Otimix'!A:A,'BD VOLUME'!X98,'BD Otimix'!O:O)+SUMIF('BD Otimix'!A:A,'BD VOLUME'!Y98,'BD Otimix'!O:O)+SUMIF('BD Otimix'!A:A,'BD VOLUME'!Z98,'BD Otimix'!O:O)+SUMIF('BD Otimix'!A:A,'BD VOLUME'!AA98,'BD Otimix'!O:O)+SUMIF('BD Otimix'!A:A,'BD VOLUME'!AB98,'BD Otimix'!O:O)+SUMIF('BD Otimix'!A:A,'BD VOLUME'!AC98,'BD Otimix'!O:O)+SUMIF('BD Otimix'!A:A,'BD VOLUME'!W98,'BD Otimix'!O:O),0)</f>
        <v>0</v>
      </c>
      <c r="AE98" s="327">
        <f t="shared" si="24"/>
        <v>0</v>
      </c>
      <c r="AF98" s="7" t="str">
        <f>Preencher!$B$3&amp;$U$8&amp;$V$8&amp;A98&amp;$AF$6</f>
        <v>JARINU-FRG124146MQ.GIROFREEZER</v>
      </c>
      <c r="AG98" s="7" t="str">
        <f>Preencher!$B$3&amp;$U$8&amp;$V$8&amp;A98&amp;$AG$6</f>
        <v>JARINU-FRG124146MQ.GIROFREEZER (1)</v>
      </c>
      <c r="AH98" s="7" t="str">
        <f>Preencher!$B$3&amp;$U$8&amp;$V$8&amp;A98&amp;$AH$6</f>
        <v>JARINU-FRG124146MQ.GIROFREEZER (2)</v>
      </c>
      <c r="AI98" s="7" t="str">
        <f>Preencher!$B$3&amp;$U$8&amp;$V$8&amp;A98&amp;$AI$6</f>
        <v>JARINU-FRG124146MQ.GIROFREEZER REV04</v>
      </c>
      <c r="AJ98" s="7" t="str">
        <f>Preencher!$B$3&amp;$U$8&amp;$V$8&amp;A98&amp;$AJ$6</f>
        <v>JARINU-FRG124146MQ.GIROFREEZER (3)</v>
      </c>
      <c r="AK98" s="327">
        <f>IFERROR(SUMIF('BD Otimix'!A:A,'BD VOLUME'!AG98,'BD Otimix'!O:O)+SUMIF('BD Otimix'!A:A,'BD VOLUME'!AH98,'BD Otimix'!O:O)+SUMIF('BD Otimix'!A:A,'BD VOLUME'!AI98,'BD Otimix'!O:O)+SUMIF('BD Otimix'!A:A,'BD VOLUME'!AJ98,'BD Otimix'!O:O)+SUMIF('BD Otimix'!A:A,'BD VOLUME'!AF98,'BD Otimix'!O:O),0)</f>
        <v>0</v>
      </c>
      <c r="AL98" s="7">
        <f t="shared" si="25"/>
        <v>0</v>
      </c>
    </row>
    <row r="99" spans="1:38">
      <c r="A99" s="346">
        <v>124148</v>
      </c>
      <c r="B99" s="346" t="s">
        <v>1384</v>
      </c>
      <c r="C99" s="5" t="s">
        <v>940</v>
      </c>
      <c r="D99" s="5" t="s">
        <v>939</v>
      </c>
      <c r="E99" s="5" t="s">
        <v>1338</v>
      </c>
      <c r="F99" s="132">
        <f>SUMIF('COLAR PLANO'!$A:$A,A99,'COLAR PLANO'!$D:$D)</f>
        <v>0</v>
      </c>
      <c r="G99" s="131">
        <f t="shared" si="31"/>
        <v>0</v>
      </c>
      <c r="H99" s="6">
        <v>0.74239999999999995</v>
      </c>
      <c r="I99" s="7">
        <f t="shared" si="27"/>
        <v>0</v>
      </c>
      <c r="J99" s="130">
        <f t="shared" si="28"/>
        <v>0</v>
      </c>
      <c r="K99" s="346">
        <v>1.4</v>
      </c>
      <c r="L99" s="346">
        <v>10</v>
      </c>
      <c r="M99" s="346">
        <v>14</v>
      </c>
      <c r="N99" s="7">
        <f t="shared" si="23"/>
        <v>0</v>
      </c>
      <c r="O99" s="7"/>
      <c r="P99" s="311">
        <f>IFERROR(G99/M99,"-")</f>
        <v>0</v>
      </c>
      <c r="Q99" s="7"/>
      <c r="R99" s="7"/>
      <c r="S99" s="7"/>
      <c r="T99" s="7"/>
      <c r="U99" s="7" t="s">
        <v>2288</v>
      </c>
      <c r="V99" s="7" t="s">
        <v>2289</v>
      </c>
      <c r="W99" s="7" t="str">
        <f>Preencher!$B$3&amp;U99&amp;V99&amp;A99&amp;$W$6</f>
        <v>JARINU-FRG124148MQ.TUNEL DE CG (CONTINUO)</v>
      </c>
      <c r="X99" s="7" t="str">
        <f>Preencher!$B$3&amp;U99&amp;V99&amp;A99&amp;$X$6</f>
        <v>JARINU-FRG124148MQ.TUNEL DE CG (CONTINUO) (1)</v>
      </c>
      <c r="Y99" s="7" t="str">
        <f>Preencher!$B$3&amp;U99&amp;V99&amp;A99&amp;$Y$6</f>
        <v>JARINU-FRG124148MQ.TUNEL DE CG (CONTINUO) (2)</v>
      </c>
      <c r="Z99" s="7" t="str">
        <f>Preencher!$B$3&amp;U99&amp;V99&amp;A99&amp;$Z$6</f>
        <v>JARINU-FRG124148MQ.TUNEL DE CG (CONTINUO) (3)</v>
      </c>
      <c r="AA99" s="7" t="str">
        <f>Preencher!$B$3&amp;U99&amp;V99&amp;A99&amp;$AA$6</f>
        <v>JARINU-FRG124148MQ.TUNEL DE CG (ESTATICO)</v>
      </c>
      <c r="AB99" s="7" t="str">
        <f>Preencher!$B$3&amp;U99&amp;V99&amp;A99&amp;$AB$6</f>
        <v>JARINU-FRG124148MQ.TUNEL DE CG (ESTATICO) (1)</v>
      </c>
      <c r="AC99" s="7" t="str">
        <f>Preencher!$B$3&amp;U99&amp;V99&amp;A99&amp;$AC$6</f>
        <v>JARINU-FRG124148MQ.TUNEL DE CG (ESTATICO) (2)</v>
      </c>
      <c r="AD99" s="327">
        <f>IFERROR(SUMIF('BD Otimix'!A:A,'BD VOLUME'!X99,'BD Otimix'!O:O)+SUMIF('BD Otimix'!A:A,'BD VOLUME'!Y99,'BD Otimix'!O:O)+SUMIF('BD Otimix'!A:A,'BD VOLUME'!Z99,'BD Otimix'!O:O)+SUMIF('BD Otimix'!A:A,'BD VOLUME'!AA99,'BD Otimix'!O:O)+SUMIF('BD Otimix'!A:A,'BD VOLUME'!AB99,'BD Otimix'!O:O)+SUMIF('BD Otimix'!A:A,'BD VOLUME'!AC99,'BD Otimix'!O:O)+SUMIF('BD Otimix'!A:A,'BD VOLUME'!W99,'BD Otimix'!O:O),0)</f>
        <v>0</v>
      </c>
      <c r="AE99" s="327">
        <f t="shared" si="24"/>
        <v>0</v>
      </c>
      <c r="AF99" s="7" t="str">
        <f>Preencher!$B$3&amp;$U$8&amp;$V$8&amp;A99&amp;$AF$6</f>
        <v>JARINU-FRG124148MQ.GIROFREEZER</v>
      </c>
      <c r="AG99" s="7" t="str">
        <f>Preencher!$B$3&amp;$U$8&amp;$V$8&amp;A99&amp;$AG$6</f>
        <v>JARINU-FRG124148MQ.GIROFREEZER (1)</v>
      </c>
      <c r="AH99" s="7" t="str">
        <f>Preencher!$B$3&amp;$U$8&amp;$V$8&amp;A99&amp;$AH$6</f>
        <v>JARINU-FRG124148MQ.GIROFREEZER (2)</v>
      </c>
      <c r="AI99" s="7" t="str">
        <f>Preencher!$B$3&amp;$U$8&amp;$V$8&amp;A99&amp;$AI$6</f>
        <v>JARINU-FRG124148MQ.GIROFREEZER REV04</v>
      </c>
      <c r="AJ99" s="7" t="str">
        <f>Preencher!$B$3&amp;$U$8&amp;$V$8&amp;A99&amp;$AJ$6</f>
        <v>JARINU-FRG124148MQ.GIROFREEZER (3)</v>
      </c>
      <c r="AK99" s="327">
        <f>IFERROR(SUMIF('BD Otimix'!A:A,'BD VOLUME'!AG99,'BD Otimix'!O:O)+SUMIF('BD Otimix'!A:A,'BD VOLUME'!AH99,'BD Otimix'!O:O)+SUMIF('BD Otimix'!A:A,'BD VOLUME'!AI99,'BD Otimix'!O:O)+SUMIF('BD Otimix'!A:A,'BD VOLUME'!AJ99,'BD Otimix'!O:O)+SUMIF('BD Otimix'!A:A,'BD VOLUME'!AF99,'BD Otimix'!O:O),0)</f>
        <v>0</v>
      </c>
      <c r="AL99" s="7">
        <f t="shared" si="25"/>
        <v>0</v>
      </c>
    </row>
    <row r="100" spans="1:38">
      <c r="A100" s="346">
        <v>960632</v>
      </c>
      <c r="B100" s="346" t="s">
        <v>1387</v>
      </c>
      <c r="C100" s="5" t="s">
        <v>940</v>
      </c>
      <c r="D100" s="5" t="s">
        <v>939</v>
      </c>
      <c r="E100" s="5" t="s">
        <v>1338</v>
      </c>
      <c r="F100" s="132">
        <f>SUMIF('COLAR PLANO'!$A:$A,A100,'COLAR PLANO'!$D:$D)</f>
        <v>0</v>
      </c>
      <c r="G100" s="131">
        <f t="shared" si="31"/>
        <v>0</v>
      </c>
      <c r="H100" s="6">
        <v>0.7772</v>
      </c>
      <c r="I100" s="7">
        <f t="shared" si="27"/>
        <v>0</v>
      </c>
      <c r="J100" s="130">
        <f t="shared" si="28"/>
        <v>0</v>
      </c>
      <c r="K100" s="346"/>
      <c r="L100" s="346"/>
      <c r="M100" s="346"/>
      <c r="N100" s="7" t="str">
        <f t="shared" si="23"/>
        <v>-</v>
      </c>
      <c r="O100" s="7"/>
      <c r="P100" s="311" t="str">
        <f>IFERROR(G100/M100,"-")</f>
        <v>-</v>
      </c>
      <c r="Q100" s="7"/>
      <c r="R100" s="7"/>
      <c r="S100" s="7"/>
      <c r="T100" s="7"/>
      <c r="U100" s="7" t="s">
        <v>2288</v>
      </c>
      <c r="V100" s="7" t="s">
        <v>2289</v>
      </c>
      <c r="W100" s="7" t="str">
        <f>Preencher!$B$3&amp;U100&amp;V100&amp;A100&amp;$W$6</f>
        <v>JARINU-FRG960632MQ.TUNEL DE CG (CONTINUO)</v>
      </c>
      <c r="X100" s="7" t="str">
        <f>Preencher!$B$3&amp;U100&amp;V100&amp;A100&amp;$X$6</f>
        <v>JARINU-FRG960632MQ.TUNEL DE CG (CONTINUO) (1)</v>
      </c>
      <c r="Y100" s="7" t="str">
        <f>Preencher!$B$3&amp;U100&amp;V100&amp;A100&amp;$Y$6</f>
        <v>JARINU-FRG960632MQ.TUNEL DE CG (CONTINUO) (2)</v>
      </c>
      <c r="Z100" s="7" t="str">
        <f>Preencher!$B$3&amp;U100&amp;V100&amp;A100&amp;$Z$6</f>
        <v>JARINU-FRG960632MQ.TUNEL DE CG (CONTINUO) (3)</v>
      </c>
      <c r="AA100" s="7" t="str">
        <f>Preencher!$B$3&amp;U100&amp;V100&amp;A100&amp;$AA$6</f>
        <v>JARINU-FRG960632MQ.TUNEL DE CG (ESTATICO)</v>
      </c>
      <c r="AB100" s="7" t="str">
        <f>Preencher!$B$3&amp;U100&amp;V100&amp;A100&amp;$AB$6</f>
        <v>JARINU-FRG960632MQ.TUNEL DE CG (ESTATICO) (1)</v>
      </c>
      <c r="AC100" s="7" t="str">
        <f>Preencher!$B$3&amp;U100&amp;V100&amp;A100&amp;$AC$6</f>
        <v>JARINU-FRG960632MQ.TUNEL DE CG (ESTATICO) (2)</v>
      </c>
      <c r="AD100" s="327">
        <f>IFERROR(SUMIF('BD Otimix'!A:A,'BD VOLUME'!X100,'BD Otimix'!O:O)+SUMIF('BD Otimix'!A:A,'BD VOLUME'!Y100,'BD Otimix'!O:O)+SUMIF('BD Otimix'!A:A,'BD VOLUME'!Z100,'BD Otimix'!O:O)+SUMIF('BD Otimix'!A:A,'BD VOLUME'!AA100,'BD Otimix'!O:O)+SUMIF('BD Otimix'!A:A,'BD VOLUME'!AB100,'BD Otimix'!O:O)+SUMIF('BD Otimix'!A:A,'BD VOLUME'!AC100,'BD Otimix'!O:O)+SUMIF('BD Otimix'!A:A,'BD VOLUME'!W100,'BD Otimix'!O:O),0)</f>
        <v>0</v>
      </c>
      <c r="AE100" s="327">
        <f t="shared" si="24"/>
        <v>0</v>
      </c>
      <c r="AF100" s="7" t="str">
        <f>Preencher!$B$3&amp;$U$8&amp;$V$8&amp;A100&amp;$AF$6</f>
        <v>JARINU-FRG960632MQ.GIROFREEZER</v>
      </c>
      <c r="AG100" s="7" t="str">
        <f>Preencher!$B$3&amp;$U$8&amp;$V$8&amp;A100&amp;$AG$6</f>
        <v>JARINU-FRG960632MQ.GIROFREEZER (1)</v>
      </c>
      <c r="AH100" s="7" t="str">
        <f>Preencher!$B$3&amp;$U$8&amp;$V$8&amp;A100&amp;$AH$6</f>
        <v>JARINU-FRG960632MQ.GIROFREEZER (2)</v>
      </c>
      <c r="AI100" s="7" t="str">
        <f>Preencher!$B$3&amp;$U$8&amp;$V$8&amp;A100&amp;$AI$6</f>
        <v>JARINU-FRG960632MQ.GIROFREEZER REV04</v>
      </c>
      <c r="AJ100" s="7" t="str">
        <f>Preencher!$B$3&amp;$U$8&amp;$V$8&amp;A100&amp;$AJ$6</f>
        <v>JARINU-FRG960632MQ.GIROFREEZER (3)</v>
      </c>
      <c r="AK100" s="327">
        <f>IFERROR(SUMIF('BD Otimix'!A:A,'BD VOLUME'!AG100,'BD Otimix'!O:O)+SUMIF('BD Otimix'!A:A,'BD VOLUME'!AH100,'BD Otimix'!O:O)+SUMIF('BD Otimix'!A:A,'BD VOLUME'!AI100,'BD Otimix'!O:O)+SUMIF('BD Otimix'!A:A,'BD VOLUME'!AJ100,'BD Otimix'!O:O)+SUMIF('BD Otimix'!A:A,'BD VOLUME'!AF100,'BD Otimix'!O:O),0)</f>
        <v>0</v>
      </c>
      <c r="AL100" s="7">
        <f t="shared" si="25"/>
        <v>0</v>
      </c>
    </row>
    <row r="101" spans="1:38">
      <c r="A101" s="346">
        <v>960640</v>
      </c>
      <c r="B101" s="346" t="s">
        <v>1388</v>
      </c>
      <c r="C101" s="5" t="s">
        <v>940</v>
      </c>
      <c r="D101" s="5" t="s">
        <v>939</v>
      </c>
      <c r="E101" s="5" t="s">
        <v>1338</v>
      </c>
      <c r="F101" s="132">
        <f>SUMIF('COLAR PLANO'!$A:$A,A101,'COLAR PLANO'!$D:$D)</f>
        <v>0</v>
      </c>
      <c r="G101" s="131">
        <f t="shared" si="31"/>
        <v>0</v>
      </c>
      <c r="H101" s="6">
        <v>0.7772</v>
      </c>
      <c r="I101" s="7">
        <f t="shared" si="27"/>
        <v>0</v>
      </c>
      <c r="J101" s="130">
        <f t="shared" si="28"/>
        <v>0</v>
      </c>
      <c r="K101" s="346"/>
      <c r="L101" s="346"/>
      <c r="M101" s="346"/>
      <c r="N101" s="7" t="str">
        <f t="shared" si="23"/>
        <v>-</v>
      </c>
      <c r="O101" s="7"/>
      <c r="P101" s="311" t="str">
        <f>IFERROR(G101/M101,"-")</f>
        <v>-</v>
      </c>
      <c r="Q101" s="7"/>
      <c r="R101" s="7"/>
      <c r="S101" s="7"/>
      <c r="T101" s="7"/>
      <c r="U101" s="7" t="s">
        <v>2288</v>
      </c>
      <c r="V101" s="7" t="s">
        <v>2289</v>
      </c>
      <c r="W101" s="7" t="str">
        <f>Preencher!$B$3&amp;U101&amp;V101&amp;A101&amp;$W$6</f>
        <v>JARINU-FRG960640MQ.TUNEL DE CG (CONTINUO)</v>
      </c>
      <c r="X101" s="7" t="str">
        <f>Preencher!$B$3&amp;U101&amp;V101&amp;A101&amp;$X$6</f>
        <v>JARINU-FRG960640MQ.TUNEL DE CG (CONTINUO) (1)</v>
      </c>
      <c r="Y101" s="7" t="str">
        <f>Preencher!$B$3&amp;U101&amp;V101&amp;A101&amp;$Y$6</f>
        <v>JARINU-FRG960640MQ.TUNEL DE CG (CONTINUO) (2)</v>
      </c>
      <c r="Z101" s="7" t="str">
        <f>Preencher!$B$3&amp;U101&amp;V101&amp;A101&amp;$Z$6</f>
        <v>JARINU-FRG960640MQ.TUNEL DE CG (CONTINUO) (3)</v>
      </c>
      <c r="AA101" s="7" t="str">
        <f>Preencher!$B$3&amp;U101&amp;V101&amp;A101&amp;$AA$6</f>
        <v>JARINU-FRG960640MQ.TUNEL DE CG (ESTATICO)</v>
      </c>
      <c r="AB101" s="7" t="str">
        <f>Preencher!$B$3&amp;U101&amp;V101&amp;A101&amp;$AB$6</f>
        <v>JARINU-FRG960640MQ.TUNEL DE CG (ESTATICO) (1)</v>
      </c>
      <c r="AC101" s="7" t="str">
        <f>Preencher!$B$3&amp;U101&amp;V101&amp;A101&amp;$AC$6</f>
        <v>JARINU-FRG960640MQ.TUNEL DE CG (ESTATICO) (2)</v>
      </c>
      <c r="AD101" s="327">
        <f>IFERROR(SUMIF('BD Otimix'!A:A,'BD VOLUME'!X101,'BD Otimix'!O:O)+SUMIF('BD Otimix'!A:A,'BD VOLUME'!Y101,'BD Otimix'!O:O)+SUMIF('BD Otimix'!A:A,'BD VOLUME'!Z101,'BD Otimix'!O:O)+SUMIF('BD Otimix'!A:A,'BD VOLUME'!AA101,'BD Otimix'!O:O)+SUMIF('BD Otimix'!A:A,'BD VOLUME'!AB101,'BD Otimix'!O:O)+SUMIF('BD Otimix'!A:A,'BD VOLUME'!AC101,'BD Otimix'!O:O)+SUMIF('BD Otimix'!A:A,'BD VOLUME'!W101,'BD Otimix'!O:O),0)</f>
        <v>0</v>
      </c>
      <c r="AE101" s="327">
        <f t="shared" si="24"/>
        <v>0</v>
      </c>
      <c r="AF101" s="7" t="str">
        <f>Preencher!$B$3&amp;$U$8&amp;$V$8&amp;A101&amp;$AF$6</f>
        <v>JARINU-FRG960640MQ.GIROFREEZER</v>
      </c>
      <c r="AG101" s="7" t="str">
        <f>Preencher!$B$3&amp;$U$8&amp;$V$8&amp;A101&amp;$AG$6</f>
        <v>JARINU-FRG960640MQ.GIROFREEZER (1)</v>
      </c>
      <c r="AH101" s="7" t="str">
        <f>Preencher!$B$3&amp;$U$8&amp;$V$8&amp;A101&amp;$AH$6</f>
        <v>JARINU-FRG960640MQ.GIROFREEZER (2)</v>
      </c>
      <c r="AI101" s="7" t="str">
        <f>Preencher!$B$3&amp;$U$8&amp;$V$8&amp;A101&amp;$AI$6</f>
        <v>JARINU-FRG960640MQ.GIROFREEZER REV04</v>
      </c>
      <c r="AJ101" s="7" t="str">
        <f>Preencher!$B$3&amp;$U$8&amp;$V$8&amp;A101&amp;$AJ$6</f>
        <v>JARINU-FRG960640MQ.GIROFREEZER (3)</v>
      </c>
      <c r="AK101" s="327">
        <f>IFERROR(SUMIF('BD Otimix'!A:A,'BD VOLUME'!AG101,'BD Otimix'!O:O)+SUMIF('BD Otimix'!A:A,'BD VOLUME'!AH101,'BD Otimix'!O:O)+SUMIF('BD Otimix'!A:A,'BD VOLUME'!AI101,'BD Otimix'!O:O)+SUMIF('BD Otimix'!A:A,'BD VOLUME'!AJ101,'BD Otimix'!O:O)+SUMIF('BD Otimix'!A:A,'BD VOLUME'!AF101,'BD Otimix'!O:O),0)</f>
        <v>0</v>
      </c>
      <c r="AL101" s="7">
        <f t="shared" si="25"/>
        <v>0</v>
      </c>
    </row>
    <row r="102" spans="1:38">
      <c r="A102" s="346">
        <v>960659</v>
      </c>
      <c r="B102" s="346" t="s">
        <v>1389</v>
      </c>
      <c r="C102" s="5" t="s">
        <v>940</v>
      </c>
      <c r="D102" s="5" t="s">
        <v>939</v>
      </c>
      <c r="E102" s="5" t="s">
        <v>1338</v>
      </c>
      <c r="F102" s="132">
        <f>SUMIF('COLAR PLANO'!$A:$A,A102,'COLAR PLANO'!$D:$D)</f>
        <v>0</v>
      </c>
      <c r="G102" s="131">
        <f t="shared" si="31"/>
        <v>0</v>
      </c>
      <c r="H102" s="6">
        <v>0.7772</v>
      </c>
      <c r="I102" s="7">
        <f t="shared" si="27"/>
        <v>0</v>
      </c>
      <c r="J102" s="130">
        <f t="shared" si="28"/>
        <v>0</v>
      </c>
      <c r="K102" s="346"/>
      <c r="L102" s="346"/>
      <c r="M102" s="346"/>
      <c r="N102" s="7" t="str">
        <f t="shared" si="23"/>
        <v>-</v>
      </c>
      <c r="O102" s="7"/>
      <c r="P102" s="311" t="str">
        <f>IFERROR(G102/M102,"-")</f>
        <v>-</v>
      </c>
      <c r="Q102" s="7"/>
      <c r="R102" s="7"/>
      <c r="S102" s="7"/>
      <c r="T102" s="7"/>
      <c r="U102" s="7" t="s">
        <v>2288</v>
      </c>
      <c r="V102" s="7" t="s">
        <v>2289</v>
      </c>
      <c r="W102" s="7" t="str">
        <f>Preencher!$B$3&amp;U102&amp;V102&amp;A102&amp;$W$6</f>
        <v>JARINU-FRG960659MQ.TUNEL DE CG (CONTINUO)</v>
      </c>
      <c r="X102" s="7" t="str">
        <f>Preencher!$B$3&amp;U102&amp;V102&amp;A102&amp;$X$6</f>
        <v>JARINU-FRG960659MQ.TUNEL DE CG (CONTINUO) (1)</v>
      </c>
      <c r="Y102" s="7" t="str">
        <f>Preencher!$B$3&amp;U102&amp;V102&amp;A102&amp;$Y$6</f>
        <v>JARINU-FRG960659MQ.TUNEL DE CG (CONTINUO) (2)</v>
      </c>
      <c r="Z102" s="7" t="str">
        <f>Preencher!$B$3&amp;U102&amp;V102&amp;A102&amp;$Z$6</f>
        <v>JARINU-FRG960659MQ.TUNEL DE CG (CONTINUO) (3)</v>
      </c>
      <c r="AA102" s="7" t="str">
        <f>Preencher!$B$3&amp;U102&amp;V102&amp;A102&amp;$AA$6</f>
        <v>JARINU-FRG960659MQ.TUNEL DE CG (ESTATICO)</v>
      </c>
      <c r="AB102" s="7" t="str">
        <f>Preencher!$B$3&amp;U102&amp;V102&amp;A102&amp;$AB$6</f>
        <v>JARINU-FRG960659MQ.TUNEL DE CG (ESTATICO) (1)</v>
      </c>
      <c r="AC102" s="7" t="str">
        <f>Preencher!$B$3&amp;U102&amp;V102&amp;A102&amp;$AC$6</f>
        <v>JARINU-FRG960659MQ.TUNEL DE CG (ESTATICO) (2)</v>
      </c>
      <c r="AD102" s="327">
        <f>IFERROR(SUMIF('BD Otimix'!A:A,'BD VOLUME'!X102,'BD Otimix'!O:O)+SUMIF('BD Otimix'!A:A,'BD VOLUME'!Y102,'BD Otimix'!O:O)+SUMIF('BD Otimix'!A:A,'BD VOLUME'!Z102,'BD Otimix'!O:O)+SUMIF('BD Otimix'!A:A,'BD VOLUME'!AA102,'BD Otimix'!O:O)+SUMIF('BD Otimix'!A:A,'BD VOLUME'!AB102,'BD Otimix'!O:O)+SUMIF('BD Otimix'!A:A,'BD VOLUME'!AC102,'BD Otimix'!O:O)+SUMIF('BD Otimix'!A:A,'BD VOLUME'!W102,'BD Otimix'!O:O),0)</f>
        <v>0</v>
      </c>
      <c r="AE102" s="327">
        <f t="shared" si="24"/>
        <v>0</v>
      </c>
      <c r="AF102" s="7" t="str">
        <f>Preencher!$B$3&amp;$U$8&amp;$V$8&amp;A102&amp;$AF$6</f>
        <v>JARINU-FRG960659MQ.GIROFREEZER</v>
      </c>
      <c r="AG102" s="7" t="str">
        <f>Preencher!$B$3&amp;$U$8&amp;$V$8&amp;A102&amp;$AG$6</f>
        <v>JARINU-FRG960659MQ.GIROFREEZER (1)</v>
      </c>
      <c r="AH102" s="7" t="str">
        <f>Preencher!$B$3&amp;$U$8&amp;$V$8&amp;A102&amp;$AH$6</f>
        <v>JARINU-FRG960659MQ.GIROFREEZER (2)</v>
      </c>
      <c r="AI102" s="7" t="str">
        <f>Preencher!$B$3&amp;$U$8&amp;$V$8&amp;A102&amp;$AI$6</f>
        <v>JARINU-FRG960659MQ.GIROFREEZER REV04</v>
      </c>
      <c r="AJ102" s="7" t="str">
        <f>Preencher!$B$3&amp;$U$8&amp;$V$8&amp;A102&amp;$AJ$6</f>
        <v>JARINU-FRG960659MQ.GIROFREEZER (3)</v>
      </c>
      <c r="AK102" s="327">
        <f>IFERROR(SUMIF('BD Otimix'!A:A,'BD VOLUME'!AG102,'BD Otimix'!O:O)+SUMIF('BD Otimix'!A:A,'BD VOLUME'!AH102,'BD Otimix'!O:O)+SUMIF('BD Otimix'!A:A,'BD VOLUME'!AI102,'BD Otimix'!O:O)+SUMIF('BD Otimix'!A:A,'BD VOLUME'!AJ102,'BD Otimix'!O:O)+SUMIF('BD Otimix'!A:A,'BD VOLUME'!AF102,'BD Otimix'!O:O),0)</f>
        <v>0</v>
      </c>
      <c r="AL102" s="7">
        <f t="shared" si="25"/>
        <v>0</v>
      </c>
    </row>
    <row r="103" spans="1:38">
      <c r="A103" s="346">
        <v>950690</v>
      </c>
      <c r="B103" s="346" t="s">
        <v>1390</v>
      </c>
      <c r="C103" s="5" t="s">
        <v>940</v>
      </c>
      <c r="D103" s="5" t="s">
        <v>939</v>
      </c>
      <c r="E103" s="5" t="s">
        <v>1338</v>
      </c>
      <c r="F103" s="132">
        <f>SUMIF('COLAR PLANO'!$A:$A,A103,'COLAR PLANO'!$D:$D)</f>
        <v>0</v>
      </c>
      <c r="G103" s="131">
        <f t="shared" si="31"/>
        <v>0</v>
      </c>
      <c r="H103" s="6">
        <v>0.75219999999999998</v>
      </c>
      <c r="I103" s="7">
        <f t="shared" si="27"/>
        <v>0</v>
      </c>
      <c r="J103" s="130">
        <f t="shared" si="28"/>
        <v>0</v>
      </c>
      <c r="K103" s="346"/>
      <c r="L103" s="346"/>
      <c r="M103" s="346"/>
      <c r="N103" s="7" t="str">
        <f t="shared" si="23"/>
        <v>-</v>
      </c>
      <c r="O103" s="7"/>
      <c r="P103" s="7"/>
      <c r="Q103" s="7"/>
      <c r="R103" s="7"/>
      <c r="S103" s="7"/>
      <c r="T103" s="7"/>
      <c r="U103" s="7" t="s">
        <v>2288</v>
      </c>
      <c r="V103" s="7" t="s">
        <v>2289</v>
      </c>
      <c r="W103" s="7" t="str">
        <f>Preencher!$B$3&amp;U103&amp;V103&amp;A103&amp;$W$6</f>
        <v>JARINU-FRG950690MQ.TUNEL DE CG (CONTINUO)</v>
      </c>
      <c r="X103" s="7" t="str">
        <f>Preencher!$B$3&amp;U103&amp;V103&amp;A103&amp;$X$6</f>
        <v>JARINU-FRG950690MQ.TUNEL DE CG (CONTINUO) (1)</v>
      </c>
      <c r="Y103" s="7" t="str">
        <f>Preencher!$B$3&amp;U103&amp;V103&amp;A103&amp;$Y$6</f>
        <v>JARINU-FRG950690MQ.TUNEL DE CG (CONTINUO) (2)</v>
      </c>
      <c r="Z103" s="7" t="str">
        <f>Preencher!$B$3&amp;U103&amp;V103&amp;A103&amp;$Z$6</f>
        <v>JARINU-FRG950690MQ.TUNEL DE CG (CONTINUO) (3)</v>
      </c>
      <c r="AA103" s="7" t="str">
        <f>Preencher!$B$3&amp;U103&amp;V103&amp;A103&amp;$AA$6</f>
        <v>JARINU-FRG950690MQ.TUNEL DE CG (ESTATICO)</v>
      </c>
      <c r="AB103" s="7" t="str">
        <f>Preencher!$B$3&amp;U103&amp;V103&amp;A103&amp;$AB$6</f>
        <v>JARINU-FRG950690MQ.TUNEL DE CG (ESTATICO) (1)</v>
      </c>
      <c r="AC103" s="7" t="str">
        <f>Preencher!$B$3&amp;U103&amp;V103&amp;A103&amp;$AC$6</f>
        <v>JARINU-FRG950690MQ.TUNEL DE CG (ESTATICO) (2)</v>
      </c>
      <c r="AD103" s="327">
        <f>IFERROR(SUMIF('BD Otimix'!A:A,'BD VOLUME'!X103,'BD Otimix'!O:O)+SUMIF('BD Otimix'!A:A,'BD VOLUME'!Y103,'BD Otimix'!O:O)+SUMIF('BD Otimix'!A:A,'BD VOLUME'!Z103,'BD Otimix'!O:O)+SUMIF('BD Otimix'!A:A,'BD VOLUME'!AA103,'BD Otimix'!O:O)+SUMIF('BD Otimix'!A:A,'BD VOLUME'!AB103,'BD Otimix'!O:O)+SUMIF('BD Otimix'!A:A,'BD VOLUME'!AC103,'BD Otimix'!O:O)+SUMIF('BD Otimix'!A:A,'BD VOLUME'!W103,'BD Otimix'!O:O),0)</f>
        <v>0</v>
      </c>
      <c r="AE103" s="327">
        <f t="shared" si="24"/>
        <v>0</v>
      </c>
      <c r="AF103" s="7" t="str">
        <f>Preencher!$B$3&amp;$U$8&amp;$V$8&amp;A103&amp;$AF$6</f>
        <v>JARINU-FRG950690MQ.GIROFREEZER</v>
      </c>
      <c r="AG103" s="7" t="str">
        <f>Preencher!$B$3&amp;$U$8&amp;$V$8&amp;A103&amp;$AG$6</f>
        <v>JARINU-FRG950690MQ.GIROFREEZER (1)</v>
      </c>
      <c r="AH103" s="7" t="str">
        <f>Preencher!$B$3&amp;$U$8&amp;$V$8&amp;A103&amp;$AH$6</f>
        <v>JARINU-FRG950690MQ.GIROFREEZER (2)</v>
      </c>
      <c r="AI103" s="7" t="str">
        <f>Preencher!$B$3&amp;$U$8&amp;$V$8&amp;A103&amp;$AI$6</f>
        <v>JARINU-FRG950690MQ.GIROFREEZER REV04</v>
      </c>
      <c r="AJ103" s="7" t="str">
        <f>Preencher!$B$3&amp;$U$8&amp;$V$8&amp;A103&amp;$AJ$6</f>
        <v>JARINU-FRG950690MQ.GIROFREEZER (3)</v>
      </c>
      <c r="AK103" s="327">
        <f>IFERROR(SUMIF('BD Otimix'!A:A,'BD VOLUME'!AG103,'BD Otimix'!O:O)+SUMIF('BD Otimix'!A:A,'BD VOLUME'!AH103,'BD Otimix'!O:O)+SUMIF('BD Otimix'!A:A,'BD VOLUME'!AI103,'BD Otimix'!O:O)+SUMIF('BD Otimix'!A:A,'BD VOLUME'!AJ103,'BD Otimix'!O:O)+SUMIF('BD Otimix'!A:A,'BD VOLUME'!AF103,'BD Otimix'!O:O),0)</f>
        <v>0</v>
      </c>
      <c r="AL103" s="7">
        <f t="shared" si="25"/>
        <v>0</v>
      </c>
    </row>
    <row r="104" spans="1:38">
      <c r="A104" s="346">
        <v>950691</v>
      </c>
      <c r="B104" s="346" t="s">
        <v>1391</v>
      </c>
      <c r="C104" s="5" t="s">
        <v>940</v>
      </c>
      <c r="D104" s="5" t="s">
        <v>939</v>
      </c>
      <c r="E104" s="5" t="s">
        <v>1338</v>
      </c>
      <c r="F104" s="132">
        <f>SUMIF('COLAR PLANO'!$A:$A,A104,'COLAR PLANO'!$D:$D)</f>
        <v>0</v>
      </c>
      <c r="G104" s="131">
        <f t="shared" si="31"/>
        <v>0</v>
      </c>
      <c r="H104" s="6">
        <v>0.75219999999999998</v>
      </c>
      <c r="I104" s="7">
        <f t="shared" si="27"/>
        <v>0</v>
      </c>
      <c r="J104" s="130">
        <f t="shared" si="28"/>
        <v>0</v>
      </c>
      <c r="K104" s="346"/>
      <c r="L104" s="346"/>
      <c r="M104" s="346"/>
      <c r="N104" s="7" t="str">
        <f t="shared" si="23"/>
        <v>-</v>
      </c>
      <c r="O104" s="7"/>
      <c r="P104" s="7"/>
      <c r="Q104" s="7"/>
      <c r="R104" s="7"/>
      <c r="S104" s="7"/>
      <c r="T104" s="7"/>
      <c r="U104" s="7" t="s">
        <v>2288</v>
      </c>
      <c r="V104" s="7" t="s">
        <v>2289</v>
      </c>
      <c r="W104" s="7" t="str">
        <f>Preencher!$B$3&amp;U104&amp;V104&amp;A104&amp;$W$6</f>
        <v>JARINU-FRG950691MQ.TUNEL DE CG (CONTINUO)</v>
      </c>
      <c r="X104" s="7" t="str">
        <f>Preencher!$B$3&amp;U104&amp;V104&amp;A104&amp;$X$6</f>
        <v>JARINU-FRG950691MQ.TUNEL DE CG (CONTINUO) (1)</v>
      </c>
      <c r="Y104" s="7" t="str">
        <f>Preencher!$B$3&amp;U104&amp;V104&amp;A104&amp;$Y$6</f>
        <v>JARINU-FRG950691MQ.TUNEL DE CG (CONTINUO) (2)</v>
      </c>
      <c r="Z104" s="7" t="str">
        <f>Preencher!$B$3&amp;U104&amp;V104&amp;A104&amp;$Z$6</f>
        <v>JARINU-FRG950691MQ.TUNEL DE CG (CONTINUO) (3)</v>
      </c>
      <c r="AA104" s="7" t="str">
        <f>Preencher!$B$3&amp;U104&amp;V104&amp;A104&amp;$AA$6</f>
        <v>JARINU-FRG950691MQ.TUNEL DE CG (ESTATICO)</v>
      </c>
      <c r="AB104" s="7" t="str">
        <f>Preencher!$B$3&amp;U104&amp;V104&amp;A104&amp;$AB$6</f>
        <v>JARINU-FRG950691MQ.TUNEL DE CG (ESTATICO) (1)</v>
      </c>
      <c r="AC104" s="7" t="str">
        <f>Preencher!$B$3&amp;U104&amp;V104&amp;A104&amp;$AC$6</f>
        <v>JARINU-FRG950691MQ.TUNEL DE CG (ESTATICO) (2)</v>
      </c>
      <c r="AD104" s="327">
        <f>IFERROR(SUMIF('BD Otimix'!A:A,'BD VOLUME'!X104,'BD Otimix'!O:O)+SUMIF('BD Otimix'!A:A,'BD VOLUME'!Y104,'BD Otimix'!O:O)+SUMIF('BD Otimix'!A:A,'BD VOLUME'!Z104,'BD Otimix'!O:O)+SUMIF('BD Otimix'!A:A,'BD VOLUME'!AA104,'BD Otimix'!O:O)+SUMIF('BD Otimix'!A:A,'BD VOLUME'!AB104,'BD Otimix'!O:O)+SUMIF('BD Otimix'!A:A,'BD VOLUME'!AC104,'BD Otimix'!O:O)+SUMIF('BD Otimix'!A:A,'BD VOLUME'!W104,'BD Otimix'!O:O),0)</f>
        <v>0</v>
      </c>
      <c r="AE104" s="327">
        <f t="shared" si="24"/>
        <v>0</v>
      </c>
      <c r="AF104" s="7" t="str">
        <f>Preencher!$B$3&amp;$U$8&amp;$V$8&amp;A104&amp;$AF$6</f>
        <v>JARINU-FRG950691MQ.GIROFREEZER</v>
      </c>
      <c r="AG104" s="7" t="str">
        <f>Preencher!$B$3&amp;$U$8&amp;$V$8&amp;A104&amp;$AG$6</f>
        <v>JARINU-FRG950691MQ.GIROFREEZER (1)</v>
      </c>
      <c r="AH104" s="7" t="str">
        <f>Preencher!$B$3&amp;$U$8&amp;$V$8&amp;A104&amp;$AH$6</f>
        <v>JARINU-FRG950691MQ.GIROFREEZER (2)</v>
      </c>
      <c r="AI104" s="7" t="str">
        <f>Preencher!$B$3&amp;$U$8&amp;$V$8&amp;A104&amp;$AI$6</f>
        <v>JARINU-FRG950691MQ.GIROFREEZER REV04</v>
      </c>
      <c r="AJ104" s="7" t="str">
        <f>Preencher!$B$3&amp;$U$8&amp;$V$8&amp;A104&amp;$AJ$6</f>
        <v>JARINU-FRG950691MQ.GIROFREEZER (3)</v>
      </c>
      <c r="AK104" s="327">
        <f>IFERROR(SUMIF('BD Otimix'!A:A,'BD VOLUME'!AG104,'BD Otimix'!O:O)+SUMIF('BD Otimix'!A:A,'BD VOLUME'!AH104,'BD Otimix'!O:O)+SUMIF('BD Otimix'!A:A,'BD VOLUME'!AI104,'BD Otimix'!O:O)+SUMIF('BD Otimix'!A:A,'BD VOLUME'!AJ104,'BD Otimix'!O:O)+SUMIF('BD Otimix'!A:A,'BD VOLUME'!AF104,'BD Otimix'!O:O),0)</f>
        <v>0</v>
      </c>
      <c r="AL104" s="7">
        <f t="shared" si="25"/>
        <v>0</v>
      </c>
    </row>
    <row r="105" spans="1:38">
      <c r="A105" s="346">
        <v>950692</v>
      </c>
      <c r="B105" s="346" t="s">
        <v>1392</v>
      </c>
      <c r="C105" s="5" t="s">
        <v>940</v>
      </c>
      <c r="D105" s="5" t="s">
        <v>939</v>
      </c>
      <c r="E105" s="5" t="s">
        <v>1338</v>
      </c>
      <c r="F105" s="132">
        <f>SUMIF('COLAR PLANO'!$A:$A,A105,'COLAR PLANO'!$D:$D)</f>
        <v>0</v>
      </c>
      <c r="G105" s="131">
        <f t="shared" si="31"/>
        <v>0</v>
      </c>
      <c r="H105" s="6">
        <v>0.75219999999999998</v>
      </c>
      <c r="I105" s="7">
        <f t="shared" si="27"/>
        <v>0</v>
      </c>
      <c r="J105" s="130">
        <f t="shared" si="28"/>
        <v>0</v>
      </c>
      <c r="K105" s="346"/>
      <c r="L105" s="346"/>
      <c r="M105" s="346"/>
      <c r="N105" s="7" t="str">
        <f t="shared" si="23"/>
        <v>-</v>
      </c>
      <c r="O105" s="7"/>
      <c r="P105" s="7"/>
      <c r="Q105" s="7"/>
      <c r="R105" s="7"/>
      <c r="S105" s="7"/>
      <c r="T105" s="7"/>
      <c r="U105" s="7" t="s">
        <v>2288</v>
      </c>
      <c r="V105" s="7" t="s">
        <v>2289</v>
      </c>
      <c r="W105" s="7" t="str">
        <f>Preencher!$B$3&amp;U105&amp;V105&amp;A105&amp;$W$6</f>
        <v>JARINU-FRG950692MQ.TUNEL DE CG (CONTINUO)</v>
      </c>
      <c r="X105" s="7" t="str">
        <f>Preencher!$B$3&amp;U105&amp;V105&amp;A105&amp;$X$6</f>
        <v>JARINU-FRG950692MQ.TUNEL DE CG (CONTINUO) (1)</v>
      </c>
      <c r="Y105" s="7" t="str">
        <f>Preencher!$B$3&amp;U105&amp;V105&amp;A105&amp;$Y$6</f>
        <v>JARINU-FRG950692MQ.TUNEL DE CG (CONTINUO) (2)</v>
      </c>
      <c r="Z105" s="7" t="str">
        <f>Preencher!$B$3&amp;U105&amp;V105&amp;A105&amp;$Z$6</f>
        <v>JARINU-FRG950692MQ.TUNEL DE CG (CONTINUO) (3)</v>
      </c>
      <c r="AA105" s="7" t="str">
        <f>Preencher!$B$3&amp;U105&amp;V105&amp;A105&amp;$AA$6</f>
        <v>JARINU-FRG950692MQ.TUNEL DE CG (ESTATICO)</v>
      </c>
      <c r="AB105" s="7" t="str">
        <f>Preencher!$B$3&amp;U105&amp;V105&amp;A105&amp;$AB$6</f>
        <v>JARINU-FRG950692MQ.TUNEL DE CG (ESTATICO) (1)</v>
      </c>
      <c r="AC105" s="7" t="str">
        <f>Preencher!$B$3&amp;U105&amp;V105&amp;A105&amp;$AC$6</f>
        <v>JARINU-FRG950692MQ.TUNEL DE CG (ESTATICO) (2)</v>
      </c>
      <c r="AD105" s="327">
        <f>IFERROR(SUMIF('BD Otimix'!A:A,'BD VOLUME'!X105,'BD Otimix'!O:O)+SUMIF('BD Otimix'!A:A,'BD VOLUME'!Y105,'BD Otimix'!O:O)+SUMIF('BD Otimix'!A:A,'BD VOLUME'!Z105,'BD Otimix'!O:O)+SUMIF('BD Otimix'!A:A,'BD VOLUME'!AA105,'BD Otimix'!O:O)+SUMIF('BD Otimix'!A:A,'BD VOLUME'!AB105,'BD Otimix'!O:O)+SUMIF('BD Otimix'!A:A,'BD VOLUME'!AC105,'BD Otimix'!O:O)+SUMIF('BD Otimix'!A:A,'BD VOLUME'!W105,'BD Otimix'!O:O),0)</f>
        <v>0</v>
      </c>
      <c r="AE105" s="327">
        <f t="shared" si="24"/>
        <v>0</v>
      </c>
      <c r="AF105" s="7" t="str">
        <f>Preencher!$B$3&amp;$U$8&amp;$V$8&amp;A105&amp;$AF$6</f>
        <v>JARINU-FRG950692MQ.GIROFREEZER</v>
      </c>
      <c r="AG105" s="7" t="str">
        <f>Preencher!$B$3&amp;$U$8&amp;$V$8&amp;A105&amp;$AG$6</f>
        <v>JARINU-FRG950692MQ.GIROFREEZER (1)</v>
      </c>
      <c r="AH105" s="7" t="str">
        <f>Preencher!$B$3&amp;$U$8&amp;$V$8&amp;A105&amp;$AH$6</f>
        <v>JARINU-FRG950692MQ.GIROFREEZER (2)</v>
      </c>
      <c r="AI105" s="7" t="str">
        <f>Preencher!$B$3&amp;$U$8&amp;$V$8&amp;A105&amp;$AI$6</f>
        <v>JARINU-FRG950692MQ.GIROFREEZER REV04</v>
      </c>
      <c r="AJ105" s="7" t="str">
        <f>Preencher!$B$3&amp;$U$8&amp;$V$8&amp;A105&amp;$AJ$6</f>
        <v>JARINU-FRG950692MQ.GIROFREEZER (3)</v>
      </c>
      <c r="AK105" s="327">
        <f>IFERROR(SUMIF('BD Otimix'!A:A,'BD VOLUME'!AG105,'BD Otimix'!O:O)+SUMIF('BD Otimix'!A:A,'BD VOLUME'!AH105,'BD Otimix'!O:O)+SUMIF('BD Otimix'!A:A,'BD VOLUME'!AI105,'BD Otimix'!O:O)+SUMIF('BD Otimix'!A:A,'BD VOLUME'!AJ105,'BD Otimix'!O:O)+SUMIF('BD Otimix'!A:A,'BD VOLUME'!AF105,'BD Otimix'!O:O),0)</f>
        <v>0</v>
      </c>
      <c r="AL105" s="7">
        <f t="shared" si="25"/>
        <v>0</v>
      </c>
    </row>
    <row r="106" spans="1:38">
      <c r="A106" s="346">
        <v>950693</v>
      </c>
      <c r="B106" s="346" t="s">
        <v>1393</v>
      </c>
      <c r="C106" s="5" t="s">
        <v>940</v>
      </c>
      <c r="D106" s="5" t="s">
        <v>939</v>
      </c>
      <c r="E106" s="5" t="s">
        <v>1338</v>
      </c>
      <c r="F106" s="132">
        <f>SUMIF('COLAR PLANO'!$A:$A,A106,'COLAR PLANO'!$D:$D)</f>
        <v>0</v>
      </c>
      <c r="G106" s="131">
        <f t="shared" si="31"/>
        <v>0</v>
      </c>
      <c r="H106" s="6">
        <v>0.75219999999999998</v>
      </c>
      <c r="I106" s="7">
        <f t="shared" si="27"/>
        <v>0</v>
      </c>
      <c r="J106" s="130">
        <f t="shared" si="28"/>
        <v>0</v>
      </c>
      <c r="K106" s="346"/>
      <c r="L106" s="346"/>
      <c r="M106" s="346"/>
      <c r="N106" s="7" t="str">
        <f t="shared" si="23"/>
        <v>-</v>
      </c>
      <c r="O106" s="7"/>
      <c r="P106" s="7"/>
      <c r="Q106" s="7"/>
      <c r="R106" s="7"/>
      <c r="S106" s="7"/>
      <c r="T106" s="7"/>
      <c r="U106" s="7" t="s">
        <v>2288</v>
      </c>
      <c r="V106" s="7" t="s">
        <v>2289</v>
      </c>
      <c r="W106" s="7" t="str">
        <f>Preencher!$B$3&amp;U106&amp;V106&amp;A106&amp;$W$6</f>
        <v>JARINU-FRG950693MQ.TUNEL DE CG (CONTINUO)</v>
      </c>
      <c r="X106" s="7" t="str">
        <f>Preencher!$B$3&amp;U106&amp;V106&amp;A106&amp;$X$6</f>
        <v>JARINU-FRG950693MQ.TUNEL DE CG (CONTINUO) (1)</v>
      </c>
      <c r="Y106" s="7" t="str">
        <f>Preencher!$B$3&amp;U106&amp;V106&amp;A106&amp;$Y$6</f>
        <v>JARINU-FRG950693MQ.TUNEL DE CG (CONTINUO) (2)</v>
      </c>
      <c r="Z106" s="7" t="str">
        <f>Preencher!$B$3&amp;U106&amp;V106&amp;A106&amp;$Z$6</f>
        <v>JARINU-FRG950693MQ.TUNEL DE CG (CONTINUO) (3)</v>
      </c>
      <c r="AA106" s="7" t="str">
        <f>Preencher!$B$3&amp;U106&amp;V106&amp;A106&amp;$AA$6</f>
        <v>JARINU-FRG950693MQ.TUNEL DE CG (ESTATICO)</v>
      </c>
      <c r="AB106" s="7" t="str">
        <f>Preencher!$B$3&amp;U106&amp;V106&amp;A106&amp;$AB$6</f>
        <v>JARINU-FRG950693MQ.TUNEL DE CG (ESTATICO) (1)</v>
      </c>
      <c r="AC106" s="7" t="str">
        <f>Preencher!$B$3&amp;U106&amp;V106&amp;A106&amp;$AC$6</f>
        <v>JARINU-FRG950693MQ.TUNEL DE CG (ESTATICO) (2)</v>
      </c>
      <c r="AD106" s="327">
        <f>IFERROR(SUMIF('BD Otimix'!A:A,'BD VOLUME'!X106,'BD Otimix'!O:O)+SUMIF('BD Otimix'!A:A,'BD VOLUME'!Y106,'BD Otimix'!O:O)+SUMIF('BD Otimix'!A:A,'BD VOLUME'!Z106,'BD Otimix'!O:O)+SUMIF('BD Otimix'!A:A,'BD VOLUME'!AA106,'BD Otimix'!O:O)+SUMIF('BD Otimix'!A:A,'BD VOLUME'!AB106,'BD Otimix'!O:O)+SUMIF('BD Otimix'!A:A,'BD VOLUME'!AC106,'BD Otimix'!O:O)+SUMIF('BD Otimix'!A:A,'BD VOLUME'!W106,'BD Otimix'!O:O),0)</f>
        <v>0</v>
      </c>
      <c r="AE106" s="327">
        <f t="shared" si="24"/>
        <v>0</v>
      </c>
      <c r="AF106" s="7" t="str">
        <f>Preencher!$B$3&amp;$U$8&amp;$V$8&amp;A106&amp;$AF$6</f>
        <v>JARINU-FRG950693MQ.GIROFREEZER</v>
      </c>
      <c r="AG106" s="7" t="str">
        <f>Preencher!$B$3&amp;$U$8&amp;$V$8&amp;A106&amp;$AG$6</f>
        <v>JARINU-FRG950693MQ.GIROFREEZER (1)</v>
      </c>
      <c r="AH106" s="7" t="str">
        <f>Preencher!$B$3&amp;$U$8&amp;$V$8&amp;A106&amp;$AH$6</f>
        <v>JARINU-FRG950693MQ.GIROFREEZER (2)</v>
      </c>
      <c r="AI106" s="7" t="str">
        <f>Preencher!$B$3&amp;$U$8&amp;$V$8&amp;A106&amp;$AI$6</f>
        <v>JARINU-FRG950693MQ.GIROFREEZER REV04</v>
      </c>
      <c r="AJ106" s="7" t="str">
        <f>Preencher!$B$3&amp;$U$8&amp;$V$8&amp;A106&amp;$AJ$6</f>
        <v>JARINU-FRG950693MQ.GIROFREEZER (3)</v>
      </c>
      <c r="AK106" s="327">
        <f>IFERROR(SUMIF('BD Otimix'!A:A,'BD VOLUME'!AG106,'BD Otimix'!O:O)+SUMIF('BD Otimix'!A:A,'BD VOLUME'!AH106,'BD Otimix'!O:O)+SUMIF('BD Otimix'!A:A,'BD VOLUME'!AI106,'BD Otimix'!O:O)+SUMIF('BD Otimix'!A:A,'BD VOLUME'!AJ106,'BD Otimix'!O:O)+SUMIF('BD Otimix'!A:A,'BD VOLUME'!AF106,'BD Otimix'!O:O),0)</f>
        <v>0</v>
      </c>
      <c r="AL106" s="7">
        <f t="shared" si="25"/>
        <v>0</v>
      </c>
    </row>
    <row r="107" spans="1:38">
      <c r="A107" s="346">
        <v>950694</v>
      </c>
      <c r="B107" s="346" t="s">
        <v>1394</v>
      </c>
      <c r="C107" s="5" t="s">
        <v>940</v>
      </c>
      <c r="D107" s="5" t="s">
        <v>939</v>
      </c>
      <c r="E107" s="5" t="s">
        <v>1338</v>
      </c>
      <c r="F107" s="132">
        <f>SUMIF('COLAR PLANO'!$A:$A,A107,'COLAR PLANO'!$D:$D)</f>
        <v>0</v>
      </c>
      <c r="G107" s="131">
        <f t="shared" si="31"/>
        <v>0</v>
      </c>
      <c r="H107" s="6">
        <v>0.75219999999999998</v>
      </c>
      <c r="I107" s="7">
        <f t="shared" si="27"/>
        <v>0</v>
      </c>
      <c r="J107" s="130">
        <f t="shared" si="28"/>
        <v>0</v>
      </c>
      <c r="K107" s="346"/>
      <c r="L107" s="346"/>
      <c r="M107" s="346"/>
      <c r="N107" s="7" t="str">
        <f t="shared" si="23"/>
        <v>-</v>
      </c>
      <c r="O107" s="7"/>
      <c r="P107" s="7"/>
      <c r="Q107" s="7"/>
      <c r="R107" s="7"/>
      <c r="S107" s="7"/>
      <c r="T107" s="7"/>
      <c r="U107" s="7" t="s">
        <v>2288</v>
      </c>
      <c r="V107" s="7" t="s">
        <v>2289</v>
      </c>
      <c r="W107" s="7" t="str">
        <f>Preencher!$B$3&amp;U107&amp;V107&amp;A107&amp;$W$6</f>
        <v>JARINU-FRG950694MQ.TUNEL DE CG (CONTINUO)</v>
      </c>
      <c r="X107" s="7" t="str">
        <f>Preencher!$B$3&amp;U107&amp;V107&amp;A107&amp;$X$6</f>
        <v>JARINU-FRG950694MQ.TUNEL DE CG (CONTINUO) (1)</v>
      </c>
      <c r="Y107" s="7" t="str">
        <f>Preencher!$B$3&amp;U107&amp;V107&amp;A107&amp;$Y$6</f>
        <v>JARINU-FRG950694MQ.TUNEL DE CG (CONTINUO) (2)</v>
      </c>
      <c r="Z107" s="7" t="str">
        <f>Preencher!$B$3&amp;U107&amp;V107&amp;A107&amp;$Z$6</f>
        <v>JARINU-FRG950694MQ.TUNEL DE CG (CONTINUO) (3)</v>
      </c>
      <c r="AA107" s="7" t="str">
        <f>Preencher!$B$3&amp;U107&amp;V107&amp;A107&amp;$AA$6</f>
        <v>JARINU-FRG950694MQ.TUNEL DE CG (ESTATICO)</v>
      </c>
      <c r="AB107" s="7" t="str">
        <f>Preencher!$B$3&amp;U107&amp;V107&amp;A107&amp;$AB$6</f>
        <v>JARINU-FRG950694MQ.TUNEL DE CG (ESTATICO) (1)</v>
      </c>
      <c r="AC107" s="7" t="str">
        <f>Preencher!$B$3&amp;U107&amp;V107&amp;A107&amp;$AC$6</f>
        <v>JARINU-FRG950694MQ.TUNEL DE CG (ESTATICO) (2)</v>
      </c>
      <c r="AD107" s="327">
        <f>IFERROR(SUMIF('BD Otimix'!A:A,'BD VOLUME'!X107,'BD Otimix'!O:O)+SUMIF('BD Otimix'!A:A,'BD VOLUME'!Y107,'BD Otimix'!O:O)+SUMIF('BD Otimix'!A:A,'BD VOLUME'!Z107,'BD Otimix'!O:O)+SUMIF('BD Otimix'!A:A,'BD VOLUME'!AA107,'BD Otimix'!O:O)+SUMIF('BD Otimix'!A:A,'BD VOLUME'!AB107,'BD Otimix'!O:O)+SUMIF('BD Otimix'!A:A,'BD VOLUME'!AC107,'BD Otimix'!O:O)+SUMIF('BD Otimix'!A:A,'BD VOLUME'!W107,'BD Otimix'!O:O),0)</f>
        <v>0</v>
      </c>
      <c r="AE107" s="327">
        <f t="shared" si="24"/>
        <v>0</v>
      </c>
      <c r="AF107" s="7" t="str">
        <f>Preencher!$B$3&amp;$U$8&amp;$V$8&amp;A107&amp;$AF$6</f>
        <v>JARINU-FRG950694MQ.GIROFREEZER</v>
      </c>
      <c r="AG107" s="7" t="str">
        <f>Preencher!$B$3&amp;$U$8&amp;$V$8&amp;A107&amp;$AG$6</f>
        <v>JARINU-FRG950694MQ.GIROFREEZER (1)</v>
      </c>
      <c r="AH107" s="7" t="str">
        <f>Preencher!$B$3&amp;$U$8&amp;$V$8&amp;A107&amp;$AH$6</f>
        <v>JARINU-FRG950694MQ.GIROFREEZER (2)</v>
      </c>
      <c r="AI107" s="7" t="str">
        <f>Preencher!$B$3&amp;$U$8&amp;$V$8&amp;A107&amp;$AI$6</f>
        <v>JARINU-FRG950694MQ.GIROFREEZER REV04</v>
      </c>
      <c r="AJ107" s="7" t="str">
        <f>Preencher!$B$3&amp;$U$8&amp;$V$8&amp;A107&amp;$AJ$6</f>
        <v>JARINU-FRG950694MQ.GIROFREEZER (3)</v>
      </c>
      <c r="AK107" s="327">
        <f>IFERROR(SUMIF('BD Otimix'!A:A,'BD VOLUME'!AG107,'BD Otimix'!O:O)+SUMIF('BD Otimix'!A:A,'BD VOLUME'!AH107,'BD Otimix'!O:O)+SUMIF('BD Otimix'!A:A,'BD VOLUME'!AI107,'BD Otimix'!O:O)+SUMIF('BD Otimix'!A:A,'BD VOLUME'!AJ107,'BD Otimix'!O:O)+SUMIF('BD Otimix'!A:A,'BD VOLUME'!AF107,'BD Otimix'!O:O),0)</f>
        <v>0</v>
      </c>
      <c r="AL107" s="7">
        <f t="shared" si="25"/>
        <v>0</v>
      </c>
    </row>
    <row r="108" spans="1:38">
      <c r="A108" s="346">
        <v>3173</v>
      </c>
      <c r="B108" s="346" t="s">
        <v>1395</v>
      </c>
      <c r="C108" s="5" t="s">
        <v>940</v>
      </c>
      <c r="D108" s="5" t="s">
        <v>939</v>
      </c>
      <c r="E108" s="5" t="s">
        <v>1338</v>
      </c>
      <c r="F108" s="132">
        <f>SUMIF('COLAR PLANO'!$A:$A,A108,'COLAR PLANO'!$D:$D)</f>
        <v>0</v>
      </c>
      <c r="G108" s="131">
        <f t="shared" si="31"/>
        <v>0</v>
      </c>
      <c r="H108" s="6">
        <v>0.74319999999999997</v>
      </c>
      <c r="I108" s="7">
        <f t="shared" si="27"/>
        <v>0</v>
      </c>
      <c r="J108" s="130">
        <f t="shared" si="28"/>
        <v>0</v>
      </c>
      <c r="K108" s="346"/>
      <c r="L108" s="346"/>
      <c r="M108" s="346"/>
      <c r="N108" s="7" t="str">
        <f t="shared" si="23"/>
        <v>-</v>
      </c>
      <c r="O108" s="7"/>
      <c r="P108" s="7"/>
      <c r="Q108" s="7"/>
      <c r="R108" s="7"/>
      <c r="S108" s="7"/>
      <c r="T108" s="7"/>
      <c r="U108" s="7" t="s">
        <v>2288</v>
      </c>
      <c r="V108" s="7" t="s">
        <v>2289</v>
      </c>
      <c r="W108" s="7" t="str">
        <f>Preencher!$B$3&amp;U108&amp;V108&amp;A108&amp;$W$6</f>
        <v>JARINU-FRG3173MQ.TUNEL DE CG (CONTINUO)</v>
      </c>
      <c r="X108" s="7" t="str">
        <f>Preencher!$B$3&amp;U108&amp;V108&amp;A108&amp;$X$6</f>
        <v>JARINU-FRG3173MQ.TUNEL DE CG (CONTINUO) (1)</v>
      </c>
      <c r="Y108" s="7" t="str">
        <f>Preencher!$B$3&amp;U108&amp;V108&amp;A108&amp;$Y$6</f>
        <v>JARINU-FRG3173MQ.TUNEL DE CG (CONTINUO) (2)</v>
      </c>
      <c r="Z108" s="7" t="str">
        <f>Preencher!$B$3&amp;U108&amp;V108&amp;A108&amp;$Z$6</f>
        <v>JARINU-FRG3173MQ.TUNEL DE CG (CONTINUO) (3)</v>
      </c>
      <c r="AA108" s="7" t="str">
        <f>Preencher!$B$3&amp;U108&amp;V108&amp;A108&amp;$AA$6</f>
        <v>JARINU-FRG3173MQ.TUNEL DE CG (ESTATICO)</v>
      </c>
      <c r="AB108" s="7" t="str">
        <f>Preencher!$B$3&amp;U108&amp;V108&amp;A108&amp;$AB$6</f>
        <v>JARINU-FRG3173MQ.TUNEL DE CG (ESTATICO) (1)</v>
      </c>
      <c r="AC108" s="7" t="str">
        <f>Preencher!$B$3&amp;U108&amp;V108&amp;A108&amp;$AC$6</f>
        <v>JARINU-FRG3173MQ.TUNEL DE CG (ESTATICO) (2)</v>
      </c>
      <c r="AD108" s="327">
        <f>IFERROR(SUMIF('BD Otimix'!A:A,'BD VOLUME'!X108,'BD Otimix'!O:O)+SUMIF('BD Otimix'!A:A,'BD VOLUME'!Y108,'BD Otimix'!O:O)+SUMIF('BD Otimix'!A:A,'BD VOLUME'!Z108,'BD Otimix'!O:O)+SUMIF('BD Otimix'!A:A,'BD VOLUME'!AA108,'BD Otimix'!O:O)+SUMIF('BD Otimix'!A:A,'BD VOLUME'!AB108,'BD Otimix'!O:O)+SUMIF('BD Otimix'!A:A,'BD VOLUME'!AC108,'BD Otimix'!O:O)+SUMIF('BD Otimix'!A:A,'BD VOLUME'!W108,'BD Otimix'!O:O),0)</f>
        <v>0</v>
      </c>
      <c r="AE108" s="327">
        <f t="shared" si="24"/>
        <v>0</v>
      </c>
      <c r="AF108" s="7" t="str">
        <f>Preencher!$B$3&amp;$U$8&amp;$V$8&amp;A108&amp;$AF$6</f>
        <v>JARINU-FRG3173MQ.GIROFREEZER</v>
      </c>
      <c r="AG108" s="7" t="str">
        <f>Preencher!$B$3&amp;$U$8&amp;$V$8&amp;A108&amp;$AG$6</f>
        <v>JARINU-FRG3173MQ.GIROFREEZER (1)</v>
      </c>
      <c r="AH108" s="7" t="str">
        <f>Preencher!$B$3&amp;$U$8&amp;$V$8&amp;A108&amp;$AH$6</f>
        <v>JARINU-FRG3173MQ.GIROFREEZER (2)</v>
      </c>
      <c r="AI108" s="7" t="str">
        <f>Preencher!$B$3&amp;$U$8&amp;$V$8&amp;A108&amp;$AI$6</f>
        <v>JARINU-FRG3173MQ.GIROFREEZER REV04</v>
      </c>
      <c r="AJ108" s="7" t="str">
        <f>Preencher!$B$3&amp;$U$8&amp;$V$8&amp;A108&amp;$AJ$6</f>
        <v>JARINU-FRG3173MQ.GIROFREEZER (3)</v>
      </c>
      <c r="AK108" s="327">
        <f>IFERROR(SUMIF('BD Otimix'!A:A,'BD VOLUME'!AG108,'BD Otimix'!O:O)+SUMIF('BD Otimix'!A:A,'BD VOLUME'!AH108,'BD Otimix'!O:O)+SUMIF('BD Otimix'!A:A,'BD VOLUME'!AI108,'BD Otimix'!O:O)+SUMIF('BD Otimix'!A:A,'BD VOLUME'!AJ108,'BD Otimix'!O:O)+SUMIF('BD Otimix'!A:A,'BD VOLUME'!AF108,'BD Otimix'!O:O),0)</f>
        <v>0</v>
      </c>
      <c r="AL108" s="7">
        <f t="shared" si="25"/>
        <v>0</v>
      </c>
    </row>
    <row r="109" spans="1:38">
      <c r="A109" s="346">
        <v>124142</v>
      </c>
      <c r="B109" s="346" t="s">
        <v>1397</v>
      </c>
      <c r="C109" s="5" t="s">
        <v>940</v>
      </c>
      <c r="D109" s="5" t="s">
        <v>939</v>
      </c>
      <c r="E109" s="5" t="s">
        <v>1338</v>
      </c>
      <c r="F109" s="132">
        <f>SUMIF('COLAR PLANO'!$A:$A,A109,'COLAR PLANO'!$D:$D)</f>
        <v>0</v>
      </c>
      <c r="G109" s="131">
        <f t="shared" si="31"/>
        <v>0</v>
      </c>
      <c r="H109" s="6">
        <v>0.74140000000000006</v>
      </c>
      <c r="I109" s="7">
        <f t="shared" si="27"/>
        <v>0</v>
      </c>
      <c r="J109" s="130">
        <f t="shared" si="28"/>
        <v>0</v>
      </c>
      <c r="K109" s="346"/>
      <c r="L109" s="346"/>
      <c r="M109" s="346"/>
      <c r="N109" s="7" t="str">
        <f t="shared" si="23"/>
        <v>-</v>
      </c>
      <c r="O109" s="7"/>
      <c r="P109" s="311" t="str">
        <f t="shared" ref="P109:P115" si="35">IFERROR(G109/M109,"-")</f>
        <v>-</v>
      </c>
      <c r="Q109" s="7"/>
      <c r="R109" s="7"/>
      <c r="S109" s="7"/>
      <c r="T109" s="7"/>
      <c r="U109" s="7" t="s">
        <v>2288</v>
      </c>
      <c r="V109" s="7" t="s">
        <v>2289</v>
      </c>
      <c r="W109" s="7" t="str">
        <f>Preencher!$B$3&amp;U109&amp;V109&amp;A109&amp;$W$6</f>
        <v>JARINU-FRG124142MQ.TUNEL DE CG (CONTINUO)</v>
      </c>
      <c r="X109" s="7" t="str">
        <f>Preencher!$B$3&amp;U109&amp;V109&amp;A109&amp;$X$6</f>
        <v>JARINU-FRG124142MQ.TUNEL DE CG (CONTINUO) (1)</v>
      </c>
      <c r="Y109" s="7" t="str">
        <f>Preencher!$B$3&amp;U109&amp;V109&amp;A109&amp;$Y$6</f>
        <v>JARINU-FRG124142MQ.TUNEL DE CG (CONTINUO) (2)</v>
      </c>
      <c r="Z109" s="7" t="str">
        <f>Preencher!$B$3&amp;U109&amp;V109&amp;A109&amp;$Z$6</f>
        <v>JARINU-FRG124142MQ.TUNEL DE CG (CONTINUO) (3)</v>
      </c>
      <c r="AA109" s="7" t="str">
        <f>Preencher!$B$3&amp;U109&amp;V109&amp;A109&amp;$AA$6</f>
        <v>JARINU-FRG124142MQ.TUNEL DE CG (ESTATICO)</v>
      </c>
      <c r="AB109" s="7" t="str">
        <f>Preencher!$B$3&amp;U109&amp;V109&amp;A109&amp;$AB$6</f>
        <v>JARINU-FRG124142MQ.TUNEL DE CG (ESTATICO) (1)</v>
      </c>
      <c r="AC109" s="7" t="str">
        <f>Preencher!$B$3&amp;U109&amp;V109&amp;A109&amp;$AC$6</f>
        <v>JARINU-FRG124142MQ.TUNEL DE CG (ESTATICO) (2)</v>
      </c>
      <c r="AD109" s="327">
        <f>IFERROR(SUMIF('BD Otimix'!A:A,'BD VOLUME'!X109,'BD Otimix'!O:O)+SUMIF('BD Otimix'!A:A,'BD VOLUME'!Y109,'BD Otimix'!O:O)+SUMIF('BD Otimix'!A:A,'BD VOLUME'!Z109,'BD Otimix'!O:O)+SUMIF('BD Otimix'!A:A,'BD VOLUME'!AA109,'BD Otimix'!O:O)+SUMIF('BD Otimix'!A:A,'BD VOLUME'!AB109,'BD Otimix'!O:O)+SUMIF('BD Otimix'!A:A,'BD VOLUME'!AC109,'BD Otimix'!O:O)+SUMIF('BD Otimix'!A:A,'BD VOLUME'!W109,'BD Otimix'!O:O),0)</f>
        <v>0</v>
      </c>
      <c r="AE109" s="327">
        <f t="shared" si="24"/>
        <v>0</v>
      </c>
      <c r="AF109" s="7" t="str">
        <f>Preencher!$B$3&amp;$U$8&amp;$V$8&amp;A109&amp;$AF$6</f>
        <v>JARINU-FRG124142MQ.GIROFREEZER</v>
      </c>
      <c r="AG109" s="7" t="str">
        <f>Preencher!$B$3&amp;$U$8&amp;$V$8&amp;A109&amp;$AG$6</f>
        <v>JARINU-FRG124142MQ.GIROFREEZER (1)</v>
      </c>
      <c r="AH109" s="7" t="str">
        <f>Preencher!$B$3&amp;$U$8&amp;$V$8&amp;A109&amp;$AH$6</f>
        <v>JARINU-FRG124142MQ.GIROFREEZER (2)</v>
      </c>
      <c r="AI109" s="7" t="str">
        <f>Preencher!$B$3&amp;$U$8&amp;$V$8&amp;A109&amp;$AI$6</f>
        <v>JARINU-FRG124142MQ.GIROFREEZER REV04</v>
      </c>
      <c r="AJ109" s="7" t="str">
        <f>Preencher!$B$3&amp;$U$8&amp;$V$8&amp;A109&amp;$AJ$6</f>
        <v>JARINU-FRG124142MQ.GIROFREEZER (3)</v>
      </c>
      <c r="AK109" s="327">
        <f>IFERROR(SUMIF('BD Otimix'!A:A,'BD VOLUME'!AG109,'BD Otimix'!O:O)+SUMIF('BD Otimix'!A:A,'BD VOLUME'!AH109,'BD Otimix'!O:O)+SUMIF('BD Otimix'!A:A,'BD VOLUME'!AI109,'BD Otimix'!O:O)+SUMIF('BD Otimix'!A:A,'BD VOLUME'!AJ109,'BD Otimix'!O:O)+SUMIF('BD Otimix'!A:A,'BD VOLUME'!AF109,'BD Otimix'!O:O),0)</f>
        <v>0</v>
      </c>
      <c r="AL109" s="7">
        <f t="shared" si="25"/>
        <v>0</v>
      </c>
    </row>
    <row r="110" spans="1:38">
      <c r="A110" s="346">
        <v>124143</v>
      </c>
      <c r="B110" s="346" t="s">
        <v>1398</v>
      </c>
      <c r="C110" s="5" t="s">
        <v>940</v>
      </c>
      <c r="D110" s="5" t="s">
        <v>939</v>
      </c>
      <c r="E110" s="5" t="s">
        <v>1338</v>
      </c>
      <c r="F110" s="132">
        <f>SUMIF('COLAR PLANO'!$A:$A,A110,'COLAR PLANO'!$D:$D)</f>
        <v>0</v>
      </c>
      <c r="G110" s="131">
        <f t="shared" si="31"/>
        <v>0</v>
      </c>
      <c r="H110" s="6">
        <v>0.74140000000000006</v>
      </c>
      <c r="I110" s="7">
        <f t="shared" si="27"/>
        <v>0</v>
      </c>
      <c r="J110" s="130">
        <f t="shared" si="28"/>
        <v>0</v>
      </c>
      <c r="K110" s="346">
        <v>0.9</v>
      </c>
      <c r="L110" s="346">
        <v>10</v>
      </c>
      <c r="M110" s="346">
        <v>9</v>
      </c>
      <c r="N110" s="7">
        <f t="shared" si="23"/>
        <v>0</v>
      </c>
      <c r="O110" s="7">
        <f>IFERROR(G110/M110,"-")</f>
        <v>0</v>
      </c>
      <c r="P110" s="311">
        <f t="shared" si="35"/>
        <v>0</v>
      </c>
      <c r="Q110" s="7"/>
      <c r="R110" s="7"/>
      <c r="S110" s="7"/>
      <c r="T110" s="7"/>
      <c r="U110" s="7" t="s">
        <v>2288</v>
      </c>
      <c r="V110" s="7" t="s">
        <v>2289</v>
      </c>
      <c r="W110" s="7" t="str">
        <f>Preencher!$B$3&amp;U110&amp;V110&amp;A110&amp;$W$6</f>
        <v>JARINU-FRG124143MQ.TUNEL DE CG (CONTINUO)</v>
      </c>
      <c r="X110" s="7" t="str">
        <f>Preencher!$B$3&amp;U110&amp;V110&amp;A110&amp;$X$6</f>
        <v>JARINU-FRG124143MQ.TUNEL DE CG (CONTINUO) (1)</v>
      </c>
      <c r="Y110" s="7" t="str">
        <f>Preencher!$B$3&amp;U110&amp;V110&amp;A110&amp;$Y$6</f>
        <v>JARINU-FRG124143MQ.TUNEL DE CG (CONTINUO) (2)</v>
      </c>
      <c r="Z110" s="7" t="str">
        <f>Preencher!$B$3&amp;U110&amp;V110&amp;A110&amp;$Z$6</f>
        <v>JARINU-FRG124143MQ.TUNEL DE CG (CONTINUO) (3)</v>
      </c>
      <c r="AA110" s="7" t="str">
        <f>Preencher!$B$3&amp;U110&amp;V110&amp;A110&amp;$AA$6</f>
        <v>JARINU-FRG124143MQ.TUNEL DE CG (ESTATICO)</v>
      </c>
      <c r="AB110" s="7" t="str">
        <f>Preencher!$B$3&amp;U110&amp;V110&amp;A110&amp;$AB$6</f>
        <v>JARINU-FRG124143MQ.TUNEL DE CG (ESTATICO) (1)</v>
      </c>
      <c r="AC110" s="7" t="str">
        <f>Preencher!$B$3&amp;U110&amp;V110&amp;A110&amp;$AC$6</f>
        <v>JARINU-FRG124143MQ.TUNEL DE CG (ESTATICO) (2)</v>
      </c>
      <c r="AD110" s="327">
        <f>IFERROR(SUMIF('BD Otimix'!A:A,'BD VOLUME'!X110,'BD Otimix'!O:O)+SUMIF('BD Otimix'!A:A,'BD VOLUME'!Y110,'BD Otimix'!O:O)+SUMIF('BD Otimix'!A:A,'BD VOLUME'!Z110,'BD Otimix'!O:O)+SUMIF('BD Otimix'!A:A,'BD VOLUME'!AA110,'BD Otimix'!O:O)+SUMIF('BD Otimix'!A:A,'BD VOLUME'!AB110,'BD Otimix'!O:O)+SUMIF('BD Otimix'!A:A,'BD VOLUME'!AC110,'BD Otimix'!O:O)+SUMIF('BD Otimix'!A:A,'BD VOLUME'!W110,'BD Otimix'!O:O),0)</f>
        <v>0</v>
      </c>
      <c r="AE110" s="327">
        <f t="shared" si="24"/>
        <v>0</v>
      </c>
      <c r="AF110" s="7" t="str">
        <f>Preencher!$B$3&amp;$U$8&amp;$V$8&amp;A110&amp;$AF$6</f>
        <v>JARINU-FRG124143MQ.GIROFREEZER</v>
      </c>
      <c r="AG110" s="7" t="str">
        <f>Preencher!$B$3&amp;$U$8&amp;$V$8&amp;A110&amp;$AG$6</f>
        <v>JARINU-FRG124143MQ.GIROFREEZER (1)</v>
      </c>
      <c r="AH110" s="7" t="str">
        <f>Preencher!$B$3&amp;$U$8&amp;$V$8&amp;A110&amp;$AH$6</f>
        <v>JARINU-FRG124143MQ.GIROFREEZER (2)</v>
      </c>
      <c r="AI110" s="7" t="str">
        <f>Preencher!$B$3&amp;$U$8&amp;$V$8&amp;A110&amp;$AI$6</f>
        <v>JARINU-FRG124143MQ.GIROFREEZER REV04</v>
      </c>
      <c r="AJ110" s="7" t="str">
        <f>Preencher!$B$3&amp;$U$8&amp;$V$8&amp;A110&amp;$AJ$6</f>
        <v>JARINU-FRG124143MQ.GIROFREEZER (3)</v>
      </c>
      <c r="AK110" s="327">
        <f>IFERROR(SUMIF('BD Otimix'!A:A,'BD VOLUME'!AG110,'BD Otimix'!O:O)+SUMIF('BD Otimix'!A:A,'BD VOLUME'!AH110,'BD Otimix'!O:O)+SUMIF('BD Otimix'!A:A,'BD VOLUME'!AI110,'BD Otimix'!O:O)+SUMIF('BD Otimix'!A:A,'BD VOLUME'!AJ110,'BD Otimix'!O:O)+SUMIF('BD Otimix'!A:A,'BD VOLUME'!AF110,'BD Otimix'!O:O),0)</f>
        <v>0</v>
      </c>
      <c r="AL110" s="7">
        <f t="shared" si="25"/>
        <v>0</v>
      </c>
    </row>
    <row r="111" spans="1:38">
      <c r="A111" s="346">
        <v>124144</v>
      </c>
      <c r="B111" s="346" t="s">
        <v>1399</v>
      </c>
      <c r="C111" s="5" t="s">
        <v>940</v>
      </c>
      <c r="D111" s="5" t="s">
        <v>939</v>
      </c>
      <c r="E111" s="5" t="s">
        <v>1338</v>
      </c>
      <c r="F111" s="132">
        <f>SUMIF('COLAR PLANO'!$A:$A,A111,'COLAR PLANO'!$D:$D)</f>
        <v>0</v>
      </c>
      <c r="G111" s="131">
        <f t="shared" si="31"/>
        <v>0</v>
      </c>
      <c r="H111" s="6">
        <v>0.74140000000000006</v>
      </c>
      <c r="I111" s="7">
        <f t="shared" si="27"/>
        <v>0</v>
      </c>
      <c r="J111" s="130">
        <f t="shared" si="28"/>
        <v>0</v>
      </c>
      <c r="K111" s="346">
        <v>1</v>
      </c>
      <c r="L111" s="346">
        <v>10</v>
      </c>
      <c r="M111" s="346">
        <v>10</v>
      </c>
      <c r="N111" s="7">
        <f t="shared" si="23"/>
        <v>0</v>
      </c>
      <c r="O111" s="7">
        <f>IFERROR(G111/M111,"-")</f>
        <v>0</v>
      </c>
      <c r="P111" s="311">
        <f t="shared" si="35"/>
        <v>0</v>
      </c>
      <c r="Q111" s="7"/>
      <c r="R111" s="7"/>
      <c r="S111" s="7"/>
      <c r="T111" s="7"/>
      <c r="U111" s="7" t="s">
        <v>2288</v>
      </c>
      <c r="V111" s="7" t="s">
        <v>2289</v>
      </c>
      <c r="W111" s="7" t="str">
        <f>Preencher!$B$3&amp;U111&amp;V111&amp;A111&amp;$W$6</f>
        <v>JARINU-FRG124144MQ.TUNEL DE CG (CONTINUO)</v>
      </c>
      <c r="X111" s="7" t="str">
        <f>Preencher!$B$3&amp;U111&amp;V111&amp;A111&amp;$X$6</f>
        <v>JARINU-FRG124144MQ.TUNEL DE CG (CONTINUO) (1)</v>
      </c>
      <c r="Y111" s="7" t="str">
        <f>Preencher!$B$3&amp;U111&amp;V111&amp;A111&amp;$Y$6</f>
        <v>JARINU-FRG124144MQ.TUNEL DE CG (CONTINUO) (2)</v>
      </c>
      <c r="Z111" s="7" t="str">
        <f>Preencher!$B$3&amp;U111&amp;V111&amp;A111&amp;$Z$6</f>
        <v>JARINU-FRG124144MQ.TUNEL DE CG (CONTINUO) (3)</v>
      </c>
      <c r="AA111" s="7" t="str">
        <f>Preencher!$B$3&amp;U111&amp;V111&amp;A111&amp;$AA$6</f>
        <v>JARINU-FRG124144MQ.TUNEL DE CG (ESTATICO)</v>
      </c>
      <c r="AB111" s="7" t="str">
        <f>Preencher!$B$3&amp;U111&amp;V111&amp;A111&amp;$AB$6</f>
        <v>JARINU-FRG124144MQ.TUNEL DE CG (ESTATICO) (1)</v>
      </c>
      <c r="AC111" s="7" t="str">
        <f>Preencher!$B$3&amp;U111&amp;V111&amp;A111&amp;$AC$6</f>
        <v>JARINU-FRG124144MQ.TUNEL DE CG (ESTATICO) (2)</v>
      </c>
      <c r="AD111" s="327">
        <f>IFERROR(SUMIF('BD Otimix'!A:A,'BD VOLUME'!X111,'BD Otimix'!O:O)+SUMIF('BD Otimix'!A:A,'BD VOLUME'!Y111,'BD Otimix'!O:O)+SUMIF('BD Otimix'!A:A,'BD VOLUME'!Z111,'BD Otimix'!O:O)+SUMIF('BD Otimix'!A:A,'BD VOLUME'!AA111,'BD Otimix'!O:O)+SUMIF('BD Otimix'!A:A,'BD VOLUME'!AB111,'BD Otimix'!O:O)+SUMIF('BD Otimix'!A:A,'BD VOLUME'!AC111,'BD Otimix'!O:O)+SUMIF('BD Otimix'!A:A,'BD VOLUME'!W111,'BD Otimix'!O:O),0)</f>
        <v>0</v>
      </c>
      <c r="AE111" s="327">
        <f t="shared" si="24"/>
        <v>0</v>
      </c>
      <c r="AF111" s="7" t="str">
        <f>Preencher!$B$3&amp;$U$8&amp;$V$8&amp;A111&amp;$AF$6</f>
        <v>JARINU-FRG124144MQ.GIROFREEZER</v>
      </c>
      <c r="AG111" s="7" t="str">
        <f>Preencher!$B$3&amp;$U$8&amp;$V$8&amp;A111&amp;$AG$6</f>
        <v>JARINU-FRG124144MQ.GIROFREEZER (1)</v>
      </c>
      <c r="AH111" s="7" t="str">
        <f>Preencher!$B$3&amp;$U$8&amp;$V$8&amp;A111&amp;$AH$6</f>
        <v>JARINU-FRG124144MQ.GIROFREEZER (2)</v>
      </c>
      <c r="AI111" s="7" t="str">
        <f>Preencher!$B$3&amp;$U$8&amp;$V$8&amp;A111&amp;$AI$6</f>
        <v>JARINU-FRG124144MQ.GIROFREEZER REV04</v>
      </c>
      <c r="AJ111" s="7" t="str">
        <f>Preencher!$B$3&amp;$U$8&amp;$V$8&amp;A111&amp;$AJ$6</f>
        <v>JARINU-FRG124144MQ.GIROFREEZER (3)</v>
      </c>
      <c r="AK111" s="327">
        <f>IFERROR(SUMIF('BD Otimix'!A:A,'BD VOLUME'!AG111,'BD Otimix'!O:O)+SUMIF('BD Otimix'!A:A,'BD VOLUME'!AH111,'BD Otimix'!O:O)+SUMIF('BD Otimix'!A:A,'BD VOLUME'!AI111,'BD Otimix'!O:O)+SUMIF('BD Otimix'!A:A,'BD VOLUME'!AJ111,'BD Otimix'!O:O)+SUMIF('BD Otimix'!A:A,'BD VOLUME'!AF111,'BD Otimix'!O:O),0)</f>
        <v>0</v>
      </c>
      <c r="AL111" s="7">
        <f t="shared" si="25"/>
        <v>0</v>
      </c>
    </row>
    <row r="112" spans="1:38">
      <c r="A112" s="346">
        <v>124145</v>
      </c>
      <c r="B112" s="346" t="s">
        <v>1400</v>
      </c>
      <c r="C112" s="5" t="s">
        <v>940</v>
      </c>
      <c r="D112" s="5" t="s">
        <v>939</v>
      </c>
      <c r="E112" s="5" t="s">
        <v>1338</v>
      </c>
      <c r="F112" s="132">
        <f>SUMIF('COLAR PLANO'!$A:$A,A112,'COLAR PLANO'!$D:$D)</f>
        <v>0</v>
      </c>
      <c r="G112" s="131">
        <f t="shared" si="31"/>
        <v>0</v>
      </c>
      <c r="H112" s="6">
        <v>0.74140000000000006</v>
      </c>
      <c r="I112" s="7">
        <f t="shared" si="27"/>
        <v>0</v>
      </c>
      <c r="J112" s="130">
        <f t="shared" si="28"/>
        <v>0</v>
      </c>
      <c r="K112" s="346">
        <v>1.1000000000000001</v>
      </c>
      <c r="L112" s="346">
        <v>10</v>
      </c>
      <c r="M112" s="346">
        <v>11</v>
      </c>
      <c r="N112" s="7">
        <f t="shared" si="23"/>
        <v>0</v>
      </c>
      <c r="O112" s="7">
        <f>IFERROR(G112/M112,"-")</f>
        <v>0</v>
      </c>
      <c r="P112" s="311">
        <f t="shared" si="35"/>
        <v>0</v>
      </c>
      <c r="Q112" s="7"/>
      <c r="R112" s="7"/>
      <c r="S112" s="7"/>
      <c r="T112" s="7"/>
      <c r="U112" s="7" t="s">
        <v>2288</v>
      </c>
      <c r="V112" s="7" t="s">
        <v>2289</v>
      </c>
      <c r="W112" s="7" t="str">
        <f>Preencher!$B$3&amp;U112&amp;V112&amp;A112&amp;$W$6</f>
        <v>JARINU-FRG124145MQ.TUNEL DE CG (CONTINUO)</v>
      </c>
      <c r="X112" s="7" t="str">
        <f>Preencher!$B$3&amp;U112&amp;V112&amp;A112&amp;$X$6</f>
        <v>JARINU-FRG124145MQ.TUNEL DE CG (CONTINUO) (1)</v>
      </c>
      <c r="Y112" s="7" t="str">
        <f>Preencher!$B$3&amp;U112&amp;V112&amp;A112&amp;$Y$6</f>
        <v>JARINU-FRG124145MQ.TUNEL DE CG (CONTINUO) (2)</v>
      </c>
      <c r="Z112" s="7" t="str">
        <f>Preencher!$B$3&amp;U112&amp;V112&amp;A112&amp;$Z$6</f>
        <v>JARINU-FRG124145MQ.TUNEL DE CG (CONTINUO) (3)</v>
      </c>
      <c r="AA112" s="7" t="str">
        <f>Preencher!$B$3&amp;U112&amp;V112&amp;A112&amp;$AA$6</f>
        <v>JARINU-FRG124145MQ.TUNEL DE CG (ESTATICO)</v>
      </c>
      <c r="AB112" s="7" t="str">
        <f>Preencher!$B$3&amp;U112&amp;V112&amp;A112&amp;$AB$6</f>
        <v>JARINU-FRG124145MQ.TUNEL DE CG (ESTATICO) (1)</v>
      </c>
      <c r="AC112" s="7" t="str">
        <f>Preencher!$B$3&amp;U112&amp;V112&amp;A112&amp;$AC$6</f>
        <v>JARINU-FRG124145MQ.TUNEL DE CG (ESTATICO) (2)</v>
      </c>
      <c r="AD112" s="327">
        <f>IFERROR(SUMIF('BD Otimix'!A:A,'BD VOLUME'!X112,'BD Otimix'!O:O)+SUMIF('BD Otimix'!A:A,'BD VOLUME'!Y112,'BD Otimix'!O:O)+SUMIF('BD Otimix'!A:A,'BD VOLUME'!Z112,'BD Otimix'!O:O)+SUMIF('BD Otimix'!A:A,'BD VOLUME'!AA112,'BD Otimix'!O:O)+SUMIF('BD Otimix'!A:A,'BD VOLUME'!AB112,'BD Otimix'!O:O)+SUMIF('BD Otimix'!A:A,'BD VOLUME'!AC112,'BD Otimix'!O:O)+SUMIF('BD Otimix'!A:A,'BD VOLUME'!W112,'BD Otimix'!O:O),0)</f>
        <v>0</v>
      </c>
      <c r="AE112" s="327">
        <f t="shared" si="24"/>
        <v>0</v>
      </c>
      <c r="AF112" s="7" t="str">
        <f>Preencher!$B$3&amp;$U$8&amp;$V$8&amp;A112&amp;$AF$6</f>
        <v>JARINU-FRG124145MQ.GIROFREEZER</v>
      </c>
      <c r="AG112" s="7" t="str">
        <f>Preencher!$B$3&amp;$U$8&amp;$V$8&amp;A112&amp;$AG$6</f>
        <v>JARINU-FRG124145MQ.GIROFREEZER (1)</v>
      </c>
      <c r="AH112" s="7" t="str">
        <f>Preencher!$B$3&amp;$U$8&amp;$V$8&amp;A112&amp;$AH$6</f>
        <v>JARINU-FRG124145MQ.GIROFREEZER (2)</v>
      </c>
      <c r="AI112" s="7" t="str">
        <f>Preencher!$B$3&amp;$U$8&amp;$V$8&amp;A112&amp;$AI$6</f>
        <v>JARINU-FRG124145MQ.GIROFREEZER REV04</v>
      </c>
      <c r="AJ112" s="7" t="str">
        <f>Preencher!$B$3&amp;$U$8&amp;$V$8&amp;A112&amp;$AJ$6</f>
        <v>JARINU-FRG124145MQ.GIROFREEZER (3)</v>
      </c>
      <c r="AK112" s="327">
        <f>IFERROR(SUMIF('BD Otimix'!A:A,'BD VOLUME'!AG112,'BD Otimix'!O:O)+SUMIF('BD Otimix'!A:A,'BD VOLUME'!AH112,'BD Otimix'!O:O)+SUMIF('BD Otimix'!A:A,'BD VOLUME'!AI112,'BD Otimix'!O:O)+SUMIF('BD Otimix'!A:A,'BD VOLUME'!AJ112,'BD Otimix'!O:O)+SUMIF('BD Otimix'!A:A,'BD VOLUME'!AF112,'BD Otimix'!O:O),0)</f>
        <v>0</v>
      </c>
      <c r="AL112" s="7">
        <f t="shared" si="25"/>
        <v>0</v>
      </c>
    </row>
    <row r="113" spans="1:38">
      <c r="A113" s="346">
        <v>124147</v>
      </c>
      <c r="B113" s="346" t="s">
        <v>1401</v>
      </c>
      <c r="C113" s="5" t="s">
        <v>940</v>
      </c>
      <c r="D113" s="5" t="s">
        <v>939</v>
      </c>
      <c r="E113" s="5" t="s">
        <v>1338</v>
      </c>
      <c r="F113" s="132">
        <f>SUMIF('COLAR PLANO'!$A:$A,A113,'COLAR PLANO'!$D:$D)</f>
        <v>0</v>
      </c>
      <c r="G113" s="131">
        <f t="shared" si="31"/>
        <v>0</v>
      </c>
      <c r="H113" s="6">
        <v>0.74140000000000006</v>
      </c>
      <c r="I113" s="7">
        <f t="shared" si="27"/>
        <v>0</v>
      </c>
      <c r="J113" s="130">
        <f t="shared" si="28"/>
        <v>0</v>
      </c>
      <c r="K113" s="346">
        <v>1.3</v>
      </c>
      <c r="L113" s="346">
        <v>10</v>
      </c>
      <c r="M113" s="346">
        <v>13</v>
      </c>
      <c r="N113" s="7">
        <f t="shared" si="23"/>
        <v>0</v>
      </c>
      <c r="O113" s="7">
        <f>IFERROR(G113/M113,"-")</f>
        <v>0</v>
      </c>
      <c r="P113" s="311">
        <f t="shared" si="35"/>
        <v>0</v>
      </c>
      <c r="Q113" s="7"/>
      <c r="R113" s="7"/>
      <c r="S113" s="7"/>
      <c r="T113" s="7"/>
      <c r="U113" s="7" t="s">
        <v>2288</v>
      </c>
      <c r="V113" s="7" t="s">
        <v>2289</v>
      </c>
      <c r="W113" s="7" t="str">
        <f>Preencher!$B$3&amp;U113&amp;V113&amp;A113&amp;$W$6</f>
        <v>JARINU-FRG124147MQ.TUNEL DE CG (CONTINUO)</v>
      </c>
      <c r="X113" s="7" t="str">
        <f>Preencher!$B$3&amp;U113&amp;V113&amp;A113&amp;$X$6</f>
        <v>JARINU-FRG124147MQ.TUNEL DE CG (CONTINUO) (1)</v>
      </c>
      <c r="Y113" s="7" t="str">
        <f>Preencher!$B$3&amp;U113&amp;V113&amp;A113&amp;$Y$6</f>
        <v>JARINU-FRG124147MQ.TUNEL DE CG (CONTINUO) (2)</v>
      </c>
      <c r="Z113" s="7" t="str">
        <f>Preencher!$B$3&amp;U113&amp;V113&amp;A113&amp;$Z$6</f>
        <v>JARINU-FRG124147MQ.TUNEL DE CG (CONTINUO) (3)</v>
      </c>
      <c r="AA113" s="7" t="str">
        <f>Preencher!$B$3&amp;U113&amp;V113&amp;A113&amp;$AA$6</f>
        <v>JARINU-FRG124147MQ.TUNEL DE CG (ESTATICO)</v>
      </c>
      <c r="AB113" s="7" t="str">
        <f>Preencher!$B$3&amp;U113&amp;V113&amp;A113&amp;$AB$6</f>
        <v>JARINU-FRG124147MQ.TUNEL DE CG (ESTATICO) (1)</v>
      </c>
      <c r="AC113" s="7" t="str">
        <f>Preencher!$B$3&amp;U113&amp;V113&amp;A113&amp;$AC$6</f>
        <v>JARINU-FRG124147MQ.TUNEL DE CG (ESTATICO) (2)</v>
      </c>
      <c r="AD113" s="327">
        <f>IFERROR(SUMIF('BD Otimix'!A:A,'BD VOLUME'!X113,'BD Otimix'!O:O)+SUMIF('BD Otimix'!A:A,'BD VOLUME'!Y113,'BD Otimix'!O:O)+SUMIF('BD Otimix'!A:A,'BD VOLUME'!Z113,'BD Otimix'!O:O)+SUMIF('BD Otimix'!A:A,'BD VOLUME'!AA113,'BD Otimix'!O:O)+SUMIF('BD Otimix'!A:A,'BD VOLUME'!AB113,'BD Otimix'!O:O)+SUMIF('BD Otimix'!A:A,'BD VOLUME'!AC113,'BD Otimix'!O:O)+SUMIF('BD Otimix'!A:A,'BD VOLUME'!W113,'BD Otimix'!O:O),0)</f>
        <v>0</v>
      </c>
      <c r="AE113" s="327">
        <f t="shared" si="24"/>
        <v>0</v>
      </c>
      <c r="AF113" s="7" t="str">
        <f>Preencher!$B$3&amp;$U$8&amp;$V$8&amp;A113&amp;$AF$6</f>
        <v>JARINU-FRG124147MQ.GIROFREEZER</v>
      </c>
      <c r="AG113" s="7" t="str">
        <f>Preencher!$B$3&amp;$U$8&amp;$V$8&amp;A113&amp;$AG$6</f>
        <v>JARINU-FRG124147MQ.GIROFREEZER (1)</v>
      </c>
      <c r="AH113" s="7" t="str">
        <f>Preencher!$B$3&amp;$U$8&amp;$V$8&amp;A113&amp;$AH$6</f>
        <v>JARINU-FRG124147MQ.GIROFREEZER (2)</v>
      </c>
      <c r="AI113" s="7" t="str">
        <f>Preencher!$B$3&amp;$U$8&amp;$V$8&amp;A113&amp;$AI$6</f>
        <v>JARINU-FRG124147MQ.GIROFREEZER REV04</v>
      </c>
      <c r="AJ113" s="7" t="str">
        <f>Preencher!$B$3&amp;$U$8&amp;$V$8&amp;A113&amp;$AJ$6</f>
        <v>JARINU-FRG124147MQ.GIROFREEZER (3)</v>
      </c>
      <c r="AK113" s="327">
        <f>IFERROR(SUMIF('BD Otimix'!A:A,'BD VOLUME'!AG113,'BD Otimix'!O:O)+SUMIF('BD Otimix'!A:A,'BD VOLUME'!AH113,'BD Otimix'!O:O)+SUMIF('BD Otimix'!A:A,'BD VOLUME'!AI113,'BD Otimix'!O:O)+SUMIF('BD Otimix'!A:A,'BD VOLUME'!AJ113,'BD Otimix'!O:O)+SUMIF('BD Otimix'!A:A,'BD VOLUME'!AF113,'BD Otimix'!O:O),0)</f>
        <v>0</v>
      </c>
      <c r="AL113" s="7">
        <f t="shared" si="25"/>
        <v>0</v>
      </c>
    </row>
    <row r="114" spans="1:38">
      <c r="A114" s="346">
        <v>956848</v>
      </c>
      <c r="B114" s="346"/>
      <c r="C114" s="5" t="s">
        <v>940</v>
      </c>
      <c r="D114" s="5" t="s">
        <v>939</v>
      </c>
      <c r="E114" s="5" t="s">
        <v>1338</v>
      </c>
      <c r="F114" s="132">
        <f>SUMIF('COLAR PLANO'!$A:$A,A114,'COLAR PLANO'!$D:$D)</f>
        <v>0</v>
      </c>
      <c r="G114" s="131">
        <f t="shared" si="31"/>
        <v>0</v>
      </c>
      <c r="H114" s="6">
        <v>0.74140000000000006</v>
      </c>
      <c r="I114" s="7">
        <f t="shared" si="27"/>
        <v>0</v>
      </c>
      <c r="J114" s="130">
        <f t="shared" si="28"/>
        <v>0</v>
      </c>
      <c r="K114" s="346"/>
      <c r="L114" s="346"/>
      <c r="M114" s="346"/>
      <c r="N114" s="7" t="str">
        <f t="shared" si="23"/>
        <v>-</v>
      </c>
      <c r="O114" s="7"/>
      <c r="P114" s="311" t="str">
        <f t="shared" si="35"/>
        <v>-</v>
      </c>
      <c r="Q114" s="7"/>
      <c r="R114" s="7"/>
      <c r="S114" s="7"/>
      <c r="T114" s="7"/>
      <c r="U114" s="7" t="s">
        <v>2288</v>
      </c>
      <c r="V114" s="7" t="s">
        <v>2289</v>
      </c>
      <c r="W114" s="7" t="str">
        <f>Preencher!$B$3&amp;U114&amp;V114&amp;A114&amp;$W$6</f>
        <v>JARINU-FRG956848MQ.TUNEL DE CG (CONTINUO)</v>
      </c>
      <c r="X114" s="7" t="str">
        <f>Preencher!$B$3&amp;U114&amp;V114&amp;A114&amp;$X$6</f>
        <v>JARINU-FRG956848MQ.TUNEL DE CG (CONTINUO) (1)</v>
      </c>
      <c r="Y114" s="7" t="str">
        <f>Preencher!$B$3&amp;U114&amp;V114&amp;A114&amp;$Y$6</f>
        <v>JARINU-FRG956848MQ.TUNEL DE CG (CONTINUO) (2)</v>
      </c>
      <c r="Z114" s="7" t="str">
        <f>Preencher!$B$3&amp;U114&amp;V114&amp;A114&amp;$Z$6</f>
        <v>JARINU-FRG956848MQ.TUNEL DE CG (CONTINUO) (3)</v>
      </c>
      <c r="AA114" s="7" t="str">
        <f>Preencher!$B$3&amp;U114&amp;V114&amp;A114&amp;$AA$6</f>
        <v>JARINU-FRG956848MQ.TUNEL DE CG (ESTATICO)</v>
      </c>
      <c r="AB114" s="7" t="str">
        <f>Preencher!$B$3&amp;U114&amp;V114&amp;A114&amp;$AB$6</f>
        <v>JARINU-FRG956848MQ.TUNEL DE CG (ESTATICO) (1)</v>
      </c>
      <c r="AC114" s="7" t="str">
        <f>Preencher!$B$3&amp;U114&amp;V114&amp;A114&amp;$AC$6</f>
        <v>JARINU-FRG956848MQ.TUNEL DE CG (ESTATICO) (2)</v>
      </c>
      <c r="AD114" s="327">
        <f>IFERROR(SUMIF('BD Otimix'!A:A,'BD VOLUME'!X114,'BD Otimix'!O:O)+SUMIF('BD Otimix'!A:A,'BD VOLUME'!Y114,'BD Otimix'!O:O)+SUMIF('BD Otimix'!A:A,'BD VOLUME'!Z114,'BD Otimix'!O:O)+SUMIF('BD Otimix'!A:A,'BD VOLUME'!AA114,'BD Otimix'!O:O)+SUMIF('BD Otimix'!A:A,'BD VOLUME'!AB114,'BD Otimix'!O:O)+SUMIF('BD Otimix'!A:A,'BD VOLUME'!AC114,'BD Otimix'!O:O)+SUMIF('BD Otimix'!A:A,'BD VOLUME'!W114,'BD Otimix'!O:O),0)</f>
        <v>0</v>
      </c>
      <c r="AE114" s="327">
        <f t="shared" si="24"/>
        <v>0</v>
      </c>
      <c r="AF114" s="7" t="str">
        <f>Preencher!$B$3&amp;$U$8&amp;$V$8&amp;A114&amp;$AF$6</f>
        <v>JARINU-FRG956848MQ.GIROFREEZER</v>
      </c>
      <c r="AG114" s="7" t="str">
        <f>Preencher!$B$3&amp;$U$8&amp;$V$8&amp;A114&amp;$AG$6</f>
        <v>JARINU-FRG956848MQ.GIROFREEZER (1)</v>
      </c>
      <c r="AH114" s="7" t="str">
        <f>Preencher!$B$3&amp;$U$8&amp;$V$8&amp;A114&amp;$AH$6</f>
        <v>JARINU-FRG956848MQ.GIROFREEZER (2)</v>
      </c>
      <c r="AI114" s="7" t="str">
        <f>Preencher!$B$3&amp;$U$8&amp;$V$8&amp;A114&amp;$AI$6</f>
        <v>JARINU-FRG956848MQ.GIROFREEZER REV04</v>
      </c>
      <c r="AJ114" s="7" t="str">
        <f>Preencher!$B$3&amp;$U$8&amp;$V$8&amp;A114&amp;$AJ$6</f>
        <v>JARINU-FRG956848MQ.GIROFREEZER (3)</v>
      </c>
      <c r="AK114" s="327">
        <f>IFERROR(SUMIF('BD Otimix'!A:A,'BD VOLUME'!AG114,'BD Otimix'!O:O)+SUMIF('BD Otimix'!A:A,'BD VOLUME'!AH114,'BD Otimix'!O:O)+SUMIF('BD Otimix'!A:A,'BD VOLUME'!AI114,'BD Otimix'!O:O)+SUMIF('BD Otimix'!A:A,'BD VOLUME'!AJ114,'BD Otimix'!O:O)+SUMIF('BD Otimix'!A:A,'BD VOLUME'!AF114,'BD Otimix'!O:O),0)</f>
        <v>0</v>
      </c>
      <c r="AL114" s="7">
        <f t="shared" si="25"/>
        <v>0</v>
      </c>
    </row>
    <row r="115" spans="1:38">
      <c r="A115" s="346">
        <v>1428</v>
      </c>
      <c r="B115" s="346" t="s">
        <v>1402</v>
      </c>
      <c r="C115" s="5" t="s">
        <v>940</v>
      </c>
      <c r="D115" s="5" t="s">
        <v>939</v>
      </c>
      <c r="E115" s="5" t="s">
        <v>1338</v>
      </c>
      <c r="F115" s="132">
        <f>SUMIF('COLAR PLANO'!$A:$A,A115,'COLAR PLANO'!$D:$D)</f>
        <v>0</v>
      </c>
      <c r="G115" s="131">
        <f t="shared" si="31"/>
        <v>0</v>
      </c>
      <c r="H115" s="6">
        <v>0.74109999999999998</v>
      </c>
      <c r="I115" s="7">
        <f t="shared" si="27"/>
        <v>0</v>
      </c>
      <c r="J115" s="130">
        <f t="shared" si="28"/>
        <v>0</v>
      </c>
      <c r="K115" s="346"/>
      <c r="L115" s="346"/>
      <c r="M115" s="346"/>
      <c r="N115" s="7" t="str">
        <f t="shared" si="23"/>
        <v>-</v>
      </c>
      <c r="O115" s="7"/>
      <c r="P115" s="311" t="str">
        <f t="shared" si="35"/>
        <v>-</v>
      </c>
      <c r="Q115" s="7"/>
      <c r="R115" s="7"/>
      <c r="S115" s="7"/>
      <c r="T115" s="7"/>
      <c r="U115" s="7" t="s">
        <v>2288</v>
      </c>
      <c r="V115" s="7" t="s">
        <v>2289</v>
      </c>
      <c r="W115" s="7" t="str">
        <f>Preencher!$B$3&amp;U115&amp;V115&amp;A115&amp;$W$6</f>
        <v>JARINU-FRG1428MQ.TUNEL DE CG (CONTINUO)</v>
      </c>
      <c r="X115" s="7" t="str">
        <f>Preencher!$B$3&amp;U115&amp;V115&amp;A115&amp;$X$6</f>
        <v>JARINU-FRG1428MQ.TUNEL DE CG (CONTINUO) (1)</v>
      </c>
      <c r="Y115" s="7" t="str">
        <f>Preencher!$B$3&amp;U115&amp;V115&amp;A115&amp;$Y$6</f>
        <v>JARINU-FRG1428MQ.TUNEL DE CG (CONTINUO) (2)</v>
      </c>
      <c r="Z115" s="7" t="str">
        <f>Preencher!$B$3&amp;U115&amp;V115&amp;A115&amp;$Z$6</f>
        <v>JARINU-FRG1428MQ.TUNEL DE CG (CONTINUO) (3)</v>
      </c>
      <c r="AA115" s="7" t="str">
        <f>Preencher!$B$3&amp;U115&amp;V115&amp;A115&amp;$AA$6</f>
        <v>JARINU-FRG1428MQ.TUNEL DE CG (ESTATICO)</v>
      </c>
      <c r="AB115" s="7" t="str">
        <f>Preencher!$B$3&amp;U115&amp;V115&amp;A115&amp;$AB$6</f>
        <v>JARINU-FRG1428MQ.TUNEL DE CG (ESTATICO) (1)</v>
      </c>
      <c r="AC115" s="7" t="str">
        <f>Preencher!$B$3&amp;U115&amp;V115&amp;A115&amp;$AC$6</f>
        <v>JARINU-FRG1428MQ.TUNEL DE CG (ESTATICO) (2)</v>
      </c>
      <c r="AD115" s="327">
        <f>IFERROR(SUMIF('BD Otimix'!A:A,'BD VOLUME'!X115,'BD Otimix'!O:O)+SUMIF('BD Otimix'!A:A,'BD VOLUME'!Y115,'BD Otimix'!O:O)+SUMIF('BD Otimix'!A:A,'BD VOLUME'!Z115,'BD Otimix'!O:O)+SUMIF('BD Otimix'!A:A,'BD VOLUME'!AA115,'BD Otimix'!O:O)+SUMIF('BD Otimix'!A:A,'BD VOLUME'!AB115,'BD Otimix'!O:O)+SUMIF('BD Otimix'!A:A,'BD VOLUME'!AC115,'BD Otimix'!O:O)+SUMIF('BD Otimix'!A:A,'BD VOLUME'!W115,'BD Otimix'!O:O),0)</f>
        <v>0</v>
      </c>
      <c r="AE115" s="327">
        <f t="shared" si="24"/>
        <v>0</v>
      </c>
      <c r="AF115" s="7" t="str">
        <f>Preencher!$B$3&amp;$U$8&amp;$V$8&amp;A115&amp;$AF$6</f>
        <v>JARINU-FRG1428MQ.GIROFREEZER</v>
      </c>
      <c r="AG115" s="7" t="str">
        <f>Preencher!$B$3&amp;$U$8&amp;$V$8&amp;A115&amp;$AG$6</f>
        <v>JARINU-FRG1428MQ.GIROFREEZER (1)</v>
      </c>
      <c r="AH115" s="7" t="str">
        <f>Preencher!$B$3&amp;$U$8&amp;$V$8&amp;A115&amp;$AH$6</f>
        <v>JARINU-FRG1428MQ.GIROFREEZER (2)</v>
      </c>
      <c r="AI115" s="7" t="str">
        <f>Preencher!$B$3&amp;$U$8&amp;$V$8&amp;A115&amp;$AI$6</f>
        <v>JARINU-FRG1428MQ.GIROFREEZER REV04</v>
      </c>
      <c r="AJ115" s="7" t="str">
        <f>Preencher!$B$3&amp;$U$8&amp;$V$8&amp;A115&amp;$AJ$6</f>
        <v>JARINU-FRG1428MQ.GIROFREEZER (3)</v>
      </c>
      <c r="AK115" s="327">
        <f>IFERROR(SUMIF('BD Otimix'!A:A,'BD VOLUME'!AG115,'BD Otimix'!O:O)+SUMIF('BD Otimix'!A:A,'BD VOLUME'!AH115,'BD Otimix'!O:O)+SUMIF('BD Otimix'!A:A,'BD VOLUME'!AI115,'BD Otimix'!O:O)+SUMIF('BD Otimix'!A:A,'BD VOLUME'!AJ115,'BD Otimix'!O:O)+SUMIF('BD Otimix'!A:A,'BD VOLUME'!AF115,'BD Otimix'!O:O),0)</f>
        <v>0</v>
      </c>
      <c r="AL115" s="7">
        <f t="shared" si="25"/>
        <v>0</v>
      </c>
    </row>
    <row r="116" spans="1:38">
      <c r="A116" s="346">
        <v>12904</v>
      </c>
      <c r="B116" s="346" t="s">
        <v>1385</v>
      </c>
      <c r="C116" s="5" t="s">
        <v>1386</v>
      </c>
      <c r="D116" s="5" t="s">
        <v>939</v>
      </c>
      <c r="E116" s="5" t="s">
        <v>1338</v>
      </c>
      <c r="F116" s="132">
        <f>SUMIF('COLAR PLANO'!$A:$A,A116,'COLAR PLANO'!$D:$D)</f>
        <v>0</v>
      </c>
      <c r="G116" s="131">
        <f t="shared" si="31"/>
        <v>0</v>
      </c>
      <c r="H116" s="6">
        <v>0.71689999999999998</v>
      </c>
      <c r="I116" s="7">
        <f t="shared" si="27"/>
        <v>0</v>
      </c>
      <c r="J116" s="130">
        <f t="shared" si="28"/>
        <v>0</v>
      </c>
      <c r="K116" s="346"/>
      <c r="L116" s="346"/>
      <c r="M116" s="346"/>
      <c r="N116" s="7" t="str">
        <f t="shared" si="23"/>
        <v>-</v>
      </c>
      <c r="O116" s="7"/>
      <c r="P116" s="7"/>
      <c r="Q116" s="7"/>
      <c r="R116" s="7"/>
      <c r="S116" s="7"/>
      <c r="T116" s="7"/>
      <c r="U116" s="7" t="s">
        <v>2288</v>
      </c>
      <c r="V116" s="7" t="s">
        <v>2289</v>
      </c>
      <c r="W116" s="7" t="str">
        <f>Preencher!$B$3&amp;U116&amp;V116&amp;A116&amp;$W$6</f>
        <v>JARINU-FRG12904MQ.TUNEL DE CG (CONTINUO)</v>
      </c>
      <c r="X116" s="7" t="str">
        <f>Preencher!$B$3&amp;U116&amp;V116&amp;A116&amp;$X$6</f>
        <v>JARINU-FRG12904MQ.TUNEL DE CG (CONTINUO) (1)</v>
      </c>
      <c r="Y116" s="7" t="str">
        <f>Preencher!$B$3&amp;U116&amp;V116&amp;A116&amp;$Y$6</f>
        <v>JARINU-FRG12904MQ.TUNEL DE CG (CONTINUO) (2)</v>
      </c>
      <c r="Z116" s="7" t="str">
        <f>Preencher!$B$3&amp;U116&amp;V116&amp;A116&amp;$Z$6</f>
        <v>JARINU-FRG12904MQ.TUNEL DE CG (CONTINUO) (3)</v>
      </c>
      <c r="AA116" s="7" t="str">
        <f>Preencher!$B$3&amp;U116&amp;V116&amp;A116&amp;$AA$6</f>
        <v>JARINU-FRG12904MQ.TUNEL DE CG (ESTATICO)</v>
      </c>
      <c r="AB116" s="7" t="str">
        <f>Preencher!$B$3&amp;U116&amp;V116&amp;A116&amp;$AB$6</f>
        <v>JARINU-FRG12904MQ.TUNEL DE CG (ESTATICO) (1)</v>
      </c>
      <c r="AC116" s="7" t="str">
        <f>Preencher!$B$3&amp;U116&amp;V116&amp;A116&amp;$AC$6</f>
        <v>JARINU-FRG12904MQ.TUNEL DE CG (ESTATICO) (2)</v>
      </c>
      <c r="AD116" s="327">
        <f>IFERROR(SUMIF('BD Otimix'!A:A,'BD VOLUME'!X116,'BD Otimix'!O:O)+SUMIF('BD Otimix'!A:A,'BD VOLUME'!Y116,'BD Otimix'!O:O)+SUMIF('BD Otimix'!A:A,'BD VOLUME'!Z116,'BD Otimix'!O:O)+SUMIF('BD Otimix'!A:A,'BD VOLUME'!AA116,'BD Otimix'!O:O)+SUMIF('BD Otimix'!A:A,'BD VOLUME'!AB116,'BD Otimix'!O:O)+SUMIF('BD Otimix'!A:A,'BD VOLUME'!AC116,'BD Otimix'!O:O)+SUMIF('BD Otimix'!A:A,'BD VOLUME'!W116,'BD Otimix'!O:O),0)</f>
        <v>0</v>
      </c>
      <c r="AE116" s="327">
        <f t="shared" si="24"/>
        <v>0</v>
      </c>
      <c r="AF116" s="7" t="str">
        <f>Preencher!$B$3&amp;$U$8&amp;$V$8&amp;A116&amp;$AF$6</f>
        <v>JARINU-FRG12904MQ.GIROFREEZER</v>
      </c>
      <c r="AG116" s="7" t="str">
        <f>Preencher!$B$3&amp;$U$8&amp;$V$8&amp;A116&amp;$AG$6</f>
        <v>JARINU-FRG12904MQ.GIROFREEZER (1)</v>
      </c>
      <c r="AH116" s="7" t="str">
        <f>Preencher!$B$3&amp;$U$8&amp;$V$8&amp;A116&amp;$AH$6</f>
        <v>JARINU-FRG12904MQ.GIROFREEZER (2)</v>
      </c>
      <c r="AI116" s="7" t="str">
        <f>Preencher!$B$3&amp;$U$8&amp;$V$8&amp;A116&amp;$AI$6</f>
        <v>JARINU-FRG12904MQ.GIROFREEZER REV04</v>
      </c>
      <c r="AJ116" s="7" t="str">
        <f>Preencher!$B$3&amp;$U$8&amp;$V$8&amp;A116&amp;$AJ$6</f>
        <v>JARINU-FRG12904MQ.GIROFREEZER (3)</v>
      </c>
      <c r="AK116" s="327">
        <f>IFERROR(SUMIF('BD Otimix'!A:A,'BD VOLUME'!AG116,'BD Otimix'!O:O)+SUMIF('BD Otimix'!A:A,'BD VOLUME'!AH116,'BD Otimix'!O:O)+SUMIF('BD Otimix'!A:A,'BD VOLUME'!AI116,'BD Otimix'!O:O)+SUMIF('BD Otimix'!A:A,'BD VOLUME'!AJ116,'BD Otimix'!O:O)+SUMIF('BD Otimix'!A:A,'BD VOLUME'!AF116,'BD Otimix'!O:O),0)</f>
        <v>0</v>
      </c>
      <c r="AL116" s="7">
        <f t="shared" si="25"/>
        <v>0</v>
      </c>
    </row>
    <row r="117" spans="1:38">
      <c r="A117" s="346">
        <v>963135</v>
      </c>
      <c r="B117" s="346"/>
      <c r="C117" s="5" t="s">
        <v>1367</v>
      </c>
      <c r="D117" s="5" t="s">
        <v>939</v>
      </c>
      <c r="E117" s="5" t="s">
        <v>1338</v>
      </c>
      <c r="F117" s="132">
        <f>SUMIF('COLAR PLANO'!$A:$A,A117,'COLAR PLANO'!$D:$D)</f>
        <v>0</v>
      </c>
      <c r="G117" s="131">
        <f t="shared" si="31"/>
        <v>0</v>
      </c>
      <c r="H117" s="6">
        <v>0.87749999999999995</v>
      </c>
      <c r="I117" s="7">
        <f t="shared" si="27"/>
        <v>0</v>
      </c>
      <c r="J117" s="130">
        <f t="shared" si="28"/>
        <v>0</v>
      </c>
      <c r="K117" s="346"/>
      <c r="L117" s="346"/>
      <c r="M117" s="346"/>
      <c r="N117" s="7" t="str">
        <f t="shared" si="23"/>
        <v>-</v>
      </c>
      <c r="O117" s="7"/>
      <c r="P117" s="7"/>
      <c r="Q117" s="7"/>
      <c r="R117" s="7"/>
      <c r="S117" s="7"/>
      <c r="T117" s="7"/>
      <c r="U117" s="7" t="s">
        <v>2288</v>
      </c>
      <c r="V117" s="7" t="s">
        <v>2289</v>
      </c>
      <c r="W117" s="7" t="str">
        <f>Preencher!$B$3&amp;U117&amp;V117&amp;A117&amp;$W$6</f>
        <v>JARINU-FRG963135MQ.TUNEL DE CG (CONTINUO)</v>
      </c>
      <c r="X117" s="7" t="str">
        <f>Preencher!$B$3&amp;U117&amp;V117&amp;A117&amp;$X$6</f>
        <v>JARINU-FRG963135MQ.TUNEL DE CG (CONTINUO) (1)</v>
      </c>
      <c r="Y117" s="7" t="str">
        <f>Preencher!$B$3&amp;U117&amp;V117&amp;A117&amp;$Y$6</f>
        <v>JARINU-FRG963135MQ.TUNEL DE CG (CONTINUO) (2)</v>
      </c>
      <c r="Z117" s="7" t="str">
        <f>Preencher!$B$3&amp;U117&amp;V117&amp;A117&amp;$Z$6</f>
        <v>JARINU-FRG963135MQ.TUNEL DE CG (CONTINUO) (3)</v>
      </c>
      <c r="AA117" s="7" t="str">
        <f>Preencher!$B$3&amp;U117&amp;V117&amp;A117&amp;$AA$6</f>
        <v>JARINU-FRG963135MQ.TUNEL DE CG (ESTATICO)</v>
      </c>
      <c r="AB117" s="7" t="str">
        <f>Preencher!$B$3&amp;U117&amp;V117&amp;A117&amp;$AB$6</f>
        <v>JARINU-FRG963135MQ.TUNEL DE CG (ESTATICO) (1)</v>
      </c>
      <c r="AC117" s="7" t="str">
        <f>Preencher!$B$3&amp;U117&amp;V117&amp;A117&amp;$AC$6</f>
        <v>JARINU-FRG963135MQ.TUNEL DE CG (ESTATICO) (2)</v>
      </c>
      <c r="AD117" s="327">
        <f>IFERROR(SUMIF('BD Otimix'!A:A,'BD VOLUME'!X117,'BD Otimix'!O:O)+SUMIF('BD Otimix'!A:A,'BD VOLUME'!Y117,'BD Otimix'!O:O)+SUMIF('BD Otimix'!A:A,'BD VOLUME'!Z117,'BD Otimix'!O:O)+SUMIF('BD Otimix'!A:A,'BD VOLUME'!AA117,'BD Otimix'!O:O)+SUMIF('BD Otimix'!A:A,'BD VOLUME'!AB117,'BD Otimix'!O:O)+SUMIF('BD Otimix'!A:A,'BD VOLUME'!AC117,'BD Otimix'!O:O)+SUMIF('BD Otimix'!A:A,'BD VOLUME'!W117,'BD Otimix'!O:O),0)</f>
        <v>0</v>
      </c>
      <c r="AE117" s="327">
        <f t="shared" si="24"/>
        <v>0</v>
      </c>
      <c r="AF117" s="7" t="str">
        <f>Preencher!$B$3&amp;$U$8&amp;$V$8&amp;A117&amp;$AF$6</f>
        <v>JARINU-FRG963135MQ.GIROFREEZER</v>
      </c>
      <c r="AG117" s="7" t="str">
        <f>Preencher!$B$3&amp;$U$8&amp;$V$8&amp;A117&amp;$AG$6</f>
        <v>JARINU-FRG963135MQ.GIROFREEZER (1)</v>
      </c>
      <c r="AH117" s="7" t="str">
        <f>Preencher!$B$3&amp;$U$8&amp;$V$8&amp;A117&amp;$AH$6</f>
        <v>JARINU-FRG963135MQ.GIROFREEZER (2)</v>
      </c>
      <c r="AI117" s="7" t="str">
        <f>Preencher!$B$3&amp;$U$8&amp;$V$8&amp;A117&amp;$AI$6</f>
        <v>JARINU-FRG963135MQ.GIROFREEZER REV04</v>
      </c>
      <c r="AJ117" s="7" t="str">
        <f>Preencher!$B$3&amp;$U$8&amp;$V$8&amp;A117&amp;$AJ$6</f>
        <v>JARINU-FRG963135MQ.GIROFREEZER (3)</v>
      </c>
      <c r="AK117" s="327">
        <f>IFERROR(SUMIF('BD Otimix'!A:A,'BD VOLUME'!AG117,'BD Otimix'!O:O)+SUMIF('BD Otimix'!A:A,'BD VOLUME'!AH117,'BD Otimix'!O:O)+SUMIF('BD Otimix'!A:A,'BD VOLUME'!AI117,'BD Otimix'!O:O)+SUMIF('BD Otimix'!A:A,'BD VOLUME'!AJ117,'BD Otimix'!O:O)+SUMIF('BD Otimix'!A:A,'BD VOLUME'!AF117,'BD Otimix'!O:O),0)</f>
        <v>0</v>
      </c>
      <c r="AL117" s="7">
        <f t="shared" si="25"/>
        <v>0</v>
      </c>
    </row>
    <row r="118" spans="1:38">
      <c r="A118" s="346">
        <v>963160</v>
      </c>
      <c r="B118" s="346"/>
      <c r="C118" s="5" t="s">
        <v>1367</v>
      </c>
      <c r="D118" s="5" t="s">
        <v>939</v>
      </c>
      <c r="E118" s="5" t="s">
        <v>1338</v>
      </c>
      <c r="F118" s="132">
        <f>SUMIF('COLAR PLANO'!$A:$A,A118,'COLAR PLANO'!$D:$D)</f>
        <v>0</v>
      </c>
      <c r="G118" s="131">
        <f t="shared" ref="G118:G130" si="36">IFERROR(F118/($E$3*$C$3),0)</f>
        <v>0</v>
      </c>
      <c r="H118" s="6">
        <v>0.87749999999999995</v>
      </c>
      <c r="I118" s="7">
        <f t="shared" si="27"/>
        <v>0</v>
      </c>
      <c r="J118" s="130">
        <f t="shared" si="28"/>
        <v>0</v>
      </c>
      <c r="K118" s="346"/>
      <c r="L118" s="346"/>
      <c r="M118" s="346"/>
      <c r="N118" s="7" t="str">
        <f t="shared" si="23"/>
        <v>-</v>
      </c>
      <c r="O118" s="7"/>
      <c r="P118" s="7"/>
      <c r="Q118" s="7"/>
      <c r="R118" s="7"/>
      <c r="S118" s="7"/>
      <c r="T118" s="7"/>
      <c r="U118" s="7" t="s">
        <v>2288</v>
      </c>
      <c r="V118" s="7" t="s">
        <v>2289</v>
      </c>
      <c r="W118" s="7" t="str">
        <f>Preencher!$B$3&amp;U118&amp;V118&amp;A118&amp;$W$6</f>
        <v>JARINU-FRG963160MQ.TUNEL DE CG (CONTINUO)</v>
      </c>
      <c r="X118" s="7" t="str">
        <f>Preencher!$B$3&amp;U118&amp;V118&amp;A118&amp;$X$6</f>
        <v>JARINU-FRG963160MQ.TUNEL DE CG (CONTINUO) (1)</v>
      </c>
      <c r="Y118" s="7" t="str">
        <f>Preencher!$B$3&amp;U118&amp;V118&amp;A118&amp;$Y$6</f>
        <v>JARINU-FRG963160MQ.TUNEL DE CG (CONTINUO) (2)</v>
      </c>
      <c r="Z118" s="7" t="str">
        <f>Preencher!$B$3&amp;U118&amp;V118&amp;A118&amp;$Z$6</f>
        <v>JARINU-FRG963160MQ.TUNEL DE CG (CONTINUO) (3)</v>
      </c>
      <c r="AA118" s="7" t="str">
        <f>Preencher!$B$3&amp;U118&amp;V118&amp;A118&amp;$AA$6</f>
        <v>JARINU-FRG963160MQ.TUNEL DE CG (ESTATICO)</v>
      </c>
      <c r="AB118" s="7" t="str">
        <f>Preencher!$B$3&amp;U118&amp;V118&amp;A118&amp;$AB$6</f>
        <v>JARINU-FRG963160MQ.TUNEL DE CG (ESTATICO) (1)</v>
      </c>
      <c r="AC118" s="7" t="str">
        <f>Preencher!$B$3&amp;U118&amp;V118&amp;A118&amp;$AC$6</f>
        <v>JARINU-FRG963160MQ.TUNEL DE CG (ESTATICO) (2)</v>
      </c>
      <c r="AD118" s="327">
        <f>IFERROR(SUMIF('BD Otimix'!A:A,'BD VOLUME'!X118,'BD Otimix'!O:O)+SUMIF('BD Otimix'!A:A,'BD VOLUME'!Y118,'BD Otimix'!O:O)+SUMIF('BD Otimix'!A:A,'BD VOLUME'!Z118,'BD Otimix'!O:O)+SUMIF('BD Otimix'!A:A,'BD VOLUME'!AA118,'BD Otimix'!O:O)+SUMIF('BD Otimix'!A:A,'BD VOLUME'!AB118,'BD Otimix'!O:O)+SUMIF('BD Otimix'!A:A,'BD VOLUME'!AC118,'BD Otimix'!O:O)+SUMIF('BD Otimix'!A:A,'BD VOLUME'!W118,'BD Otimix'!O:O),0)</f>
        <v>0</v>
      </c>
      <c r="AE118" s="327">
        <f t="shared" si="24"/>
        <v>0</v>
      </c>
      <c r="AF118" s="7" t="str">
        <f>Preencher!$B$3&amp;$U$8&amp;$V$8&amp;A118&amp;$AF$6</f>
        <v>JARINU-FRG963160MQ.GIROFREEZER</v>
      </c>
      <c r="AG118" s="7" t="str">
        <f>Preencher!$B$3&amp;$U$8&amp;$V$8&amp;A118&amp;$AG$6</f>
        <v>JARINU-FRG963160MQ.GIROFREEZER (1)</v>
      </c>
      <c r="AH118" s="7" t="str">
        <f>Preencher!$B$3&amp;$U$8&amp;$V$8&amp;A118&amp;$AH$6</f>
        <v>JARINU-FRG963160MQ.GIROFREEZER (2)</v>
      </c>
      <c r="AI118" s="7" t="str">
        <f>Preencher!$B$3&amp;$U$8&amp;$V$8&amp;A118&amp;$AI$6</f>
        <v>JARINU-FRG963160MQ.GIROFREEZER REV04</v>
      </c>
      <c r="AJ118" s="7" t="str">
        <f>Preencher!$B$3&amp;$U$8&amp;$V$8&amp;A118&amp;$AJ$6</f>
        <v>JARINU-FRG963160MQ.GIROFREEZER (3)</v>
      </c>
      <c r="AK118" s="327">
        <f>IFERROR(SUMIF('BD Otimix'!A:A,'BD VOLUME'!AG118,'BD Otimix'!O:O)+SUMIF('BD Otimix'!A:A,'BD VOLUME'!AH118,'BD Otimix'!O:O)+SUMIF('BD Otimix'!A:A,'BD VOLUME'!AI118,'BD Otimix'!O:O)+SUMIF('BD Otimix'!A:A,'BD VOLUME'!AJ118,'BD Otimix'!O:O)+SUMIF('BD Otimix'!A:A,'BD VOLUME'!AF118,'BD Otimix'!O:O),0)</f>
        <v>0</v>
      </c>
      <c r="AL118" s="7">
        <f t="shared" si="25"/>
        <v>0</v>
      </c>
    </row>
    <row r="119" spans="1:38">
      <c r="A119" s="346">
        <v>727890</v>
      </c>
      <c r="B119" s="346"/>
      <c r="C119" s="5" t="s">
        <v>1367</v>
      </c>
      <c r="D119" s="5" t="s">
        <v>939</v>
      </c>
      <c r="E119" s="5" t="s">
        <v>1338</v>
      </c>
      <c r="F119" s="132">
        <f>SUMIF('COLAR PLANO'!$A:$A,A119,'COLAR PLANO'!$D:$D)</f>
        <v>0</v>
      </c>
      <c r="G119" s="131">
        <f t="shared" si="36"/>
        <v>0</v>
      </c>
      <c r="H119" s="6">
        <v>0.87269999999999992</v>
      </c>
      <c r="I119" s="7">
        <f t="shared" si="27"/>
        <v>0</v>
      </c>
      <c r="J119" s="130">
        <f t="shared" si="28"/>
        <v>0</v>
      </c>
      <c r="K119" s="346">
        <v>2</v>
      </c>
      <c r="L119" s="346">
        <v>10</v>
      </c>
      <c r="M119" s="346">
        <v>20</v>
      </c>
      <c r="N119" s="7">
        <f t="shared" si="23"/>
        <v>0</v>
      </c>
      <c r="O119" s="7"/>
      <c r="P119" s="311">
        <f t="shared" ref="P119:P125" si="37">IFERROR(G119/M119,"-")</f>
        <v>0</v>
      </c>
      <c r="Q119" s="7"/>
      <c r="R119" s="7"/>
      <c r="S119" s="7"/>
      <c r="T119" s="7"/>
      <c r="U119" s="7" t="s">
        <v>2288</v>
      </c>
      <c r="V119" s="7" t="s">
        <v>2289</v>
      </c>
      <c r="W119" s="7" t="str">
        <f>Preencher!$B$3&amp;U119&amp;V119&amp;A119&amp;$W$6</f>
        <v>JARINU-FRG727890MQ.TUNEL DE CG (CONTINUO)</v>
      </c>
      <c r="X119" s="7" t="str">
        <f>Preencher!$B$3&amp;U119&amp;V119&amp;A119&amp;$X$6</f>
        <v>JARINU-FRG727890MQ.TUNEL DE CG (CONTINUO) (1)</v>
      </c>
      <c r="Y119" s="7" t="str">
        <f>Preencher!$B$3&amp;U119&amp;V119&amp;A119&amp;$Y$6</f>
        <v>JARINU-FRG727890MQ.TUNEL DE CG (CONTINUO) (2)</v>
      </c>
      <c r="Z119" s="7" t="str">
        <f>Preencher!$B$3&amp;U119&amp;V119&amp;A119&amp;$Z$6</f>
        <v>JARINU-FRG727890MQ.TUNEL DE CG (CONTINUO) (3)</v>
      </c>
      <c r="AA119" s="7" t="str">
        <f>Preencher!$B$3&amp;U119&amp;V119&amp;A119&amp;$AA$6</f>
        <v>JARINU-FRG727890MQ.TUNEL DE CG (ESTATICO)</v>
      </c>
      <c r="AB119" s="7" t="str">
        <f>Preencher!$B$3&amp;U119&amp;V119&amp;A119&amp;$AB$6</f>
        <v>JARINU-FRG727890MQ.TUNEL DE CG (ESTATICO) (1)</v>
      </c>
      <c r="AC119" s="7" t="str">
        <f>Preencher!$B$3&amp;U119&amp;V119&amp;A119&amp;$AC$6</f>
        <v>JARINU-FRG727890MQ.TUNEL DE CG (ESTATICO) (2)</v>
      </c>
      <c r="AD119" s="327">
        <f>IFERROR(SUMIF('BD Otimix'!A:A,'BD VOLUME'!X119,'BD Otimix'!O:O)+SUMIF('BD Otimix'!A:A,'BD VOLUME'!Y119,'BD Otimix'!O:O)+SUMIF('BD Otimix'!A:A,'BD VOLUME'!Z119,'BD Otimix'!O:O)+SUMIF('BD Otimix'!A:A,'BD VOLUME'!AA119,'BD Otimix'!O:O)+SUMIF('BD Otimix'!A:A,'BD VOLUME'!AB119,'BD Otimix'!O:O)+SUMIF('BD Otimix'!A:A,'BD VOLUME'!AC119,'BD Otimix'!O:O)+SUMIF('BD Otimix'!A:A,'BD VOLUME'!W119,'BD Otimix'!O:O),0)</f>
        <v>0</v>
      </c>
      <c r="AE119" s="327">
        <f t="shared" si="24"/>
        <v>0</v>
      </c>
      <c r="AF119" s="7" t="str">
        <f>Preencher!$B$3&amp;$U$8&amp;$V$8&amp;A119&amp;$AF$6</f>
        <v>JARINU-FRG727890MQ.GIROFREEZER</v>
      </c>
      <c r="AG119" s="7" t="str">
        <f>Preencher!$B$3&amp;$U$8&amp;$V$8&amp;A119&amp;$AG$6</f>
        <v>JARINU-FRG727890MQ.GIROFREEZER (1)</v>
      </c>
      <c r="AH119" s="7" t="str">
        <f>Preencher!$B$3&amp;$U$8&amp;$V$8&amp;A119&amp;$AH$6</f>
        <v>JARINU-FRG727890MQ.GIROFREEZER (2)</v>
      </c>
      <c r="AI119" s="7" t="str">
        <f>Preencher!$B$3&amp;$U$8&amp;$V$8&amp;A119&amp;$AI$6</f>
        <v>JARINU-FRG727890MQ.GIROFREEZER REV04</v>
      </c>
      <c r="AJ119" s="7" t="str">
        <f>Preencher!$B$3&amp;$U$8&amp;$V$8&amp;A119&amp;$AJ$6</f>
        <v>JARINU-FRG727890MQ.GIROFREEZER (3)</v>
      </c>
      <c r="AK119" s="327">
        <f>IFERROR(SUMIF('BD Otimix'!A:A,'BD VOLUME'!AG119,'BD Otimix'!O:O)+SUMIF('BD Otimix'!A:A,'BD VOLUME'!AH119,'BD Otimix'!O:O)+SUMIF('BD Otimix'!A:A,'BD VOLUME'!AI119,'BD Otimix'!O:O)+SUMIF('BD Otimix'!A:A,'BD VOLUME'!AJ119,'BD Otimix'!O:O)+SUMIF('BD Otimix'!A:A,'BD VOLUME'!AF119,'BD Otimix'!O:O),0)</f>
        <v>0</v>
      </c>
      <c r="AL119" s="7">
        <f t="shared" si="25"/>
        <v>0</v>
      </c>
    </row>
    <row r="120" spans="1:38">
      <c r="A120" s="346">
        <v>797901</v>
      </c>
      <c r="B120" s="346" t="s">
        <v>1329</v>
      </c>
      <c r="C120" s="5" t="s">
        <v>1367</v>
      </c>
      <c r="D120" s="5" t="s">
        <v>939</v>
      </c>
      <c r="E120" s="5" t="s">
        <v>1338</v>
      </c>
      <c r="F120" s="132">
        <f>SUMIF('COLAR PLANO'!$A:$A,A120,'COLAR PLANO'!$D:$D)</f>
        <v>0</v>
      </c>
      <c r="G120" s="131">
        <f t="shared" si="36"/>
        <v>0</v>
      </c>
      <c r="H120" s="6">
        <v>0.87269999999999992</v>
      </c>
      <c r="I120" s="7">
        <f t="shared" si="27"/>
        <v>0</v>
      </c>
      <c r="J120" s="130">
        <f t="shared" si="28"/>
        <v>0</v>
      </c>
      <c r="K120" s="602">
        <v>2</v>
      </c>
      <c r="L120" s="602">
        <v>10</v>
      </c>
      <c r="M120" s="602">
        <v>20</v>
      </c>
      <c r="N120" s="7">
        <f t="shared" si="23"/>
        <v>0</v>
      </c>
      <c r="O120" s="7"/>
      <c r="P120" s="311">
        <f t="shared" si="37"/>
        <v>0</v>
      </c>
      <c r="Q120" s="7"/>
      <c r="R120" s="7"/>
      <c r="S120" s="7"/>
      <c r="T120" s="7"/>
      <c r="U120" s="7" t="s">
        <v>2288</v>
      </c>
      <c r="V120" s="7" t="s">
        <v>2289</v>
      </c>
      <c r="W120" s="7" t="str">
        <f>Preencher!$B$3&amp;U120&amp;V120&amp;A120&amp;$W$6</f>
        <v>JARINU-FRG797901MQ.TUNEL DE CG (CONTINUO)</v>
      </c>
      <c r="X120" s="7" t="str">
        <f>Preencher!$B$3&amp;U120&amp;V120&amp;A120&amp;$X$6</f>
        <v>JARINU-FRG797901MQ.TUNEL DE CG (CONTINUO) (1)</v>
      </c>
      <c r="Y120" s="7" t="str">
        <f>Preencher!$B$3&amp;U120&amp;V120&amp;A120&amp;$Y$6</f>
        <v>JARINU-FRG797901MQ.TUNEL DE CG (CONTINUO) (2)</v>
      </c>
      <c r="Z120" s="7" t="str">
        <f>Preencher!$B$3&amp;U120&amp;V120&amp;A120&amp;$Z$6</f>
        <v>JARINU-FRG797901MQ.TUNEL DE CG (CONTINUO) (3)</v>
      </c>
      <c r="AA120" s="7" t="str">
        <f>Preencher!$B$3&amp;U120&amp;V120&amp;A120&amp;$AA$6</f>
        <v>JARINU-FRG797901MQ.TUNEL DE CG (ESTATICO)</v>
      </c>
      <c r="AB120" s="7" t="str">
        <f>Preencher!$B$3&amp;U120&amp;V120&amp;A120&amp;$AB$6</f>
        <v>JARINU-FRG797901MQ.TUNEL DE CG (ESTATICO) (1)</v>
      </c>
      <c r="AC120" s="7" t="str">
        <f>Preencher!$B$3&amp;U120&amp;V120&amp;A120&amp;$AC$6</f>
        <v>JARINU-FRG797901MQ.TUNEL DE CG (ESTATICO) (2)</v>
      </c>
      <c r="AD120" s="327">
        <f>IFERROR(SUMIF('BD Otimix'!A:A,'BD VOLUME'!X120,'BD Otimix'!O:O)+SUMIF('BD Otimix'!A:A,'BD VOLUME'!Y120,'BD Otimix'!O:O)+SUMIF('BD Otimix'!A:A,'BD VOLUME'!Z120,'BD Otimix'!O:O)+SUMIF('BD Otimix'!A:A,'BD VOLUME'!AA120,'BD Otimix'!O:O)+SUMIF('BD Otimix'!A:A,'BD VOLUME'!AB120,'BD Otimix'!O:O)+SUMIF('BD Otimix'!A:A,'BD VOLUME'!AC120,'BD Otimix'!O:O)+SUMIF('BD Otimix'!A:A,'BD VOLUME'!W120,'BD Otimix'!O:O),0)</f>
        <v>0</v>
      </c>
      <c r="AE120" s="327">
        <f t="shared" si="24"/>
        <v>0</v>
      </c>
      <c r="AF120" s="7" t="str">
        <f>Preencher!$B$3&amp;$U$8&amp;$V$8&amp;A120&amp;$AF$6</f>
        <v>JARINU-FRG797901MQ.GIROFREEZER</v>
      </c>
      <c r="AG120" s="7" t="str">
        <f>Preencher!$B$3&amp;$U$8&amp;$V$8&amp;A120&amp;$AG$6</f>
        <v>JARINU-FRG797901MQ.GIROFREEZER (1)</v>
      </c>
      <c r="AH120" s="7" t="str">
        <f>Preencher!$B$3&amp;$U$8&amp;$V$8&amp;A120&amp;$AH$6</f>
        <v>JARINU-FRG797901MQ.GIROFREEZER (2)</v>
      </c>
      <c r="AI120" s="7" t="str">
        <f>Preencher!$B$3&amp;$U$8&amp;$V$8&amp;A120&amp;$AI$6</f>
        <v>JARINU-FRG797901MQ.GIROFREEZER REV04</v>
      </c>
      <c r="AJ120" s="7" t="str">
        <f>Preencher!$B$3&amp;$U$8&amp;$V$8&amp;A120&amp;$AJ$6</f>
        <v>JARINU-FRG797901MQ.GIROFREEZER (3)</v>
      </c>
      <c r="AK120" s="327">
        <f>IFERROR(SUMIF('BD Otimix'!A:A,'BD VOLUME'!AG120,'BD Otimix'!O:O)+SUMIF('BD Otimix'!A:A,'BD VOLUME'!AH120,'BD Otimix'!O:O)+SUMIF('BD Otimix'!A:A,'BD VOLUME'!AI120,'BD Otimix'!O:O)+SUMIF('BD Otimix'!A:A,'BD VOLUME'!AJ120,'BD Otimix'!O:O)+SUMIF('BD Otimix'!A:A,'BD VOLUME'!AF120,'BD Otimix'!O:O),0)</f>
        <v>0</v>
      </c>
      <c r="AL120" s="7">
        <f t="shared" si="25"/>
        <v>0</v>
      </c>
    </row>
    <row r="121" spans="1:38">
      <c r="A121" s="346">
        <v>124053</v>
      </c>
      <c r="B121" s="346">
        <v>0</v>
      </c>
      <c r="C121" s="5" t="s">
        <v>1367</v>
      </c>
      <c r="D121" s="5" t="s">
        <v>939</v>
      </c>
      <c r="E121" s="5" t="s">
        <v>1338</v>
      </c>
      <c r="F121" s="132">
        <f>SUMIF('COLAR PLANO'!$A:$A,A121,'COLAR PLANO'!$D:$D)</f>
        <v>0</v>
      </c>
      <c r="G121" s="131">
        <f t="shared" si="36"/>
        <v>0</v>
      </c>
      <c r="H121" s="6">
        <v>0.87849999999999995</v>
      </c>
      <c r="I121" s="7">
        <f t="shared" si="27"/>
        <v>0</v>
      </c>
      <c r="J121" s="130">
        <f t="shared" si="28"/>
        <v>0</v>
      </c>
      <c r="K121" s="346">
        <v>2.2200000000000002</v>
      </c>
      <c r="L121" s="346">
        <v>9</v>
      </c>
      <c r="M121" s="346">
        <v>20</v>
      </c>
      <c r="N121" s="7">
        <f t="shared" si="23"/>
        <v>0</v>
      </c>
      <c r="O121" s="7"/>
      <c r="P121" s="311">
        <f t="shared" si="37"/>
        <v>0</v>
      </c>
      <c r="Q121" s="7"/>
      <c r="R121" s="7"/>
      <c r="S121" s="7"/>
      <c r="T121" s="7"/>
      <c r="U121" s="7" t="s">
        <v>2288</v>
      </c>
      <c r="V121" s="7" t="s">
        <v>2289</v>
      </c>
      <c r="W121" s="7" t="str">
        <f>Preencher!$B$3&amp;U121&amp;V121&amp;A121&amp;$W$6</f>
        <v>JARINU-FRG124053MQ.TUNEL DE CG (CONTINUO)</v>
      </c>
      <c r="X121" s="7" t="str">
        <f>Preencher!$B$3&amp;U121&amp;V121&amp;A121&amp;$X$6</f>
        <v>JARINU-FRG124053MQ.TUNEL DE CG (CONTINUO) (1)</v>
      </c>
      <c r="Y121" s="7" t="str">
        <f>Preencher!$B$3&amp;U121&amp;V121&amp;A121&amp;$Y$6</f>
        <v>JARINU-FRG124053MQ.TUNEL DE CG (CONTINUO) (2)</v>
      </c>
      <c r="Z121" s="7" t="str">
        <f>Preencher!$B$3&amp;U121&amp;V121&amp;A121&amp;$Z$6</f>
        <v>JARINU-FRG124053MQ.TUNEL DE CG (CONTINUO) (3)</v>
      </c>
      <c r="AA121" s="7" t="str">
        <f>Preencher!$B$3&amp;U121&amp;V121&amp;A121&amp;$AA$6</f>
        <v>JARINU-FRG124053MQ.TUNEL DE CG (ESTATICO)</v>
      </c>
      <c r="AB121" s="7" t="str">
        <f>Preencher!$B$3&amp;U121&amp;V121&amp;A121&amp;$AB$6</f>
        <v>JARINU-FRG124053MQ.TUNEL DE CG (ESTATICO) (1)</v>
      </c>
      <c r="AC121" s="7" t="str">
        <f>Preencher!$B$3&amp;U121&amp;V121&amp;A121&amp;$AC$6</f>
        <v>JARINU-FRG124053MQ.TUNEL DE CG (ESTATICO) (2)</v>
      </c>
      <c r="AD121" s="327">
        <f>IFERROR(SUMIF('BD Otimix'!A:A,'BD VOLUME'!X121,'BD Otimix'!O:O)+SUMIF('BD Otimix'!A:A,'BD VOLUME'!Y121,'BD Otimix'!O:O)+SUMIF('BD Otimix'!A:A,'BD VOLUME'!Z121,'BD Otimix'!O:O)+SUMIF('BD Otimix'!A:A,'BD VOLUME'!AA121,'BD Otimix'!O:O)+SUMIF('BD Otimix'!A:A,'BD VOLUME'!AB121,'BD Otimix'!O:O)+SUMIF('BD Otimix'!A:A,'BD VOLUME'!AC121,'BD Otimix'!O:O)+SUMIF('BD Otimix'!A:A,'BD VOLUME'!W121,'BD Otimix'!O:O),0)</f>
        <v>0</v>
      </c>
      <c r="AE121" s="327">
        <f t="shared" si="24"/>
        <v>0</v>
      </c>
      <c r="AF121" s="7" t="str">
        <f>Preencher!$B$3&amp;$U$8&amp;$V$8&amp;A121&amp;$AF$6</f>
        <v>JARINU-FRG124053MQ.GIROFREEZER</v>
      </c>
      <c r="AG121" s="7" t="str">
        <f>Preencher!$B$3&amp;$U$8&amp;$V$8&amp;A121&amp;$AG$6</f>
        <v>JARINU-FRG124053MQ.GIROFREEZER (1)</v>
      </c>
      <c r="AH121" s="7" t="str">
        <f>Preencher!$B$3&amp;$U$8&amp;$V$8&amp;A121&amp;$AH$6</f>
        <v>JARINU-FRG124053MQ.GIROFREEZER (2)</v>
      </c>
      <c r="AI121" s="7" t="str">
        <f>Preencher!$B$3&amp;$U$8&amp;$V$8&amp;A121&amp;$AI$6</f>
        <v>JARINU-FRG124053MQ.GIROFREEZER REV04</v>
      </c>
      <c r="AJ121" s="7" t="str">
        <f>Preencher!$B$3&amp;$U$8&amp;$V$8&amp;A121&amp;$AJ$6</f>
        <v>JARINU-FRG124053MQ.GIROFREEZER (3)</v>
      </c>
      <c r="AK121" s="327">
        <f>IFERROR(SUMIF('BD Otimix'!A:A,'BD VOLUME'!AG121,'BD Otimix'!O:O)+SUMIF('BD Otimix'!A:A,'BD VOLUME'!AH121,'BD Otimix'!O:O)+SUMIF('BD Otimix'!A:A,'BD VOLUME'!AI121,'BD Otimix'!O:O)+SUMIF('BD Otimix'!A:A,'BD VOLUME'!AJ121,'BD Otimix'!O:O)+SUMIF('BD Otimix'!A:A,'BD VOLUME'!AF121,'BD Otimix'!O:O),0)</f>
        <v>0</v>
      </c>
      <c r="AL121" s="7">
        <f t="shared" si="25"/>
        <v>0</v>
      </c>
    </row>
    <row r="122" spans="1:38">
      <c r="A122" s="346">
        <v>956732</v>
      </c>
      <c r="B122" s="346">
        <v>0</v>
      </c>
      <c r="C122" s="5" t="s">
        <v>1367</v>
      </c>
      <c r="D122" s="5" t="s">
        <v>939</v>
      </c>
      <c r="E122" s="5" t="s">
        <v>2585</v>
      </c>
      <c r="F122" s="132">
        <f>SUMIF('COLAR PLANO'!$A:$A,A122,'COLAR PLANO'!$D:$D)</f>
        <v>0</v>
      </c>
      <c r="G122" s="131">
        <f t="shared" si="36"/>
        <v>0</v>
      </c>
      <c r="H122" s="6">
        <v>0.87849999999999995</v>
      </c>
      <c r="I122" s="7">
        <f t="shared" si="27"/>
        <v>0</v>
      </c>
      <c r="J122" s="130">
        <f t="shared" si="28"/>
        <v>0</v>
      </c>
      <c r="K122" s="346">
        <v>2.2200000000000002</v>
      </c>
      <c r="L122" s="346">
        <v>9</v>
      </c>
      <c r="M122" s="346">
        <v>20</v>
      </c>
      <c r="N122" s="7">
        <f t="shared" si="23"/>
        <v>0</v>
      </c>
      <c r="O122" s="7"/>
      <c r="P122" s="311">
        <f t="shared" si="37"/>
        <v>0</v>
      </c>
      <c r="Q122" s="7"/>
      <c r="R122" s="7"/>
      <c r="S122" s="7"/>
      <c r="T122" s="7"/>
      <c r="U122" s="7" t="s">
        <v>2288</v>
      </c>
      <c r="V122" s="7" t="s">
        <v>2289</v>
      </c>
      <c r="W122" s="7" t="str">
        <f>Preencher!$B$3&amp;U122&amp;V122&amp;A122&amp;$W$6</f>
        <v>JARINU-FRG956732MQ.TUNEL DE CG (CONTINUO)</v>
      </c>
      <c r="X122" s="7" t="str">
        <f>Preencher!$B$3&amp;U122&amp;V122&amp;A122&amp;$X$6</f>
        <v>JARINU-FRG956732MQ.TUNEL DE CG (CONTINUO) (1)</v>
      </c>
      <c r="Y122" s="7" t="str">
        <f>Preencher!$B$3&amp;U122&amp;V122&amp;A122&amp;$Y$6</f>
        <v>JARINU-FRG956732MQ.TUNEL DE CG (CONTINUO) (2)</v>
      </c>
      <c r="Z122" s="7" t="str">
        <f>Preencher!$B$3&amp;U122&amp;V122&amp;A122&amp;$Z$6</f>
        <v>JARINU-FRG956732MQ.TUNEL DE CG (CONTINUO) (3)</v>
      </c>
      <c r="AA122" s="7" t="str">
        <f>Preencher!$B$3&amp;U122&amp;V122&amp;A122&amp;$AA$6</f>
        <v>JARINU-FRG956732MQ.TUNEL DE CG (ESTATICO)</v>
      </c>
      <c r="AB122" s="7" t="str">
        <f>Preencher!$B$3&amp;U122&amp;V122&amp;A122&amp;$AB$6</f>
        <v>JARINU-FRG956732MQ.TUNEL DE CG (ESTATICO) (1)</v>
      </c>
      <c r="AC122" s="7" t="str">
        <f>Preencher!$B$3&amp;U122&amp;V122&amp;A122&amp;$AC$6</f>
        <v>JARINU-FRG956732MQ.TUNEL DE CG (ESTATICO) (2)</v>
      </c>
      <c r="AD122" s="327">
        <f>IFERROR(SUMIF('BD Otimix'!A:A,'BD VOLUME'!X122,'BD Otimix'!O:O)+SUMIF('BD Otimix'!A:A,'BD VOLUME'!Y122,'BD Otimix'!O:O)+SUMIF('BD Otimix'!A:A,'BD VOLUME'!Z122,'BD Otimix'!O:O)+SUMIF('BD Otimix'!A:A,'BD VOLUME'!AA122,'BD Otimix'!O:O)+SUMIF('BD Otimix'!A:A,'BD VOLUME'!AB122,'BD Otimix'!O:O)+SUMIF('BD Otimix'!A:A,'BD VOLUME'!AC122,'BD Otimix'!O:O)+SUMIF('BD Otimix'!A:A,'BD VOLUME'!W122,'BD Otimix'!O:O),0)</f>
        <v>0</v>
      </c>
      <c r="AE122" s="327">
        <f t="shared" si="24"/>
        <v>0</v>
      </c>
      <c r="AF122" s="7" t="str">
        <f>Preencher!$B$3&amp;$U$8&amp;$V$8&amp;A122&amp;$AF$6</f>
        <v>JARINU-FRG956732MQ.GIROFREEZER</v>
      </c>
      <c r="AG122" s="7" t="str">
        <f>Preencher!$B$3&amp;$U$8&amp;$V$8&amp;A122&amp;$AG$6</f>
        <v>JARINU-FRG956732MQ.GIROFREEZER (1)</v>
      </c>
      <c r="AH122" s="7" t="str">
        <f>Preencher!$B$3&amp;$U$8&amp;$V$8&amp;A122&amp;$AH$6</f>
        <v>JARINU-FRG956732MQ.GIROFREEZER (2)</v>
      </c>
      <c r="AI122" s="7" t="str">
        <f>Preencher!$B$3&amp;$U$8&amp;$V$8&amp;A122&amp;$AI$6</f>
        <v>JARINU-FRG956732MQ.GIROFREEZER REV04</v>
      </c>
      <c r="AJ122" s="7" t="str">
        <f>Preencher!$B$3&amp;$U$8&amp;$V$8&amp;A122&amp;$AJ$6</f>
        <v>JARINU-FRG956732MQ.GIROFREEZER (3)</v>
      </c>
      <c r="AK122" s="327">
        <f>IFERROR(SUMIF('BD Otimix'!A:A,'BD VOLUME'!AG122,'BD Otimix'!O:O)+SUMIF('BD Otimix'!A:A,'BD VOLUME'!AH122,'BD Otimix'!O:O)+SUMIF('BD Otimix'!A:A,'BD VOLUME'!AI122,'BD Otimix'!O:O)+SUMIF('BD Otimix'!A:A,'BD VOLUME'!AJ122,'BD Otimix'!O:O)+SUMIF('BD Otimix'!A:A,'BD VOLUME'!AF122,'BD Otimix'!O:O),0)</f>
        <v>0</v>
      </c>
      <c r="AL122" s="7">
        <f t="shared" si="25"/>
        <v>0</v>
      </c>
    </row>
    <row r="123" spans="1:38">
      <c r="A123" s="346">
        <v>986518</v>
      </c>
      <c r="B123" s="346">
        <v>0</v>
      </c>
      <c r="C123" s="5" t="s">
        <v>1367</v>
      </c>
      <c r="D123" s="5" t="s">
        <v>939</v>
      </c>
      <c r="E123" s="5" t="s">
        <v>1338</v>
      </c>
      <c r="F123" s="132">
        <f>SUMIF('COLAR PLANO'!$A:$A,A123,'COLAR PLANO'!$D:$D)</f>
        <v>0</v>
      </c>
      <c r="G123" s="131">
        <f t="shared" si="36"/>
        <v>0</v>
      </c>
      <c r="H123" s="6">
        <v>0.87849999999999995</v>
      </c>
      <c r="I123" s="7">
        <f t="shared" si="27"/>
        <v>0</v>
      </c>
      <c r="J123" s="130">
        <f t="shared" si="28"/>
        <v>0</v>
      </c>
      <c r="K123" s="346"/>
      <c r="L123" s="346"/>
      <c r="M123" s="346"/>
      <c r="N123" s="7" t="str">
        <f t="shared" si="23"/>
        <v>-</v>
      </c>
      <c r="O123" s="7"/>
      <c r="P123" s="311" t="str">
        <f t="shared" si="37"/>
        <v>-</v>
      </c>
      <c r="Q123" s="7"/>
      <c r="R123" s="7"/>
      <c r="S123" s="7"/>
      <c r="T123" s="7"/>
      <c r="U123" s="7" t="s">
        <v>2288</v>
      </c>
      <c r="V123" s="7" t="s">
        <v>2289</v>
      </c>
      <c r="W123" s="7" t="str">
        <f>Preencher!$B$3&amp;U123&amp;V123&amp;A123&amp;$W$6</f>
        <v>JARINU-FRG986518MQ.TUNEL DE CG (CONTINUO)</v>
      </c>
      <c r="X123" s="7" t="str">
        <f>Preencher!$B$3&amp;U123&amp;V123&amp;A123&amp;$X$6</f>
        <v>JARINU-FRG986518MQ.TUNEL DE CG (CONTINUO) (1)</v>
      </c>
      <c r="Y123" s="7" t="str">
        <f>Preencher!$B$3&amp;U123&amp;V123&amp;A123&amp;$Y$6</f>
        <v>JARINU-FRG986518MQ.TUNEL DE CG (CONTINUO) (2)</v>
      </c>
      <c r="Z123" s="7" t="str">
        <f>Preencher!$B$3&amp;U123&amp;V123&amp;A123&amp;$Z$6</f>
        <v>JARINU-FRG986518MQ.TUNEL DE CG (CONTINUO) (3)</v>
      </c>
      <c r="AA123" s="7" t="str">
        <f>Preencher!$B$3&amp;U123&amp;V123&amp;A123&amp;$AA$6</f>
        <v>JARINU-FRG986518MQ.TUNEL DE CG (ESTATICO)</v>
      </c>
      <c r="AB123" s="7" t="str">
        <f>Preencher!$B$3&amp;U123&amp;V123&amp;A123&amp;$AB$6</f>
        <v>JARINU-FRG986518MQ.TUNEL DE CG (ESTATICO) (1)</v>
      </c>
      <c r="AC123" s="7" t="str">
        <f>Preencher!$B$3&amp;U123&amp;V123&amp;A123&amp;$AC$6</f>
        <v>JARINU-FRG986518MQ.TUNEL DE CG (ESTATICO) (2)</v>
      </c>
      <c r="AD123" s="327">
        <f>IFERROR(SUMIF('BD Otimix'!A:A,'BD VOLUME'!X123,'BD Otimix'!O:O)+SUMIF('BD Otimix'!A:A,'BD VOLUME'!Y123,'BD Otimix'!O:O)+SUMIF('BD Otimix'!A:A,'BD VOLUME'!Z123,'BD Otimix'!O:O)+SUMIF('BD Otimix'!A:A,'BD VOLUME'!AA123,'BD Otimix'!O:O)+SUMIF('BD Otimix'!A:A,'BD VOLUME'!AB123,'BD Otimix'!O:O)+SUMIF('BD Otimix'!A:A,'BD VOLUME'!AC123,'BD Otimix'!O:O)+SUMIF('BD Otimix'!A:A,'BD VOLUME'!W123,'BD Otimix'!O:O),0)</f>
        <v>0</v>
      </c>
      <c r="AE123" s="327">
        <f t="shared" si="24"/>
        <v>0</v>
      </c>
      <c r="AF123" s="7" t="str">
        <f>Preencher!$B$3&amp;$U$8&amp;$V$8&amp;A123&amp;$AF$6</f>
        <v>JARINU-FRG986518MQ.GIROFREEZER</v>
      </c>
      <c r="AG123" s="7" t="str">
        <f>Preencher!$B$3&amp;$U$8&amp;$V$8&amp;A123&amp;$AG$6</f>
        <v>JARINU-FRG986518MQ.GIROFREEZER (1)</v>
      </c>
      <c r="AH123" s="7" t="str">
        <f>Preencher!$B$3&amp;$U$8&amp;$V$8&amp;A123&amp;$AH$6</f>
        <v>JARINU-FRG986518MQ.GIROFREEZER (2)</v>
      </c>
      <c r="AI123" s="7" t="str">
        <f>Preencher!$B$3&amp;$U$8&amp;$V$8&amp;A123&amp;$AI$6</f>
        <v>JARINU-FRG986518MQ.GIROFREEZER REV04</v>
      </c>
      <c r="AJ123" s="7" t="str">
        <f>Preencher!$B$3&amp;$U$8&amp;$V$8&amp;A123&amp;$AJ$6</f>
        <v>JARINU-FRG986518MQ.GIROFREEZER (3)</v>
      </c>
      <c r="AK123" s="327">
        <f>IFERROR(SUMIF('BD Otimix'!A:A,'BD VOLUME'!AG123,'BD Otimix'!O:O)+SUMIF('BD Otimix'!A:A,'BD VOLUME'!AH123,'BD Otimix'!O:O)+SUMIF('BD Otimix'!A:A,'BD VOLUME'!AI123,'BD Otimix'!O:O)+SUMIF('BD Otimix'!A:A,'BD VOLUME'!AJ123,'BD Otimix'!O:O)+SUMIF('BD Otimix'!A:A,'BD VOLUME'!AF123,'BD Otimix'!O:O),0)</f>
        <v>0</v>
      </c>
      <c r="AL123" s="7">
        <f t="shared" si="25"/>
        <v>0</v>
      </c>
    </row>
    <row r="124" spans="1:38">
      <c r="A124" s="346">
        <v>993387</v>
      </c>
      <c r="B124" s="346">
        <v>0</v>
      </c>
      <c r="C124" s="5" t="s">
        <v>1367</v>
      </c>
      <c r="D124" s="5" t="s">
        <v>939</v>
      </c>
      <c r="E124" s="5" t="s">
        <v>1338</v>
      </c>
      <c r="F124" s="132">
        <f>SUMIF('COLAR PLANO'!$A:$A,A124,'COLAR PLANO'!$D:$D)</f>
        <v>0</v>
      </c>
      <c r="G124" s="131">
        <f t="shared" si="36"/>
        <v>0</v>
      </c>
      <c r="H124" s="6">
        <v>0.87849999999999995</v>
      </c>
      <c r="I124" s="7">
        <f t="shared" si="27"/>
        <v>0</v>
      </c>
      <c r="J124" s="130">
        <f t="shared" ref="J124" si="38">IFERROR(I124/$B$65,0)</f>
        <v>0</v>
      </c>
      <c r="K124" s="818">
        <v>2.2200000000000002</v>
      </c>
      <c r="L124" s="818">
        <v>9</v>
      </c>
      <c r="M124" s="818">
        <v>20</v>
      </c>
      <c r="N124" s="7">
        <f t="shared" ref="N124" si="39">IFERROR(G124/K124,"-")</f>
        <v>0</v>
      </c>
      <c r="O124" s="7"/>
      <c r="P124" s="311">
        <f t="shared" ref="P124" si="40">IFERROR(G124/M124,"-")</f>
        <v>0</v>
      </c>
      <c r="Q124" s="7"/>
      <c r="R124" s="7"/>
      <c r="S124" s="7"/>
      <c r="T124" s="7"/>
      <c r="U124" s="7" t="s">
        <v>2288</v>
      </c>
      <c r="V124" s="7" t="s">
        <v>2289</v>
      </c>
      <c r="W124" s="7" t="str">
        <f>Preencher!$B$3&amp;U124&amp;V124&amp;A124&amp;$W$6</f>
        <v>JARINU-FRG993387MQ.TUNEL DE CG (CONTINUO)</v>
      </c>
      <c r="X124" s="7" t="str">
        <f>Preencher!$B$3&amp;U124&amp;V124&amp;A124&amp;$X$6</f>
        <v>JARINU-FRG993387MQ.TUNEL DE CG (CONTINUO) (1)</v>
      </c>
      <c r="Y124" s="7" t="str">
        <f>Preencher!$B$3&amp;U124&amp;V124&amp;A124&amp;$Y$6</f>
        <v>JARINU-FRG993387MQ.TUNEL DE CG (CONTINUO) (2)</v>
      </c>
      <c r="Z124" s="7" t="str">
        <f>Preencher!$B$3&amp;U124&amp;V124&amp;A124&amp;$Z$6</f>
        <v>JARINU-FRG993387MQ.TUNEL DE CG (CONTINUO) (3)</v>
      </c>
      <c r="AA124" s="7" t="str">
        <f>Preencher!$B$3&amp;U124&amp;V124&amp;A124&amp;$AA$6</f>
        <v>JARINU-FRG993387MQ.TUNEL DE CG (ESTATICO)</v>
      </c>
      <c r="AB124" s="7" t="str">
        <f>Preencher!$B$3&amp;U124&amp;V124&amp;A124&amp;$AB$6</f>
        <v>JARINU-FRG993387MQ.TUNEL DE CG (ESTATICO) (1)</v>
      </c>
      <c r="AC124" s="7" t="str">
        <f>Preencher!$B$3&amp;U124&amp;V124&amp;A124&amp;$AC$6</f>
        <v>JARINU-FRG993387MQ.TUNEL DE CG (ESTATICO) (2)</v>
      </c>
      <c r="AD124" s="327">
        <f>IFERROR(SUMIF('BD Otimix'!A:A,'BD VOLUME'!X124,'BD Otimix'!O:O)+SUMIF('BD Otimix'!A:A,'BD VOLUME'!Y124,'BD Otimix'!O:O)+SUMIF('BD Otimix'!A:A,'BD VOLUME'!Z124,'BD Otimix'!O:O)+SUMIF('BD Otimix'!A:A,'BD VOLUME'!AA124,'BD Otimix'!O:O)+SUMIF('BD Otimix'!A:A,'BD VOLUME'!AB124,'BD Otimix'!O:O)+SUMIF('BD Otimix'!A:A,'BD VOLUME'!AC124,'BD Otimix'!O:O)+SUMIF('BD Otimix'!A:A,'BD VOLUME'!W124,'BD Otimix'!O:O),0)</f>
        <v>0</v>
      </c>
      <c r="AE124" s="327">
        <f t="shared" si="24"/>
        <v>0</v>
      </c>
      <c r="AF124" s="7" t="str">
        <f>Preencher!$B$3&amp;$U$8&amp;$V$8&amp;A124&amp;$AF$6</f>
        <v>JARINU-FRG993387MQ.GIROFREEZER</v>
      </c>
      <c r="AG124" s="7" t="str">
        <f>Preencher!$B$3&amp;$U$8&amp;$V$8&amp;A124&amp;$AG$6</f>
        <v>JARINU-FRG993387MQ.GIROFREEZER (1)</v>
      </c>
      <c r="AH124" s="7" t="str">
        <f>Preencher!$B$3&amp;$U$8&amp;$V$8&amp;A124&amp;$AH$6</f>
        <v>JARINU-FRG993387MQ.GIROFREEZER (2)</v>
      </c>
      <c r="AI124" s="7" t="str">
        <f>Preencher!$B$3&amp;$U$8&amp;$V$8&amp;A124&amp;$AI$6</f>
        <v>JARINU-FRG993387MQ.GIROFREEZER REV04</v>
      </c>
      <c r="AJ124" s="7" t="str">
        <f>Preencher!$B$3&amp;$U$8&amp;$V$8&amp;A124&amp;$AJ$6</f>
        <v>JARINU-FRG993387MQ.GIROFREEZER (3)</v>
      </c>
      <c r="AK124" s="327">
        <f>IFERROR(SUMIF('BD Otimix'!A:A,'BD VOLUME'!AG124,'BD Otimix'!O:O)+SUMIF('BD Otimix'!A:A,'BD VOLUME'!AH124,'BD Otimix'!O:O)+SUMIF('BD Otimix'!A:A,'BD VOLUME'!AI124,'BD Otimix'!O:O)+SUMIF('BD Otimix'!A:A,'BD VOLUME'!AJ124,'BD Otimix'!O:O)+SUMIF('BD Otimix'!A:A,'BD VOLUME'!AF124,'BD Otimix'!O:O),0)</f>
        <v>0</v>
      </c>
      <c r="AL124" s="7">
        <f t="shared" si="25"/>
        <v>0</v>
      </c>
    </row>
    <row r="125" spans="1:38">
      <c r="A125" s="346">
        <v>18007</v>
      </c>
      <c r="B125" s="346" t="s">
        <v>1396</v>
      </c>
      <c r="C125" s="5" t="s">
        <v>1367</v>
      </c>
      <c r="D125" s="5" t="s">
        <v>939</v>
      </c>
      <c r="E125" s="5" t="s">
        <v>1338</v>
      </c>
      <c r="F125" s="132">
        <f>SUMIF('COLAR PLANO'!$A:$A,A125,'COLAR PLANO'!$D:$D)</f>
        <v>0</v>
      </c>
      <c r="G125" s="131">
        <f t="shared" si="36"/>
        <v>0</v>
      </c>
      <c r="H125" s="6">
        <v>0.87090000000000001</v>
      </c>
      <c r="I125" s="7">
        <f t="shared" si="27"/>
        <v>0</v>
      </c>
      <c r="J125" s="130">
        <f t="shared" si="28"/>
        <v>0</v>
      </c>
      <c r="K125" s="346"/>
      <c r="L125" s="346"/>
      <c r="M125" s="346"/>
      <c r="N125" s="7" t="str">
        <f t="shared" si="23"/>
        <v>-</v>
      </c>
      <c r="O125" s="7"/>
      <c r="P125" s="311" t="str">
        <f t="shared" si="37"/>
        <v>-</v>
      </c>
      <c r="Q125" s="7"/>
      <c r="R125" s="7"/>
      <c r="S125" s="7"/>
      <c r="T125" s="7"/>
      <c r="U125" s="7" t="s">
        <v>2288</v>
      </c>
      <c r="V125" s="7" t="s">
        <v>2289</v>
      </c>
      <c r="W125" s="7" t="str">
        <f>Preencher!$B$3&amp;U125&amp;V125&amp;A125&amp;$W$6</f>
        <v>JARINU-FRG18007MQ.TUNEL DE CG (CONTINUO)</v>
      </c>
      <c r="X125" s="7" t="str">
        <f>Preencher!$B$3&amp;U125&amp;V125&amp;A125&amp;$X$6</f>
        <v>JARINU-FRG18007MQ.TUNEL DE CG (CONTINUO) (1)</v>
      </c>
      <c r="Y125" s="7" t="str">
        <f>Preencher!$B$3&amp;U125&amp;V125&amp;A125&amp;$Y$6</f>
        <v>JARINU-FRG18007MQ.TUNEL DE CG (CONTINUO) (2)</v>
      </c>
      <c r="Z125" s="7" t="str">
        <f>Preencher!$B$3&amp;U125&amp;V125&amp;A125&amp;$Z$6</f>
        <v>JARINU-FRG18007MQ.TUNEL DE CG (CONTINUO) (3)</v>
      </c>
      <c r="AA125" s="7" t="str">
        <f>Preencher!$B$3&amp;U125&amp;V125&amp;A125&amp;$AA$6</f>
        <v>JARINU-FRG18007MQ.TUNEL DE CG (ESTATICO)</v>
      </c>
      <c r="AB125" s="7" t="str">
        <f>Preencher!$B$3&amp;U125&amp;V125&amp;A125&amp;$AB$6</f>
        <v>JARINU-FRG18007MQ.TUNEL DE CG (ESTATICO) (1)</v>
      </c>
      <c r="AC125" s="7" t="str">
        <f>Preencher!$B$3&amp;U125&amp;V125&amp;A125&amp;$AC$6</f>
        <v>JARINU-FRG18007MQ.TUNEL DE CG (ESTATICO) (2)</v>
      </c>
      <c r="AD125" s="327">
        <f>IFERROR(SUMIF('BD Otimix'!A:A,'BD VOLUME'!X125,'BD Otimix'!O:O)+SUMIF('BD Otimix'!A:A,'BD VOLUME'!Y125,'BD Otimix'!O:O)+SUMIF('BD Otimix'!A:A,'BD VOLUME'!Z125,'BD Otimix'!O:O)+SUMIF('BD Otimix'!A:A,'BD VOLUME'!AA125,'BD Otimix'!O:O)+SUMIF('BD Otimix'!A:A,'BD VOLUME'!AB125,'BD Otimix'!O:O)+SUMIF('BD Otimix'!A:A,'BD VOLUME'!AC125,'BD Otimix'!O:O)+SUMIF('BD Otimix'!A:A,'BD VOLUME'!W125,'BD Otimix'!O:O),0)</f>
        <v>0</v>
      </c>
      <c r="AE125" s="327">
        <f t="shared" si="24"/>
        <v>0</v>
      </c>
      <c r="AF125" s="7" t="str">
        <f>Preencher!$B$3&amp;$U$8&amp;$V$8&amp;A125&amp;$AF$6</f>
        <v>JARINU-FRG18007MQ.GIROFREEZER</v>
      </c>
      <c r="AG125" s="7" t="str">
        <f>Preencher!$B$3&amp;$U$8&amp;$V$8&amp;A125&amp;$AG$6</f>
        <v>JARINU-FRG18007MQ.GIROFREEZER (1)</v>
      </c>
      <c r="AH125" s="7" t="str">
        <f>Preencher!$B$3&amp;$U$8&amp;$V$8&amp;A125&amp;$AH$6</f>
        <v>JARINU-FRG18007MQ.GIROFREEZER (2)</v>
      </c>
      <c r="AI125" s="7" t="str">
        <f>Preencher!$B$3&amp;$U$8&amp;$V$8&amp;A125&amp;$AI$6</f>
        <v>JARINU-FRG18007MQ.GIROFREEZER REV04</v>
      </c>
      <c r="AJ125" s="7" t="str">
        <f>Preencher!$B$3&amp;$U$8&amp;$V$8&amp;A125&amp;$AJ$6</f>
        <v>JARINU-FRG18007MQ.GIROFREEZER (3)</v>
      </c>
      <c r="AK125" s="327">
        <f>IFERROR(SUMIF('BD Otimix'!A:A,'BD VOLUME'!AG125,'BD Otimix'!O:O)+SUMIF('BD Otimix'!A:A,'BD VOLUME'!AH125,'BD Otimix'!O:O)+SUMIF('BD Otimix'!A:A,'BD VOLUME'!AI125,'BD Otimix'!O:O)+SUMIF('BD Otimix'!A:A,'BD VOLUME'!AJ125,'BD Otimix'!O:O)+SUMIF('BD Otimix'!A:A,'BD VOLUME'!AF125,'BD Otimix'!O:O),0)</f>
        <v>0</v>
      </c>
      <c r="AL125" s="7">
        <f t="shared" si="25"/>
        <v>0</v>
      </c>
    </row>
    <row r="126" spans="1:38">
      <c r="A126" s="346">
        <v>975699</v>
      </c>
      <c r="B126" s="346"/>
      <c r="C126" s="5" t="s">
        <v>1368</v>
      </c>
      <c r="D126" s="5" t="s">
        <v>939</v>
      </c>
      <c r="E126" s="5" t="s">
        <v>1338</v>
      </c>
      <c r="F126" s="132">
        <f>SUMIF('COLAR PLANO'!$A:$A,A126,'COLAR PLANO'!$D:$D)</f>
        <v>0</v>
      </c>
      <c r="G126" s="131">
        <f t="shared" si="36"/>
        <v>0</v>
      </c>
      <c r="H126" s="6">
        <v>0.84819999999999995</v>
      </c>
      <c r="I126" s="7">
        <f t="shared" si="27"/>
        <v>0</v>
      </c>
      <c r="J126" s="130">
        <f t="shared" si="28"/>
        <v>0</v>
      </c>
      <c r="K126" s="346"/>
      <c r="L126" s="346"/>
      <c r="M126" s="346"/>
      <c r="N126" s="7" t="str">
        <f t="shared" si="23"/>
        <v>-</v>
      </c>
      <c r="O126" s="7"/>
      <c r="P126" s="7"/>
      <c r="Q126" s="7"/>
      <c r="R126" s="7"/>
      <c r="S126" s="7"/>
      <c r="T126" s="7"/>
      <c r="U126" s="7" t="s">
        <v>2288</v>
      </c>
      <c r="V126" s="7" t="s">
        <v>2289</v>
      </c>
      <c r="W126" s="7" t="str">
        <f>Preencher!$B$3&amp;U126&amp;V126&amp;A126&amp;$W$6</f>
        <v>JARINU-FRG975699MQ.TUNEL DE CG (CONTINUO)</v>
      </c>
      <c r="X126" s="7" t="str">
        <f>Preencher!$B$3&amp;U126&amp;V126&amp;A126&amp;$X$6</f>
        <v>JARINU-FRG975699MQ.TUNEL DE CG (CONTINUO) (1)</v>
      </c>
      <c r="Y126" s="7" t="str">
        <f>Preencher!$B$3&amp;U126&amp;V126&amp;A126&amp;$Y$6</f>
        <v>JARINU-FRG975699MQ.TUNEL DE CG (CONTINUO) (2)</v>
      </c>
      <c r="Z126" s="7" t="str">
        <f>Preencher!$B$3&amp;U126&amp;V126&amp;A126&amp;$Z$6</f>
        <v>JARINU-FRG975699MQ.TUNEL DE CG (CONTINUO) (3)</v>
      </c>
      <c r="AA126" s="7" t="str">
        <f>Preencher!$B$3&amp;U126&amp;V126&amp;A126&amp;$AA$6</f>
        <v>JARINU-FRG975699MQ.TUNEL DE CG (ESTATICO)</v>
      </c>
      <c r="AB126" s="7" t="str">
        <f>Preencher!$B$3&amp;U126&amp;V126&amp;A126&amp;$AB$6</f>
        <v>JARINU-FRG975699MQ.TUNEL DE CG (ESTATICO) (1)</v>
      </c>
      <c r="AC126" s="7" t="str">
        <f>Preencher!$B$3&amp;U126&amp;V126&amp;A126&amp;$AC$6</f>
        <v>JARINU-FRG975699MQ.TUNEL DE CG (ESTATICO) (2)</v>
      </c>
      <c r="AD126" s="327">
        <f>IFERROR(SUMIF('BD Otimix'!A:A,'BD VOLUME'!X126,'BD Otimix'!O:O)+SUMIF('BD Otimix'!A:A,'BD VOLUME'!Y126,'BD Otimix'!O:O)+SUMIF('BD Otimix'!A:A,'BD VOLUME'!Z126,'BD Otimix'!O:O)+SUMIF('BD Otimix'!A:A,'BD VOLUME'!AA126,'BD Otimix'!O:O)+SUMIF('BD Otimix'!A:A,'BD VOLUME'!AB126,'BD Otimix'!O:O)+SUMIF('BD Otimix'!A:A,'BD VOLUME'!AC126,'BD Otimix'!O:O)+SUMIF('BD Otimix'!A:A,'BD VOLUME'!W126,'BD Otimix'!O:O),0)</f>
        <v>0</v>
      </c>
      <c r="AE126" s="327">
        <f t="shared" si="24"/>
        <v>0</v>
      </c>
      <c r="AF126" s="7" t="str">
        <f>Preencher!$B$3&amp;$U$8&amp;$V$8&amp;A126&amp;$AF$6</f>
        <v>JARINU-FRG975699MQ.GIROFREEZER</v>
      </c>
      <c r="AG126" s="7" t="str">
        <f>Preencher!$B$3&amp;$U$8&amp;$V$8&amp;A126&amp;$AG$6</f>
        <v>JARINU-FRG975699MQ.GIROFREEZER (1)</v>
      </c>
      <c r="AH126" s="7" t="str">
        <f>Preencher!$B$3&amp;$U$8&amp;$V$8&amp;A126&amp;$AH$6</f>
        <v>JARINU-FRG975699MQ.GIROFREEZER (2)</v>
      </c>
      <c r="AI126" s="7" t="str">
        <f>Preencher!$B$3&amp;$U$8&amp;$V$8&amp;A126&amp;$AI$6</f>
        <v>JARINU-FRG975699MQ.GIROFREEZER REV04</v>
      </c>
      <c r="AJ126" s="7" t="str">
        <f>Preencher!$B$3&amp;$U$8&amp;$V$8&amp;A126&amp;$AJ$6</f>
        <v>JARINU-FRG975699MQ.GIROFREEZER (3)</v>
      </c>
      <c r="AK126" s="327">
        <f>IFERROR(SUMIF('BD Otimix'!A:A,'BD VOLUME'!AG126,'BD Otimix'!O:O)+SUMIF('BD Otimix'!A:A,'BD VOLUME'!AH126,'BD Otimix'!O:O)+SUMIF('BD Otimix'!A:A,'BD VOLUME'!AI126,'BD Otimix'!O:O)+SUMIF('BD Otimix'!A:A,'BD VOLUME'!AJ126,'BD Otimix'!O:O)+SUMIF('BD Otimix'!A:A,'BD VOLUME'!AF126,'BD Otimix'!O:O),0)</f>
        <v>0</v>
      </c>
      <c r="AL126" s="7">
        <f t="shared" si="25"/>
        <v>0</v>
      </c>
    </row>
    <row r="127" spans="1:38">
      <c r="A127" s="346">
        <v>951192</v>
      </c>
      <c r="B127" s="346"/>
      <c r="C127" s="5" t="s">
        <v>1368</v>
      </c>
      <c r="D127" s="5" t="s">
        <v>939</v>
      </c>
      <c r="E127" s="5" t="s">
        <v>1338</v>
      </c>
      <c r="F127" s="132">
        <f>SUMIF('COLAR PLANO'!$A:$A,A127,'COLAR PLANO'!$D:$D)</f>
        <v>0</v>
      </c>
      <c r="G127" s="131">
        <f t="shared" si="36"/>
        <v>0</v>
      </c>
      <c r="H127" s="6">
        <v>0.84340000000000004</v>
      </c>
      <c r="I127" s="7">
        <f t="shared" si="27"/>
        <v>0</v>
      </c>
      <c r="J127" s="130">
        <f t="shared" si="28"/>
        <v>0</v>
      </c>
      <c r="K127" s="346"/>
      <c r="L127" s="346"/>
      <c r="M127" s="346"/>
      <c r="N127" s="7" t="str">
        <f t="shared" si="23"/>
        <v>-</v>
      </c>
      <c r="O127" s="7"/>
      <c r="P127" s="7"/>
      <c r="Q127" s="7"/>
      <c r="R127" s="7"/>
      <c r="S127" s="7"/>
      <c r="T127" s="7"/>
      <c r="U127" s="7" t="s">
        <v>2288</v>
      </c>
      <c r="V127" s="7" t="s">
        <v>2289</v>
      </c>
      <c r="W127" s="7" t="str">
        <f>Preencher!$B$3&amp;U127&amp;V127&amp;A127&amp;$W$6</f>
        <v>JARINU-FRG951192MQ.TUNEL DE CG (CONTINUO)</v>
      </c>
      <c r="X127" s="7" t="str">
        <f>Preencher!$B$3&amp;U127&amp;V127&amp;A127&amp;$X$6</f>
        <v>JARINU-FRG951192MQ.TUNEL DE CG (CONTINUO) (1)</v>
      </c>
      <c r="Y127" s="7" t="str">
        <f>Preencher!$B$3&amp;U127&amp;V127&amp;A127&amp;$Y$6</f>
        <v>JARINU-FRG951192MQ.TUNEL DE CG (CONTINUO) (2)</v>
      </c>
      <c r="Z127" s="7" t="str">
        <f>Preencher!$B$3&amp;U127&amp;V127&amp;A127&amp;$Z$6</f>
        <v>JARINU-FRG951192MQ.TUNEL DE CG (CONTINUO) (3)</v>
      </c>
      <c r="AA127" s="7" t="str">
        <f>Preencher!$B$3&amp;U127&amp;V127&amp;A127&amp;$AA$6</f>
        <v>JARINU-FRG951192MQ.TUNEL DE CG (ESTATICO)</v>
      </c>
      <c r="AB127" s="7" t="str">
        <f>Preencher!$B$3&amp;U127&amp;V127&amp;A127&amp;$AB$6</f>
        <v>JARINU-FRG951192MQ.TUNEL DE CG (ESTATICO) (1)</v>
      </c>
      <c r="AC127" s="7" t="str">
        <f>Preencher!$B$3&amp;U127&amp;V127&amp;A127&amp;$AC$6</f>
        <v>JARINU-FRG951192MQ.TUNEL DE CG (ESTATICO) (2)</v>
      </c>
      <c r="AD127" s="327">
        <f>IFERROR(SUMIF('BD Otimix'!A:A,'BD VOLUME'!X127,'BD Otimix'!O:O)+SUMIF('BD Otimix'!A:A,'BD VOLUME'!Y127,'BD Otimix'!O:O)+SUMIF('BD Otimix'!A:A,'BD VOLUME'!Z127,'BD Otimix'!O:O)+SUMIF('BD Otimix'!A:A,'BD VOLUME'!AA127,'BD Otimix'!O:O)+SUMIF('BD Otimix'!A:A,'BD VOLUME'!AB127,'BD Otimix'!O:O)+SUMIF('BD Otimix'!A:A,'BD VOLUME'!AC127,'BD Otimix'!O:O)+SUMIF('BD Otimix'!A:A,'BD VOLUME'!W127,'BD Otimix'!O:O),0)</f>
        <v>0</v>
      </c>
      <c r="AE127" s="327">
        <f t="shared" si="24"/>
        <v>0</v>
      </c>
      <c r="AF127" s="7" t="str">
        <f>Preencher!$B$3&amp;$U$8&amp;$V$8&amp;A127&amp;$AF$6</f>
        <v>JARINU-FRG951192MQ.GIROFREEZER</v>
      </c>
      <c r="AG127" s="7" t="str">
        <f>Preencher!$B$3&amp;$U$8&amp;$V$8&amp;A127&amp;$AG$6</f>
        <v>JARINU-FRG951192MQ.GIROFREEZER (1)</v>
      </c>
      <c r="AH127" s="7" t="str">
        <f>Preencher!$B$3&amp;$U$8&amp;$V$8&amp;A127&amp;$AH$6</f>
        <v>JARINU-FRG951192MQ.GIROFREEZER (2)</v>
      </c>
      <c r="AI127" s="7" t="str">
        <f>Preencher!$B$3&amp;$U$8&amp;$V$8&amp;A127&amp;$AI$6</f>
        <v>JARINU-FRG951192MQ.GIROFREEZER REV04</v>
      </c>
      <c r="AJ127" s="7" t="str">
        <f>Preencher!$B$3&amp;$U$8&amp;$V$8&amp;A127&amp;$AJ$6</f>
        <v>JARINU-FRG951192MQ.GIROFREEZER (3)</v>
      </c>
      <c r="AK127" s="327">
        <f>IFERROR(SUMIF('BD Otimix'!A:A,'BD VOLUME'!AG127,'BD Otimix'!O:O)+SUMIF('BD Otimix'!A:A,'BD VOLUME'!AH127,'BD Otimix'!O:O)+SUMIF('BD Otimix'!A:A,'BD VOLUME'!AI127,'BD Otimix'!O:O)+SUMIF('BD Otimix'!A:A,'BD VOLUME'!AJ127,'BD Otimix'!O:O)+SUMIF('BD Otimix'!A:A,'BD VOLUME'!AF127,'BD Otimix'!O:O),0)</f>
        <v>0</v>
      </c>
      <c r="AL127" s="7">
        <f t="shared" si="25"/>
        <v>0</v>
      </c>
    </row>
    <row r="128" spans="1:38">
      <c r="A128" s="346">
        <v>951195</v>
      </c>
      <c r="B128" s="346"/>
      <c r="C128" s="5" t="s">
        <v>1368</v>
      </c>
      <c r="D128" s="5" t="s">
        <v>939</v>
      </c>
      <c r="E128" s="5" t="s">
        <v>1338</v>
      </c>
      <c r="F128" s="132">
        <f>SUMIF('COLAR PLANO'!$A:$A,A128,'COLAR PLANO'!$D:$D)</f>
        <v>0</v>
      </c>
      <c r="G128" s="131">
        <f t="shared" si="36"/>
        <v>0</v>
      </c>
      <c r="H128" s="6">
        <v>0.84340000000000004</v>
      </c>
      <c r="I128" s="7">
        <f t="shared" si="27"/>
        <v>0</v>
      </c>
      <c r="J128" s="130">
        <f t="shared" si="28"/>
        <v>0</v>
      </c>
      <c r="K128" s="346"/>
      <c r="L128" s="346"/>
      <c r="M128" s="346"/>
      <c r="N128" s="7" t="str">
        <f t="shared" si="23"/>
        <v>-</v>
      </c>
      <c r="O128" s="7"/>
      <c r="P128" s="7"/>
      <c r="Q128" s="7"/>
      <c r="R128" s="7"/>
      <c r="S128" s="7"/>
      <c r="T128" s="7"/>
      <c r="U128" s="7" t="s">
        <v>2288</v>
      </c>
      <c r="V128" s="7" t="s">
        <v>2289</v>
      </c>
      <c r="W128" s="7" t="str">
        <f>Preencher!$B$3&amp;U128&amp;V128&amp;A128&amp;$W$6</f>
        <v>JARINU-FRG951195MQ.TUNEL DE CG (CONTINUO)</v>
      </c>
      <c r="X128" s="7" t="str">
        <f>Preencher!$B$3&amp;U128&amp;V128&amp;A128&amp;$X$6</f>
        <v>JARINU-FRG951195MQ.TUNEL DE CG (CONTINUO) (1)</v>
      </c>
      <c r="Y128" s="7" t="str">
        <f>Preencher!$B$3&amp;U128&amp;V128&amp;A128&amp;$Y$6</f>
        <v>JARINU-FRG951195MQ.TUNEL DE CG (CONTINUO) (2)</v>
      </c>
      <c r="Z128" s="7" t="str">
        <f>Preencher!$B$3&amp;U128&amp;V128&amp;A128&amp;$Z$6</f>
        <v>JARINU-FRG951195MQ.TUNEL DE CG (CONTINUO) (3)</v>
      </c>
      <c r="AA128" s="7" t="str">
        <f>Preencher!$B$3&amp;U128&amp;V128&amp;A128&amp;$AA$6</f>
        <v>JARINU-FRG951195MQ.TUNEL DE CG (ESTATICO)</v>
      </c>
      <c r="AB128" s="7" t="str">
        <f>Preencher!$B$3&amp;U128&amp;V128&amp;A128&amp;$AB$6</f>
        <v>JARINU-FRG951195MQ.TUNEL DE CG (ESTATICO) (1)</v>
      </c>
      <c r="AC128" s="7" t="str">
        <f>Preencher!$B$3&amp;U128&amp;V128&amp;A128&amp;$AC$6</f>
        <v>JARINU-FRG951195MQ.TUNEL DE CG (ESTATICO) (2)</v>
      </c>
      <c r="AD128" s="327">
        <f>IFERROR(SUMIF('BD Otimix'!A:A,'BD VOLUME'!X128,'BD Otimix'!O:O)+SUMIF('BD Otimix'!A:A,'BD VOLUME'!Y128,'BD Otimix'!O:O)+SUMIF('BD Otimix'!A:A,'BD VOLUME'!Z128,'BD Otimix'!O:O)+SUMIF('BD Otimix'!A:A,'BD VOLUME'!AA128,'BD Otimix'!O:O)+SUMIF('BD Otimix'!A:A,'BD VOLUME'!AB128,'BD Otimix'!O:O)+SUMIF('BD Otimix'!A:A,'BD VOLUME'!AC128,'BD Otimix'!O:O)+SUMIF('BD Otimix'!A:A,'BD VOLUME'!W128,'BD Otimix'!O:O),0)</f>
        <v>0</v>
      </c>
      <c r="AE128" s="327">
        <f t="shared" si="24"/>
        <v>0</v>
      </c>
      <c r="AF128" s="7" t="str">
        <f>Preencher!$B$3&amp;$U$8&amp;$V$8&amp;A128&amp;$AF$6</f>
        <v>JARINU-FRG951195MQ.GIROFREEZER</v>
      </c>
      <c r="AG128" s="7" t="str">
        <f>Preencher!$B$3&amp;$U$8&amp;$V$8&amp;A128&amp;$AG$6</f>
        <v>JARINU-FRG951195MQ.GIROFREEZER (1)</v>
      </c>
      <c r="AH128" s="7" t="str">
        <f>Preencher!$B$3&amp;$U$8&amp;$V$8&amp;A128&amp;$AH$6</f>
        <v>JARINU-FRG951195MQ.GIROFREEZER (2)</v>
      </c>
      <c r="AI128" s="7" t="str">
        <f>Preencher!$B$3&amp;$U$8&amp;$V$8&amp;A128&amp;$AI$6</f>
        <v>JARINU-FRG951195MQ.GIROFREEZER REV04</v>
      </c>
      <c r="AJ128" s="7" t="str">
        <f>Preencher!$B$3&amp;$U$8&amp;$V$8&amp;A128&amp;$AJ$6</f>
        <v>JARINU-FRG951195MQ.GIROFREEZER (3)</v>
      </c>
      <c r="AK128" s="327">
        <f>IFERROR(SUMIF('BD Otimix'!A:A,'BD VOLUME'!AG128,'BD Otimix'!O:O)+SUMIF('BD Otimix'!A:A,'BD VOLUME'!AH128,'BD Otimix'!O:O)+SUMIF('BD Otimix'!A:A,'BD VOLUME'!AI128,'BD Otimix'!O:O)+SUMIF('BD Otimix'!A:A,'BD VOLUME'!AJ128,'BD Otimix'!O:O)+SUMIF('BD Otimix'!A:A,'BD VOLUME'!AF128,'BD Otimix'!O:O),0)</f>
        <v>0</v>
      </c>
      <c r="AL128" s="7">
        <f t="shared" si="25"/>
        <v>0</v>
      </c>
    </row>
    <row r="129" spans="1:38">
      <c r="A129" s="346">
        <v>5107</v>
      </c>
      <c r="B129" s="346" t="s">
        <v>1371</v>
      </c>
      <c r="C129" s="5" t="s">
        <v>1370</v>
      </c>
      <c r="D129" s="5" t="s">
        <v>939</v>
      </c>
      <c r="E129" s="5" t="s">
        <v>1338</v>
      </c>
      <c r="F129" s="132">
        <f>SUMIF('COLAR PLANO'!$A:$A,A129,'COLAR PLANO'!$D:$D)</f>
        <v>0</v>
      </c>
      <c r="G129" s="131">
        <f t="shared" si="36"/>
        <v>0</v>
      </c>
      <c r="H129" s="6">
        <v>0.82989999999999997</v>
      </c>
      <c r="I129" s="7">
        <f t="shared" si="27"/>
        <v>0</v>
      </c>
      <c r="J129" s="130">
        <f t="shared" si="28"/>
        <v>0</v>
      </c>
      <c r="K129" s="346"/>
      <c r="L129" s="346"/>
      <c r="M129" s="346"/>
      <c r="N129" s="7" t="str">
        <f t="shared" si="23"/>
        <v>-</v>
      </c>
      <c r="O129" s="7"/>
      <c r="P129" s="7"/>
      <c r="Q129" s="7"/>
      <c r="R129" s="7"/>
      <c r="S129" s="7"/>
      <c r="T129" s="7"/>
      <c r="U129" s="7" t="s">
        <v>2288</v>
      </c>
      <c r="V129" s="7" t="s">
        <v>2289</v>
      </c>
      <c r="W129" s="7" t="str">
        <f>Preencher!$B$3&amp;U129&amp;V129&amp;A129&amp;$W$6</f>
        <v>JARINU-FRG5107MQ.TUNEL DE CG (CONTINUO)</v>
      </c>
      <c r="X129" s="7" t="str">
        <f>Preencher!$B$3&amp;U129&amp;V129&amp;A129&amp;$X$6</f>
        <v>JARINU-FRG5107MQ.TUNEL DE CG (CONTINUO) (1)</v>
      </c>
      <c r="Y129" s="7" t="str">
        <f>Preencher!$B$3&amp;U129&amp;V129&amp;A129&amp;$Y$6</f>
        <v>JARINU-FRG5107MQ.TUNEL DE CG (CONTINUO) (2)</v>
      </c>
      <c r="Z129" s="7" t="str">
        <f>Preencher!$B$3&amp;U129&amp;V129&amp;A129&amp;$Z$6</f>
        <v>JARINU-FRG5107MQ.TUNEL DE CG (CONTINUO) (3)</v>
      </c>
      <c r="AA129" s="7" t="str">
        <f>Preencher!$B$3&amp;U129&amp;V129&amp;A129&amp;$AA$6</f>
        <v>JARINU-FRG5107MQ.TUNEL DE CG (ESTATICO)</v>
      </c>
      <c r="AB129" s="7" t="str">
        <f>Preencher!$B$3&amp;U129&amp;V129&amp;A129&amp;$AB$6</f>
        <v>JARINU-FRG5107MQ.TUNEL DE CG (ESTATICO) (1)</v>
      </c>
      <c r="AC129" s="7" t="str">
        <f>Preencher!$B$3&amp;U129&amp;V129&amp;A129&amp;$AC$6</f>
        <v>JARINU-FRG5107MQ.TUNEL DE CG (ESTATICO) (2)</v>
      </c>
      <c r="AD129" s="327">
        <f>IFERROR(SUMIF('BD Otimix'!A:A,'BD VOLUME'!X129,'BD Otimix'!O:O)+SUMIF('BD Otimix'!A:A,'BD VOLUME'!Y129,'BD Otimix'!O:O)+SUMIF('BD Otimix'!A:A,'BD VOLUME'!Z129,'BD Otimix'!O:O)+SUMIF('BD Otimix'!A:A,'BD VOLUME'!AA129,'BD Otimix'!O:O)+SUMIF('BD Otimix'!A:A,'BD VOLUME'!AB129,'BD Otimix'!O:O)+SUMIF('BD Otimix'!A:A,'BD VOLUME'!AC129,'BD Otimix'!O:O)+SUMIF('BD Otimix'!A:A,'BD VOLUME'!W129,'BD Otimix'!O:O),0)</f>
        <v>0</v>
      </c>
      <c r="AE129" s="327">
        <f t="shared" si="24"/>
        <v>0</v>
      </c>
      <c r="AF129" s="7" t="str">
        <f>Preencher!$B$3&amp;$U$8&amp;$V$8&amp;A129&amp;$AF$6</f>
        <v>JARINU-FRG5107MQ.GIROFREEZER</v>
      </c>
      <c r="AG129" s="7" t="str">
        <f>Preencher!$B$3&amp;$U$8&amp;$V$8&amp;A129&amp;$AG$6</f>
        <v>JARINU-FRG5107MQ.GIROFREEZER (1)</v>
      </c>
      <c r="AH129" s="7" t="str">
        <f>Preencher!$B$3&amp;$U$8&amp;$V$8&amp;A129&amp;$AH$6</f>
        <v>JARINU-FRG5107MQ.GIROFREEZER (2)</v>
      </c>
      <c r="AI129" s="7" t="str">
        <f>Preencher!$B$3&amp;$U$8&amp;$V$8&amp;A129&amp;$AI$6</f>
        <v>JARINU-FRG5107MQ.GIROFREEZER REV04</v>
      </c>
      <c r="AJ129" s="7" t="str">
        <f>Preencher!$B$3&amp;$U$8&amp;$V$8&amp;A129&amp;$AJ$6</f>
        <v>JARINU-FRG5107MQ.GIROFREEZER (3)</v>
      </c>
      <c r="AK129" s="327">
        <f>IFERROR(SUMIF('BD Otimix'!A:A,'BD VOLUME'!AG129,'BD Otimix'!O:O)+SUMIF('BD Otimix'!A:A,'BD VOLUME'!AH129,'BD Otimix'!O:O)+SUMIF('BD Otimix'!A:A,'BD VOLUME'!AI129,'BD Otimix'!O:O)+SUMIF('BD Otimix'!A:A,'BD VOLUME'!AJ129,'BD Otimix'!O:O)+SUMIF('BD Otimix'!A:A,'BD VOLUME'!AF129,'BD Otimix'!O:O),0)</f>
        <v>0</v>
      </c>
      <c r="AL129" s="7">
        <f t="shared" si="25"/>
        <v>0</v>
      </c>
    </row>
    <row r="130" spans="1:38">
      <c r="A130" s="346">
        <v>5109</v>
      </c>
      <c r="B130" s="346" t="s">
        <v>1372</v>
      </c>
      <c r="C130" s="5" t="s">
        <v>1370</v>
      </c>
      <c r="D130" s="5" t="s">
        <v>939</v>
      </c>
      <c r="E130" s="5" t="s">
        <v>1338</v>
      </c>
      <c r="F130" s="132">
        <f>SUMIF('COLAR PLANO'!$A:$A,A130,'COLAR PLANO'!$D:$D)</f>
        <v>0</v>
      </c>
      <c r="G130" s="131">
        <f t="shared" si="36"/>
        <v>0</v>
      </c>
      <c r="H130" s="6">
        <v>0.82989999999999997</v>
      </c>
      <c r="I130" s="7">
        <f t="shared" si="27"/>
        <v>0</v>
      </c>
      <c r="J130" s="130">
        <f t="shared" si="28"/>
        <v>0</v>
      </c>
      <c r="K130" s="346"/>
      <c r="L130" s="346"/>
      <c r="M130" s="346"/>
      <c r="N130" s="7" t="str">
        <f>IFERROR(G130/K130,"-")</f>
        <v>-</v>
      </c>
      <c r="O130" s="7"/>
      <c r="P130" s="7"/>
      <c r="Q130" s="7"/>
      <c r="R130" s="7"/>
      <c r="S130" s="7"/>
      <c r="T130" s="7"/>
      <c r="U130" s="7" t="s">
        <v>2288</v>
      </c>
      <c r="V130" s="7" t="s">
        <v>2289</v>
      </c>
      <c r="W130" s="7" t="str">
        <f>Preencher!$B$3&amp;U130&amp;V130&amp;A130&amp;$W$6</f>
        <v>JARINU-FRG5109MQ.TUNEL DE CG (CONTINUO)</v>
      </c>
      <c r="X130" s="7" t="str">
        <f>Preencher!$B$3&amp;U130&amp;V130&amp;A130&amp;$X$6</f>
        <v>JARINU-FRG5109MQ.TUNEL DE CG (CONTINUO) (1)</v>
      </c>
      <c r="Y130" s="7" t="str">
        <f>Preencher!$B$3&amp;U130&amp;V130&amp;A130&amp;$Y$6</f>
        <v>JARINU-FRG5109MQ.TUNEL DE CG (CONTINUO) (2)</v>
      </c>
      <c r="Z130" s="7" t="str">
        <f>Preencher!$B$3&amp;U130&amp;V130&amp;A130&amp;$Z$6</f>
        <v>JARINU-FRG5109MQ.TUNEL DE CG (CONTINUO) (3)</v>
      </c>
      <c r="AA130" s="7" t="str">
        <f>Preencher!$B$3&amp;U130&amp;V130&amp;A130&amp;$AA$6</f>
        <v>JARINU-FRG5109MQ.TUNEL DE CG (ESTATICO)</v>
      </c>
      <c r="AB130" s="7" t="str">
        <f>Preencher!$B$3&amp;U130&amp;V130&amp;A130&amp;$AB$6</f>
        <v>JARINU-FRG5109MQ.TUNEL DE CG (ESTATICO) (1)</v>
      </c>
      <c r="AC130" s="7" t="str">
        <f>Preencher!$B$3&amp;U130&amp;V130&amp;A130&amp;$AC$6</f>
        <v>JARINU-FRG5109MQ.TUNEL DE CG (ESTATICO) (2)</v>
      </c>
      <c r="AD130" s="327">
        <f>IFERROR(SUMIF('BD Otimix'!A:A,'BD VOLUME'!X130,'BD Otimix'!O:O)+SUMIF('BD Otimix'!A:A,'BD VOLUME'!Y130,'BD Otimix'!O:O)+SUMIF('BD Otimix'!A:A,'BD VOLUME'!Z130,'BD Otimix'!O:O)+SUMIF('BD Otimix'!A:A,'BD VOLUME'!AA130,'BD Otimix'!O:O)+SUMIF('BD Otimix'!A:A,'BD VOLUME'!AB130,'BD Otimix'!O:O)+SUMIF('BD Otimix'!A:A,'BD VOLUME'!AC130,'BD Otimix'!O:O)+SUMIF('BD Otimix'!A:A,'BD VOLUME'!W130,'BD Otimix'!O:O),0)</f>
        <v>0</v>
      </c>
      <c r="AE130" s="327">
        <f t="shared" si="24"/>
        <v>0</v>
      </c>
      <c r="AF130" s="7" t="str">
        <f>Preencher!$B$3&amp;$U$8&amp;$V$8&amp;A130&amp;$AF$6</f>
        <v>JARINU-FRG5109MQ.GIROFREEZER</v>
      </c>
      <c r="AG130" s="7" t="str">
        <f>Preencher!$B$3&amp;$U$8&amp;$V$8&amp;A130&amp;$AG$6</f>
        <v>JARINU-FRG5109MQ.GIROFREEZER (1)</v>
      </c>
      <c r="AH130" s="7" t="str">
        <f>Preencher!$B$3&amp;$U$8&amp;$V$8&amp;A130&amp;$AH$6</f>
        <v>JARINU-FRG5109MQ.GIROFREEZER (2)</v>
      </c>
      <c r="AI130" s="7" t="str">
        <f>Preencher!$B$3&amp;$U$8&amp;$V$8&amp;A130&amp;$AI$6</f>
        <v>JARINU-FRG5109MQ.GIROFREEZER REV04</v>
      </c>
      <c r="AJ130" s="7" t="str">
        <f>Preencher!$B$3&amp;$U$8&amp;$V$8&amp;A130&amp;$AJ$6</f>
        <v>JARINU-FRG5109MQ.GIROFREEZER (3)</v>
      </c>
      <c r="AK130" s="327">
        <f>IFERROR(SUMIF('BD Otimix'!A:A,'BD VOLUME'!AG130,'BD Otimix'!O:O)+SUMIF('BD Otimix'!A:A,'BD VOLUME'!AH130,'BD Otimix'!O:O)+SUMIF('BD Otimix'!A:A,'BD VOLUME'!AI130,'BD Otimix'!O:O)+SUMIF('BD Otimix'!A:A,'BD VOLUME'!AJ130,'BD Otimix'!O:O)+SUMIF('BD Otimix'!A:A,'BD VOLUME'!AF130,'BD Otimix'!O:O),0)</f>
        <v>0</v>
      </c>
      <c r="AL130" s="7">
        <f t="shared" si="25"/>
        <v>0</v>
      </c>
    </row>
    <row r="131" spans="1:38">
      <c r="A131" s="257">
        <v>44916</v>
      </c>
      <c r="B131" s="257"/>
      <c r="C131" s="5" t="s">
        <v>3090</v>
      </c>
      <c r="D131" s="5" t="s">
        <v>939</v>
      </c>
      <c r="E131" s="5" t="s">
        <v>952</v>
      </c>
      <c r="F131" s="132">
        <f>SUMIF('COLAR PLANO'!$A:$A,A131,'COLAR PLANO'!$D:$D)</f>
        <v>0</v>
      </c>
      <c r="G131" s="131">
        <f>IFERROR(F131/($E$3*$C$3),0)</f>
        <v>0</v>
      </c>
      <c r="H131" s="6">
        <v>0.44130000000000003</v>
      </c>
      <c r="I131" s="7">
        <f t="shared" si="27"/>
        <v>0</v>
      </c>
      <c r="J131" s="130">
        <f t="shared" si="28"/>
        <v>0</v>
      </c>
      <c r="K131" s="257">
        <v>2.5</v>
      </c>
      <c r="L131" s="346">
        <v>4</v>
      </c>
      <c r="M131" s="257">
        <v>10</v>
      </c>
      <c r="N131" s="7">
        <f t="shared" ref="N131:N142" si="41">IFERROR(G131/K131,"-")</f>
        <v>0</v>
      </c>
      <c r="O131" s="311"/>
      <c r="P131" s="311">
        <f t="shared" ref="P131:P140" si="42">IFERROR(G131/M131,"-")</f>
        <v>0</v>
      </c>
      <c r="Q131" s="7"/>
      <c r="R131" s="7"/>
      <c r="S131" s="7"/>
      <c r="T131" s="7"/>
      <c r="U131" s="7" t="s">
        <v>2288</v>
      </c>
      <c r="V131" s="7" t="s">
        <v>2289</v>
      </c>
      <c r="W131" s="7" t="str">
        <f>Preencher!$B$3&amp;U131&amp;V131&amp;A131&amp;$W$6</f>
        <v>JARINU-FRG44916MQ.TUNEL DE CG (CONTINUO)</v>
      </c>
      <c r="X131" s="7" t="str">
        <f>Preencher!$B$3&amp;U131&amp;V131&amp;A131&amp;$X$6</f>
        <v>JARINU-FRG44916MQ.TUNEL DE CG (CONTINUO) (1)</v>
      </c>
      <c r="Y131" s="7" t="str">
        <f>Preencher!$B$3&amp;U131&amp;V131&amp;A131&amp;$Y$6</f>
        <v>JARINU-FRG44916MQ.TUNEL DE CG (CONTINUO) (2)</v>
      </c>
      <c r="Z131" s="7" t="str">
        <f>Preencher!$B$3&amp;U131&amp;V131&amp;A131&amp;$Z$6</f>
        <v>JARINU-FRG44916MQ.TUNEL DE CG (CONTINUO) (3)</v>
      </c>
      <c r="AA131" s="7" t="str">
        <f>Preencher!$B$3&amp;U131&amp;V131&amp;A131&amp;$AA$6</f>
        <v>JARINU-FRG44916MQ.TUNEL DE CG (ESTATICO)</v>
      </c>
      <c r="AB131" s="7" t="str">
        <f>Preencher!$B$3&amp;U131&amp;V131&amp;A131&amp;$AB$6</f>
        <v>JARINU-FRG44916MQ.TUNEL DE CG (ESTATICO) (1)</v>
      </c>
      <c r="AC131" s="7" t="str">
        <f>Preencher!$B$3&amp;U131&amp;V131&amp;A131&amp;$AC$6</f>
        <v>JARINU-FRG44916MQ.TUNEL DE CG (ESTATICO) (2)</v>
      </c>
      <c r="AD131" s="327">
        <f>IFERROR(SUMIF('BD Otimix'!A:A,'BD VOLUME'!X131,'BD Otimix'!O:O)+SUMIF('BD Otimix'!A:A,'BD VOLUME'!Y131,'BD Otimix'!O:O)+SUMIF('BD Otimix'!A:A,'BD VOLUME'!Z131,'BD Otimix'!O:O)+SUMIF('BD Otimix'!A:A,'BD VOLUME'!AA131,'BD Otimix'!O:O)+SUMIF('BD Otimix'!A:A,'BD VOLUME'!AB131,'BD Otimix'!O:O)+SUMIF('BD Otimix'!A:A,'BD VOLUME'!AC131,'BD Otimix'!O:O)+SUMIF('BD Otimix'!A:A,'BD VOLUME'!W131,'BD Otimix'!O:O),0)</f>
        <v>0</v>
      </c>
      <c r="AE131" s="327">
        <f t="shared" ref="AE131:AE142" si="43">IFERROR(F131/$E$3/1000/AD131,0)</f>
        <v>0</v>
      </c>
      <c r="AF131" s="7" t="str">
        <f>Preencher!$B$3&amp;$U$8&amp;$V$8&amp;A131&amp;$AF$6</f>
        <v>JARINU-FRG44916MQ.GIROFREEZER</v>
      </c>
      <c r="AG131" s="7" t="str">
        <f>Preencher!$B$3&amp;$U$8&amp;$V$8&amp;A131&amp;$AG$6</f>
        <v>JARINU-FRG44916MQ.GIROFREEZER (1)</v>
      </c>
      <c r="AH131" s="7" t="str">
        <f>Preencher!$B$3&amp;$U$8&amp;$V$8&amp;A131&amp;$AH$6</f>
        <v>JARINU-FRG44916MQ.GIROFREEZER (2)</v>
      </c>
      <c r="AI131" s="7" t="str">
        <f>Preencher!$B$3&amp;$U$8&amp;$V$8&amp;A131&amp;$AI$6</f>
        <v>JARINU-FRG44916MQ.GIROFREEZER REV04</v>
      </c>
      <c r="AJ131" s="7" t="str">
        <f>Preencher!$B$3&amp;$U$8&amp;$V$8&amp;A131&amp;$AJ$6</f>
        <v>JARINU-FRG44916MQ.GIROFREEZER (3)</v>
      </c>
      <c r="AK131" s="327">
        <f>IFERROR(SUMIF('BD Otimix'!A:A,'BD VOLUME'!AG131,'BD Otimix'!O:O)+SUMIF('BD Otimix'!A:A,'BD VOLUME'!AH131,'BD Otimix'!O:O)+SUMIF('BD Otimix'!A:A,'BD VOLUME'!AI131,'BD Otimix'!O:O)+SUMIF('BD Otimix'!A:A,'BD VOLUME'!AJ131,'BD Otimix'!O:O)+SUMIF('BD Otimix'!A:A,'BD VOLUME'!AF131,'BD Otimix'!O:O),0)</f>
        <v>0</v>
      </c>
      <c r="AL131" s="7">
        <f t="shared" ref="AL131:AL142" si="44">IFERROR(F131/$E$3/1000/AK131,0)</f>
        <v>0</v>
      </c>
    </row>
    <row r="132" spans="1:38">
      <c r="A132" s="257">
        <v>241368</v>
      </c>
      <c r="B132" s="257"/>
      <c r="C132" s="5" t="s">
        <v>3045</v>
      </c>
      <c r="D132" s="5" t="s">
        <v>939</v>
      </c>
      <c r="E132" s="5" t="s">
        <v>952</v>
      </c>
      <c r="F132" s="132">
        <f>SUMIF('COLAR PLANO'!$A:$A,A132,'COLAR PLANO'!$D:$D)</f>
        <v>0</v>
      </c>
      <c r="G132" s="131">
        <f t="shared" ref="G132:G140" si="45">IFERROR(F132/($E$3*$C$3),0)</f>
        <v>0</v>
      </c>
      <c r="H132" s="6">
        <v>0.44130000000000003</v>
      </c>
      <c r="I132" s="7">
        <f t="shared" ref="I132:I140" si="46">IFERROR(G132/$D$3/H132,0)</f>
        <v>0</v>
      </c>
      <c r="J132" s="130">
        <f t="shared" ref="J132:J140" si="47">IFERROR(I132/$B$65,0)</f>
        <v>0</v>
      </c>
      <c r="K132" s="346">
        <v>2.5</v>
      </c>
      <c r="L132" s="346">
        <v>4</v>
      </c>
      <c r="M132" s="346">
        <v>10</v>
      </c>
      <c r="N132" s="7">
        <f t="shared" si="41"/>
        <v>0</v>
      </c>
      <c r="O132" s="311"/>
      <c r="P132" s="311">
        <f t="shared" si="42"/>
        <v>0</v>
      </c>
      <c r="Q132" s="7"/>
      <c r="R132" s="7"/>
      <c r="S132" s="7"/>
      <c r="T132" s="7"/>
      <c r="U132" s="7" t="s">
        <v>2288</v>
      </c>
      <c r="V132" s="7" t="s">
        <v>2289</v>
      </c>
      <c r="W132" s="7" t="str">
        <f>Preencher!$B$3&amp;U132&amp;V132&amp;A132&amp;$W$6</f>
        <v>JARINU-FRG241368MQ.TUNEL DE CG (CONTINUO)</v>
      </c>
      <c r="X132" s="7" t="str">
        <f>Preencher!$B$3&amp;U132&amp;V132&amp;A132&amp;$X$6</f>
        <v>JARINU-FRG241368MQ.TUNEL DE CG (CONTINUO) (1)</v>
      </c>
      <c r="Y132" s="7" t="str">
        <f>Preencher!$B$3&amp;U132&amp;V132&amp;A132&amp;$Y$6</f>
        <v>JARINU-FRG241368MQ.TUNEL DE CG (CONTINUO) (2)</v>
      </c>
      <c r="Z132" s="7" t="str">
        <f>Preencher!$B$3&amp;U132&amp;V132&amp;A132&amp;$Z$6</f>
        <v>JARINU-FRG241368MQ.TUNEL DE CG (CONTINUO) (3)</v>
      </c>
      <c r="AA132" s="7" t="str">
        <f>Preencher!$B$3&amp;U132&amp;V132&amp;A132&amp;$AA$6</f>
        <v>JARINU-FRG241368MQ.TUNEL DE CG (ESTATICO)</v>
      </c>
      <c r="AB132" s="7" t="str">
        <f>Preencher!$B$3&amp;U132&amp;V132&amp;A132&amp;$AB$6</f>
        <v>JARINU-FRG241368MQ.TUNEL DE CG (ESTATICO) (1)</v>
      </c>
      <c r="AC132" s="7" t="str">
        <f>Preencher!$B$3&amp;U132&amp;V132&amp;A132&amp;$AC$6</f>
        <v>JARINU-FRG241368MQ.TUNEL DE CG (ESTATICO) (2)</v>
      </c>
      <c r="AD132" s="327">
        <f>IFERROR(SUMIF('BD Otimix'!A:A,'BD VOLUME'!X132,'BD Otimix'!O:O)+SUMIF('BD Otimix'!A:A,'BD VOLUME'!Y132,'BD Otimix'!O:O)+SUMIF('BD Otimix'!A:A,'BD VOLUME'!Z132,'BD Otimix'!O:O)+SUMIF('BD Otimix'!A:A,'BD VOLUME'!AA132,'BD Otimix'!O:O)+SUMIF('BD Otimix'!A:A,'BD VOLUME'!AB132,'BD Otimix'!O:O)+SUMIF('BD Otimix'!A:A,'BD VOLUME'!AC132,'BD Otimix'!O:O)+SUMIF('BD Otimix'!A:A,'BD VOLUME'!W132,'BD Otimix'!O:O),0)</f>
        <v>0</v>
      </c>
      <c r="AE132" s="327">
        <f t="shared" si="43"/>
        <v>0</v>
      </c>
      <c r="AF132" s="7" t="str">
        <f>Preencher!$B$3&amp;$U$8&amp;$V$8&amp;A132&amp;$AF$6</f>
        <v>JARINU-FRG241368MQ.GIROFREEZER</v>
      </c>
      <c r="AG132" s="7" t="str">
        <f>Preencher!$B$3&amp;$U$8&amp;$V$8&amp;A132&amp;$AG$6</f>
        <v>JARINU-FRG241368MQ.GIROFREEZER (1)</v>
      </c>
      <c r="AH132" s="7" t="str">
        <f>Preencher!$B$3&amp;$U$8&amp;$V$8&amp;A132&amp;$AH$6</f>
        <v>JARINU-FRG241368MQ.GIROFREEZER (2)</v>
      </c>
      <c r="AI132" s="7" t="str">
        <f>Preencher!$B$3&amp;$U$8&amp;$V$8&amp;A132&amp;$AI$6</f>
        <v>JARINU-FRG241368MQ.GIROFREEZER REV04</v>
      </c>
      <c r="AJ132" s="7" t="str">
        <f>Preencher!$B$3&amp;$U$8&amp;$V$8&amp;A132&amp;$AJ$6</f>
        <v>JARINU-FRG241368MQ.GIROFREEZER (3)</v>
      </c>
      <c r="AK132" s="327">
        <f>IFERROR(SUMIF('BD Otimix'!A:A,'BD VOLUME'!AG132,'BD Otimix'!O:O)+SUMIF('BD Otimix'!A:A,'BD VOLUME'!AH132,'BD Otimix'!O:O)+SUMIF('BD Otimix'!A:A,'BD VOLUME'!AI132,'BD Otimix'!O:O)+SUMIF('BD Otimix'!A:A,'BD VOLUME'!AJ132,'BD Otimix'!O:O)+SUMIF('BD Otimix'!A:A,'BD VOLUME'!AF132,'BD Otimix'!O:O),0)</f>
        <v>0</v>
      </c>
      <c r="AL132" s="7">
        <f t="shared" si="44"/>
        <v>0</v>
      </c>
    </row>
    <row r="133" spans="1:38">
      <c r="A133" s="346">
        <v>227789</v>
      </c>
      <c r="B133" s="346"/>
      <c r="C133" s="5" t="s">
        <v>3044</v>
      </c>
      <c r="D133" s="5" t="s">
        <v>939</v>
      </c>
      <c r="E133" s="5" t="s">
        <v>952</v>
      </c>
      <c r="F133" s="132">
        <f>SUMIF('COLAR PLANO'!$A:$A,A133,'COLAR PLANO'!$D:$D)</f>
        <v>0</v>
      </c>
      <c r="G133" s="131">
        <f t="shared" si="45"/>
        <v>0</v>
      </c>
      <c r="H133" s="6">
        <v>0.44130000000000003</v>
      </c>
      <c r="I133" s="7">
        <f t="shared" si="46"/>
        <v>0</v>
      </c>
      <c r="J133" s="130">
        <f t="shared" si="47"/>
        <v>0</v>
      </c>
      <c r="K133" s="346">
        <v>2.5</v>
      </c>
      <c r="L133" s="346">
        <v>4</v>
      </c>
      <c r="M133" s="346">
        <v>10</v>
      </c>
      <c r="N133" s="7">
        <f t="shared" si="41"/>
        <v>0</v>
      </c>
      <c r="O133" s="311"/>
      <c r="P133" s="311">
        <f t="shared" si="42"/>
        <v>0</v>
      </c>
      <c r="Q133" s="7"/>
      <c r="R133" s="7"/>
      <c r="S133" s="7"/>
      <c r="T133" s="7"/>
      <c r="U133" s="7" t="s">
        <v>2288</v>
      </c>
      <c r="V133" s="7" t="s">
        <v>2289</v>
      </c>
      <c r="W133" s="7" t="str">
        <f>Preencher!$B$3&amp;U133&amp;V133&amp;A133&amp;$W$6</f>
        <v>JARINU-FRG227789MQ.TUNEL DE CG (CONTINUO)</v>
      </c>
      <c r="X133" s="7" t="str">
        <f>Preencher!$B$3&amp;U133&amp;V133&amp;A133&amp;$X$6</f>
        <v>JARINU-FRG227789MQ.TUNEL DE CG (CONTINUO) (1)</v>
      </c>
      <c r="Y133" s="7" t="str">
        <f>Preencher!$B$3&amp;U133&amp;V133&amp;A133&amp;$Y$6</f>
        <v>JARINU-FRG227789MQ.TUNEL DE CG (CONTINUO) (2)</v>
      </c>
      <c r="Z133" s="7" t="str">
        <f>Preencher!$B$3&amp;U133&amp;V133&amp;A133&amp;$Z$6</f>
        <v>JARINU-FRG227789MQ.TUNEL DE CG (CONTINUO) (3)</v>
      </c>
      <c r="AA133" s="7" t="str">
        <f>Preencher!$B$3&amp;U133&amp;V133&amp;A133&amp;$AA$6</f>
        <v>JARINU-FRG227789MQ.TUNEL DE CG (ESTATICO)</v>
      </c>
      <c r="AB133" s="7" t="str">
        <f>Preencher!$B$3&amp;U133&amp;V133&amp;A133&amp;$AB$6</f>
        <v>JARINU-FRG227789MQ.TUNEL DE CG (ESTATICO) (1)</v>
      </c>
      <c r="AC133" s="7" t="str">
        <f>Preencher!$B$3&amp;U133&amp;V133&amp;A133&amp;$AC$6</f>
        <v>JARINU-FRG227789MQ.TUNEL DE CG (ESTATICO) (2)</v>
      </c>
      <c r="AD133" s="327">
        <f>IFERROR(SUMIF('BD Otimix'!A:A,'BD VOLUME'!X133,'BD Otimix'!O:O)+SUMIF('BD Otimix'!A:A,'BD VOLUME'!Y133,'BD Otimix'!O:O)+SUMIF('BD Otimix'!A:A,'BD VOLUME'!Z133,'BD Otimix'!O:O)+SUMIF('BD Otimix'!A:A,'BD VOLUME'!AA133,'BD Otimix'!O:O)+SUMIF('BD Otimix'!A:A,'BD VOLUME'!AB133,'BD Otimix'!O:O)+SUMIF('BD Otimix'!A:A,'BD VOLUME'!AC133,'BD Otimix'!O:O)+SUMIF('BD Otimix'!A:A,'BD VOLUME'!W133,'BD Otimix'!O:O),0)</f>
        <v>0</v>
      </c>
      <c r="AE133" s="327">
        <f t="shared" si="43"/>
        <v>0</v>
      </c>
      <c r="AF133" s="7" t="str">
        <f>Preencher!$B$3&amp;$U$8&amp;$V$8&amp;A133&amp;$AF$6</f>
        <v>JARINU-FRG227789MQ.GIROFREEZER</v>
      </c>
      <c r="AG133" s="7" t="str">
        <f>Preencher!$B$3&amp;$U$8&amp;$V$8&amp;A133&amp;$AG$6</f>
        <v>JARINU-FRG227789MQ.GIROFREEZER (1)</v>
      </c>
      <c r="AH133" s="7" t="str">
        <f>Preencher!$B$3&amp;$U$8&amp;$V$8&amp;A133&amp;$AH$6</f>
        <v>JARINU-FRG227789MQ.GIROFREEZER (2)</v>
      </c>
      <c r="AI133" s="7" t="str">
        <f>Preencher!$B$3&amp;$U$8&amp;$V$8&amp;A133&amp;$AI$6</f>
        <v>JARINU-FRG227789MQ.GIROFREEZER REV04</v>
      </c>
      <c r="AJ133" s="7" t="str">
        <f>Preencher!$B$3&amp;$U$8&amp;$V$8&amp;A133&amp;$AJ$6</f>
        <v>JARINU-FRG227789MQ.GIROFREEZER (3)</v>
      </c>
      <c r="AK133" s="327">
        <f>IFERROR(SUMIF('BD Otimix'!A:A,'BD VOLUME'!AG133,'BD Otimix'!O:O)+SUMIF('BD Otimix'!A:A,'BD VOLUME'!AH133,'BD Otimix'!O:O)+SUMIF('BD Otimix'!A:A,'BD VOLUME'!AI133,'BD Otimix'!O:O)+SUMIF('BD Otimix'!A:A,'BD VOLUME'!AJ133,'BD Otimix'!O:O)+SUMIF('BD Otimix'!A:A,'BD VOLUME'!AF133,'BD Otimix'!O:O),0)</f>
        <v>0</v>
      </c>
      <c r="AL133" s="7">
        <f t="shared" si="44"/>
        <v>0</v>
      </c>
    </row>
    <row r="134" spans="1:38">
      <c r="A134" s="346">
        <v>227799</v>
      </c>
      <c r="B134" s="346"/>
      <c r="C134" s="5" t="s">
        <v>3123</v>
      </c>
      <c r="D134" s="5" t="s">
        <v>939</v>
      </c>
      <c r="E134" s="5" t="s">
        <v>952</v>
      </c>
      <c r="F134" s="132">
        <f>SUMIF('COLAR PLANO'!$A:$A,A134,'COLAR PLANO'!$D:$D)</f>
        <v>0</v>
      </c>
      <c r="G134" s="131">
        <f t="shared" si="45"/>
        <v>0</v>
      </c>
      <c r="H134" s="6">
        <v>0.44130000000000003</v>
      </c>
      <c r="I134" s="7">
        <f t="shared" si="46"/>
        <v>0</v>
      </c>
      <c r="J134" s="130">
        <f t="shared" si="47"/>
        <v>0</v>
      </c>
      <c r="K134" s="346">
        <v>2.5</v>
      </c>
      <c r="L134" s="346">
        <v>4</v>
      </c>
      <c r="M134" s="346">
        <v>10</v>
      </c>
      <c r="N134" s="7">
        <f t="shared" si="41"/>
        <v>0</v>
      </c>
      <c r="O134" s="311"/>
      <c r="P134" s="311">
        <f t="shared" si="42"/>
        <v>0</v>
      </c>
      <c r="Q134" s="7"/>
      <c r="R134" s="7"/>
      <c r="S134" s="7"/>
      <c r="T134" s="7"/>
      <c r="U134" s="7" t="s">
        <v>2288</v>
      </c>
      <c r="V134" s="7" t="s">
        <v>2289</v>
      </c>
      <c r="W134" s="7" t="str">
        <f>Preencher!$B$3&amp;U134&amp;V134&amp;A134&amp;$W$6</f>
        <v>JARINU-FRG227799MQ.TUNEL DE CG (CONTINUO)</v>
      </c>
      <c r="X134" s="7" t="str">
        <f>Preencher!$B$3&amp;U134&amp;V134&amp;A134&amp;$X$6</f>
        <v>JARINU-FRG227799MQ.TUNEL DE CG (CONTINUO) (1)</v>
      </c>
      <c r="Y134" s="7" t="str">
        <f>Preencher!$B$3&amp;U134&amp;V134&amp;A134&amp;$Y$6</f>
        <v>JARINU-FRG227799MQ.TUNEL DE CG (CONTINUO) (2)</v>
      </c>
      <c r="Z134" s="7" t="str">
        <f>Preencher!$B$3&amp;U134&amp;V134&amp;A134&amp;$Z$6</f>
        <v>JARINU-FRG227799MQ.TUNEL DE CG (CONTINUO) (3)</v>
      </c>
      <c r="AA134" s="7" t="str">
        <f>Preencher!$B$3&amp;U134&amp;V134&amp;A134&amp;$AA$6</f>
        <v>JARINU-FRG227799MQ.TUNEL DE CG (ESTATICO)</v>
      </c>
      <c r="AB134" s="7" t="str">
        <f>Preencher!$B$3&amp;U134&amp;V134&amp;A134&amp;$AB$6</f>
        <v>JARINU-FRG227799MQ.TUNEL DE CG (ESTATICO) (1)</v>
      </c>
      <c r="AC134" s="7" t="str">
        <f>Preencher!$B$3&amp;U134&amp;V134&amp;A134&amp;$AC$6</f>
        <v>JARINU-FRG227799MQ.TUNEL DE CG (ESTATICO) (2)</v>
      </c>
      <c r="AD134" s="327">
        <f>IFERROR(SUMIF('BD Otimix'!A:A,'BD VOLUME'!X134,'BD Otimix'!O:O)+SUMIF('BD Otimix'!A:A,'BD VOLUME'!Y134,'BD Otimix'!O:O)+SUMIF('BD Otimix'!A:A,'BD VOLUME'!Z134,'BD Otimix'!O:O)+SUMIF('BD Otimix'!A:A,'BD VOLUME'!AA134,'BD Otimix'!O:O)+SUMIF('BD Otimix'!A:A,'BD VOLUME'!AB134,'BD Otimix'!O:O)+SUMIF('BD Otimix'!A:A,'BD VOLUME'!AC134,'BD Otimix'!O:O)+SUMIF('BD Otimix'!A:A,'BD VOLUME'!W134,'BD Otimix'!O:O),0)</f>
        <v>0</v>
      </c>
      <c r="AE134" s="327">
        <f t="shared" si="43"/>
        <v>0</v>
      </c>
      <c r="AF134" s="7" t="str">
        <f>Preencher!$B$3&amp;$U$8&amp;$V$8&amp;A134&amp;$AF$6</f>
        <v>JARINU-FRG227799MQ.GIROFREEZER</v>
      </c>
      <c r="AG134" s="7" t="str">
        <f>Preencher!$B$3&amp;$U$8&amp;$V$8&amp;A134&amp;$AG$6</f>
        <v>JARINU-FRG227799MQ.GIROFREEZER (1)</v>
      </c>
      <c r="AH134" s="7" t="str">
        <f>Preencher!$B$3&amp;$U$8&amp;$V$8&amp;A134&amp;$AH$6</f>
        <v>JARINU-FRG227799MQ.GIROFREEZER (2)</v>
      </c>
      <c r="AI134" s="7" t="str">
        <f>Preencher!$B$3&amp;$U$8&amp;$V$8&amp;A134&amp;$AI$6</f>
        <v>JARINU-FRG227799MQ.GIROFREEZER REV04</v>
      </c>
      <c r="AJ134" s="7" t="str">
        <f>Preencher!$B$3&amp;$U$8&amp;$V$8&amp;A134&amp;$AJ$6</f>
        <v>JARINU-FRG227799MQ.GIROFREEZER (3)</v>
      </c>
      <c r="AK134" s="327">
        <f>IFERROR(SUMIF('BD Otimix'!A:A,'BD VOLUME'!AG134,'BD Otimix'!O:O)+SUMIF('BD Otimix'!A:A,'BD VOLUME'!AH134,'BD Otimix'!O:O)+SUMIF('BD Otimix'!A:A,'BD VOLUME'!AI134,'BD Otimix'!O:O)+SUMIF('BD Otimix'!A:A,'BD VOLUME'!AJ134,'BD Otimix'!O:O)+SUMIF('BD Otimix'!A:A,'BD VOLUME'!AF134,'BD Otimix'!O:O),0)</f>
        <v>0</v>
      </c>
      <c r="AL134" s="7">
        <f t="shared" si="44"/>
        <v>0</v>
      </c>
    </row>
    <row r="135" spans="1:38">
      <c r="A135" s="733">
        <v>221919</v>
      </c>
      <c r="B135" s="733"/>
      <c r="C135" s="5" t="s">
        <v>3002</v>
      </c>
      <c r="D135" s="5" t="s">
        <v>939</v>
      </c>
      <c r="E135" s="5" t="s">
        <v>952</v>
      </c>
      <c r="F135" s="132">
        <f>SUMIF('COLAR PLANO'!$A:$A,A135,'COLAR PLANO'!$D:$D)</f>
        <v>0</v>
      </c>
      <c r="G135" s="131">
        <f>IFERROR(F135/($E$3*$C$3),0)</f>
        <v>0</v>
      </c>
      <c r="H135" s="6">
        <v>0.44130000000000003</v>
      </c>
      <c r="I135" s="7">
        <f>IFERROR(G135/$D$3/H135,0)</f>
        <v>0</v>
      </c>
      <c r="J135" s="130">
        <f>IFERROR(I135/$B$65,0)</f>
        <v>0</v>
      </c>
      <c r="K135" s="733">
        <v>2.5</v>
      </c>
      <c r="L135" s="733">
        <v>4</v>
      </c>
      <c r="M135" s="733">
        <v>10</v>
      </c>
      <c r="N135" s="7">
        <f>IFERROR(G135/K135,"-")</f>
        <v>0</v>
      </c>
      <c r="O135" s="311"/>
      <c r="P135" s="311">
        <f>IFERROR(G135/M135,"-")</f>
        <v>0</v>
      </c>
      <c r="Q135" s="7"/>
      <c r="R135" s="7"/>
      <c r="S135" s="7"/>
      <c r="T135" s="7"/>
      <c r="U135" s="7" t="s">
        <v>2288</v>
      </c>
      <c r="V135" s="7" t="s">
        <v>2289</v>
      </c>
      <c r="W135" s="7" t="str">
        <f>Preencher!$B$3&amp;U135&amp;V135&amp;A135&amp;$W$6</f>
        <v>JARINU-FRG221919MQ.TUNEL DE CG (CONTINUO)</v>
      </c>
      <c r="X135" s="7" t="str">
        <f>Preencher!$B$3&amp;U135&amp;V135&amp;A135&amp;$X$6</f>
        <v>JARINU-FRG221919MQ.TUNEL DE CG (CONTINUO) (1)</v>
      </c>
      <c r="Y135" s="7" t="str">
        <f>Preencher!$B$3&amp;U135&amp;V135&amp;A135&amp;$Y$6</f>
        <v>JARINU-FRG221919MQ.TUNEL DE CG (CONTINUO) (2)</v>
      </c>
      <c r="Z135" s="7" t="str">
        <f>Preencher!$B$3&amp;U135&amp;V135&amp;A135&amp;$Z$6</f>
        <v>JARINU-FRG221919MQ.TUNEL DE CG (CONTINUO) (3)</v>
      </c>
      <c r="AA135" s="7" t="str">
        <f>Preencher!$B$3&amp;U135&amp;V135&amp;A135&amp;$AA$6</f>
        <v>JARINU-FRG221919MQ.TUNEL DE CG (ESTATICO)</v>
      </c>
      <c r="AB135" s="7" t="str">
        <f>Preencher!$B$3&amp;U135&amp;V135&amp;A135&amp;$AB$6</f>
        <v>JARINU-FRG221919MQ.TUNEL DE CG (ESTATICO) (1)</v>
      </c>
      <c r="AC135" s="7" t="str">
        <f>Preencher!$B$3&amp;U135&amp;V135&amp;A135&amp;$AC$6</f>
        <v>JARINU-FRG221919MQ.TUNEL DE CG (ESTATICO) (2)</v>
      </c>
      <c r="AD135" s="327">
        <f>IFERROR(SUMIF('BD Otimix'!A:A,'BD VOLUME'!X135,'BD Otimix'!O:O)+SUMIF('BD Otimix'!A:A,'BD VOLUME'!Y135,'BD Otimix'!O:O)+SUMIF('BD Otimix'!A:A,'BD VOLUME'!Z135,'BD Otimix'!O:O)+SUMIF('BD Otimix'!A:A,'BD VOLUME'!AA135,'BD Otimix'!O:O)+SUMIF('BD Otimix'!A:A,'BD VOLUME'!AB135,'BD Otimix'!O:O)+SUMIF('BD Otimix'!A:A,'BD VOLUME'!AC135,'BD Otimix'!O:O)+SUMIF('BD Otimix'!A:A,'BD VOLUME'!W135,'BD Otimix'!O:O),0)</f>
        <v>0</v>
      </c>
      <c r="AE135" s="327">
        <f>IFERROR(F135/$E$3/1000/AD135,0)</f>
        <v>0</v>
      </c>
      <c r="AF135" s="7" t="str">
        <f>Preencher!$B$3&amp;$U$8&amp;$V$8&amp;A135&amp;$AF$6</f>
        <v>JARINU-FRG221919MQ.GIROFREEZER</v>
      </c>
      <c r="AG135" s="7" t="str">
        <f>Preencher!$B$3&amp;$U$8&amp;$V$8&amp;A135&amp;$AG$6</f>
        <v>JARINU-FRG221919MQ.GIROFREEZER (1)</v>
      </c>
      <c r="AH135" s="7" t="str">
        <f>Preencher!$B$3&amp;$U$8&amp;$V$8&amp;A135&amp;$AH$6</f>
        <v>JARINU-FRG221919MQ.GIROFREEZER (2)</v>
      </c>
      <c r="AI135" s="7" t="str">
        <f>Preencher!$B$3&amp;$U$8&amp;$V$8&amp;A135&amp;$AI$6</f>
        <v>JARINU-FRG221919MQ.GIROFREEZER REV04</v>
      </c>
      <c r="AJ135" s="7" t="str">
        <f>Preencher!$B$3&amp;$U$8&amp;$V$8&amp;A135&amp;$AJ$6</f>
        <v>JARINU-FRG221919MQ.GIROFREEZER (3)</v>
      </c>
      <c r="AK135" s="327">
        <f>IFERROR(SUMIF('BD Otimix'!A:A,'BD VOLUME'!AG135,'BD Otimix'!O:O)+SUMIF('BD Otimix'!A:A,'BD VOLUME'!AH135,'BD Otimix'!O:O)+SUMIF('BD Otimix'!A:A,'BD VOLUME'!AI135,'BD Otimix'!O:O)+SUMIF('BD Otimix'!A:A,'BD VOLUME'!AJ135,'BD Otimix'!O:O)+SUMIF('BD Otimix'!A:A,'BD VOLUME'!AF135,'BD Otimix'!O:O),0)</f>
        <v>0</v>
      </c>
      <c r="AL135" s="7">
        <f>IFERROR(F135/$E$3/1000/AK135,0)</f>
        <v>0</v>
      </c>
    </row>
    <row r="136" spans="1:38">
      <c r="A136" s="733">
        <v>241389</v>
      </c>
      <c r="B136" s="733"/>
      <c r="C136" s="5" t="s">
        <v>3141</v>
      </c>
      <c r="D136" s="5" t="s">
        <v>939</v>
      </c>
      <c r="E136" s="5" t="s">
        <v>952</v>
      </c>
      <c r="F136" s="132">
        <f>SUMIF('COLAR PLANO'!$A:$A,A136,'COLAR PLANO'!$D:$D)</f>
        <v>0</v>
      </c>
      <c r="G136" s="131">
        <f>IFERROR(F136/($E$3*$C$3),0)</f>
        <v>0</v>
      </c>
      <c r="H136" s="6">
        <v>0.44130000000000003</v>
      </c>
      <c r="I136" s="7">
        <f>IFERROR(G136/$D$3/H136,0)</f>
        <v>0</v>
      </c>
      <c r="J136" s="130">
        <f>IFERROR(I136/$B$65,0)</f>
        <v>0</v>
      </c>
      <c r="K136" s="733">
        <v>2.5</v>
      </c>
      <c r="L136" s="733">
        <v>4</v>
      </c>
      <c r="M136" s="733">
        <v>10</v>
      </c>
      <c r="N136" s="7">
        <f>IFERROR(G136/K136,"-")</f>
        <v>0</v>
      </c>
      <c r="O136" s="311"/>
      <c r="P136" s="311">
        <f>IFERROR(G136/M136,"-")</f>
        <v>0</v>
      </c>
      <c r="Q136" s="7"/>
      <c r="R136" s="7"/>
      <c r="S136" s="7"/>
      <c r="T136" s="7"/>
      <c r="U136" s="7" t="s">
        <v>2288</v>
      </c>
      <c r="V136" s="7" t="s">
        <v>2289</v>
      </c>
      <c r="W136" s="7" t="str">
        <f>Preencher!$B$3&amp;U136&amp;V136&amp;A136&amp;$W$6</f>
        <v>JARINU-FRG241389MQ.TUNEL DE CG (CONTINUO)</v>
      </c>
      <c r="X136" s="7" t="str">
        <f>Preencher!$B$3&amp;U136&amp;V136&amp;A136&amp;$X$6</f>
        <v>JARINU-FRG241389MQ.TUNEL DE CG (CONTINUO) (1)</v>
      </c>
      <c r="Y136" s="7" t="str">
        <f>Preencher!$B$3&amp;U136&amp;V136&amp;A136&amp;$Y$6</f>
        <v>JARINU-FRG241389MQ.TUNEL DE CG (CONTINUO) (2)</v>
      </c>
      <c r="Z136" s="7" t="str">
        <f>Preencher!$B$3&amp;U136&amp;V136&amp;A136&amp;$Z$6</f>
        <v>JARINU-FRG241389MQ.TUNEL DE CG (CONTINUO) (3)</v>
      </c>
      <c r="AA136" s="7" t="str">
        <f>Preencher!$B$3&amp;U136&amp;V136&amp;A136&amp;$AA$6</f>
        <v>JARINU-FRG241389MQ.TUNEL DE CG (ESTATICO)</v>
      </c>
      <c r="AB136" s="7" t="str">
        <f>Preencher!$B$3&amp;U136&amp;V136&amp;A136&amp;$AB$6</f>
        <v>JARINU-FRG241389MQ.TUNEL DE CG (ESTATICO) (1)</v>
      </c>
      <c r="AC136" s="7" t="str">
        <f>Preencher!$B$3&amp;U136&amp;V136&amp;A136&amp;$AC$6</f>
        <v>JARINU-FRG241389MQ.TUNEL DE CG (ESTATICO) (2)</v>
      </c>
      <c r="AD136" s="327">
        <f>IFERROR(SUMIF('BD Otimix'!A:A,'BD VOLUME'!X136,'BD Otimix'!O:O)+SUMIF('BD Otimix'!A:A,'BD VOLUME'!Y136,'BD Otimix'!O:O)+SUMIF('BD Otimix'!A:A,'BD VOLUME'!Z136,'BD Otimix'!O:O)+SUMIF('BD Otimix'!A:A,'BD VOLUME'!AA136,'BD Otimix'!O:O)+SUMIF('BD Otimix'!A:A,'BD VOLUME'!AB136,'BD Otimix'!O:O)+SUMIF('BD Otimix'!A:A,'BD VOLUME'!AC136,'BD Otimix'!O:O)+SUMIF('BD Otimix'!A:A,'BD VOLUME'!W136,'BD Otimix'!O:O),0)</f>
        <v>0</v>
      </c>
      <c r="AE136" s="327">
        <f>IFERROR(F136/$E$3/1000/AD136,0)</f>
        <v>0</v>
      </c>
      <c r="AF136" s="7" t="str">
        <f>Preencher!$B$3&amp;$U$8&amp;$V$8&amp;A136&amp;$AF$6</f>
        <v>JARINU-FRG241389MQ.GIROFREEZER</v>
      </c>
      <c r="AG136" s="7" t="str">
        <f>Preencher!$B$3&amp;$U$8&amp;$V$8&amp;A136&amp;$AG$6</f>
        <v>JARINU-FRG241389MQ.GIROFREEZER (1)</v>
      </c>
      <c r="AH136" s="7" t="str">
        <f>Preencher!$B$3&amp;$U$8&amp;$V$8&amp;A136&amp;$AH$6</f>
        <v>JARINU-FRG241389MQ.GIROFREEZER (2)</v>
      </c>
      <c r="AI136" s="7" t="str">
        <f>Preencher!$B$3&amp;$U$8&amp;$V$8&amp;A136&amp;$AI$6</f>
        <v>JARINU-FRG241389MQ.GIROFREEZER REV04</v>
      </c>
      <c r="AJ136" s="7" t="str">
        <f>Preencher!$B$3&amp;$U$8&amp;$V$8&amp;A136&amp;$AJ$6</f>
        <v>JARINU-FRG241389MQ.GIROFREEZER (3)</v>
      </c>
      <c r="AK136" s="327">
        <f>IFERROR(SUMIF('BD Otimix'!A:A,'BD VOLUME'!AG136,'BD Otimix'!O:O)+SUMIF('BD Otimix'!A:A,'BD VOLUME'!AH136,'BD Otimix'!O:O)+SUMIF('BD Otimix'!A:A,'BD VOLUME'!AI136,'BD Otimix'!O:O)+SUMIF('BD Otimix'!A:A,'BD VOLUME'!AJ136,'BD Otimix'!O:O)+SUMIF('BD Otimix'!A:A,'BD VOLUME'!AF136,'BD Otimix'!O:O),0)</f>
        <v>0</v>
      </c>
      <c r="AL136" s="7">
        <f>IFERROR(F136/$E$3/1000/AK136,0)</f>
        <v>0</v>
      </c>
    </row>
    <row r="137" spans="1:38">
      <c r="A137" s="731">
        <v>222019</v>
      </c>
      <c r="B137" s="731" t="s">
        <v>2993</v>
      </c>
      <c r="C137" s="5" t="s">
        <v>2994</v>
      </c>
      <c r="D137" s="5" t="s">
        <v>939</v>
      </c>
      <c r="E137" s="5" t="s">
        <v>952</v>
      </c>
      <c r="F137" s="132">
        <f>SUMIF('COLAR PLANO'!$A:$A,A137,'COLAR PLANO'!$D:$D)</f>
        <v>0</v>
      </c>
      <c r="G137" s="131">
        <f>IFERROR(F137/($E$3*$C$3),0)</f>
        <v>0</v>
      </c>
      <c r="H137" s="6">
        <v>0.44130000000000003</v>
      </c>
      <c r="I137" s="7">
        <f>IFERROR(G137/$D$3/H137,0)</f>
        <v>0</v>
      </c>
      <c r="J137" s="130">
        <f>IFERROR(I137/$B$65,0)</f>
        <v>0</v>
      </c>
      <c r="K137" s="731">
        <v>2.5</v>
      </c>
      <c r="L137" s="731">
        <v>4</v>
      </c>
      <c r="M137" s="731">
        <v>10</v>
      </c>
      <c r="N137" s="7">
        <f>IFERROR(G137/K137,"-")</f>
        <v>0</v>
      </c>
      <c r="O137" s="311"/>
      <c r="P137" s="311">
        <f>IFERROR(G137/M137,"-")</f>
        <v>0</v>
      </c>
      <c r="Q137" s="7"/>
      <c r="R137" s="7"/>
      <c r="S137" s="7"/>
      <c r="T137" s="7"/>
      <c r="U137" s="7" t="s">
        <v>2288</v>
      </c>
      <c r="V137" s="7" t="s">
        <v>2289</v>
      </c>
      <c r="W137" s="7" t="str">
        <f>Preencher!$B$3&amp;U137&amp;V137&amp;A137&amp;$W$6</f>
        <v>JARINU-FRG222019MQ.TUNEL DE CG (CONTINUO)</v>
      </c>
      <c r="X137" s="7" t="str">
        <f>Preencher!$B$3&amp;U137&amp;V137&amp;A137&amp;$X$6</f>
        <v>JARINU-FRG222019MQ.TUNEL DE CG (CONTINUO) (1)</v>
      </c>
      <c r="Y137" s="7" t="str">
        <f>Preencher!$B$3&amp;U137&amp;V137&amp;A137&amp;$Y$6</f>
        <v>JARINU-FRG222019MQ.TUNEL DE CG (CONTINUO) (2)</v>
      </c>
      <c r="Z137" s="7" t="str">
        <f>Preencher!$B$3&amp;U137&amp;V137&amp;A137&amp;$Z$6</f>
        <v>JARINU-FRG222019MQ.TUNEL DE CG (CONTINUO) (3)</v>
      </c>
      <c r="AA137" s="7" t="str">
        <f>Preencher!$B$3&amp;U137&amp;V137&amp;A137&amp;$AA$6</f>
        <v>JARINU-FRG222019MQ.TUNEL DE CG (ESTATICO)</v>
      </c>
      <c r="AB137" s="7" t="str">
        <f>Preencher!$B$3&amp;U137&amp;V137&amp;A137&amp;$AB$6</f>
        <v>JARINU-FRG222019MQ.TUNEL DE CG (ESTATICO) (1)</v>
      </c>
      <c r="AC137" s="7" t="str">
        <f>Preencher!$B$3&amp;U137&amp;V137&amp;A137&amp;$AC$6</f>
        <v>JARINU-FRG222019MQ.TUNEL DE CG (ESTATICO) (2)</v>
      </c>
      <c r="AD137" s="327">
        <f>IFERROR(SUMIF('BD Otimix'!A:A,'BD VOLUME'!X137,'BD Otimix'!O:O)+SUMIF('BD Otimix'!A:A,'BD VOLUME'!Y137,'BD Otimix'!O:O)+SUMIF('BD Otimix'!A:A,'BD VOLUME'!Z137,'BD Otimix'!O:O)+SUMIF('BD Otimix'!A:A,'BD VOLUME'!AA137,'BD Otimix'!O:O)+SUMIF('BD Otimix'!A:A,'BD VOLUME'!AB137,'BD Otimix'!O:O)+SUMIF('BD Otimix'!A:A,'BD VOLUME'!AC137,'BD Otimix'!O:O)+SUMIF('BD Otimix'!A:A,'BD VOLUME'!W137,'BD Otimix'!O:O),0)</f>
        <v>0</v>
      </c>
      <c r="AE137" s="327">
        <f>IFERROR(F137/$E$3/1000/AD137,0)</f>
        <v>0</v>
      </c>
      <c r="AF137" s="7" t="str">
        <f>Preencher!$B$3&amp;$U$8&amp;$V$8&amp;A137&amp;$AF$6</f>
        <v>JARINU-FRG222019MQ.GIROFREEZER</v>
      </c>
      <c r="AG137" s="7" t="str">
        <f>Preencher!$B$3&amp;$U$8&amp;$V$8&amp;A137&amp;$AG$6</f>
        <v>JARINU-FRG222019MQ.GIROFREEZER (1)</v>
      </c>
      <c r="AH137" s="7" t="str">
        <f>Preencher!$B$3&amp;$U$8&amp;$V$8&amp;A137&amp;$AH$6</f>
        <v>JARINU-FRG222019MQ.GIROFREEZER (2)</v>
      </c>
      <c r="AI137" s="7" t="str">
        <f>Preencher!$B$3&amp;$U$8&amp;$V$8&amp;A137&amp;$AI$6</f>
        <v>JARINU-FRG222019MQ.GIROFREEZER REV04</v>
      </c>
      <c r="AJ137" s="7" t="str">
        <f>Preencher!$B$3&amp;$U$8&amp;$V$8&amp;A137&amp;$AJ$6</f>
        <v>JARINU-FRG222019MQ.GIROFREEZER (3)</v>
      </c>
      <c r="AK137" s="327">
        <f>IFERROR(SUMIF('BD Otimix'!A:A,'BD VOLUME'!AG137,'BD Otimix'!O:O)+SUMIF('BD Otimix'!A:A,'BD VOLUME'!AH137,'BD Otimix'!O:O)+SUMIF('BD Otimix'!A:A,'BD VOLUME'!AI137,'BD Otimix'!O:O)+SUMIF('BD Otimix'!A:A,'BD VOLUME'!AJ137,'BD Otimix'!O:O)+SUMIF('BD Otimix'!A:A,'BD VOLUME'!AF137,'BD Otimix'!O:O),0)</f>
        <v>0</v>
      </c>
      <c r="AL137" s="7">
        <f>IFERROR(F137/$E$3/1000/AK137,0)</f>
        <v>0</v>
      </c>
    </row>
    <row r="138" spans="1:38">
      <c r="A138" s="346">
        <v>124270</v>
      </c>
      <c r="B138" s="346" t="s">
        <v>1364</v>
      </c>
      <c r="C138" s="5" t="s">
        <v>1363</v>
      </c>
      <c r="D138" s="5" t="s">
        <v>939</v>
      </c>
      <c r="E138" s="5" t="s">
        <v>952</v>
      </c>
      <c r="F138" s="132">
        <f>SUMIF('COLAR PLANO'!$A:$A,A138,'COLAR PLANO'!$D:$D)</f>
        <v>0</v>
      </c>
      <c r="G138" s="131">
        <f t="shared" si="45"/>
        <v>0</v>
      </c>
      <c r="H138" s="6">
        <v>0.44130000000000003</v>
      </c>
      <c r="I138" s="7">
        <f t="shared" si="46"/>
        <v>0</v>
      </c>
      <c r="J138" s="130">
        <f t="shared" si="47"/>
        <v>0</v>
      </c>
      <c r="K138" s="346">
        <v>2.5</v>
      </c>
      <c r="L138" s="346">
        <v>4</v>
      </c>
      <c r="M138" s="346">
        <v>10</v>
      </c>
      <c r="N138" s="7">
        <f t="shared" si="41"/>
        <v>0</v>
      </c>
      <c r="O138" s="311"/>
      <c r="P138" s="311">
        <f t="shared" si="42"/>
        <v>0</v>
      </c>
      <c r="Q138" s="7"/>
      <c r="R138" s="7"/>
      <c r="S138" s="7"/>
      <c r="T138" s="7"/>
      <c r="U138" s="7" t="s">
        <v>2288</v>
      </c>
      <c r="V138" s="7" t="s">
        <v>2289</v>
      </c>
      <c r="W138" s="7" t="str">
        <f>Preencher!$B$3&amp;U138&amp;V138&amp;A138&amp;$W$6</f>
        <v>JARINU-FRG124270MQ.TUNEL DE CG (CONTINUO)</v>
      </c>
      <c r="X138" s="7" t="str">
        <f>Preencher!$B$3&amp;U138&amp;V138&amp;A138&amp;$X$6</f>
        <v>JARINU-FRG124270MQ.TUNEL DE CG (CONTINUO) (1)</v>
      </c>
      <c r="Y138" s="7" t="str">
        <f>Preencher!$B$3&amp;U138&amp;V138&amp;A138&amp;$Y$6</f>
        <v>JARINU-FRG124270MQ.TUNEL DE CG (CONTINUO) (2)</v>
      </c>
      <c r="Z138" s="7" t="str">
        <f>Preencher!$B$3&amp;U138&amp;V138&amp;A138&amp;$Z$6</f>
        <v>JARINU-FRG124270MQ.TUNEL DE CG (CONTINUO) (3)</v>
      </c>
      <c r="AA138" s="7" t="str">
        <f>Preencher!$B$3&amp;U138&amp;V138&amp;A138&amp;$AA$6</f>
        <v>JARINU-FRG124270MQ.TUNEL DE CG (ESTATICO)</v>
      </c>
      <c r="AB138" s="7" t="str">
        <f>Preencher!$B$3&amp;U138&amp;V138&amp;A138&amp;$AB$6</f>
        <v>JARINU-FRG124270MQ.TUNEL DE CG (ESTATICO) (1)</v>
      </c>
      <c r="AC138" s="7" t="str">
        <f>Preencher!$B$3&amp;U138&amp;V138&amp;A138&amp;$AC$6</f>
        <v>JARINU-FRG124270MQ.TUNEL DE CG (ESTATICO) (2)</v>
      </c>
      <c r="AD138" s="327">
        <f>IFERROR(SUMIF('BD Otimix'!A:A,'BD VOLUME'!X138,'BD Otimix'!O:O)+SUMIF('BD Otimix'!A:A,'BD VOLUME'!Y138,'BD Otimix'!O:O)+SUMIF('BD Otimix'!A:A,'BD VOLUME'!Z138,'BD Otimix'!O:O)+SUMIF('BD Otimix'!A:A,'BD VOLUME'!AA138,'BD Otimix'!O:O)+SUMIF('BD Otimix'!A:A,'BD VOLUME'!AB138,'BD Otimix'!O:O)+SUMIF('BD Otimix'!A:A,'BD VOLUME'!AC138,'BD Otimix'!O:O)+SUMIF('BD Otimix'!A:A,'BD VOLUME'!W138,'BD Otimix'!O:O),0)</f>
        <v>0</v>
      </c>
      <c r="AE138" s="327">
        <f t="shared" si="43"/>
        <v>0</v>
      </c>
      <c r="AF138" s="7" t="str">
        <f>Preencher!$B$3&amp;$U$8&amp;$V$8&amp;A138&amp;$AF$6</f>
        <v>JARINU-FRG124270MQ.GIROFREEZER</v>
      </c>
      <c r="AG138" s="7" t="str">
        <f>Preencher!$B$3&amp;$U$8&amp;$V$8&amp;A138&amp;$AG$6</f>
        <v>JARINU-FRG124270MQ.GIROFREEZER (1)</v>
      </c>
      <c r="AH138" s="7" t="str">
        <f>Preencher!$B$3&amp;$U$8&amp;$V$8&amp;A138&amp;$AH$6</f>
        <v>JARINU-FRG124270MQ.GIROFREEZER (2)</v>
      </c>
      <c r="AI138" s="7" t="str">
        <f>Preencher!$B$3&amp;$U$8&amp;$V$8&amp;A138&amp;$AI$6</f>
        <v>JARINU-FRG124270MQ.GIROFREEZER REV04</v>
      </c>
      <c r="AJ138" s="7" t="str">
        <f>Preencher!$B$3&amp;$U$8&amp;$V$8&amp;A138&amp;$AJ$6</f>
        <v>JARINU-FRG124270MQ.GIROFREEZER (3)</v>
      </c>
      <c r="AK138" s="327">
        <f>IFERROR(SUMIF('BD Otimix'!A:A,'BD VOLUME'!AG138,'BD Otimix'!O:O)+SUMIF('BD Otimix'!A:A,'BD VOLUME'!AH138,'BD Otimix'!O:O)+SUMIF('BD Otimix'!A:A,'BD VOLUME'!AI138,'BD Otimix'!O:O)+SUMIF('BD Otimix'!A:A,'BD VOLUME'!AJ138,'BD Otimix'!O:O)+SUMIF('BD Otimix'!A:A,'BD VOLUME'!AF138,'BD Otimix'!O:O),0)</f>
        <v>0</v>
      </c>
      <c r="AL138" s="7">
        <f t="shared" si="44"/>
        <v>0</v>
      </c>
    </row>
    <row r="139" spans="1:38">
      <c r="A139" s="346">
        <v>124546</v>
      </c>
      <c r="B139" s="346" t="s">
        <v>1365</v>
      </c>
      <c r="C139" s="5" t="s">
        <v>1363</v>
      </c>
      <c r="D139" s="5" t="s">
        <v>939</v>
      </c>
      <c r="E139" s="5" t="s">
        <v>952</v>
      </c>
      <c r="F139" s="132">
        <f>SUMIF('COLAR PLANO'!$A:$A,A139,'COLAR PLANO'!$D:$D)</f>
        <v>0</v>
      </c>
      <c r="G139" s="131">
        <f t="shared" si="45"/>
        <v>0</v>
      </c>
      <c r="H139" s="6">
        <v>0.44130000000000003</v>
      </c>
      <c r="I139" s="7">
        <f t="shared" si="46"/>
        <v>0</v>
      </c>
      <c r="J139" s="130">
        <f t="shared" si="47"/>
        <v>0</v>
      </c>
      <c r="K139" s="346">
        <v>2.5</v>
      </c>
      <c r="L139" s="346">
        <v>4</v>
      </c>
      <c r="M139" s="346">
        <v>10</v>
      </c>
      <c r="N139" s="7">
        <f t="shared" si="41"/>
        <v>0</v>
      </c>
      <c r="O139" s="311"/>
      <c r="P139" s="311">
        <f t="shared" si="42"/>
        <v>0</v>
      </c>
      <c r="Q139" s="7"/>
      <c r="R139" s="7"/>
      <c r="S139" s="7"/>
      <c r="T139" s="7"/>
      <c r="U139" s="7" t="s">
        <v>2288</v>
      </c>
      <c r="V139" s="7" t="s">
        <v>2289</v>
      </c>
      <c r="W139" s="7" t="str">
        <f>Preencher!$B$3&amp;U139&amp;V139&amp;A139&amp;$W$6</f>
        <v>JARINU-FRG124546MQ.TUNEL DE CG (CONTINUO)</v>
      </c>
      <c r="X139" s="7" t="str">
        <f>Preencher!$B$3&amp;U139&amp;V139&amp;A139&amp;$X$6</f>
        <v>JARINU-FRG124546MQ.TUNEL DE CG (CONTINUO) (1)</v>
      </c>
      <c r="Y139" s="7" t="str">
        <f>Preencher!$B$3&amp;U139&amp;V139&amp;A139&amp;$Y$6</f>
        <v>JARINU-FRG124546MQ.TUNEL DE CG (CONTINUO) (2)</v>
      </c>
      <c r="Z139" s="7" t="str">
        <f>Preencher!$B$3&amp;U139&amp;V139&amp;A139&amp;$Z$6</f>
        <v>JARINU-FRG124546MQ.TUNEL DE CG (CONTINUO) (3)</v>
      </c>
      <c r="AA139" s="7" t="str">
        <f>Preencher!$B$3&amp;U139&amp;V139&amp;A139&amp;$AA$6</f>
        <v>JARINU-FRG124546MQ.TUNEL DE CG (ESTATICO)</v>
      </c>
      <c r="AB139" s="7" t="str">
        <f>Preencher!$B$3&amp;U139&amp;V139&amp;A139&amp;$AB$6</f>
        <v>JARINU-FRG124546MQ.TUNEL DE CG (ESTATICO) (1)</v>
      </c>
      <c r="AC139" s="7" t="str">
        <f>Preencher!$B$3&amp;U139&amp;V139&amp;A139&amp;$AC$6</f>
        <v>JARINU-FRG124546MQ.TUNEL DE CG (ESTATICO) (2)</v>
      </c>
      <c r="AD139" s="327">
        <f>IFERROR(SUMIF('BD Otimix'!A:A,'BD VOLUME'!X139,'BD Otimix'!O:O)+SUMIF('BD Otimix'!A:A,'BD VOLUME'!Y139,'BD Otimix'!O:O)+SUMIF('BD Otimix'!A:A,'BD VOLUME'!Z139,'BD Otimix'!O:O)+SUMIF('BD Otimix'!A:A,'BD VOLUME'!AA139,'BD Otimix'!O:O)+SUMIF('BD Otimix'!A:A,'BD VOLUME'!AB139,'BD Otimix'!O:O)+SUMIF('BD Otimix'!A:A,'BD VOLUME'!AC139,'BD Otimix'!O:O)+SUMIF('BD Otimix'!A:A,'BD VOLUME'!W139,'BD Otimix'!O:O),0)</f>
        <v>0</v>
      </c>
      <c r="AE139" s="327">
        <f t="shared" si="43"/>
        <v>0</v>
      </c>
      <c r="AF139" s="7" t="str">
        <f>Preencher!$B$3&amp;$U$8&amp;$V$8&amp;A139&amp;$AF$6</f>
        <v>JARINU-FRG124546MQ.GIROFREEZER</v>
      </c>
      <c r="AG139" s="7" t="str">
        <f>Preencher!$B$3&amp;$U$8&amp;$V$8&amp;A139&amp;$AG$6</f>
        <v>JARINU-FRG124546MQ.GIROFREEZER (1)</v>
      </c>
      <c r="AH139" s="7" t="str">
        <f>Preencher!$B$3&amp;$U$8&amp;$V$8&amp;A139&amp;$AH$6</f>
        <v>JARINU-FRG124546MQ.GIROFREEZER (2)</v>
      </c>
      <c r="AI139" s="7" t="str">
        <f>Preencher!$B$3&amp;$U$8&amp;$V$8&amp;A139&amp;$AI$6</f>
        <v>JARINU-FRG124546MQ.GIROFREEZER REV04</v>
      </c>
      <c r="AJ139" s="7" t="str">
        <f>Preencher!$B$3&amp;$U$8&amp;$V$8&amp;A139&amp;$AJ$6</f>
        <v>JARINU-FRG124546MQ.GIROFREEZER (3)</v>
      </c>
      <c r="AK139" s="327">
        <f>IFERROR(SUMIF('BD Otimix'!A:A,'BD VOLUME'!AG139,'BD Otimix'!O:O)+SUMIF('BD Otimix'!A:A,'BD VOLUME'!AH139,'BD Otimix'!O:O)+SUMIF('BD Otimix'!A:A,'BD VOLUME'!AI139,'BD Otimix'!O:O)+SUMIF('BD Otimix'!A:A,'BD VOLUME'!AJ139,'BD Otimix'!O:O)+SUMIF('BD Otimix'!A:A,'BD VOLUME'!AF139,'BD Otimix'!O:O),0)</f>
        <v>0</v>
      </c>
      <c r="AL139" s="7">
        <f t="shared" si="44"/>
        <v>0</v>
      </c>
    </row>
    <row r="140" spans="1:38">
      <c r="A140" s="346">
        <v>955833</v>
      </c>
      <c r="B140" s="346" t="s">
        <v>1366</v>
      </c>
      <c r="C140" s="5" t="s">
        <v>1363</v>
      </c>
      <c r="D140" s="5" t="s">
        <v>939</v>
      </c>
      <c r="E140" s="5" t="s">
        <v>952</v>
      </c>
      <c r="F140" s="132">
        <f>SUMIF('COLAR PLANO'!$A:$A,A140,'COLAR PLANO'!$D:$D)</f>
        <v>0</v>
      </c>
      <c r="G140" s="131">
        <f t="shared" si="45"/>
        <v>0</v>
      </c>
      <c r="H140" s="6">
        <v>0.44130000000000003</v>
      </c>
      <c r="I140" s="7">
        <f t="shared" si="46"/>
        <v>0</v>
      </c>
      <c r="J140" s="130">
        <f t="shared" si="47"/>
        <v>0</v>
      </c>
      <c r="K140" s="346">
        <v>2.5</v>
      </c>
      <c r="L140" s="346">
        <v>4</v>
      </c>
      <c r="M140" s="346">
        <v>10</v>
      </c>
      <c r="N140" s="7">
        <f t="shared" si="41"/>
        <v>0</v>
      </c>
      <c r="O140" s="311"/>
      <c r="P140" s="311">
        <f t="shared" si="42"/>
        <v>0</v>
      </c>
      <c r="Q140" s="7"/>
      <c r="R140" s="7"/>
      <c r="S140" s="7"/>
      <c r="T140" s="7"/>
      <c r="U140" s="7" t="s">
        <v>2288</v>
      </c>
      <c r="V140" s="7" t="s">
        <v>2289</v>
      </c>
      <c r="W140" s="7" t="str">
        <f>Preencher!$B$3&amp;U140&amp;V140&amp;A140&amp;$W$6</f>
        <v>JARINU-FRG955833MQ.TUNEL DE CG (CONTINUO)</v>
      </c>
      <c r="X140" s="7" t="str">
        <f>Preencher!$B$3&amp;U140&amp;V140&amp;A140&amp;$X$6</f>
        <v>JARINU-FRG955833MQ.TUNEL DE CG (CONTINUO) (1)</v>
      </c>
      <c r="Y140" s="7" t="str">
        <f>Preencher!$B$3&amp;U140&amp;V140&amp;A140&amp;$Y$6</f>
        <v>JARINU-FRG955833MQ.TUNEL DE CG (CONTINUO) (2)</v>
      </c>
      <c r="Z140" s="7" t="str">
        <f>Preencher!$B$3&amp;U140&amp;V140&amp;A140&amp;$Z$6</f>
        <v>JARINU-FRG955833MQ.TUNEL DE CG (CONTINUO) (3)</v>
      </c>
      <c r="AA140" s="7" t="str">
        <f>Preencher!$B$3&amp;U140&amp;V140&amp;A140&amp;$AA$6</f>
        <v>JARINU-FRG955833MQ.TUNEL DE CG (ESTATICO)</v>
      </c>
      <c r="AB140" s="7" t="str">
        <f>Preencher!$B$3&amp;U140&amp;V140&amp;A140&amp;$AB$6</f>
        <v>JARINU-FRG955833MQ.TUNEL DE CG (ESTATICO) (1)</v>
      </c>
      <c r="AC140" s="7" t="str">
        <f>Preencher!$B$3&amp;U140&amp;V140&amp;A140&amp;$AC$6</f>
        <v>JARINU-FRG955833MQ.TUNEL DE CG (ESTATICO) (2)</v>
      </c>
      <c r="AD140" s="327">
        <f>IFERROR(SUMIF('BD Otimix'!A:A,'BD VOLUME'!X140,'BD Otimix'!O:O)+SUMIF('BD Otimix'!A:A,'BD VOLUME'!Y140,'BD Otimix'!O:O)+SUMIF('BD Otimix'!A:A,'BD VOLUME'!Z140,'BD Otimix'!O:O)+SUMIF('BD Otimix'!A:A,'BD VOLUME'!AA140,'BD Otimix'!O:O)+SUMIF('BD Otimix'!A:A,'BD VOLUME'!AB140,'BD Otimix'!O:O)+SUMIF('BD Otimix'!A:A,'BD VOLUME'!AC140,'BD Otimix'!O:O)+SUMIF('BD Otimix'!A:A,'BD VOLUME'!W140,'BD Otimix'!O:O),0)</f>
        <v>0</v>
      </c>
      <c r="AE140" s="327">
        <f t="shared" si="43"/>
        <v>0</v>
      </c>
      <c r="AF140" s="7" t="str">
        <f>Preencher!$B$3&amp;$U$8&amp;$V$8&amp;A140&amp;$AF$6</f>
        <v>JARINU-FRG955833MQ.GIROFREEZER</v>
      </c>
      <c r="AG140" s="7" t="str">
        <f>Preencher!$B$3&amp;$U$8&amp;$V$8&amp;A140&amp;$AG$6</f>
        <v>JARINU-FRG955833MQ.GIROFREEZER (1)</v>
      </c>
      <c r="AH140" s="7" t="str">
        <f>Preencher!$B$3&amp;$U$8&amp;$V$8&amp;A140&amp;$AH$6</f>
        <v>JARINU-FRG955833MQ.GIROFREEZER (2)</v>
      </c>
      <c r="AI140" s="7" t="str">
        <f>Preencher!$B$3&amp;$U$8&amp;$V$8&amp;A140&amp;$AI$6</f>
        <v>JARINU-FRG955833MQ.GIROFREEZER REV04</v>
      </c>
      <c r="AJ140" s="7" t="str">
        <f>Preencher!$B$3&amp;$U$8&amp;$V$8&amp;A140&amp;$AJ$6</f>
        <v>JARINU-FRG955833MQ.GIROFREEZER (3)</v>
      </c>
      <c r="AK140" s="327">
        <f>IFERROR(SUMIF('BD Otimix'!A:A,'BD VOLUME'!AG140,'BD Otimix'!O:O)+SUMIF('BD Otimix'!A:A,'BD VOLUME'!AH140,'BD Otimix'!O:O)+SUMIF('BD Otimix'!A:A,'BD VOLUME'!AI140,'BD Otimix'!O:O)+SUMIF('BD Otimix'!A:A,'BD VOLUME'!AJ140,'BD Otimix'!O:O)+SUMIF('BD Otimix'!A:A,'BD VOLUME'!AF140,'BD Otimix'!O:O),0)</f>
        <v>0</v>
      </c>
      <c r="AL140" s="7">
        <f t="shared" si="44"/>
        <v>0</v>
      </c>
    </row>
    <row r="141" spans="1:38">
      <c r="A141" s="346">
        <v>201989</v>
      </c>
      <c r="B141" s="346"/>
      <c r="C141" s="5" t="s">
        <v>2446</v>
      </c>
      <c r="D141" s="5" t="s">
        <v>939</v>
      </c>
      <c r="E141" s="5" t="s">
        <v>2459</v>
      </c>
      <c r="F141" s="132">
        <f>SUMIF('COLAR PLANO'!$A:$A,A141,'COLAR PLANO'!$D:$D)</f>
        <v>0</v>
      </c>
      <c r="G141" s="131">
        <f>IFERROR(F141/($E$3*$C$3),0)</f>
        <v>0</v>
      </c>
      <c r="H141" s="6">
        <v>0.74109999999999998</v>
      </c>
      <c r="I141" s="7">
        <f>IFERROR(G141/$D$3/H141,0)</f>
        <v>0</v>
      </c>
      <c r="J141" s="130">
        <f>IFERROR(I141/$B$65,0)</f>
        <v>0</v>
      </c>
      <c r="K141" s="666">
        <v>0.8</v>
      </c>
      <c r="L141" s="666">
        <v>10</v>
      </c>
      <c r="M141" s="666">
        <v>8</v>
      </c>
      <c r="N141" s="7">
        <f t="shared" si="41"/>
        <v>0</v>
      </c>
      <c r="O141" s="7"/>
      <c r="P141" s="7"/>
      <c r="Q141" s="7"/>
      <c r="R141" s="7"/>
      <c r="S141" s="7"/>
      <c r="T141" s="7"/>
      <c r="U141" s="7" t="s">
        <v>2288</v>
      </c>
      <c r="V141" s="7" t="s">
        <v>2289</v>
      </c>
      <c r="W141" s="7" t="str">
        <f>Preencher!$B$3&amp;U141&amp;V141&amp;A141&amp;$W$6</f>
        <v>JARINU-FRG201989MQ.TUNEL DE CG (CONTINUO)</v>
      </c>
      <c r="X141" s="7" t="str">
        <f>Preencher!$B$3&amp;U141&amp;V141&amp;A141&amp;$X$6</f>
        <v>JARINU-FRG201989MQ.TUNEL DE CG (CONTINUO) (1)</v>
      </c>
      <c r="Y141" s="7" t="str">
        <f>Preencher!$B$3&amp;U141&amp;V141&amp;A141&amp;$Y$6</f>
        <v>JARINU-FRG201989MQ.TUNEL DE CG (CONTINUO) (2)</v>
      </c>
      <c r="Z141" s="7" t="str">
        <f>Preencher!$B$3&amp;U141&amp;V141&amp;A141&amp;$Z$6</f>
        <v>JARINU-FRG201989MQ.TUNEL DE CG (CONTINUO) (3)</v>
      </c>
      <c r="AA141" s="7" t="str">
        <f>Preencher!$B$3&amp;U141&amp;V141&amp;A141&amp;$AA$6</f>
        <v>JARINU-FRG201989MQ.TUNEL DE CG (ESTATICO)</v>
      </c>
      <c r="AB141" s="7" t="str">
        <f>Preencher!$B$3&amp;U141&amp;V141&amp;A141&amp;$AB$6</f>
        <v>JARINU-FRG201989MQ.TUNEL DE CG (ESTATICO) (1)</v>
      </c>
      <c r="AC141" s="7" t="str">
        <f>Preencher!$B$3&amp;U141&amp;V141&amp;A141&amp;$AC$6</f>
        <v>JARINU-FRG201989MQ.TUNEL DE CG (ESTATICO) (2)</v>
      </c>
      <c r="AD141" s="327">
        <f>IFERROR(SUMIF('BD Otimix'!A:A,'BD VOLUME'!X141,'BD Otimix'!O:O)+SUMIF('BD Otimix'!A:A,'BD VOLUME'!Y141,'BD Otimix'!O:O)+SUMIF('BD Otimix'!A:A,'BD VOLUME'!Z141,'BD Otimix'!O:O)+SUMIF('BD Otimix'!A:A,'BD VOLUME'!AA141,'BD Otimix'!O:O)+SUMIF('BD Otimix'!A:A,'BD VOLUME'!AB141,'BD Otimix'!O:O)+SUMIF('BD Otimix'!A:A,'BD VOLUME'!AC141,'BD Otimix'!O:O)+SUMIF('BD Otimix'!A:A,'BD VOLUME'!W141,'BD Otimix'!O:O),0)</f>
        <v>0</v>
      </c>
      <c r="AE141" s="327">
        <f t="shared" si="43"/>
        <v>0</v>
      </c>
      <c r="AF141" s="7" t="str">
        <f>Preencher!$B$3&amp;$U$8&amp;$V$8&amp;A141&amp;$AF$6</f>
        <v>JARINU-FRG201989MQ.GIROFREEZER</v>
      </c>
      <c r="AG141" s="7" t="str">
        <f>Preencher!$B$3&amp;$U$8&amp;$V$8&amp;A141&amp;$AG$6</f>
        <v>JARINU-FRG201989MQ.GIROFREEZER (1)</v>
      </c>
      <c r="AH141" s="7" t="str">
        <f>Preencher!$B$3&amp;$U$8&amp;$V$8&amp;A141&amp;$AH$6</f>
        <v>JARINU-FRG201989MQ.GIROFREEZER (2)</v>
      </c>
      <c r="AI141" s="7" t="str">
        <f>Preencher!$B$3&amp;$U$8&amp;$V$8&amp;A141&amp;$AI$6</f>
        <v>JARINU-FRG201989MQ.GIROFREEZER REV04</v>
      </c>
      <c r="AJ141" s="7" t="str">
        <f>Preencher!$B$3&amp;$U$8&amp;$V$8&amp;A141&amp;$AJ$6</f>
        <v>JARINU-FRG201989MQ.GIROFREEZER (3)</v>
      </c>
      <c r="AK141" s="327">
        <f>IFERROR(SUMIF('BD Otimix'!A:A,'BD VOLUME'!AG141,'BD Otimix'!O:O)+SUMIF('BD Otimix'!A:A,'BD VOLUME'!AH141,'BD Otimix'!O:O)+SUMIF('BD Otimix'!A:A,'BD VOLUME'!AI141,'BD Otimix'!O:O)+SUMIF('BD Otimix'!A:A,'BD VOLUME'!AJ141,'BD Otimix'!O:O)+SUMIF('BD Otimix'!A:A,'BD VOLUME'!AF141,'BD Otimix'!O:O),0)</f>
        <v>0</v>
      </c>
      <c r="AL141" s="7">
        <f t="shared" si="44"/>
        <v>0</v>
      </c>
    </row>
    <row r="142" spans="1:38">
      <c r="A142" s="346">
        <v>124396</v>
      </c>
      <c r="B142" s="346"/>
      <c r="C142" s="5" t="s">
        <v>2517</v>
      </c>
      <c r="D142" s="5" t="s">
        <v>2556</v>
      </c>
      <c r="E142" s="5" t="s">
        <v>2587</v>
      </c>
      <c r="F142" s="132">
        <f>SUMIF('COLAR PLANO'!$A:$A,A142,'COLAR PLANO'!$D:$D)</f>
        <v>0</v>
      </c>
      <c r="G142" s="131">
        <f>IFERROR(F142/($E$3*$C$3),0)</f>
        <v>0</v>
      </c>
      <c r="H142" s="6">
        <v>0.96</v>
      </c>
      <c r="I142" s="7">
        <f>IFERROR(G142/$D$3/H142,0)</f>
        <v>0</v>
      </c>
      <c r="J142" s="130">
        <f>IFERROR(I142/$B$65,0)</f>
        <v>0</v>
      </c>
      <c r="K142" s="685">
        <v>2.2200000000000002</v>
      </c>
      <c r="L142" s="685">
        <v>9</v>
      </c>
      <c r="M142" s="685">
        <v>20</v>
      </c>
      <c r="N142" s="7">
        <f t="shared" si="41"/>
        <v>0</v>
      </c>
      <c r="O142" s="7"/>
      <c r="P142" s="7"/>
      <c r="Q142" s="7"/>
      <c r="R142" s="7"/>
      <c r="S142" s="7"/>
      <c r="T142" s="7"/>
      <c r="U142" s="7" t="s">
        <v>2288</v>
      </c>
      <c r="V142" s="7" t="s">
        <v>2289</v>
      </c>
      <c r="W142" s="7" t="str">
        <f>Preencher!$B$3&amp;U142&amp;V142&amp;A142&amp;$W$6</f>
        <v>JARINU-FRG124396MQ.TUNEL DE CG (CONTINUO)</v>
      </c>
      <c r="X142" s="7" t="str">
        <f>Preencher!$B$3&amp;U142&amp;V142&amp;A142&amp;$X$6</f>
        <v>JARINU-FRG124396MQ.TUNEL DE CG (CONTINUO) (1)</v>
      </c>
      <c r="Y142" s="7" t="str">
        <f>Preencher!$B$3&amp;U142&amp;V142&amp;A142&amp;$Y$6</f>
        <v>JARINU-FRG124396MQ.TUNEL DE CG (CONTINUO) (2)</v>
      </c>
      <c r="Z142" s="7" t="str">
        <f>Preencher!$B$3&amp;U142&amp;V142&amp;A142&amp;$Z$6</f>
        <v>JARINU-FRG124396MQ.TUNEL DE CG (CONTINUO) (3)</v>
      </c>
      <c r="AA142" s="7" t="str">
        <f>Preencher!$B$3&amp;U142&amp;V142&amp;A142&amp;$AA$6</f>
        <v>JARINU-FRG124396MQ.TUNEL DE CG (ESTATICO)</v>
      </c>
      <c r="AB142" s="7" t="str">
        <f>Preencher!$B$3&amp;U142&amp;V142&amp;A142&amp;$AB$6</f>
        <v>JARINU-FRG124396MQ.TUNEL DE CG (ESTATICO) (1)</v>
      </c>
      <c r="AC142" s="7" t="str">
        <f>Preencher!$B$3&amp;U142&amp;V142&amp;A142&amp;$AC$6</f>
        <v>JARINU-FRG124396MQ.TUNEL DE CG (ESTATICO) (2)</v>
      </c>
      <c r="AD142" s="327">
        <f>IFERROR(SUMIF('BD Otimix'!A:A,'BD VOLUME'!X142,'BD Otimix'!O:O)+SUMIF('BD Otimix'!A:A,'BD VOLUME'!Y142,'BD Otimix'!O:O)+SUMIF('BD Otimix'!A:A,'BD VOLUME'!Z142,'BD Otimix'!O:O)+SUMIF('BD Otimix'!A:A,'BD VOLUME'!AA142,'BD Otimix'!O:O)+SUMIF('BD Otimix'!A:A,'BD VOLUME'!AB142,'BD Otimix'!O:O)+SUMIF('BD Otimix'!A:A,'BD VOLUME'!AC142,'BD Otimix'!O:O)+SUMIF('BD Otimix'!A:A,'BD VOLUME'!W142,'BD Otimix'!O:O),0)</f>
        <v>0</v>
      </c>
      <c r="AE142" s="327">
        <f t="shared" si="43"/>
        <v>0</v>
      </c>
      <c r="AF142" s="7" t="str">
        <f>Preencher!$B$3&amp;$U$8&amp;$V$8&amp;A142&amp;$AF$6</f>
        <v>JARINU-FRG124396MQ.GIROFREEZER</v>
      </c>
      <c r="AG142" s="7" t="str">
        <f>Preencher!$B$3&amp;$U$8&amp;$V$8&amp;A142&amp;$AG$6</f>
        <v>JARINU-FRG124396MQ.GIROFREEZER (1)</v>
      </c>
      <c r="AH142" s="7" t="str">
        <f>Preencher!$B$3&amp;$U$8&amp;$V$8&amp;A142&amp;$AH$6</f>
        <v>JARINU-FRG124396MQ.GIROFREEZER (2)</v>
      </c>
      <c r="AI142" s="7" t="str">
        <f>Preencher!$B$3&amp;$U$8&amp;$V$8&amp;A142&amp;$AI$6</f>
        <v>JARINU-FRG124396MQ.GIROFREEZER REV04</v>
      </c>
      <c r="AJ142" s="7" t="str">
        <f>Preencher!$B$3&amp;$U$8&amp;$V$8&amp;A142&amp;$AJ$6</f>
        <v>JARINU-FRG124396MQ.GIROFREEZER (3)</v>
      </c>
      <c r="AK142" s="327">
        <f>IFERROR(SUMIF('BD Otimix'!A:A,'BD VOLUME'!AG142,'BD Otimix'!O:O)+SUMIF('BD Otimix'!A:A,'BD VOLUME'!AH142,'BD Otimix'!O:O)+SUMIF('BD Otimix'!A:A,'BD VOLUME'!AI142,'BD Otimix'!O:O)+SUMIF('BD Otimix'!A:A,'BD VOLUME'!AJ142,'BD Otimix'!O:O)+SUMIF('BD Otimix'!A:A,'BD VOLUME'!AF142,'BD Otimix'!O:O),0)</f>
        <v>0</v>
      </c>
      <c r="AL142" s="7">
        <f t="shared" si="44"/>
        <v>0</v>
      </c>
    </row>
    <row r="143" spans="1:38">
      <c r="A143" s="128">
        <v>978990</v>
      </c>
      <c r="B143" s="128"/>
      <c r="C143" s="5" t="s">
        <v>2518</v>
      </c>
      <c r="D143" s="5" t="s">
        <v>939</v>
      </c>
      <c r="E143" s="5" t="s">
        <v>2569</v>
      </c>
      <c r="F143" s="132">
        <f>SUMIF('COLAR PLANO'!$A:$A,A143,'COLAR PLANO'!$D:$D)</f>
        <v>0</v>
      </c>
      <c r="G143" s="131">
        <f>IFERROR(F143/($E$3*$C$3),0)</f>
        <v>0</v>
      </c>
      <c r="H143" s="6">
        <v>0.64</v>
      </c>
      <c r="I143" s="7">
        <f>IFERROR(G143/$D$3/H143,0)</f>
        <v>0</v>
      </c>
      <c r="J143" s="130">
        <f>IFERROR(I143/$B$65,0)</f>
        <v>0</v>
      </c>
      <c r="K143" s="685">
        <v>1.7</v>
      </c>
      <c r="L143" s="685">
        <v>9</v>
      </c>
      <c r="M143" s="685">
        <v>15</v>
      </c>
      <c r="N143" s="7">
        <f>IFERROR(G143/K143,"-")</f>
        <v>0</v>
      </c>
      <c r="O143" s="311"/>
      <c r="P143" s="311">
        <f>IFERROR(G143/M143,"-")</f>
        <v>0</v>
      </c>
      <c r="Q143" s="7"/>
      <c r="R143" s="7"/>
      <c r="S143" s="7"/>
      <c r="T143" s="7"/>
      <c r="U143" s="7" t="s">
        <v>2288</v>
      </c>
      <c r="V143" s="7" t="s">
        <v>2289</v>
      </c>
      <c r="W143" s="7" t="str">
        <f>Preencher!$B$3&amp;U143&amp;V143&amp;A143&amp;$W$6</f>
        <v>JARINU-FRG978990MQ.TUNEL DE CG (CONTINUO)</v>
      </c>
      <c r="X143" s="7" t="str">
        <f>Preencher!$B$3&amp;U143&amp;V143&amp;A143&amp;$X$6</f>
        <v>JARINU-FRG978990MQ.TUNEL DE CG (CONTINUO) (1)</v>
      </c>
      <c r="Y143" s="7" t="str">
        <f>Preencher!$B$3&amp;U143&amp;V143&amp;A143&amp;$Y$6</f>
        <v>JARINU-FRG978990MQ.TUNEL DE CG (CONTINUO) (2)</v>
      </c>
      <c r="Z143" s="7" t="str">
        <f>Preencher!$B$3&amp;U143&amp;V143&amp;A143&amp;$Z$6</f>
        <v>JARINU-FRG978990MQ.TUNEL DE CG (CONTINUO) (3)</v>
      </c>
      <c r="AA143" s="7" t="str">
        <f>Preencher!$B$3&amp;U143&amp;V143&amp;A143&amp;$AA$6</f>
        <v>JARINU-FRG978990MQ.TUNEL DE CG (ESTATICO)</v>
      </c>
      <c r="AB143" s="7" t="str">
        <f>Preencher!$B$3&amp;U143&amp;V143&amp;A143&amp;$AB$6</f>
        <v>JARINU-FRG978990MQ.TUNEL DE CG (ESTATICO) (1)</v>
      </c>
      <c r="AC143" s="7" t="str">
        <f>Preencher!$B$3&amp;U143&amp;V143&amp;A143&amp;$AC$6</f>
        <v>JARINU-FRG978990MQ.TUNEL DE CG (ESTATICO) (2)</v>
      </c>
      <c r="AD143" s="327">
        <f>IFERROR(SUMIF('BD Otimix'!A:A,'BD VOLUME'!X143,'BD Otimix'!O:O)+SUMIF('BD Otimix'!A:A,'BD VOLUME'!Y143,'BD Otimix'!O:O)+SUMIF('BD Otimix'!A:A,'BD VOLUME'!Z143,'BD Otimix'!O:O)+SUMIF('BD Otimix'!A:A,'BD VOLUME'!AA143,'BD Otimix'!O:O)+SUMIF('BD Otimix'!A:A,'BD VOLUME'!AB143,'BD Otimix'!O:O)+SUMIF('BD Otimix'!A:A,'BD VOLUME'!AC143,'BD Otimix'!O:O)+SUMIF('BD Otimix'!A:A,'BD VOLUME'!W143,'BD Otimix'!O:O),0)</f>
        <v>0</v>
      </c>
      <c r="AE143" s="327">
        <f>IFERROR(F143/$E$3/1000/AD143,0)</f>
        <v>0</v>
      </c>
      <c r="AF143" s="7" t="str">
        <f>Preencher!$B$3&amp;$U$8&amp;$V$8&amp;A143&amp;$AF$6</f>
        <v>JARINU-FRG978990MQ.GIROFREEZER</v>
      </c>
      <c r="AG143" s="7" t="str">
        <f>Preencher!$B$3&amp;$U$8&amp;$V$8&amp;A143&amp;$AG$6</f>
        <v>JARINU-FRG978990MQ.GIROFREEZER (1)</v>
      </c>
      <c r="AH143" s="7" t="str">
        <f>Preencher!$B$3&amp;$U$8&amp;$V$8&amp;A143&amp;$AH$6</f>
        <v>JARINU-FRG978990MQ.GIROFREEZER (2)</v>
      </c>
      <c r="AI143" s="7" t="str">
        <f>Preencher!$B$3&amp;$U$8&amp;$V$8&amp;A143&amp;$AI$6</f>
        <v>JARINU-FRG978990MQ.GIROFREEZER REV04</v>
      </c>
      <c r="AJ143" s="7" t="str">
        <f>Preencher!$B$3&amp;$U$8&amp;$V$8&amp;A143&amp;$AJ$6</f>
        <v>JARINU-FRG978990MQ.GIROFREEZER (3)</v>
      </c>
      <c r="AK143" s="327">
        <f>IFERROR(SUMIF('BD Otimix'!A:A,'BD VOLUME'!AG143,'BD Otimix'!O:O)+SUMIF('BD Otimix'!A:A,'BD VOLUME'!AH143,'BD Otimix'!O:O)+SUMIF('BD Otimix'!A:A,'BD VOLUME'!AI143,'BD Otimix'!O:O)+SUMIF('BD Otimix'!A:A,'BD VOLUME'!AJ143,'BD Otimix'!O:O)+SUMIF('BD Otimix'!A:A,'BD VOLUME'!AF143,'BD Otimix'!O:O),0)</f>
        <v>0</v>
      </c>
      <c r="AL143" s="7">
        <f>IFERROR(F143/$E$3/1000/AK143,0)</f>
        <v>0</v>
      </c>
    </row>
    <row r="144" spans="1:38">
      <c r="A144" s="146"/>
      <c r="B144" s="146"/>
      <c r="C144" s="9"/>
      <c r="D144" s="9"/>
      <c r="E144" s="9"/>
      <c r="F144" s="151"/>
      <c r="G144" s="150"/>
      <c r="H144" s="149"/>
      <c r="I144" s="147"/>
      <c r="J144" s="148"/>
      <c r="K144" s="146"/>
      <c r="L144" s="146"/>
      <c r="M144" s="146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</row>
    <row r="145" spans="1:38">
      <c r="A145" s="138" t="s">
        <v>1067</v>
      </c>
      <c r="B145" s="136">
        <f>B4</f>
        <v>0</v>
      </c>
      <c r="C145" s="138"/>
      <c r="D145" s="138"/>
      <c r="E145" s="138"/>
      <c r="F145" s="138"/>
      <c r="G145" s="138"/>
      <c r="H145" s="138"/>
      <c r="I145" s="330">
        <f>SUBTOTAL(9,I146:I303)</f>
        <v>0</v>
      </c>
      <c r="J145" s="331">
        <f>SUBTOTAL(9,J146:J303)</f>
        <v>0</v>
      </c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</row>
    <row r="146" spans="1:38">
      <c r="A146" s="321">
        <v>52639</v>
      </c>
      <c r="B146" s="324" t="s">
        <v>1197</v>
      </c>
      <c r="C146" s="5" t="s">
        <v>1176</v>
      </c>
      <c r="D146" s="5" t="s">
        <v>939</v>
      </c>
      <c r="E146" s="5" t="s">
        <v>1196</v>
      </c>
      <c r="F146" s="132">
        <f>SUMIF('COLAR PLANO'!$A:$A,A146,'COLAR PLANO'!$D:$D)</f>
        <v>0</v>
      </c>
      <c r="G146" s="131">
        <f t="shared" ref="G146:G209" si="48">IFERROR(F146/($E$3*$C$3),0)</f>
        <v>0</v>
      </c>
      <c r="H146" s="6">
        <v>0.74129999999999996</v>
      </c>
      <c r="I146" s="7">
        <f>IFERROR(G146/$D$4/H146,0)</f>
        <v>0</v>
      </c>
      <c r="J146" s="130">
        <f>IFERROR(I146/$B$145,0)</f>
        <v>0</v>
      </c>
      <c r="K146" s="327">
        <v>0.7</v>
      </c>
      <c r="L146" s="321">
        <v>10</v>
      </c>
      <c r="M146" s="321">
        <v>7</v>
      </c>
      <c r="N146" s="7">
        <f t="shared" ref="N146:N208" si="49">IFERROR(G146/K146,"-")</f>
        <v>0</v>
      </c>
      <c r="O146" s="311"/>
      <c r="P146" s="311">
        <f t="shared" ref="P146:P208" si="50">IFERROR(G146/M146,"-")</f>
        <v>0</v>
      </c>
      <c r="Q146" s="7"/>
      <c r="R146" s="7"/>
      <c r="S146" s="7"/>
      <c r="T146" s="7"/>
      <c r="U146" s="7" t="s">
        <v>2288</v>
      </c>
      <c r="V146" s="7" t="s">
        <v>2289</v>
      </c>
      <c r="W146" s="7" t="str">
        <f>Preencher!$B$3&amp;U146&amp;V146&amp;A146&amp;$W$6</f>
        <v>JARINU-FRG52639MQ.TUNEL DE CG (CONTINUO)</v>
      </c>
      <c r="X146" s="7" t="str">
        <f>Preencher!$B$3&amp;U146&amp;V146&amp;A146&amp;$X$6</f>
        <v>JARINU-FRG52639MQ.TUNEL DE CG (CONTINUO) (1)</v>
      </c>
      <c r="Y146" s="7" t="str">
        <f>Preencher!$B$3&amp;U146&amp;V146&amp;A146&amp;$Y$6</f>
        <v>JARINU-FRG52639MQ.TUNEL DE CG (CONTINUO) (2)</v>
      </c>
      <c r="Z146" s="7" t="str">
        <f>Preencher!$B$3&amp;U146&amp;V146&amp;A146&amp;$Z$6</f>
        <v>JARINU-FRG52639MQ.TUNEL DE CG (CONTINUO) (3)</v>
      </c>
      <c r="AA146" s="7" t="str">
        <f>Preencher!$B$3&amp;U146&amp;V146&amp;A146&amp;$AA$6</f>
        <v>JARINU-FRG52639MQ.TUNEL DE CG (ESTATICO)</v>
      </c>
      <c r="AB146" s="7" t="str">
        <f>Preencher!$B$3&amp;U146&amp;V146&amp;A146&amp;$AB$6</f>
        <v>JARINU-FRG52639MQ.TUNEL DE CG (ESTATICO) (1)</v>
      </c>
      <c r="AC146" s="7" t="str">
        <f>Preencher!$B$3&amp;U146&amp;V146&amp;A146&amp;$AC$6</f>
        <v>JARINU-FRG52639MQ.TUNEL DE CG (ESTATICO) (2)</v>
      </c>
      <c r="AD146" s="327">
        <f>IFERROR(SUMIF('BD Otimix'!A:A,'BD VOLUME'!X146,'BD Otimix'!O:O)+SUMIF('BD Otimix'!A:A,'BD VOLUME'!Y146,'BD Otimix'!O:O)+SUMIF('BD Otimix'!A:A,'BD VOLUME'!Z146,'BD Otimix'!O:O)+SUMIF('BD Otimix'!A:A,'BD VOLUME'!AA146,'BD Otimix'!O:O)+SUMIF('BD Otimix'!A:A,'BD VOLUME'!AB146,'BD Otimix'!O:O)+SUMIF('BD Otimix'!A:A,'BD VOLUME'!AC146,'BD Otimix'!O:O)+SUMIF('BD Otimix'!A:A,'BD VOLUME'!W146,'BD Otimix'!O:O),0)</f>
        <v>0</v>
      </c>
      <c r="AE146" s="327">
        <f t="shared" ref="AE146:AE209" si="51">IFERROR(F146/$E$3/1000/AD146,0)</f>
        <v>0</v>
      </c>
      <c r="AF146" s="7" t="str">
        <f>Preencher!$B$3&amp;$U$8&amp;$V$8&amp;A146&amp;$AF$6</f>
        <v>JARINU-FRG52639MQ.GIROFREEZER</v>
      </c>
      <c r="AG146" s="7" t="str">
        <f>Preencher!$B$3&amp;$U$8&amp;$V$8&amp;A146&amp;$AG$6</f>
        <v>JARINU-FRG52639MQ.GIROFREEZER (1)</v>
      </c>
      <c r="AH146" s="7" t="str">
        <f>Preencher!$B$3&amp;$U$8&amp;$V$8&amp;A146&amp;$AH$6</f>
        <v>JARINU-FRG52639MQ.GIROFREEZER (2)</v>
      </c>
      <c r="AI146" s="7" t="str">
        <f>Preencher!$B$3&amp;$U$8&amp;$V$8&amp;A146&amp;$AI$6</f>
        <v>JARINU-FRG52639MQ.GIROFREEZER REV04</v>
      </c>
      <c r="AJ146" s="7" t="str">
        <f>Preencher!$B$3&amp;$U$8&amp;$V$8&amp;A146&amp;$AJ$6</f>
        <v>JARINU-FRG52639MQ.GIROFREEZER (3)</v>
      </c>
      <c r="AK146" s="327">
        <f>IFERROR(SUMIF('BD Otimix'!A:A,'BD VOLUME'!AG146,'BD Otimix'!O:O)+SUMIF('BD Otimix'!A:A,'BD VOLUME'!AH146,'BD Otimix'!O:O)+SUMIF('BD Otimix'!A:A,'BD VOLUME'!AI146,'BD Otimix'!O:O)+SUMIF('BD Otimix'!A:A,'BD VOLUME'!AJ146,'BD Otimix'!O:O)+SUMIF('BD Otimix'!A:A,'BD VOLUME'!AF146,'BD Otimix'!O:O),0)</f>
        <v>0</v>
      </c>
      <c r="AL146" s="7">
        <f t="shared" ref="AL146:AL209" si="52">IFERROR(F146/$E$3/1000/AK146,0)</f>
        <v>0</v>
      </c>
    </row>
    <row r="147" spans="1:38">
      <c r="A147" s="321">
        <v>52647</v>
      </c>
      <c r="B147" s="324" t="s">
        <v>1198</v>
      </c>
      <c r="C147" s="5" t="s">
        <v>1177</v>
      </c>
      <c r="D147" s="5" t="s">
        <v>939</v>
      </c>
      <c r="E147" s="5" t="s">
        <v>1196</v>
      </c>
      <c r="F147" s="132">
        <f>SUMIF('COLAR PLANO'!$A:$A,A147,'COLAR PLANO'!$D:$D)</f>
        <v>0</v>
      </c>
      <c r="G147" s="131">
        <f t="shared" si="48"/>
        <v>0</v>
      </c>
      <c r="H147" s="6">
        <v>0.74129999999999996</v>
      </c>
      <c r="I147" s="7">
        <f t="shared" ref="I147:I210" si="53">IFERROR(G147/$D$4/H147,0)</f>
        <v>0</v>
      </c>
      <c r="J147" s="130">
        <f t="shared" ref="J147:J210" si="54">IFERROR(I147/$B$145,0)</f>
        <v>0</v>
      </c>
      <c r="K147" s="327">
        <v>0.8</v>
      </c>
      <c r="L147" s="321">
        <v>10</v>
      </c>
      <c r="M147" s="321">
        <v>8</v>
      </c>
      <c r="N147" s="7">
        <f t="shared" si="49"/>
        <v>0</v>
      </c>
      <c r="O147" s="311"/>
      <c r="P147" s="311">
        <f t="shared" si="50"/>
        <v>0</v>
      </c>
      <c r="Q147" s="7"/>
      <c r="R147" s="7"/>
      <c r="S147" s="7"/>
      <c r="T147" s="7"/>
      <c r="U147" s="7" t="s">
        <v>2288</v>
      </c>
      <c r="V147" s="7" t="s">
        <v>2289</v>
      </c>
      <c r="W147" s="7" t="str">
        <f>Preencher!$B$3&amp;U147&amp;V147&amp;A147&amp;$W$6</f>
        <v>JARINU-FRG52647MQ.TUNEL DE CG (CONTINUO)</v>
      </c>
      <c r="X147" s="7" t="str">
        <f>Preencher!$B$3&amp;U147&amp;V147&amp;A147&amp;$X$6</f>
        <v>JARINU-FRG52647MQ.TUNEL DE CG (CONTINUO) (1)</v>
      </c>
      <c r="Y147" s="7" t="str">
        <f>Preencher!$B$3&amp;U147&amp;V147&amp;A147&amp;$Y$6</f>
        <v>JARINU-FRG52647MQ.TUNEL DE CG (CONTINUO) (2)</v>
      </c>
      <c r="Z147" s="7" t="str">
        <f>Preencher!$B$3&amp;U147&amp;V147&amp;A147&amp;$Z$6</f>
        <v>JARINU-FRG52647MQ.TUNEL DE CG (CONTINUO) (3)</v>
      </c>
      <c r="AA147" s="7" t="str">
        <f>Preencher!$B$3&amp;U147&amp;V147&amp;A147&amp;$AA$6</f>
        <v>JARINU-FRG52647MQ.TUNEL DE CG (ESTATICO)</v>
      </c>
      <c r="AB147" s="7" t="str">
        <f>Preencher!$B$3&amp;U147&amp;V147&amp;A147&amp;$AB$6</f>
        <v>JARINU-FRG52647MQ.TUNEL DE CG (ESTATICO) (1)</v>
      </c>
      <c r="AC147" s="7" t="str">
        <f>Preencher!$B$3&amp;U147&amp;V147&amp;A147&amp;$AC$6</f>
        <v>JARINU-FRG52647MQ.TUNEL DE CG (ESTATICO) (2)</v>
      </c>
      <c r="AD147" s="327">
        <f>IFERROR(SUMIF('BD Otimix'!A:A,'BD VOLUME'!X147,'BD Otimix'!O:O)+SUMIF('BD Otimix'!A:A,'BD VOLUME'!Y147,'BD Otimix'!O:O)+SUMIF('BD Otimix'!A:A,'BD VOLUME'!Z147,'BD Otimix'!O:O)+SUMIF('BD Otimix'!A:A,'BD VOLUME'!AA147,'BD Otimix'!O:O)+SUMIF('BD Otimix'!A:A,'BD VOLUME'!AB147,'BD Otimix'!O:O)+SUMIF('BD Otimix'!A:A,'BD VOLUME'!AC147,'BD Otimix'!O:O)+SUMIF('BD Otimix'!A:A,'BD VOLUME'!W147,'BD Otimix'!O:O),0)</f>
        <v>0</v>
      </c>
      <c r="AE147" s="327">
        <f t="shared" si="51"/>
        <v>0</v>
      </c>
      <c r="AF147" s="7" t="str">
        <f>Preencher!$B$3&amp;$U$8&amp;$V$8&amp;A147&amp;$AF$6</f>
        <v>JARINU-FRG52647MQ.GIROFREEZER</v>
      </c>
      <c r="AG147" s="7" t="str">
        <f>Preencher!$B$3&amp;$U$8&amp;$V$8&amp;A147&amp;$AG$6</f>
        <v>JARINU-FRG52647MQ.GIROFREEZER (1)</v>
      </c>
      <c r="AH147" s="7" t="str">
        <f>Preencher!$B$3&amp;$U$8&amp;$V$8&amp;A147&amp;$AH$6</f>
        <v>JARINU-FRG52647MQ.GIROFREEZER (2)</v>
      </c>
      <c r="AI147" s="7" t="str">
        <f>Preencher!$B$3&amp;$U$8&amp;$V$8&amp;A147&amp;$AI$6</f>
        <v>JARINU-FRG52647MQ.GIROFREEZER REV04</v>
      </c>
      <c r="AJ147" s="7" t="str">
        <f>Preencher!$B$3&amp;$U$8&amp;$V$8&amp;A147&amp;$AJ$6</f>
        <v>JARINU-FRG52647MQ.GIROFREEZER (3)</v>
      </c>
      <c r="AK147" s="327">
        <f>IFERROR(SUMIF('BD Otimix'!A:A,'BD VOLUME'!AG147,'BD Otimix'!O:O)+SUMIF('BD Otimix'!A:A,'BD VOLUME'!AH147,'BD Otimix'!O:O)+SUMIF('BD Otimix'!A:A,'BD VOLUME'!AI147,'BD Otimix'!O:O)+SUMIF('BD Otimix'!A:A,'BD VOLUME'!AJ147,'BD Otimix'!O:O)+SUMIF('BD Otimix'!A:A,'BD VOLUME'!AF147,'BD Otimix'!O:O),0)</f>
        <v>0</v>
      </c>
      <c r="AL147" s="7">
        <f t="shared" si="52"/>
        <v>0</v>
      </c>
    </row>
    <row r="148" spans="1:38">
      <c r="A148" s="321">
        <v>52655</v>
      </c>
      <c r="B148" s="324" t="s">
        <v>1199</v>
      </c>
      <c r="C148" s="5" t="s">
        <v>1178</v>
      </c>
      <c r="D148" s="5" t="s">
        <v>939</v>
      </c>
      <c r="E148" s="5" t="s">
        <v>1196</v>
      </c>
      <c r="F148" s="132">
        <f>SUMIF('COLAR PLANO'!$A:$A,A148,'COLAR PLANO'!$D:$D)</f>
        <v>0</v>
      </c>
      <c r="G148" s="131">
        <f t="shared" si="48"/>
        <v>0</v>
      </c>
      <c r="H148" s="6">
        <v>0.74129999999999996</v>
      </c>
      <c r="I148" s="7">
        <f t="shared" si="53"/>
        <v>0</v>
      </c>
      <c r="J148" s="130">
        <f t="shared" si="54"/>
        <v>0</v>
      </c>
      <c r="K148" s="327">
        <v>0.9</v>
      </c>
      <c r="L148" s="321">
        <v>10</v>
      </c>
      <c r="M148" s="321">
        <v>9</v>
      </c>
      <c r="N148" s="7">
        <f t="shared" si="49"/>
        <v>0</v>
      </c>
      <c r="O148" s="311"/>
      <c r="P148" s="311">
        <f t="shared" si="50"/>
        <v>0</v>
      </c>
      <c r="Q148" s="7"/>
      <c r="R148" s="7"/>
      <c r="S148" s="7"/>
      <c r="T148" s="7"/>
      <c r="U148" s="7" t="s">
        <v>2288</v>
      </c>
      <c r="V148" s="7" t="s">
        <v>2289</v>
      </c>
      <c r="W148" s="7" t="str">
        <f>Preencher!$B$3&amp;U148&amp;V148&amp;A148&amp;$W$6</f>
        <v>JARINU-FRG52655MQ.TUNEL DE CG (CONTINUO)</v>
      </c>
      <c r="X148" s="7" t="str">
        <f>Preencher!$B$3&amp;U148&amp;V148&amp;A148&amp;$X$6</f>
        <v>JARINU-FRG52655MQ.TUNEL DE CG (CONTINUO) (1)</v>
      </c>
      <c r="Y148" s="7" t="str">
        <f>Preencher!$B$3&amp;U148&amp;V148&amp;A148&amp;$Y$6</f>
        <v>JARINU-FRG52655MQ.TUNEL DE CG (CONTINUO) (2)</v>
      </c>
      <c r="Z148" s="7" t="str">
        <f>Preencher!$B$3&amp;U148&amp;V148&amp;A148&amp;$Z$6</f>
        <v>JARINU-FRG52655MQ.TUNEL DE CG (CONTINUO) (3)</v>
      </c>
      <c r="AA148" s="7" t="str">
        <f>Preencher!$B$3&amp;U148&amp;V148&amp;A148&amp;$AA$6</f>
        <v>JARINU-FRG52655MQ.TUNEL DE CG (ESTATICO)</v>
      </c>
      <c r="AB148" s="7" t="str">
        <f>Preencher!$B$3&amp;U148&amp;V148&amp;A148&amp;$AB$6</f>
        <v>JARINU-FRG52655MQ.TUNEL DE CG (ESTATICO) (1)</v>
      </c>
      <c r="AC148" s="7" t="str">
        <f>Preencher!$B$3&amp;U148&amp;V148&amp;A148&amp;$AC$6</f>
        <v>JARINU-FRG52655MQ.TUNEL DE CG (ESTATICO) (2)</v>
      </c>
      <c r="AD148" s="327">
        <f>IFERROR(SUMIF('BD Otimix'!A:A,'BD VOLUME'!X148,'BD Otimix'!O:O)+SUMIF('BD Otimix'!A:A,'BD VOLUME'!Y148,'BD Otimix'!O:O)+SUMIF('BD Otimix'!A:A,'BD VOLUME'!Z148,'BD Otimix'!O:O)+SUMIF('BD Otimix'!A:A,'BD VOLUME'!AA148,'BD Otimix'!O:O)+SUMIF('BD Otimix'!A:A,'BD VOLUME'!AB148,'BD Otimix'!O:O)+SUMIF('BD Otimix'!A:A,'BD VOLUME'!AC148,'BD Otimix'!O:O)+SUMIF('BD Otimix'!A:A,'BD VOLUME'!W148,'BD Otimix'!O:O),0)</f>
        <v>0</v>
      </c>
      <c r="AE148" s="327">
        <f t="shared" si="51"/>
        <v>0</v>
      </c>
      <c r="AF148" s="7" t="str">
        <f>Preencher!$B$3&amp;$U$8&amp;$V$8&amp;A148&amp;$AF$6</f>
        <v>JARINU-FRG52655MQ.GIROFREEZER</v>
      </c>
      <c r="AG148" s="7" t="str">
        <f>Preencher!$B$3&amp;$U$8&amp;$V$8&amp;A148&amp;$AG$6</f>
        <v>JARINU-FRG52655MQ.GIROFREEZER (1)</v>
      </c>
      <c r="AH148" s="7" t="str">
        <f>Preencher!$B$3&amp;$U$8&amp;$V$8&amp;A148&amp;$AH$6</f>
        <v>JARINU-FRG52655MQ.GIROFREEZER (2)</v>
      </c>
      <c r="AI148" s="7" t="str">
        <f>Preencher!$B$3&amp;$U$8&amp;$V$8&amp;A148&amp;$AI$6</f>
        <v>JARINU-FRG52655MQ.GIROFREEZER REV04</v>
      </c>
      <c r="AJ148" s="7" t="str">
        <f>Preencher!$B$3&amp;$U$8&amp;$V$8&amp;A148&amp;$AJ$6</f>
        <v>JARINU-FRG52655MQ.GIROFREEZER (3)</v>
      </c>
      <c r="AK148" s="327">
        <f>IFERROR(SUMIF('BD Otimix'!A:A,'BD VOLUME'!AG148,'BD Otimix'!O:O)+SUMIF('BD Otimix'!A:A,'BD VOLUME'!AH148,'BD Otimix'!O:O)+SUMIF('BD Otimix'!A:A,'BD VOLUME'!AI148,'BD Otimix'!O:O)+SUMIF('BD Otimix'!A:A,'BD VOLUME'!AJ148,'BD Otimix'!O:O)+SUMIF('BD Otimix'!A:A,'BD VOLUME'!AF148,'BD Otimix'!O:O),0)</f>
        <v>0</v>
      </c>
      <c r="AL148" s="7">
        <f t="shared" si="52"/>
        <v>0</v>
      </c>
    </row>
    <row r="149" spans="1:38">
      <c r="A149" s="321">
        <v>52663</v>
      </c>
      <c r="B149" s="324" t="s">
        <v>1200</v>
      </c>
      <c r="C149" s="5" t="s">
        <v>1179</v>
      </c>
      <c r="D149" s="5" t="s">
        <v>939</v>
      </c>
      <c r="E149" s="5" t="s">
        <v>1196</v>
      </c>
      <c r="F149" s="132">
        <f>SUMIF('COLAR PLANO'!$A:$A,A149,'COLAR PLANO'!$D:$D)</f>
        <v>0</v>
      </c>
      <c r="G149" s="131">
        <f t="shared" si="48"/>
        <v>0</v>
      </c>
      <c r="H149" s="6">
        <v>0.74129999999999996</v>
      </c>
      <c r="I149" s="7">
        <f t="shared" si="53"/>
        <v>0</v>
      </c>
      <c r="J149" s="130">
        <f t="shared" si="54"/>
        <v>0</v>
      </c>
      <c r="K149" s="327">
        <v>1</v>
      </c>
      <c r="L149" s="321">
        <v>10</v>
      </c>
      <c r="M149" s="321">
        <v>10</v>
      </c>
      <c r="N149" s="7">
        <f t="shared" si="49"/>
        <v>0</v>
      </c>
      <c r="O149" s="311"/>
      <c r="P149" s="311">
        <f t="shared" si="50"/>
        <v>0</v>
      </c>
      <c r="Q149" s="7"/>
      <c r="R149" s="7"/>
      <c r="S149" s="7"/>
      <c r="T149" s="7"/>
      <c r="U149" s="7" t="s">
        <v>2288</v>
      </c>
      <c r="V149" s="7" t="s">
        <v>2289</v>
      </c>
      <c r="W149" s="7" t="str">
        <f>Preencher!$B$3&amp;U149&amp;V149&amp;A149&amp;$W$6</f>
        <v>JARINU-FRG52663MQ.TUNEL DE CG (CONTINUO)</v>
      </c>
      <c r="X149" s="7" t="str">
        <f>Preencher!$B$3&amp;U149&amp;V149&amp;A149&amp;$X$6</f>
        <v>JARINU-FRG52663MQ.TUNEL DE CG (CONTINUO) (1)</v>
      </c>
      <c r="Y149" s="7" t="str">
        <f>Preencher!$B$3&amp;U149&amp;V149&amp;A149&amp;$Y$6</f>
        <v>JARINU-FRG52663MQ.TUNEL DE CG (CONTINUO) (2)</v>
      </c>
      <c r="Z149" s="7" t="str">
        <f>Preencher!$B$3&amp;U149&amp;V149&amp;A149&amp;$Z$6</f>
        <v>JARINU-FRG52663MQ.TUNEL DE CG (CONTINUO) (3)</v>
      </c>
      <c r="AA149" s="7" t="str">
        <f>Preencher!$B$3&amp;U149&amp;V149&amp;A149&amp;$AA$6</f>
        <v>JARINU-FRG52663MQ.TUNEL DE CG (ESTATICO)</v>
      </c>
      <c r="AB149" s="7" t="str">
        <f>Preencher!$B$3&amp;U149&amp;V149&amp;A149&amp;$AB$6</f>
        <v>JARINU-FRG52663MQ.TUNEL DE CG (ESTATICO) (1)</v>
      </c>
      <c r="AC149" s="7" t="str">
        <f>Preencher!$B$3&amp;U149&amp;V149&amp;A149&amp;$AC$6</f>
        <v>JARINU-FRG52663MQ.TUNEL DE CG (ESTATICO) (2)</v>
      </c>
      <c r="AD149" s="327">
        <f>IFERROR(SUMIF('BD Otimix'!A:A,'BD VOLUME'!X149,'BD Otimix'!O:O)+SUMIF('BD Otimix'!A:A,'BD VOLUME'!Y149,'BD Otimix'!O:O)+SUMIF('BD Otimix'!A:A,'BD VOLUME'!Z149,'BD Otimix'!O:O)+SUMIF('BD Otimix'!A:A,'BD VOLUME'!AA149,'BD Otimix'!O:O)+SUMIF('BD Otimix'!A:A,'BD VOLUME'!AB149,'BD Otimix'!O:O)+SUMIF('BD Otimix'!A:A,'BD VOLUME'!AC149,'BD Otimix'!O:O)+SUMIF('BD Otimix'!A:A,'BD VOLUME'!W149,'BD Otimix'!O:O),0)</f>
        <v>0</v>
      </c>
      <c r="AE149" s="327">
        <f t="shared" si="51"/>
        <v>0</v>
      </c>
      <c r="AF149" s="7" t="str">
        <f>Preencher!$B$3&amp;$U$8&amp;$V$8&amp;A149&amp;$AF$6</f>
        <v>JARINU-FRG52663MQ.GIROFREEZER</v>
      </c>
      <c r="AG149" s="7" t="str">
        <f>Preencher!$B$3&amp;$U$8&amp;$V$8&amp;A149&amp;$AG$6</f>
        <v>JARINU-FRG52663MQ.GIROFREEZER (1)</v>
      </c>
      <c r="AH149" s="7" t="str">
        <f>Preencher!$B$3&amp;$U$8&amp;$V$8&amp;A149&amp;$AH$6</f>
        <v>JARINU-FRG52663MQ.GIROFREEZER (2)</v>
      </c>
      <c r="AI149" s="7" t="str">
        <f>Preencher!$B$3&amp;$U$8&amp;$V$8&amp;A149&amp;$AI$6</f>
        <v>JARINU-FRG52663MQ.GIROFREEZER REV04</v>
      </c>
      <c r="AJ149" s="7" t="str">
        <f>Preencher!$B$3&amp;$U$8&amp;$V$8&amp;A149&amp;$AJ$6</f>
        <v>JARINU-FRG52663MQ.GIROFREEZER (3)</v>
      </c>
      <c r="AK149" s="327">
        <f>IFERROR(SUMIF('BD Otimix'!A:A,'BD VOLUME'!AG149,'BD Otimix'!O:O)+SUMIF('BD Otimix'!A:A,'BD VOLUME'!AH149,'BD Otimix'!O:O)+SUMIF('BD Otimix'!A:A,'BD VOLUME'!AI149,'BD Otimix'!O:O)+SUMIF('BD Otimix'!A:A,'BD VOLUME'!AJ149,'BD Otimix'!O:O)+SUMIF('BD Otimix'!A:A,'BD VOLUME'!AF149,'BD Otimix'!O:O),0)</f>
        <v>0</v>
      </c>
      <c r="AL149" s="7">
        <f t="shared" si="52"/>
        <v>0</v>
      </c>
    </row>
    <row r="150" spans="1:38">
      <c r="A150" s="321">
        <v>52671</v>
      </c>
      <c r="B150" s="324" t="s">
        <v>1201</v>
      </c>
      <c r="C150" s="5" t="s">
        <v>1180</v>
      </c>
      <c r="D150" s="5" t="s">
        <v>939</v>
      </c>
      <c r="E150" s="5" t="s">
        <v>1196</v>
      </c>
      <c r="F150" s="132">
        <f>SUMIF('COLAR PLANO'!$A:$A,A150,'COLAR PLANO'!$D:$D)</f>
        <v>0</v>
      </c>
      <c r="G150" s="131">
        <f t="shared" si="48"/>
        <v>0</v>
      </c>
      <c r="H150" s="6">
        <v>0.74129999999999996</v>
      </c>
      <c r="I150" s="7">
        <f t="shared" si="53"/>
        <v>0</v>
      </c>
      <c r="J150" s="130">
        <f t="shared" si="54"/>
        <v>0</v>
      </c>
      <c r="K150" s="327">
        <v>1.1000000000000001</v>
      </c>
      <c r="L150" s="321">
        <v>10</v>
      </c>
      <c r="M150" s="321">
        <v>11</v>
      </c>
      <c r="N150" s="7">
        <f t="shared" si="49"/>
        <v>0</v>
      </c>
      <c r="O150" s="311"/>
      <c r="P150" s="311">
        <f t="shared" si="50"/>
        <v>0</v>
      </c>
      <c r="Q150" s="7"/>
      <c r="R150" s="7"/>
      <c r="S150" s="7"/>
      <c r="T150" s="7"/>
      <c r="U150" s="7" t="s">
        <v>2288</v>
      </c>
      <c r="V150" s="7" t="s">
        <v>2289</v>
      </c>
      <c r="W150" s="7" t="str">
        <f>Preencher!$B$3&amp;U150&amp;V150&amp;A150&amp;$W$6</f>
        <v>JARINU-FRG52671MQ.TUNEL DE CG (CONTINUO)</v>
      </c>
      <c r="X150" s="7" t="str">
        <f>Preencher!$B$3&amp;U150&amp;V150&amp;A150&amp;$X$6</f>
        <v>JARINU-FRG52671MQ.TUNEL DE CG (CONTINUO) (1)</v>
      </c>
      <c r="Y150" s="7" t="str">
        <f>Preencher!$B$3&amp;U150&amp;V150&amp;A150&amp;$Y$6</f>
        <v>JARINU-FRG52671MQ.TUNEL DE CG (CONTINUO) (2)</v>
      </c>
      <c r="Z150" s="7" t="str">
        <f>Preencher!$B$3&amp;U150&amp;V150&amp;A150&amp;$Z$6</f>
        <v>JARINU-FRG52671MQ.TUNEL DE CG (CONTINUO) (3)</v>
      </c>
      <c r="AA150" s="7" t="str">
        <f>Preencher!$B$3&amp;U150&amp;V150&amp;A150&amp;$AA$6</f>
        <v>JARINU-FRG52671MQ.TUNEL DE CG (ESTATICO)</v>
      </c>
      <c r="AB150" s="7" t="str">
        <f>Preencher!$B$3&amp;U150&amp;V150&amp;A150&amp;$AB$6</f>
        <v>JARINU-FRG52671MQ.TUNEL DE CG (ESTATICO) (1)</v>
      </c>
      <c r="AC150" s="7" t="str">
        <f>Preencher!$B$3&amp;U150&amp;V150&amp;A150&amp;$AC$6</f>
        <v>JARINU-FRG52671MQ.TUNEL DE CG (ESTATICO) (2)</v>
      </c>
      <c r="AD150" s="327">
        <f>IFERROR(SUMIF('BD Otimix'!A:A,'BD VOLUME'!X150,'BD Otimix'!O:O)+SUMIF('BD Otimix'!A:A,'BD VOLUME'!Y150,'BD Otimix'!O:O)+SUMIF('BD Otimix'!A:A,'BD VOLUME'!Z150,'BD Otimix'!O:O)+SUMIF('BD Otimix'!A:A,'BD VOLUME'!AA150,'BD Otimix'!O:O)+SUMIF('BD Otimix'!A:A,'BD VOLUME'!AB150,'BD Otimix'!O:O)+SUMIF('BD Otimix'!A:A,'BD VOLUME'!AC150,'BD Otimix'!O:O)+SUMIF('BD Otimix'!A:A,'BD VOLUME'!W150,'BD Otimix'!O:O),0)</f>
        <v>0</v>
      </c>
      <c r="AE150" s="327">
        <f t="shared" si="51"/>
        <v>0</v>
      </c>
      <c r="AF150" s="7" t="str">
        <f>Preencher!$B$3&amp;$U$8&amp;$V$8&amp;A150&amp;$AF$6</f>
        <v>JARINU-FRG52671MQ.GIROFREEZER</v>
      </c>
      <c r="AG150" s="7" t="str">
        <f>Preencher!$B$3&amp;$U$8&amp;$V$8&amp;A150&amp;$AG$6</f>
        <v>JARINU-FRG52671MQ.GIROFREEZER (1)</v>
      </c>
      <c r="AH150" s="7" t="str">
        <f>Preencher!$B$3&amp;$U$8&amp;$V$8&amp;A150&amp;$AH$6</f>
        <v>JARINU-FRG52671MQ.GIROFREEZER (2)</v>
      </c>
      <c r="AI150" s="7" t="str">
        <f>Preencher!$B$3&amp;$U$8&amp;$V$8&amp;A150&amp;$AI$6</f>
        <v>JARINU-FRG52671MQ.GIROFREEZER REV04</v>
      </c>
      <c r="AJ150" s="7" t="str">
        <f>Preencher!$B$3&amp;$U$8&amp;$V$8&amp;A150&amp;$AJ$6</f>
        <v>JARINU-FRG52671MQ.GIROFREEZER (3)</v>
      </c>
      <c r="AK150" s="327">
        <f>IFERROR(SUMIF('BD Otimix'!A:A,'BD VOLUME'!AG150,'BD Otimix'!O:O)+SUMIF('BD Otimix'!A:A,'BD VOLUME'!AH150,'BD Otimix'!O:O)+SUMIF('BD Otimix'!A:A,'BD VOLUME'!AI150,'BD Otimix'!O:O)+SUMIF('BD Otimix'!A:A,'BD VOLUME'!AJ150,'BD Otimix'!O:O)+SUMIF('BD Otimix'!A:A,'BD VOLUME'!AF150,'BD Otimix'!O:O),0)</f>
        <v>0</v>
      </c>
      <c r="AL150" s="7">
        <f t="shared" si="52"/>
        <v>0</v>
      </c>
    </row>
    <row r="151" spans="1:38">
      <c r="A151" s="321">
        <v>52680</v>
      </c>
      <c r="B151" s="324" t="s">
        <v>1202</v>
      </c>
      <c r="C151" s="5" t="s">
        <v>1181</v>
      </c>
      <c r="D151" s="5" t="s">
        <v>939</v>
      </c>
      <c r="E151" s="5" t="s">
        <v>1196</v>
      </c>
      <c r="F151" s="132">
        <f>SUMIF('COLAR PLANO'!$A:$A,A151,'COLAR PLANO'!$D:$D)</f>
        <v>0</v>
      </c>
      <c r="G151" s="131">
        <f t="shared" si="48"/>
        <v>0</v>
      </c>
      <c r="H151" s="6">
        <v>0.74129999999999996</v>
      </c>
      <c r="I151" s="7">
        <f t="shared" si="53"/>
        <v>0</v>
      </c>
      <c r="J151" s="130">
        <f t="shared" si="54"/>
        <v>0</v>
      </c>
      <c r="K151" s="327">
        <v>1.2</v>
      </c>
      <c r="L151" s="321">
        <v>10</v>
      </c>
      <c r="M151" s="321">
        <v>12</v>
      </c>
      <c r="N151" s="7">
        <f t="shared" si="49"/>
        <v>0</v>
      </c>
      <c r="O151" s="311"/>
      <c r="P151" s="311">
        <f t="shared" si="50"/>
        <v>0</v>
      </c>
      <c r="Q151" s="7"/>
      <c r="R151" s="7"/>
      <c r="S151" s="7"/>
      <c r="T151" s="7"/>
      <c r="U151" s="7" t="s">
        <v>2288</v>
      </c>
      <c r="V151" s="7" t="s">
        <v>2289</v>
      </c>
      <c r="W151" s="7" t="str">
        <f>Preencher!$B$3&amp;U151&amp;V151&amp;A151&amp;$W$6</f>
        <v>JARINU-FRG52680MQ.TUNEL DE CG (CONTINUO)</v>
      </c>
      <c r="X151" s="7" t="str">
        <f>Preencher!$B$3&amp;U151&amp;V151&amp;A151&amp;$X$6</f>
        <v>JARINU-FRG52680MQ.TUNEL DE CG (CONTINUO) (1)</v>
      </c>
      <c r="Y151" s="7" t="str">
        <f>Preencher!$B$3&amp;U151&amp;V151&amp;A151&amp;$Y$6</f>
        <v>JARINU-FRG52680MQ.TUNEL DE CG (CONTINUO) (2)</v>
      </c>
      <c r="Z151" s="7" t="str">
        <f>Preencher!$B$3&amp;U151&amp;V151&amp;A151&amp;$Z$6</f>
        <v>JARINU-FRG52680MQ.TUNEL DE CG (CONTINUO) (3)</v>
      </c>
      <c r="AA151" s="7" t="str">
        <f>Preencher!$B$3&amp;U151&amp;V151&amp;A151&amp;$AA$6</f>
        <v>JARINU-FRG52680MQ.TUNEL DE CG (ESTATICO)</v>
      </c>
      <c r="AB151" s="7" t="str">
        <f>Preencher!$B$3&amp;U151&amp;V151&amp;A151&amp;$AB$6</f>
        <v>JARINU-FRG52680MQ.TUNEL DE CG (ESTATICO) (1)</v>
      </c>
      <c r="AC151" s="7" t="str">
        <f>Preencher!$B$3&amp;U151&amp;V151&amp;A151&amp;$AC$6</f>
        <v>JARINU-FRG52680MQ.TUNEL DE CG (ESTATICO) (2)</v>
      </c>
      <c r="AD151" s="327">
        <f>IFERROR(SUMIF('BD Otimix'!A:A,'BD VOLUME'!X151,'BD Otimix'!O:O)+SUMIF('BD Otimix'!A:A,'BD VOLUME'!Y151,'BD Otimix'!O:O)+SUMIF('BD Otimix'!A:A,'BD VOLUME'!Z151,'BD Otimix'!O:O)+SUMIF('BD Otimix'!A:A,'BD VOLUME'!AA151,'BD Otimix'!O:O)+SUMIF('BD Otimix'!A:A,'BD VOLUME'!AB151,'BD Otimix'!O:O)+SUMIF('BD Otimix'!A:A,'BD VOLUME'!AC151,'BD Otimix'!O:O)+SUMIF('BD Otimix'!A:A,'BD VOLUME'!W151,'BD Otimix'!O:O),0)</f>
        <v>0</v>
      </c>
      <c r="AE151" s="327">
        <f t="shared" si="51"/>
        <v>0</v>
      </c>
      <c r="AF151" s="7" t="str">
        <f>Preencher!$B$3&amp;$U$8&amp;$V$8&amp;A151&amp;$AF$6</f>
        <v>JARINU-FRG52680MQ.GIROFREEZER</v>
      </c>
      <c r="AG151" s="7" t="str">
        <f>Preencher!$B$3&amp;$U$8&amp;$V$8&amp;A151&amp;$AG$6</f>
        <v>JARINU-FRG52680MQ.GIROFREEZER (1)</v>
      </c>
      <c r="AH151" s="7" t="str">
        <f>Preencher!$B$3&amp;$U$8&amp;$V$8&amp;A151&amp;$AH$6</f>
        <v>JARINU-FRG52680MQ.GIROFREEZER (2)</v>
      </c>
      <c r="AI151" s="7" t="str">
        <f>Preencher!$B$3&amp;$U$8&amp;$V$8&amp;A151&amp;$AI$6</f>
        <v>JARINU-FRG52680MQ.GIROFREEZER REV04</v>
      </c>
      <c r="AJ151" s="7" t="str">
        <f>Preencher!$B$3&amp;$U$8&amp;$V$8&amp;A151&amp;$AJ$6</f>
        <v>JARINU-FRG52680MQ.GIROFREEZER (3)</v>
      </c>
      <c r="AK151" s="327">
        <f>IFERROR(SUMIF('BD Otimix'!A:A,'BD VOLUME'!AG151,'BD Otimix'!O:O)+SUMIF('BD Otimix'!A:A,'BD VOLUME'!AH151,'BD Otimix'!O:O)+SUMIF('BD Otimix'!A:A,'BD VOLUME'!AI151,'BD Otimix'!O:O)+SUMIF('BD Otimix'!A:A,'BD VOLUME'!AJ151,'BD Otimix'!O:O)+SUMIF('BD Otimix'!A:A,'BD VOLUME'!AF151,'BD Otimix'!O:O),0)</f>
        <v>0</v>
      </c>
      <c r="AL151" s="7">
        <f t="shared" si="52"/>
        <v>0</v>
      </c>
    </row>
    <row r="152" spans="1:38">
      <c r="A152" s="321">
        <v>52698</v>
      </c>
      <c r="B152" s="324" t="s">
        <v>1203</v>
      </c>
      <c r="C152" s="5" t="s">
        <v>1182</v>
      </c>
      <c r="D152" s="5" t="s">
        <v>939</v>
      </c>
      <c r="E152" s="5" t="s">
        <v>1196</v>
      </c>
      <c r="F152" s="132">
        <f>SUMIF('COLAR PLANO'!$A:$A,A152,'COLAR PLANO'!$D:$D)</f>
        <v>0</v>
      </c>
      <c r="G152" s="131">
        <f t="shared" si="48"/>
        <v>0</v>
      </c>
      <c r="H152" s="6">
        <v>0.74129999999999996</v>
      </c>
      <c r="I152" s="7">
        <f t="shared" si="53"/>
        <v>0</v>
      </c>
      <c r="J152" s="130">
        <f t="shared" si="54"/>
        <v>0</v>
      </c>
      <c r="K152" s="327">
        <v>1.3</v>
      </c>
      <c r="L152" s="321">
        <v>10</v>
      </c>
      <c r="M152" s="321">
        <v>13</v>
      </c>
      <c r="N152" s="7">
        <f t="shared" si="49"/>
        <v>0</v>
      </c>
      <c r="O152" s="311"/>
      <c r="P152" s="311">
        <f t="shared" si="50"/>
        <v>0</v>
      </c>
      <c r="Q152" s="7"/>
      <c r="R152" s="7"/>
      <c r="S152" s="7"/>
      <c r="T152" s="7"/>
      <c r="U152" s="7" t="s">
        <v>2288</v>
      </c>
      <c r="V152" s="7" t="s">
        <v>2289</v>
      </c>
      <c r="W152" s="7" t="str">
        <f>Preencher!$B$3&amp;U152&amp;V152&amp;A152&amp;$W$6</f>
        <v>JARINU-FRG52698MQ.TUNEL DE CG (CONTINUO)</v>
      </c>
      <c r="X152" s="7" t="str">
        <f>Preencher!$B$3&amp;U152&amp;V152&amp;A152&amp;$X$6</f>
        <v>JARINU-FRG52698MQ.TUNEL DE CG (CONTINUO) (1)</v>
      </c>
      <c r="Y152" s="7" t="str">
        <f>Preencher!$B$3&amp;U152&amp;V152&amp;A152&amp;$Y$6</f>
        <v>JARINU-FRG52698MQ.TUNEL DE CG (CONTINUO) (2)</v>
      </c>
      <c r="Z152" s="7" t="str">
        <f>Preencher!$B$3&amp;U152&amp;V152&amp;A152&amp;$Z$6</f>
        <v>JARINU-FRG52698MQ.TUNEL DE CG (CONTINUO) (3)</v>
      </c>
      <c r="AA152" s="7" t="str">
        <f>Preencher!$B$3&amp;U152&amp;V152&amp;A152&amp;$AA$6</f>
        <v>JARINU-FRG52698MQ.TUNEL DE CG (ESTATICO)</v>
      </c>
      <c r="AB152" s="7" t="str">
        <f>Preencher!$B$3&amp;U152&amp;V152&amp;A152&amp;$AB$6</f>
        <v>JARINU-FRG52698MQ.TUNEL DE CG (ESTATICO) (1)</v>
      </c>
      <c r="AC152" s="7" t="str">
        <f>Preencher!$B$3&amp;U152&amp;V152&amp;A152&amp;$AC$6</f>
        <v>JARINU-FRG52698MQ.TUNEL DE CG (ESTATICO) (2)</v>
      </c>
      <c r="AD152" s="327">
        <f>IFERROR(SUMIF('BD Otimix'!A:A,'BD VOLUME'!X152,'BD Otimix'!O:O)+SUMIF('BD Otimix'!A:A,'BD VOLUME'!Y152,'BD Otimix'!O:O)+SUMIF('BD Otimix'!A:A,'BD VOLUME'!Z152,'BD Otimix'!O:O)+SUMIF('BD Otimix'!A:A,'BD VOLUME'!AA152,'BD Otimix'!O:O)+SUMIF('BD Otimix'!A:A,'BD VOLUME'!AB152,'BD Otimix'!O:O)+SUMIF('BD Otimix'!A:A,'BD VOLUME'!AC152,'BD Otimix'!O:O)+SUMIF('BD Otimix'!A:A,'BD VOLUME'!W152,'BD Otimix'!O:O),0)</f>
        <v>0</v>
      </c>
      <c r="AE152" s="327">
        <f t="shared" si="51"/>
        <v>0</v>
      </c>
      <c r="AF152" s="7" t="str">
        <f>Preencher!$B$3&amp;$U$8&amp;$V$8&amp;A152&amp;$AF$6</f>
        <v>JARINU-FRG52698MQ.GIROFREEZER</v>
      </c>
      <c r="AG152" s="7" t="str">
        <f>Preencher!$B$3&amp;$U$8&amp;$V$8&amp;A152&amp;$AG$6</f>
        <v>JARINU-FRG52698MQ.GIROFREEZER (1)</v>
      </c>
      <c r="AH152" s="7" t="str">
        <f>Preencher!$B$3&amp;$U$8&amp;$V$8&amp;A152&amp;$AH$6</f>
        <v>JARINU-FRG52698MQ.GIROFREEZER (2)</v>
      </c>
      <c r="AI152" s="7" t="str">
        <f>Preencher!$B$3&amp;$U$8&amp;$V$8&amp;A152&amp;$AI$6</f>
        <v>JARINU-FRG52698MQ.GIROFREEZER REV04</v>
      </c>
      <c r="AJ152" s="7" t="str">
        <f>Preencher!$B$3&amp;$U$8&amp;$V$8&amp;A152&amp;$AJ$6</f>
        <v>JARINU-FRG52698MQ.GIROFREEZER (3)</v>
      </c>
      <c r="AK152" s="327">
        <f>IFERROR(SUMIF('BD Otimix'!A:A,'BD VOLUME'!AG152,'BD Otimix'!O:O)+SUMIF('BD Otimix'!A:A,'BD VOLUME'!AH152,'BD Otimix'!O:O)+SUMIF('BD Otimix'!A:A,'BD VOLUME'!AI152,'BD Otimix'!O:O)+SUMIF('BD Otimix'!A:A,'BD VOLUME'!AJ152,'BD Otimix'!O:O)+SUMIF('BD Otimix'!A:A,'BD VOLUME'!AF152,'BD Otimix'!O:O),0)</f>
        <v>0</v>
      </c>
      <c r="AL152" s="7">
        <f t="shared" si="52"/>
        <v>0</v>
      </c>
    </row>
    <row r="153" spans="1:38">
      <c r="A153" s="321">
        <v>52701</v>
      </c>
      <c r="B153" s="324" t="s">
        <v>1204</v>
      </c>
      <c r="C153" s="5" t="s">
        <v>1183</v>
      </c>
      <c r="D153" s="5" t="s">
        <v>939</v>
      </c>
      <c r="E153" s="5" t="s">
        <v>1196</v>
      </c>
      <c r="F153" s="132">
        <f>SUMIF('COLAR PLANO'!$A:$A,A153,'COLAR PLANO'!$D:$D)</f>
        <v>0</v>
      </c>
      <c r="G153" s="131">
        <f t="shared" si="48"/>
        <v>0</v>
      </c>
      <c r="H153" s="6">
        <v>0.74129999999999996</v>
      </c>
      <c r="I153" s="7">
        <f t="shared" si="53"/>
        <v>0</v>
      </c>
      <c r="J153" s="130">
        <f t="shared" si="54"/>
        <v>0</v>
      </c>
      <c r="K153" s="327">
        <v>1.4</v>
      </c>
      <c r="L153" s="321">
        <v>10</v>
      </c>
      <c r="M153" s="321">
        <v>14</v>
      </c>
      <c r="N153" s="7">
        <f t="shared" si="49"/>
        <v>0</v>
      </c>
      <c r="O153" s="311"/>
      <c r="P153" s="311">
        <f t="shared" si="50"/>
        <v>0</v>
      </c>
      <c r="Q153" s="7"/>
      <c r="R153" s="7"/>
      <c r="S153" s="7"/>
      <c r="T153" s="7"/>
      <c r="U153" s="7" t="s">
        <v>2288</v>
      </c>
      <c r="V153" s="7" t="s">
        <v>2289</v>
      </c>
      <c r="W153" s="7" t="str">
        <f>Preencher!$B$3&amp;U153&amp;V153&amp;A153&amp;$W$6</f>
        <v>JARINU-FRG52701MQ.TUNEL DE CG (CONTINUO)</v>
      </c>
      <c r="X153" s="7" t="str">
        <f>Preencher!$B$3&amp;U153&amp;V153&amp;A153&amp;$X$6</f>
        <v>JARINU-FRG52701MQ.TUNEL DE CG (CONTINUO) (1)</v>
      </c>
      <c r="Y153" s="7" t="str">
        <f>Preencher!$B$3&amp;U153&amp;V153&amp;A153&amp;$Y$6</f>
        <v>JARINU-FRG52701MQ.TUNEL DE CG (CONTINUO) (2)</v>
      </c>
      <c r="Z153" s="7" t="str">
        <f>Preencher!$B$3&amp;U153&amp;V153&amp;A153&amp;$Z$6</f>
        <v>JARINU-FRG52701MQ.TUNEL DE CG (CONTINUO) (3)</v>
      </c>
      <c r="AA153" s="7" t="str">
        <f>Preencher!$B$3&amp;U153&amp;V153&amp;A153&amp;$AA$6</f>
        <v>JARINU-FRG52701MQ.TUNEL DE CG (ESTATICO)</v>
      </c>
      <c r="AB153" s="7" t="str">
        <f>Preencher!$B$3&amp;U153&amp;V153&amp;A153&amp;$AB$6</f>
        <v>JARINU-FRG52701MQ.TUNEL DE CG (ESTATICO) (1)</v>
      </c>
      <c r="AC153" s="7" t="str">
        <f>Preencher!$B$3&amp;U153&amp;V153&amp;A153&amp;$AC$6</f>
        <v>JARINU-FRG52701MQ.TUNEL DE CG (ESTATICO) (2)</v>
      </c>
      <c r="AD153" s="327">
        <f>IFERROR(SUMIF('BD Otimix'!A:A,'BD VOLUME'!X153,'BD Otimix'!O:O)+SUMIF('BD Otimix'!A:A,'BD VOLUME'!Y153,'BD Otimix'!O:O)+SUMIF('BD Otimix'!A:A,'BD VOLUME'!Z153,'BD Otimix'!O:O)+SUMIF('BD Otimix'!A:A,'BD VOLUME'!AA153,'BD Otimix'!O:O)+SUMIF('BD Otimix'!A:A,'BD VOLUME'!AB153,'BD Otimix'!O:O)+SUMIF('BD Otimix'!A:A,'BD VOLUME'!AC153,'BD Otimix'!O:O)+SUMIF('BD Otimix'!A:A,'BD VOLUME'!W153,'BD Otimix'!O:O),0)</f>
        <v>0</v>
      </c>
      <c r="AE153" s="327">
        <f t="shared" si="51"/>
        <v>0</v>
      </c>
      <c r="AF153" s="7" t="str">
        <f>Preencher!$B$3&amp;$U$8&amp;$V$8&amp;A153&amp;$AF$6</f>
        <v>JARINU-FRG52701MQ.GIROFREEZER</v>
      </c>
      <c r="AG153" s="7" t="str">
        <f>Preencher!$B$3&amp;$U$8&amp;$V$8&amp;A153&amp;$AG$6</f>
        <v>JARINU-FRG52701MQ.GIROFREEZER (1)</v>
      </c>
      <c r="AH153" s="7" t="str">
        <f>Preencher!$B$3&amp;$U$8&amp;$V$8&amp;A153&amp;$AH$6</f>
        <v>JARINU-FRG52701MQ.GIROFREEZER (2)</v>
      </c>
      <c r="AI153" s="7" t="str">
        <f>Preencher!$B$3&amp;$U$8&amp;$V$8&amp;A153&amp;$AI$6</f>
        <v>JARINU-FRG52701MQ.GIROFREEZER REV04</v>
      </c>
      <c r="AJ153" s="7" t="str">
        <f>Preencher!$B$3&amp;$U$8&amp;$V$8&amp;A153&amp;$AJ$6</f>
        <v>JARINU-FRG52701MQ.GIROFREEZER (3)</v>
      </c>
      <c r="AK153" s="327">
        <f>IFERROR(SUMIF('BD Otimix'!A:A,'BD VOLUME'!AG153,'BD Otimix'!O:O)+SUMIF('BD Otimix'!A:A,'BD VOLUME'!AH153,'BD Otimix'!O:O)+SUMIF('BD Otimix'!A:A,'BD VOLUME'!AI153,'BD Otimix'!O:O)+SUMIF('BD Otimix'!A:A,'BD VOLUME'!AJ153,'BD Otimix'!O:O)+SUMIF('BD Otimix'!A:A,'BD VOLUME'!AF153,'BD Otimix'!O:O),0)</f>
        <v>0</v>
      </c>
      <c r="AL153" s="7">
        <f t="shared" si="52"/>
        <v>0</v>
      </c>
    </row>
    <row r="154" spans="1:38">
      <c r="A154" s="321">
        <v>52710</v>
      </c>
      <c r="B154" s="324" t="s">
        <v>1205</v>
      </c>
      <c r="C154" s="5" t="s">
        <v>1206</v>
      </c>
      <c r="D154" s="5" t="s">
        <v>939</v>
      </c>
      <c r="E154" s="5" t="s">
        <v>1196</v>
      </c>
      <c r="F154" s="132">
        <f>SUMIF('COLAR PLANO'!$A:$A,A154,'COLAR PLANO'!$D:$D)</f>
        <v>0</v>
      </c>
      <c r="G154" s="131">
        <f t="shared" si="48"/>
        <v>0</v>
      </c>
      <c r="H154" s="6">
        <v>0.74129999999999996</v>
      </c>
      <c r="I154" s="7">
        <f t="shared" si="53"/>
        <v>0</v>
      </c>
      <c r="J154" s="130">
        <f t="shared" si="54"/>
        <v>0</v>
      </c>
      <c r="K154" s="327">
        <v>1.5</v>
      </c>
      <c r="L154" s="321">
        <v>8</v>
      </c>
      <c r="M154" s="321">
        <v>12</v>
      </c>
      <c r="N154" s="7">
        <f t="shared" si="49"/>
        <v>0</v>
      </c>
      <c r="O154" s="311"/>
      <c r="P154" s="311">
        <f t="shared" si="50"/>
        <v>0</v>
      </c>
      <c r="Q154" s="7"/>
      <c r="R154" s="7"/>
      <c r="S154" s="7"/>
      <c r="T154" s="7"/>
      <c r="U154" s="7" t="s">
        <v>2288</v>
      </c>
      <c r="V154" s="7" t="s">
        <v>2289</v>
      </c>
      <c r="W154" s="7" t="str">
        <f>Preencher!$B$3&amp;U154&amp;V154&amp;A154&amp;$W$6</f>
        <v>JARINU-FRG52710MQ.TUNEL DE CG (CONTINUO)</v>
      </c>
      <c r="X154" s="7" t="str">
        <f>Preencher!$B$3&amp;U154&amp;V154&amp;A154&amp;$X$6</f>
        <v>JARINU-FRG52710MQ.TUNEL DE CG (CONTINUO) (1)</v>
      </c>
      <c r="Y154" s="7" t="str">
        <f>Preencher!$B$3&amp;U154&amp;V154&amp;A154&amp;$Y$6</f>
        <v>JARINU-FRG52710MQ.TUNEL DE CG (CONTINUO) (2)</v>
      </c>
      <c r="Z154" s="7" t="str">
        <f>Preencher!$B$3&amp;U154&amp;V154&amp;A154&amp;$Z$6</f>
        <v>JARINU-FRG52710MQ.TUNEL DE CG (CONTINUO) (3)</v>
      </c>
      <c r="AA154" s="7" t="str">
        <f>Preencher!$B$3&amp;U154&amp;V154&amp;A154&amp;$AA$6</f>
        <v>JARINU-FRG52710MQ.TUNEL DE CG (ESTATICO)</v>
      </c>
      <c r="AB154" s="7" t="str">
        <f>Preencher!$B$3&amp;U154&amp;V154&amp;A154&amp;$AB$6</f>
        <v>JARINU-FRG52710MQ.TUNEL DE CG (ESTATICO) (1)</v>
      </c>
      <c r="AC154" s="7" t="str">
        <f>Preencher!$B$3&amp;U154&amp;V154&amp;A154&amp;$AC$6</f>
        <v>JARINU-FRG52710MQ.TUNEL DE CG (ESTATICO) (2)</v>
      </c>
      <c r="AD154" s="327">
        <f>IFERROR(SUMIF('BD Otimix'!A:A,'BD VOLUME'!X154,'BD Otimix'!O:O)+SUMIF('BD Otimix'!A:A,'BD VOLUME'!Y154,'BD Otimix'!O:O)+SUMIF('BD Otimix'!A:A,'BD VOLUME'!Z154,'BD Otimix'!O:O)+SUMIF('BD Otimix'!A:A,'BD VOLUME'!AA154,'BD Otimix'!O:O)+SUMIF('BD Otimix'!A:A,'BD VOLUME'!AB154,'BD Otimix'!O:O)+SUMIF('BD Otimix'!A:A,'BD VOLUME'!AC154,'BD Otimix'!O:O)+SUMIF('BD Otimix'!A:A,'BD VOLUME'!W154,'BD Otimix'!O:O),0)</f>
        <v>0</v>
      </c>
      <c r="AE154" s="327">
        <f t="shared" si="51"/>
        <v>0</v>
      </c>
      <c r="AF154" s="7" t="str">
        <f>Preencher!$B$3&amp;$U$8&amp;$V$8&amp;A154&amp;$AF$6</f>
        <v>JARINU-FRG52710MQ.GIROFREEZER</v>
      </c>
      <c r="AG154" s="7" t="str">
        <f>Preencher!$B$3&amp;$U$8&amp;$V$8&amp;A154&amp;$AG$6</f>
        <v>JARINU-FRG52710MQ.GIROFREEZER (1)</v>
      </c>
      <c r="AH154" s="7" t="str">
        <f>Preencher!$B$3&amp;$U$8&amp;$V$8&amp;A154&amp;$AH$6</f>
        <v>JARINU-FRG52710MQ.GIROFREEZER (2)</v>
      </c>
      <c r="AI154" s="7" t="str">
        <f>Preencher!$B$3&amp;$U$8&amp;$V$8&amp;A154&amp;$AI$6</f>
        <v>JARINU-FRG52710MQ.GIROFREEZER REV04</v>
      </c>
      <c r="AJ154" s="7" t="str">
        <f>Preencher!$B$3&amp;$U$8&amp;$V$8&amp;A154&amp;$AJ$6</f>
        <v>JARINU-FRG52710MQ.GIROFREEZER (3)</v>
      </c>
      <c r="AK154" s="327">
        <f>IFERROR(SUMIF('BD Otimix'!A:A,'BD VOLUME'!AG154,'BD Otimix'!O:O)+SUMIF('BD Otimix'!A:A,'BD VOLUME'!AH154,'BD Otimix'!O:O)+SUMIF('BD Otimix'!A:A,'BD VOLUME'!AI154,'BD Otimix'!O:O)+SUMIF('BD Otimix'!A:A,'BD VOLUME'!AJ154,'BD Otimix'!O:O)+SUMIF('BD Otimix'!A:A,'BD VOLUME'!AF154,'BD Otimix'!O:O),0)</f>
        <v>0</v>
      </c>
      <c r="AL154" s="7">
        <f t="shared" si="52"/>
        <v>0</v>
      </c>
    </row>
    <row r="155" spans="1:38">
      <c r="A155" s="321">
        <v>58777</v>
      </c>
      <c r="B155" s="324" t="s">
        <v>1207</v>
      </c>
      <c r="C155" s="5" t="s">
        <v>1208</v>
      </c>
      <c r="D155" s="5" t="s">
        <v>939</v>
      </c>
      <c r="E155" s="5" t="s">
        <v>1196</v>
      </c>
      <c r="F155" s="132">
        <f>SUMIF('COLAR PLANO'!$A:$A,A155,'COLAR PLANO'!$D:$D)</f>
        <v>0</v>
      </c>
      <c r="G155" s="131">
        <f t="shared" si="48"/>
        <v>0</v>
      </c>
      <c r="H155" s="6">
        <v>0.74129999999999996</v>
      </c>
      <c r="I155" s="7">
        <f t="shared" si="53"/>
        <v>0</v>
      </c>
      <c r="J155" s="130">
        <f t="shared" si="54"/>
        <v>0</v>
      </c>
      <c r="K155" s="327">
        <v>0.7</v>
      </c>
      <c r="L155" s="321">
        <v>14</v>
      </c>
      <c r="M155" s="321">
        <v>9.8000000000000007</v>
      </c>
      <c r="N155" s="7">
        <f t="shared" si="49"/>
        <v>0</v>
      </c>
      <c r="O155" s="311"/>
      <c r="P155" s="311">
        <f t="shared" si="50"/>
        <v>0</v>
      </c>
      <c r="Q155" s="7"/>
      <c r="R155" s="7"/>
      <c r="S155" s="7"/>
      <c r="T155" s="7"/>
      <c r="U155" s="7" t="s">
        <v>2288</v>
      </c>
      <c r="V155" s="7" t="s">
        <v>2289</v>
      </c>
      <c r="W155" s="7" t="str">
        <f>Preencher!$B$3&amp;U155&amp;V155&amp;A155&amp;$W$6</f>
        <v>JARINU-FRG58777MQ.TUNEL DE CG (CONTINUO)</v>
      </c>
      <c r="X155" s="7" t="str">
        <f>Preencher!$B$3&amp;U155&amp;V155&amp;A155&amp;$X$6</f>
        <v>JARINU-FRG58777MQ.TUNEL DE CG (CONTINUO) (1)</v>
      </c>
      <c r="Y155" s="7" t="str">
        <f>Preencher!$B$3&amp;U155&amp;V155&amp;A155&amp;$Y$6</f>
        <v>JARINU-FRG58777MQ.TUNEL DE CG (CONTINUO) (2)</v>
      </c>
      <c r="Z155" s="7" t="str">
        <f>Preencher!$B$3&amp;U155&amp;V155&amp;A155&amp;$Z$6</f>
        <v>JARINU-FRG58777MQ.TUNEL DE CG (CONTINUO) (3)</v>
      </c>
      <c r="AA155" s="7" t="str">
        <f>Preencher!$B$3&amp;U155&amp;V155&amp;A155&amp;$AA$6</f>
        <v>JARINU-FRG58777MQ.TUNEL DE CG (ESTATICO)</v>
      </c>
      <c r="AB155" s="7" t="str">
        <f>Preencher!$B$3&amp;U155&amp;V155&amp;A155&amp;$AB$6</f>
        <v>JARINU-FRG58777MQ.TUNEL DE CG (ESTATICO) (1)</v>
      </c>
      <c r="AC155" s="7" t="str">
        <f>Preencher!$B$3&amp;U155&amp;V155&amp;A155&amp;$AC$6</f>
        <v>JARINU-FRG58777MQ.TUNEL DE CG (ESTATICO) (2)</v>
      </c>
      <c r="AD155" s="327">
        <f>IFERROR(SUMIF('BD Otimix'!A:A,'BD VOLUME'!X155,'BD Otimix'!O:O)+SUMIF('BD Otimix'!A:A,'BD VOLUME'!Y155,'BD Otimix'!O:O)+SUMIF('BD Otimix'!A:A,'BD VOLUME'!Z155,'BD Otimix'!O:O)+SUMIF('BD Otimix'!A:A,'BD VOLUME'!AA155,'BD Otimix'!O:O)+SUMIF('BD Otimix'!A:A,'BD VOLUME'!AB155,'BD Otimix'!O:O)+SUMIF('BD Otimix'!A:A,'BD VOLUME'!AC155,'BD Otimix'!O:O)+SUMIF('BD Otimix'!A:A,'BD VOLUME'!W155,'BD Otimix'!O:O),0)</f>
        <v>0</v>
      </c>
      <c r="AE155" s="327">
        <f t="shared" si="51"/>
        <v>0</v>
      </c>
      <c r="AF155" s="7" t="str">
        <f>Preencher!$B$3&amp;$U$8&amp;$V$8&amp;A155&amp;$AF$6</f>
        <v>JARINU-FRG58777MQ.GIROFREEZER</v>
      </c>
      <c r="AG155" s="7" t="str">
        <f>Preencher!$B$3&amp;$U$8&amp;$V$8&amp;A155&amp;$AG$6</f>
        <v>JARINU-FRG58777MQ.GIROFREEZER (1)</v>
      </c>
      <c r="AH155" s="7" t="str">
        <f>Preencher!$B$3&amp;$U$8&amp;$V$8&amp;A155&amp;$AH$6</f>
        <v>JARINU-FRG58777MQ.GIROFREEZER (2)</v>
      </c>
      <c r="AI155" s="7" t="str">
        <f>Preencher!$B$3&amp;$U$8&amp;$V$8&amp;A155&amp;$AI$6</f>
        <v>JARINU-FRG58777MQ.GIROFREEZER REV04</v>
      </c>
      <c r="AJ155" s="7" t="str">
        <f>Preencher!$B$3&amp;$U$8&amp;$V$8&amp;A155&amp;$AJ$6</f>
        <v>JARINU-FRG58777MQ.GIROFREEZER (3)</v>
      </c>
      <c r="AK155" s="327">
        <f>IFERROR(SUMIF('BD Otimix'!A:A,'BD VOLUME'!AG155,'BD Otimix'!O:O)+SUMIF('BD Otimix'!A:A,'BD VOLUME'!AH155,'BD Otimix'!O:O)+SUMIF('BD Otimix'!A:A,'BD VOLUME'!AI155,'BD Otimix'!O:O)+SUMIF('BD Otimix'!A:A,'BD VOLUME'!AJ155,'BD Otimix'!O:O)+SUMIF('BD Otimix'!A:A,'BD VOLUME'!AF155,'BD Otimix'!O:O),0)</f>
        <v>0</v>
      </c>
      <c r="AL155" s="7">
        <f t="shared" si="52"/>
        <v>0</v>
      </c>
    </row>
    <row r="156" spans="1:38">
      <c r="A156" s="321">
        <v>58785</v>
      </c>
      <c r="B156" s="324" t="s">
        <v>1209</v>
      </c>
      <c r="C156" s="5" t="s">
        <v>1210</v>
      </c>
      <c r="D156" s="5" t="s">
        <v>939</v>
      </c>
      <c r="E156" s="5" t="s">
        <v>1196</v>
      </c>
      <c r="F156" s="132">
        <f>SUMIF('COLAR PLANO'!$A:$A,A156,'COLAR PLANO'!$D:$D)</f>
        <v>0</v>
      </c>
      <c r="G156" s="131">
        <f t="shared" si="48"/>
        <v>0</v>
      </c>
      <c r="H156" s="6">
        <v>0.74129999999999996</v>
      </c>
      <c r="I156" s="7">
        <f t="shared" si="53"/>
        <v>0</v>
      </c>
      <c r="J156" s="130">
        <f t="shared" si="54"/>
        <v>0</v>
      </c>
      <c r="K156" s="327">
        <v>0.8</v>
      </c>
      <c r="L156" s="321">
        <v>10</v>
      </c>
      <c r="M156" s="321">
        <v>8</v>
      </c>
      <c r="N156" s="7">
        <f t="shared" si="49"/>
        <v>0</v>
      </c>
      <c r="O156" s="311"/>
      <c r="P156" s="311">
        <f t="shared" si="50"/>
        <v>0</v>
      </c>
      <c r="Q156" s="7"/>
      <c r="R156" s="7"/>
      <c r="S156" s="7"/>
      <c r="T156" s="7"/>
      <c r="U156" s="7" t="s">
        <v>2288</v>
      </c>
      <c r="V156" s="7" t="s">
        <v>2289</v>
      </c>
      <c r="W156" s="7" t="str">
        <f>Preencher!$B$3&amp;U156&amp;V156&amp;A156&amp;$W$6</f>
        <v>JARINU-FRG58785MQ.TUNEL DE CG (CONTINUO)</v>
      </c>
      <c r="X156" s="7" t="str">
        <f>Preencher!$B$3&amp;U156&amp;V156&amp;A156&amp;$X$6</f>
        <v>JARINU-FRG58785MQ.TUNEL DE CG (CONTINUO) (1)</v>
      </c>
      <c r="Y156" s="7" t="str">
        <f>Preencher!$B$3&amp;U156&amp;V156&amp;A156&amp;$Y$6</f>
        <v>JARINU-FRG58785MQ.TUNEL DE CG (CONTINUO) (2)</v>
      </c>
      <c r="Z156" s="7" t="str">
        <f>Preencher!$B$3&amp;U156&amp;V156&amp;A156&amp;$Z$6</f>
        <v>JARINU-FRG58785MQ.TUNEL DE CG (CONTINUO) (3)</v>
      </c>
      <c r="AA156" s="7" t="str">
        <f>Preencher!$B$3&amp;U156&amp;V156&amp;A156&amp;$AA$6</f>
        <v>JARINU-FRG58785MQ.TUNEL DE CG (ESTATICO)</v>
      </c>
      <c r="AB156" s="7" t="str">
        <f>Preencher!$B$3&amp;U156&amp;V156&amp;A156&amp;$AB$6</f>
        <v>JARINU-FRG58785MQ.TUNEL DE CG (ESTATICO) (1)</v>
      </c>
      <c r="AC156" s="7" t="str">
        <f>Preencher!$B$3&amp;U156&amp;V156&amp;A156&amp;$AC$6</f>
        <v>JARINU-FRG58785MQ.TUNEL DE CG (ESTATICO) (2)</v>
      </c>
      <c r="AD156" s="327">
        <f>IFERROR(SUMIF('BD Otimix'!A:A,'BD VOLUME'!X156,'BD Otimix'!O:O)+SUMIF('BD Otimix'!A:A,'BD VOLUME'!Y156,'BD Otimix'!O:O)+SUMIF('BD Otimix'!A:A,'BD VOLUME'!Z156,'BD Otimix'!O:O)+SUMIF('BD Otimix'!A:A,'BD VOLUME'!AA156,'BD Otimix'!O:O)+SUMIF('BD Otimix'!A:A,'BD VOLUME'!AB156,'BD Otimix'!O:O)+SUMIF('BD Otimix'!A:A,'BD VOLUME'!AC156,'BD Otimix'!O:O)+SUMIF('BD Otimix'!A:A,'BD VOLUME'!W156,'BD Otimix'!O:O),0)</f>
        <v>0</v>
      </c>
      <c r="AE156" s="327">
        <f t="shared" si="51"/>
        <v>0</v>
      </c>
      <c r="AF156" s="7" t="str">
        <f>Preencher!$B$3&amp;$U$8&amp;$V$8&amp;A156&amp;$AF$6</f>
        <v>JARINU-FRG58785MQ.GIROFREEZER</v>
      </c>
      <c r="AG156" s="7" t="str">
        <f>Preencher!$B$3&amp;$U$8&amp;$V$8&amp;A156&amp;$AG$6</f>
        <v>JARINU-FRG58785MQ.GIROFREEZER (1)</v>
      </c>
      <c r="AH156" s="7" t="str">
        <f>Preencher!$B$3&amp;$U$8&amp;$V$8&amp;A156&amp;$AH$6</f>
        <v>JARINU-FRG58785MQ.GIROFREEZER (2)</v>
      </c>
      <c r="AI156" s="7" t="str">
        <f>Preencher!$B$3&amp;$U$8&amp;$V$8&amp;A156&amp;$AI$6</f>
        <v>JARINU-FRG58785MQ.GIROFREEZER REV04</v>
      </c>
      <c r="AJ156" s="7" t="str">
        <f>Preencher!$B$3&amp;$U$8&amp;$V$8&amp;A156&amp;$AJ$6</f>
        <v>JARINU-FRG58785MQ.GIROFREEZER (3)</v>
      </c>
      <c r="AK156" s="327">
        <f>IFERROR(SUMIF('BD Otimix'!A:A,'BD VOLUME'!AG156,'BD Otimix'!O:O)+SUMIF('BD Otimix'!A:A,'BD VOLUME'!AH156,'BD Otimix'!O:O)+SUMIF('BD Otimix'!A:A,'BD VOLUME'!AI156,'BD Otimix'!O:O)+SUMIF('BD Otimix'!A:A,'BD VOLUME'!AJ156,'BD Otimix'!O:O)+SUMIF('BD Otimix'!A:A,'BD VOLUME'!AF156,'BD Otimix'!O:O),0)</f>
        <v>0</v>
      </c>
      <c r="AL156" s="7">
        <f t="shared" si="52"/>
        <v>0</v>
      </c>
    </row>
    <row r="157" spans="1:38">
      <c r="A157" s="321">
        <v>58793</v>
      </c>
      <c r="B157" s="324" t="s">
        <v>1211</v>
      </c>
      <c r="C157" s="5" t="s">
        <v>1212</v>
      </c>
      <c r="D157" s="5" t="s">
        <v>939</v>
      </c>
      <c r="E157" s="5" t="s">
        <v>1196</v>
      </c>
      <c r="F157" s="132">
        <f>SUMIF('COLAR PLANO'!$A:$A,A157,'COLAR PLANO'!$D:$D)</f>
        <v>0</v>
      </c>
      <c r="G157" s="131">
        <f t="shared" si="48"/>
        <v>0</v>
      </c>
      <c r="H157" s="6">
        <v>0.74129999999999996</v>
      </c>
      <c r="I157" s="7">
        <f t="shared" si="53"/>
        <v>0</v>
      </c>
      <c r="J157" s="130">
        <f t="shared" si="54"/>
        <v>0</v>
      </c>
      <c r="K157" s="327">
        <v>0.9</v>
      </c>
      <c r="L157" s="321">
        <v>10</v>
      </c>
      <c r="M157" s="321">
        <v>9</v>
      </c>
      <c r="N157" s="7">
        <f t="shared" si="49"/>
        <v>0</v>
      </c>
      <c r="O157" s="311"/>
      <c r="P157" s="311">
        <f t="shared" si="50"/>
        <v>0</v>
      </c>
      <c r="Q157" s="7"/>
      <c r="R157" s="7"/>
      <c r="S157" s="7"/>
      <c r="T157" s="7"/>
      <c r="U157" s="7" t="s">
        <v>2288</v>
      </c>
      <c r="V157" s="7" t="s">
        <v>2289</v>
      </c>
      <c r="W157" s="7" t="str">
        <f>Preencher!$B$3&amp;U157&amp;V157&amp;A157&amp;$W$6</f>
        <v>JARINU-FRG58793MQ.TUNEL DE CG (CONTINUO)</v>
      </c>
      <c r="X157" s="7" t="str">
        <f>Preencher!$B$3&amp;U157&amp;V157&amp;A157&amp;$X$6</f>
        <v>JARINU-FRG58793MQ.TUNEL DE CG (CONTINUO) (1)</v>
      </c>
      <c r="Y157" s="7" t="str">
        <f>Preencher!$B$3&amp;U157&amp;V157&amp;A157&amp;$Y$6</f>
        <v>JARINU-FRG58793MQ.TUNEL DE CG (CONTINUO) (2)</v>
      </c>
      <c r="Z157" s="7" t="str">
        <f>Preencher!$B$3&amp;U157&amp;V157&amp;A157&amp;$Z$6</f>
        <v>JARINU-FRG58793MQ.TUNEL DE CG (CONTINUO) (3)</v>
      </c>
      <c r="AA157" s="7" t="str">
        <f>Preencher!$B$3&amp;U157&amp;V157&amp;A157&amp;$AA$6</f>
        <v>JARINU-FRG58793MQ.TUNEL DE CG (ESTATICO)</v>
      </c>
      <c r="AB157" s="7" t="str">
        <f>Preencher!$B$3&amp;U157&amp;V157&amp;A157&amp;$AB$6</f>
        <v>JARINU-FRG58793MQ.TUNEL DE CG (ESTATICO) (1)</v>
      </c>
      <c r="AC157" s="7" t="str">
        <f>Preencher!$B$3&amp;U157&amp;V157&amp;A157&amp;$AC$6</f>
        <v>JARINU-FRG58793MQ.TUNEL DE CG (ESTATICO) (2)</v>
      </c>
      <c r="AD157" s="327">
        <f>IFERROR(SUMIF('BD Otimix'!A:A,'BD VOLUME'!X157,'BD Otimix'!O:O)+SUMIF('BD Otimix'!A:A,'BD VOLUME'!Y157,'BD Otimix'!O:O)+SUMIF('BD Otimix'!A:A,'BD VOLUME'!Z157,'BD Otimix'!O:O)+SUMIF('BD Otimix'!A:A,'BD VOLUME'!AA157,'BD Otimix'!O:O)+SUMIF('BD Otimix'!A:A,'BD VOLUME'!AB157,'BD Otimix'!O:O)+SUMIF('BD Otimix'!A:A,'BD VOLUME'!AC157,'BD Otimix'!O:O)+SUMIF('BD Otimix'!A:A,'BD VOLUME'!W157,'BD Otimix'!O:O),0)</f>
        <v>0</v>
      </c>
      <c r="AE157" s="327">
        <f t="shared" si="51"/>
        <v>0</v>
      </c>
      <c r="AF157" s="7" t="str">
        <f>Preencher!$B$3&amp;$U$8&amp;$V$8&amp;A157&amp;$AF$6</f>
        <v>JARINU-FRG58793MQ.GIROFREEZER</v>
      </c>
      <c r="AG157" s="7" t="str">
        <f>Preencher!$B$3&amp;$U$8&amp;$V$8&amp;A157&amp;$AG$6</f>
        <v>JARINU-FRG58793MQ.GIROFREEZER (1)</v>
      </c>
      <c r="AH157" s="7" t="str">
        <f>Preencher!$B$3&amp;$U$8&amp;$V$8&amp;A157&amp;$AH$6</f>
        <v>JARINU-FRG58793MQ.GIROFREEZER (2)</v>
      </c>
      <c r="AI157" s="7" t="str">
        <f>Preencher!$B$3&amp;$U$8&amp;$V$8&amp;A157&amp;$AI$6</f>
        <v>JARINU-FRG58793MQ.GIROFREEZER REV04</v>
      </c>
      <c r="AJ157" s="7" t="str">
        <f>Preencher!$B$3&amp;$U$8&amp;$V$8&amp;A157&amp;$AJ$6</f>
        <v>JARINU-FRG58793MQ.GIROFREEZER (3)</v>
      </c>
      <c r="AK157" s="327">
        <f>IFERROR(SUMIF('BD Otimix'!A:A,'BD VOLUME'!AG157,'BD Otimix'!O:O)+SUMIF('BD Otimix'!A:A,'BD VOLUME'!AH157,'BD Otimix'!O:O)+SUMIF('BD Otimix'!A:A,'BD VOLUME'!AI157,'BD Otimix'!O:O)+SUMIF('BD Otimix'!A:A,'BD VOLUME'!AJ157,'BD Otimix'!O:O)+SUMIF('BD Otimix'!A:A,'BD VOLUME'!AF157,'BD Otimix'!O:O),0)</f>
        <v>0</v>
      </c>
      <c r="AL157" s="7">
        <f t="shared" si="52"/>
        <v>0</v>
      </c>
    </row>
    <row r="158" spans="1:38">
      <c r="A158" s="321">
        <v>58807</v>
      </c>
      <c r="B158" s="324" t="s">
        <v>1213</v>
      </c>
      <c r="C158" s="5" t="s">
        <v>1187</v>
      </c>
      <c r="D158" s="5" t="s">
        <v>939</v>
      </c>
      <c r="E158" s="5" t="s">
        <v>1196</v>
      </c>
      <c r="F158" s="132">
        <f>SUMIF('COLAR PLANO'!$A:$A,A158,'COLAR PLANO'!$D:$D)</f>
        <v>0</v>
      </c>
      <c r="G158" s="131">
        <f t="shared" si="48"/>
        <v>0</v>
      </c>
      <c r="H158" s="6">
        <v>0.74129999999999996</v>
      </c>
      <c r="I158" s="7">
        <f t="shared" si="53"/>
        <v>0</v>
      </c>
      <c r="J158" s="130">
        <f t="shared" si="54"/>
        <v>0</v>
      </c>
      <c r="K158" s="327">
        <v>1</v>
      </c>
      <c r="L158" s="321">
        <v>10</v>
      </c>
      <c r="M158" s="321">
        <v>10</v>
      </c>
      <c r="N158" s="7">
        <f t="shared" si="49"/>
        <v>0</v>
      </c>
      <c r="O158" s="311"/>
      <c r="P158" s="311">
        <f t="shared" si="50"/>
        <v>0</v>
      </c>
      <c r="Q158" s="7"/>
      <c r="R158" s="7"/>
      <c r="S158" s="7"/>
      <c r="T158" s="7"/>
      <c r="U158" s="7" t="s">
        <v>2288</v>
      </c>
      <c r="V158" s="7" t="s">
        <v>2289</v>
      </c>
      <c r="W158" s="7" t="str">
        <f>Preencher!$B$3&amp;U158&amp;V158&amp;A158&amp;$W$6</f>
        <v>JARINU-FRG58807MQ.TUNEL DE CG (CONTINUO)</v>
      </c>
      <c r="X158" s="7" t="str">
        <f>Preencher!$B$3&amp;U158&amp;V158&amp;A158&amp;$X$6</f>
        <v>JARINU-FRG58807MQ.TUNEL DE CG (CONTINUO) (1)</v>
      </c>
      <c r="Y158" s="7" t="str">
        <f>Preencher!$B$3&amp;U158&amp;V158&amp;A158&amp;$Y$6</f>
        <v>JARINU-FRG58807MQ.TUNEL DE CG (CONTINUO) (2)</v>
      </c>
      <c r="Z158" s="7" t="str">
        <f>Preencher!$B$3&amp;U158&amp;V158&amp;A158&amp;$Z$6</f>
        <v>JARINU-FRG58807MQ.TUNEL DE CG (CONTINUO) (3)</v>
      </c>
      <c r="AA158" s="7" t="str">
        <f>Preencher!$B$3&amp;U158&amp;V158&amp;A158&amp;$AA$6</f>
        <v>JARINU-FRG58807MQ.TUNEL DE CG (ESTATICO)</v>
      </c>
      <c r="AB158" s="7" t="str">
        <f>Preencher!$B$3&amp;U158&amp;V158&amp;A158&amp;$AB$6</f>
        <v>JARINU-FRG58807MQ.TUNEL DE CG (ESTATICO) (1)</v>
      </c>
      <c r="AC158" s="7" t="str">
        <f>Preencher!$B$3&amp;U158&amp;V158&amp;A158&amp;$AC$6</f>
        <v>JARINU-FRG58807MQ.TUNEL DE CG (ESTATICO) (2)</v>
      </c>
      <c r="AD158" s="327">
        <f>IFERROR(SUMIF('BD Otimix'!A:A,'BD VOLUME'!X158,'BD Otimix'!O:O)+SUMIF('BD Otimix'!A:A,'BD VOLUME'!Y158,'BD Otimix'!O:O)+SUMIF('BD Otimix'!A:A,'BD VOLUME'!Z158,'BD Otimix'!O:O)+SUMIF('BD Otimix'!A:A,'BD VOLUME'!AA158,'BD Otimix'!O:O)+SUMIF('BD Otimix'!A:A,'BD VOLUME'!AB158,'BD Otimix'!O:O)+SUMIF('BD Otimix'!A:A,'BD VOLUME'!AC158,'BD Otimix'!O:O)+SUMIF('BD Otimix'!A:A,'BD VOLUME'!W158,'BD Otimix'!O:O),0)</f>
        <v>0</v>
      </c>
      <c r="AE158" s="327">
        <f t="shared" si="51"/>
        <v>0</v>
      </c>
      <c r="AF158" s="7" t="str">
        <f>Preencher!$B$3&amp;$U$8&amp;$V$8&amp;A158&amp;$AF$6</f>
        <v>JARINU-FRG58807MQ.GIROFREEZER</v>
      </c>
      <c r="AG158" s="7" t="str">
        <f>Preencher!$B$3&amp;$U$8&amp;$V$8&amp;A158&amp;$AG$6</f>
        <v>JARINU-FRG58807MQ.GIROFREEZER (1)</v>
      </c>
      <c r="AH158" s="7" t="str">
        <f>Preencher!$B$3&amp;$U$8&amp;$V$8&amp;A158&amp;$AH$6</f>
        <v>JARINU-FRG58807MQ.GIROFREEZER (2)</v>
      </c>
      <c r="AI158" s="7" t="str">
        <f>Preencher!$B$3&amp;$U$8&amp;$V$8&amp;A158&amp;$AI$6</f>
        <v>JARINU-FRG58807MQ.GIROFREEZER REV04</v>
      </c>
      <c r="AJ158" s="7" t="str">
        <f>Preencher!$B$3&amp;$U$8&amp;$V$8&amp;A158&amp;$AJ$6</f>
        <v>JARINU-FRG58807MQ.GIROFREEZER (3)</v>
      </c>
      <c r="AK158" s="327">
        <f>IFERROR(SUMIF('BD Otimix'!A:A,'BD VOLUME'!AG158,'BD Otimix'!O:O)+SUMIF('BD Otimix'!A:A,'BD VOLUME'!AH158,'BD Otimix'!O:O)+SUMIF('BD Otimix'!A:A,'BD VOLUME'!AI158,'BD Otimix'!O:O)+SUMIF('BD Otimix'!A:A,'BD VOLUME'!AJ158,'BD Otimix'!O:O)+SUMIF('BD Otimix'!A:A,'BD VOLUME'!AF158,'BD Otimix'!O:O),0)</f>
        <v>0</v>
      </c>
      <c r="AL158" s="7">
        <f t="shared" si="52"/>
        <v>0</v>
      </c>
    </row>
    <row r="159" spans="1:38">
      <c r="A159" s="321">
        <v>58815</v>
      </c>
      <c r="B159" s="324" t="s">
        <v>1214</v>
      </c>
      <c r="C159" s="5" t="s">
        <v>1215</v>
      </c>
      <c r="D159" s="5" t="s">
        <v>939</v>
      </c>
      <c r="E159" s="5" t="s">
        <v>1196</v>
      </c>
      <c r="F159" s="132">
        <f>SUMIF('COLAR PLANO'!$A:$A,A159,'COLAR PLANO'!$D:$D)</f>
        <v>0</v>
      </c>
      <c r="G159" s="131">
        <f t="shared" si="48"/>
        <v>0</v>
      </c>
      <c r="H159" s="6">
        <v>0.74129999999999996</v>
      </c>
      <c r="I159" s="7">
        <f t="shared" si="53"/>
        <v>0</v>
      </c>
      <c r="J159" s="130">
        <f t="shared" si="54"/>
        <v>0</v>
      </c>
      <c r="K159" s="327">
        <v>1.1000000000000001</v>
      </c>
      <c r="L159" s="321">
        <v>10</v>
      </c>
      <c r="M159" s="321">
        <v>11</v>
      </c>
      <c r="N159" s="7">
        <f t="shared" si="49"/>
        <v>0</v>
      </c>
      <c r="O159" s="311"/>
      <c r="P159" s="311">
        <f t="shared" si="50"/>
        <v>0</v>
      </c>
      <c r="Q159" s="7"/>
      <c r="R159" s="7"/>
      <c r="S159" s="7"/>
      <c r="T159" s="7"/>
      <c r="U159" s="7" t="s">
        <v>2288</v>
      </c>
      <c r="V159" s="7" t="s">
        <v>2289</v>
      </c>
      <c r="W159" s="7" t="str">
        <f>Preencher!$B$3&amp;U159&amp;V159&amp;A159&amp;$W$6</f>
        <v>JARINU-FRG58815MQ.TUNEL DE CG (CONTINUO)</v>
      </c>
      <c r="X159" s="7" t="str">
        <f>Preencher!$B$3&amp;U159&amp;V159&amp;A159&amp;$X$6</f>
        <v>JARINU-FRG58815MQ.TUNEL DE CG (CONTINUO) (1)</v>
      </c>
      <c r="Y159" s="7" t="str">
        <f>Preencher!$B$3&amp;U159&amp;V159&amp;A159&amp;$Y$6</f>
        <v>JARINU-FRG58815MQ.TUNEL DE CG (CONTINUO) (2)</v>
      </c>
      <c r="Z159" s="7" t="str">
        <f>Preencher!$B$3&amp;U159&amp;V159&amp;A159&amp;$Z$6</f>
        <v>JARINU-FRG58815MQ.TUNEL DE CG (CONTINUO) (3)</v>
      </c>
      <c r="AA159" s="7" t="str">
        <f>Preencher!$B$3&amp;U159&amp;V159&amp;A159&amp;$AA$6</f>
        <v>JARINU-FRG58815MQ.TUNEL DE CG (ESTATICO)</v>
      </c>
      <c r="AB159" s="7" t="str">
        <f>Preencher!$B$3&amp;U159&amp;V159&amp;A159&amp;$AB$6</f>
        <v>JARINU-FRG58815MQ.TUNEL DE CG (ESTATICO) (1)</v>
      </c>
      <c r="AC159" s="7" t="str">
        <f>Preencher!$B$3&amp;U159&amp;V159&amp;A159&amp;$AC$6</f>
        <v>JARINU-FRG58815MQ.TUNEL DE CG (ESTATICO) (2)</v>
      </c>
      <c r="AD159" s="327">
        <f>IFERROR(SUMIF('BD Otimix'!A:A,'BD VOLUME'!X159,'BD Otimix'!O:O)+SUMIF('BD Otimix'!A:A,'BD VOLUME'!Y159,'BD Otimix'!O:O)+SUMIF('BD Otimix'!A:A,'BD VOLUME'!Z159,'BD Otimix'!O:O)+SUMIF('BD Otimix'!A:A,'BD VOLUME'!AA159,'BD Otimix'!O:O)+SUMIF('BD Otimix'!A:A,'BD VOLUME'!AB159,'BD Otimix'!O:O)+SUMIF('BD Otimix'!A:A,'BD VOLUME'!AC159,'BD Otimix'!O:O)+SUMIF('BD Otimix'!A:A,'BD VOLUME'!W159,'BD Otimix'!O:O),0)</f>
        <v>0</v>
      </c>
      <c r="AE159" s="327">
        <f t="shared" si="51"/>
        <v>0</v>
      </c>
      <c r="AF159" s="7" t="str">
        <f>Preencher!$B$3&amp;$U$8&amp;$V$8&amp;A159&amp;$AF$6</f>
        <v>JARINU-FRG58815MQ.GIROFREEZER</v>
      </c>
      <c r="AG159" s="7" t="str">
        <f>Preencher!$B$3&amp;$U$8&amp;$V$8&amp;A159&amp;$AG$6</f>
        <v>JARINU-FRG58815MQ.GIROFREEZER (1)</v>
      </c>
      <c r="AH159" s="7" t="str">
        <f>Preencher!$B$3&amp;$U$8&amp;$V$8&amp;A159&amp;$AH$6</f>
        <v>JARINU-FRG58815MQ.GIROFREEZER (2)</v>
      </c>
      <c r="AI159" s="7" t="str">
        <f>Preencher!$B$3&amp;$U$8&amp;$V$8&amp;A159&amp;$AI$6</f>
        <v>JARINU-FRG58815MQ.GIROFREEZER REV04</v>
      </c>
      <c r="AJ159" s="7" t="str">
        <f>Preencher!$B$3&amp;$U$8&amp;$V$8&amp;A159&amp;$AJ$6</f>
        <v>JARINU-FRG58815MQ.GIROFREEZER (3)</v>
      </c>
      <c r="AK159" s="327">
        <f>IFERROR(SUMIF('BD Otimix'!A:A,'BD VOLUME'!AG159,'BD Otimix'!O:O)+SUMIF('BD Otimix'!A:A,'BD VOLUME'!AH159,'BD Otimix'!O:O)+SUMIF('BD Otimix'!A:A,'BD VOLUME'!AI159,'BD Otimix'!O:O)+SUMIF('BD Otimix'!A:A,'BD VOLUME'!AJ159,'BD Otimix'!O:O)+SUMIF('BD Otimix'!A:A,'BD VOLUME'!AF159,'BD Otimix'!O:O),0)</f>
        <v>0</v>
      </c>
      <c r="AL159" s="7">
        <f t="shared" si="52"/>
        <v>0</v>
      </c>
    </row>
    <row r="160" spans="1:38">
      <c r="A160" s="321">
        <v>58823</v>
      </c>
      <c r="B160" s="324" t="s">
        <v>1216</v>
      </c>
      <c r="C160" s="5" t="s">
        <v>1217</v>
      </c>
      <c r="D160" s="5" t="s">
        <v>939</v>
      </c>
      <c r="E160" s="5" t="s">
        <v>1196</v>
      </c>
      <c r="F160" s="132">
        <f>SUMIF('COLAR PLANO'!$A:$A,A160,'COLAR PLANO'!$D:$D)</f>
        <v>0</v>
      </c>
      <c r="G160" s="131">
        <f t="shared" si="48"/>
        <v>0</v>
      </c>
      <c r="H160" s="6">
        <v>0.74129999999999996</v>
      </c>
      <c r="I160" s="7">
        <f t="shared" si="53"/>
        <v>0</v>
      </c>
      <c r="J160" s="130">
        <f t="shared" si="54"/>
        <v>0</v>
      </c>
      <c r="K160" s="327">
        <v>1.2</v>
      </c>
      <c r="L160" s="321">
        <v>10</v>
      </c>
      <c r="M160" s="321">
        <v>12</v>
      </c>
      <c r="N160" s="7">
        <f t="shared" si="49"/>
        <v>0</v>
      </c>
      <c r="O160" s="311"/>
      <c r="P160" s="311">
        <f t="shared" si="50"/>
        <v>0</v>
      </c>
      <c r="Q160" s="7"/>
      <c r="R160" s="7"/>
      <c r="S160" s="7"/>
      <c r="T160" s="7"/>
      <c r="U160" s="7" t="s">
        <v>2288</v>
      </c>
      <c r="V160" s="7" t="s">
        <v>2289</v>
      </c>
      <c r="W160" s="7" t="str">
        <f>Preencher!$B$3&amp;U160&amp;V160&amp;A160&amp;$W$6</f>
        <v>JARINU-FRG58823MQ.TUNEL DE CG (CONTINUO)</v>
      </c>
      <c r="X160" s="7" t="str">
        <f>Preencher!$B$3&amp;U160&amp;V160&amp;A160&amp;$X$6</f>
        <v>JARINU-FRG58823MQ.TUNEL DE CG (CONTINUO) (1)</v>
      </c>
      <c r="Y160" s="7" t="str">
        <f>Preencher!$B$3&amp;U160&amp;V160&amp;A160&amp;$Y$6</f>
        <v>JARINU-FRG58823MQ.TUNEL DE CG (CONTINUO) (2)</v>
      </c>
      <c r="Z160" s="7" t="str">
        <f>Preencher!$B$3&amp;U160&amp;V160&amp;A160&amp;$Z$6</f>
        <v>JARINU-FRG58823MQ.TUNEL DE CG (CONTINUO) (3)</v>
      </c>
      <c r="AA160" s="7" t="str">
        <f>Preencher!$B$3&amp;U160&amp;V160&amp;A160&amp;$AA$6</f>
        <v>JARINU-FRG58823MQ.TUNEL DE CG (ESTATICO)</v>
      </c>
      <c r="AB160" s="7" t="str">
        <f>Preencher!$B$3&amp;U160&amp;V160&amp;A160&amp;$AB$6</f>
        <v>JARINU-FRG58823MQ.TUNEL DE CG (ESTATICO) (1)</v>
      </c>
      <c r="AC160" s="7" t="str">
        <f>Preencher!$B$3&amp;U160&amp;V160&amp;A160&amp;$AC$6</f>
        <v>JARINU-FRG58823MQ.TUNEL DE CG (ESTATICO) (2)</v>
      </c>
      <c r="AD160" s="327">
        <f>IFERROR(SUMIF('BD Otimix'!A:A,'BD VOLUME'!X160,'BD Otimix'!O:O)+SUMIF('BD Otimix'!A:A,'BD VOLUME'!Y160,'BD Otimix'!O:O)+SUMIF('BD Otimix'!A:A,'BD VOLUME'!Z160,'BD Otimix'!O:O)+SUMIF('BD Otimix'!A:A,'BD VOLUME'!AA160,'BD Otimix'!O:O)+SUMIF('BD Otimix'!A:A,'BD VOLUME'!AB160,'BD Otimix'!O:O)+SUMIF('BD Otimix'!A:A,'BD VOLUME'!AC160,'BD Otimix'!O:O)+SUMIF('BD Otimix'!A:A,'BD VOLUME'!W160,'BD Otimix'!O:O),0)</f>
        <v>0</v>
      </c>
      <c r="AE160" s="327">
        <f t="shared" si="51"/>
        <v>0</v>
      </c>
      <c r="AF160" s="7" t="str">
        <f>Preencher!$B$3&amp;$U$8&amp;$V$8&amp;A160&amp;$AF$6</f>
        <v>JARINU-FRG58823MQ.GIROFREEZER</v>
      </c>
      <c r="AG160" s="7" t="str">
        <f>Preencher!$B$3&amp;$U$8&amp;$V$8&amp;A160&amp;$AG$6</f>
        <v>JARINU-FRG58823MQ.GIROFREEZER (1)</v>
      </c>
      <c r="AH160" s="7" t="str">
        <f>Preencher!$B$3&amp;$U$8&amp;$V$8&amp;A160&amp;$AH$6</f>
        <v>JARINU-FRG58823MQ.GIROFREEZER (2)</v>
      </c>
      <c r="AI160" s="7" t="str">
        <f>Preencher!$B$3&amp;$U$8&amp;$V$8&amp;A160&amp;$AI$6</f>
        <v>JARINU-FRG58823MQ.GIROFREEZER REV04</v>
      </c>
      <c r="AJ160" s="7" t="str">
        <f>Preencher!$B$3&amp;$U$8&amp;$V$8&amp;A160&amp;$AJ$6</f>
        <v>JARINU-FRG58823MQ.GIROFREEZER (3)</v>
      </c>
      <c r="AK160" s="327">
        <f>IFERROR(SUMIF('BD Otimix'!A:A,'BD VOLUME'!AG160,'BD Otimix'!O:O)+SUMIF('BD Otimix'!A:A,'BD VOLUME'!AH160,'BD Otimix'!O:O)+SUMIF('BD Otimix'!A:A,'BD VOLUME'!AI160,'BD Otimix'!O:O)+SUMIF('BD Otimix'!A:A,'BD VOLUME'!AJ160,'BD Otimix'!O:O)+SUMIF('BD Otimix'!A:A,'BD VOLUME'!AF160,'BD Otimix'!O:O),0)</f>
        <v>0</v>
      </c>
      <c r="AL160" s="7">
        <f t="shared" si="52"/>
        <v>0</v>
      </c>
    </row>
    <row r="161" spans="1:38">
      <c r="A161" s="321">
        <v>58831</v>
      </c>
      <c r="B161" s="324" t="s">
        <v>1218</v>
      </c>
      <c r="C161" s="5" t="s">
        <v>1219</v>
      </c>
      <c r="D161" s="5" t="s">
        <v>939</v>
      </c>
      <c r="E161" s="5" t="s">
        <v>1196</v>
      </c>
      <c r="F161" s="132">
        <f>SUMIF('COLAR PLANO'!$A:$A,A161,'COLAR PLANO'!$D:$D)</f>
        <v>0</v>
      </c>
      <c r="G161" s="131">
        <f t="shared" si="48"/>
        <v>0</v>
      </c>
      <c r="H161" s="6">
        <v>0.74129999999999996</v>
      </c>
      <c r="I161" s="7">
        <f t="shared" si="53"/>
        <v>0</v>
      </c>
      <c r="J161" s="130">
        <f t="shared" si="54"/>
        <v>0</v>
      </c>
      <c r="K161" s="327">
        <v>1.3</v>
      </c>
      <c r="L161" s="321">
        <v>10</v>
      </c>
      <c r="M161" s="321">
        <v>13</v>
      </c>
      <c r="N161" s="7">
        <f t="shared" si="49"/>
        <v>0</v>
      </c>
      <c r="O161" s="311"/>
      <c r="P161" s="311">
        <f t="shared" si="50"/>
        <v>0</v>
      </c>
      <c r="Q161" s="7"/>
      <c r="R161" s="7"/>
      <c r="S161" s="7"/>
      <c r="T161" s="7"/>
      <c r="U161" s="7" t="s">
        <v>2288</v>
      </c>
      <c r="V161" s="7" t="s">
        <v>2289</v>
      </c>
      <c r="W161" s="7" t="str">
        <f>Preencher!$B$3&amp;U161&amp;V161&amp;A161&amp;$W$6</f>
        <v>JARINU-FRG58831MQ.TUNEL DE CG (CONTINUO)</v>
      </c>
      <c r="X161" s="7" t="str">
        <f>Preencher!$B$3&amp;U161&amp;V161&amp;A161&amp;$X$6</f>
        <v>JARINU-FRG58831MQ.TUNEL DE CG (CONTINUO) (1)</v>
      </c>
      <c r="Y161" s="7" t="str">
        <f>Preencher!$B$3&amp;U161&amp;V161&amp;A161&amp;$Y$6</f>
        <v>JARINU-FRG58831MQ.TUNEL DE CG (CONTINUO) (2)</v>
      </c>
      <c r="Z161" s="7" t="str">
        <f>Preencher!$B$3&amp;U161&amp;V161&amp;A161&amp;$Z$6</f>
        <v>JARINU-FRG58831MQ.TUNEL DE CG (CONTINUO) (3)</v>
      </c>
      <c r="AA161" s="7" t="str">
        <f>Preencher!$B$3&amp;U161&amp;V161&amp;A161&amp;$AA$6</f>
        <v>JARINU-FRG58831MQ.TUNEL DE CG (ESTATICO)</v>
      </c>
      <c r="AB161" s="7" t="str">
        <f>Preencher!$B$3&amp;U161&amp;V161&amp;A161&amp;$AB$6</f>
        <v>JARINU-FRG58831MQ.TUNEL DE CG (ESTATICO) (1)</v>
      </c>
      <c r="AC161" s="7" t="str">
        <f>Preencher!$B$3&amp;U161&amp;V161&amp;A161&amp;$AC$6</f>
        <v>JARINU-FRG58831MQ.TUNEL DE CG (ESTATICO) (2)</v>
      </c>
      <c r="AD161" s="327">
        <f>IFERROR(SUMIF('BD Otimix'!A:A,'BD VOLUME'!X161,'BD Otimix'!O:O)+SUMIF('BD Otimix'!A:A,'BD VOLUME'!Y161,'BD Otimix'!O:O)+SUMIF('BD Otimix'!A:A,'BD VOLUME'!Z161,'BD Otimix'!O:O)+SUMIF('BD Otimix'!A:A,'BD VOLUME'!AA161,'BD Otimix'!O:O)+SUMIF('BD Otimix'!A:A,'BD VOLUME'!AB161,'BD Otimix'!O:O)+SUMIF('BD Otimix'!A:A,'BD VOLUME'!AC161,'BD Otimix'!O:O)+SUMIF('BD Otimix'!A:A,'BD VOLUME'!W161,'BD Otimix'!O:O),0)</f>
        <v>0</v>
      </c>
      <c r="AE161" s="327">
        <f t="shared" si="51"/>
        <v>0</v>
      </c>
      <c r="AF161" s="7" t="str">
        <f>Preencher!$B$3&amp;$U$8&amp;$V$8&amp;A161&amp;$AF$6</f>
        <v>JARINU-FRG58831MQ.GIROFREEZER</v>
      </c>
      <c r="AG161" s="7" t="str">
        <f>Preencher!$B$3&amp;$U$8&amp;$V$8&amp;A161&amp;$AG$6</f>
        <v>JARINU-FRG58831MQ.GIROFREEZER (1)</v>
      </c>
      <c r="AH161" s="7" t="str">
        <f>Preencher!$B$3&amp;$U$8&amp;$V$8&amp;A161&amp;$AH$6</f>
        <v>JARINU-FRG58831MQ.GIROFREEZER (2)</v>
      </c>
      <c r="AI161" s="7" t="str">
        <f>Preencher!$B$3&amp;$U$8&amp;$V$8&amp;A161&amp;$AI$6</f>
        <v>JARINU-FRG58831MQ.GIROFREEZER REV04</v>
      </c>
      <c r="AJ161" s="7" t="str">
        <f>Preencher!$B$3&amp;$U$8&amp;$V$8&amp;A161&amp;$AJ$6</f>
        <v>JARINU-FRG58831MQ.GIROFREEZER (3)</v>
      </c>
      <c r="AK161" s="327">
        <f>IFERROR(SUMIF('BD Otimix'!A:A,'BD VOLUME'!AG161,'BD Otimix'!O:O)+SUMIF('BD Otimix'!A:A,'BD VOLUME'!AH161,'BD Otimix'!O:O)+SUMIF('BD Otimix'!A:A,'BD VOLUME'!AI161,'BD Otimix'!O:O)+SUMIF('BD Otimix'!A:A,'BD VOLUME'!AJ161,'BD Otimix'!O:O)+SUMIF('BD Otimix'!A:A,'BD VOLUME'!AF161,'BD Otimix'!O:O),0)</f>
        <v>0</v>
      </c>
      <c r="AL161" s="7">
        <f t="shared" si="52"/>
        <v>0</v>
      </c>
    </row>
    <row r="162" spans="1:38">
      <c r="A162" s="321">
        <v>58840</v>
      </c>
      <c r="B162" s="324" t="s">
        <v>1220</v>
      </c>
      <c r="C162" s="5" t="s">
        <v>1221</v>
      </c>
      <c r="D162" s="5" t="s">
        <v>939</v>
      </c>
      <c r="E162" s="5" t="s">
        <v>1196</v>
      </c>
      <c r="F162" s="132">
        <f>SUMIF('COLAR PLANO'!$A:$A,A162,'COLAR PLANO'!$D:$D)</f>
        <v>0</v>
      </c>
      <c r="G162" s="131">
        <f t="shared" si="48"/>
        <v>0</v>
      </c>
      <c r="H162" s="6">
        <v>0.74129999999999996</v>
      </c>
      <c r="I162" s="7">
        <f t="shared" si="53"/>
        <v>0</v>
      </c>
      <c r="J162" s="130">
        <f t="shared" si="54"/>
        <v>0</v>
      </c>
      <c r="K162" s="327">
        <v>1.4</v>
      </c>
      <c r="L162" s="321">
        <v>10</v>
      </c>
      <c r="M162" s="321">
        <v>14</v>
      </c>
      <c r="N162" s="7">
        <f t="shared" si="49"/>
        <v>0</v>
      </c>
      <c r="O162" s="311"/>
      <c r="P162" s="311">
        <f t="shared" si="50"/>
        <v>0</v>
      </c>
      <c r="Q162" s="7"/>
      <c r="R162" s="7"/>
      <c r="S162" s="7"/>
      <c r="T162" s="7"/>
      <c r="U162" s="7" t="s">
        <v>2288</v>
      </c>
      <c r="V162" s="7" t="s">
        <v>2289</v>
      </c>
      <c r="W162" s="7" t="str">
        <f>Preencher!$B$3&amp;U162&amp;V162&amp;A162&amp;$W$6</f>
        <v>JARINU-FRG58840MQ.TUNEL DE CG (CONTINUO)</v>
      </c>
      <c r="X162" s="7" t="str">
        <f>Preencher!$B$3&amp;U162&amp;V162&amp;A162&amp;$X$6</f>
        <v>JARINU-FRG58840MQ.TUNEL DE CG (CONTINUO) (1)</v>
      </c>
      <c r="Y162" s="7" t="str">
        <f>Preencher!$B$3&amp;U162&amp;V162&amp;A162&amp;$Y$6</f>
        <v>JARINU-FRG58840MQ.TUNEL DE CG (CONTINUO) (2)</v>
      </c>
      <c r="Z162" s="7" t="str">
        <f>Preencher!$B$3&amp;U162&amp;V162&amp;A162&amp;$Z$6</f>
        <v>JARINU-FRG58840MQ.TUNEL DE CG (CONTINUO) (3)</v>
      </c>
      <c r="AA162" s="7" t="str">
        <f>Preencher!$B$3&amp;U162&amp;V162&amp;A162&amp;$AA$6</f>
        <v>JARINU-FRG58840MQ.TUNEL DE CG (ESTATICO)</v>
      </c>
      <c r="AB162" s="7" t="str">
        <f>Preencher!$B$3&amp;U162&amp;V162&amp;A162&amp;$AB$6</f>
        <v>JARINU-FRG58840MQ.TUNEL DE CG (ESTATICO) (1)</v>
      </c>
      <c r="AC162" s="7" t="str">
        <f>Preencher!$B$3&amp;U162&amp;V162&amp;A162&amp;$AC$6</f>
        <v>JARINU-FRG58840MQ.TUNEL DE CG (ESTATICO) (2)</v>
      </c>
      <c r="AD162" s="327">
        <f>IFERROR(SUMIF('BD Otimix'!A:A,'BD VOLUME'!X162,'BD Otimix'!O:O)+SUMIF('BD Otimix'!A:A,'BD VOLUME'!Y162,'BD Otimix'!O:O)+SUMIF('BD Otimix'!A:A,'BD VOLUME'!Z162,'BD Otimix'!O:O)+SUMIF('BD Otimix'!A:A,'BD VOLUME'!AA162,'BD Otimix'!O:O)+SUMIF('BD Otimix'!A:A,'BD VOLUME'!AB162,'BD Otimix'!O:O)+SUMIF('BD Otimix'!A:A,'BD VOLUME'!AC162,'BD Otimix'!O:O)+SUMIF('BD Otimix'!A:A,'BD VOLUME'!W162,'BD Otimix'!O:O),0)</f>
        <v>0</v>
      </c>
      <c r="AE162" s="327">
        <f t="shared" si="51"/>
        <v>0</v>
      </c>
      <c r="AF162" s="7" t="str">
        <f>Preencher!$B$3&amp;$U$8&amp;$V$8&amp;A162&amp;$AF$6</f>
        <v>JARINU-FRG58840MQ.GIROFREEZER</v>
      </c>
      <c r="AG162" s="7" t="str">
        <f>Preencher!$B$3&amp;$U$8&amp;$V$8&amp;A162&amp;$AG$6</f>
        <v>JARINU-FRG58840MQ.GIROFREEZER (1)</v>
      </c>
      <c r="AH162" s="7" t="str">
        <f>Preencher!$B$3&amp;$U$8&amp;$V$8&amp;A162&amp;$AH$6</f>
        <v>JARINU-FRG58840MQ.GIROFREEZER (2)</v>
      </c>
      <c r="AI162" s="7" t="str">
        <f>Preencher!$B$3&amp;$U$8&amp;$V$8&amp;A162&amp;$AI$6</f>
        <v>JARINU-FRG58840MQ.GIROFREEZER REV04</v>
      </c>
      <c r="AJ162" s="7" t="str">
        <f>Preencher!$B$3&amp;$U$8&amp;$V$8&amp;A162&amp;$AJ$6</f>
        <v>JARINU-FRG58840MQ.GIROFREEZER (3)</v>
      </c>
      <c r="AK162" s="327">
        <f>IFERROR(SUMIF('BD Otimix'!A:A,'BD VOLUME'!AG162,'BD Otimix'!O:O)+SUMIF('BD Otimix'!A:A,'BD VOLUME'!AH162,'BD Otimix'!O:O)+SUMIF('BD Otimix'!A:A,'BD VOLUME'!AI162,'BD Otimix'!O:O)+SUMIF('BD Otimix'!A:A,'BD VOLUME'!AJ162,'BD Otimix'!O:O)+SUMIF('BD Otimix'!A:A,'BD VOLUME'!AF162,'BD Otimix'!O:O),0)</f>
        <v>0</v>
      </c>
      <c r="AL162" s="7">
        <f t="shared" si="52"/>
        <v>0</v>
      </c>
    </row>
    <row r="163" spans="1:38">
      <c r="A163" s="249">
        <v>380709</v>
      </c>
      <c r="B163" s="324" t="s">
        <v>1222</v>
      </c>
      <c r="C163" s="5" t="s">
        <v>1187</v>
      </c>
      <c r="D163" s="5" t="s">
        <v>939</v>
      </c>
      <c r="E163" s="5" t="s">
        <v>1196</v>
      </c>
      <c r="F163" s="132">
        <f>SUMIF('COLAR PLANO'!$A:$A,A163,'COLAR PLANO'!$D:$D)</f>
        <v>0</v>
      </c>
      <c r="G163" s="131">
        <f t="shared" si="48"/>
        <v>0</v>
      </c>
      <c r="H163" s="6">
        <v>0.74129999999999996</v>
      </c>
      <c r="I163" s="7">
        <f t="shared" si="53"/>
        <v>0</v>
      </c>
      <c r="J163" s="130">
        <f t="shared" si="54"/>
        <v>0</v>
      </c>
      <c r="K163" s="327">
        <v>1</v>
      </c>
      <c r="L163" s="249">
        <v>10</v>
      </c>
      <c r="M163" s="249">
        <v>10</v>
      </c>
      <c r="N163" s="7">
        <f t="shared" si="49"/>
        <v>0</v>
      </c>
      <c r="O163" s="311"/>
      <c r="P163" s="311">
        <f t="shared" si="50"/>
        <v>0</v>
      </c>
      <c r="Q163" s="7"/>
      <c r="R163" s="7"/>
      <c r="S163" s="7"/>
      <c r="T163" s="7"/>
      <c r="U163" s="7" t="s">
        <v>2288</v>
      </c>
      <c r="V163" s="7" t="s">
        <v>2289</v>
      </c>
      <c r="W163" s="7" t="str">
        <f>Preencher!$B$3&amp;U163&amp;V163&amp;A163&amp;$W$6</f>
        <v>JARINU-FRG380709MQ.TUNEL DE CG (CONTINUO)</v>
      </c>
      <c r="X163" s="7" t="str">
        <f>Preencher!$B$3&amp;U163&amp;V163&amp;A163&amp;$X$6</f>
        <v>JARINU-FRG380709MQ.TUNEL DE CG (CONTINUO) (1)</v>
      </c>
      <c r="Y163" s="7" t="str">
        <f>Preencher!$B$3&amp;U163&amp;V163&amp;A163&amp;$Y$6</f>
        <v>JARINU-FRG380709MQ.TUNEL DE CG (CONTINUO) (2)</v>
      </c>
      <c r="Z163" s="7" t="str">
        <f>Preencher!$B$3&amp;U163&amp;V163&amp;A163&amp;$Z$6</f>
        <v>JARINU-FRG380709MQ.TUNEL DE CG (CONTINUO) (3)</v>
      </c>
      <c r="AA163" s="7" t="str">
        <f>Preencher!$B$3&amp;U163&amp;V163&amp;A163&amp;$AA$6</f>
        <v>JARINU-FRG380709MQ.TUNEL DE CG (ESTATICO)</v>
      </c>
      <c r="AB163" s="7" t="str">
        <f>Preencher!$B$3&amp;U163&amp;V163&amp;A163&amp;$AB$6</f>
        <v>JARINU-FRG380709MQ.TUNEL DE CG (ESTATICO) (1)</v>
      </c>
      <c r="AC163" s="7" t="str">
        <f>Preencher!$B$3&amp;U163&amp;V163&amp;A163&amp;$AC$6</f>
        <v>JARINU-FRG380709MQ.TUNEL DE CG (ESTATICO) (2)</v>
      </c>
      <c r="AD163" s="327">
        <f>IFERROR(SUMIF('BD Otimix'!A:A,'BD VOLUME'!X163,'BD Otimix'!O:O)+SUMIF('BD Otimix'!A:A,'BD VOLUME'!Y163,'BD Otimix'!O:O)+SUMIF('BD Otimix'!A:A,'BD VOLUME'!Z163,'BD Otimix'!O:O)+SUMIF('BD Otimix'!A:A,'BD VOLUME'!AA163,'BD Otimix'!O:O)+SUMIF('BD Otimix'!A:A,'BD VOLUME'!AB163,'BD Otimix'!O:O)+SUMIF('BD Otimix'!A:A,'BD VOLUME'!AC163,'BD Otimix'!O:O)+SUMIF('BD Otimix'!A:A,'BD VOLUME'!W163,'BD Otimix'!O:O),0)</f>
        <v>0</v>
      </c>
      <c r="AE163" s="327">
        <f t="shared" si="51"/>
        <v>0</v>
      </c>
      <c r="AF163" s="7" t="str">
        <f>Preencher!$B$3&amp;$U$8&amp;$V$8&amp;A163&amp;$AF$6</f>
        <v>JARINU-FRG380709MQ.GIROFREEZER</v>
      </c>
      <c r="AG163" s="7" t="str">
        <f>Preencher!$B$3&amp;$U$8&amp;$V$8&amp;A163&amp;$AG$6</f>
        <v>JARINU-FRG380709MQ.GIROFREEZER (1)</v>
      </c>
      <c r="AH163" s="7" t="str">
        <f>Preencher!$B$3&amp;$U$8&amp;$V$8&amp;A163&amp;$AH$6</f>
        <v>JARINU-FRG380709MQ.GIROFREEZER (2)</v>
      </c>
      <c r="AI163" s="7" t="str">
        <f>Preencher!$B$3&amp;$U$8&amp;$V$8&amp;A163&amp;$AI$6</f>
        <v>JARINU-FRG380709MQ.GIROFREEZER REV04</v>
      </c>
      <c r="AJ163" s="7" t="str">
        <f>Preencher!$B$3&amp;$U$8&amp;$V$8&amp;A163&amp;$AJ$6</f>
        <v>JARINU-FRG380709MQ.GIROFREEZER (3)</v>
      </c>
      <c r="AK163" s="327">
        <f>IFERROR(SUMIF('BD Otimix'!A:A,'BD VOLUME'!AG163,'BD Otimix'!O:O)+SUMIF('BD Otimix'!A:A,'BD VOLUME'!AH163,'BD Otimix'!O:O)+SUMIF('BD Otimix'!A:A,'BD VOLUME'!AI163,'BD Otimix'!O:O)+SUMIF('BD Otimix'!A:A,'BD VOLUME'!AJ163,'BD Otimix'!O:O)+SUMIF('BD Otimix'!A:A,'BD VOLUME'!AF163,'BD Otimix'!O:O),0)</f>
        <v>0</v>
      </c>
      <c r="AL163" s="7">
        <f t="shared" si="52"/>
        <v>0</v>
      </c>
    </row>
    <row r="164" spans="1:38">
      <c r="A164" s="249">
        <v>380946</v>
      </c>
      <c r="B164" s="324" t="s">
        <v>1223</v>
      </c>
      <c r="C164" s="5" t="s">
        <v>1188</v>
      </c>
      <c r="D164" s="5" t="s">
        <v>939</v>
      </c>
      <c r="E164" s="5" t="s">
        <v>1196</v>
      </c>
      <c r="F164" s="132">
        <f>SUMIF('COLAR PLANO'!$A:$A,A164,'COLAR PLANO'!$D:$D)</f>
        <v>0</v>
      </c>
      <c r="G164" s="131">
        <f t="shared" si="48"/>
        <v>0</v>
      </c>
      <c r="H164" s="6">
        <v>0.74129999999999996</v>
      </c>
      <c r="I164" s="7">
        <f t="shared" si="53"/>
        <v>0</v>
      </c>
      <c r="J164" s="130">
        <f t="shared" si="54"/>
        <v>0</v>
      </c>
      <c r="K164" s="327">
        <v>1.1000000000000001</v>
      </c>
      <c r="L164" s="249">
        <v>10</v>
      </c>
      <c r="M164" s="249">
        <v>11</v>
      </c>
      <c r="N164" s="7">
        <f t="shared" si="49"/>
        <v>0</v>
      </c>
      <c r="O164" s="311"/>
      <c r="P164" s="311">
        <f t="shared" si="50"/>
        <v>0</v>
      </c>
      <c r="Q164" s="7"/>
      <c r="R164" s="7"/>
      <c r="S164" s="7"/>
      <c r="T164" s="7"/>
      <c r="U164" s="7" t="s">
        <v>2288</v>
      </c>
      <c r="V164" s="7" t="s">
        <v>2289</v>
      </c>
      <c r="W164" s="7" t="str">
        <f>Preencher!$B$3&amp;U164&amp;V164&amp;A164&amp;$W$6</f>
        <v>JARINU-FRG380946MQ.TUNEL DE CG (CONTINUO)</v>
      </c>
      <c r="X164" s="7" t="str">
        <f>Preencher!$B$3&amp;U164&amp;V164&amp;A164&amp;$X$6</f>
        <v>JARINU-FRG380946MQ.TUNEL DE CG (CONTINUO) (1)</v>
      </c>
      <c r="Y164" s="7" t="str">
        <f>Preencher!$B$3&amp;U164&amp;V164&amp;A164&amp;$Y$6</f>
        <v>JARINU-FRG380946MQ.TUNEL DE CG (CONTINUO) (2)</v>
      </c>
      <c r="Z164" s="7" t="str">
        <f>Preencher!$B$3&amp;U164&amp;V164&amp;A164&amp;$Z$6</f>
        <v>JARINU-FRG380946MQ.TUNEL DE CG (CONTINUO) (3)</v>
      </c>
      <c r="AA164" s="7" t="str">
        <f>Preencher!$B$3&amp;U164&amp;V164&amp;A164&amp;$AA$6</f>
        <v>JARINU-FRG380946MQ.TUNEL DE CG (ESTATICO)</v>
      </c>
      <c r="AB164" s="7" t="str">
        <f>Preencher!$B$3&amp;U164&amp;V164&amp;A164&amp;$AB$6</f>
        <v>JARINU-FRG380946MQ.TUNEL DE CG (ESTATICO) (1)</v>
      </c>
      <c r="AC164" s="7" t="str">
        <f>Preencher!$B$3&amp;U164&amp;V164&amp;A164&amp;$AC$6</f>
        <v>JARINU-FRG380946MQ.TUNEL DE CG (ESTATICO) (2)</v>
      </c>
      <c r="AD164" s="327">
        <f>IFERROR(SUMIF('BD Otimix'!A:A,'BD VOLUME'!X164,'BD Otimix'!O:O)+SUMIF('BD Otimix'!A:A,'BD VOLUME'!Y164,'BD Otimix'!O:O)+SUMIF('BD Otimix'!A:A,'BD VOLUME'!Z164,'BD Otimix'!O:O)+SUMIF('BD Otimix'!A:A,'BD VOLUME'!AA164,'BD Otimix'!O:O)+SUMIF('BD Otimix'!A:A,'BD VOLUME'!AB164,'BD Otimix'!O:O)+SUMIF('BD Otimix'!A:A,'BD VOLUME'!AC164,'BD Otimix'!O:O)+SUMIF('BD Otimix'!A:A,'BD VOLUME'!W164,'BD Otimix'!O:O),0)</f>
        <v>0</v>
      </c>
      <c r="AE164" s="327">
        <f t="shared" si="51"/>
        <v>0</v>
      </c>
      <c r="AF164" s="7" t="str">
        <f>Preencher!$B$3&amp;$U$8&amp;$V$8&amp;A164&amp;$AF$6</f>
        <v>JARINU-FRG380946MQ.GIROFREEZER</v>
      </c>
      <c r="AG164" s="7" t="str">
        <f>Preencher!$B$3&amp;$U$8&amp;$V$8&amp;A164&amp;$AG$6</f>
        <v>JARINU-FRG380946MQ.GIROFREEZER (1)</v>
      </c>
      <c r="AH164" s="7" t="str">
        <f>Preencher!$B$3&amp;$U$8&amp;$V$8&amp;A164&amp;$AH$6</f>
        <v>JARINU-FRG380946MQ.GIROFREEZER (2)</v>
      </c>
      <c r="AI164" s="7" t="str">
        <f>Preencher!$B$3&amp;$U$8&amp;$V$8&amp;A164&amp;$AI$6</f>
        <v>JARINU-FRG380946MQ.GIROFREEZER REV04</v>
      </c>
      <c r="AJ164" s="7" t="str">
        <f>Preencher!$B$3&amp;$U$8&amp;$V$8&amp;A164&amp;$AJ$6</f>
        <v>JARINU-FRG380946MQ.GIROFREEZER (3)</v>
      </c>
      <c r="AK164" s="327">
        <f>IFERROR(SUMIF('BD Otimix'!A:A,'BD VOLUME'!AG164,'BD Otimix'!O:O)+SUMIF('BD Otimix'!A:A,'BD VOLUME'!AH164,'BD Otimix'!O:O)+SUMIF('BD Otimix'!A:A,'BD VOLUME'!AI164,'BD Otimix'!O:O)+SUMIF('BD Otimix'!A:A,'BD VOLUME'!AJ164,'BD Otimix'!O:O)+SUMIF('BD Otimix'!A:A,'BD VOLUME'!AF164,'BD Otimix'!O:O),0)</f>
        <v>0</v>
      </c>
      <c r="AL164" s="7">
        <f t="shared" si="52"/>
        <v>0</v>
      </c>
    </row>
    <row r="165" spans="1:38">
      <c r="A165" s="249">
        <v>380954</v>
      </c>
      <c r="B165" s="324" t="s">
        <v>1194</v>
      </c>
      <c r="C165" s="5" t="s">
        <v>1195</v>
      </c>
      <c r="D165" s="5" t="s">
        <v>939</v>
      </c>
      <c r="E165" s="5" t="s">
        <v>1196</v>
      </c>
      <c r="F165" s="132">
        <f>SUMIF('COLAR PLANO'!$A:$A,A165,'COLAR PLANO'!$D:$D)</f>
        <v>0</v>
      </c>
      <c r="G165" s="131">
        <f t="shared" si="48"/>
        <v>0</v>
      </c>
      <c r="H165" s="6">
        <v>0.74129999999999996</v>
      </c>
      <c r="I165" s="7">
        <f t="shared" si="53"/>
        <v>0</v>
      </c>
      <c r="J165" s="130">
        <f t="shared" si="54"/>
        <v>0</v>
      </c>
      <c r="K165" s="327">
        <v>1.2</v>
      </c>
      <c r="L165" s="249">
        <v>10</v>
      </c>
      <c r="M165" s="249">
        <v>12</v>
      </c>
      <c r="N165" s="7">
        <f t="shared" si="49"/>
        <v>0</v>
      </c>
      <c r="O165" s="311"/>
      <c r="P165" s="311">
        <f t="shared" si="50"/>
        <v>0</v>
      </c>
      <c r="Q165" s="7"/>
      <c r="R165" s="7"/>
      <c r="S165" s="7"/>
      <c r="T165" s="7"/>
      <c r="U165" s="7" t="s">
        <v>2288</v>
      </c>
      <c r="V165" s="7" t="s">
        <v>2289</v>
      </c>
      <c r="W165" s="7" t="str">
        <f>Preencher!$B$3&amp;U165&amp;V165&amp;A165&amp;$W$6</f>
        <v>JARINU-FRG380954MQ.TUNEL DE CG (CONTINUO)</v>
      </c>
      <c r="X165" s="7" t="str">
        <f>Preencher!$B$3&amp;U165&amp;V165&amp;A165&amp;$X$6</f>
        <v>JARINU-FRG380954MQ.TUNEL DE CG (CONTINUO) (1)</v>
      </c>
      <c r="Y165" s="7" t="str">
        <f>Preencher!$B$3&amp;U165&amp;V165&amp;A165&amp;$Y$6</f>
        <v>JARINU-FRG380954MQ.TUNEL DE CG (CONTINUO) (2)</v>
      </c>
      <c r="Z165" s="7" t="str">
        <f>Preencher!$B$3&amp;U165&amp;V165&amp;A165&amp;$Z$6</f>
        <v>JARINU-FRG380954MQ.TUNEL DE CG (CONTINUO) (3)</v>
      </c>
      <c r="AA165" s="7" t="str">
        <f>Preencher!$B$3&amp;U165&amp;V165&amp;A165&amp;$AA$6</f>
        <v>JARINU-FRG380954MQ.TUNEL DE CG (ESTATICO)</v>
      </c>
      <c r="AB165" s="7" t="str">
        <f>Preencher!$B$3&amp;U165&amp;V165&amp;A165&amp;$AB$6</f>
        <v>JARINU-FRG380954MQ.TUNEL DE CG (ESTATICO) (1)</v>
      </c>
      <c r="AC165" s="7" t="str">
        <f>Preencher!$B$3&amp;U165&amp;V165&amp;A165&amp;$AC$6</f>
        <v>JARINU-FRG380954MQ.TUNEL DE CG (ESTATICO) (2)</v>
      </c>
      <c r="AD165" s="327">
        <f>IFERROR(SUMIF('BD Otimix'!A:A,'BD VOLUME'!X165,'BD Otimix'!O:O)+SUMIF('BD Otimix'!A:A,'BD VOLUME'!Y165,'BD Otimix'!O:O)+SUMIF('BD Otimix'!A:A,'BD VOLUME'!Z165,'BD Otimix'!O:O)+SUMIF('BD Otimix'!A:A,'BD VOLUME'!AA165,'BD Otimix'!O:O)+SUMIF('BD Otimix'!A:A,'BD VOLUME'!AB165,'BD Otimix'!O:O)+SUMIF('BD Otimix'!A:A,'BD VOLUME'!AC165,'BD Otimix'!O:O)+SUMIF('BD Otimix'!A:A,'BD VOLUME'!W165,'BD Otimix'!O:O),0)</f>
        <v>0</v>
      </c>
      <c r="AE165" s="327">
        <f t="shared" si="51"/>
        <v>0</v>
      </c>
      <c r="AF165" s="7" t="str">
        <f>Preencher!$B$3&amp;$U$8&amp;$V$8&amp;A165&amp;$AF$6</f>
        <v>JARINU-FRG380954MQ.GIROFREEZER</v>
      </c>
      <c r="AG165" s="7" t="str">
        <f>Preencher!$B$3&amp;$U$8&amp;$V$8&amp;A165&amp;$AG$6</f>
        <v>JARINU-FRG380954MQ.GIROFREEZER (1)</v>
      </c>
      <c r="AH165" s="7" t="str">
        <f>Preencher!$B$3&amp;$U$8&amp;$V$8&amp;A165&amp;$AH$6</f>
        <v>JARINU-FRG380954MQ.GIROFREEZER (2)</v>
      </c>
      <c r="AI165" s="7" t="str">
        <f>Preencher!$B$3&amp;$U$8&amp;$V$8&amp;A165&amp;$AI$6</f>
        <v>JARINU-FRG380954MQ.GIROFREEZER REV04</v>
      </c>
      <c r="AJ165" s="7" t="str">
        <f>Preencher!$B$3&amp;$U$8&amp;$V$8&amp;A165&amp;$AJ$6</f>
        <v>JARINU-FRG380954MQ.GIROFREEZER (3)</v>
      </c>
      <c r="AK165" s="327">
        <f>IFERROR(SUMIF('BD Otimix'!A:A,'BD VOLUME'!AG165,'BD Otimix'!O:O)+SUMIF('BD Otimix'!A:A,'BD VOLUME'!AH165,'BD Otimix'!O:O)+SUMIF('BD Otimix'!A:A,'BD VOLUME'!AI165,'BD Otimix'!O:O)+SUMIF('BD Otimix'!A:A,'BD VOLUME'!AJ165,'BD Otimix'!O:O)+SUMIF('BD Otimix'!A:A,'BD VOLUME'!AF165,'BD Otimix'!O:O),0)</f>
        <v>0</v>
      </c>
      <c r="AL165" s="7">
        <f t="shared" si="52"/>
        <v>0</v>
      </c>
    </row>
    <row r="166" spans="1:38">
      <c r="A166" s="324">
        <v>380962</v>
      </c>
      <c r="B166" s="324" t="s">
        <v>1224</v>
      </c>
      <c r="C166" s="5" t="s">
        <v>1225</v>
      </c>
      <c r="D166" s="5" t="s">
        <v>939</v>
      </c>
      <c r="E166" s="5" t="s">
        <v>1196</v>
      </c>
      <c r="F166" s="132">
        <f>SUMIF('COLAR PLANO'!$A:$A,A166,'COLAR PLANO'!$D:$D)</f>
        <v>0</v>
      </c>
      <c r="G166" s="131">
        <f t="shared" si="48"/>
        <v>0</v>
      </c>
      <c r="H166" s="6">
        <v>0.74129999999999996</v>
      </c>
      <c r="I166" s="7">
        <f t="shared" si="53"/>
        <v>0</v>
      </c>
      <c r="J166" s="130">
        <f t="shared" si="54"/>
        <v>0</v>
      </c>
      <c r="K166" s="327">
        <v>1.3</v>
      </c>
      <c r="L166" s="324">
        <v>10</v>
      </c>
      <c r="M166" s="324">
        <v>13</v>
      </c>
      <c r="N166" s="7">
        <f t="shared" si="49"/>
        <v>0</v>
      </c>
      <c r="O166" s="311"/>
      <c r="P166" s="311">
        <f t="shared" si="50"/>
        <v>0</v>
      </c>
      <c r="Q166" s="7"/>
      <c r="R166" s="7"/>
      <c r="S166" s="7"/>
      <c r="T166" s="7"/>
      <c r="U166" s="7" t="s">
        <v>2288</v>
      </c>
      <c r="V166" s="7" t="s">
        <v>2289</v>
      </c>
      <c r="W166" s="7" t="str">
        <f>Preencher!$B$3&amp;U166&amp;V166&amp;A166&amp;$W$6</f>
        <v>JARINU-FRG380962MQ.TUNEL DE CG (CONTINUO)</v>
      </c>
      <c r="X166" s="7" t="str">
        <f>Preencher!$B$3&amp;U166&amp;V166&amp;A166&amp;$X$6</f>
        <v>JARINU-FRG380962MQ.TUNEL DE CG (CONTINUO) (1)</v>
      </c>
      <c r="Y166" s="7" t="str">
        <f>Preencher!$B$3&amp;U166&amp;V166&amp;A166&amp;$Y$6</f>
        <v>JARINU-FRG380962MQ.TUNEL DE CG (CONTINUO) (2)</v>
      </c>
      <c r="Z166" s="7" t="str">
        <f>Preencher!$B$3&amp;U166&amp;V166&amp;A166&amp;$Z$6</f>
        <v>JARINU-FRG380962MQ.TUNEL DE CG (CONTINUO) (3)</v>
      </c>
      <c r="AA166" s="7" t="str">
        <f>Preencher!$B$3&amp;U166&amp;V166&amp;A166&amp;$AA$6</f>
        <v>JARINU-FRG380962MQ.TUNEL DE CG (ESTATICO)</v>
      </c>
      <c r="AB166" s="7" t="str">
        <f>Preencher!$B$3&amp;U166&amp;V166&amp;A166&amp;$AB$6</f>
        <v>JARINU-FRG380962MQ.TUNEL DE CG (ESTATICO) (1)</v>
      </c>
      <c r="AC166" s="7" t="str">
        <f>Preencher!$B$3&amp;U166&amp;V166&amp;A166&amp;$AC$6</f>
        <v>JARINU-FRG380962MQ.TUNEL DE CG (ESTATICO) (2)</v>
      </c>
      <c r="AD166" s="327">
        <f>IFERROR(SUMIF('BD Otimix'!A:A,'BD VOLUME'!X166,'BD Otimix'!O:O)+SUMIF('BD Otimix'!A:A,'BD VOLUME'!Y166,'BD Otimix'!O:O)+SUMIF('BD Otimix'!A:A,'BD VOLUME'!Z166,'BD Otimix'!O:O)+SUMIF('BD Otimix'!A:A,'BD VOLUME'!AA166,'BD Otimix'!O:O)+SUMIF('BD Otimix'!A:A,'BD VOLUME'!AB166,'BD Otimix'!O:O)+SUMIF('BD Otimix'!A:A,'BD VOLUME'!AC166,'BD Otimix'!O:O)+SUMIF('BD Otimix'!A:A,'BD VOLUME'!W166,'BD Otimix'!O:O),0)</f>
        <v>0</v>
      </c>
      <c r="AE166" s="327">
        <f t="shared" si="51"/>
        <v>0</v>
      </c>
      <c r="AF166" s="7" t="str">
        <f>Preencher!$B$3&amp;$U$8&amp;$V$8&amp;A166&amp;$AF$6</f>
        <v>JARINU-FRG380962MQ.GIROFREEZER</v>
      </c>
      <c r="AG166" s="7" t="str">
        <f>Preencher!$B$3&amp;$U$8&amp;$V$8&amp;A166&amp;$AG$6</f>
        <v>JARINU-FRG380962MQ.GIROFREEZER (1)</v>
      </c>
      <c r="AH166" s="7" t="str">
        <f>Preencher!$B$3&amp;$U$8&amp;$V$8&amp;A166&amp;$AH$6</f>
        <v>JARINU-FRG380962MQ.GIROFREEZER (2)</v>
      </c>
      <c r="AI166" s="7" t="str">
        <f>Preencher!$B$3&amp;$U$8&amp;$V$8&amp;A166&amp;$AI$6</f>
        <v>JARINU-FRG380962MQ.GIROFREEZER REV04</v>
      </c>
      <c r="AJ166" s="7" t="str">
        <f>Preencher!$B$3&amp;$U$8&amp;$V$8&amp;A166&amp;$AJ$6</f>
        <v>JARINU-FRG380962MQ.GIROFREEZER (3)</v>
      </c>
      <c r="AK166" s="327">
        <f>IFERROR(SUMIF('BD Otimix'!A:A,'BD VOLUME'!AG166,'BD Otimix'!O:O)+SUMIF('BD Otimix'!A:A,'BD VOLUME'!AH166,'BD Otimix'!O:O)+SUMIF('BD Otimix'!A:A,'BD VOLUME'!AI166,'BD Otimix'!O:O)+SUMIF('BD Otimix'!A:A,'BD VOLUME'!AJ166,'BD Otimix'!O:O)+SUMIF('BD Otimix'!A:A,'BD VOLUME'!AF166,'BD Otimix'!O:O),0)</f>
        <v>0</v>
      </c>
      <c r="AL166" s="7">
        <f t="shared" si="52"/>
        <v>0</v>
      </c>
    </row>
    <row r="167" spans="1:38">
      <c r="A167" s="324">
        <v>13919</v>
      </c>
      <c r="B167" s="324" t="s">
        <v>1226</v>
      </c>
      <c r="C167" s="5" t="s">
        <v>1175</v>
      </c>
      <c r="D167" s="5" t="s">
        <v>939</v>
      </c>
      <c r="E167" s="5" t="s">
        <v>1196</v>
      </c>
      <c r="F167" s="132">
        <f>SUMIF('COLAR PLANO'!$A:$A,A167,'COLAR PLANO'!$D:$D)</f>
        <v>0</v>
      </c>
      <c r="G167" s="131">
        <f t="shared" si="48"/>
        <v>0</v>
      </c>
      <c r="H167" s="6">
        <v>0.746</v>
      </c>
      <c r="I167" s="7">
        <f t="shared" si="53"/>
        <v>0</v>
      </c>
      <c r="J167" s="130">
        <f t="shared" si="54"/>
        <v>0</v>
      </c>
      <c r="K167" s="327">
        <v>0.6</v>
      </c>
      <c r="L167" s="324">
        <v>16</v>
      </c>
      <c r="M167" s="324">
        <v>9.6</v>
      </c>
      <c r="N167" s="7">
        <f>IFERROR(G167/K167,"-")</f>
        <v>0</v>
      </c>
      <c r="O167" s="311"/>
      <c r="P167" s="311">
        <f>IFERROR(G167/M167,"-")</f>
        <v>0</v>
      </c>
      <c r="Q167" s="7"/>
      <c r="R167" s="7"/>
      <c r="S167" s="7"/>
      <c r="T167" s="7"/>
      <c r="U167" s="7" t="s">
        <v>2288</v>
      </c>
      <c r="V167" s="7" t="s">
        <v>2289</v>
      </c>
      <c r="W167" s="7" t="str">
        <f>Preencher!$B$3&amp;U167&amp;V167&amp;A167&amp;$W$6</f>
        <v>JARINU-FRG13919MQ.TUNEL DE CG (CONTINUO)</v>
      </c>
      <c r="X167" s="7" t="str">
        <f>Preencher!$B$3&amp;U167&amp;V167&amp;A167&amp;$X$6</f>
        <v>JARINU-FRG13919MQ.TUNEL DE CG (CONTINUO) (1)</v>
      </c>
      <c r="Y167" s="7" t="str">
        <f>Preencher!$B$3&amp;U167&amp;V167&amp;A167&amp;$Y$6</f>
        <v>JARINU-FRG13919MQ.TUNEL DE CG (CONTINUO) (2)</v>
      </c>
      <c r="Z167" s="7" t="str">
        <f>Preencher!$B$3&amp;U167&amp;V167&amp;A167&amp;$Z$6</f>
        <v>JARINU-FRG13919MQ.TUNEL DE CG (CONTINUO) (3)</v>
      </c>
      <c r="AA167" s="7" t="str">
        <f>Preencher!$B$3&amp;U167&amp;V167&amp;A167&amp;$AA$6</f>
        <v>JARINU-FRG13919MQ.TUNEL DE CG (ESTATICO)</v>
      </c>
      <c r="AB167" s="7" t="str">
        <f>Preencher!$B$3&amp;U167&amp;V167&amp;A167&amp;$AB$6</f>
        <v>JARINU-FRG13919MQ.TUNEL DE CG (ESTATICO) (1)</v>
      </c>
      <c r="AC167" s="7" t="str">
        <f>Preencher!$B$3&amp;U167&amp;V167&amp;A167&amp;$AC$6</f>
        <v>JARINU-FRG13919MQ.TUNEL DE CG (ESTATICO) (2)</v>
      </c>
      <c r="AD167" s="327">
        <f>IFERROR(SUMIF('BD Otimix'!A:A,'BD VOLUME'!X167,'BD Otimix'!O:O)+SUMIF('BD Otimix'!A:A,'BD VOLUME'!Y167,'BD Otimix'!O:O)+SUMIF('BD Otimix'!A:A,'BD VOLUME'!Z167,'BD Otimix'!O:O)+SUMIF('BD Otimix'!A:A,'BD VOLUME'!AA167,'BD Otimix'!O:O)+SUMIF('BD Otimix'!A:A,'BD VOLUME'!AB167,'BD Otimix'!O:O)+SUMIF('BD Otimix'!A:A,'BD VOLUME'!AC167,'BD Otimix'!O:O)+SUMIF('BD Otimix'!A:A,'BD VOLUME'!W167,'BD Otimix'!O:O),0)</f>
        <v>0</v>
      </c>
      <c r="AE167" s="327">
        <f t="shared" si="51"/>
        <v>0</v>
      </c>
      <c r="AF167" s="7" t="str">
        <f>Preencher!$B$3&amp;$U$8&amp;$V$8&amp;A167&amp;$AF$6</f>
        <v>JARINU-FRG13919MQ.GIROFREEZER</v>
      </c>
      <c r="AG167" s="7" t="str">
        <f>Preencher!$B$3&amp;$U$8&amp;$V$8&amp;A167&amp;$AG$6</f>
        <v>JARINU-FRG13919MQ.GIROFREEZER (1)</v>
      </c>
      <c r="AH167" s="7" t="str">
        <f>Preencher!$B$3&amp;$U$8&amp;$V$8&amp;A167&amp;$AH$6</f>
        <v>JARINU-FRG13919MQ.GIROFREEZER (2)</v>
      </c>
      <c r="AI167" s="7" t="str">
        <f>Preencher!$B$3&amp;$U$8&amp;$V$8&amp;A167&amp;$AI$6</f>
        <v>JARINU-FRG13919MQ.GIROFREEZER REV04</v>
      </c>
      <c r="AJ167" s="7" t="str">
        <f>Preencher!$B$3&amp;$U$8&amp;$V$8&amp;A167&amp;$AJ$6</f>
        <v>JARINU-FRG13919MQ.GIROFREEZER (3)</v>
      </c>
      <c r="AK167" s="327">
        <f>IFERROR(SUMIF('BD Otimix'!A:A,'BD VOLUME'!AG167,'BD Otimix'!O:O)+SUMIF('BD Otimix'!A:A,'BD VOLUME'!AH167,'BD Otimix'!O:O)+SUMIF('BD Otimix'!A:A,'BD VOLUME'!AI167,'BD Otimix'!O:O)+SUMIF('BD Otimix'!A:A,'BD VOLUME'!AJ167,'BD Otimix'!O:O)+SUMIF('BD Otimix'!A:A,'BD VOLUME'!AF167,'BD Otimix'!O:O),0)</f>
        <v>0</v>
      </c>
      <c r="AL167" s="7">
        <f t="shared" si="52"/>
        <v>0</v>
      </c>
    </row>
    <row r="168" spans="1:38">
      <c r="A168" s="324">
        <v>15598</v>
      </c>
      <c r="B168" s="324" t="s">
        <v>1227</v>
      </c>
      <c r="C168" s="5" t="s">
        <v>1192</v>
      </c>
      <c r="D168" s="5" t="s">
        <v>939</v>
      </c>
      <c r="E168" s="5" t="s">
        <v>1196</v>
      </c>
      <c r="F168" s="132">
        <f>SUMIF('COLAR PLANO'!$A:$A,A168,'COLAR PLANO'!$D:$D)</f>
        <v>0</v>
      </c>
      <c r="G168" s="131">
        <f t="shared" si="48"/>
        <v>0</v>
      </c>
      <c r="H168" s="6">
        <v>0.746</v>
      </c>
      <c r="I168" s="7">
        <f t="shared" si="53"/>
        <v>0</v>
      </c>
      <c r="J168" s="130">
        <f t="shared" si="54"/>
        <v>0</v>
      </c>
      <c r="K168" s="327">
        <v>1.3</v>
      </c>
      <c r="L168" s="324">
        <v>10</v>
      </c>
      <c r="M168" s="324">
        <v>13</v>
      </c>
      <c r="N168" s="7">
        <f t="shared" si="49"/>
        <v>0</v>
      </c>
      <c r="O168" s="311"/>
      <c r="P168" s="311">
        <f t="shared" si="50"/>
        <v>0</v>
      </c>
      <c r="Q168" s="7"/>
      <c r="R168" s="7"/>
      <c r="S168" s="7"/>
      <c r="T168" s="7"/>
      <c r="U168" s="7" t="s">
        <v>2288</v>
      </c>
      <c r="V168" s="7" t="s">
        <v>2289</v>
      </c>
      <c r="W168" s="7" t="str">
        <f>Preencher!$B$3&amp;U168&amp;V168&amp;A168&amp;$W$6</f>
        <v>JARINU-FRG15598MQ.TUNEL DE CG (CONTINUO)</v>
      </c>
      <c r="X168" s="7" t="str">
        <f>Preencher!$B$3&amp;U168&amp;V168&amp;A168&amp;$X$6</f>
        <v>JARINU-FRG15598MQ.TUNEL DE CG (CONTINUO) (1)</v>
      </c>
      <c r="Y168" s="7" t="str">
        <f>Preencher!$B$3&amp;U168&amp;V168&amp;A168&amp;$Y$6</f>
        <v>JARINU-FRG15598MQ.TUNEL DE CG (CONTINUO) (2)</v>
      </c>
      <c r="Z168" s="7" t="str">
        <f>Preencher!$B$3&amp;U168&amp;V168&amp;A168&amp;$Z$6</f>
        <v>JARINU-FRG15598MQ.TUNEL DE CG (CONTINUO) (3)</v>
      </c>
      <c r="AA168" s="7" t="str">
        <f>Preencher!$B$3&amp;U168&amp;V168&amp;A168&amp;$AA$6</f>
        <v>JARINU-FRG15598MQ.TUNEL DE CG (ESTATICO)</v>
      </c>
      <c r="AB168" s="7" t="str">
        <f>Preencher!$B$3&amp;U168&amp;V168&amp;A168&amp;$AB$6</f>
        <v>JARINU-FRG15598MQ.TUNEL DE CG (ESTATICO) (1)</v>
      </c>
      <c r="AC168" s="7" t="str">
        <f>Preencher!$B$3&amp;U168&amp;V168&amp;A168&amp;$AC$6</f>
        <v>JARINU-FRG15598MQ.TUNEL DE CG (ESTATICO) (2)</v>
      </c>
      <c r="AD168" s="327">
        <f>IFERROR(SUMIF('BD Otimix'!A:A,'BD VOLUME'!X168,'BD Otimix'!O:O)+SUMIF('BD Otimix'!A:A,'BD VOLUME'!Y168,'BD Otimix'!O:O)+SUMIF('BD Otimix'!A:A,'BD VOLUME'!Z168,'BD Otimix'!O:O)+SUMIF('BD Otimix'!A:A,'BD VOLUME'!AA168,'BD Otimix'!O:O)+SUMIF('BD Otimix'!A:A,'BD VOLUME'!AB168,'BD Otimix'!O:O)+SUMIF('BD Otimix'!A:A,'BD VOLUME'!AC168,'BD Otimix'!O:O)+SUMIF('BD Otimix'!A:A,'BD VOLUME'!W168,'BD Otimix'!O:O),0)</f>
        <v>0</v>
      </c>
      <c r="AE168" s="327">
        <f t="shared" si="51"/>
        <v>0</v>
      </c>
      <c r="AF168" s="7" t="str">
        <f>Preencher!$B$3&amp;$U$8&amp;$V$8&amp;A168&amp;$AF$6</f>
        <v>JARINU-FRG15598MQ.GIROFREEZER</v>
      </c>
      <c r="AG168" s="7" t="str">
        <f>Preencher!$B$3&amp;$U$8&amp;$V$8&amp;A168&amp;$AG$6</f>
        <v>JARINU-FRG15598MQ.GIROFREEZER (1)</v>
      </c>
      <c r="AH168" s="7" t="str">
        <f>Preencher!$B$3&amp;$U$8&amp;$V$8&amp;A168&amp;$AH$6</f>
        <v>JARINU-FRG15598MQ.GIROFREEZER (2)</v>
      </c>
      <c r="AI168" s="7" t="str">
        <f>Preencher!$B$3&amp;$U$8&amp;$V$8&amp;A168&amp;$AI$6</f>
        <v>JARINU-FRG15598MQ.GIROFREEZER REV04</v>
      </c>
      <c r="AJ168" s="7" t="str">
        <f>Preencher!$B$3&amp;$U$8&amp;$V$8&amp;A168&amp;$AJ$6</f>
        <v>JARINU-FRG15598MQ.GIROFREEZER (3)</v>
      </c>
      <c r="AK168" s="327">
        <f>IFERROR(SUMIF('BD Otimix'!A:A,'BD VOLUME'!AG168,'BD Otimix'!O:O)+SUMIF('BD Otimix'!A:A,'BD VOLUME'!AH168,'BD Otimix'!O:O)+SUMIF('BD Otimix'!A:A,'BD VOLUME'!AI168,'BD Otimix'!O:O)+SUMIF('BD Otimix'!A:A,'BD VOLUME'!AJ168,'BD Otimix'!O:O)+SUMIF('BD Otimix'!A:A,'BD VOLUME'!AF168,'BD Otimix'!O:O),0)</f>
        <v>0</v>
      </c>
      <c r="AL168" s="7">
        <f t="shared" si="52"/>
        <v>0</v>
      </c>
    </row>
    <row r="169" spans="1:38">
      <c r="A169" s="324">
        <v>41831</v>
      </c>
      <c r="B169" s="324" t="s">
        <v>1228</v>
      </c>
      <c r="C169" s="5" t="s">
        <v>1229</v>
      </c>
      <c r="D169" s="5" t="s">
        <v>939</v>
      </c>
      <c r="E169" s="5" t="s">
        <v>1196</v>
      </c>
      <c r="F169" s="132">
        <f>SUMIF('COLAR PLANO'!$A:$A,A169,'COLAR PLANO'!$D:$D)</f>
        <v>0</v>
      </c>
      <c r="G169" s="131">
        <f t="shared" si="48"/>
        <v>0</v>
      </c>
      <c r="H169" s="6">
        <v>0.746</v>
      </c>
      <c r="I169" s="7">
        <f t="shared" si="53"/>
        <v>0</v>
      </c>
      <c r="J169" s="130">
        <f t="shared" si="54"/>
        <v>0</v>
      </c>
      <c r="K169" s="327">
        <v>1.6</v>
      </c>
      <c r="L169" s="324">
        <v>8</v>
      </c>
      <c r="M169" s="324">
        <v>12.8</v>
      </c>
      <c r="N169" s="7">
        <f t="shared" si="49"/>
        <v>0</v>
      </c>
      <c r="O169" s="311"/>
      <c r="P169" s="311">
        <f t="shared" si="50"/>
        <v>0</v>
      </c>
      <c r="Q169" s="7"/>
      <c r="R169" s="7"/>
      <c r="S169" s="7"/>
      <c r="T169" s="7"/>
      <c r="U169" s="7" t="s">
        <v>2288</v>
      </c>
      <c r="V169" s="7" t="s">
        <v>2289</v>
      </c>
      <c r="W169" s="7" t="str">
        <f>Preencher!$B$3&amp;U169&amp;V169&amp;A169&amp;$W$6</f>
        <v>JARINU-FRG41831MQ.TUNEL DE CG (CONTINUO)</v>
      </c>
      <c r="X169" s="7" t="str">
        <f>Preencher!$B$3&amp;U169&amp;V169&amp;A169&amp;$X$6</f>
        <v>JARINU-FRG41831MQ.TUNEL DE CG (CONTINUO) (1)</v>
      </c>
      <c r="Y169" s="7" t="str">
        <f>Preencher!$B$3&amp;U169&amp;V169&amp;A169&amp;$Y$6</f>
        <v>JARINU-FRG41831MQ.TUNEL DE CG (CONTINUO) (2)</v>
      </c>
      <c r="Z169" s="7" t="str">
        <f>Preencher!$B$3&amp;U169&amp;V169&amp;A169&amp;$Z$6</f>
        <v>JARINU-FRG41831MQ.TUNEL DE CG (CONTINUO) (3)</v>
      </c>
      <c r="AA169" s="7" t="str">
        <f>Preencher!$B$3&amp;U169&amp;V169&amp;A169&amp;$AA$6</f>
        <v>JARINU-FRG41831MQ.TUNEL DE CG (ESTATICO)</v>
      </c>
      <c r="AB169" s="7" t="str">
        <f>Preencher!$B$3&amp;U169&amp;V169&amp;A169&amp;$AB$6</f>
        <v>JARINU-FRG41831MQ.TUNEL DE CG (ESTATICO) (1)</v>
      </c>
      <c r="AC169" s="7" t="str">
        <f>Preencher!$B$3&amp;U169&amp;V169&amp;A169&amp;$AC$6</f>
        <v>JARINU-FRG41831MQ.TUNEL DE CG (ESTATICO) (2)</v>
      </c>
      <c r="AD169" s="327">
        <f>IFERROR(SUMIF('BD Otimix'!A:A,'BD VOLUME'!X169,'BD Otimix'!O:O)+SUMIF('BD Otimix'!A:A,'BD VOLUME'!Y169,'BD Otimix'!O:O)+SUMIF('BD Otimix'!A:A,'BD VOLUME'!Z169,'BD Otimix'!O:O)+SUMIF('BD Otimix'!A:A,'BD VOLUME'!AA169,'BD Otimix'!O:O)+SUMIF('BD Otimix'!A:A,'BD VOLUME'!AB169,'BD Otimix'!O:O)+SUMIF('BD Otimix'!A:A,'BD VOLUME'!AC169,'BD Otimix'!O:O)+SUMIF('BD Otimix'!A:A,'BD VOLUME'!W169,'BD Otimix'!O:O),0)</f>
        <v>0</v>
      </c>
      <c r="AE169" s="327">
        <f t="shared" si="51"/>
        <v>0</v>
      </c>
      <c r="AF169" s="7" t="str">
        <f>Preencher!$B$3&amp;$U$8&amp;$V$8&amp;A169&amp;$AF$6</f>
        <v>JARINU-FRG41831MQ.GIROFREEZER</v>
      </c>
      <c r="AG169" s="7" t="str">
        <f>Preencher!$B$3&amp;$U$8&amp;$V$8&amp;A169&amp;$AG$6</f>
        <v>JARINU-FRG41831MQ.GIROFREEZER (1)</v>
      </c>
      <c r="AH169" s="7" t="str">
        <f>Preencher!$B$3&amp;$U$8&amp;$V$8&amp;A169&amp;$AH$6</f>
        <v>JARINU-FRG41831MQ.GIROFREEZER (2)</v>
      </c>
      <c r="AI169" s="7" t="str">
        <f>Preencher!$B$3&amp;$U$8&amp;$V$8&amp;A169&amp;$AI$6</f>
        <v>JARINU-FRG41831MQ.GIROFREEZER REV04</v>
      </c>
      <c r="AJ169" s="7" t="str">
        <f>Preencher!$B$3&amp;$U$8&amp;$V$8&amp;A169&amp;$AJ$6</f>
        <v>JARINU-FRG41831MQ.GIROFREEZER (3)</v>
      </c>
      <c r="AK169" s="327">
        <f>IFERROR(SUMIF('BD Otimix'!A:A,'BD VOLUME'!AG169,'BD Otimix'!O:O)+SUMIF('BD Otimix'!A:A,'BD VOLUME'!AH169,'BD Otimix'!O:O)+SUMIF('BD Otimix'!A:A,'BD VOLUME'!AI169,'BD Otimix'!O:O)+SUMIF('BD Otimix'!A:A,'BD VOLUME'!AJ169,'BD Otimix'!O:O)+SUMIF('BD Otimix'!A:A,'BD VOLUME'!AF169,'BD Otimix'!O:O),0)</f>
        <v>0</v>
      </c>
      <c r="AL169" s="7">
        <f t="shared" si="52"/>
        <v>0</v>
      </c>
    </row>
    <row r="170" spans="1:38">
      <c r="A170" s="324">
        <v>50865</v>
      </c>
      <c r="B170" s="324" t="s">
        <v>1230</v>
      </c>
      <c r="C170" s="5" t="s">
        <v>1188</v>
      </c>
      <c r="D170" s="5" t="s">
        <v>939</v>
      </c>
      <c r="E170" s="5" t="s">
        <v>1196</v>
      </c>
      <c r="F170" s="132">
        <f>SUMIF('COLAR PLANO'!$A:$A,A170,'COLAR PLANO'!$D:$D)</f>
        <v>0</v>
      </c>
      <c r="G170" s="131">
        <f t="shared" si="48"/>
        <v>0</v>
      </c>
      <c r="H170" s="6">
        <v>0.746</v>
      </c>
      <c r="I170" s="7">
        <f t="shared" si="53"/>
        <v>0</v>
      </c>
      <c r="J170" s="130">
        <f t="shared" si="54"/>
        <v>0</v>
      </c>
      <c r="K170" s="327">
        <v>1.1000000000000001</v>
      </c>
      <c r="L170" s="324">
        <v>10</v>
      </c>
      <c r="M170" s="324">
        <v>11</v>
      </c>
      <c r="N170" s="7">
        <f t="shared" si="49"/>
        <v>0</v>
      </c>
      <c r="O170" s="311"/>
      <c r="P170" s="311">
        <f t="shared" si="50"/>
        <v>0</v>
      </c>
      <c r="Q170" s="7"/>
      <c r="R170" s="7"/>
      <c r="S170" s="7"/>
      <c r="T170" s="7"/>
      <c r="U170" s="7" t="s">
        <v>2288</v>
      </c>
      <c r="V170" s="7" t="s">
        <v>2289</v>
      </c>
      <c r="W170" s="7" t="str">
        <f>Preencher!$B$3&amp;U170&amp;V170&amp;A170&amp;$W$6</f>
        <v>JARINU-FRG50865MQ.TUNEL DE CG (CONTINUO)</v>
      </c>
      <c r="X170" s="7" t="str">
        <f>Preencher!$B$3&amp;U170&amp;V170&amp;A170&amp;$X$6</f>
        <v>JARINU-FRG50865MQ.TUNEL DE CG (CONTINUO) (1)</v>
      </c>
      <c r="Y170" s="7" t="str">
        <f>Preencher!$B$3&amp;U170&amp;V170&amp;A170&amp;$Y$6</f>
        <v>JARINU-FRG50865MQ.TUNEL DE CG (CONTINUO) (2)</v>
      </c>
      <c r="Z170" s="7" t="str">
        <f>Preencher!$B$3&amp;U170&amp;V170&amp;A170&amp;$Z$6</f>
        <v>JARINU-FRG50865MQ.TUNEL DE CG (CONTINUO) (3)</v>
      </c>
      <c r="AA170" s="7" t="str">
        <f>Preencher!$B$3&amp;U170&amp;V170&amp;A170&amp;$AA$6</f>
        <v>JARINU-FRG50865MQ.TUNEL DE CG (ESTATICO)</v>
      </c>
      <c r="AB170" s="7" t="str">
        <f>Preencher!$B$3&amp;U170&amp;V170&amp;A170&amp;$AB$6</f>
        <v>JARINU-FRG50865MQ.TUNEL DE CG (ESTATICO) (1)</v>
      </c>
      <c r="AC170" s="7" t="str">
        <f>Preencher!$B$3&amp;U170&amp;V170&amp;A170&amp;$AC$6</f>
        <v>JARINU-FRG50865MQ.TUNEL DE CG (ESTATICO) (2)</v>
      </c>
      <c r="AD170" s="327">
        <f>IFERROR(SUMIF('BD Otimix'!A:A,'BD VOLUME'!X170,'BD Otimix'!O:O)+SUMIF('BD Otimix'!A:A,'BD VOLUME'!Y170,'BD Otimix'!O:O)+SUMIF('BD Otimix'!A:A,'BD VOLUME'!Z170,'BD Otimix'!O:O)+SUMIF('BD Otimix'!A:A,'BD VOLUME'!AA170,'BD Otimix'!O:O)+SUMIF('BD Otimix'!A:A,'BD VOLUME'!AB170,'BD Otimix'!O:O)+SUMIF('BD Otimix'!A:A,'BD VOLUME'!AC170,'BD Otimix'!O:O)+SUMIF('BD Otimix'!A:A,'BD VOLUME'!W170,'BD Otimix'!O:O),0)</f>
        <v>0</v>
      </c>
      <c r="AE170" s="327">
        <f t="shared" si="51"/>
        <v>0</v>
      </c>
      <c r="AF170" s="7" t="str">
        <f>Preencher!$B$3&amp;$U$8&amp;$V$8&amp;A170&amp;$AF$6</f>
        <v>JARINU-FRG50865MQ.GIROFREEZER</v>
      </c>
      <c r="AG170" s="7" t="str">
        <f>Preencher!$B$3&amp;$U$8&amp;$V$8&amp;A170&amp;$AG$6</f>
        <v>JARINU-FRG50865MQ.GIROFREEZER (1)</v>
      </c>
      <c r="AH170" s="7" t="str">
        <f>Preencher!$B$3&amp;$U$8&amp;$V$8&amp;A170&amp;$AH$6</f>
        <v>JARINU-FRG50865MQ.GIROFREEZER (2)</v>
      </c>
      <c r="AI170" s="7" t="str">
        <f>Preencher!$B$3&amp;$U$8&amp;$V$8&amp;A170&amp;$AI$6</f>
        <v>JARINU-FRG50865MQ.GIROFREEZER REV04</v>
      </c>
      <c r="AJ170" s="7" t="str">
        <f>Preencher!$B$3&amp;$U$8&amp;$V$8&amp;A170&amp;$AJ$6</f>
        <v>JARINU-FRG50865MQ.GIROFREEZER (3)</v>
      </c>
      <c r="AK170" s="327">
        <f>IFERROR(SUMIF('BD Otimix'!A:A,'BD VOLUME'!AG170,'BD Otimix'!O:O)+SUMIF('BD Otimix'!A:A,'BD VOLUME'!AH170,'BD Otimix'!O:O)+SUMIF('BD Otimix'!A:A,'BD VOLUME'!AI170,'BD Otimix'!O:O)+SUMIF('BD Otimix'!A:A,'BD VOLUME'!AJ170,'BD Otimix'!O:O)+SUMIF('BD Otimix'!A:A,'BD VOLUME'!AF170,'BD Otimix'!O:O),0)</f>
        <v>0</v>
      </c>
      <c r="AL170" s="7">
        <f t="shared" si="52"/>
        <v>0</v>
      </c>
    </row>
    <row r="171" spans="1:38">
      <c r="A171" s="324">
        <v>50873</v>
      </c>
      <c r="B171" s="324" t="s">
        <v>1231</v>
      </c>
      <c r="C171" s="5" t="s">
        <v>1195</v>
      </c>
      <c r="D171" s="5" t="s">
        <v>939</v>
      </c>
      <c r="E171" s="5" t="s">
        <v>1196</v>
      </c>
      <c r="F171" s="132">
        <f>SUMIF('COLAR PLANO'!$A:$A,A171,'COLAR PLANO'!$D:$D)</f>
        <v>0</v>
      </c>
      <c r="G171" s="131">
        <f t="shared" si="48"/>
        <v>0</v>
      </c>
      <c r="H171" s="6">
        <v>0.746</v>
      </c>
      <c r="I171" s="7">
        <f t="shared" si="53"/>
        <v>0</v>
      </c>
      <c r="J171" s="130">
        <f t="shared" si="54"/>
        <v>0</v>
      </c>
      <c r="K171" s="327">
        <v>1.2</v>
      </c>
      <c r="L171" s="324">
        <v>10</v>
      </c>
      <c r="M171" s="324">
        <v>12</v>
      </c>
      <c r="N171" s="7">
        <f t="shared" si="49"/>
        <v>0</v>
      </c>
      <c r="O171" s="311"/>
      <c r="P171" s="311">
        <f t="shared" si="50"/>
        <v>0</v>
      </c>
      <c r="Q171" s="7"/>
      <c r="R171" s="7"/>
      <c r="S171" s="7"/>
      <c r="T171" s="7"/>
      <c r="U171" s="7" t="s">
        <v>2288</v>
      </c>
      <c r="V171" s="7" t="s">
        <v>2289</v>
      </c>
      <c r="W171" s="7" t="str">
        <f>Preencher!$B$3&amp;U171&amp;V171&amp;A171&amp;$W$6</f>
        <v>JARINU-FRG50873MQ.TUNEL DE CG (CONTINUO)</v>
      </c>
      <c r="X171" s="7" t="str">
        <f>Preencher!$B$3&amp;U171&amp;V171&amp;A171&amp;$X$6</f>
        <v>JARINU-FRG50873MQ.TUNEL DE CG (CONTINUO) (1)</v>
      </c>
      <c r="Y171" s="7" t="str">
        <f>Preencher!$B$3&amp;U171&amp;V171&amp;A171&amp;$Y$6</f>
        <v>JARINU-FRG50873MQ.TUNEL DE CG (CONTINUO) (2)</v>
      </c>
      <c r="Z171" s="7" t="str">
        <f>Preencher!$B$3&amp;U171&amp;V171&amp;A171&amp;$Z$6</f>
        <v>JARINU-FRG50873MQ.TUNEL DE CG (CONTINUO) (3)</v>
      </c>
      <c r="AA171" s="7" t="str">
        <f>Preencher!$B$3&amp;U171&amp;V171&amp;A171&amp;$AA$6</f>
        <v>JARINU-FRG50873MQ.TUNEL DE CG (ESTATICO)</v>
      </c>
      <c r="AB171" s="7" t="str">
        <f>Preencher!$B$3&amp;U171&amp;V171&amp;A171&amp;$AB$6</f>
        <v>JARINU-FRG50873MQ.TUNEL DE CG (ESTATICO) (1)</v>
      </c>
      <c r="AC171" s="7" t="str">
        <f>Preencher!$B$3&amp;U171&amp;V171&amp;A171&amp;$AC$6</f>
        <v>JARINU-FRG50873MQ.TUNEL DE CG (ESTATICO) (2)</v>
      </c>
      <c r="AD171" s="327">
        <f>IFERROR(SUMIF('BD Otimix'!A:A,'BD VOLUME'!X171,'BD Otimix'!O:O)+SUMIF('BD Otimix'!A:A,'BD VOLUME'!Y171,'BD Otimix'!O:O)+SUMIF('BD Otimix'!A:A,'BD VOLUME'!Z171,'BD Otimix'!O:O)+SUMIF('BD Otimix'!A:A,'BD VOLUME'!AA171,'BD Otimix'!O:O)+SUMIF('BD Otimix'!A:A,'BD VOLUME'!AB171,'BD Otimix'!O:O)+SUMIF('BD Otimix'!A:A,'BD VOLUME'!AC171,'BD Otimix'!O:O)+SUMIF('BD Otimix'!A:A,'BD VOLUME'!W171,'BD Otimix'!O:O),0)</f>
        <v>0</v>
      </c>
      <c r="AE171" s="327">
        <f t="shared" si="51"/>
        <v>0</v>
      </c>
      <c r="AF171" s="7" t="str">
        <f>Preencher!$B$3&amp;$U$8&amp;$V$8&amp;A171&amp;$AF$6</f>
        <v>JARINU-FRG50873MQ.GIROFREEZER</v>
      </c>
      <c r="AG171" s="7" t="str">
        <f>Preencher!$B$3&amp;$U$8&amp;$V$8&amp;A171&amp;$AG$6</f>
        <v>JARINU-FRG50873MQ.GIROFREEZER (1)</v>
      </c>
      <c r="AH171" s="7" t="str">
        <f>Preencher!$B$3&amp;$U$8&amp;$V$8&amp;A171&amp;$AH$6</f>
        <v>JARINU-FRG50873MQ.GIROFREEZER (2)</v>
      </c>
      <c r="AI171" s="7" t="str">
        <f>Preencher!$B$3&amp;$U$8&amp;$V$8&amp;A171&amp;$AI$6</f>
        <v>JARINU-FRG50873MQ.GIROFREEZER REV04</v>
      </c>
      <c r="AJ171" s="7" t="str">
        <f>Preencher!$B$3&amp;$U$8&amp;$V$8&amp;A171&amp;$AJ$6</f>
        <v>JARINU-FRG50873MQ.GIROFREEZER (3)</v>
      </c>
      <c r="AK171" s="327">
        <f>IFERROR(SUMIF('BD Otimix'!A:A,'BD VOLUME'!AG171,'BD Otimix'!O:O)+SUMIF('BD Otimix'!A:A,'BD VOLUME'!AH171,'BD Otimix'!O:O)+SUMIF('BD Otimix'!A:A,'BD VOLUME'!AI171,'BD Otimix'!O:O)+SUMIF('BD Otimix'!A:A,'BD VOLUME'!AJ171,'BD Otimix'!O:O)+SUMIF('BD Otimix'!A:A,'BD VOLUME'!AF171,'BD Otimix'!O:O),0)</f>
        <v>0</v>
      </c>
      <c r="AL171" s="7">
        <f t="shared" si="52"/>
        <v>0</v>
      </c>
    </row>
    <row r="172" spans="1:38">
      <c r="A172" s="324">
        <v>50881</v>
      </c>
      <c r="B172" s="324" t="s">
        <v>1232</v>
      </c>
      <c r="C172" s="5" t="s">
        <v>1225</v>
      </c>
      <c r="D172" s="5" t="s">
        <v>939</v>
      </c>
      <c r="E172" s="5" t="s">
        <v>1196</v>
      </c>
      <c r="F172" s="132">
        <f>SUMIF('COLAR PLANO'!$A:$A,A172,'COLAR PLANO'!$D:$D)</f>
        <v>0</v>
      </c>
      <c r="G172" s="131">
        <f t="shared" si="48"/>
        <v>0</v>
      </c>
      <c r="H172" s="6">
        <v>0.746</v>
      </c>
      <c r="I172" s="7">
        <f t="shared" si="53"/>
        <v>0</v>
      </c>
      <c r="J172" s="130">
        <f t="shared" si="54"/>
        <v>0</v>
      </c>
      <c r="K172" s="327">
        <v>1.3</v>
      </c>
      <c r="L172" s="324">
        <v>10</v>
      </c>
      <c r="M172" s="324">
        <v>13</v>
      </c>
      <c r="N172" s="7">
        <f t="shared" si="49"/>
        <v>0</v>
      </c>
      <c r="O172" s="311"/>
      <c r="P172" s="311">
        <f t="shared" si="50"/>
        <v>0</v>
      </c>
      <c r="Q172" s="7"/>
      <c r="R172" s="7"/>
      <c r="S172" s="7"/>
      <c r="T172" s="7"/>
      <c r="U172" s="7" t="s">
        <v>2288</v>
      </c>
      <c r="V172" s="7" t="s">
        <v>2289</v>
      </c>
      <c r="W172" s="7" t="str">
        <f>Preencher!$B$3&amp;U172&amp;V172&amp;A172&amp;$W$6</f>
        <v>JARINU-FRG50881MQ.TUNEL DE CG (CONTINUO)</v>
      </c>
      <c r="X172" s="7" t="str">
        <f>Preencher!$B$3&amp;U172&amp;V172&amp;A172&amp;$X$6</f>
        <v>JARINU-FRG50881MQ.TUNEL DE CG (CONTINUO) (1)</v>
      </c>
      <c r="Y172" s="7" t="str">
        <f>Preencher!$B$3&amp;U172&amp;V172&amp;A172&amp;$Y$6</f>
        <v>JARINU-FRG50881MQ.TUNEL DE CG (CONTINUO) (2)</v>
      </c>
      <c r="Z172" s="7" t="str">
        <f>Preencher!$B$3&amp;U172&amp;V172&amp;A172&amp;$Z$6</f>
        <v>JARINU-FRG50881MQ.TUNEL DE CG (CONTINUO) (3)</v>
      </c>
      <c r="AA172" s="7" t="str">
        <f>Preencher!$B$3&amp;U172&amp;V172&amp;A172&amp;$AA$6</f>
        <v>JARINU-FRG50881MQ.TUNEL DE CG (ESTATICO)</v>
      </c>
      <c r="AB172" s="7" t="str">
        <f>Preencher!$B$3&amp;U172&amp;V172&amp;A172&amp;$AB$6</f>
        <v>JARINU-FRG50881MQ.TUNEL DE CG (ESTATICO) (1)</v>
      </c>
      <c r="AC172" s="7" t="str">
        <f>Preencher!$B$3&amp;U172&amp;V172&amp;A172&amp;$AC$6</f>
        <v>JARINU-FRG50881MQ.TUNEL DE CG (ESTATICO) (2)</v>
      </c>
      <c r="AD172" s="327">
        <f>IFERROR(SUMIF('BD Otimix'!A:A,'BD VOLUME'!X172,'BD Otimix'!O:O)+SUMIF('BD Otimix'!A:A,'BD VOLUME'!Y172,'BD Otimix'!O:O)+SUMIF('BD Otimix'!A:A,'BD VOLUME'!Z172,'BD Otimix'!O:O)+SUMIF('BD Otimix'!A:A,'BD VOLUME'!AA172,'BD Otimix'!O:O)+SUMIF('BD Otimix'!A:A,'BD VOLUME'!AB172,'BD Otimix'!O:O)+SUMIF('BD Otimix'!A:A,'BD VOLUME'!AC172,'BD Otimix'!O:O)+SUMIF('BD Otimix'!A:A,'BD VOLUME'!W172,'BD Otimix'!O:O),0)</f>
        <v>0</v>
      </c>
      <c r="AE172" s="327">
        <f t="shared" si="51"/>
        <v>0</v>
      </c>
      <c r="AF172" s="7" t="str">
        <f>Preencher!$B$3&amp;$U$8&amp;$V$8&amp;A172&amp;$AF$6</f>
        <v>JARINU-FRG50881MQ.GIROFREEZER</v>
      </c>
      <c r="AG172" s="7" t="str">
        <f>Preencher!$B$3&amp;$U$8&amp;$V$8&amp;A172&amp;$AG$6</f>
        <v>JARINU-FRG50881MQ.GIROFREEZER (1)</v>
      </c>
      <c r="AH172" s="7" t="str">
        <f>Preencher!$B$3&amp;$U$8&amp;$V$8&amp;A172&amp;$AH$6</f>
        <v>JARINU-FRG50881MQ.GIROFREEZER (2)</v>
      </c>
      <c r="AI172" s="7" t="str">
        <f>Preencher!$B$3&amp;$U$8&amp;$V$8&amp;A172&amp;$AI$6</f>
        <v>JARINU-FRG50881MQ.GIROFREEZER REV04</v>
      </c>
      <c r="AJ172" s="7" t="str">
        <f>Preencher!$B$3&amp;$U$8&amp;$V$8&amp;A172&amp;$AJ$6</f>
        <v>JARINU-FRG50881MQ.GIROFREEZER (3)</v>
      </c>
      <c r="AK172" s="327">
        <f>IFERROR(SUMIF('BD Otimix'!A:A,'BD VOLUME'!AG172,'BD Otimix'!O:O)+SUMIF('BD Otimix'!A:A,'BD VOLUME'!AH172,'BD Otimix'!O:O)+SUMIF('BD Otimix'!A:A,'BD VOLUME'!AI172,'BD Otimix'!O:O)+SUMIF('BD Otimix'!A:A,'BD VOLUME'!AJ172,'BD Otimix'!O:O)+SUMIF('BD Otimix'!A:A,'BD VOLUME'!AF172,'BD Otimix'!O:O),0)</f>
        <v>0</v>
      </c>
      <c r="AL172" s="7">
        <f t="shared" si="52"/>
        <v>0</v>
      </c>
    </row>
    <row r="173" spans="1:38">
      <c r="A173" s="324">
        <v>355909</v>
      </c>
      <c r="B173" s="324" t="s">
        <v>1233</v>
      </c>
      <c r="C173" s="5" t="s">
        <v>1234</v>
      </c>
      <c r="D173" s="5" t="s">
        <v>939</v>
      </c>
      <c r="E173" s="5" t="s">
        <v>1196</v>
      </c>
      <c r="F173" s="132">
        <f>SUMIF('COLAR PLANO'!$A:$A,A173,'COLAR PLANO'!$D:$D)</f>
        <v>0</v>
      </c>
      <c r="G173" s="131">
        <f t="shared" si="48"/>
        <v>0</v>
      </c>
      <c r="H173" s="6">
        <v>0.746</v>
      </c>
      <c r="I173" s="7">
        <f t="shared" si="53"/>
        <v>0</v>
      </c>
      <c r="J173" s="130">
        <f t="shared" si="54"/>
        <v>0</v>
      </c>
      <c r="K173" s="327">
        <v>0.9</v>
      </c>
      <c r="L173" s="324">
        <v>10</v>
      </c>
      <c r="M173" s="324">
        <v>9</v>
      </c>
      <c r="N173" s="7">
        <f t="shared" si="49"/>
        <v>0</v>
      </c>
      <c r="O173" s="311"/>
      <c r="P173" s="311">
        <f t="shared" si="50"/>
        <v>0</v>
      </c>
      <c r="Q173" s="7"/>
      <c r="R173" s="7"/>
      <c r="S173" s="7"/>
      <c r="T173" s="7"/>
      <c r="U173" s="7" t="s">
        <v>2288</v>
      </c>
      <c r="V173" s="7" t="s">
        <v>2289</v>
      </c>
      <c r="W173" s="7" t="str">
        <f>Preencher!$B$3&amp;U173&amp;V173&amp;A173&amp;$W$6</f>
        <v>JARINU-FRG355909MQ.TUNEL DE CG (CONTINUO)</v>
      </c>
      <c r="X173" s="7" t="str">
        <f>Preencher!$B$3&amp;U173&amp;V173&amp;A173&amp;$X$6</f>
        <v>JARINU-FRG355909MQ.TUNEL DE CG (CONTINUO) (1)</v>
      </c>
      <c r="Y173" s="7" t="str">
        <f>Preencher!$B$3&amp;U173&amp;V173&amp;A173&amp;$Y$6</f>
        <v>JARINU-FRG355909MQ.TUNEL DE CG (CONTINUO) (2)</v>
      </c>
      <c r="Z173" s="7" t="str">
        <f>Preencher!$B$3&amp;U173&amp;V173&amp;A173&amp;$Z$6</f>
        <v>JARINU-FRG355909MQ.TUNEL DE CG (CONTINUO) (3)</v>
      </c>
      <c r="AA173" s="7" t="str">
        <f>Preencher!$B$3&amp;U173&amp;V173&amp;A173&amp;$AA$6</f>
        <v>JARINU-FRG355909MQ.TUNEL DE CG (ESTATICO)</v>
      </c>
      <c r="AB173" s="7" t="str">
        <f>Preencher!$B$3&amp;U173&amp;V173&amp;A173&amp;$AB$6</f>
        <v>JARINU-FRG355909MQ.TUNEL DE CG (ESTATICO) (1)</v>
      </c>
      <c r="AC173" s="7" t="str">
        <f>Preencher!$B$3&amp;U173&amp;V173&amp;A173&amp;$AC$6</f>
        <v>JARINU-FRG355909MQ.TUNEL DE CG (ESTATICO) (2)</v>
      </c>
      <c r="AD173" s="327">
        <f>IFERROR(SUMIF('BD Otimix'!A:A,'BD VOLUME'!X173,'BD Otimix'!O:O)+SUMIF('BD Otimix'!A:A,'BD VOLUME'!Y173,'BD Otimix'!O:O)+SUMIF('BD Otimix'!A:A,'BD VOLUME'!Z173,'BD Otimix'!O:O)+SUMIF('BD Otimix'!A:A,'BD VOLUME'!AA173,'BD Otimix'!O:O)+SUMIF('BD Otimix'!A:A,'BD VOLUME'!AB173,'BD Otimix'!O:O)+SUMIF('BD Otimix'!A:A,'BD VOLUME'!AC173,'BD Otimix'!O:O)+SUMIF('BD Otimix'!A:A,'BD VOLUME'!W173,'BD Otimix'!O:O),0)</f>
        <v>0</v>
      </c>
      <c r="AE173" s="327">
        <f t="shared" si="51"/>
        <v>0</v>
      </c>
      <c r="AF173" s="7" t="str">
        <f>Preencher!$B$3&amp;$U$8&amp;$V$8&amp;A173&amp;$AF$6</f>
        <v>JARINU-FRG355909MQ.GIROFREEZER</v>
      </c>
      <c r="AG173" s="7" t="str">
        <f>Preencher!$B$3&amp;$U$8&amp;$V$8&amp;A173&amp;$AG$6</f>
        <v>JARINU-FRG355909MQ.GIROFREEZER (1)</v>
      </c>
      <c r="AH173" s="7" t="str">
        <f>Preencher!$B$3&amp;$U$8&amp;$V$8&amp;A173&amp;$AH$6</f>
        <v>JARINU-FRG355909MQ.GIROFREEZER (2)</v>
      </c>
      <c r="AI173" s="7" t="str">
        <f>Preencher!$B$3&amp;$U$8&amp;$V$8&amp;A173&amp;$AI$6</f>
        <v>JARINU-FRG355909MQ.GIROFREEZER REV04</v>
      </c>
      <c r="AJ173" s="7" t="str">
        <f>Preencher!$B$3&amp;$U$8&amp;$V$8&amp;A173&amp;$AJ$6</f>
        <v>JARINU-FRG355909MQ.GIROFREEZER (3)</v>
      </c>
      <c r="AK173" s="327">
        <f>IFERROR(SUMIF('BD Otimix'!A:A,'BD VOLUME'!AG173,'BD Otimix'!O:O)+SUMIF('BD Otimix'!A:A,'BD VOLUME'!AH173,'BD Otimix'!O:O)+SUMIF('BD Otimix'!A:A,'BD VOLUME'!AI173,'BD Otimix'!O:O)+SUMIF('BD Otimix'!A:A,'BD VOLUME'!AJ173,'BD Otimix'!O:O)+SUMIF('BD Otimix'!A:A,'BD VOLUME'!AF173,'BD Otimix'!O:O),0)</f>
        <v>0</v>
      </c>
      <c r="AL173" s="7">
        <f t="shared" si="52"/>
        <v>0</v>
      </c>
    </row>
    <row r="174" spans="1:38">
      <c r="A174" s="324">
        <v>355917</v>
      </c>
      <c r="B174" s="324" t="s">
        <v>1235</v>
      </c>
      <c r="C174" s="5" t="s">
        <v>1236</v>
      </c>
      <c r="D174" s="5" t="s">
        <v>939</v>
      </c>
      <c r="E174" s="5" t="s">
        <v>1196</v>
      </c>
      <c r="F174" s="132">
        <f>SUMIF('COLAR PLANO'!$A:$A,A174,'COLAR PLANO'!$D:$D)</f>
        <v>0</v>
      </c>
      <c r="G174" s="131">
        <f t="shared" si="48"/>
        <v>0</v>
      </c>
      <c r="H174" s="6">
        <v>0.746</v>
      </c>
      <c r="I174" s="7">
        <f t="shared" si="53"/>
        <v>0</v>
      </c>
      <c r="J174" s="130">
        <f t="shared" si="54"/>
        <v>0</v>
      </c>
      <c r="K174" s="327">
        <v>1</v>
      </c>
      <c r="L174" s="324">
        <v>10</v>
      </c>
      <c r="M174" s="324">
        <v>10</v>
      </c>
      <c r="N174" s="7">
        <f t="shared" si="49"/>
        <v>0</v>
      </c>
      <c r="O174" s="311"/>
      <c r="P174" s="311">
        <f t="shared" si="50"/>
        <v>0</v>
      </c>
      <c r="Q174" s="7"/>
      <c r="R174" s="7"/>
      <c r="S174" s="7"/>
      <c r="T174" s="7"/>
      <c r="U174" s="7" t="s">
        <v>2288</v>
      </c>
      <c r="V174" s="7" t="s">
        <v>2289</v>
      </c>
      <c r="W174" s="7" t="str">
        <f>Preencher!$B$3&amp;U174&amp;V174&amp;A174&amp;$W$6</f>
        <v>JARINU-FRG355917MQ.TUNEL DE CG (CONTINUO)</v>
      </c>
      <c r="X174" s="7" t="str">
        <f>Preencher!$B$3&amp;U174&amp;V174&amp;A174&amp;$X$6</f>
        <v>JARINU-FRG355917MQ.TUNEL DE CG (CONTINUO) (1)</v>
      </c>
      <c r="Y174" s="7" t="str">
        <f>Preencher!$B$3&amp;U174&amp;V174&amp;A174&amp;$Y$6</f>
        <v>JARINU-FRG355917MQ.TUNEL DE CG (CONTINUO) (2)</v>
      </c>
      <c r="Z174" s="7" t="str">
        <f>Preencher!$B$3&amp;U174&amp;V174&amp;A174&amp;$Z$6</f>
        <v>JARINU-FRG355917MQ.TUNEL DE CG (CONTINUO) (3)</v>
      </c>
      <c r="AA174" s="7" t="str">
        <f>Preencher!$B$3&amp;U174&amp;V174&amp;A174&amp;$AA$6</f>
        <v>JARINU-FRG355917MQ.TUNEL DE CG (ESTATICO)</v>
      </c>
      <c r="AB174" s="7" t="str">
        <f>Preencher!$B$3&amp;U174&amp;V174&amp;A174&amp;$AB$6</f>
        <v>JARINU-FRG355917MQ.TUNEL DE CG (ESTATICO) (1)</v>
      </c>
      <c r="AC174" s="7" t="str">
        <f>Preencher!$B$3&amp;U174&amp;V174&amp;A174&amp;$AC$6</f>
        <v>JARINU-FRG355917MQ.TUNEL DE CG (ESTATICO) (2)</v>
      </c>
      <c r="AD174" s="327">
        <f>IFERROR(SUMIF('BD Otimix'!A:A,'BD VOLUME'!X174,'BD Otimix'!O:O)+SUMIF('BD Otimix'!A:A,'BD VOLUME'!Y174,'BD Otimix'!O:O)+SUMIF('BD Otimix'!A:A,'BD VOLUME'!Z174,'BD Otimix'!O:O)+SUMIF('BD Otimix'!A:A,'BD VOLUME'!AA174,'BD Otimix'!O:O)+SUMIF('BD Otimix'!A:A,'BD VOLUME'!AB174,'BD Otimix'!O:O)+SUMIF('BD Otimix'!A:A,'BD VOLUME'!AC174,'BD Otimix'!O:O)+SUMIF('BD Otimix'!A:A,'BD VOLUME'!W174,'BD Otimix'!O:O),0)</f>
        <v>0</v>
      </c>
      <c r="AE174" s="327">
        <f t="shared" si="51"/>
        <v>0</v>
      </c>
      <c r="AF174" s="7" t="str">
        <f>Preencher!$B$3&amp;$U$8&amp;$V$8&amp;A174&amp;$AF$6</f>
        <v>JARINU-FRG355917MQ.GIROFREEZER</v>
      </c>
      <c r="AG174" s="7" t="str">
        <f>Preencher!$B$3&amp;$U$8&amp;$V$8&amp;A174&amp;$AG$6</f>
        <v>JARINU-FRG355917MQ.GIROFREEZER (1)</v>
      </c>
      <c r="AH174" s="7" t="str">
        <f>Preencher!$B$3&amp;$U$8&amp;$V$8&amp;A174&amp;$AH$6</f>
        <v>JARINU-FRG355917MQ.GIROFREEZER (2)</v>
      </c>
      <c r="AI174" s="7" t="str">
        <f>Preencher!$B$3&amp;$U$8&amp;$V$8&amp;A174&amp;$AI$6</f>
        <v>JARINU-FRG355917MQ.GIROFREEZER REV04</v>
      </c>
      <c r="AJ174" s="7" t="str">
        <f>Preencher!$B$3&amp;$U$8&amp;$V$8&amp;A174&amp;$AJ$6</f>
        <v>JARINU-FRG355917MQ.GIROFREEZER (3)</v>
      </c>
      <c r="AK174" s="327">
        <f>IFERROR(SUMIF('BD Otimix'!A:A,'BD VOLUME'!AG174,'BD Otimix'!O:O)+SUMIF('BD Otimix'!A:A,'BD VOLUME'!AH174,'BD Otimix'!O:O)+SUMIF('BD Otimix'!A:A,'BD VOLUME'!AI174,'BD Otimix'!O:O)+SUMIF('BD Otimix'!A:A,'BD VOLUME'!AJ174,'BD Otimix'!O:O)+SUMIF('BD Otimix'!A:A,'BD VOLUME'!AF174,'BD Otimix'!O:O),0)</f>
        <v>0</v>
      </c>
      <c r="AL174" s="7">
        <f t="shared" si="52"/>
        <v>0</v>
      </c>
    </row>
    <row r="175" spans="1:38">
      <c r="A175" s="324">
        <v>355950</v>
      </c>
      <c r="B175" s="324" t="s">
        <v>1237</v>
      </c>
      <c r="C175" s="5" t="s">
        <v>1238</v>
      </c>
      <c r="D175" s="5" t="s">
        <v>939</v>
      </c>
      <c r="E175" s="5" t="s">
        <v>1196</v>
      </c>
      <c r="F175" s="132">
        <f>SUMIF('COLAR PLANO'!$A:$A,A175,'COLAR PLANO'!$D:$D)</f>
        <v>0</v>
      </c>
      <c r="G175" s="131">
        <f t="shared" si="48"/>
        <v>0</v>
      </c>
      <c r="H175" s="6">
        <v>0.746</v>
      </c>
      <c r="I175" s="7">
        <f t="shared" si="53"/>
        <v>0</v>
      </c>
      <c r="J175" s="130">
        <f t="shared" si="54"/>
        <v>0</v>
      </c>
      <c r="K175" s="327">
        <v>1.1000000000000001</v>
      </c>
      <c r="L175" s="324">
        <v>10</v>
      </c>
      <c r="M175" s="324">
        <v>11</v>
      </c>
      <c r="N175" s="7">
        <f t="shared" si="49"/>
        <v>0</v>
      </c>
      <c r="O175" s="311"/>
      <c r="P175" s="311">
        <f t="shared" si="50"/>
        <v>0</v>
      </c>
      <c r="Q175" s="7"/>
      <c r="R175" s="7"/>
      <c r="S175" s="7"/>
      <c r="T175" s="7"/>
      <c r="U175" s="7" t="s">
        <v>2288</v>
      </c>
      <c r="V175" s="7" t="s">
        <v>2289</v>
      </c>
      <c r="W175" s="7" t="str">
        <f>Preencher!$B$3&amp;U175&amp;V175&amp;A175&amp;$W$6</f>
        <v>JARINU-FRG355950MQ.TUNEL DE CG (CONTINUO)</v>
      </c>
      <c r="X175" s="7" t="str">
        <f>Preencher!$B$3&amp;U175&amp;V175&amp;A175&amp;$X$6</f>
        <v>JARINU-FRG355950MQ.TUNEL DE CG (CONTINUO) (1)</v>
      </c>
      <c r="Y175" s="7" t="str">
        <f>Preencher!$B$3&amp;U175&amp;V175&amp;A175&amp;$Y$6</f>
        <v>JARINU-FRG355950MQ.TUNEL DE CG (CONTINUO) (2)</v>
      </c>
      <c r="Z175" s="7" t="str">
        <f>Preencher!$B$3&amp;U175&amp;V175&amp;A175&amp;$Z$6</f>
        <v>JARINU-FRG355950MQ.TUNEL DE CG (CONTINUO) (3)</v>
      </c>
      <c r="AA175" s="7" t="str">
        <f>Preencher!$B$3&amp;U175&amp;V175&amp;A175&amp;$AA$6</f>
        <v>JARINU-FRG355950MQ.TUNEL DE CG (ESTATICO)</v>
      </c>
      <c r="AB175" s="7" t="str">
        <f>Preencher!$B$3&amp;U175&amp;V175&amp;A175&amp;$AB$6</f>
        <v>JARINU-FRG355950MQ.TUNEL DE CG (ESTATICO) (1)</v>
      </c>
      <c r="AC175" s="7" t="str">
        <f>Preencher!$B$3&amp;U175&amp;V175&amp;A175&amp;$AC$6</f>
        <v>JARINU-FRG355950MQ.TUNEL DE CG (ESTATICO) (2)</v>
      </c>
      <c r="AD175" s="327">
        <f>IFERROR(SUMIF('BD Otimix'!A:A,'BD VOLUME'!X175,'BD Otimix'!O:O)+SUMIF('BD Otimix'!A:A,'BD VOLUME'!Y175,'BD Otimix'!O:O)+SUMIF('BD Otimix'!A:A,'BD VOLUME'!Z175,'BD Otimix'!O:O)+SUMIF('BD Otimix'!A:A,'BD VOLUME'!AA175,'BD Otimix'!O:O)+SUMIF('BD Otimix'!A:A,'BD VOLUME'!AB175,'BD Otimix'!O:O)+SUMIF('BD Otimix'!A:A,'BD VOLUME'!AC175,'BD Otimix'!O:O)+SUMIF('BD Otimix'!A:A,'BD VOLUME'!W175,'BD Otimix'!O:O),0)</f>
        <v>0</v>
      </c>
      <c r="AE175" s="327">
        <f t="shared" si="51"/>
        <v>0</v>
      </c>
      <c r="AF175" s="7" t="str">
        <f>Preencher!$B$3&amp;$U$8&amp;$V$8&amp;A175&amp;$AF$6</f>
        <v>JARINU-FRG355950MQ.GIROFREEZER</v>
      </c>
      <c r="AG175" s="7" t="str">
        <f>Preencher!$B$3&amp;$U$8&amp;$V$8&amp;A175&amp;$AG$6</f>
        <v>JARINU-FRG355950MQ.GIROFREEZER (1)</v>
      </c>
      <c r="AH175" s="7" t="str">
        <f>Preencher!$B$3&amp;$U$8&amp;$V$8&amp;A175&amp;$AH$6</f>
        <v>JARINU-FRG355950MQ.GIROFREEZER (2)</v>
      </c>
      <c r="AI175" s="7" t="str">
        <f>Preencher!$B$3&amp;$U$8&amp;$V$8&amp;A175&amp;$AI$6</f>
        <v>JARINU-FRG355950MQ.GIROFREEZER REV04</v>
      </c>
      <c r="AJ175" s="7" t="str">
        <f>Preencher!$B$3&amp;$U$8&amp;$V$8&amp;A175&amp;$AJ$6</f>
        <v>JARINU-FRG355950MQ.GIROFREEZER (3)</v>
      </c>
      <c r="AK175" s="327">
        <f>IFERROR(SUMIF('BD Otimix'!A:A,'BD VOLUME'!AG175,'BD Otimix'!O:O)+SUMIF('BD Otimix'!A:A,'BD VOLUME'!AH175,'BD Otimix'!O:O)+SUMIF('BD Otimix'!A:A,'BD VOLUME'!AI175,'BD Otimix'!O:O)+SUMIF('BD Otimix'!A:A,'BD VOLUME'!AJ175,'BD Otimix'!O:O)+SUMIF('BD Otimix'!A:A,'BD VOLUME'!AF175,'BD Otimix'!O:O),0)</f>
        <v>0</v>
      </c>
      <c r="AL175" s="7">
        <f t="shared" si="52"/>
        <v>0</v>
      </c>
    </row>
    <row r="176" spans="1:38">
      <c r="A176" s="324">
        <v>355968</v>
      </c>
      <c r="B176" s="324" t="s">
        <v>1239</v>
      </c>
      <c r="C176" s="5" t="s">
        <v>1240</v>
      </c>
      <c r="D176" s="5" t="s">
        <v>939</v>
      </c>
      <c r="E176" s="5" t="s">
        <v>1196</v>
      </c>
      <c r="F176" s="132">
        <f>SUMIF('COLAR PLANO'!$A:$A,A176,'COLAR PLANO'!$D:$D)</f>
        <v>0</v>
      </c>
      <c r="G176" s="131">
        <f t="shared" si="48"/>
        <v>0</v>
      </c>
      <c r="H176" s="6">
        <v>0.746</v>
      </c>
      <c r="I176" s="7">
        <f t="shared" si="53"/>
        <v>0</v>
      </c>
      <c r="J176" s="130">
        <f t="shared" si="54"/>
        <v>0</v>
      </c>
      <c r="K176" s="327">
        <v>1.2</v>
      </c>
      <c r="L176" s="324">
        <v>10</v>
      </c>
      <c r="M176" s="324">
        <v>12</v>
      </c>
      <c r="N176" s="7">
        <f t="shared" si="49"/>
        <v>0</v>
      </c>
      <c r="O176" s="311"/>
      <c r="P176" s="311">
        <f t="shared" si="50"/>
        <v>0</v>
      </c>
      <c r="Q176" s="7"/>
      <c r="R176" s="7"/>
      <c r="S176" s="7"/>
      <c r="T176" s="7"/>
      <c r="U176" s="7" t="s">
        <v>2288</v>
      </c>
      <c r="V176" s="7" t="s">
        <v>2289</v>
      </c>
      <c r="W176" s="7" t="str">
        <f>Preencher!$B$3&amp;U176&amp;V176&amp;A176&amp;$W$6</f>
        <v>JARINU-FRG355968MQ.TUNEL DE CG (CONTINUO)</v>
      </c>
      <c r="X176" s="7" t="str">
        <f>Preencher!$B$3&amp;U176&amp;V176&amp;A176&amp;$X$6</f>
        <v>JARINU-FRG355968MQ.TUNEL DE CG (CONTINUO) (1)</v>
      </c>
      <c r="Y176" s="7" t="str">
        <f>Preencher!$B$3&amp;U176&amp;V176&amp;A176&amp;$Y$6</f>
        <v>JARINU-FRG355968MQ.TUNEL DE CG (CONTINUO) (2)</v>
      </c>
      <c r="Z176" s="7" t="str">
        <f>Preencher!$B$3&amp;U176&amp;V176&amp;A176&amp;$Z$6</f>
        <v>JARINU-FRG355968MQ.TUNEL DE CG (CONTINUO) (3)</v>
      </c>
      <c r="AA176" s="7" t="str">
        <f>Preencher!$B$3&amp;U176&amp;V176&amp;A176&amp;$AA$6</f>
        <v>JARINU-FRG355968MQ.TUNEL DE CG (ESTATICO)</v>
      </c>
      <c r="AB176" s="7" t="str">
        <f>Preencher!$B$3&amp;U176&amp;V176&amp;A176&amp;$AB$6</f>
        <v>JARINU-FRG355968MQ.TUNEL DE CG (ESTATICO) (1)</v>
      </c>
      <c r="AC176" s="7" t="str">
        <f>Preencher!$B$3&amp;U176&amp;V176&amp;A176&amp;$AC$6</f>
        <v>JARINU-FRG355968MQ.TUNEL DE CG (ESTATICO) (2)</v>
      </c>
      <c r="AD176" s="327">
        <f>IFERROR(SUMIF('BD Otimix'!A:A,'BD VOLUME'!X176,'BD Otimix'!O:O)+SUMIF('BD Otimix'!A:A,'BD VOLUME'!Y176,'BD Otimix'!O:O)+SUMIF('BD Otimix'!A:A,'BD VOLUME'!Z176,'BD Otimix'!O:O)+SUMIF('BD Otimix'!A:A,'BD VOLUME'!AA176,'BD Otimix'!O:O)+SUMIF('BD Otimix'!A:A,'BD VOLUME'!AB176,'BD Otimix'!O:O)+SUMIF('BD Otimix'!A:A,'BD VOLUME'!AC176,'BD Otimix'!O:O)+SUMIF('BD Otimix'!A:A,'BD VOLUME'!W176,'BD Otimix'!O:O),0)</f>
        <v>0</v>
      </c>
      <c r="AE176" s="327">
        <f t="shared" si="51"/>
        <v>0</v>
      </c>
      <c r="AF176" s="7" t="str">
        <f>Preencher!$B$3&amp;$U$8&amp;$V$8&amp;A176&amp;$AF$6</f>
        <v>JARINU-FRG355968MQ.GIROFREEZER</v>
      </c>
      <c r="AG176" s="7" t="str">
        <f>Preencher!$B$3&amp;$U$8&amp;$V$8&amp;A176&amp;$AG$6</f>
        <v>JARINU-FRG355968MQ.GIROFREEZER (1)</v>
      </c>
      <c r="AH176" s="7" t="str">
        <f>Preencher!$B$3&amp;$U$8&amp;$V$8&amp;A176&amp;$AH$6</f>
        <v>JARINU-FRG355968MQ.GIROFREEZER (2)</v>
      </c>
      <c r="AI176" s="7" t="str">
        <f>Preencher!$B$3&amp;$U$8&amp;$V$8&amp;A176&amp;$AI$6</f>
        <v>JARINU-FRG355968MQ.GIROFREEZER REV04</v>
      </c>
      <c r="AJ176" s="7" t="str">
        <f>Preencher!$B$3&amp;$U$8&amp;$V$8&amp;A176&amp;$AJ$6</f>
        <v>JARINU-FRG355968MQ.GIROFREEZER (3)</v>
      </c>
      <c r="AK176" s="327">
        <f>IFERROR(SUMIF('BD Otimix'!A:A,'BD VOLUME'!AG176,'BD Otimix'!O:O)+SUMIF('BD Otimix'!A:A,'BD VOLUME'!AH176,'BD Otimix'!O:O)+SUMIF('BD Otimix'!A:A,'BD VOLUME'!AI176,'BD Otimix'!O:O)+SUMIF('BD Otimix'!A:A,'BD VOLUME'!AJ176,'BD Otimix'!O:O)+SUMIF('BD Otimix'!A:A,'BD VOLUME'!AF176,'BD Otimix'!O:O),0)</f>
        <v>0</v>
      </c>
      <c r="AL176" s="7">
        <f t="shared" si="52"/>
        <v>0</v>
      </c>
    </row>
    <row r="177" spans="1:38">
      <c r="A177" s="324">
        <v>355976</v>
      </c>
      <c r="B177" s="324" t="s">
        <v>1241</v>
      </c>
      <c r="C177" s="5" t="s">
        <v>1242</v>
      </c>
      <c r="D177" s="5" t="s">
        <v>939</v>
      </c>
      <c r="E177" s="5" t="s">
        <v>1196</v>
      </c>
      <c r="F177" s="132">
        <f>SUMIF('COLAR PLANO'!$A:$A,A177,'COLAR PLANO'!$D:$D)</f>
        <v>0</v>
      </c>
      <c r="G177" s="131">
        <f t="shared" si="48"/>
        <v>0</v>
      </c>
      <c r="H177" s="6">
        <v>0.746</v>
      </c>
      <c r="I177" s="7">
        <f t="shared" si="53"/>
        <v>0</v>
      </c>
      <c r="J177" s="130">
        <f t="shared" si="54"/>
        <v>0</v>
      </c>
      <c r="K177" s="327">
        <v>1.3</v>
      </c>
      <c r="L177" s="324">
        <v>10</v>
      </c>
      <c r="M177" s="324">
        <v>13</v>
      </c>
      <c r="N177" s="7">
        <f t="shared" si="49"/>
        <v>0</v>
      </c>
      <c r="O177" s="311"/>
      <c r="P177" s="311">
        <f t="shared" si="50"/>
        <v>0</v>
      </c>
      <c r="Q177" s="7"/>
      <c r="R177" s="7"/>
      <c r="S177" s="7"/>
      <c r="T177" s="7"/>
      <c r="U177" s="7" t="s">
        <v>2288</v>
      </c>
      <c r="V177" s="7" t="s">
        <v>2289</v>
      </c>
      <c r="W177" s="7" t="str">
        <f>Preencher!$B$3&amp;U177&amp;V177&amp;A177&amp;$W$6</f>
        <v>JARINU-FRG355976MQ.TUNEL DE CG (CONTINUO)</v>
      </c>
      <c r="X177" s="7" t="str">
        <f>Preencher!$B$3&amp;U177&amp;V177&amp;A177&amp;$X$6</f>
        <v>JARINU-FRG355976MQ.TUNEL DE CG (CONTINUO) (1)</v>
      </c>
      <c r="Y177" s="7" t="str">
        <f>Preencher!$B$3&amp;U177&amp;V177&amp;A177&amp;$Y$6</f>
        <v>JARINU-FRG355976MQ.TUNEL DE CG (CONTINUO) (2)</v>
      </c>
      <c r="Z177" s="7" t="str">
        <f>Preencher!$B$3&amp;U177&amp;V177&amp;A177&amp;$Z$6</f>
        <v>JARINU-FRG355976MQ.TUNEL DE CG (CONTINUO) (3)</v>
      </c>
      <c r="AA177" s="7" t="str">
        <f>Preencher!$B$3&amp;U177&amp;V177&amp;A177&amp;$AA$6</f>
        <v>JARINU-FRG355976MQ.TUNEL DE CG (ESTATICO)</v>
      </c>
      <c r="AB177" s="7" t="str">
        <f>Preencher!$B$3&amp;U177&amp;V177&amp;A177&amp;$AB$6</f>
        <v>JARINU-FRG355976MQ.TUNEL DE CG (ESTATICO) (1)</v>
      </c>
      <c r="AC177" s="7" t="str">
        <f>Preencher!$B$3&amp;U177&amp;V177&amp;A177&amp;$AC$6</f>
        <v>JARINU-FRG355976MQ.TUNEL DE CG (ESTATICO) (2)</v>
      </c>
      <c r="AD177" s="327">
        <f>IFERROR(SUMIF('BD Otimix'!A:A,'BD VOLUME'!X177,'BD Otimix'!O:O)+SUMIF('BD Otimix'!A:A,'BD VOLUME'!Y177,'BD Otimix'!O:O)+SUMIF('BD Otimix'!A:A,'BD VOLUME'!Z177,'BD Otimix'!O:O)+SUMIF('BD Otimix'!A:A,'BD VOLUME'!AA177,'BD Otimix'!O:O)+SUMIF('BD Otimix'!A:A,'BD VOLUME'!AB177,'BD Otimix'!O:O)+SUMIF('BD Otimix'!A:A,'BD VOLUME'!AC177,'BD Otimix'!O:O)+SUMIF('BD Otimix'!A:A,'BD VOLUME'!W177,'BD Otimix'!O:O),0)</f>
        <v>0</v>
      </c>
      <c r="AE177" s="327">
        <f t="shared" si="51"/>
        <v>0</v>
      </c>
      <c r="AF177" s="7" t="str">
        <f>Preencher!$B$3&amp;$U$8&amp;$V$8&amp;A177&amp;$AF$6</f>
        <v>JARINU-FRG355976MQ.GIROFREEZER</v>
      </c>
      <c r="AG177" s="7" t="str">
        <f>Preencher!$B$3&amp;$U$8&amp;$V$8&amp;A177&amp;$AG$6</f>
        <v>JARINU-FRG355976MQ.GIROFREEZER (1)</v>
      </c>
      <c r="AH177" s="7" t="str">
        <f>Preencher!$B$3&amp;$U$8&amp;$V$8&amp;A177&amp;$AH$6</f>
        <v>JARINU-FRG355976MQ.GIROFREEZER (2)</v>
      </c>
      <c r="AI177" s="7" t="str">
        <f>Preencher!$B$3&amp;$U$8&amp;$V$8&amp;A177&amp;$AI$6</f>
        <v>JARINU-FRG355976MQ.GIROFREEZER REV04</v>
      </c>
      <c r="AJ177" s="7" t="str">
        <f>Preencher!$B$3&amp;$U$8&amp;$V$8&amp;A177&amp;$AJ$6</f>
        <v>JARINU-FRG355976MQ.GIROFREEZER (3)</v>
      </c>
      <c r="AK177" s="327">
        <f>IFERROR(SUMIF('BD Otimix'!A:A,'BD VOLUME'!AG177,'BD Otimix'!O:O)+SUMIF('BD Otimix'!A:A,'BD VOLUME'!AH177,'BD Otimix'!O:O)+SUMIF('BD Otimix'!A:A,'BD VOLUME'!AI177,'BD Otimix'!O:O)+SUMIF('BD Otimix'!A:A,'BD VOLUME'!AJ177,'BD Otimix'!O:O)+SUMIF('BD Otimix'!A:A,'BD VOLUME'!AF177,'BD Otimix'!O:O),0)</f>
        <v>0</v>
      </c>
      <c r="AL177" s="7">
        <f t="shared" si="52"/>
        <v>0</v>
      </c>
    </row>
    <row r="178" spans="1:38">
      <c r="A178" s="324">
        <v>355984</v>
      </c>
      <c r="B178" s="324" t="s">
        <v>1243</v>
      </c>
      <c r="C178" s="5" t="s">
        <v>1244</v>
      </c>
      <c r="D178" s="5" t="s">
        <v>939</v>
      </c>
      <c r="E178" s="5" t="s">
        <v>1196</v>
      </c>
      <c r="F178" s="132">
        <f>SUMIF('COLAR PLANO'!$A:$A,A178,'COLAR PLANO'!$D:$D)</f>
        <v>0</v>
      </c>
      <c r="G178" s="131">
        <f t="shared" si="48"/>
        <v>0</v>
      </c>
      <c r="H178" s="6">
        <v>0.746</v>
      </c>
      <c r="I178" s="7">
        <f t="shared" si="53"/>
        <v>0</v>
      </c>
      <c r="J178" s="130">
        <f t="shared" si="54"/>
        <v>0</v>
      </c>
      <c r="K178" s="327">
        <v>1.4</v>
      </c>
      <c r="L178" s="324">
        <v>10</v>
      </c>
      <c r="M178" s="324">
        <v>14</v>
      </c>
      <c r="N178" s="7">
        <f t="shared" si="49"/>
        <v>0</v>
      </c>
      <c r="O178" s="311"/>
      <c r="P178" s="311">
        <f t="shared" si="50"/>
        <v>0</v>
      </c>
      <c r="Q178" s="7"/>
      <c r="R178" s="7"/>
      <c r="S178" s="7"/>
      <c r="T178" s="7"/>
      <c r="U178" s="7" t="s">
        <v>2288</v>
      </c>
      <c r="V178" s="7" t="s">
        <v>2289</v>
      </c>
      <c r="W178" s="7" t="str">
        <f>Preencher!$B$3&amp;U178&amp;V178&amp;A178&amp;$W$6</f>
        <v>JARINU-FRG355984MQ.TUNEL DE CG (CONTINUO)</v>
      </c>
      <c r="X178" s="7" t="str">
        <f>Preencher!$B$3&amp;U178&amp;V178&amp;A178&amp;$X$6</f>
        <v>JARINU-FRG355984MQ.TUNEL DE CG (CONTINUO) (1)</v>
      </c>
      <c r="Y178" s="7" t="str">
        <f>Preencher!$B$3&amp;U178&amp;V178&amp;A178&amp;$Y$6</f>
        <v>JARINU-FRG355984MQ.TUNEL DE CG (CONTINUO) (2)</v>
      </c>
      <c r="Z178" s="7" t="str">
        <f>Preencher!$B$3&amp;U178&amp;V178&amp;A178&amp;$Z$6</f>
        <v>JARINU-FRG355984MQ.TUNEL DE CG (CONTINUO) (3)</v>
      </c>
      <c r="AA178" s="7" t="str">
        <f>Preencher!$B$3&amp;U178&amp;V178&amp;A178&amp;$AA$6</f>
        <v>JARINU-FRG355984MQ.TUNEL DE CG (ESTATICO)</v>
      </c>
      <c r="AB178" s="7" t="str">
        <f>Preencher!$B$3&amp;U178&amp;V178&amp;A178&amp;$AB$6</f>
        <v>JARINU-FRG355984MQ.TUNEL DE CG (ESTATICO) (1)</v>
      </c>
      <c r="AC178" s="7" t="str">
        <f>Preencher!$B$3&amp;U178&amp;V178&amp;A178&amp;$AC$6</f>
        <v>JARINU-FRG355984MQ.TUNEL DE CG (ESTATICO) (2)</v>
      </c>
      <c r="AD178" s="327">
        <f>IFERROR(SUMIF('BD Otimix'!A:A,'BD VOLUME'!X178,'BD Otimix'!O:O)+SUMIF('BD Otimix'!A:A,'BD VOLUME'!Y178,'BD Otimix'!O:O)+SUMIF('BD Otimix'!A:A,'BD VOLUME'!Z178,'BD Otimix'!O:O)+SUMIF('BD Otimix'!A:A,'BD VOLUME'!AA178,'BD Otimix'!O:O)+SUMIF('BD Otimix'!A:A,'BD VOLUME'!AB178,'BD Otimix'!O:O)+SUMIF('BD Otimix'!A:A,'BD VOLUME'!AC178,'BD Otimix'!O:O)+SUMIF('BD Otimix'!A:A,'BD VOLUME'!W178,'BD Otimix'!O:O),0)</f>
        <v>0</v>
      </c>
      <c r="AE178" s="327">
        <f t="shared" si="51"/>
        <v>0</v>
      </c>
      <c r="AF178" s="7" t="str">
        <f>Preencher!$B$3&amp;$U$8&amp;$V$8&amp;A178&amp;$AF$6</f>
        <v>JARINU-FRG355984MQ.GIROFREEZER</v>
      </c>
      <c r="AG178" s="7" t="str">
        <f>Preencher!$B$3&amp;$U$8&amp;$V$8&amp;A178&amp;$AG$6</f>
        <v>JARINU-FRG355984MQ.GIROFREEZER (1)</v>
      </c>
      <c r="AH178" s="7" t="str">
        <f>Preencher!$B$3&amp;$U$8&amp;$V$8&amp;A178&amp;$AH$6</f>
        <v>JARINU-FRG355984MQ.GIROFREEZER (2)</v>
      </c>
      <c r="AI178" s="7" t="str">
        <f>Preencher!$B$3&amp;$U$8&amp;$V$8&amp;A178&amp;$AI$6</f>
        <v>JARINU-FRG355984MQ.GIROFREEZER REV04</v>
      </c>
      <c r="AJ178" s="7" t="str">
        <f>Preencher!$B$3&amp;$U$8&amp;$V$8&amp;A178&amp;$AJ$6</f>
        <v>JARINU-FRG355984MQ.GIROFREEZER (3)</v>
      </c>
      <c r="AK178" s="327">
        <f>IFERROR(SUMIF('BD Otimix'!A:A,'BD VOLUME'!AG178,'BD Otimix'!O:O)+SUMIF('BD Otimix'!A:A,'BD VOLUME'!AH178,'BD Otimix'!O:O)+SUMIF('BD Otimix'!A:A,'BD VOLUME'!AI178,'BD Otimix'!O:O)+SUMIF('BD Otimix'!A:A,'BD VOLUME'!AJ178,'BD Otimix'!O:O)+SUMIF('BD Otimix'!A:A,'BD VOLUME'!AF178,'BD Otimix'!O:O),0)</f>
        <v>0</v>
      </c>
      <c r="AL178" s="7">
        <f t="shared" si="52"/>
        <v>0</v>
      </c>
    </row>
    <row r="179" spans="1:38">
      <c r="A179" s="324">
        <v>355992</v>
      </c>
      <c r="B179" s="324" t="s">
        <v>1245</v>
      </c>
      <c r="C179" s="5" t="s">
        <v>1246</v>
      </c>
      <c r="D179" s="5" t="s">
        <v>939</v>
      </c>
      <c r="E179" s="5" t="s">
        <v>1196</v>
      </c>
      <c r="F179" s="132">
        <f>SUMIF('COLAR PLANO'!$A:$A,A179,'COLAR PLANO'!$D:$D)</f>
        <v>0</v>
      </c>
      <c r="G179" s="131">
        <f t="shared" si="48"/>
        <v>0</v>
      </c>
      <c r="H179" s="6">
        <v>0.746</v>
      </c>
      <c r="I179" s="7">
        <f t="shared" si="53"/>
        <v>0</v>
      </c>
      <c r="J179" s="130">
        <f t="shared" si="54"/>
        <v>0</v>
      </c>
      <c r="K179" s="327">
        <v>1.5</v>
      </c>
      <c r="L179" s="324">
        <v>8</v>
      </c>
      <c r="M179" s="324">
        <v>12</v>
      </c>
      <c r="N179" s="7">
        <f t="shared" si="49"/>
        <v>0</v>
      </c>
      <c r="O179" s="311"/>
      <c r="P179" s="311">
        <f t="shared" si="50"/>
        <v>0</v>
      </c>
      <c r="Q179" s="7"/>
      <c r="R179" s="7"/>
      <c r="S179" s="7"/>
      <c r="T179" s="7"/>
      <c r="U179" s="7" t="s">
        <v>2288</v>
      </c>
      <c r="V179" s="7" t="s">
        <v>2289</v>
      </c>
      <c r="W179" s="7" t="str">
        <f>Preencher!$B$3&amp;U179&amp;V179&amp;A179&amp;$W$6</f>
        <v>JARINU-FRG355992MQ.TUNEL DE CG (CONTINUO)</v>
      </c>
      <c r="X179" s="7" t="str">
        <f>Preencher!$B$3&amp;U179&amp;V179&amp;A179&amp;$X$6</f>
        <v>JARINU-FRG355992MQ.TUNEL DE CG (CONTINUO) (1)</v>
      </c>
      <c r="Y179" s="7" t="str">
        <f>Preencher!$B$3&amp;U179&amp;V179&amp;A179&amp;$Y$6</f>
        <v>JARINU-FRG355992MQ.TUNEL DE CG (CONTINUO) (2)</v>
      </c>
      <c r="Z179" s="7" t="str">
        <f>Preencher!$B$3&amp;U179&amp;V179&amp;A179&amp;$Z$6</f>
        <v>JARINU-FRG355992MQ.TUNEL DE CG (CONTINUO) (3)</v>
      </c>
      <c r="AA179" s="7" t="str">
        <f>Preencher!$B$3&amp;U179&amp;V179&amp;A179&amp;$AA$6</f>
        <v>JARINU-FRG355992MQ.TUNEL DE CG (ESTATICO)</v>
      </c>
      <c r="AB179" s="7" t="str">
        <f>Preencher!$B$3&amp;U179&amp;V179&amp;A179&amp;$AB$6</f>
        <v>JARINU-FRG355992MQ.TUNEL DE CG (ESTATICO) (1)</v>
      </c>
      <c r="AC179" s="7" t="str">
        <f>Preencher!$B$3&amp;U179&amp;V179&amp;A179&amp;$AC$6</f>
        <v>JARINU-FRG355992MQ.TUNEL DE CG (ESTATICO) (2)</v>
      </c>
      <c r="AD179" s="327">
        <f>IFERROR(SUMIF('BD Otimix'!A:A,'BD VOLUME'!X179,'BD Otimix'!O:O)+SUMIF('BD Otimix'!A:A,'BD VOLUME'!Y179,'BD Otimix'!O:O)+SUMIF('BD Otimix'!A:A,'BD VOLUME'!Z179,'BD Otimix'!O:O)+SUMIF('BD Otimix'!A:A,'BD VOLUME'!AA179,'BD Otimix'!O:O)+SUMIF('BD Otimix'!A:A,'BD VOLUME'!AB179,'BD Otimix'!O:O)+SUMIF('BD Otimix'!A:A,'BD VOLUME'!AC179,'BD Otimix'!O:O)+SUMIF('BD Otimix'!A:A,'BD VOLUME'!W179,'BD Otimix'!O:O),0)</f>
        <v>0</v>
      </c>
      <c r="AE179" s="327">
        <f t="shared" si="51"/>
        <v>0</v>
      </c>
      <c r="AF179" s="7" t="str">
        <f>Preencher!$B$3&amp;$U$8&amp;$V$8&amp;A179&amp;$AF$6</f>
        <v>JARINU-FRG355992MQ.GIROFREEZER</v>
      </c>
      <c r="AG179" s="7" t="str">
        <f>Preencher!$B$3&amp;$U$8&amp;$V$8&amp;A179&amp;$AG$6</f>
        <v>JARINU-FRG355992MQ.GIROFREEZER (1)</v>
      </c>
      <c r="AH179" s="7" t="str">
        <f>Preencher!$B$3&amp;$U$8&amp;$V$8&amp;A179&amp;$AH$6</f>
        <v>JARINU-FRG355992MQ.GIROFREEZER (2)</v>
      </c>
      <c r="AI179" s="7" t="str">
        <f>Preencher!$B$3&amp;$U$8&amp;$V$8&amp;A179&amp;$AI$6</f>
        <v>JARINU-FRG355992MQ.GIROFREEZER REV04</v>
      </c>
      <c r="AJ179" s="7" t="str">
        <f>Preencher!$B$3&amp;$U$8&amp;$V$8&amp;A179&amp;$AJ$6</f>
        <v>JARINU-FRG355992MQ.GIROFREEZER (3)</v>
      </c>
      <c r="AK179" s="327">
        <f>IFERROR(SUMIF('BD Otimix'!A:A,'BD VOLUME'!AG179,'BD Otimix'!O:O)+SUMIF('BD Otimix'!A:A,'BD VOLUME'!AH179,'BD Otimix'!O:O)+SUMIF('BD Otimix'!A:A,'BD VOLUME'!AI179,'BD Otimix'!O:O)+SUMIF('BD Otimix'!A:A,'BD VOLUME'!AJ179,'BD Otimix'!O:O)+SUMIF('BD Otimix'!A:A,'BD VOLUME'!AF179,'BD Otimix'!O:O),0)</f>
        <v>0</v>
      </c>
      <c r="AL179" s="7">
        <f t="shared" si="52"/>
        <v>0</v>
      </c>
    </row>
    <row r="180" spans="1:38">
      <c r="A180" s="324">
        <v>380180</v>
      </c>
      <c r="B180" s="324" t="s">
        <v>1247</v>
      </c>
      <c r="C180" s="5" t="s">
        <v>1186</v>
      </c>
      <c r="D180" s="5" t="s">
        <v>939</v>
      </c>
      <c r="E180" s="5" t="s">
        <v>1196</v>
      </c>
      <c r="F180" s="132">
        <f>SUMIF('COLAR PLANO'!$A:$A,A180,'COLAR PLANO'!$D:$D)</f>
        <v>0</v>
      </c>
      <c r="G180" s="131">
        <f t="shared" si="48"/>
        <v>0</v>
      </c>
      <c r="H180" s="6">
        <v>0.746</v>
      </c>
      <c r="I180" s="7">
        <f t="shared" si="53"/>
        <v>0</v>
      </c>
      <c r="J180" s="130">
        <f t="shared" si="54"/>
        <v>0</v>
      </c>
      <c r="K180" s="327">
        <v>0.9</v>
      </c>
      <c r="L180" s="324">
        <v>10</v>
      </c>
      <c r="M180" s="324">
        <v>9</v>
      </c>
      <c r="N180" s="7">
        <f t="shared" si="49"/>
        <v>0</v>
      </c>
      <c r="O180" s="311"/>
      <c r="P180" s="311">
        <f t="shared" si="50"/>
        <v>0</v>
      </c>
      <c r="Q180" s="7"/>
      <c r="R180" s="7"/>
      <c r="S180" s="7"/>
      <c r="T180" s="7"/>
      <c r="U180" s="7" t="s">
        <v>2288</v>
      </c>
      <c r="V180" s="7" t="s">
        <v>2289</v>
      </c>
      <c r="W180" s="7" t="str">
        <f>Preencher!$B$3&amp;U180&amp;V180&amp;A180&amp;$W$6</f>
        <v>JARINU-FRG380180MQ.TUNEL DE CG (CONTINUO)</v>
      </c>
      <c r="X180" s="7" t="str">
        <f>Preencher!$B$3&amp;U180&amp;V180&amp;A180&amp;$X$6</f>
        <v>JARINU-FRG380180MQ.TUNEL DE CG (CONTINUO) (1)</v>
      </c>
      <c r="Y180" s="7" t="str">
        <f>Preencher!$B$3&amp;U180&amp;V180&amp;A180&amp;$Y$6</f>
        <v>JARINU-FRG380180MQ.TUNEL DE CG (CONTINUO) (2)</v>
      </c>
      <c r="Z180" s="7" t="str">
        <f>Preencher!$B$3&amp;U180&amp;V180&amp;A180&amp;$Z$6</f>
        <v>JARINU-FRG380180MQ.TUNEL DE CG (CONTINUO) (3)</v>
      </c>
      <c r="AA180" s="7" t="str">
        <f>Preencher!$B$3&amp;U180&amp;V180&amp;A180&amp;$AA$6</f>
        <v>JARINU-FRG380180MQ.TUNEL DE CG (ESTATICO)</v>
      </c>
      <c r="AB180" s="7" t="str">
        <f>Preencher!$B$3&amp;U180&amp;V180&amp;A180&amp;$AB$6</f>
        <v>JARINU-FRG380180MQ.TUNEL DE CG (ESTATICO) (1)</v>
      </c>
      <c r="AC180" s="7" t="str">
        <f>Preencher!$B$3&amp;U180&amp;V180&amp;A180&amp;$AC$6</f>
        <v>JARINU-FRG380180MQ.TUNEL DE CG (ESTATICO) (2)</v>
      </c>
      <c r="AD180" s="327">
        <f>IFERROR(SUMIF('BD Otimix'!A:A,'BD VOLUME'!X180,'BD Otimix'!O:O)+SUMIF('BD Otimix'!A:A,'BD VOLUME'!Y180,'BD Otimix'!O:O)+SUMIF('BD Otimix'!A:A,'BD VOLUME'!Z180,'BD Otimix'!O:O)+SUMIF('BD Otimix'!A:A,'BD VOLUME'!AA180,'BD Otimix'!O:O)+SUMIF('BD Otimix'!A:A,'BD VOLUME'!AB180,'BD Otimix'!O:O)+SUMIF('BD Otimix'!A:A,'BD VOLUME'!AC180,'BD Otimix'!O:O)+SUMIF('BD Otimix'!A:A,'BD VOLUME'!W180,'BD Otimix'!O:O),0)</f>
        <v>0</v>
      </c>
      <c r="AE180" s="327">
        <f t="shared" si="51"/>
        <v>0</v>
      </c>
      <c r="AF180" s="7" t="str">
        <f>Preencher!$B$3&amp;$U$8&amp;$V$8&amp;A180&amp;$AF$6</f>
        <v>JARINU-FRG380180MQ.GIROFREEZER</v>
      </c>
      <c r="AG180" s="7" t="str">
        <f>Preencher!$B$3&amp;$U$8&amp;$V$8&amp;A180&amp;$AG$6</f>
        <v>JARINU-FRG380180MQ.GIROFREEZER (1)</v>
      </c>
      <c r="AH180" s="7" t="str">
        <f>Preencher!$B$3&amp;$U$8&amp;$V$8&amp;A180&amp;$AH$6</f>
        <v>JARINU-FRG380180MQ.GIROFREEZER (2)</v>
      </c>
      <c r="AI180" s="7" t="str">
        <f>Preencher!$B$3&amp;$U$8&amp;$V$8&amp;A180&amp;$AI$6</f>
        <v>JARINU-FRG380180MQ.GIROFREEZER REV04</v>
      </c>
      <c r="AJ180" s="7" t="str">
        <f>Preencher!$B$3&amp;$U$8&amp;$V$8&amp;A180&amp;$AJ$6</f>
        <v>JARINU-FRG380180MQ.GIROFREEZER (3)</v>
      </c>
      <c r="AK180" s="327">
        <f>IFERROR(SUMIF('BD Otimix'!A:A,'BD VOLUME'!AG180,'BD Otimix'!O:O)+SUMIF('BD Otimix'!A:A,'BD VOLUME'!AH180,'BD Otimix'!O:O)+SUMIF('BD Otimix'!A:A,'BD VOLUME'!AI180,'BD Otimix'!O:O)+SUMIF('BD Otimix'!A:A,'BD VOLUME'!AJ180,'BD Otimix'!O:O)+SUMIF('BD Otimix'!A:A,'BD VOLUME'!AF180,'BD Otimix'!O:O),0)</f>
        <v>0</v>
      </c>
      <c r="AL180" s="7">
        <f t="shared" si="52"/>
        <v>0</v>
      </c>
    </row>
    <row r="181" spans="1:38">
      <c r="A181" s="324">
        <v>1224</v>
      </c>
      <c r="B181" s="324">
        <v>0</v>
      </c>
      <c r="C181" s="5" t="s">
        <v>1248</v>
      </c>
      <c r="D181" s="5" t="s">
        <v>939</v>
      </c>
      <c r="E181" s="5" t="s">
        <v>1196</v>
      </c>
      <c r="F181" s="132">
        <f>SUMIF('COLAR PLANO'!$A:$A,A181,'COLAR PLANO'!$D:$D)</f>
        <v>0</v>
      </c>
      <c r="G181" s="131">
        <f t="shared" si="48"/>
        <v>0</v>
      </c>
      <c r="H181" s="6">
        <v>0.74340000000000006</v>
      </c>
      <c r="I181" s="7">
        <f t="shared" si="53"/>
        <v>0</v>
      </c>
      <c r="J181" s="130">
        <f t="shared" si="54"/>
        <v>0</v>
      </c>
      <c r="K181" s="327">
        <v>0.9</v>
      </c>
      <c r="L181" s="324">
        <v>10</v>
      </c>
      <c r="M181" s="324">
        <v>9</v>
      </c>
      <c r="N181" s="7">
        <f t="shared" si="49"/>
        <v>0</v>
      </c>
      <c r="O181" s="311"/>
      <c r="P181" s="311">
        <f t="shared" si="50"/>
        <v>0</v>
      </c>
      <c r="Q181" s="7"/>
      <c r="R181" s="7"/>
      <c r="S181" s="7"/>
      <c r="T181" s="7"/>
      <c r="U181" s="7" t="s">
        <v>2288</v>
      </c>
      <c r="V181" s="7" t="s">
        <v>2289</v>
      </c>
      <c r="W181" s="7" t="str">
        <f>Preencher!$B$3&amp;U181&amp;V181&amp;A181&amp;$W$6</f>
        <v>JARINU-FRG1224MQ.TUNEL DE CG (CONTINUO)</v>
      </c>
      <c r="X181" s="7" t="str">
        <f>Preencher!$B$3&amp;U181&amp;V181&amp;A181&amp;$X$6</f>
        <v>JARINU-FRG1224MQ.TUNEL DE CG (CONTINUO) (1)</v>
      </c>
      <c r="Y181" s="7" t="str">
        <f>Preencher!$B$3&amp;U181&amp;V181&amp;A181&amp;$Y$6</f>
        <v>JARINU-FRG1224MQ.TUNEL DE CG (CONTINUO) (2)</v>
      </c>
      <c r="Z181" s="7" t="str">
        <f>Preencher!$B$3&amp;U181&amp;V181&amp;A181&amp;$Z$6</f>
        <v>JARINU-FRG1224MQ.TUNEL DE CG (CONTINUO) (3)</v>
      </c>
      <c r="AA181" s="7" t="str">
        <f>Preencher!$B$3&amp;U181&amp;V181&amp;A181&amp;$AA$6</f>
        <v>JARINU-FRG1224MQ.TUNEL DE CG (ESTATICO)</v>
      </c>
      <c r="AB181" s="7" t="str">
        <f>Preencher!$B$3&amp;U181&amp;V181&amp;A181&amp;$AB$6</f>
        <v>JARINU-FRG1224MQ.TUNEL DE CG (ESTATICO) (1)</v>
      </c>
      <c r="AC181" s="7" t="str">
        <f>Preencher!$B$3&amp;U181&amp;V181&amp;A181&amp;$AC$6</f>
        <v>JARINU-FRG1224MQ.TUNEL DE CG (ESTATICO) (2)</v>
      </c>
      <c r="AD181" s="327">
        <f>IFERROR(SUMIF('BD Otimix'!A:A,'BD VOLUME'!X181,'BD Otimix'!O:O)+SUMIF('BD Otimix'!A:A,'BD VOLUME'!Y181,'BD Otimix'!O:O)+SUMIF('BD Otimix'!A:A,'BD VOLUME'!Z181,'BD Otimix'!O:O)+SUMIF('BD Otimix'!A:A,'BD VOLUME'!AA181,'BD Otimix'!O:O)+SUMIF('BD Otimix'!A:A,'BD VOLUME'!AB181,'BD Otimix'!O:O)+SUMIF('BD Otimix'!A:A,'BD VOLUME'!AC181,'BD Otimix'!O:O)+SUMIF('BD Otimix'!A:A,'BD VOLUME'!W181,'BD Otimix'!O:O),0)</f>
        <v>0</v>
      </c>
      <c r="AE181" s="327">
        <f t="shared" si="51"/>
        <v>0</v>
      </c>
      <c r="AF181" s="7" t="str">
        <f>Preencher!$B$3&amp;$U$8&amp;$V$8&amp;A181&amp;$AF$6</f>
        <v>JARINU-FRG1224MQ.GIROFREEZER</v>
      </c>
      <c r="AG181" s="7" t="str">
        <f>Preencher!$B$3&amp;$U$8&amp;$V$8&amp;A181&amp;$AG$6</f>
        <v>JARINU-FRG1224MQ.GIROFREEZER (1)</v>
      </c>
      <c r="AH181" s="7" t="str">
        <f>Preencher!$B$3&amp;$U$8&amp;$V$8&amp;A181&amp;$AH$6</f>
        <v>JARINU-FRG1224MQ.GIROFREEZER (2)</v>
      </c>
      <c r="AI181" s="7" t="str">
        <f>Preencher!$B$3&amp;$U$8&amp;$V$8&amp;A181&amp;$AI$6</f>
        <v>JARINU-FRG1224MQ.GIROFREEZER REV04</v>
      </c>
      <c r="AJ181" s="7" t="str">
        <f>Preencher!$B$3&amp;$U$8&amp;$V$8&amp;A181&amp;$AJ$6</f>
        <v>JARINU-FRG1224MQ.GIROFREEZER (3)</v>
      </c>
      <c r="AK181" s="327">
        <f>IFERROR(SUMIF('BD Otimix'!A:A,'BD VOLUME'!AG181,'BD Otimix'!O:O)+SUMIF('BD Otimix'!A:A,'BD VOLUME'!AH181,'BD Otimix'!O:O)+SUMIF('BD Otimix'!A:A,'BD VOLUME'!AI181,'BD Otimix'!O:O)+SUMIF('BD Otimix'!A:A,'BD VOLUME'!AJ181,'BD Otimix'!O:O)+SUMIF('BD Otimix'!A:A,'BD VOLUME'!AF181,'BD Otimix'!O:O),0)</f>
        <v>0</v>
      </c>
      <c r="AL181" s="7">
        <f t="shared" si="52"/>
        <v>0</v>
      </c>
    </row>
    <row r="182" spans="1:38">
      <c r="A182" s="324">
        <v>1421</v>
      </c>
      <c r="B182" s="324">
        <v>0</v>
      </c>
      <c r="C182" s="5" t="s">
        <v>1249</v>
      </c>
      <c r="D182" s="5" t="s">
        <v>939</v>
      </c>
      <c r="E182" s="5" t="s">
        <v>1196</v>
      </c>
      <c r="F182" s="132">
        <f>SUMIF('COLAR PLANO'!$A:$A,A182,'COLAR PLANO'!$D:$D)</f>
        <v>0</v>
      </c>
      <c r="G182" s="131">
        <f t="shared" si="48"/>
        <v>0</v>
      </c>
      <c r="H182" s="6">
        <v>0.74340000000000006</v>
      </c>
      <c r="I182" s="7">
        <f t="shared" si="53"/>
        <v>0</v>
      </c>
      <c r="J182" s="130">
        <f t="shared" si="54"/>
        <v>0</v>
      </c>
      <c r="K182" s="327">
        <v>0.8</v>
      </c>
      <c r="L182" s="324">
        <v>10</v>
      </c>
      <c r="M182" s="324">
        <v>8</v>
      </c>
      <c r="N182" s="7">
        <f t="shared" si="49"/>
        <v>0</v>
      </c>
      <c r="O182" s="311"/>
      <c r="P182" s="311">
        <f t="shared" si="50"/>
        <v>0</v>
      </c>
      <c r="Q182" s="7"/>
      <c r="R182" s="7"/>
      <c r="S182" s="7"/>
      <c r="T182" s="7"/>
      <c r="U182" s="7" t="s">
        <v>2288</v>
      </c>
      <c r="V182" s="7" t="s">
        <v>2289</v>
      </c>
      <c r="W182" s="7" t="str">
        <f>Preencher!$B$3&amp;U182&amp;V182&amp;A182&amp;$W$6</f>
        <v>JARINU-FRG1421MQ.TUNEL DE CG (CONTINUO)</v>
      </c>
      <c r="X182" s="7" t="str">
        <f>Preencher!$B$3&amp;U182&amp;V182&amp;A182&amp;$X$6</f>
        <v>JARINU-FRG1421MQ.TUNEL DE CG (CONTINUO) (1)</v>
      </c>
      <c r="Y182" s="7" t="str">
        <f>Preencher!$B$3&amp;U182&amp;V182&amp;A182&amp;$Y$6</f>
        <v>JARINU-FRG1421MQ.TUNEL DE CG (CONTINUO) (2)</v>
      </c>
      <c r="Z182" s="7" t="str">
        <f>Preencher!$B$3&amp;U182&amp;V182&amp;A182&amp;$Z$6</f>
        <v>JARINU-FRG1421MQ.TUNEL DE CG (CONTINUO) (3)</v>
      </c>
      <c r="AA182" s="7" t="str">
        <f>Preencher!$B$3&amp;U182&amp;V182&amp;A182&amp;$AA$6</f>
        <v>JARINU-FRG1421MQ.TUNEL DE CG (ESTATICO)</v>
      </c>
      <c r="AB182" s="7" t="str">
        <f>Preencher!$B$3&amp;U182&amp;V182&amp;A182&amp;$AB$6</f>
        <v>JARINU-FRG1421MQ.TUNEL DE CG (ESTATICO) (1)</v>
      </c>
      <c r="AC182" s="7" t="str">
        <f>Preencher!$B$3&amp;U182&amp;V182&amp;A182&amp;$AC$6</f>
        <v>JARINU-FRG1421MQ.TUNEL DE CG (ESTATICO) (2)</v>
      </c>
      <c r="AD182" s="327">
        <f>IFERROR(SUMIF('BD Otimix'!A:A,'BD VOLUME'!X182,'BD Otimix'!O:O)+SUMIF('BD Otimix'!A:A,'BD VOLUME'!Y182,'BD Otimix'!O:O)+SUMIF('BD Otimix'!A:A,'BD VOLUME'!Z182,'BD Otimix'!O:O)+SUMIF('BD Otimix'!A:A,'BD VOLUME'!AA182,'BD Otimix'!O:O)+SUMIF('BD Otimix'!A:A,'BD VOLUME'!AB182,'BD Otimix'!O:O)+SUMIF('BD Otimix'!A:A,'BD VOLUME'!AC182,'BD Otimix'!O:O)+SUMIF('BD Otimix'!A:A,'BD VOLUME'!W182,'BD Otimix'!O:O),0)</f>
        <v>0</v>
      </c>
      <c r="AE182" s="327">
        <f t="shared" si="51"/>
        <v>0</v>
      </c>
      <c r="AF182" s="7" t="str">
        <f>Preencher!$B$3&amp;$U$8&amp;$V$8&amp;A182&amp;$AF$6</f>
        <v>JARINU-FRG1421MQ.GIROFREEZER</v>
      </c>
      <c r="AG182" s="7" t="str">
        <f>Preencher!$B$3&amp;$U$8&amp;$V$8&amp;A182&amp;$AG$6</f>
        <v>JARINU-FRG1421MQ.GIROFREEZER (1)</v>
      </c>
      <c r="AH182" s="7" t="str">
        <f>Preencher!$B$3&amp;$U$8&amp;$V$8&amp;A182&amp;$AH$6</f>
        <v>JARINU-FRG1421MQ.GIROFREEZER (2)</v>
      </c>
      <c r="AI182" s="7" t="str">
        <f>Preencher!$B$3&amp;$U$8&amp;$V$8&amp;A182&amp;$AI$6</f>
        <v>JARINU-FRG1421MQ.GIROFREEZER REV04</v>
      </c>
      <c r="AJ182" s="7" t="str">
        <f>Preencher!$B$3&amp;$U$8&amp;$V$8&amp;A182&amp;$AJ$6</f>
        <v>JARINU-FRG1421MQ.GIROFREEZER (3)</v>
      </c>
      <c r="AK182" s="327">
        <f>IFERROR(SUMIF('BD Otimix'!A:A,'BD VOLUME'!AG182,'BD Otimix'!O:O)+SUMIF('BD Otimix'!A:A,'BD VOLUME'!AH182,'BD Otimix'!O:O)+SUMIF('BD Otimix'!A:A,'BD VOLUME'!AI182,'BD Otimix'!O:O)+SUMIF('BD Otimix'!A:A,'BD VOLUME'!AJ182,'BD Otimix'!O:O)+SUMIF('BD Otimix'!A:A,'BD VOLUME'!AF182,'BD Otimix'!O:O),0)</f>
        <v>0</v>
      </c>
      <c r="AL182" s="7">
        <f t="shared" si="52"/>
        <v>0</v>
      </c>
    </row>
    <row r="183" spans="1:38">
      <c r="A183" s="324">
        <v>1423</v>
      </c>
      <c r="B183" s="324">
        <v>0</v>
      </c>
      <c r="C183" s="5" t="s">
        <v>1250</v>
      </c>
      <c r="D183" s="5" t="s">
        <v>939</v>
      </c>
      <c r="E183" s="5" t="s">
        <v>1196</v>
      </c>
      <c r="F183" s="132">
        <f>SUMIF('COLAR PLANO'!$A:$A,A183,'COLAR PLANO'!$D:$D)</f>
        <v>0</v>
      </c>
      <c r="G183" s="131">
        <f t="shared" si="48"/>
        <v>0</v>
      </c>
      <c r="H183" s="6">
        <v>0.74340000000000006</v>
      </c>
      <c r="I183" s="7">
        <f t="shared" si="53"/>
        <v>0</v>
      </c>
      <c r="J183" s="130">
        <f t="shared" si="54"/>
        <v>0</v>
      </c>
      <c r="K183" s="327">
        <v>1</v>
      </c>
      <c r="L183" s="324">
        <v>10</v>
      </c>
      <c r="M183" s="324">
        <v>10</v>
      </c>
      <c r="N183" s="7">
        <f t="shared" si="49"/>
        <v>0</v>
      </c>
      <c r="O183" s="311"/>
      <c r="P183" s="311">
        <f t="shared" si="50"/>
        <v>0</v>
      </c>
      <c r="Q183" s="7"/>
      <c r="R183" s="7"/>
      <c r="S183" s="7"/>
      <c r="T183" s="7"/>
      <c r="U183" s="7" t="s">
        <v>2288</v>
      </c>
      <c r="V183" s="7" t="s">
        <v>2289</v>
      </c>
      <c r="W183" s="7" t="str">
        <f>Preencher!$B$3&amp;U183&amp;V183&amp;A183&amp;$W$6</f>
        <v>JARINU-FRG1423MQ.TUNEL DE CG (CONTINUO)</v>
      </c>
      <c r="X183" s="7" t="str">
        <f>Preencher!$B$3&amp;U183&amp;V183&amp;A183&amp;$X$6</f>
        <v>JARINU-FRG1423MQ.TUNEL DE CG (CONTINUO) (1)</v>
      </c>
      <c r="Y183" s="7" t="str">
        <f>Preencher!$B$3&amp;U183&amp;V183&amp;A183&amp;$Y$6</f>
        <v>JARINU-FRG1423MQ.TUNEL DE CG (CONTINUO) (2)</v>
      </c>
      <c r="Z183" s="7" t="str">
        <f>Preencher!$B$3&amp;U183&amp;V183&amp;A183&amp;$Z$6</f>
        <v>JARINU-FRG1423MQ.TUNEL DE CG (CONTINUO) (3)</v>
      </c>
      <c r="AA183" s="7" t="str">
        <f>Preencher!$B$3&amp;U183&amp;V183&amp;A183&amp;$AA$6</f>
        <v>JARINU-FRG1423MQ.TUNEL DE CG (ESTATICO)</v>
      </c>
      <c r="AB183" s="7" t="str">
        <f>Preencher!$B$3&amp;U183&amp;V183&amp;A183&amp;$AB$6</f>
        <v>JARINU-FRG1423MQ.TUNEL DE CG (ESTATICO) (1)</v>
      </c>
      <c r="AC183" s="7" t="str">
        <f>Preencher!$B$3&amp;U183&amp;V183&amp;A183&amp;$AC$6</f>
        <v>JARINU-FRG1423MQ.TUNEL DE CG (ESTATICO) (2)</v>
      </c>
      <c r="AD183" s="327">
        <f>IFERROR(SUMIF('BD Otimix'!A:A,'BD VOLUME'!X183,'BD Otimix'!O:O)+SUMIF('BD Otimix'!A:A,'BD VOLUME'!Y183,'BD Otimix'!O:O)+SUMIF('BD Otimix'!A:A,'BD VOLUME'!Z183,'BD Otimix'!O:O)+SUMIF('BD Otimix'!A:A,'BD VOLUME'!AA183,'BD Otimix'!O:O)+SUMIF('BD Otimix'!A:A,'BD VOLUME'!AB183,'BD Otimix'!O:O)+SUMIF('BD Otimix'!A:A,'BD VOLUME'!AC183,'BD Otimix'!O:O)+SUMIF('BD Otimix'!A:A,'BD VOLUME'!W183,'BD Otimix'!O:O),0)</f>
        <v>0</v>
      </c>
      <c r="AE183" s="327">
        <f t="shared" si="51"/>
        <v>0</v>
      </c>
      <c r="AF183" s="7" t="str">
        <f>Preencher!$B$3&amp;$U$8&amp;$V$8&amp;A183&amp;$AF$6</f>
        <v>JARINU-FRG1423MQ.GIROFREEZER</v>
      </c>
      <c r="AG183" s="7" t="str">
        <f>Preencher!$B$3&amp;$U$8&amp;$V$8&amp;A183&amp;$AG$6</f>
        <v>JARINU-FRG1423MQ.GIROFREEZER (1)</v>
      </c>
      <c r="AH183" s="7" t="str">
        <f>Preencher!$B$3&amp;$U$8&amp;$V$8&amp;A183&amp;$AH$6</f>
        <v>JARINU-FRG1423MQ.GIROFREEZER (2)</v>
      </c>
      <c r="AI183" s="7" t="str">
        <f>Preencher!$B$3&amp;$U$8&amp;$V$8&amp;A183&amp;$AI$6</f>
        <v>JARINU-FRG1423MQ.GIROFREEZER REV04</v>
      </c>
      <c r="AJ183" s="7" t="str">
        <f>Preencher!$B$3&amp;$U$8&amp;$V$8&amp;A183&amp;$AJ$6</f>
        <v>JARINU-FRG1423MQ.GIROFREEZER (3)</v>
      </c>
      <c r="AK183" s="327">
        <f>IFERROR(SUMIF('BD Otimix'!A:A,'BD VOLUME'!AG183,'BD Otimix'!O:O)+SUMIF('BD Otimix'!A:A,'BD VOLUME'!AH183,'BD Otimix'!O:O)+SUMIF('BD Otimix'!A:A,'BD VOLUME'!AI183,'BD Otimix'!O:O)+SUMIF('BD Otimix'!A:A,'BD VOLUME'!AJ183,'BD Otimix'!O:O)+SUMIF('BD Otimix'!A:A,'BD VOLUME'!AF183,'BD Otimix'!O:O),0)</f>
        <v>0</v>
      </c>
      <c r="AL183" s="7">
        <f t="shared" si="52"/>
        <v>0</v>
      </c>
    </row>
    <row r="184" spans="1:38">
      <c r="A184" s="324">
        <v>1425</v>
      </c>
      <c r="B184" s="324">
        <v>0</v>
      </c>
      <c r="C184" s="5" t="s">
        <v>1251</v>
      </c>
      <c r="D184" s="5" t="s">
        <v>939</v>
      </c>
      <c r="E184" s="5" t="s">
        <v>1196</v>
      </c>
      <c r="F184" s="132">
        <f>SUMIF('COLAR PLANO'!$A:$A,A184,'COLAR PLANO'!$D:$D)</f>
        <v>0</v>
      </c>
      <c r="G184" s="131">
        <f t="shared" si="48"/>
        <v>0</v>
      </c>
      <c r="H184" s="6">
        <v>0.74340000000000006</v>
      </c>
      <c r="I184" s="7">
        <f t="shared" si="53"/>
        <v>0</v>
      </c>
      <c r="J184" s="130">
        <f t="shared" si="54"/>
        <v>0</v>
      </c>
      <c r="K184" s="327">
        <v>1.2</v>
      </c>
      <c r="L184" s="324">
        <v>10</v>
      </c>
      <c r="M184" s="324">
        <v>12</v>
      </c>
      <c r="N184" s="7">
        <f t="shared" si="49"/>
        <v>0</v>
      </c>
      <c r="O184" s="311"/>
      <c r="P184" s="311">
        <f t="shared" si="50"/>
        <v>0</v>
      </c>
      <c r="Q184" s="7"/>
      <c r="R184" s="7"/>
      <c r="S184" s="7"/>
      <c r="T184" s="7"/>
      <c r="U184" s="7" t="s">
        <v>2288</v>
      </c>
      <c r="V184" s="7" t="s">
        <v>2289</v>
      </c>
      <c r="W184" s="7" t="str">
        <f>Preencher!$B$3&amp;U184&amp;V184&amp;A184&amp;$W$6</f>
        <v>JARINU-FRG1425MQ.TUNEL DE CG (CONTINUO)</v>
      </c>
      <c r="X184" s="7" t="str">
        <f>Preencher!$B$3&amp;U184&amp;V184&amp;A184&amp;$X$6</f>
        <v>JARINU-FRG1425MQ.TUNEL DE CG (CONTINUO) (1)</v>
      </c>
      <c r="Y184" s="7" t="str">
        <f>Preencher!$B$3&amp;U184&amp;V184&amp;A184&amp;$Y$6</f>
        <v>JARINU-FRG1425MQ.TUNEL DE CG (CONTINUO) (2)</v>
      </c>
      <c r="Z184" s="7" t="str">
        <f>Preencher!$B$3&amp;U184&amp;V184&amp;A184&amp;$Z$6</f>
        <v>JARINU-FRG1425MQ.TUNEL DE CG (CONTINUO) (3)</v>
      </c>
      <c r="AA184" s="7" t="str">
        <f>Preencher!$B$3&amp;U184&amp;V184&amp;A184&amp;$AA$6</f>
        <v>JARINU-FRG1425MQ.TUNEL DE CG (ESTATICO)</v>
      </c>
      <c r="AB184" s="7" t="str">
        <f>Preencher!$B$3&amp;U184&amp;V184&amp;A184&amp;$AB$6</f>
        <v>JARINU-FRG1425MQ.TUNEL DE CG (ESTATICO) (1)</v>
      </c>
      <c r="AC184" s="7" t="str">
        <f>Preencher!$B$3&amp;U184&amp;V184&amp;A184&amp;$AC$6</f>
        <v>JARINU-FRG1425MQ.TUNEL DE CG (ESTATICO) (2)</v>
      </c>
      <c r="AD184" s="327">
        <f>IFERROR(SUMIF('BD Otimix'!A:A,'BD VOLUME'!X184,'BD Otimix'!O:O)+SUMIF('BD Otimix'!A:A,'BD VOLUME'!Y184,'BD Otimix'!O:O)+SUMIF('BD Otimix'!A:A,'BD VOLUME'!Z184,'BD Otimix'!O:O)+SUMIF('BD Otimix'!A:A,'BD VOLUME'!AA184,'BD Otimix'!O:O)+SUMIF('BD Otimix'!A:A,'BD VOLUME'!AB184,'BD Otimix'!O:O)+SUMIF('BD Otimix'!A:A,'BD VOLUME'!AC184,'BD Otimix'!O:O)+SUMIF('BD Otimix'!A:A,'BD VOLUME'!W184,'BD Otimix'!O:O),0)</f>
        <v>0</v>
      </c>
      <c r="AE184" s="327">
        <f t="shared" si="51"/>
        <v>0</v>
      </c>
      <c r="AF184" s="7" t="str">
        <f>Preencher!$B$3&amp;$U$8&amp;$V$8&amp;A184&amp;$AF$6</f>
        <v>JARINU-FRG1425MQ.GIROFREEZER</v>
      </c>
      <c r="AG184" s="7" t="str">
        <f>Preencher!$B$3&amp;$U$8&amp;$V$8&amp;A184&amp;$AG$6</f>
        <v>JARINU-FRG1425MQ.GIROFREEZER (1)</v>
      </c>
      <c r="AH184" s="7" t="str">
        <f>Preencher!$B$3&amp;$U$8&amp;$V$8&amp;A184&amp;$AH$6</f>
        <v>JARINU-FRG1425MQ.GIROFREEZER (2)</v>
      </c>
      <c r="AI184" s="7" t="str">
        <f>Preencher!$B$3&amp;$U$8&amp;$V$8&amp;A184&amp;$AI$6</f>
        <v>JARINU-FRG1425MQ.GIROFREEZER REV04</v>
      </c>
      <c r="AJ184" s="7" t="str">
        <f>Preencher!$B$3&amp;$U$8&amp;$V$8&amp;A184&amp;$AJ$6</f>
        <v>JARINU-FRG1425MQ.GIROFREEZER (3)</v>
      </c>
      <c r="AK184" s="327">
        <f>IFERROR(SUMIF('BD Otimix'!A:A,'BD VOLUME'!AG184,'BD Otimix'!O:O)+SUMIF('BD Otimix'!A:A,'BD VOLUME'!AH184,'BD Otimix'!O:O)+SUMIF('BD Otimix'!A:A,'BD VOLUME'!AI184,'BD Otimix'!O:O)+SUMIF('BD Otimix'!A:A,'BD VOLUME'!AJ184,'BD Otimix'!O:O)+SUMIF('BD Otimix'!A:A,'BD VOLUME'!AF184,'BD Otimix'!O:O),0)</f>
        <v>0</v>
      </c>
      <c r="AL184" s="7">
        <f t="shared" si="52"/>
        <v>0</v>
      </c>
    </row>
    <row r="185" spans="1:38">
      <c r="A185" s="324">
        <v>1426</v>
      </c>
      <c r="B185" s="324">
        <v>0</v>
      </c>
      <c r="C185" s="5" t="s">
        <v>1252</v>
      </c>
      <c r="D185" s="5" t="s">
        <v>939</v>
      </c>
      <c r="E185" s="5" t="s">
        <v>1196</v>
      </c>
      <c r="F185" s="132">
        <f>SUMIF('COLAR PLANO'!$A:$A,A185,'COLAR PLANO'!$D:$D)</f>
        <v>0</v>
      </c>
      <c r="G185" s="131">
        <f t="shared" si="48"/>
        <v>0</v>
      </c>
      <c r="H185" s="6">
        <v>0.74340000000000006</v>
      </c>
      <c r="I185" s="7">
        <f t="shared" si="53"/>
        <v>0</v>
      </c>
      <c r="J185" s="130">
        <f t="shared" si="54"/>
        <v>0</v>
      </c>
      <c r="K185" s="327">
        <v>1.3</v>
      </c>
      <c r="L185" s="324">
        <v>10</v>
      </c>
      <c r="M185" s="324">
        <v>13</v>
      </c>
      <c r="N185" s="7">
        <f t="shared" si="49"/>
        <v>0</v>
      </c>
      <c r="O185" s="311"/>
      <c r="P185" s="311">
        <f t="shared" si="50"/>
        <v>0</v>
      </c>
      <c r="Q185" s="7"/>
      <c r="R185" s="7"/>
      <c r="S185" s="7"/>
      <c r="T185" s="7"/>
      <c r="U185" s="7" t="s">
        <v>2288</v>
      </c>
      <c r="V185" s="7" t="s">
        <v>2289</v>
      </c>
      <c r="W185" s="7" t="str">
        <f>Preencher!$B$3&amp;U185&amp;V185&amp;A185&amp;$W$6</f>
        <v>JARINU-FRG1426MQ.TUNEL DE CG (CONTINUO)</v>
      </c>
      <c r="X185" s="7" t="str">
        <f>Preencher!$B$3&amp;U185&amp;V185&amp;A185&amp;$X$6</f>
        <v>JARINU-FRG1426MQ.TUNEL DE CG (CONTINUO) (1)</v>
      </c>
      <c r="Y185" s="7" t="str">
        <f>Preencher!$B$3&amp;U185&amp;V185&amp;A185&amp;$Y$6</f>
        <v>JARINU-FRG1426MQ.TUNEL DE CG (CONTINUO) (2)</v>
      </c>
      <c r="Z185" s="7" t="str">
        <f>Preencher!$B$3&amp;U185&amp;V185&amp;A185&amp;$Z$6</f>
        <v>JARINU-FRG1426MQ.TUNEL DE CG (CONTINUO) (3)</v>
      </c>
      <c r="AA185" s="7" t="str">
        <f>Preencher!$B$3&amp;U185&amp;V185&amp;A185&amp;$AA$6</f>
        <v>JARINU-FRG1426MQ.TUNEL DE CG (ESTATICO)</v>
      </c>
      <c r="AB185" s="7" t="str">
        <f>Preencher!$B$3&amp;U185&amp;V185&amp;A185&amp;$AB$6</f>
        <v>JARINU-FRG1426MQ.TUNEL DE CG (ESTATICO) (1)</v>
      </c>
      <c r="AC185" s="7" t="str">
        <f>Preencher!$B$3&amp;U185&amp;V185&amp;A185&amp;$AC$6</f>
        <v>JARINU-FRG1426MQ.TUNEL DE CG (ESTATICO) (2)</v>
      </c>
      <c r="AD185" s="327">
        <f>IFERROR(SUMIF('BD Otimix'!A:A,'BD VOLUME'!X185,'BD Otimix'!O:O)+SUMIF('BD Otimix'!A:A,'BD VOLUME'!Y185,'BD Otimix'!O:O)+SUMIF('BD Otimix'!A:A,'BD VOLUME'!Z185,'BD Otimix'!O:O)+SUMIF('BD Otimix'!A:A,'BD VOLUME'!AA185,'BD Otimix'!O:O)+SUMIF('BD Otimix'!A:A,'BD VOLUME'!AB185,'BD Otimix'!O:O)+SUMIF('BD Otimix'!A:A,'BD VOLUME'!AC185,'BD Otimix'!O:O)+SUMIF('BD Otimix'!A:A,'BD VOLUME'!W185,'BD Otimix'!O:O),0)</f>
        <v>0</v>
      </c>
      <c r="AE185" s="327">
        <f t="shared" si="51"/>
        <v>0</v>
      </c>
      <c r="AF185" s="7" t="str">
        <f>Preencher!$B$3&amp;$U$8&amp;$V$8&amp;A185&amp;$AF$6</f>
        <v>JARINU-FRG1426MQ.GIROFREEZER</v>
      </c>
      <c r="AG185" s="7" t="str">
        <f>Preencher!$B$3&amp;$U$8&amp;$V$8&amp;A185&amp;$AG$6</f>
        <v>JARINU-FRG1426MQ.GIROFREEZER (1)</v>
      </c>
      <c r="AH185" s="7" t="str">
        <f>Preencher!$B$3&amp;$U$8&amp;$V$8&amp;A185&amp;$AH$6</f>
        <v>JARINU-FRG1426MQ.GIROFREEZER (2)</v>
      </c>
      <c r="AI185" s="7" t="str">
        <f>Preencher!$B$3&amp;$U$8&amp;$V$8&amp;A185&amp;$AI$6</f>
        <v>JARINU-FRG1426MQ.GIROFREEZER REV04</v>
      </c>
      <c r="AJ185" s="7" t="str">
        <f>Preencher!$B$3&amp;$U$8&amp;$V$8&amp;A185&amp;$AJ$6</f>
        <v>JARINU-FRG1426MQ.GIROFREEZER (3)</v>
      </c>
      <c r="AK185" s="327">
        <f>IFERROR(SUMIF('BD Otimix'!A:A,'BD VOLUME'!AG185,'BD Otimix'!O:O)+SUMIF('BD Otimix'!A:A,'BD VOLUME'!AH185,'BD Otimix'!O:O)+SUMIF('BD Otimix'!A:A,'BD VOLUME'!AI185,'BD Otimix'!O:O)+SUMIF('BD Otimix'!A:A,'BD VOLUME'!AJ185,'BD Otimix'!O:O)+SUMIF('BD Otimix'!A:A,'BD VOLUME'!AF185,'BD Otimix'!O:O),0)</f>
        <v>0</v>
      </c>
      <c r="AL185" s="7">
        <f t="shared" si="52"/>
        <v>0</v>
      </c>
    </row>
    <row r="186" spans="1:38">
      <c r="A186" s="324">
        <v>950296</v>
      </c>
      <c r="B186" s="324">
        <v>0</v>
      </c>
      <c r="C186" s="5" t="s">
        <v>1253</v>
      </c>
      <c r="D186" s="5" t="s">
        <v>939</v>
      </c>
      <c r="E186" s="5" t="s">
        <v>1196</v>
      </c>
      <c r="F186" s="132">
        <f>SUMIF('COLAR PLANO'!$A:$A,A186,'COLAR PLANO'!$D:$D)</f>
        <v>0</v>
      </c>
      <c r="G186" s="131">
        <f t="shared" si="48"/>
        <v>0</v>
      </c>
      <c r="H186" s="6">
        <v>0.74340000000000006</v>
      </c>
      <c r="I186" s="7">
        <f t="shared" si="53"/>
        <v>0</v>
      </c>
      <c r="J186" s="130">
        <f t="shared" si="54"/>
        <v>0</v>
      </c>
      <c r="K186" s="327">
        <v>0.6</v>
      </c>
      <c r="L186" s="324">
        <v>16</v>
      </c>
      <c r="M186" s="324">
        <v>9.6</v>
      </c>
      <c r="N186" s="7">
        <f>IFERROR(G186/K186,"-")</f>
        <v>0</v>
      </c>
      <c r="O186" s="311"/>
      <c r="P186" s="311">
        <f>IFERROR(G186/M186,"-")</f>
        <v>0</v>
      </c>
      <c r="Q186" s="7"/>
      <c r="R186" s="7"/>
      <c r="S186" s="7"/>
      <c r="T186" s="7"/>
      <c r="U186" s="7" t="s">
        <v>2288</v>
      </c>
      <c r="V186" s="7" t="s">
        <v>2289</v>
      </c>
      <c r="W186" s="7" t="str">
        <f>Preencher!$B$3&amp;U186&amp;V186&amp;A186&amp;$W$6</f>
        <v>JARINU-FRG950296MQ.TUNEL DE CG (CONTINUO)</v>
      </c>
      <c r="X186" s="7" t="str">
        <f>Preencher!$B$3&amp;U186&amp;V186&amp;A186&amp;$X$6</f>
        <v>JARINU-FRG950296MQ.TUNEL DE CG (CONTINUO) (1)</v>
      </c>
      <c r="Y186" s="7" t="str">
        <f>Preencher!$B$3&amp;U186&amp;V186&amp;A186&amp;$Y$6</f>
        <v>JARINU-FRG950296MQ.TUNEL DE CG (CONTINUO) (2)</v>
      </c>
      <c r="Z186" s="7" t="str">
        <f>Preencher!$B$3&amp;U186&amp;V186&amp;A186&amp;$Z$6</f>
        <v>JARINU-FRG950296MQ.TUNEL DE CG (CONTINUO) (3)</v>
      </c>
      <c r="AA186" s="7" t="str">
        <f>Preencher!$B$3&amp;U186&amp;V186&amp;A186&amp;$AA$6</f>
        <v>JARINU-FRG950296MQ.TUNEL DE CG (ESTATICO)</v>
      </c>
      <c r="AB186" s="7" t="str">
        <f>Preencher!$B$3&amp;U186&amp;V186&amp;A186&amp;$AB$6</f>
        <v>JARINU-FRG950296MQ.TUNEL DE CG (ESTATICO) (1)</v>
      </c>
      <c r="AC186" s="7" t="str">
        <f>Preencher!$B$3&amp;U186&amp;V186&amp;A186&amp;$AC$6</f>
        <v>JARINU-FRG950296MQ.TUNEL DE CG (ESTATICO) (2)</v>
      </c>
      <c r="AD186" s="327">
        <f>IFERROR(SUMIF('BD Otimix'!A:A,'BD VOLUME'!X186,'BD Otimix'!O:O)+SUMIF('BD Otimix'!A:A,'BD VOLUME'!Y186,'BD Otimix'!O:O)+SUMIF('BD Otimix'!A:A,'BD VOLUME'!Z186,'BD Otimix'!O:O)+SUMIF('BD Otimix'!A:A,'BD VOLUME'!AA186,'BD Otimix'!O:O)+SUMIF('BD Otimix'!A:A,'BD VOLUME'!AB186,'BD Otimix'!O:O)+SUMIF('BD Otimix'!A:A,'BD VOLUME'!AC186,'BD Otimix'!O:O)+SUMIF('BD Otimix'!A:A,'BD VOLUME'!W186,'BD Otimix'!O:O),0)</f>
        <v>0</v>
      </c>
      <c r="AE186" s="327">
        <f t="shared" si="51"/>
        <v>0</v>
      </c>
      <c r="AF186" s="7" t="str">
        <f>Preencher!$B$3&amp;$U$8&amp;$V$8&amp;A186&amp;$AF$6</f>
        <v>JARINU-FRG950296MQ.GIROFREEZER</v>
      </c>
      <c r="AG186" s="7" t="str">
        <f>Preencher!$B$3&amp;$U$8&amp;$V$8&amp;A186&amp;$AG$6</f>
        <v>JARINU-FRG950296MQ.GIROFREEZER (1)</v>
      </c>
      <c r="AH186" s="7" t="str">
        <f>Preencher!$B$3&amp;$U$8&amp;$V$8&amp;A186&amp;$AH$6</f>
        <v>JARINU-FRG950296MQ.GIROFREEZER (2)</v>
      </c>
      <c r="AI186" s="7" t="str">
        <f>Preencher!$B$3&amp;$U$8&amp;$V$8&amp;A186&amp;$AI$6</f>
        <v>JARINU-FRG950296MQ.GIROFREEZER REV04</v>
      </c>
      <c r="AJ186" s="7" t="str">
        <f>Preencher!$B$3&amp;$U$8&amp;$V$8&amp;A186&amp;$AJ$6</f>
        <v>JARINU-FRG950296MQ.GIROFREEZER (3)</v>
      </c>
      <c r="AK186" s="327">
        <f>IFERROR(SUMIF('BD Otimix'!A:A,'BD VOLUME'!AG186,'BD Otimix'!O:O)+SUMIF('BD Otimix'!A:A,'BD VOLUME'!AH186,'BD Otimix'!O:O)+SUMIF('BD Otimix'!A:A,'BD VOLUME'!AI186,'BD Otimix'!O:O)+SUMIF('BD Otimix'!A:A,'BD VOLUME'!AJ186,'BD Otimix'!O:O)+SUMIF('BD Otimix'!A:A,'BD VOLUME'!AF186,'BD Otimix'!O:O),0)</f>
        <v>0</v>
      </c>
      <c r="AL186" s="7">
        <f t="shared" si="52"/>
        <v>0</v>
      </c>
    </row>
    <row r="187" spans="1:38">
      <c r="A187" s="324">
        <v>951422</v>
      </c>
      <c r="B187" s="324">
        <v>0</v>
      </c>
      <c r="C187" s="5" t="s">
        <v>1254</v>
      </c>
      <c r="D187" s="5" t="s">
        <v>939</v>
      </c>
      <c r="E187" s="5" t="s">
        <v>1196</v>
      </c>
      <c r="F187" s="132">
        <f>SUMIF('COLAR PLANO'!$A:$A,A187,'COLAR PLANO'!$D:$D)</f>
        <v>0</v>
      </c>
      <c r="G187" s="131">
        <f t="shared" si="48"/>
        <v>0</v>
      </c>
      <c r="H187" s="6">
        <v>0.74340000000000006</v>
      </c>
      <c r="I187" s="7">
        <f t="shared" si="53"/>
        <v>0</v>
      </c>
      <c r="J187" s="130">
        <f t="shared" si="54"/>
        <v>0</v>
      </c>
      <c r="K187" s="327">
        <v>0.9</v>
      </c>
      <c r="L187" s="324">
        <v>10</v>
      </c>
      <c r="M187" s="324">
        <v>9</v>
      </c>
      <c r="N187" s="7">
        <f t="shared" si="49"/>
        <v>0</v>
      </c>
      <c r="O187" s="311"/>
      <c r="P187" s="311">
        <f t="shared" si="50"/>
        <v>0</v>
      </c>
      <c r="Q187" s="7"/>
      <c r="R187" s="7"/>
      <c r="S187" s="7"/>
      <c r="T187" s="7"/>
      <c r="U187" s="7" t="s">
        <v>2288</v>
      </c>
      <c r="V187" s="7" t="s">
        <v>2289</v>
      </c>
      <c r="W187" s="7" t="str">
        <f>Preencher!$B$3&amp;U187&amp;V187&amp;A187&amp;$W$6</f>
        <v>JARINU-FRG951422MQ.TUNEL DE CG (CONTINUO)</v>
      </c>
      <c r="X187" s="7" t="str">
        <f>Preencher!$B$3&amp;U187&amp;V187&amp;A187&amp;$X$6</f>
        <v>JARINU-FRG951422MQ.TUNEL DE CG (CONTINUO) (1)</v>
      </c>
      <c r="Y187" s="7" t="str">
        <f>Preencher!$B$3&amp;U187&amp;V187&amp;A187&amp;$Y$6</f>
        <v>JARINU-FRG951422MQ.TUNEL DE CG (CONTINUO) (2)</v>
      </c>
      <c r="Z187" s="7" t="str">
        <f>Preencher!$B$3&amp;U187&amp;V187&amp;A187&amp;$Z$6</f>
        <v>JARINU-FRG951422MQ.TUNEL DE CG (CONTINUO) (3)</v>
      </c>
      <c r="AA187" s="7" t="str">
        <f>Preencher!$B$3&amp;U187&amp;V187&amp;A187&amp;$AA$6</f>
        <v>JARINU-FRG951422MQ.TUNEL DE CG (ESTATICO)</v>
      </c>
      <c r="AB187" s="7" t="str">
        <f>Preencher!$B$3&amp;U187&amp;V187&amp;A187&amp;$AB$6</f>
        <v>JARINU-FRG951422MQ.TUNEL DE CG (ESTATICO) (1)</v>
      </c>
      <c r="AC187" s="7" t="str">
        <f>Preencher!$B$3&amp;U187&amp;V187&amp;A187&amp;$AC$6</f>
        <v>JARINU-FRG951422MQ.TUNEL DE CG (ESTATICO) (2)</v>
      </c>
      <c r="AD187" s="327">
        <f>IFERROR(SUMIF('BD Otimix'!A:A,'BD VOLUME'!X187,'BD Otimix'!O:O)+SUMIF('BD Otimix'!A:A,'BD VOLUME'!Y187,'BD Otimix'!O:O)+SUMIF('BD Otimix'!A:A,'BD VOLUME'!Z187,'BD Otimix'!O:O)+SUMIF('BD Otimix'!A:A,'BD VOLUME'!AA187,'BD Otimix'!O:O)+SUMIF('BD Otimix'!A:A,'BD VOLUME'!AB187,'BD Otimix'!O:O)+SUMIF('BD Otimix'!A:A,'BD VOLUME'!AC187,'BD Otimix'!O:O)+SUMIF('BD Otimix'!A:A,'BD VOLUME'!W187,'BD Otimix'!O:O),0)</f>
        <v>0</v>
      </c>
      <c r="AE187" s="327">
        <f t="shared" si="51"/>
        <v>0</v>
      </c>
      <c r="AF187" s="7" t="str">
        <f>Preencher!$B$3&amp;$U$8&amp;$V$8&amp;A187&amp;$AF$6</f>
        <v>JARINU-FRG951422MQ.GIROFREEZER</v>
      </c>
      <c r="AG187" s="7" t="str">
        <f>Preencher!$B$3&amp;$U$8&amp;$V$8&amp;A187&amp;$AG$6</f>
        <v>JARINU-FRG951422MQ.GIROFREEZER (1)</v>
      </c>
      <c r="AH187" s="7" t="str">
        <f>Preencher!$B$3&amp;$U$8&amp;$V$8&amp;A187&amp;$AH$6</f>
        <v>JARINU-FRG951422MQ.GIROFREEZER (2)</v>
      </c>
      <c r="AI187" s="7" t="str">
        <f>Preencher!$B$3&amp;$U$8&amp;$V$8&amp;A187&amp;$AI$6</f>
        <v>JARINU-FRG951422MQ.GIROFREEZER REV04</v>
      </c>
      <c r="AJ187" s="7" t="str">
        <f>Preencher!$B$3&amp;$U$8&amp;$V$8&amp;A187&amp;$AJ$6</f>
        <v>JARINU-FRG951422MQ.GIROFREEZER (3)</v>
      </c>
      <c r="AK187" s="327">
        <f>IFERROR(SUMIF('BD Otimix'!A:A,'BD VOLUME'!AG187,'BD Otimix'!O:O)+SUMIF('BD Otimix'!A:A,'BD VOLUME'!AH187,'BD Otimix'!O:O)+SUMIF('BD Otimix'!A:A,'BD VOLUME'!AI187,'BD Otimix'!O:O)+SUMIF('BD Otimix'!A:A,'BD VOLUME'!AJ187,'BD Otimix'!O:O)+SUMIF('BD Otimix'!A:A,'BD VOLUME'!AF187,'BD Otimix'!O:O),0)</f>
        <v>0</v>
      </c>
      <c r="AL187" s="7">
        <f t="shared" si="52"/>
        <v>0</v>
      </c>
    </row>
    <row r="188" spans="1:38">
      <c r="A188" s="324">
        <v>951424</v>
      </c>
      <c r="B188" s="324">
        <v>0</v>
      </c>
      <c r="C188" s="5" t="s">
        <v>1255</v>
      </c>
      <c r="D188" s="5" t="s">
        <v>939</v>
      </c>
      <c r="E188" s="5" t="s">
        <v>1196</v>
      </c>
      <c r="F188" s="132">
        <f>SUMIF('COLAR PLANO'!$A:$A,A188,'COLAR PLANO'!$D:$D)</f>
        <v>0</v>
      </c>
      <c r="G188" s="131">
        <f t="shared" si="48"/>
        <v>0</v>
      </c>
      <c r="H188" s="6">
        <v>0.74340000000000006</v>
      </c>
      <c r="I188" s="7">
        <f t="shared" si="53"/>
        <v>0</v>
      </c>
      <c r="J188" s="130">
        <f t="shared" si="54"/>
        <v>0</v>
      </c>
      <c r="K188" s="327">
        <v>1.1000000000000001</v>
      </c>
      <c r="L188" s="324">
        <v>10</v>
      </c>
      <c r="M188" s="324">
        <v>11</v>
      </c>
      <c r="N188" s="7">
        <f t="shared" si="49"/>
        <v>0</v>
      </c>
      <c r="O188" s="311"/>
      <c r="P188" s="311">
        <f t="shared" si="50"/>
        <v>0</v>
      </c>
      <c r="Q188" s="7"/>
      <c r="R188" s="7"/>
      <c r="S188" s="7"/>
      <c r="T188" s="7"/>
      <c r="U188" s="7" t="s">
        <v>2288</v>
      </c>
      <c r="V188" s="7" t="s">
        <v>2289</v>
      </c>
      <c r="W188" s="7" t="str">
        <f>Preencher!$B$3&amp;U188&amp;V188&amp;A188&amp;$W$6</f>
        <v>JARINU-FRG951424MQ.TUNEL DE CG (CONTINUO)</v>
      </c>
      <c r="X188" s="7" t="str">
        <f>Preencher!$B$3&amp;U188&amp;V188&amp;A188&amp;$X$6</f>
        <v>JARINU-FRG951424MQ.TUNEL DE CG (CONTINUO) (1)</v>
      </c>
      <c r="Y188" s="7" t="str">
        <f>Preencher!$B$3&amp;U188&amp;V188&amp;A188&amp;$Y$6</f>
        <v>JARINU-FRG951424MQ.TUNEL DE CG (CONTINUO) (2)</v>
      </c>
      <c r="Z188" s="7" t="str">
        <f>Preencher!$B$3&amp;U188&amp;V188&amp;A188&amp;$Z$6</f>
        <v>JARINU-FRG951424MQ.TUNEL DE CG (CONTINUO) (3)</v>
      </c>
      <c r="AA188" s="7" t="str">
        <f>Preencher!$B$3&amp;U188&amp;V188&amp;A188&amp;$AA$6</f>
        <v>JARINU-FRG951424MQ.TUNEL DE CG (ESTATICO)</v>
      </c>
      <c r="AB188" s="7" t="str">
        <f>Preencher!$B$3&amp;U188&amp;V188&amp;A188&amp;$AB$6</f>
        <v>JARINU-FRG951424MQ.TUNEL DE CG (ESTATICO) (1)</v>
      </c>
      <c r="AC188" s="7" t="str">
        <f>Preencher!$B$3&amp;U188&amp;V188&amp;A188&amp;$AC$6</f>
        <v>JARINU-FRG951424MQ.TUNEL DE CG (ESTATICO) (2)</v>
      </c>
      <c r="AD188" s="327">
        <f>IFERROR(SUMIF('BD Otimix'!A:A,'BD VOLUME'!X188,'BD Otimix'!O:O)+SUMIF('BD Otimix'!A:A,'BD VOLUME'!Y188,'BD Otimix'!O:O)+SUMIF('BD Otimix'!A:A,'BD VOLUME'!Z188,'BD Otimix'!O:O)+SUMIF('BD Otimix'!A:A,'BD VOLUME'!AA188,'BD Otimix'!O:O)+SUMIF('BD Otimix'!A:A,'BD VOLUME'!AB188,'BD Otimix'!O:O)+SUMIF('BD Otimix'!A:A,'BD VOLUME'!AC188,'BD Otimix'!O:O)+SUMIF('BD Otimix'!A:A,'BD VOLUME'!W188,'BD Otimix'!O:O),0)</f>
        <v>0</v>
      </c>
      <c r="AE188" s="327">
        <f t="shared" si="51"/>
        <v>0</v>
      </c>
      <c r="AF188" s="7" t="str">
        <f>Preencher!$B$3&amp;$U$8&amp;$V$8&amp;A188&amp;$AF$6</f>
        <v>JARINU-FRG951424MQ.GIROFREEZER</v>
      </c>
      <c r="AG188" s="7" t="str">
        <f>Preencher!$B$3&amp;$U$8&amp;$V$8&amp;A188&amp;$AG$6</f>
        <v>JARINU-FRG951424MQ.GIROFREEZER (1)</v>
      </c>
      <c r="AH188" s="7" t="str">
        <f>Preencher!$B$3&amp;$U$8&amp;$V$8&amp;A188&amp;$AH$6</f>
        <v>JARINU-FRG951424MQ.GIROFREEZER (2)</v>
      </c>
      <c r="AI188" s="7" t="str">
        <f>Preencher!$B$3&amp;$U$8&amp;$V$8&amp;A188&amp;$AI$6</f>
        <v>JARINU-FRG951424MQ.GIROFREEZER REV04</v>
      </c>
      <c r="AJ188" s="7" t="str">
        <f>Preencher!$B$3&amp;$U$8&amp;$V$8&amp;A188&amp;$AJ$6</f>
        <v>JARINU-FRG951424MQ.GIROFREEZER (3)</v>
      </c>
      <c r="AK188" s="327">
        <f>IFERROR(SUMIF('BD Otimix'!A:A,'BD VOLUME'!AG188,'BD Otimix'!O:O)+SUMIF('BD Otimix'!A:A,'BD VOLUME'!AH188,'BD Otimix'!O:O)+SUMIF('BD Otimix'!A:A,'BD VOLUME'!AI188,'BD Otimix'!O:O)+SUMIF('BD Otimix'!A:A,'BD VOLUME'!AJ188,'BD Otimix'!O:O)+SUMIF('BD Otimix'!A:A,'BD VOLUME'!AF188,'BD Otimix'!O:O),0)</f>
        <v>0</v>
      </c>
      <c r="AL188" s="7">
        <f t="shared" si="52"/>
        <v>0</v>
      </c>
    </row>
    <row r="189" spans="1:38">
      <c r="A189" s="324">
        <v>952318</v>
      </c>
      <c r="B189" s="324" t="s">
        <v>1256</v>
      </c>
      <c r="C189" s="5" t="s">
        <v>1257</v>
      </c>
      <c r="D189" s="5" t="s">
        <v>939</v>
      </c>
      <c r="E189" s="5" t="s">
        <v>1196</v>
      </c>
      <c r="F189" s="132">
        <f>SUMIF('COLAR PLANO'!$A:$A,A189,'COLAR PLANO'!$D:$D)</f>
        <v>0</v>
      </c>
      <c r="G189" s="131">
        <f t="shared" si="48"/>
        <v>0</v>
      </c>
      <c r="H189" s="6">
        <v>0.74340000000000006</v>
      </c>
      <c r="I189" s="7">
        <f t="shared" si="53"/>
        <v>0</v>
      </c>
      <c r="J189" s="130">
        <f t="shared" si="54"/>
        <v>0</v>
      </c>
      <c r="K189" s="327">
        <v>0.7</v>
      </c>
      <c r="L189" s="324">
        <v>10</v>
      </c>
      <c r="M189" s="324">
        <v>7</v>
      </c>
      <c r="N189" s="7">
        <f t="shared" si="49"/>
        <v>0</v>
      </c>
      <c r="O189" s="311"/>
      <c r="P189" s="311">
        <f t="shared" si="50"/>
        <v>0</v>
      </c>
      <c r="Q189" s="7"/>
      <c r="R189" s="7"/>
      <c r="S189" s="7"/>
      <c r="T189" s="7"/>
      <c r="U189" s="7" t="s">
        <v>2288</v>
      </c>
      <c r="V189" s="7" t="s">
        <v>2289</v>
      </c>
      <c r="W189" s="7" t="str">
        <f>Preencher!$B$3&amp;U189&amp;V189&amp;A189&amp;$W$6</f>
        <v>JARINU-FRG952318MQ.TUNEL DE CG (CONTINUO)</v>
      </c>
      <c r="X189" s="7" t="str">
        <f>Preencher!$B$3&amp;U189&amp;V189&amp;A189&amp;$X$6</f>
        <v>JARINU-FRG952318MQ.TUNEL DE CG (CONTINUO) (1)</v>
      </c>
      <c r="Y189" s="7" t="str">
        <f>Preencher!$B$3&amp;U189&amp;V189&amp;A189&amp;$Y$6</f>
        <v>JARINU-FRG952318MQ.TUNEL DE CG (CONTINUO) (2)</v>
      </c>
      <c r="Z189" s="7" t="str">
        <f>Preencher!$B$3&amp;U189&amp;V189&amp;A189&amp;$Z$6</f>
        <v>JARINU-FRG952318MQ.TUNEL DE CG (CONTINUO) (3)</v>
      </c>
      <c r="AA189" s="7" t="str">
        <f>Preencher!$B$3&amp;U189&amp;V189&amp;A189&amp;$AA$6</f>
        <v>JARINU-FRG952318MQ.TUNEL DE CG (ESTATICO)</v>
      </c>
      <c r="AB189" s="7" t="str">
        <f>Preencher!$B$3&amp;U189&amp;V189&amp;A189&amp;$AB$6</f>
        <v>JARINU-FRG952318MQ.TUNEL DE CG (ESTATICO) (1)</v>
      </c>
      <c r="AC189" s="7" t="str">
        <f>Preencher!$B$3&amp;U189&amp;V189&amp;A189&amp;$AC$6</f>
        <v>JARINU-FRG952318MQ.TUNEL DE CG (ESTATICO) (2)</v>
      </c>
      <c r="AD189" s="327">
        <f>IFERROR(SUMIF('BD Otimix'!A:A,'BD VOLUME'!X189,'BD Otimix'!O:O)+SUMIF('BD Otimix'!A:A,'BD VOLUME'!Y189,'BD Otimix'!O:O)+SUMIF('BD Otimix'!A:A,'BD VOLUME'!Z189,'BD Otimix'!O:O)+SUMIF('BD Otimix'!A:A,'BD VOLUME'!AA189,'BD Otimix'!O:O)+SUMIF('BD Otimix'!A:A,'BD VOLUME'!AB189,'BD Otimix'!O:O)+SUMIF('BD Otimix'!A:A,'BD VOLUME'!AC189,'BD Otimix'!O:O)+SUMIF('BD Otimix'!A:A,'BD VOLUME'!W189,'BD Otimix'!O:O),0)</f>
        <v>0</v>
      </c>
      <c r="AE189" s="327">
        <f t="shared" si="51"/>
        <v>0</v>
      </c>
      <c r="AF189" s="7" t="str">
        <f>Preencher!$B$3&amp;$U$8&amp;$V$8&amp;A189&amp;$AF$6</f>
        <v>JARINU-FRG952318MQ.GIROFREEZER</v>
      </c>
      <c r="AG189" s="7" t="str">
        <f>Preencher!$B$3&amp;$U$8&amp;$V$8&amp;A189&amp;$AG$6</f>
        <v>JARINU-FRG952318MQ.GIROFREEZER (1)</v>
      </c>
      <c r="AH189" s="7" t="str">
        <f>Preencher!$B$3&amp;$U$8&amp;$V$8&amp;A189&amp;$AH$6</f>
        <v>JARINU-FRG952318MQ.GIROFREEZER (2)</v>
      </c>
      <c r="AI189" s="7" t="str">
        <f>Preencher!$B$3&amp;$U$8&amp;$V$8&amp;A189&amp;$AI$6</f>
        <v>JARINU-FRG952318MQ.GIROFREEZER REV04</v>
      </c>
      <c r="AJ189" s="7" t="str">
        <f>Preencher!$B$3&amp;$U$8&amp;$V$8&amp;A189&amp;$AJ$6</f>
        <v>JARINU-FRG952318MQ.GIROFREEZER (3)</v>
      </c>
      <c r="AK189" s="327">
        <f>IFERROR(SUMIF('BD Otimix'!A:A,'BD VOLUME'!AG189,'BD Otimix'!O:O)+SUMIF('BD Otimix'!A:A,'BD VOLUME'!AH189,'BD Otimix'!O:O)+SUMIF('BD Otimix'!A:A,'BD VOLUME'!AI189,'BD Otimix'!O:O)+SUMIF('BD Otimix'!A:A,'BD VOLUME'!AJ189,'BD Otimix'!O:O)+SUMIF('BD Otimix'!A:A,'BD VOLUME'!AF189,'BD Otimix'!O:O),0)</f>
        <v>0</v>
      </c>
      <c r="AL189" s="7">
        <f t="shared" si="52"/>
        <v>0</v>
      </c>
    </row>
    <row r="190" spans="1:38">
      <c r="A190" s="324">
        <v>952320</v>
      </c>
      <c r="B190" s="324" t="s">
        <v>1258</v>
      </c>
      <c r="C190" s="5" t="s">
        <v>1259</v>
      </c>
      <c r="D190" s="5" t="s">
        <v>939</v>
      </c>
      <c r="E190" s="5" t="s">
        <v>1196</v>
      </c>
      <c r="F190" s="132">
        <f>SUMIF('COLAR PLANO'!$A:$A,A190,'COLAR PLANO'!$D:$D)</f>
        <v>0</v>
      </c>
      <c r="G190" s="131">
        <f t="shared" si="48"/>
        <v>0</v>
      </c>
      <c r="H190" s="6">
        <v>0.74340000000000006</v>
      </c>
      <c r="I190" s="7">
        <f t="shared" si="53"/>
        <v>0</v>
      </c>
      <c r="J190" s="130">
        <f t="shared" si="54"/>
        <v>0</v>
      </c>
      <c r="K190" s="327">
        <v>0.8</v>
      </c>
      <c r="L190" s="324">
        <v>10</v>
      </c>
      <c r="M190" s="324">
        <v>8</v>
      </c>
      <c r="N190" s="7">
        <f t="shared" si="49"/>
        <v>0</v>
      </c>
      <c r="O190" s="311"/>
      <c r="P190" s="311">
        <f t="shared" si="50"/>
        <v>0</v>
      </c>
      <c r="Q190" s="7"/>
      <c r="R190" s="7"/>
      <c r="S190" s="7"/>
      <c r="T190" s="7"/>
      <c r="U190" s="7" t="s">
        <v>2288</v>
      </c>
      <c r="V190" s="7" t="s">
        <v>2289</v>
      </c>
      <c r="W190" s="7" t="str">
        <f>Preencher!$B$3&amp;U190&amp;V190&amp;A190&amp;$W$6</f>
        <v>JARINU-FRG952320MQ.TUNEL DE CG (CONTINUO)</v>
      </c>
      <c r="X190" s="7" t="str">
        <f>Preencher!$B$3&amp;U190&amp;V190&amp;A190&amp;$X$6</f>
        <v>JARINU-FRG952320MQ.TUNEL DE CG (CONTINUO) (1)</v>
      </c>
      <c r="Y190" s="7" t="str">
        <f>Preencher!$B$3&amp;U190&amp;V190&amp;A190&amp;$Y$6</f>
        <v>JARINU-FRG952320MQ.TUNEL DE CG (CONTINUO) (2)</v>
      </c>
      <c r="Z190" s="7" t="str">
        <f>Preencher!$B$3&amp;U190&amp;V190&amp;A190&amp;$Z$6</f>
        <v>JARINU-FRG952320MQ.TUNEL DE CG (CONTINUO) (3)</v>
      </c>
      <c r="AA190" s="7" t="str">
        <f>Preencher!$B$3&amp;U190&amp;V190&amp;A190&amp;$AA$6</f>
        <v>JARINU-FRG952320MQ.TUNEL DE CG (ESTATICO)</v>
      </c>
      <c r="AB190" s="7" t="str">
        <f>Preencher!$B$3&amp;U190&amp;V190&amp;A190&amp;$AB$6</f>
        <v>JARINU-FRG952320MQ.TUNEL DE CG (ESTATICO) (1)</v>
      </c>
      <c r="AC190" s="7" t="str">
        <f>Preencher!$B$3&amp;U190&amp;V190&amp;A190&amp;$AC$6</f>
        <v>JARINU-FRG952320MQ.TUNEL DE CG (ESTATICO) (2)</v>
      </c>
      <c r="AD190" s="327">
        <f>IFERROR(SUMIF('BD Otimix'!A:A,'BD VOLUME'!X190,'BD Otimix'!O:O)+SUMIF('BD Otimix'!A:A,'BD VOLUME'!Y190,'BD Otimix'!O:O)+SUMIF('BD Otimix'!A:A,'BD VOLUME'!Z190,'BD Otimix'!O:O)+SUMIF('BD Otimix'!A:A,'BD VOLUME'!AA190,'BD Otimix'!O:O)+SUMIF('BD Otimix'!A:A,'BD VOLUME'!AB190,'BD Otimix'!O:O)+SUMIF('BD Otimix'!A:A,'BD VOLUME'!AC190,'BD Otimix'!O:O)+SUMIF('BD Otimix'!A:A,'BD VOLUME'!W190,'BD Otimix'!O:O),0)</f>
        <v>0</v>
      </c>
      <c r="AE190" s="327">
        <f t="shared" si="51"/>
        <v>0</v>
      </c>
      <c r="AF190" s="7" t="str">
        <f>Preencher!$B$3&amp;$U$8&amp;$V$8&amp;A190&amp;$AF$6</f>
        <v>JARINU-FRG952320MQ.GIROFREEZER</v>
      </c>
      <c r="AG190" s="7" t="str">
        <f>Preencher!$B$3&amp;$U$8&amp;$V$8&amp;A190&amp;$AG$6</f>
        <v>JARINU-FRG952320MQ.GIROFREEZER (1)</v>
      </c>
      <c r="AH190" s="7" t="str">
        <f>Preencher!$B$3&amp;$U$8&amp;$V$8&amp;A190&amp;$AH$6</f>
        <v>JARINU-FRG952320MQ.GIROFREEZER (2)</v>
      </c>
      <c r="AI190" s="7" t="str">
        <f>Preencher!$B$3&amp;$U$8&amp;$V$8&amp;A190&amp;$AI$6</f>
        <v>JARINU-FRG952320MQ.GIROFREEZER REV04</v>
      </c>
      <c r="AJ190" s="7" t="str">
        <f>Preencher!$B$3&amp;$U$8&amp;$V$8&amp;A190&amp;$AJ$6</f>
        <v>JARINU-FRG952320MQ.GIROFREEZER (3)</v>
      </c>
      <c r="AK190" s="327">
        <f>IFERROR(SUMIF('BD Otimix'!A:A,'BD VOLUME'!AG190,'BD Otimix'!O:O)+SUMIF('BD Otimix'!A:A,'BD VOLUME'!AH190,'BD Otimix'!O:O)+SUMIF('BD Otimix'!A:A,'BD VOLUME'!AI190,'BD Otimix'!O:O)+SUMIF('BD Otimix'!A:A,'BD VOLUME'!AJ190,'BD Otimix'!O:O)+SUMIF('BD Otimix'!A:A,'BD VOLUME'!AF190,'BD Otimix'!O:O),0)</f>
        <v>0</v>
      </c>
      <c r="AL190" s="7">
        <f t="shared" si="52"/>
        <v>0</v>
      </c>
    </row>
    <row r="191" spans="1:38">
      <c r="A191" s="324">
        <v>952321</v>
      </c>
      <c r="B191" s="324" t="s">
        <v>1260</v>
      </c>
      <c r="C191" s="5" t="s">
        <v>1261</v>
      </c>
      <c r="D191" s="5" t="s">
        <v>939</v>
      </c>
      <c r="E191" s="5" t="s">
        <v>1196</v>
      </c>
      <c r="F191" s="132">
        <f>SUMIF('COLAR PLANO'!$A:$A,A191,'COLAR PLANO'!$D:$D)</f>
        <v>0</v>
      </c>
      <c r="G191" s="131">
        <f t="shared" si="48"/>
        <v>0</v>
      </c>
      <c r="H191" s="6">
        <v>0.74340000000000006</v>
      </c>
      <c r="I191" s="7">
        <f t="shared" si="53"/>
        <v>0</v>
      </c>
      <c r="J191" s="130">
        <f t="shared" si="54"/>
        <v>0</v>
      </c>
      <c r="K191" s="327">
        <v>0.9</v>
      </c>
      <c r="L191" s="324">
        <v>10</v>
      </c>
      <c r="M191" s="324">
        <v>9</v>
      </c>
      <c r="N191" s="7">
        <f t="shared" si="49"/>
        <v>0</v>
      </c>
      <c r="O191" s="311"/>
      <c r="P191" s="311">
        <f t="shared" si="50"/>
        <v>0</v>
      </c>
      <c r="Q191" s="7"/>
      <c r="R191" s="7"/>
      <c r="S191" s="7"/>
      <c r="T191" s="7"/>
      <c r="U191" s="7" t="s">
        <v>2288</v>
      </c>
      <c r="V191" s="7" t="s">
        <v>2289</v>
      </c>
      <c r="W191" s="7" t="str">
        <f>Preencher!$B$3&amp;U191&amp;V191&amp;A191&amp;$W$6</f>
        <v>JARINU-FRG952321MQ.TUNEL DE CG (CONTINUO)</v>
      </c>
      <c r="X191" s="7" t="str">
        <f>Preencher!$B$3&amp;U191&amp;V191&amp;A191&amp;$X$6</f>
        <v>JARINU-FRG952321MQ.TUNEL DE CG (CONTINUO) (1)</v>
      </c>
      <c r="Y191" s="7" t="str">
        <f>Preencher!$B$3&amp;U191&amp;V191&amp;A191&amp;$Y$6</f>
        <v>JARINU-FRG952321MQ.TUNEL DE CG (CONTINUO) (2)</v>
      </c>
      <c r="Z191" s="7" t="str">
        <f>Preencher!$B$3&amp;U191&amp;V191&amp;A191&amp;$Z$6</f>
        <v>JARINU-FRG952321MQ.TUNEL DE CG (CONTINUO) (3)</v>
      </c>
      <c r="AA191" s="7" t="str">
        <f>Preencher!$B$3&amp;U191&amp;V191&amp;A191&amp;$AA$6</f>
        <v>JARINU-FRG952321MQ.TUNEL DE CG (ESTATICO)</v>
      </c>
      <c r="AB191" s="7" t="str">
        <f>Preencher!$B$3&amp;U191&amp;V191&amp;A191&amp;$AB$6</f>
        <v>JARINU-FRG952321MQ.TUNEL DE CG (ESTATICO) (1)</v>
      </c>
      <c r="AC191" s="7" t="str">
        <f>Preencher!$B$3&amp;U191&amp;V191&amp;A191&amp;$AC$6</f>
        <v>JARINU-FRG952321MQ.TUNEL DE CG (ESTATICO) (2)</v>
      </c>
      <c r="AD191" s="327">
        <f>IFERROR(SUMIF('BD Otimix'!A:A,'BD VOLUME'!X191,'BD Otimix'!O:O)+SUMIF('BD Otimix'!A:A,'BD VOLUME'!Y191,'BD Otimix'!O:O)+SUMIF('BD Otimix'!A:A,'BD VOLUME'!Z191,'BD Otimix'!O:O)+SUMIF('BD Otimix'!A:A,'BD VOLUME'!AA191,'BD Otimix'!O:O)+SUMIF('BD Otimix'!A:A,'BD VOLUME'!AB191,'BD Otimix'!O:O)+SUMIF('BD Otimix'!A:A,'BD VOLUME'!AC191,'BD Otimix'!O:O)+SUMIF('BD Otimix'!A:A,'BD VOLUME'!W191,'BD Otimix'!O:O),0)</f>
        <v>0</v>
      </c>
      <c r="AE191" s="327">
        <f t="shared" si="51"/>
        <v>0</v>
      </c>
      <c r="AF191" s="7" t="str">
        <f>Preencher!$B$3&amp;$U$8&amp;$V$8&amp;A191&amp;$AF$6</f>
        <v>JARINU-FRG952321MQ.GIROFREEZER</v>
      </c>
      <c r="AG191" s="7" t="str">
        <f>Preencher!$B$3&amp;$U$8&amp;$V$8&amp;A191&amp;$AG$6</f>
        <v>JARINU-FRG952321MQ.GIROFREEZER (1)</v>
      </c>
      <c r="AH191" s="7" t="str">
        <f>Preencher!$B$3&amp;$U$8&amp;$V$8&amp;A191&amp;$AH$6</f>
        <v>JARINU-FRG952321MQ.GIROFREEZER (2)</v>
      </c>
      <c r="AI191" s="7" t="str">
        <f>Preencher!$B$3&amp;$U$8&amp;$V$8&amp;A191&amp;$AI$6</f>
        <v>JARINU-FRG952321MQ.GIROFREEZER REV04</v>
      </c>
      <c r="AJ191" s="7" t="str">
        <f>Preencher!$B$3&amp;$U$8&amp;$V$8&amp;A191&amp;$AJ$6</f>
        <v>JARINU-FRG952321MQ.GIROFREEZER (3)</v>
      </c>
      <c r="AK191" s="327">
        <f>IFERROR(SUMIF('BD Otimix'!A:A,'BD VOLUME'!AG191,'BD Otimix'!O:O)+SUMIF('BD Otimix'!A:A,'BD VOLUME'!AH191,'BD Otimix'!O:O)+SUMIF('BD Otimix'!A:A,'BD VOLUME'!AI191,'BD Otimix'!O:O)+SUMIF('BD Otimix'!A:A,'BD VOLUME'!AJ191,'BD Otimix'!O:O)+SUMIF('BD Otimix'!A:A,'BD VOLUME'!AF191,'BD Otimix'!O:O),0)</f>
        <v>0</v>
      </c>
      <c r="AL191" s="7">
        <f t="shared" si="52"/>
        <v>0</v>
      </c>
    </row>
    <row r="192" spans="1:38">
      <c r="A192" s="324">
        <v>952323</v>
      </c>
      <c r="B192" s="324" t="s">
        <v>1262</v>
      </c>
      <c r="C192" s="5" t="s">
        <v>1263</v>
      </c>
      <c r="D192" s="5" t="s">
        <v>939</v>
      </c>
      <c r="E192" s="5" t="s">
        <v>1196</v>
      </c>
      <c r="F192" s="132">
        <f>SUMIF('COLAR PLANO'!$A:$A,A192,'COLAR PLANO'!$D:$D)</f>
        <v>0</v>
      </c>
      <c r="G192" s="131">
        <f t="shared" si="48"/>
        <v>0</v>
      </c>
      <c r="H192" s="6">
        <v>0.74340000000000006</v>
      </c>
      <c r="I192" s="7">
        <f t="shared" si="53"/>
        <v>0</v>
      </c>
      <c r="J192" s="130">
        <f t="shared" si="54"/>
        <v>0</v>
      </c>
      <c r="K192" s="327">
        <v>1</v>
      </c>
      <c r="L192" s="324">
        <v>10</v>
      </c>
      <c r="M192" s="324">
        <v>10</v>
      </c>
      <c r="N192" s="7">
        <f t="shared" si="49"/>
        <v>0</v>
      </c>
      <c r="O192" s="311"/>
      <c r="P192" s="311">
        <f t="shared" si="50"/>
        <v>0</v>
      </c>
      <c r="Q192" s="7"/>
      <c r="R192" s="7"/>
      <c r="S192" s="7"/>
      <c r="T192" s="7"/>
      <c r="U192" s="7" t="s">
        <v>2288</v>
      </c>
      <c r="V192" s="7" t="s">
        <v>2289</v>
      </c>
      <c r="W192" s="7" t="str">
        <f>Preencher!$B$3&amp;U192&amp;V192&amp;A192&amp;$W$6</f>
        <v>JARINU-FRG952323MQ.TUNEL DE CG (CONTINUO)</v>
      </c>
      <c r="X192" s="7" t="str">
        <f>Preencher!$B$3&amp;U192&amp;V192&amp;A192&amp;$X$6</f>
        <v>JARINU-FRG952323MQ.TUNEL DE CG (CONTINUO) (1)</v>
      </c>
      <c r="Y192" s="7" t="str">
        <f>Preencher!$B$3&amp;U192&amp;V192&amp;A192&amp;$Y$6</f>
        <v>JARINU-FRG952323MQ.TUNEL DE CG (CONTINUO) (2)</v>
      </c>
      <c r="Z192" s="7" t="str">
        <f>Preencher!$B$3&amp;U192&amp;V192&amp;A192&amp;$Z$6</f>
        <v>JARINU-FRG952323MQ.TUNEL DE CG (CONTINUO) (3)</v>
      </c>
      <c r="AA192" s="7" t="str">
        <f>Preencher!$B$3&amp;U192&amp;V192&amp;A192&amp;$AA$6</f>
        <v>JARINU-FRG952323MQ.TUNEL DE CG (ESTATICO)</v>
      </c>
      <c r="AB192" s="7" t="str">
        <f>Preencher!$B$3&amp;U192&amp;V192&amp;A192&amp;$AB$6</f>
        <v>JARINU-FRG952323MQ.TUNEL DE CG (ESTATICO) (1)</v>
      </c>
      <c r="AC192" s="7" t="str">
        <f>Preencher!$B$3&amp;U192&amp;V192&amp;A192&amp;$AC$6</f>
        <v>JARINU-FRG952323MQ.TUNEL DE CG (ESTATICO) (2)</v>
      </c>
      <c r="AD192" s="327">
        <f>IFERROR(SUMIF('BD Otimix'!A:A,'BD VOLUME'!X192,'BD Otimix'!O:O)+SUMIF('BD Otimix'!A:A,'BD VOLUME'!Y192,'BD Otimix'!O:O)+SUMIF('BD Otimix'!A:A,'BD VOLUME'!Z192,'BD Otimix'!O:O)+SUMIF('BD Otimix'!A:A,'BD VOLUME'!AA192,'BD Otimix'!O:O)+SUMIF('BD Otimix'!A:A,'BD VOLUME'!AB192,'BD Otimix'!O:O)+SUMIF('BD Otimix'!A:A,'BD VOLUME'!AC192,'BD Otimix'!O:O)+SUMIF('BD Otimix'!A:A,'BD VOLUME'!W192,'BD Otimix'!O:O),0)</f>
        <v>0</v>
      </c>
      <c r="AE192" s="327">
        <f t="shared" si="51"/>
        <v>0</v>
      </c>
      <c r="AF192" s="7" t="str">
        <f>Preencher!$B$3&amp;$U$8&amp;$V$8&amp;A192&amp;$AF$6</f>
        <v>JARINU-FRG952323MQ.GIROFREEZER</v>
      </c>
      <c r="AG192" s="7" t="str">
        <f>Preencher!$B$3&amp;$U$8&amp;$V$8&amp;A192&amp;$AG$6</f>
        <v>JARINU-FRG952323MQ.GIROFREEZER (1)</v>
      </c>
      <c r="AH192" s="7" t="str">
        <f>Preencher!$B$3&amp;$U$8&amp;$V$8&amp;A192&amp;$AH$6</f>
        <v>JARINU-FRG952323MQ.GIROFREEZER (2)</v>
      </c>
      <c r="AI192" s="7" t="str">
        <f>Preencher!$B$3&amp;$U$8&amp;$V$8&amp;A192&amp;$AI$6</f>
        <v>JARINU-FRG952323MQ.GIROFREEZER REV04</v>
      </c>
      <c r="AJ192" s="7" t="str">
        <f>Preencher!$B$3&amp;$U$8&amp;$V$8&amp;A192&amp;$AJ$6</f>
        <v>JARINU-FRG952323MQ.GIROFREEZER (3)</v>
      </c>
      <c r="AK192" s="327">
        <f>IFERROR(SUMIF('BD Otimix'!A:A,'BD VOLUME'!AG192,'BD Otimix'!O:O)+SUMIF('BD Otimix'!A:A,'BD VOLUME'!AH192,'BD Otimix'!O:O)+SUMIF('BD Otimix'!A:A,'BD VOLUME'!AI192,'BD Otimix'!O:O)+SUMIF('BD Otimix'!A:A,'BD VOLUME'!AJ192,'BD Otimix'!O:O)+SUMIF('BD Otimix'!A:A,'BD VOLUME'!AF192,'BD Otimix'!O:O),0)</f>
        <v>0</v>
      </c>
      <c r="AL192" s="7">
        <f t="shared" si="52"/>
        <v>0</v>
      </c>
    </row>
    <row r="193" spans="1:38">
      <c r="A193" s="324">
        <v>952325</v>
      </c>
      <c r="B193" s="324" t="s">
        <v>1264</v>
      </c>
      <c r="C193" s="5" t="s">
        <v>1265</v>
      </c>
      <c r="D193" s="5" t="s">
        <v>939</v>
      </c>
      <c r="E193" s="5" t="s">
        <v>1196</v>
      </c>
      <c r="F193" s="132">
        <f>SUMIF('COLAR PLANO'!$A:$A,A193,'COLAR PLANO'!$D:$D)</f>
        <v>0</v>
      </c>
      <c r="G193" s="131">
        <f t="shared" si="48"/>
        <v>0</v>
      </c>
      <c r="H193" s="6">
        <v>0.74340000000000006</v>
      </c>
      <c r="I193" s="7">
        <f t="shared" si="53"/>
        <v>0</v>
      </c>
      <c r="J193" s="130">
        <f t="shared" si="54"/>
        <v>0</v>
      </c>
      <c r="K193" s="327">
        <v>1.1000000000000001</v>
      </c>
      <c r="L193" s="324">
        <v>10</v>
      </c>
      <c r="M193" s="324">
        <v>11</v>
      </c>
      <c r="N193" s="7">
        <f t="shared" si="49"/>
        <v>0</v>
      </c>
      <c r="O193" s="311"/>
      <c r="P193" s="311">
        <f t="shared" si="50"/>
        <v>0</v>
      </c>
      <c r="Q193" s="7"/>
      <c r="R193" s="7"/>
      <c r="S193" s="7"/>
      <c r="T193" s="7"/>
      <c r="U193" s="7" t="s">
        <v>2288</v>
      </c>
      <c r="V193" s="7" t="s">
        <v>2289</v>
      </c>
      <c r="W193" s="7" t="str">
        <f>Preencher!$B$3&amp;U193&amp;V193&amp;A193&amp;$W$6</f>
        <v>JARINU-FRG952325MQ.TUNEL DE CG (CONTINUO)</v>
      </c>
      <c r="X193" s="7" t="str">
        <f>Preencher!$B$3&amp;U193&amp;V193&amp;A193&amp;$X$6</f>
        <v>JARINU-FRG952325MQ.TUNEL DE CG (CONTINUO) (1)</v>
      </c>
      <c r="Y193" s="7" t="str">
        <f>Preencher!$B$3&amp;U193&amp;V193&amp;A193&amp;$Y$6</f>
        <v>JARINU-FRG952325MQ.TUNEL DE CG (CONTINUO) (2)</v>
      </c>
      <c r="Z193" s="7" t="str">
        <f>Preencher!$B$3&amp;U193&amp;V193&amp;A193&amp;$Z$6</f>
        <v>JARINU-FRG952325MQ.TUNEL DE CG (CONTINUO) (3)</v>
      </c>
      <c r="AA193" s="7" t="str">
        <f>Preencher!$B$3&amp;U193&amp;V193&amp;A193&amp;$AA$6</f>
        <v>JARINU-FRG952325MQ.TUNEL DE CG (ESTATICO)</v>
      </c>
      <c r="AB193" s="7" t="str">
        <f>Preencher!$B$3&amp;U193&amp;V193&amp;A193&amp;$AB$6</f>
        <v>JARINU-FRG952325MQ.TUNEL DE CG (ESTATICO) (1)</v>
      </c>
      <c r="AC193" s="7" t="str">
        <f>Preencher!$B$3&amp;U193&amp;V193&amp;A193&amp;$AC$6</f>
        <v>JARINU-FRG952325MQ.TUNEL DE CG (ESTATICO) (2)</v>
      </c>
      <c r="AD193" s="327">
        <f>IFERROR(SUMIF('BD Otimix'!A:A,'BD VOLUME'!X193,'BD Otimix'!O:O)+SUMIF('BD Otimix'!A:A,'BD VOLUME'!Y193,'BD Otimix'!O:O)+SUMIF('BD Otimix'!A:A,'BD VOLUME'!Z193,'BD Otimix'!O:O)+SUMIF('BD Otimix'!A:A,'BD VOLUME'!AA193,'BD Otimix'!O:O)+SUMIF('BD Otimix'!A:A,'BD VOLUME'!AB193,'BD Otimix'!O:O)+SUMIF('BD Otimix'!A:A,'BD VOLUME'!AC193,'BD Otimix'!O:O)+SUMIF('BD Otimix'!A:A,'BD VOLUME'!W193,'BD Otimix'!O:O),0)</f>
        <v>0</v>
      </c>
      <c r="AE193" s="327">
        <f t="shared" si="51"/>
        <v>0</v>
      </c>
      <c r="AF193" s="7" t="str">
        <f>Preencher!$B$3&amp;$U$8&amp;$V$8&amp;A193&amp;$AF$6</f>
        <v>JARINU-FRG952325MQ.GIROFREEZER</v>
      </c>
      <c r="AG193" s="7" t="str">
        <f>Preencher!$B$3&amp;$U$8&amp;$V$8&amp;A193&amp;$AG$6</f>
        <v>JARINU-FRG952325MQ.GIROFREEZER (1)</v>
      </c>
      <c r="AH193" s="7" t="str">
        <f>Preencher!$B$3&amp;$U$8&amp;$V$8&amp;A193&amp;$AH$6</f>
        <v>JARINU-FRG952325MQ.GIROFREEZER (2)</v>
      </c>
      <c r="AI193" s="7" t="str">
        <f>Preencher!$B$3&amp;$U$8&amp;$V$8&amp;A193&amp;$AI$6</f>
        <v>JARINU-FRG952325MQ.GIROFREEZER REV04</v>
      </c>
      <c r="AJ193" s="7" t="str">
        <f>Preencher!$B$3&amp;$U$8&amp;$V$8&amp;A193&amp;$AJ$6</f>
        <v>JARINU-FRG952325MQ.GIROFREEZER (3)</v>
      </c>
      <c r="AK193" s="327">
        <f>IFERROR(SUMIF('BD Otimix'!A:A,'BD VOLUME'!AG193,'BD Otimix'!O:O)+SUMIF('BD Otimix'!A:A,'BD VOLUME'!AH193,'BD Otimix'!O:O)+SUMIF('BD Otimix'!A:A,'BD VOLUME'!AI193,'BD Otimix'!O:O)+SUMIF('BD Otimix'!A:A,'BD VOLUME'!AJ193,'BD Otimix'!O:O)+SUMIF('BD Otimix'!A:A,'BD VOLUME'!AF193,'BD Otimix'!O:O),0)</f>
        <v>0</v>
      </c>
      <c r="AL193" s="7">
        <f t="shared" si="52"/>
        <v>0</v>
      </c>
    </row>
    <row r="194" spans="1:38">
      <c r="A194" s="324">
        <v>952326</v>
      </c>
      <c r="B194" s="324" t="s">
        <v>1266</v>
      </c>
      <c r="C194" s="5" t="s">
        <v>1267</v>
      </c>
      <c r="D194" s="5" t="s">
        <v>939</v>
      </c>
      <c r="E194" s="5" t="s">
        <v>1196</v>
      </c>
      <c r="F194" s="132">
        <f>SUMIF('COLAR PLANO'!$A:$A,A194,'COLAR PLANO'!$D:$D)</f>
        <v>0</v>
      </c>
      <c r="G194" s="131">
        <f t="shared" si="48"/>
        <v>0</v>
      </c>
      <c r="H194" s="6">
        <v>0.74340000000000006</v>
      </c>
      <c r="I194" s="7">
        <f t="shared" si="53"/>
        <v>0</v>
      </c>
      <c r="J194" s="130">
        <f t="shared" si="54"/>
        <v>0</v>
      </c>
      <c r="K194" s="327">
        <v>1.2</v>
      </c>
      <c r="L194" s="324">
        <v>10</v>
      </c>
      <c r="M194" s="324">
        <v>12</v>
      </c>
      <c r="N194" s="7">
        <f t="shared" si="49"/>
        <v>0</v>
      </c>
      <c r="O194" s="311"/>
      <c r="P194" s="311">
        <f t="shared" si="50"/>
        <v>0</v>
      </c>
      <c r="Q194" s="7"/>
      <c r="R194" s="7"/>
      <c r="S194" s="7"/>
      <c r="T194" s="7"/>
      <c r="U194" s="7" t="s">
        <v>2288</v>
      </c>
      <c r="V194" s="7" t="s">
        <v>2289</v>
      </c>
      <c r="W194" s="7" t="str">
        <f>Preencher!$B$3&amp;U194&amp;V194&amp;A194&amp;$W$6</f>
        <v>JARINU-FRG952326MQ.TUNEL DE CG (CONTINUO)</v>
      </c>
      <c r="X194" s="7" t="str">
        <f>Preencher!$B$3&amp;U194&amp;V194&amp;A194&amp;$X$6</f>
        <v>JARINU-FRG952326MQ.TUNEL DE CG (CONTINUO) (1)</v>
      </c>
      <c r="Y194" s="7" t="str">
        <f>Preencher!$B$3&amp;U194&amp;V194&amp;A194&amp;$Y$6</f>
        <v>JARINU-FRG952326MQ.TUNEL DE CG (CONTINUO) (2)</v>
      </c>
      <c r="Z194" s="7" t="str">
        <f>Preencher!$B$3&amp;U194&amp;V194&amp;A194&amp;$Z$6</f>
        <v>JARINU-FRG952326MQ.TUNEL DE CG (CONTINUO) (3)</v>
      </c>
      <c r="AA194" s="7" t="str">
        <f>Preencher!$B$3&amp;U194&amp;V194&amp;A194&amp;$AA$6</f>
        <v>JARINU-FRG952326MQ.TUNEL DE CG (ESTATICO)</v>
      </c>
      <c r="AB194" s="7" t="str">
        <f>Preencher!$B$3&amp;U194&amp;V194&amp;A194&amp;$AB$6</f>
        <v>JARINU-FRG952326MQ.TUNEL DE CG (ESTATICO) (1)</v>
      </c>
      <c r="AC194" s="7" t="str">
        <f>Preencher!$B$3&amp;U194&amp;V194&amp;A194&amp;$AC$6</f>
        <v>JARINU-FRG952326MQ.TUNEL DE CG (ESTATICO) (2)</v>
      </c>
      <c r="AD194" s="327">
        <f>IFERROR(SUMIF('BD Otimix'!A:A,'BD VOLUME'!X194,'BD Otimix'!O:O)+SUMIF('BD Otimix'!A:A,'BD VOLUME'!Y194,'BD Otimix'!O:O)+SUMIF('BD Otimix'!A:A,'BD VOLUME'!Z194,'BD Otimix'!O:O)+SUMIF('BD Otimix'!A:A,'BD VOLUME'!AA194,'BD Otimix'!O:O)+SUMIF('BD Otimix'!A:A,'BD VOLUME'!AB194,'BD Otimix'!O:O)+SUMIF('BD Otimix'!A:A,'BD VOLUME'!AC194,'BD Otimix'!O:O)+SUMIF('BD Otimix'!A:A,'BD VOLUME'!W194,'BD Otimix'!O:O),0)</f>
        <v>0</v>
      </c>
      <c r="AE194" s="327">
        <f t="shared" si="51"/>
        <v>0</v>
      </c>
      <c r="AF194" s="7" t="str">
        <f>Preencher!$B$3&amp;$U$8&amp;$V$8&amp;A194&amp;$AF$6</f>
        <v>JARINU-FRG952326MQ.GIROFREEZER</v>
      </c>
      <c r="AG194" s="7" t="str">
        <f>Preencher!$B$3&amp;$U$8&amp;$V$8&amp;A194&amp;$AG$6</f>
        <v>JARINU-FRG952326MQ.GIROFREEZER (1)</v>
      </c>
      <c r="AH194" s="7" t="str">
        <f>Preencher!$B$3&amp;$U$8&amp;$V$8&amp;A194&amp;$AH$6</f>
        <v>JARINU-FRG952326MQ.GIROFREEZER (2)</v>
      </c>
      <c r="AI194" s="7" t="str">
        <f>Preencher!$B$3&amp;$U$8&amp;$V$8&amp;A194&amp;$AI$6</f>
        <v>JARINU-FRG952326MQ.GIROFREEZER REV04</v>
      </c>
      <c r="AJ194" s="7" t="str">
        <f>Preencher!$B$3&amp;$U$8&amp;$V$8&amp;A194&amp;$AJ$6</f>
        <v>JARINU-FRG952326MQ.GIROFREEZER (3)</v>
      </c>
      <c r="AK194" s="327">
        <f>IFERROR(SUMIF('BD Otimix'!A:A,'BD VOLUME'!AG194,'BD Otimix'!O:O)+SUMIF('BD Otimix'!A:A,'BD VOLUME'!AH194,'BD Otimix'!O:O)+SUMIF('BD Otimix'!A:A,'BD VOLUME'!AI194,'BD Otimix'!O:O)+SUMIF('BD Otimix'!A:A,'BD VOLUME'!AJ194,'BD Otimix'!O:O)+SUMIF('BD Otimix'!A:A,'BD VOLUME'!AF194,'BD Otimix'!O:O),0)</f>
        <v>0</v>
      </c>
      <c r="AL194" s="7">
        <f t="shared" si="52"/>
        <v>0</v>
      </c>
    </row>
    <row r="195" spans="1:38">
      <c r="A195" s="324">
        <v>952327</v>
      </c>
      <c r="B195" s="324" t="s">
        <v>1268</v>
      </c>
      <c r="C195" s="5" t="s">
        <v>1269</v>
      </c>
      <c r="D195" s="5" t="s">
        <v>939</v>
      </c>
      <c r="E195" s="5" t="s">
        <v>1196</v>
      </c>
      <c r="F195" s="132">
        <f>SUMIF('COLAR PLANO'!$A:$A,A195,'COLAR PLANO'!$D:$D)</f>
        <v>0</v>
      </c>
      <c r="G195" s="131">
        <f t="shared" si="48"/>
        <v>0</v>
      </c>
      <c r="H195" s="6">
        <v>0.74340000000000006</v>
      </c>
      <c r="I195" s="7">
        <f t="shared" si="53"/>
        <v>0</v>
      </c>
      <c r="J195" s="130">
        <f t="shared" si="54"/>
        <v>0</v>
      </c>
      <c r="K195" s="327">
        <v>1.3</v>
      </c>
      <c r="L195" s="324">
        <v>10</v>
      </c>
      <c r="M195" s="324">
        <v>13</v>
      </c>
      <c r="N195" s="7">
        <f t="shared" si="49"/>
        <v>0</v>
      </c>
      <c r="O195" s="311"/>
      <c r="P195" s="311">
        <f t="shared" si="50"/>
        <v>0</v>
      </c>
      <c r="Q195" s="7"/>
      <c r="R195" s="7"/>
      <c r="S195" s="7"/>
      <c r="T195" s="7"/>
      <c r="U195" s="7" t="s">
        <v>2288</v>
      </c>
      <c r="V195" s="7" t="s">
        <v>2289</v>
      </c>
      <c r="W195" s="7" t="str">
        <f>Preencher!$B$3&amp;U195&amp;V195&amp;A195&amp;$W$6</f>
        <v>JARINU-FRG952327MQ.TUNEL DE CG (CONTINUO)</v>
      </c>
      <c r="X195" s="7" t="str">
        <f>Preencher!$B$3&amp;U195&amp;V195&amp;A195&amp;$X$6</f>
        <v>JARINU-FRG952327MQ.TUNEL DE CG (CONTINUO) (1)</v>
      </c>
      <c r="Y195" s="7" t="str">
        <f>Preencher!$B$3&amp;U195&amp;V195&amp;A195&amp;$Y$6</f>
        <v>JARINU-FRG952327MQ.TUNEL DE CG (CONTINUO) (2)</v>
      </c>
      <c r="Z195" s="7" t="str">
        <f>Preencher!$B$3&amp;U195&amp;V195&amp;A195&amp;$Z$6</f>
        <v>JARINU-FRG952327MQ.TUNEL DE CG (CONTINUO) (3)</v>
      </c>
      <c r="AA195" s="7" t="str">
        <f>Preencher!$B$3&amp;U195&amp;V195&amp;A195&amp;$AA$6</f>
        <v>JARINU-FRG952327MQ.TUNEL DE CG (ESTATICO)</v>
      </c>
      <c r="AB195" s="7" t="str">
        <f>Preencher!$B$3&amp;U195&amp;V195&amp;A195&amp;$AB$6</f>
        <v>JARINU-FRG952327MQ.TUNEL DE CG (ESTATICO) (1)</v>
      </c>
      <c r="AC195" s="7" t="str">
        <f>Preencher!$B$3&amp;U195&amp;V195&amp;A195&amp;$AC$6</f>
        <v>JARINU-FRG952327MQ.TUNEL DE CG (ESTATICO) (2)</v>
      </c>
      <c r="AD195" s="327">
        <f>IFERROR(SUMIF('BD Otimix'!A:A,'BD VOLUME'!X195,'BD Otimix'!O:O)+SUMIF('BD Otimix'!A:A,'BD VOLUME'!Y195,'BD Otimix'!O:O)+SUMIF('BD Otimix'!A:A,'BD VOLUME'!Z195,'BD Otimix'!O:O)+SUMIF('BD Otimix'!A:A,'BD VOLUME'!AA195,'BD Otimix'!O:O)+SUMIF('BD Otimix'!A:A,'BD VOLUME'!AB195,'BD Otimix'!O:O)+SUMIF('BD Otimix'!A:A,'BD VOLUME'!AC195,'BD Otimix'!O:O)+SUMIF('BD Otimix'!A:A,'BD VOLUME'!W195,'BD Otimix'!O:O),0)</f>
        <v>0</v>
      </c>
      <c r="AE195" s="327">
        <f t="shared" si="51"/>
        <v>0</v>
      </c>
      <c r="AF195" s="7" t="str">
        <f>Preencher!$B$3&amp;$U$8&amp;$V$8&amp;A195&amp;$AF$6</f>
        <v>JARINU-FRG952327MQ.GIROFREEZER</v>
      </c>
      <c r="AG195" s="7" t="str">
        <f>Preencher!$B$3&amp;$U$8&amp;$V$8&amp;A195&amp;$AG$6</f>
        <v>JARINU-FRG952327MQ.GIROFREEZER (1)</v>
      </c>
      <c r="AH195" s="7" t="str">
        <f>Preencher!$B$3&amp;$U$8&amp;$V$8&amp;A195&amp;$AH$6</f>
        <v>JARINU-FRG952327MQ.GIROFREEZER (2)</v>
      </c>
      <c r="AI195" s="7" t="str">
        <f>Preencher!$B$3&amp;$U$8&amp;$V$8&amp;A195&amp;$AI$6</f>
        <v>JARINU-FRG952327MQ.GIROFREEZER REV04</v>
      </c>
      <c r="AJ195" s="7" t="str">
        <f>Preencher!$B$3&amp;$U$8&amp;$V$8&amp;A195&amp;$AJ$6</f>
        <v>JARINU-FRG952327MQ.GIROFREEZER (3)</v>
      </c>
      <c r="AK195" s="327">
        <f>IFERROR(SUMIF('BD Otimix'!A:A,'BD VOLUME'!AG195,'BD Otimix'!O:O)+SUMIF('BD Otimix'!A:A,'BD VOLUME'!AH195,'BD Otimix'!O:O)+SUMIF('BD Otimix'!A:A,'BD VOLUME'!AI195,'BD Otimix'!O:O)+SUMIF('BD Otimix'!A:A,'BD VOLUME'!AJ195,'BD Otimix'!O:O)+SUMIF('BD Otimix'!A:A,'BD VOLUME'!AF195,'BD Otimix'!O:O),0)</f>
        <v>0</v>
      </c>
      <c r="AL195" s="7">
        <f t="shared" si="52"/>
        <v>0</v>
      </c>
    </row>
    <row r="196" spans="1:38">
      <c r="A196" s="324">
        <v>952328</v>
      </c>
      <c r="B196" s="324" t="s">
        <v>1270</v>
      </c>
      <c r="C196" s="5" t="s">
        <v>1271</v>
      </c>
      <c r="D196" s="5" t="s">
        <v>939</v>
      </c>
      <c r="E196" s="5" t="s">
        <v>1196</v>
      </c>
      <c r="F196" s="132">
        <f>SUMIF('COLAR PLANO'!$A:$A,A196,'COLAR PLANO'!$D:$D)</f>
        <v>0</v>
      </c>
      <c r="G196" s="131">
        <f t="shared" si="48"/>
        <v>0</v>
      </c>
      <c r="H196" s="6">
        <v>0.74340000000000006</v>
      </c>
      <c r="I196" s="7">
        <f t="shared" si="53"/>
        <v>0</v>
      </c>
      <c r="J196" s="130">
        <f t="shared" si="54"/>
        <v>0</v>
      </c>
      <c r="K196" s="327">
        <v>1.4</v>
      </c>
      <c r="L196" s="324">
        <v>10</v>
      </c>
      <c r="M196" s="324">
        <v>14</v>
      </c>
      <c r="N196" s="7">
        <f t="shared" si="49"/>
        <v>0</v>
      </c>
      <c r="O196" s="311"/>
      <c r="P196" s="311">
        <f t="shared" si="50"/>
        <v>0</v>
      </c>
      <c r="Q196" s="7"/>
      <c r="R196" s="7"/>
      <c r="S196" s="7"/>
      <c r="T196" s="7"/>
      <c r="U196" s="7" t="s">
        <v>2288</v>
      </c>
      <c r="V196" s="7" t="s">
        <v>2289</v>
      </c>
      <c r="W196" s="7" t="str">
        <f>Preencher!$B$3&amp;U196&amp;V196&amp;A196&amp;$W$6</f>
        <v>JARINU-FRG952328MQ.TUNEL DE CG (CONTINUO)</v>
      </c>
      <c r="X196" s="7" t="str">
        <f>Preencher!$B$3&amp;U196&amp;V196&amp;A196&amp;$X$6</f>
        <v>JARINU-FRG952328MQ.TUNEL DE CG (CONTINUO) (1)</v>
      </c>
      <c r="Y196" s="7" t="str">
        <f>Preencher!$B$3&amp;U196&amp;V196&amp;A196&amp;$Y$6</f>
        <v>JARINU-FRG952328MQ.TUNEL DE CG (CONTINUO) (2)</v>
      </c>
      <c r="Z196" s="7" t="str">
        <f>Preencher!$B$3&amp;U196&amp;V196&amp;A196&amp;$Z$6</f>
        <v>JARINU-FRG952328MQ.TUNEL DE CG (CONTINUO) (3)</v>
      </c>
      <c r="AA196" s="7" t="str">
        <f>Preencher!$B$3&amp;U196&amp;V196&amp;A196&amp;$AA$6</f>
        <v>JARINU-FRG952328MQ.TUNEL DE CG (ESTATICO)</v>
      </c>
      <c r="AB196" s="7" t="str">
        <f>Preencher!$B$3&amp;U196&amp;V196&amp;A196&amp;$AB$6</f>
        <v>JARINU-FRG952328MQ.TUNEL DE CG (ESTATICO) (1)</v>
      </c>
      <c r="AC196" s="7" t="str">
        <f>Preencher!$B$3&amp;U196&amp;V196&amp;A196&amp;$AC$6</f>
        <v>JARINU-FRG952328MQ.TUNEL DE CG (ESTATICO) (2)</v>
      </c>
      <c r="AD196" s="327">
        <f>IFERROR(SUMIF('BD Otimix'!A:A,'BD VOLUME'!X196,'BD Otimix'!O:O)+SUMIF('BD Otimix'!A:A,'BD VOLUME'!Y196,'BD Otimix'!O:O)+SUMIF('BD Otimix'!A:A,'BD VOLUME'!Z196,'BD Otimix'!O:O)+SUMIF('BD Otimix'!A:A,'BD VOLUME'!AA196,'BD Otimix'!O:O)+SUMIF('BD Otimix'!A:A,'BD VOLUME'!AB196,'BD Otimix'!O:O)+SUMIF('BD Otimix'!A:A,'BD VOLUME'!AC196,'BD Otimix'!O:O)+SUMIF('BD Otimix'!A:A,'BD VOLUME'!W196,'BD Otimix'!O:O),0)</f>
        <v>0</v>
      </c>
      <c r="AE196" s="327">
        <f t="shared" si="51"/>
        <v>0</v>
      </c>
      <c r="AF196" s="7" t="str">
        <f>Preencher!$B$3&amp;$U$8&amp;$V$8&amp;A196&amp;$AF$6</f>
        <v>JARINU-FRG952328MQ.GIROFREEZER</v>
      </c>
      <c r="AG196" s="7" t="str">
        <f>Preencher!$B$3&amp;$U$8&amp;$V$8&amp;A196&amp;$AG$6</f>
        <v>JARINU-FRG952328MQ.GIROFREEZER (1)</v>
      </c>
      <c r="AH196" s="7" t="str">
        <f>Preencher!$B$3&amp;$U$8&amp;$V$8&amp;A196&amp;$AH$6</f>
        <v>JARINU-FRG952328MQ.GIROFREEZER (2)</v>
      </c>
      <c r="AI196" s="7" t="str">
        <f>Preencher!$B$3&amp;$U$8&amp;$V$8&amp;A196&amp;$AI$6</f>
        <v>JARINU-FRG952328MQ.GIROFREEZER REV04</v>
      </c>
      <c r="AJ196" s="7" t="str">
        <f>Preencher!$B$3&amp;$U$8&amp;$V$8&amp;A196&amp;$AJ$6</f>
        <v>JARINU-FRG952328MQ.GIROFREEZER (3)</v>
      </c>
      <c r="AK196" s="327">
        <f>IFERROR(SUMIF('BD Otimix'!A:A,'BD VOLUME'!AG196,'BD Otimix'!O:O)+SUMIF('BD Otimix'!A:A,'BD VOLUME'!AH196,'BD Otimix'!O:O)+SUMIF('BD Otimix'!A:A,'BD VOLUME'!AI196,'BD Otimix'!O:O)+SUMIF('BD Otimix'!A:A,'BD VOLUME'!AJ196,'BD Otimix'!O:O)+SUMIF('BD Otimix'!A:A,'BD VOLUME'!AF196,'BD Otimix'!O:O),0)</f>
        <v>0</v>
      </c>
      <c r="AL196" s="7">
        <f t="shared" si="52"/>
        <v>0</v>
      </c>
    </row>
    <row r="197" spans="1:38">
      <c r="A197" s="324">
        <v>952329</v>
      </c>
      <c r="B197" s="324">
        <v>0</v>
      </c>
      <c r="C197" s="5" t="s">
        <v>1272</v>
      </c>
      <c r="D197" s="5" t="s">
        <v>939</v>
      </c>
      <c r="E197" s="5" t="s">
        <v>1196</v>
      </c>
      <c r="F197" s="132">
        <f>SUMIF('COLAR PLANO'!$A:$A,A197,'COLAR PLANO'!$D:$D)</f>
        <v>0</v>
      </c>
      <c r="G197" s="131">
        <f t="shared" si="48"/>
        <v>0</v>
      </c>
      <c r="H197" s="6">
        <v>0.74340000000000006</v>
      </c>
      <c r="I197" s="7">
        <f t="shared" si="53"/>
        <v>0</v>
      </c>
      <c r="J197" s="130">
        <f t="shared" si="54"/>
        <v>0</v>
      </c>
      <c r="K197" s="327">
        <v>1.5</v>
      </c>
      <c r="L197" s="324">
        <v>10</v>
      </c>
      <c r="M197" s="324">
        <v>15</v>
      </c>
      <c r="N197" s="7">
        <f t="shared" si="49"/>
        <v>0</v>
      </c>
      <c r="O197" s="311"/>
      <c r="P197" s="311">
        <f t="shared" si="50"/>
        <v>0</v>
      </c>
      <c r="Q197" s="7"/>
      <c r="R197" s="7"/>
      <c r="S197" s="7"/>
      <c r="T197" s="7"/>
      <c r="U197" s="7" t="s">
        <v>2288</v>
      </c>
      <c r="V197" s="7" t="s">
        <v>2289</v>
      </c>
      <c r="W197" s="7" t="str">
        <f>Preencher!$B$3&amp;U197&amp;V197&amp;A197&amp;$W$6</f>
        <v>JARINU-FRG952329MQ.TUNEL DE CG (CONTINUO)</v>
      </c>
      <c r="X197" s="7" t="str">
        <f>Preencher!$B$3&amp;U197&amp;V197&amp;A197&amp;$X$6</f>
        <v>JARINU-FRG952329MQ.TUNEL DE CG (CONTINUO) (1)</v>
      </c>
      <c r="Y197" s="7" t="str">
        <f>Preencher!$B$3&amp;U197&amp;V197&amp;A197&amp;$Y$6</f>
        <v>JARINU-FRG952329MQ.TUNEL DE CG (CONTINUO) (2)</v>
      </c>
      <c r="Z197" s="7" t="str">
        <f>Preencher!$B$3&amp;U197&amp;V197&amp;A197&amp;$Z$6</f>
        <v>JARINU-FRG952329MQ.TUNEL DE CG (CONTINUO) (3)</v>
      </c>
      <c r="AA197" s="7" t="str">
        <f>Preencher!$B$3&amp;U197&amp;V197&amp;A197&amp;$AA$6</f>
        <v>JARINU-FRG952329MQ.TUNEL DE CG (ESTATICO)</v>
      </c>
      <c r="AB197" s="7" t="str">
        <f>Preencher!$B$3&amp;U197&amp;V197&amp;A197&amp;$AB$6</f>
        <v>JARINU-FRG952329MQ.TUNEL DE CG (ESTATICO) (1)</v>
      </c>
      <c r="AC197" s="7" t="str">
        <f>Preencher!$B$3&amp;U197&amp;V197&amp;A197&amp;$AC$6</f>
        <v>JARINU-FRG952329MQ.TUNEL DE CG (ESTATICO) (2)</v>
      </c>
      <c r="AD197" s="327">
        <f>IFERROR(SUMIF('BD Otimix'!A:A,'BD VOLUME'!X197,'BD Otimix'!O:O)+SUMIF('BD Otimix'!A:A,'BD VOLUME'!Y197,'BD Otimix'!O:O)+SUMIF('BD Otimix'!A:A,'BD VOLUME'!Z197,'BD Otimix'!O:O)+SUMIF('BD Otimix'!A:A,'BD VOLUME'!AA197,'BD Otimix'!O:O)+SUMIF('BD Otimix'!A:A,'BD VOLUME'!AB197,'BD Otimix'!O:O)+SUMIF('BD Otimix'!A:A,'BD VOLUME'!AC197,'BD Otimix'!O:O)+SUMIF('BD Otimix'!A:A,'BD VOLUME'!W197,'BD Otimix'!O:O),0)</f>
        <v>0</v>
      </c>
      <c r="AE197" s="327">
        <f t="shared" si="51"/>
        <v>0</v>
      </c>
      <c r="AF197" s="7" t="str">
        <f>Preencher!$B$3&amp;$U$8&amp;$V$8&amp;A197&amp;$AF$6</f>
        <v>JARINU-FRG952329MQ.GIROFREEZER</v>
      </c>
      <c r="AG197" s="7" t="str">
        <f>Preencher!$B$3&amp;$U$8&amp;$V$8&amp;A197&amp;$AG$6</f>
        <v>JARINU-FRG952329MQ.GIROFREEZER (1)</v>
      </c>
      <c r="AH197" s="7" t="str">
        <f>Preencher!$B$3&amp;$U$8&amp;$V$8&amp;A197&amp;$AH$6</f>
        <v>JARINU-FRG952329MQ.GIROFREEZER (2)</v>
      </c>
      <c r="AI197" s="7" t="str">
        <f>Preencher!$B$3&amp;$U$8&amp;$V$8&amp;A197&amp;$AI$6</f>
        <v>JARINU-FRG952329MQ.GIROFREEZER REV04</v>
      </c>
      <c r="AJ197" s="7" t="str">
        <f>Preencher!$B$3&amp;$U$8&amp;$V$8&amp;A197&amp;$AJ$6</f>
        <v>JARINU-FRG952329MQ.GIROFREEZER (3)</v>
      </c>
      <c r="AK197" s="327">
        <f>IFERROR(SUMIF('BD Otimix'!A:A,'BD VOLUME'!AG197,'BD Otimix'!O:O)+SUMIF('BD Otimix'!A:A,'BD VOLUME'!AH197,'BD Otimix'!O:O)+SUMIF('BD Otimix'!A:A,'BD VOLUME'!AI197,'BD Otimix'!O:O)+SUMIF('BD Otimix'!A:A,'BD VOLUME'!AJ197,'BD Otimix'!O:O)+SUMIF('BD Otimix'!A:A,'BD VOLUME'!AF197,'BD Otimix'!O:O),0)</f>
        <v>0</v>
      </c>
      <c r="AL197" s="7">
        <f t="shared" si="52"/>
        <v>0</v>
      </c>
    </row>
    <row r="198" spans="1:38">
      <c r="A198" s="324">
        <v>961420</v>
      </c>
      <c r="B198" s="324">
        <v>0</v>
      </c>
      <c r="C198" s="5" t="s">
        <v>1273</v>
      </c>
      <c r="D198" s="5" t="s">
        <v>939</v>
      </c>
      <c r="E198" s="5" t="s">
        <v>1196</v>
      </c>
      <c r="F198" s="132">
        <f>SUMIF('COLAR PLANO'!$A:$A,A198,'COLAR PLANO'!$D:$D)</f>
        <v>0</v>
      </c>
      <c r="G198" s="131">
        <f t="shared" si="48"/>
        <v>0</v>
      </c>
      <c r="H198" s="6">
        <v>0.74340000000000006</v>
      </c>
      <c r="I198" s="7">
        <f t="shared" si="53"/>
        <v>0</v>
      </c>
      <c r="J198" s="130">
        <f t="shared" si="54"/>
        <v>0</v>
      </c>
      <c r="K198" s="327">
        <v>0.7</v>
      </c>
      <c r="L198" s="324">
        <v>10</v>
      </c>
      <c r="M198" s="324">
        <v>7</v>
      </c>
      <c r="N198" s="7">
        <f t="shared" si="49"/>
        <v>0</v>
      </c>
      <c r="O198" s="311"/>
      <c r="P198" s="311">
        <f t="shared" si="50"/>
        <v>0</v>
      </c>
      <c r="Q198" s="7"/>
      <c r="R198" s="7"/>
      <c r="S198" s="7"/>
      <c r="T198" s="7"/>
      <c r="U198" s="7" t="s">
        <v>2288</v>
      </c>
      <c r="V198" s="7" t="s">
        <v>2289</v>
      </c>
      <c r="W198" s="7" t="str">
        <f>Preencher!$B$3&amp;U198&amp;V198&amp;A198&amp;$W$6</f>
        <v>JARINU-FRG961420MQ.TUNEL DE CG (CONTINUO)</v>
      </c>
      <c r="X198" s="7" t="str">
        <f>Preencher!$B$3&amp;U198&amp;V198&amp;A198&amp;$X$6</f>
        <v>JARINU-FRG961420MQ.TUNEL DE CG (CONTINUO) (1)</v>
      </c>
      <c r="Y198" s="7" t="str">
        <f>Preencher!$B$3&amp;U198&amp;V198&amp;A198&amp;$Y$6</f>
        <v>JARINU-FRG961420MQ.TUNEL DE CG (CONTINUO) (2)</v>
      </c>
      <c r="Z198" s="7" t="str">
        <f>Preencher!$B$3&amp;U198&amp;V198&amp;A198&amp;$Z$6</f>
        <v>JARINU-FRG961420MQ.TUNEL DE CG (CONTINUO) (3)</v>
      </c>
      <c r="AA198" s="7" t="str">
        <f>Preencher!$B$3&amp;U198&amp;V198&amp;A198&amp;$AA$6</f>
        <v>JARINU-FRG961420MQ.TUNEL DE CG (ESTATICO)</v>
      </c>
      <c r="AB198" s="7" t="str">
        <f>Preencher!$B$3&amp;U198&amp;V198&amp;A198&amp;$AB$6</f>
        <v>JARINU-FRG961420MQ.TUNEL DE CG (ESTATICO) (1)</v>
      </c>
      <c r="AC198" s="7" t="str">
        <f>Preencher!$B$3&amp;U198&amp;V198&amp;A198&amp;$AC$6</f>
        <v>JARINU-FRG961420MQ.TUNEL DE CG (ESTATICO) (2)</v>
      </c>
      <c r="AD198" s="327">
        <f>IFERROR(SUMIF('BD Otimix'!A:A,'BD VOLUME'!X198,'BD Otimix'!O:O)+SUMIF('BD Otimix'!A:A,'BD VOLUME'!Y198,'BD Otimix'!O:O)+SUMIF('BD Otimix'!A:A,'BD VOLUME'!Z198,'BD Otimix'!O:O)+SUMIF('BD Otimix'!A:A,'BD VOLUME'!AA198,'BD Otimix'!O:O)+SUMIF('BD Otimix'!A:A,'BD VOLUME'!AB198,'BD Otimix'!O:O)+SUMIF('BD Otimix'!A:A,'BD VOLUME'!AC198,'BD Otimix'!O:O)+SUMIF('BD Otimix'!A:A,'BD VOLUME'!W198,'BD Otimix'!O:O),0)</f>
        <v>0</v>
      </c>
      <c r="AE198" s="327">
        <f t="shared" si="51"/>
        <v>0</v>
      </c>
      <c r="AF198" s="7" t="str">
        <f>Preencher!$B$3&amp;$U$8&amp;$V$8&amp;A198&amp;$AF$6</f>
        <v>JARINU-FRG961420MQ.GIROFREEZER</v>
      </c>
      <c r="AG198" s="7" t="str">
        <f>Preencher!$B$3&amp;$U$8&amp;$V$8&amp;A198&amp;$AG$6</f>
        <v>JARINU-FRG961420MQ.GIROFREEZER (1)</v>
      </c>
      <c r="AH198" s="7" t="str">
        <f>Preencher!$B$3&amp;$U$8&amp;$V$8&amp;A198&amp;$AH$6</f>
        <v>JARINU-FRG961420MQ.GIROFREEZER (2)</v>
      </c>
      <c r="AI198" s="7" t="str">
        <f>Preencher!$B$3&amp;$U$8&amp;$V$8&amp;A198&amp;$AI$6</f>
        <v>JARINU-FRG961420MQ.GIROFREEZER REV04</v>
      </c>
      <c r="AJ198" s="7" t="str">
        <f>Preencher!$B$3&amp;$U$8&amp;$V$8&amp;A198&amp;$AJ$6</f>
        <v>JARINU-FRG961420MQ.GIROFREEZER (3)</v>
      </c>
      <c r="AK198" s="327">
        <f>IFERROR(SUMIF('BD Otimix'!A:A,'BD VOLUME'!AG198,'BD Otimix'!O:O)+SUMIF('BD Otimix'!A:A,'BD VOLUME'!AH198,'BD Otimix'!O:O)+SUMIF('BD Otimix'!A:A,'BD VOLUME'!AI198,'BD Otimix'!O:O)+SUMIF('BD Otimix'!A:A,'BD VOLUME'!AJ198,'BD Otimix'!O:O)+SUMIF('BD Otimix'!A:A,'BD VOLUME'!AF198,'BD Otimix'!O:O),0)</f>
        <v>0</v>
      </c>
      <c r="AL198" s="7">
        <f t="shared" si="52"/>
        <v>0</v>
      </c>
    </row>
    <row r="199" spans="1:38">
      <c r="A199" s="324">
        <v>1667</v>
      </c>
      <c r="B199" s="324">
        <v>0</v>
      </c>
      <c r="C199" s="5" t="s">
        <v>1274</v>
      </c>
      <c r="D199" s="5" t="s">
        <v>939</v>
      </c>
      <c r="E199" s="5" t="s">
        <v>1196</v>
      </c>
      <c r="F199" s="132">
        <f>SUMIF('COLAR PLANO'!$A:$A,A199,'COLAR PLANO'!$D:$D)</f>
        <v>0</v>
      </c>
      <c r="G199" s="131">
        <f t="shared" si="48"/>
        <v>0</v>
      </c>
      <c r="H199" s="6">
        <v>0.7419</v>
      </c>
      <c r="I199" s="7">
        <f t="shared" si="53"/>
        <v>0</v>
      </c>
      <c r="J199" s="130">
        <f t="shared" si="54"/>
        <v>0</v>
      </c>
      <c r="K199" s="327">
        <v>0.8</v>
      </c>
      <c r="L199" s="324">
        <v>10</v>
      </c>
      <c r="M199" s="324">
        <v>8</v>
      </c>
      <c r="N199" s="7">
        <f t="shared" si="49"/>
        <v>0</v>
      </c>
      <c r="O199" s="311"/>
      <c r="P199" s="311">
        <f t="shared" si="50"/>
        <v>0</v>
      </c>
      <c r="Q199" s="7"/>
      <c r="R199" s="7"/>
      <c r="S199" s="7"/>
      <c r="T199" s="7"/>
      <c r="U199" s="7" t="s">
        <v>2288</v>
      </c>
      <c r="V199" s="7" t="s">
        <v>2289</v>
      </c>
      <c r="W199" s="7" t="str">
        <f>Preencher!$B$3&amp;U199&amp;V199&amp;A199&amp;$W$6</f>
        <v>JARINU-FRG1667MQ.TUNEL DE CG (CONTINUO)</v>
      </c>
      <c r="X199" s="7" t="str">
        <f>Preencher!$B$3&amp;U199&amp;V199&amp;A199&amp;$X$6</f>
        <v>JARINU-FRG1667MQ.TUNEL DE CG (CONTINUO) (1)</v>
      </c>
      <c r="Y199" s="7" t="str">
        <f>Preencher!$B$3&amp;U199&amp;V199&amp;A199&amp;$Y$6</f>
        <v>JARINU-FRG1667MQ.TUNEL DE CG (CONTINUO) (2)</v>
      </c>
      <c r="Z199" s="7" t="str">
        <f>Preencher!$B$3&amp;U199&amp;V199&amp;A199&amp;$Z$6</f>
        <v>JARINU-FRG1667MQ.TUNEL DE CG (CONTINUO) (3)</v>
      </c>
      <c r="AA199" s="7" t="str">
        <f>Preencher!$B$3&amp;U199&amp;V199&amp;A199&amp;$AA$6</f>
        <v>JARINU-FRG1667MQ.TUNEL DE CG (ESTATICO)</v>
      </c>
      <c r="AB199" s="7" t="str">
        <f>Preencher!$B$3&amp;U199&amp;V199&amp;A199&amp;$AB$6</f>
        <v>JARINU-FRG1667MQ.TUNEL DE CG (ESTATICO) (1)</v>
      </c>
      <c r="AC199" s="7" t="str">
        <f>Preencher!$B$3&amp;U199&amp;V199&amp;A199&amp;$AC$6</f>
        <v>JARINU-FRG1667MQ.TUNEL DE CG (ESTATICO) (2)</v>
      </c>
      <c r="AD199" s="327">
        <f>IFERROR(SUMIF('BD Otimix'!A:A,'BD VOLUME'!X199,'BD Otimix'!O:O)+SUMIF('BD Otimix'!A:A,'BD VOLUME'!Y199,'BD Otimix'!O:O)+SUMIF('BD Otimix'!A:A,'BD VOLUME'!Z199,'BD Otimix'!O:O)+SUMIF('BD Otimix'!A:A,'BD VOLUME'!AA199,'BD Otimix'!O:O)+SUMIF('BD Otimix'!A:A,'BD VOLUME'!AB199,'BD Otimix'!O:O)+SUMIF('BD Otimix'!A:A,'BD VOLUME'!AC199,'BD Otimix'!O:O)+SUMIF('BD Otimix'!A:A,'BD VOLUME'!W199,'BD Otimix'!O:O),0)</f>
        <v>0</v>
      </c>
      <c r="AE199" s="327">
        <f t="shared" si="51"/>
        <v>0</v>
      </c>
      <c r="AF199" s="7" t="str">
        <f>Preencher!$B$3&amp;$U$8&amp;$V$8&amp;A199&amp;$AF$6</f>
        <v>JARINU-FRG1667MQ.GIROFREEZER</v>
      </c>
      <c r="AG199" s="7" t="str">
        <f>Preencher!$B$3&amp;$U$8&amp;$V$8&amp;A199&amp;$AG$6</f>
        <v>JARINU-FRG1667MQ.GIROFREEZER (1)</v>
      </c>
      <c r="AH199" s="7" t="str">
        <f>Preencher!$B$3&amp;$U$8&amp;$V$8&amp;A199&amp;$AH$6</f>
        <v>JARINU-FRG1667MQ.GIROFREEZER (2)</v>
      </c>
      <c r="AI199" s="7" t="str">
        <f>Preencher!$B$3&amp;$U$8&amp;$V$8&amp;A199&amp;$AI$6</f>
        <v>JARINU-FRG1667MQ.GIROFREEZER REV04</v>
      </c>
      <c r="AJ199" s="7" t="str">
        <f>Preencher!$B$3&amp;$U$8&amp;$V$8&amp;A199&amp;$AJ$6</f>
        <v>JARINU-FRG1667MQ.GIROFREEZER (3)</v>
      </c>
      <c r="AK199" s="327">
        <f>IFERROR(SUMIF('BD Otimix'!A:A,'BD VOLUME'!AG199,'BD Otimix'!O:O)+SUMIF('BD Otimix'!A:A,'BD VOLUME'!AH199,'BD Otimix'!O:O)+SUMIF('BD Otimix'!A:A,'BD VOLUME'!AI199,'BD Otimix'!O:O)+SUMIF('BD Otimix'!A:A,'BD VOLUME'!AJ199,'BD Otimix'!O:O)+SUMIF('BD Otimix'!A:A,'BD VOLUME'!AF199,'BD Otimix'!O:O),0)</f>
        <v>0</v>
      </c>
      <c r="AL199" s="7">
        <f t="shared" si="52"/>
        <v>0</v>
      </c>
    </row>
    <row r="200" spans="1:38">
      <c r="A200" s="324">
        <v>1668</v>
      </c>
      <c r="B200" s="324">
        <v>0</v>
      </c>
      <c r="C200" s="5" t="s">
        <v>1275</v>
      </c>
      <c r="D200" s="5" t="s">
        <v>939</v>
      </c>
      <c r="E200" s="5" t="s">
        <v>1196</v>
      </c>
      <c r="F200" s="132">
        <f>SUMIF('COLAR PLANO'!$A:$A,A200,'COLAR PLANO'!$D:$D)</f>
        <v>0</v>
      </c>
      <c r="G200" s="131">
        <f t="shared" si="48"/>
        <v>0</v>
      </c>
      <c r="H200" s="6">
        <v>0.7419</v>
      </c>
      <c r="I200" s="7">
        <f t="shared" si="53"/>
        <v>0</v>
      </c>
      <c r="J200" s="130">
        <f t="shared" si="54"/>
        <v>0</v>
      </c>
      <c r="K200" s="327">
        <v>0.9</v>
      </c>
      <c r="L200" s="324">
        <v>10</v>
      </c>
      <c r="M200" s="324">
        <v>9</v>
      </c>
      <c r="N200" s="7">
        <f t="shared" si="49"/>
        <v>0</v>
      </c>
      <c r="O200" s="311"/>
      <c r="P200" s="311">
        <f t="shared" si="50"/>
        <v>0</v>
      </c>
      <c r="Q200" s="7"/>
      <c r="R200" s="7"/>
      <c r="S200" s="7"/>
      <c r="T200" s="7"/>
      <c r="U200" s="7" t="s">
        <v>2288</v>
      </c>
      <c r="V200" s="7" t="s">
        <v>2289</v>
      </c>
      <c r="W200" s="7" t="str">
        <f>Preencher!$B$3&amp;U200&amp;V200&amp;A200&amp;$W$6</f>
        <v>JARINU-FRG1668MQ.TUNEL DE CG (CONTINUO)</v>
      </c>
      <c r="X200" s="7" t="str">
        <f>Preencher!$B$3&amp;U200&amp;V200&amp;A200&amp;$X$6</f>
        <v>JARINU-FRG1668MQ.TUNEL DE CG (CONTINUO) (1)</v>
      </c>
      <c r="Y200" s="7" t="str">
        <f>Preencher!$B$3&amp;U200&amp;V200&amp;A200&amp;$Y$6</f>
        <v>JARINU-FRG1668MQ.TUNEL DE CG (CONTINUO) (2)</v>
      </c>
      <c r="Z200" s="7" t="str">
        <f>Preencher!$B$3&amp;U200&amp;V200&amp;A200&amp;$Z$6</f>
        <v>JARINU-FRG1668MQ.TUNEL DE CG (CONTINUO) (3)</v>
      </c>
      <c r="AA200" s="7" t="str">
        <f>Preencher!$B$3&amp;U200&amp;V200&amp;A200&amp;$AA$6</f>
        <v>JARINU-FRG1668MQ.TUNEL DE CG (ESTATICO)</v>
      </c>
      <c r="AB200" s="7" t="str">
        <f>Preencher!$B$3&amp;U200&amp;V200&amp;A200&amp;$AB$6</f>
        <v>JARINU-FRG1668MQ.TUNEL DE CG (ESTATICO) (1)</v>
      </c>
      <c r="AC200" s="7" t="str">
        <f>Preencher!$B$3&amp;U200&amp;V200&amp;A200&amp;$AC$6</f>
        <v>JARINU-FRG1668MQ.TUNEL DE CG (ESTATICO) (2)</v>
      </c>
      <c r="AD200" s="327">
        <f>IFERROR(SUMIF('BD Otimix'!A:A,'BD VOLUME'!X200,'BD Otimix'!O:O)+SUMIF('BD Otimix'!A:A,'BD VOLUME'!Y200,'BD Otimix'!O:O)+SUMIF('BD Otimix'!A:A,'BD VOLUME'!Z200,'BD Otimix'!O:O)+SUMIF('BD Otimix'!A:A,'BD VOLUME'!AA200,'BD Otimix'!O:O)+SUMIF('BD Otimix'!A:A,'BD VOLUME'!AB200,'BD Otimix'!O:O)+SUMIF('BD Otimix'!A:A,'BD VOLUME'!AC200,'BD Otimix'!O:O)+SUMIF('BD Otimix'!A:A,'BD VOLUME'!W200,'BD Otimix'!O:O),0)</f>
        <v>0</v>
      </c>
      <c r="AE200" s="327">
        <f t="shared" si="51"/>
        <v>0</v>
      </c>
      <c r="AF200" s="7" t="str">
        <f>Preencher!$B$3&amp;$U$8&amp;$V$8&amp;A200&amp;$AF$6</f>
        <v>JARINU-FRG1668MQ.GIROFREEZER</v>
      </c>
      <c r="AG200" s="7" t="str">
        <f>Preencher!$B$3&amp;$U$8&amp;$V$8&amp;A200&amp;$AG$6</f>
        <v>JARINU-FRG1668MQ.GIROFREEZER (1)</v>
      </c>
      <c r="AH200" s="7" t="str">
        <f>Preencher!$B$3&amp;$U$8&amp;$V$8&amp;A200&amp;$AH$6</f>
        <v>JARINU-FRG1668MQ.GIROFREEZER (2)</v>
      </c>
      <c r="AI200" s="7" t="str">
        <f>Preencher!$B$3&amp;$U$8&amp;$V$8&amp;A200&amp;$AI$6</f>
        <v>JARINU-FRG1668MQ.GIROFREEZER REV04</v>
      </c>
      <c r="AJ200" s="7" t="str">
        <f>Preencher!$B$3&amp;$U$8&amp;$V$8&amp;A200&amp;$AJ$6</f>
        <v>JARINU-FRG1668MQ.GIROFREEZER (3)</v>
      </c>
      <c r="AK200" s="327">
        <f>IFERROR(SUMIF('BD Otimix'!A:A,'BD VOLUME'!AG200,'BD Otimix'!O:O)+SUMIF('BD Otimix'!A:A,'BD VOLUME'!AH200,'BD Otimix'!O:O)+SUMIF('BD Otimix'!A:A,'BD VOLUME'!AI200,'BD Otimix'!O:O)+SUMIF('BD Otimix'!A:A,'BD VOLUME'!AJ200,'BD Otimix'!O:O)+SUMIF('BD Otimix'!A:A,'BD VOLUME'!AF200,'BD Otimix'!O:O),0)</f>
        <v>0</v>
      </c>
      <c r="AL200" s="7">
        <f t="shared" si="52"/>
        <v>0</v>
      </c>
    </row>
    <row r="201" spans="1:38">
      <c r="A201" s="324">
        <v>1670</v>
      </c>
      <c r="B201" s="324">
        <v>0</v>
      </c>
      <c r="C201" s="5" t="s">
        <v>1276</v>
      </c>
      <c r="D201" s="5" t="s">
        <v>939</v>
      </c>
      <c r="E201" s="5" t="s">
        <v>1196</v>
      </c>
      <c r="F201" s="132">
        <f>SUMIF('COLAR PLANO'!$A:$A,A201,'COLAR PLANO'!$D:$D)</f>
        <v>0</v>
      </c>
      <c r="G201" s="131">
        <f t="shared" si="48"/>
        <v>0</v>
      </c>
      <c r="H201" s="6">
        <v>0.7419</v>
      </c>
      <c r="I201" s="7">
        <f t="shared" si="53"/>
        <v>0</v>
      </c>
      <c r="J201" s="130">
        <f t="shared" si="54"/>
        <v>0</v>
      </c>
      <c r="K201" s="327">
        <v>1</v>
      </c>
      <c r="L201" s="324">
        <v>10</v>
      </c>
      <c r="M201" s="324">
        <v>10</v>
      </c>
      <c r="N201" s="7">
        <f t="shared" si="49"/>
        <v>0</v>
      </c>
      <c r="O201" s="311"/>
      <c r="P201" s="311">
        <f t="shared" si="50"/>
        <v>0</v>
      </c>
      <c r="Q201" s="7"/>
      <c r="R201" s="7"/>
      <c r="S201" s="7"/>
      <c r="T201" s="7"/>
      <c r="U201" s="7" t="s">
        <v>2288</v>
      </c>
      <c r="V201" s="7" t="s">
        <v>2289</v>
      </c>
      <c r="W201" s="7" t="str">
        <f>Preencher!$B$3&amp;U201&amp;V201&amp;A201&amp;$W$6</f>
        <v>JARINU-FRG1670MQ.TUNEL DE CG (CONTINUO)</v>
      </c>
      <c r="X201" s="7" t="str">
        <f>Preencher!$B$3&amp;U201&amp;V201&amp;A201&amp;$X$6</f>
        <v>JARINU-FRG1670MQ.TUNEL DE CG (CONTINUO) (1)</v>
      </c>
      <c r="Y201" s="7" t="str">
        <f>Preencher!$B$3&amp;U201&amp;V201&amp;A201&amp;$Y$6</f>
        <v>JARINU-FRG1670MQ.TUNEL DE CG (CONTINUO) (2)</v>
      </c>
      <c r="Z201" s="7" t="str">
        <f>Preencher!$B$3&amp;U201&amp;V201&amp;A201&amp;$Z$6</f>
        <v>JARINU-FRG1670MQ.TUNEL DE CG (CONTINUO) (3)</v>
      </c>
      <c r="AA201" s="7" t="str">
        <f>Preencher!$B$3&amp;U201&amp;V201&amp;A201&amp;$AA$6</f>
        <v>JARINU-FRG1670MQ.TUNEL DE CG (ESTATICO)</v>
      </c>
      <c r="AB201" s="7" t="str">
        <f>Preencher!$B$3&amp;U201&amp;V201&amp;A201&amp;$AB$6</f>
        <v>JARINU-FRG1670MQ.TUNEL DE CG (ESTATICO) (1)</v>
      </c>
      <c r="AC201" s="7" t="str">
        <f>Preencher!$B$3&amp;U201&amp;V201&amp;A201&amp;$AC$6</f>
        <v>JARINU-FRG1670MQ.TUNEL DE CG (ESTATICO) (2)</v>
      </c>
      <c r="AD201" s="327">
        <f>IFERROR(SUMIF('BD Otimix'!A:A,'BD VOLUME'!X201,'BD Otimix'!O:O)+SUMIF('BD Otimix'!A:A,'BD VOLUME'!Y201,'BD Otimix'!O:O)+SUMIF('BD Otimix'!A:A,'BD VOLUME'!Z201,'BD Otimix'!O:O)+SUMIF('BD Otimix'!A:A,'BD VOLUME'!AA201,'BD Otimix'!O:O)+SUMIF('BD Otimix'!A:A,'BD VOLUME'!AB201,'BD Otimix'!O:O)+SUMIF('BD Otimix'!A:A,'BD VOLUME'!AC201,'BD Otimix'!O:O)+SUMIF('BD Otimix'!A:A,'BD VOLUME'!W201,'BD Otimix'!O:O),0)</f>
        <v>0</v>
      </c>
      <c r="AE201" s="327">
        <f t="shared" si="51"/>
        <v>0</v>
      </c>
      <c r="AF201" s="7" t="str">
        <f>Preencher!$B$3&amp;$U$8&amp;$V$8&amp;A201&amp;$AF$6</f>
        <v>JARINU-FRG1670MQ.GIROFREEZER</v>
      </c>
      <c r="AG201" s="7" t="str">
        <f>Preencher!$B$3&amp;$U$8&amp;$V$8&amp;A201&amp;$AG$6</f>
        <v>JARINU-FRG1670MQ.GIROFREEZER (1)</v>
      </c>
      <c r="AH201" s="7" t="str">
        <f>Preencher!$B$3&amp;$U$8&amp;$V$8&amp;A201&amp;$AH$6</f>
        <v>JARINU-FRG1670MQ.GIROFREEZER (2)</v>
      </c>
      <c r="AI201" s="7" t="str">
        <f>Preencher!$B$3&amp;$U$8&amp;$V$8&amp;A201&amp;$AI$6</f>
        <v>JARINU-FRG1670MQ.GIROFREEZER REV04</v>
      </c>
      <c r="AJ201" s="7" t="str">
        <f>Preencher!$B$3&amp;$U$8&amp;$V$8&amp;A201&amp;$AJ$6</f>
        <v>JARINU-FRG1670MQ.GIROFREEZER (3)</v>
      </c>
      <c r="AK201" s="327">
        <f>IFERROR(SUMIF('BD Otimix'!A:A,'BD VOLUME'!AG201,'BD Otimix'!O:O)+SUMIF('BD Otimix'!A:A,'BD VOLUME'!AH201,'BD Otimix'!O:O)+SUMIF('BD Otimix'!A:A,'BD VOLUME'!AI201,'BD Otimix'!O:O)+SUMIF('BD Otimix'!A:A,'BD VOLUME'!AJ201,'BD Otimix'!O:O)+SUMIF('BD Otimix'!A:A,'BD VOLUME'!AF201,'BD Otimix'!O:O),0)</f>
        <v>0</v>
      </c>
      <c r="AL201" s="7">
        <f t="shared" si="52"/>
        <v>0</v>
      </c>
    </row>
    <row r="202" spans="1:38">
      <c r="A202" s="324">
        <v>1672</v>
      </c>
      <c r="B202" s="324">
        <v>0</v>
      </c>
      <c r="C202" s="5" t="s">
        <v>1277</v>
      </c>
      <c r="D202" s="5" t="s">
        <v>939</v>
      </c>
      <c r="E202" s="5" t="s">
        <v>1196</v>
      </c>
      <c r="F202" s="132">
        <f>SUMIF('COLAR PLANO'!$A:$A,A202,'COLAR PLANO'!$D:$D)</f>
        <v>0</v>
      </c>
      <c r="G202" s="131">
        <f t="shared" si="48"/>
        <v>0</v>
      </c>
      <c r="H202" s="6">
        <v>0.7419</v>
      </c>
      <c r="I202" s="7">
        <f t="shared" si="53"/>
        <v>0</v>
      </c>
      <c r="J202" s="130">
        <f t="shared" si="54"/>
        <v>0</v>
      </c>
      <c r="K202" s="327">
        <v>1.1000000000000001</v>
      </c>
      <c r="L202" s="324">
        <v>10</v>
      </c>
      <c r="M202" s="324">
        <v>11</v>
      </c>
      <c r="N202" s="7">
        <f t="shared" si="49"/>
        <v>0</v>
      </c>
      <c r="O202" s="311"/>
      <c r="P202" s="311">
        <f t="shared" si="50"/>
        <v>0</v>
      </c>
      <c r="Q202" s="7"/>
      <c r="R202" s="7"/>
      <c r="S202" s="7"/>
      <c r="T202" s="7"/>
      <c r="U202" s="7" t="s">
        <v>2288</v>
      </c>
      <c r="V202" s="7" t="s">
        <v>2289</v>
      </c>
      <c r="W202" s="7" t="str">
        <f>Preencher!$B$3&amp;U202&amp;V202&amp;A202&amp;$W$6</f>
        <v>JARINU-FRG1672MQ.TUNEL DE CG (CONTINUO)</v>
      </c>
      <c r="X202" s="7" t="str">
        <f>Preencher!$B$3&amp;U202&amp;V202&amp;A202&amp;$X$6</f>
        <v>JARINU-FRG1672MQ.TUNEL DE CG (CONTINUO) (1)</v>
      </c>
      <c r="Y202" s="7" t="str">
        <f>Preencher!$B$3&amp;U202&amp;V202&amp;A202&amp;$Y$6</f>
        <v>JARINU-FRG1672MQ.TUNEL DE CG (CONTINUO) (2)</v>
      </c>
      <c r="Z202" s="7" t="str">
        <f>Preencher!$B$3&amp;U202&amp;V202&amp;A202&amp;$Z$6</f>
        <v>JARINU-FRG1672MQ.TUNEL DE CG (CONTINUO) (3)</v>
      </c>
      <c r="AA202" s="7" t="str">
        <f>Preencher!$B$3&amp;U202&amp;V202&amp;A202&amp;$AA$6</f>
        <v>JARINU-FRG1672MQ.TUNEL DE CG (ESTATICO)</v>
      </c>
      <c r="AB202" s="7" t="str">
        <f>Preencher!$B$3&amp;U202&amp;V202&amp;A202&amp;$AB$6</f>
        <v>JARINU-FRG1672MQ.TUNEL DE CG (ESTATICO) (1)</v>
      </c>
      <c r="AC202" s="7" t="str">
        <f>Preencher!$B$3&amp;U202&amp;V202&amp;A202&amp;$AC$6</f>
        <v>JARINU-FRG1672MQ.TUNEL DE CG (ESTATICO) (2)</v>
      </c>
      <c r="AD202" s="327">
        <f>IFERROR(SUMIF('BD Otimix'!A:A,'BD VOLUME'!X202,'BD Otimix'!O:O)+SUMIF('BD Otimix'!A:A,'BD VOLUME'!Y202,'BD Otimix'!O:O)+SUMIF('BD Otimix'!A:A,'BD VOLUME'!Z202,'BD Otimix'!O:O)+SUMIF('BD Otimix'!A:A,'BD VOLUME'!AA202,'BD Otimix'!O:O)+SUMIF('BD Otimix'!A:A,'BD VOLUME'!AB202,'BD Otimix'!O:O)+SUMIF('BD Otimix'!A:A,'BD VOLUME'!AC202,'BD Otimix'!O:O)+SUMIF('BD Otimix'!A:A,'BD VOLUME'!W202,'BD Otimix'!O:O),0)</f>
        <v>0</v>
      </c>
      <c r="AE202" s="327">
        <f t="shared" si="51"/>
        <v>0</v>
      </c>
      <c r="AF202" s="7" t="str">
        <f>Preencher!$B$3&amp;$U$8&amp;$V$8&amp;A202&amp;$AF$6</f>
        <v>JARINU-FRG1672MQ.GIROFREEZER</v>
      </c>
      <c r="AG202" s="7" t="str">
        <f>Preencher!$B$3&amp;$U$8&amp;$V$8&amp;A202&amp;$AG$6</f>
        <v>JARINU-FRG1672MQ.GIROFREEZER (1)</v>
      </c>
      <c r="AH202" s="7" t="str">
        <f>Preencher!$B$3&amp;$U$8&amp;$V$8&amp;A202&amp;$AH$6</f>
        <v>JARINU-FRG1672MQ.GIROFREEZER (2)</v>
      </c>
      <c r="AI202" s="7" t="str">
        <f>Preencher!$B$3&amp;$U$8&amp;$V$8&amp;A202&amp;$AI$6</f>
        <v>JARINU-FRG1672MQ.GIROFREEZER REV04</v>
      </c>
      <c r="AJ202" s="7" t="str">
        <f>Preencher!$B$3&amp;$U$8&amp;$V$8&amp;A202&amp;$AJ$6</f>
        <v>JARINU-FRG1672MQ.GIROFREEZER (3)</v>
      </c>
      <c r="AK202" s="327">
        <f>IFERROR(SUMIF('BD Otimix'!A:A,'BD VOLUME'!AG202,'BD Otimix'!O:O)+SUMIF('BD Otimix'!A:A,'BD VOLUME'!AH202,'BD Otimix'!O:O)+SUMIF('BD Otimix'!A:A,'BD VOLUME'!AI202,'BD Otimix'!O:O)+SUMIF('BD Otimix'!A:A,'BD VOLUME'!AJ202,'BD Otimix'!O:O)+SUMIF('BD Otimix'!A:A,'BD VOLUME'!AF202,'BD Otimix'!O:O),0)</f>
        <v>0</v>
      </c>
      <c r="AL202" s="7">
        <f t="shared" si="52"/>
        <v>0</v>
      </c>
    </row>
    <row r="203" spans="1:38">
      <c r="A203" s="324">
        <v>1906</v>
      </c>
      <c r="B203" s="324">
        <v>0</v>
      </c>
      <c r="C203" s="5" t="s">
        <v>1278</v>
      </c>
      <c r="D203" s="5" t="s">
        <v>939</v>
      </c>
      <c r="E203" s="5" t="s">
        <v>1196</v>
      </c>
      <c r="F203" s="132">
        <f>SUMIF('COLAR PLANO'!$A:$A,A203,'COLAR PLANO'!$D:$D)</f>
        <v>0</v>
      </c>
      <c r="G203" s="131">
        <f t="shared" si="48"/>
        <v>0</v>
      </c>
      <c r="H203" s="6">
        <v>0.7419</v>
      </c>
      <c r="I203" s="7">
        <f t="shared" si="53"/>
        <v>0</v>
      </c>
      <c r="J203" s="130">
        <f t="shared" si="54"/>
        <v>0</v>
      </c>
      <c r="K203" s="327">
        <v>0.6</v>
      </c>
      <c r="L203" s="324">
        <v>16</v>
      </c>
      <c r="M203" s="324">
        <v>9.6</v>
      </c>
      <c r="N203" s="7">
        <f t="shared" si="49"/>
        <v>0</v>
      </c>
      <c r="O203" s="311"/>
      <c r="P203" s="311">
        <f t="shared" si="50"/>
        <v>0</v>
      </c>
      <c r="Q203" s="7"/>
      <c r="R203" s="7"/>
      <c r="S203" s="7"/>
      <c r="T203" s="7"/>
      <c r="U203" s="7" t="s">
        <v>2288</v>
      </c>
      <c r="V203" s="7" t="s">
        <v>2289</v>
      </c>
      <c r="W203" s="7" t="str">
        <f>Preencher!$B$3&amp;U203&amp;V203&amp;A203&amp;$W$6</f>
        <v>JARINU-FRG1906MQ.TUNEL DE CG (CONTINUO)</v>
      </c>
      <c r="X203" s="7" t="str">
        <f>Preencher!$B$3&amp;U203&amp;V203&amp;A203&amp;$X$6</f>
        <v>JARINU-FRG1906MQ.TUNEL DE CG (CONTINUO) (1)</v>
      </c>
      <c r="Y203" s="7" t="str">
        <f>Preencher!$B$3&amp;U203&amp;V203&amp;A203&amp;$Y$6</f>
        <v>JARINU-FRG1906MQ.TUNEL DE CG (CONTINUO) (2)</v>
      </c>
      <c r="Z203" s="7" t="str">
        <f>Preencher!$B$3&amp;U203&amp;V203&amp;A203&amp;$Z$6</f>
        <v>JARINU-FRG1906MQ.TUNEL DE CG (CONTINUO) (3)</v>
      </c>
      <c r="AA203" s="7" t="str">
        <f>Preencher!$B$3&amp;U203&amp;V203&amp;A203&amp;$AA$6</f>
        <v>JARINU-FRG1906MQ.TUNEL DE CG (ESTATICO)</v>
      </c>
      <c r="AB203" s="7" t="str">
        <f>Preencher!$B$3&amp;U203&amp;V203&amp;A203&amp;$AB$6</f>
        <v>JARINU-FRG1906MQ.TUNEL DE CG (ESTATICO) (1)</v>
      </c>
      <c r="AC203" s="7" t="str">
        <f>Preencher!$B$3&amp;U203&amp;V203&amp;A203&amp;$AC$6</f>
        <v>JARINU-FRG1906MQ.TUNEL DE CG (ESTATICO) (2)</v>
      </c>
      <c r="AD203" s="327">
        <f>IFERROR(SUMIF('BD Otimix'!A:A,'BD VOLUME'!X203,'BD Otimix'!O:O)+SUMIF('BD Otimix'!A:A,'BD VOLUME'!Y203,'BD Otimix'!O:O)+SUMIF('BD Otimix'!A:A,'BD VOLUME'!Z203,'BD Otimix'!O:O)+SUMIF('BD Otimix'!A:A,'BD VOLUME'!AA203,'BD Otimix'!O:O)+SUMIF('BD Otimix'!A:A,'BD VOLUME'!AB203,'BD Otimix'!O:O)+SUMIF('BD Otimix'!A:A,'BD VOLUME'!AC203,'BD Otimix'!O:O)+SUMIF('BD Otimix'!A:A,'BD VOLUME'!W203,'BD Otimix'!O:O),0)</f>
        <v>0</v>
      </c>
      <c r="AE203" s="327">
        <f t="shared" si="51"/>
        <v>0</v>
      </c>
      <c r="AF203" s="7" t="str">
        <f>Preencher!$B$3&amp;$U$8&amp;$V$8&amp;A203&amp;$AF$6</f>
        <v>JARINU-FRG1906MQ.GIROFREEZER</v>
      </c>
      <c r="AG203" s="7" t="str">
        <f>Preencher!$B$3&amp;$U$8&amp;$V$8&amp;A203&amp;$AG$6</f>
        <v>JARINU-FRG1906MQ.GIROFREEZER (1)</v>
      </c>
      <c r="AH203" s="7" t="str">
        <f>Preencher!$B$3&amp;$U$8&amp;$V$8&amp;A203&amp;$AH$6</f>
        <v>JARINU-FRG1906MQ.GIROFREEZER (2)</v>
      </c>
      <c r="AI203" s="7" t="str">
        <f>Preencher!$B$3&amp;$U$8&amp;$V$8&amp;A203&amp;$AI$6</f>
        <v>JARINU-FRG1906MQ.GIROFREEZER REV04</v>
      </c>
      <c r="AJ203" s="7" t="str">
        <f>Preencher!$B$3&amp;$U$8&amp;$V$8&amp;A203&amp;$AJ$6</f>
        <v>JARINU-FRG1906MQ.GIROFREEZER (3)</v>
      </c>
      <c r="AK203" s="327">
        <f>IFERROR(SUMIF('BD Otimix'!A:A,'BD VOLUME'!AG203,'BD Otimix'!O:O)+SUMIF('BD Otimix'!A:A,'BD VOLUME'!AH203,'BD Otimix'!O:O)+SUMIF('BD Otimix'!A:A,'BD VOLUME'!AI203,'BD Otimix'!O:O)+SUMIF('BD Otimix'!A:A,'BD VOLUME'!AJ203,'BD Otimix'!O:O)+SUMIF('BD Otimix'!A:A,'BD VOLUME'!AF203,'BD Otimix'!O:O),0)</f>
        <v>0</v>
      </c>
      <c r="AL203" s="7">
        <f t="shared" si="52"/>
        <v>0</v>
      </c>
    </row>
    <row r="204" spans="1:38">
      <c r="A204" s="324">
        <v>1921</v>
      </c>
      <c r="B204" s="324">
        <v>0</v>
      </c>
      <c r="C204" s="5" t="s">
        <v>1249</v>
      </c>
      <c r="D204" s="5" t="s">
        <v>939</v>
      </c>
      <c r="E204" s="5" t="s">
        <v>1196</v>
      </c>
      <c r="F204" s="132">
        <f>SUMIF('COLAR PLANO'!$A:$A,A204,'COLAR PLANO'!$D:$D)</f>
        <v>0</v>
      </c>
      <c r="G204" s="131">
        <f t="shared" si="48"/>
        <v>0</v>
      </c>
      <c r="H204" s="6">
        <v>0.7419</v>
      </c>
      <c r="I204" s="7">
        <f t="shared" si="53"/>
        <v>0</v>
      </c>
      <c r="J204" s="130">
        <f t="shared" si="54"/>
        <v>0</v>
      </c>
      <c r="K204" s="327">
        <v>0.8</v>
      </c>
      <c r="L204" s="324">
        <v>12</v>
      </c>
      <c r="M204" s="324">
        <v>9.6</v>
      </c>
      <c r="N204" s="7">
        <f t="shared" si="49"/>
        <v>0</v>
      </c>
      <c r="O204" s="311"/>
      <c r="P204" s="311">
        <f t="shared" si="50"/>
        <v>0</v>
      </c>
      <c r="Q204" s="7"/>
      <c r="R204" s="7"/>
      <c r="S204" s="7"/>
      <c r="T204" s="7"/>
      <c r="U204" s="7" t="s">
        <v>2288</v>
      </c>
      <c r="V204" s="7" t="s">
        <v>2289</v>
      </c>
      <c r="W204" s="7" t="str">
        <f>Preencher!$B$3&amp;U204&amp;V204&amp;A204&amp;$W$6</f>
        <v>JARINU-FRG1921MQ.TUNEL DE CG (CONTINUO)</v>
      </c>
      <c r="X204" s="7" t="str">
        <f>Preencher!$B$3&amp;U204&amp;V204&amp;A204&amp;$X$6</f>
        <v>JARINU-FRG1921MQ.TUNEL DE CG (CONTINUO) (1)</v>
      </c>
      <c r="Y204" s="7" t="str">
        <f>Preencher!$B$3&amp;U204&amp;V204&amp;A204&amp;$Y$6</f>
        <v>JARINU-FRG1921MQ.TUNEL DE CG (CONTINUO) (2)</v>
      </c>
      <c r="Z204" s="7" t="str">
        <f>Preencher!$B$3&amp;U204&amp;V204&amp;A204&amp;$Z$6</f>
        <v>JARINU-FRG1921MQ.TUNEL DE CG (CONTINUO) (3)</v>
      </c>
      <c r="AA204" s="7" t="str">
        <f>Preencher!$B$3&amp;U204&amp;V204&amp;A204&amp;$AA$6</f>
        <v>JARINU-FRG1921MQ.TUNEL DE CG (ESTATICO)</v>
      </c>
      <c r="AB204" s="7" t="str">
        <f>Preencher!$B$3&amp;U204&amp;V204&amp;A204&amp;$AB$6</f>
        <v>JARINU-FRG1921MQ.TUNEL DE CG (ESTATICO) (1)</v>
      </c>
      <c r="AC204" s="7" t="str">
        <f>Preencher!$B$3&amp;U204&amp;V204&amp;A204&amp;$AC$6</f>
        <v>JARINU-FRG1921MQ.TUNEL DE CG (ESTATICO) (2)</v>
      </c>
      <c r="AD204" s="327">
        <f>IFERROR(SUMIF('BD Otimix'!A:A,'BD VOLUME'!X204,'BD Otimix'!O:O)+SUMIF('BD Otimix'!A:A,'BD VOLUME'!Y204,'BD Otimix'!O:O)+SUMIF('BD Otimix'!A:A,'BD VOLUME'!Z204,'BD Otimix'!O:O)+SUMIF('BD Otimix'!A:A,'BD VOLUME'!AA204,'BD Otimix'!O:O)+SUMIF('BD Otimix'!A:A,'BD VOLUME'!AB204,'BD Otimix'!O:O)+SUMIF('BD Otimix'!A:A,'BD VOLUME'!AC204,'BD Otimix'!O:O)+SUMIF('BD Otimix'!A:A,'BD VOLUME'!W204,'BD Otimix'!O:O),0)</f>
        <v>0</v>
      </c>
      <c r="AE204" s="327">
        <f t="shared" si="51"/>
        <v>0</v>
      </c>
      <c r="AF204" s="7" t="str">
        <f>Preencher!$B$3&amp;$U$8&amp;$V$8&amp;A204&amp;$AF$6</f>
        <v>JARINU-FRG1921MQ.GIROFREEZER</v>
      </c>
      <c r="AG204" s="7" t="str">
        <f>Preencher!$B$3&amp;$U$8&amp;$V$8&amp;A204&amp;$AG$6</f>
        <v>JARINU-FRG1921MQ.GIROFREEZER (1)</v>
      </c>
      <c r="AH204" s="7" t="str">
        <f>Preencher!$B$3&amp;$U$8&amp;$V$8&amp;A204&amp;$AH$6</f>
        <v>JARINU-FRG1921MQ.GIROFREEZER (2)</v>
      </c>
      <c r="AI204" s="7" t="str">
        <f>Preencher!$B$3&amp;$U$8&amp;$V$8&amp;A204&amp;$AI$6</f>
        <v>JARINU-FRG1921MQ.GIROFREEZER REV04</v>
      </c>
      <c r="AJ204" s="7" t="str">
        <f>Preencher!$B$3&amp;$U$8&amp;$V$8&amp;A204&amp;$AJ$6</f>
        <v>JARINU-FRG1921MQ.GIROFREEZER (3)</v>
      </c>
      <c r="AK204" s="327">
        <f>IFERROR(SUMIF('BD Otimix'!A:A,'BD VOLUME'!AG204,'BD Otimix'!O:O)+SUMIF('BD Otimix'!A:A,'BD VOLUME'!AH204,'BD Otimix'!O:O)+SUMIF('BD Otimix'!A:A,'BD VOLUME'!AI204,'BD Otimix'!O:O)+SUMIF('BD Otimix'!A:A,'BD VOLUME'!AJ204,'BD Otimix'!O:O)+SUMIF('BD Otimix'!A:A,'BD VOLUME'!AF204,'BD Otimix'!O:O),0)</f>
        <v>0</v>
      </c>
      <c r="AL204" s="7">
        <f t="shared" si="52"/>
        <v>0</v>
      </c>
    </row>
    <row r="205" spans="1:38">
      <c r="A205" s="324">
        <v>1923</v>
      </c>
      <c r="B205" s="324">
        <v>0</v>
      </c>
      <c r="C205" s="5" t="s">
        <v>1254</v>
      </c>
      <c r="D205" s="5" t="s">
        <v>939</v>
      </c>
      <c r="E205" s="5" t="s">
        <v>1196</v>
      </c>
      <c r="F205" s="132">
        <f>SUMIF('COLAR PLANO'!$A:$A,A205,'COLAR PLANO'!$D:$D)</f>
        <v>0</v>
      </c>
      <c r="G205" s="131">
        <f t="shared" si="48"/>
        <v>0</v>
      </c>
      <c r="H205" s="6">
        <v>0.7419</v>
      </c>
      <c r="I205" s="7">
        <f t="shared" si="53"/>
        <v>0</v>
      </c>
      <c r="J205" s="130">
        <f t="shared" si="54"/>
        <v>0</v>
      </c>
      <c r="K205" s="327">
        <v>0.9</v>
      </c>
      <c r="L205" s="324">
        <v>12</v>
      </c>
      <c r="M205" s="324">
        <v>10.8</v>
      </c>
      <c r="N205" s="7">
        <f t="shared" si="49"/>
        <v>0</v>
      </c>
      <c r="O205" s="311"/>
      <c r="P205" s="311">
        <f t="shared" si="50"/>
        <v>0</v>
      </c>
      <c r="Q205" s="7"/>
      <c r="R205" s="7"/>
      <c r="S205" s="7"/>
      <c r="T205" s="7"/>
      <c r="U205" s="7" t="s">
        <v>2288</v>
      </c>
      <c r="V205" s="7" t="s">
        <v>2289</v>
      </c>
      <c r="W205" s="7" t="str">
        <f>Preencher!$B$3&amp;U205&amp;V205&amp;A205&amp;$W$6</f>
        <v>JARINU-FRG1923MQ.TUNEL DE CG (CONTINUO)</v>
      </c>
      <c r="X205" s="7" t="str">
        <f>Preencher!$B$3&amp;U205&amp;V205&amp;A205&amp;$X$6</f>
        <v>JARINU-FRG1923MQ.TUNEL DE CG (CONTINUO) (1)</v>
      </c>
      <c r="Y205" s="7" t="str">
        <f>Preencher!$B$3&amp;U205&amp;V205&amp;A205&amp;$Y$6</f>
        <v>JARINU-FRG1923MQ.TUNEL DE CG (CONTINUO) (2)</v>
      </c>
      <c r="Z205" s="7" t="str">
        <f>Preencher!$B$3&amp;U205&amp;V205&amp;A205&amp;$Z$6</f>
        <v>JARINU-FRG1923MQ.TUNEL DE CG (CONTINUO) (3)</v>
      </c>
      <c r="AA205" s="7" t="str">
        <f>Preencher!$B$3&amp;U205&amp;V205&amp;A205&amp;$AA$6</f>
        <v>JARINU-FRG1923MQ.TUNEL DE CG (ESTATICO)</v>
      </c>
      <c r="AB205" s="7" t="str">
        <f>Preencher!$B$3&amp;U205&amp;V205&amp;A205&amp;$AB$6</f>
        <v>JARINU-FRG1923MQ.TUNEL DE CG (ESTATICO) (1)</v>
      </c>
      <c r="AC205" s="7" t="str">
        <f>Preencher!$B$3&amp;U205&amp;V205&amp;A205&amp;$AC$6</f>
        <v>JARINU-FRG1923MQ.TUNEL DE CG (ESTATICO) (2)</v>
      </c>
      <c r="AD205" s="327">
        <f>IFERROR(SUMIF('BD Otimix'!A:A,'BD VOLUME'!X205,'BD Otimix'!O:O)+SUMIF('BD Otimix'!A:A,'BD VOLUME'!Y205,'BD Otimix'!O:O)+SUMIF('BD Otimix'!A:A,'BD VOLUME'!Z205,'BD Otimix'!O:O)+SUMIF('BD Otimix'!A:A,'BD VOLUME'!AA205,'BD Otimix'!O:O)+SUMIF('BD Otimix'!A:A,'BD VOLUME'!AB205,'BD Otimix'!O:O)+SUMIF('BD Otimix'!A:A,'BD VOLUME'!AC205,'BD Otimix'!O:O)+SUMIF('BD Otimix'!A:A,'BD VOLUME'!W205,'BD Otimix'!O:O),0)</f>
        <v>0</v>
      </c>
      <c r="AE205" s="327">
        <f t="shared" si="51"/>
        <v>0</v>
      </c>
      <c r="AF205" s="7" t="str">
        <f>Preencher!$B$3&amp;$U$8&amp;$V$8&amp;A205&amp;$AF$6</f>
        <v>JARINU-FRG1923MQ.GIROFREEZER</v>
      </c>
      <c r="AG205" s="7" t="str">
        <f>Preencher!$B$3&amp;$U$8&amp;$V$8&amp;A205&amp;$AG$6</f>
        <v>JARINU-FRG1923MQ.GIROFREEZER (1)</v>
      </c>
      <c r="AH205" s="7" t="str">
        <f>Preencher!$B$3&amp;$U$8&amp;$V$8&amp;A205&amp;$AH$6</f>
        <v>JARINU-FRG1923MQ.GIROFREEZER (2)</v>
      </c>
      <c r="AI205" s="7" t="str">
        <f>Preencher!$B$3&amp;$U$8&amp;$V$8&amp;A205&amp;$AI$6</f>
        <v>JARINU-FRG1923MQ.GIROFREEZER REV04</v>
      </c>
      <c r="AJ205" s="7" t="str">
        <f>Preencher!$B$3&amp;$U$8&amp;$V$8&amp;A205&amp;$AJ$6</f>
        <v>JARINU-FRG1923MQ.GIROFREEZER (3)</v>
      </c>
      <c r="AK205" s="327">
        <f>IFERROR(SUMIF('BD Otimix'!A:A,'BD VOLUME'!AG205,'BD Otimix'!O:O)+SUMIF('BD Otimix'!A:A,'BD VOLUME'!AH205,'BD Otimix'!O:O)+SUMIF('BD Otimix'!A:A,'BD VOLUME'!AI205,'BD Otimix'!O:O)+SUMIF('BD Otimix'!A:A,'BD VOLUME'!AJ205,'BD Otimix'!O:O)+SUMIF('BD Otimix'!A:A,'BD VOLUME'!AF205,'BD Otimix'!O:O),0)</f>
        <v>0</v>
      </c>
      <c r="AL205" s="7">
        <f t="shared" si="52"/>
        <v>0</v>
      </c>
    </row>
    <row r="206" spans="1:38">
      <c r="A206" s="324">
        <v>1924</v>
      </c>
      <c r="B206" s="324">
        <v>0</v>
      </c>
      <c r="C206" s="5" t="s">
        <v>1250</v>
      </c>
      <c r="D206" s="5" t="s">
        <v>939</v>
      </c>
      <c r="E206" s="5" t="s">
        <v>1196</v>
      </c>
      <c r="F206" s="132">
        <f>SUMIF('COLAR PLANO'!$A:$A,A206,'COLAR PLANO'!$D:$D)</f>
        <v>0</v>
      </c>
      <c r="G206" s="131">
        <f t="shared" si="48"/>
        <v>0</v>
      </c>
      <c r="H206" s="6">
        <v>0.7419</v>
      </c>
      <c r="I206" s="7">
        <f t="shared" si="53"/>
        <v>0</v>
      </c>
      <c r="J206" s="130">
        <f t="shared" si="54"/>
        <v>0</v>
      </c>
      <c r="K206" s="327">
        <v>1</v>
      </c>
      <c r="L206" s="324">
        <v>12</v>
      </c>
      <c r="M206" s="324">
        <v>12</v>
      </c>
      <c r="N206" s="7">
        <f t="shared" si="49"/>
        <v>0</v>
      </c>
      <c r="O206" s="311"/>
      <c r="P206" s="311">
        <f t="shared" si="50"/>
        <v>0</v>
      </c>
      <c r="Q206" s="7"/>
      <c r="R206" s="7"/>
      <c r="S206" s="7"/>
      <c r="T206" s="7"/>
      <c r="U206" s="7" t="s">
        <v>2288</v>
      </c>
      <c r="V206" s="7" t="s">
        <v>2289</v>
      </c>
      <c r="W206" s="7" t="str">
        <f>Preencher!$B$3&amp;U206&amp;V206&amp;A206&amp;$W$6</f>
        <v>JARINU-FRG1924MQ.TUNEL DE CG (CONTINUO)</v>
      </c>
      <c r="X206" s="7" t="str">
        <f>Preencher!$B$3&amp;U206&amp;V206&amp;A206&amp;$X$6</f>
        <v>JARINU-FRG1924MQ.TUNEL DE CG (CONTINUO) (1)</v>
      </c>
      <c r="Y206" s="7" t="str">
        <f>Preencher!$B$3&amp;U206&amp;V206&amp;A206&amp;$Y$6</f>
        <v>JARINU-FRG1924MQ.TUNEL DE CG (CONTINUO) (2)</v>
      </c>
      <c r="Z206" s="7" t="str">
        <f>Preencher!$B$3&amp;U206&amp;V206&amp;A206&amp;$Z$6</f>
        <v>JARINU-FRG1924MQ.TUNEL DE CG (CONTINUO) (3)</v>
      </c>
      <c r="AA206" s="7" t="str">
        <f>Preencher!$B$3&amp;U206&amp;V206&amp;A206&amp;$AA$6</f>
        <v>JARINU-FRG1924MQ.TUNEL DE CG (ESTATICO)</v>
      </c>
      <c r="AB206" s="7" t="str">
        <f>Preencher!$B$3&amp;U206&amp;V206&amp;A206&amp;$AB$6</f>
        <v>JARINU-FRG1924MQ.TUNEL DE CG (ESTATICO) (1)</v>
      </c>
      <c r="AC206" s="7" t="str">
        <f>Preencher!$B$3&amp;U206&amp;V206&amp;A206&amp;$AC$6</f>
        <v>JARINU-FRG1924MQ.TUNEL DE CG (ESTATICO) (2)</v>
      </c>
      <c r="AD206" s="327">
        <f>IFERROR(SUMIF('BD Otimix'!A:A,'BD VOLUME'!X206,'BD Otimix'!O:O)+SUMIF('BD Otimix'!A:A,'BD VOLUME'!Y206,'BD Otimix'!O:O)+SUMIF('BD Otimix'!A:A,'BD VOLUME'!Z206,'BD Otimix'!O:O)+SUMIF('BD Otimix'!A:A,'BD VOLUME'!AA206,'BD Otimix'!O:O)+SUMIF('BD Otimix'!A:A,'BD VOLUME'!AB206,'BD Otimix'!O:O)+SUMIF('BD Otimix'!A:A,'BD VOLUME'!AC206,'BD Otimix'!O:O)+SUMIF('BD Otimix'!A:A,'BD VOLUME'!W206,'BD Otimix'!O:O),0)</f>
        <v>0</v>
      </c>
      <c r="AE206" s="327">
        <f t="shared" si="51"/>
        <v>0</v>
      </c>
      <c r="AF206" s="7" t="str">
        <f>Preencher!$B$3&amp;$U$8&amp;$V$8&amp;A206&amp;$AF$6</f>
        <v>JARINU-FRG1924MQ.GIROFREEZER</v>
      </c>
      <c r="AG206" s="7" t="str">
        <f>Preencher!$B$3&amp;$U$8&amp;$V$8&amp;A206&amp;$AG$6</f>
        <v>JARINU-FRG1924MQ.GIROFREEZER (1)</v>
      </c>
      <c r="AH206" s="7" t="str">
        <f>Preencher!$B$3&amp;$U$8&amp;$V$8&amp;A206&amp;$AH$6</f>
        <v>JARINU-FRG1924MQ.GIROFREEZER (2)</v>
      </c>
      <c r="AI206" s="7" t="str">
        <f>Preencher!$B$3&amp;$U$8&amp;$V$8&amp;A206&amp;$AI$6</f>
        <v>JARINU-FRG1924MQ.GIROFREEZER REV04</v>
      </c>
      <c r="AJ206" s="7" t="str">
        <f>Preencher!$B$3&amp;$U$8&amp;$V$8&amp;A206&amp;$AJ$6</f>
        <v>JARINU-FRG1924MQ.GIROFREEZER (3)</v>
      </c>
      <c r="AK206" s="327">
        <f>IFERROR(SUMIF('BD Otimix'!A:A,'BD VOLUME'!AG206,'BD Otimix'!O:O)+SUMIF('BD Otimix'!A:A,'BD VOLUME'!AH206,'BD Otimix'!O:O)+SUMIF('BD Otimix'!A:A,'BD VOLUME'!AI206,'BD Otimix'!O:O)+SUMIF('BD Otimix'!A:A,'BD VOLUME'!AJ206,'BD Otimix'!O:O)+SUMIF('BD Otimix'!A:A,'BD VOLUME'!AF206,'BD Otimix'!O:O),0)</f>
        <v>0</v>
      </c>
      <c r="AL206" s="7">
        <f t="shared" si="52"/>
        <v>0</v>
      </c>
    </row>
    <row r="207" spans="1:38">
      <c r="A207" s="324">
        <v>1926</v>
      </c>
      <c r="B207" s="324">
        <v>0</v>
      </c>
      <c r="C207" s="5" t="s">
        <v>1255</v>
      </c>
      <c r="D207" s="5" t="s">
        <v>939</v>
      </c>
      <c r="E207" s="5" t="s">
        <v>1196</v>
      </c>
      <c r="F207" s="132">
        <f>SUMIF('COLAR PLANO'!$A:$A,A207,'COLAR PLANO'!$D:$D)</f>
        <v>0</v>
      </c>
      <c r="G207" s="131">
        <f t="shared" si="48"/>
        <v>0</v>
      </c>
      <c r="H207" s="6">
        <v>0.7419</v>
      </c>
      <c r="I207" s="7">
        <f t="shared" si="53"/>
        <v>0</v>
      </c>
      <c r="J207" s="130">
        <f t="shared" si="54"/>
        <v>0</v>
      </c>
      <c r="K207" s="327">
        <v>1.1000000000000001</v>
      </c>
      <c r="L207" s="324">
        <v>10</v>
      </c>
      <c r="M207" s="324">
        <v>11</v>
      </c>
      <c r="N207" s="7">
        <f t="shared" si="49"/>
        <v>0</v>
      </c>
      <c r="O207" s="311"/>
      <c r="P207" s="311">
        <f t="shared" si="50"/>
        <v>0</v>
      </c>
      <c r="Q207" s="7"/>
      <c r="R207" s="7"/>
      <c r="S207" s="7"/>
      <c r="T207" s="7"/>
      <c r="U207" s="7" t="s">
        <v>2288</v>
      </c>
      <c r="V207" s="7" t="s">
        <v>2289</v>
      </c>
      <c r="W207" s="7" t="str">
        <f>Preencher!$B$3&amp;U207&amp;V207&amp;A207&amp;$W$6</f>
        <v>JARINU-FRG1926MQ.TUNEL DE CG (CONTINUO)</v>
      </c>
      <c r="X207" s="7" t="str">
        <f>Preencher!$B$3&amp;U207&amp;V207&amp;A207&amp;$X$6</f>
        <v>JARINU-FRG1926MQ.TUNEL DE CG (CONTINUO) (1)</v>
      </c>
      <c r="Y207" s="7" t="str">
        <f>Preencher!$B$3&amp;U207&amp;V207&amp;A207&amp;$Y$6</f>
        <v>JARINU-FRG1926MQ.TUNEL DE CG (CONTINUO) (2)</v>
      </c>
      <c r="Z207" s="7" t="str">
        <f>Preencher!$B$3&amp;U207&amp;V207&amp;A207&amp;$Z$6</f>
        <v>JARINU-FRG1926MQ.TUNEL DE CG (CONTINUO) (3)</v>
      </c>
      <c r="AA207" s="7" t="str">
        <f>Preencher!$B$3&amp;U207&amp;V207&amp;A207&amp;$AA$6</f>
        <v>JARINU-FRG1926MQ.TUNEL DE CG (ESTATICO)</v>
      </c>
      <c r="AB207" s="7" t="str">
        <f>Preencher!$B$3&amp;U207&amp;V207&amp;A207&amp;$AB$6</f>
        <v>JARINU-FRG1926MQ.TUNEL DE CG (ESTATICO) (1)</v>
      </c>
      <c r="AC207" s="7" t="str">
        <f>Preencher!$B$3&amp;U207&amp;V207&amp;A207&amp;$AC$6</f>
        <v>JARINU-FRG1926MQ.TUNEL DE CG (ESTATICO) (2)</v>
      </c>
      <c r="AD207" s="327">
        <f>IFERROR(SUMIF('BD Otimix'!A:A,'BD VOLUME'!X207,'BD Otimix'!O:O)+SUMIF('BD Otimix'!A:A,'BD VOLUME'!Y207,'BD Otimix'!O:O)+SUMIF('BD Otimix'!A:A,'BD VOLUME'!Z207,'BD Otimix'!O:O)+SUMIF('BD Otimix'!A:A,'BD VOLUME'!AA207,'BD Otimix'!O:O)+SUMIF('BD Otimix'!A:A,'BD VOLUME'!AB207,'BD Otimix'!O:O)+SUMIF('BD Otimix'!A:A,'BD VOLUME'!AC207,'BD Otimix'!O:O)+SUMIF('BD Otimix'!A:A,'BD VOLUME'!W207,'BD Otimix'!O:O),0)</f>
        <v>0</v>
      </c>
      <c r="AE207" s="327">
        <f t="shared" si="51"/>
        <v>0</v>
      </c>
      <c r="AF207" s="7" t="str">
        <f>Preencher!$B$3&amp;$U$8&amp;$V$8&amp;A207&amp;$AF$6</f>
        <v>JARINU-FRG1926MQ.GIROFREEZER</v>
      </c>
      <c r="AG207" s="7" t="str">
        <f>Preencher!$B$3&amp;$U$8&amp;$V$8&amp;A207&amp;$AG$6</f>
        <v>JARINU-FRG1926MQ.GIROFREEZER (1)</v>
      </c>
      <c r="AH207" s="7" t="str">
        <f>Preencher!$B$3&amp;$U$8&amp;$V$8&amp;A207&amp;$AH$6</f>
        <v>JARINU-FRG1926MQ.GIROFREEZER (2)</v>
      </c>
      <c r="AI207" s="7" t="str">
        <f>Preencher!$B$3&amp;$U$8&amp;$V$8&amp;A207&amp;$AI$6</f>
        <v>JARINU-FRG1926MQ.GIROFREEZER REV04</v>
      </c>
      <c r="AJ207" s="7" t="str">
        <f>Preencher!$B$3&amp;$U$8&amp;$V$8&amp;A207&amp;$AJ$6</f>
        <v>JARINU-FRG1926MQ.GIROFREEZER (3)</v>
      </c>
      <c r="AK207" s="327">
        <f>IFERROR(SUMIF('BD Otimix'!A:A,'BD VOLUME'!AG207,'BD Otimix'!O:O)+SUMIF('BD Otimix'!A:A,'BD VOLUME'!AH207,'BD Otimix'!O:O)+SUMIF('BD Otimix'!A:A,'BD VOLUME'!AI207,'BD Otimix'!O:O)+SUMIF('BD Otimix'!A:A,'BD VOLUME'!AJ207,'BD Otimix'!O:O)+SUMIF('BD Otimix'!A:A,'BD VOLUME'!AF207,'BD Otimix'!O:O),0)</f>
        <v>0</v>
      </c>
      <c r="AL207" s="7">
        <f t="shared" si="52"/>
        <v>0</v>
      </c>
    </row>
    <row r="208" spans="1:38">
      <c r="A208" s="324">
        <v>1928</v>
      </c>
      <c r="B208" s="324">
        <v>0</v>
      </c>
      <c r="C208" s="5" t="s">
        <v>1251</v>
      </c>
      <c r="D208" s="5" t="s">
        <v>939</v>
      </c>
      <c r="E208" s="5" t="s">
        <v>1196</v>
      </c>
      <c r="F208" s="132">
        <f>SUMIF('COLAR PLANO'!$A:$A,A208,'COLAR PLANO'!$D:$D)</f>
        <v>0</v>
      </c>
      <c r="G208" s="131">
        <f t="shared" si="48"/>
        <v>0</v>
      </c>
      <c r="H208" s="6">
        <v>0.7419</v>
      </c>
      <c r="I208" s="7">
        <f t="shared" si="53"/>
        <v>0</v>
      </c>
      <c r="J208" s="130">
        <f t="shared" si="54"/>
        <v>0</v>
      </c>
      <c r="K208" s="327">
        <v>1.2</v>
      </c>
      <c r="L208" s="324">
        <v>10</v>
      </c>
      <c r="M208" s="324">
        <v>12</v>
      </c>
      <c r="N208" s="7">
        <f t="shared" si="49"/>
        <v>0</v>
      </c>
      <c r="O208" s="311"/>
      <c r="P208" s="311">
        <f t="shared" si="50"/>
        <v>0</v>
      </c>
      <c r="Q208" s="7"/>
      <c r="R208" s="7"/>
      <c r="S208" s="7"/>
      <c r="T208" s="7"/>
      <c r="U208" s="7" t="s">
        <v>2288</v>
      </c>
      <c r="V208" s="7" t="s">
        <v>2289</v>
      </c>
      <c r="W208" s="7" t="str">
        <f>Preencher!$B$3&amp;U208&amp;V208&amp;A208&amp;$W$6</f>
        <v>JARINU-FRG1928MQ.TUNEL DE CG (CONTINUO)</v>
      </c>
      <c r="X208" s="7" t="str">
        <f>Preencher!$B$3&amp;U208&amp;V208&amp;A208&amp;$X$6</f>
        <v>JARINU-FRG1928MQ.TUNEL DE CG (CONTINUO) (1)</v>
      </c>
      <c r="Y208" s="7" t="str">
        <f>Preencher!$B$3&amp;U208&amp;V208&amp;A208&amp;$Y$6</f>
        <v>JARINU-FRG1928MQ.TUNEL DE CG (CONTINUO) (2)</v>
      </c>
      <c r="Z208" s="7" t="str">
        <f>Preencher!$B$3&amp;U208&amp;V208&amp;A208&amp;$Z$6</f>
        <v>JARINU-FRG1928MQ.TUNEL DE CG (CONTINUO) (3)</v>
      </c>
      <c r="AA208" s="7" t="str">
        <f>Preencher!$B$3&amp;U208&amp;V208&amp;A208&amp;$AA$6</f>
        <v>JARINU-FRG1928MQ.TUNEL DE CG (ESTATICO)</v>
      </c>
      <c r="AB208" s="7" t="str">
        <f>Preencher!$B$3&amp;U208&amp;V208&amp;A208&amp;$AB$6</f>
        <v>JARINU-FRG1928MQ.TUNEL DE CG (ESTATICO) (1)</v>
      </c>
      <c r="AC208" s="7" t="str">
        <f>Preencher!$B$3&amp;U208&amp;V208&amp;A208&amp;$AC$6</f>
        <v>JARINU-FRG1928MQ.TUNEL DE CG (ESTATICO) (2)</v>
      </c>
      <c r="AD208" s="327">
        <f>IFERROR(SUMIF('BD Otimix'!A:A,'BD VOLUME'!X208,'BD Otimix'!O:O)+SUMIF('BD Otimix'!A:A,'BD VOLUME'!Y208,'BD Otimix'!O:O)+SUMIF('BD Otimix'!A:A,'BD VOLUME'!Z208,'BD Otimix'!O:O)+SUMIF('BD Otimix'!A:A,'BD VOLUME'!AA208,'BD Otimix'!O:O)+SUMIF('BD Otimix'!A:A,'BD VOLUME'!AB208,'BD Otimix'!O:O)+SUMIF('BD Otimix'!A:A,'BD VOLUME'!AC208,'BD Otimix'!O:O)+SUMIF('BD Otimix'!A:A,'BD VOLUME'!W208,'BD Otimix'!O:O),0)</f>
        <v>0</v>
      </c>
      <c r="AE208" s="327">
        <f t="shared" si="51"/>
        <v>0</v>
      </c>
      <c r="AF208" s="7" t="str">
        <f>Preencher!$B$3&amp;$U$8&amp;$V$8&amp;A208&amp;$AF$6</f>
        <v>JARINU-FRG1928MQ.GIROFREEZER</v>
      </c>
      <c r="AG208" s="7" t="str">
        <f>Preencher!$B$3&amp;$U$8&amp;$V$8&amp;A208&amp;$AG$6</f>
        <v>JARINU-FRG1928MQ.GIROFREEZER (1)</v>
      </c>
      <c r="AH208" s="7" t="str">
        <f>Preencher!$B$3&amp;$U$8&amp;$V$8&amp;A208&amp;$AH$6</f>
        <v>JARINU-FRG1928MQ.GIROFREEZER (2)</v>
      </c>
      <c r="AI208" s="7" t="str">
        <f>Preencher!$B$3&amp;$U$8&amp;$V$8&amp;A208&amp;$AI$6</f>
        <v>JARINU-FRG1928MQ.GIROFREEZER REV04</v>
      </c>
      <c r="AJ208" s="7" t="str">
        <f>Preencher!$B$3&amp;$U$8&amp;$V$8&amp;A208&amp;$AJ$6</f>
        <v>JARINU-FRG1928MQ.GIROFREEZER (3)</v>
      </c>
      <c r="AK208" s="327">
        <f>IFERROR(SUMIF('BD Otimix'!A:A,'BD VOLUME'!AG208,'BD Otimix'!O:O)+SUMIF('BD Otimix'!A:A,'BD VOLUME'!AH208,'BD Otimix'!O:O)+SUMIF('BD Otimix'!A:A,'BD VOLUME'!AI208,'BD Otimix'!O:O)+SUMIF('BD Otimix'!A:A,'BD VOLUME'!AJ208,'BD Otimix'!O:O)+SUMIF('BD Otimix'!A:A,'BD VOLUME'!AF208,'BD Otimix'!O:O),0)</f>
        <v>0</v>
      </c>
      <c r="AL208" s="7">
        <f t="shared" si="52"/>
        <v>0</v>
      </c>
    </row>
    <row r="209" spans="1:38">
      <c r="A209" s="324">
        <v>1930</v>
      </c>
      <c r="B209" s="324">
        <v>0</v>
      </c>
      <c r="C209" s="5" t="s">
        <v>1279</v>
      </c>
      <c r="D209" s="5" t="s">
        <v>939</v>
      </c>
      <c r="E209" s="5" t="s">
        <v>1196</v>
      </c>
      <c r="F209" s="132">
        <f>SUMIF('COLAR PLANO'!$A:$A,A209,'COLAR PLANO'!$D:$D)</f>
        <v>0</v>
      </c>
      <c r="G209" s="131">
        <f t="shared" si="48"/>
        <v>0</v>
      </c>
      <c r="H209" s="6">
        <v>0.7419</v>
      </c>
      <c r="I209" s="7">
        <f t="shared" si="53"/>
        <v>0</v>
      </c>
      <c r="J209" s="130">
        <f t="shared" si="54"/>
        <v>0</v>
      </c>
      <c r="K209" s="327">
        <v>1.4</v>
      </c>
      <c r="L209" s="324">
        <v>10</v>
      </c>
      <c r="M209" s="324">
        <v>14</v>
      </c>
      <c r="N209" s="7">
        <f t="shared" ref="N209:N271" si="55">IFERROR(G209/K209,"-")</f>
        <v>0</v>
      </c>
      <c r="O209" s="311"/>
      <c r="P209" s="311">
        <f t="shared" ref="P209:P271" si="56">IFERROR(G209/M209,"-")</f>
        <v>0</v>
      </c>
      <c r="Q209" s="7"/>
      <c r="R209" s="7"/>
      <c r="S209" s="7"/>
      <c r="T209" s="7"/>
      <c r="U209" s="7" t="s">
        <v>2288</v>
      </c>
      <c r="V209" s="7" t="s">
        <v>2289</v>
      </c>
      <c r="W209" s="7" t="str">
        <f>Preencher!$B$3&amp;U209&amp;V209&amp;A209&amp;$W$6</f>
        <v>JARINU-FRG1930MQ.TUNEL DE CG (CONTINUO)</v>
      </c>
      <c r="X209" s="7" t="str">
        <f>Preencher!$B$3&amp;U209&amp;V209&amp;A209&amp;$X$6</f>
        <v>JARINU-FRG1930MQ.TUNEL DE CG (CONTINUO) (1)</v>
      </c>
      <c r="Y209" s="7" t="str">
        <f>Preencher!$B$3&amp;U209&amp;V209&amp;A209&amp;$Y$6</f>
        <v>JARINU-FRG1930MQ.TUNEL DE CG (CONTINUO) (2)</v>
      </c>
      <c r="Z209" s="7" t="str">
        <f>Preencher!$B$3&amp;U209&amp;V209&amp;A209&amp;$Z$6</f>
        <v>JARINU-FRG1930MQ.TUNEL DE CG (CONTINUO) (3)</v>
      </c>
      <c r="AA209" s="7" t="str">
        <f>Preencher!$B$3&amp;U209&amp;V209&amp;A209&amp;$AA$6</f>
        <v>JARINU-FRG1930MQ.TUNEL DE CG (ESTATICO)</v>
      </c>
      <c r="AB209" s="7" t="str">
        <f>Preencher!$B$3&amp;U209&amp;V209&amp;A209&amp;$AB$6</f>
        <v>JARINU-FRG1930MQ.TUNEL DE CG (ESTATICO) (1)</v>
      </c>
      <c r="AC209" s="7" t="str">
        <f>Preencher!$B$3&amp;U209&amp;V209&amp;A209&amp;$AC$6</f>
        <v>JARINU-FRG1930MQ.TUNEL DE CG (ESTATICO) (2)</v>
      </c>
      <c r="AD209" s="327">
        <f>IFERROR(SUMIF('BD Otimix'!A:A,'BD VOLUME'!X209,'BD Otimix'!O:O)+SUMIF('BD Otimix'!A:A,'BD VOLUME'!Y209,'BD Otimix'!O:O)+SUMIF('BD Otimix'!A:A,'BD VOLUME'!Z209,'BD Otimix'!O:O)+SUMIF('BD Otimix'!A:A,'BD VOLUME'!AA209,'BD Otimix'!O:O)+SUMIF('BD Otimix'!A:A,'BD VOLUME'!AB209,'BD Otimix'!O:O)+SUMIF('BD Otimix'!A:A,'BD VOLUME'!AC209,'BD Otimix'!O:O)+SUMIF('BD Otimix'!A:A,'BD VOLUME'!W209,'BD Otimix'!O:O),0)</f>
        <v>0</v>
      </c>
      <c r="AE209" s="327">
        <f t="shared" si="51"/>
        <v>0</v>
      </c>
      <c r="AF209" s="7" t="str">
        <f>Preencher!$B$3&amp;$U$8&amp;$V$8&amp;A209&amp;$AF$6</f>
        <v>JARINU-FRG1930MQ.GIROFREEZER</v>
      </c>
      <c r="AG209" s="7" t="str">
        <f>Preencher!$B$3&amp;$U$8&amp;$V$8&amp;A209&amp;$AG$6</f>
        <v>JARINU-FRG1930MQ.GIROFREEZER (1)</v>
      </c>
      <c r="AH209" s="7" t="str">
        <f>Preencher!$B$3&amp;$U$8&amp;$V$8&amp;A209&amp;$AH$6</f>
        <v>JARINU-FRG1930MQ.GIROFREEZER (2)</v>
      </c>
      <c r="AI209" s="7" t="str">
        <f>Preencher!$B$3&amp;$U$8&amp;$V$8&amp;A209&amp;$AI$6</f>
        <v>JARINU-FRG1930MQ.GIROFREEZER REV04</v>
      </c>
      <c r="AJ209" s="7" t="str">
        <f>Preencher!$B$3&amp;$U$8&amp;$V$8&amp;A209&amp;$AJ$6</f>
        <v>JARINU-FRG1930MQ.GIROFREEZER (3)</v>
      </c>
      <c r="AK209" s="327">
        <f>IFERROR(SUMIF('BD Otimix'!A:A,'BD VOLUME'!AG209,'BD Otimix'!O:O)+SUMIF('BD Otimix'!A:A,'BD VOLUME'!AH209,'BD Otimix'!O:O)+SUMIF('BD Otimix'!A:A,'BD VOLUME'!AI209,'BD Otimix'!O:O)+SUMIF('BD Otimix'!A:A,'BD VOLUME'!AJ209,'BD Otimix'!O:O)+SUMIF('BD Otimix'!A:A,'BD VOLUME'!AF209,'BD Otimix'!O:O),0)</f>
        <v>0</v>
      </c>
      <c r="AL209" s="7">
        <f t="shared" si="52"/>
        <v>0</v>
      </c>
    </row>
    <row r="210" spans="1:38">
      <c r="A210" s="324">
        <v>1981</v>
      </c>
      <c r="B210" s="324">
        <v>0</v>
      </c>
      <c r="C210" s="5" t="s">
        <v>1280</v>
      </c>
      <c r="D210" s="5" t="s">
        <v>939</v>
      </c>
      <c r="E210" s="5" t="s">
        <v>1196</v>
      </c>
      <c r="F210" s="132">
        <f>SUMIF('COLAR PLANO'!$A:$A,A210,'COLAR PLANO'!$D:$D)</f>
        <v>0</v>
      </c>
      <c r="G210" s="131">
        <f t="shared" ref="G210:G271" si="57">IFERROR(F210/($E$3*$C$3),0)</f>
        <v>0</v>
      </c>
      <c r="H210" s="6">
        <v>0.7419</v>
      </c>
      <c r="I210" s="7">
        <f t="shared" si="53"/>
        <v>0</v>
      </c>
      <c r="J210" s="130">
        <f t="shared" si="54"/>
        <v>0</v>
      </c>
      <c r="K210" s="327">
        <v>0.8</v>
      </c>
      <c r="L210" s="324">
        <v>10</v>
      </c>
      <c r="M210" s="324">
        <v>8</v>
      </c>
      <c r="N210" s="7">
        <f t="shared" si="55"/>
        <v>0</v>
      </c>
      <c r="O210" s="311"/>
      <c r="P210" s="311">
        <f t="shared" si="56"/>
        <v>0</v>
      </c>
      <c r="Q210" s="7"/>
      <c r="R210" s="7"/>
      <c r="S210" s="7"/>
      <c r="T210" s="7"/>
      <c r="U210" s="7" t="s">
        <v>2288</v>
      </c>
      <c r="V210" s="7" t="s">
        <v>2289</v>
      </c>
      <c r="W210" s="7" t="str">
        <f>Preencher!$B$3&amp;U210&amp;V210&amp;A210&amp;$W$6</f>
        <v>JARINU-FRG1981MQ.TUNEL DE CG (CONTINUO)</v>
      </c>
      <c r="X210" s="7" t="str">
        <f>Preencher!$B$3&amp;U210&amp;V210&amp;A210&amp;$X$6</f>
        <v>JARINU-FRG1981MQ.TUNEL DE CG (CONTINUO) (1)</v>
      </c>
      <c r="Y210" s="7" t="str">
        <f>Preencher!$B$3&amp;U210&amp;V210&amp;A210&amp;$Y$6</f>
        <v>JARINU-FRG1981MQ.TUNEL DE CG (CONTINUO) (2)</v>
      </c>
      <c r="Z210" s="7" t="str">
        <f>Preencher!$B$3&amp;U210&amp;V210&amp;A210&amp;$Z$6</f>
        <v>JARINU-FRG1981MQ.TUNEL DE CG (CONTINUO) (3)</v>
      </c>
      <c r="AA210" s="7" t="str">
        <f>Preencher!$B$3&amp;U210&amp;V210&amp;A210&amp;$AA$6</f>
        <v>JARINU-FRG1981MQ.TUNEL DE CG (ESTATICO)</v>
      </c>
      <c r="AB210" s="7" t="str">
        <f>Preencher!$B$3&amp;U210&amp;V210&amp;A210&amp;$AB$6</f>
        <v>JARINU-FRG1981MQ.TUNEL DE CG (ESTATICO) (1)</v>
      </c>
      <c r="AC210" s="7" t="str">
        <f>Preencher!$B$3&amp;U210&amp;V210&amp;A210&amp;$AC$6</f>
        <v>JARINU-FRG1981MQ.TUNEL DE CG (ESTATICO) (2)</v>
      </c>
      <c r="AD210" s="327">
        <f>IFERROR(SUMIF('BD Otimix'!A:A,'BD VOLUME'!X210,'BD Otimix'!O:O)+SUMIF('BD Otimix'!A:A,'BD VOLUME'!Y210,'BD Otimix'!O:O)+SUMIF('BD Otimix'!A:A,'BD VOLUME'!Z210,'BD Otimix'!O:O)+SUMIF('BD Otimix'!A:A,'BD VOLUME'!AA210,'BD Otimix'!O:O)+SUMIF('BD Otimix'!A:A,'BD VOLUME'!AB210,'BD Otimix'!O:O)+SUMIF('BD Otimix'!A:A,'BD VOLUME'!AC210,'BD Otimix'!O:O)+SUMIF('BD Otimix'!A:A,'BD VOLUME'!W210,'BD Otimix'!O:O),0)</f>
        <v>0</v>
      </c>
      <c r="AE210" s="327">
        <f t="shared" ref="AE210:AE273" si="58">IFERROR(F210/$E$3/1000/AD210,0)</f>
        <v>0</v>
      </c>
      <c r="AF210" s="7" t="str">
        <f>Preencher!$B$3&amp;$U$8&amp;$V$8&amp;A210&amp;$AF$6</f>
        <v>JARINU-FRG1981MQ.GIROFREEZER</v>
      </c>
      <c r="AG210" s="7" t="str">
        <f>Preencher!$B$3&amp;$U$8&amp;$V$8&amp;A210&amp;$AG$6</f>
        <v>JARINU-FRG1981MQ.GIROFREEZER (1)</v>
      </c>
      <c r="AH210" s="7" t="str">
        <f>Preencher!$B$3&amp;$U$8&amp;$V$8&amp;A210&amp;$AH$6</f>
        <v>JARINU-FRG1981MQ.GIROFREEZER (2)</v>
      </c>
      <c r="AI210" s="7" t="str">
        <f>Preencher!$B$3&amp;$U$8&amp;$V$8&amp;A210&amp;$AI$6</f>
        <v>JARINU-FRG1981MQ.GIROFREEZER REV04</v>
      </c>
      <c r="AJ210" s="7" t="str">
        <f>Preencher!$B$3&amp;$U$8&amp;$V$8&amp;A210&amp;$AJ$6</f>
        <v>JARINU-FRG1981MQ.GIROFREEZER (3)</v>
      </c>
      <c r="AK210" s="327">
        <f>IFERROR(SUMIF('BD Otimix'!A:A,'BD VOLUME'!AG210,'BD Otimix'!O:O)+SUMIF('BD Otimix'!A:A,'BD VOLUME'!AH210,'BD Otimix'!O:O)+SUMIF('BD Otimix'!A:A,'BD VOLUME'!AI210,'BD Otimix'!O:O)+SUMIF('BD Otimix'!A:A,'BD VOLUME'!AJ210,'BD Otimix'!O:O)+SUMIF('BD Otimix'!A:A,'BD VOLUME'!AF210,'BD Otimix'!O:O),0)</f>
        <v>0</v>
      </c>
      <c r="AL210" s="7">
        <f t="shared" ref="AL210:AL273" si="59">IFERROR(F210/$E$3/1000/AK210,0)</f>
        <v>0</v>
      </c>
    </row>
    <row r="211" spans="1:38">
      <c r="A211" s="324">
        <v>1982</v>
      </c>
      <c r="B211" s="324">
        <v>0</v>
      </c>
      <c r="C211" s="5" t="s">
        <v>1248</v>
      </c>
      <c r="D211" s="5" t="s">
        <v>939</v>
      </c>
      <c r="E211" s="5" t="s">
        <v>1196</v>
      </c>
      <c r="F211" s="132">
        <f>SUMIF('COLAR PLANO'!$A:$A,A211,'COLAR PLANO'!$D:$D)</f>
        <v>0</v>
      </c>
      <c r="G211" s="131">
        <f t="shared" si="57"/>
        <v>0</v>
      </c>
      <c r="H211" s="6">
        <v>0.7419</v>
      </c>
      <c r="I211" s="7">
        <f t="shared" ref="I211:I274" si="60">IFERROR(G211/$D$4/H211,0)</f>
        <v>0</v>
      </c>
      <c r="J211" s="130">
        <f t="shared" ref="J211:J274" si="61">IFERROR(I211/$B$145,0)</f>
        <v>0</v>
      </c>
      <c r="K211" s="327">
        <v>0.9</v>
      </c>
      <c r="L211" s="324">
        <v>10</v>
      </c>
      <c r="M211" s="324">
        <v>9</v>
      </c>
      <c r="N211" s="7">
        <f t="shared" si="55"/>
        <v>0</v>
      </c>
      <c r="O211" s="311"/>
      <c r="P211" s="311">
        <f t="shared" si="56"/>
        <v>0</v>
      </c>
      <c r="Q211" s="7"/>
      <c r="R211" s="7"/>
      <c r="S211" s="7"/>
      <c r="T211" s="7"/>
      <c r="U211" s="7" t="s">
        <v>2288</v>
      </c>
      <c r="V211" s="7" t="s">
        <v>2289</v>
      </c>
      <c r="W211" s="7" t="str">
        <f>Preencher!$B$3&amp;U211&amp;V211&amp;A211&amp;$W$6</f>
        <v>JARINU-FRG1982MQ.TUNEL DE CG (CONTINUO)</v>
      </c>
      <c r="X211" s="7" t="str">
        <f>Preencher!$B$3&amp;U211&amp;V211&amp;A211&amp;$X$6</f>
        <v>JARINU-FRG1982MQ.TUNEL DE CG (CONTINUO) (1)</v>
      </c>
      <c r="Y211" s="7" t="str">
        <f>Preencher!$B$3&amp;U211&amp;V211&amp;A211&amp;$Y$6</f>
        <v>JARINU-FRG1982MQ.TUNEL DE CG (CONTINUO) (2)</v>
      </c>
      <c r="Z211" s="7" t="str">
        <f>Preencher!$B$3&amp;U211&amp;V211&amp;A211&amp;$Z$6</f>
        <v>JARINU-FRG1982MQ.TUNEL DE CG (CONTINUO) (3)</v>
      </c>
      <c r="AA211" s="7" t="str">
        <f>Preencher!$B$3&amp;U211&amp;V211&amp;A211&amp;$AA$6</f>
        <v>JARINU-FRG1982MQ.TUNEL DE CG (ESTATICO)</v>
      </c>
      <c r="AB211" s="7" t="str">
        <f>Preencher!$B$3&amp;U211&amp;V211&amp;A211&amp;$AB$6</f>
        <v>JARINU-FRG1982MQ.TUNEL DE CG (ESTATICO) (1)</v>
      </c>
      <c r="AC211" s="7" t="str">
        <f>Preencher!$B$3&amp;U211&amp;V211&amp;A211&amp;$AC$6</f>
        <v>JARINU-FRG1982MQ.TUNEL DE CG (ESTATICO) (2)</v>
      </c>
      <c r="AD211" s="327">
        <f>IFERROR(SUMIF('BD Otimix'!A:A,'BD VOLUME'!X211,'BD Otimix'!O:O)+SUMIF('BD Otimix'!A:A,'BD VOLUME'!Y211,'BD Otimix'!O:O)+SUMIF('BD Otimix'!A:A,'BD VOLUME'!Z211,'BD Otimix'!O:O)+SUMIF('BD Otimix'!A:A,'BD VOLUME'!AA211,'BD Otimix'!O:O)+SUMIF('BD Otimix'!A:A,'BD VOLUME'!AB211,'BD Otimix'!O:O)+SUMIF('BD Otimix'!A:A,'BD VOLUME'!AC211,'BD Otimix'!O:O)+SUMIF('BD Otimix'!A:A,'BD VOLUME'!W211,'BD Otimix'!O:O),0)</f>
        <v>0</v>
      </c>
      <c r="AE211" s="327">
        <f t="shared" si="58"/>
        <v>0</v>
      </c>
      <c r="AF211" s="7" t="str">
        <f>Preencher!$B$3&amp;$U$8&amp;$V$8&amp;A211&amp;$AF$6</f>
        <v>JARINU-FRG1982MQ.GIROFREEZER</v>
      </c>
      <c r="AG211" s="7" t="str">
        <f>Preencher!$B$3&amp;$U$8&amp;$V$8&amp;A211&amp;$AG$6</f>
        <v>JARINU-FRG1982MQ.GIROFREEZER (1)</v>
      </c>
      <c r="AH211" s="7" t="str">
        <f>Preencher!$B$3&amp;$U$8&amp;$V$8&amp;A211&amp;$AH$6</f>
        <v>JARINU-FRG1982MQ.GIROFREEZER (2)</v>
      </c>
      <c r="AI211" s="7" t="str">
        <f>Preencher!$B$3&amp;$U$8&amp;$V$8&amp;A211&amp;$AI$6</f>
        <v>JARINU-FRG1982MQ.GIROFREEZER REV04</v>
      </c>
      <c r="AJ211" s="7" t="str">
        <f>Preencher!$B$3&amp;$U$8&amp;$V$8&amp;A211&amp;$AJ$6</f>
        <v>JARINU-FRG1982MQ.GIROFREEZER (3)</v>
      </c>
      <c r="AK211" s="327">
        <f>IFERROR(SUMIF('BD Otimix'!A:A,'BD VOLUME'!AG211,'BD Otimix'!O:O)+SUMIF('BD Otimix'!A:A,'BD VOLUME'!AH211,'BD Otimix'!O:O)+SUMIF('BD Otimix'!A:A,'BD VOLUME'!AI211,'BD Otimix'!O:O)+SUMIF('BD Otimix'!A:A,'BD VOLUME'!AJ211,'BD Otimix'!O:O)+SUMIF('BD Otimix'!A:A,'BD VOLUME'!AF211,'BD Otimix'!O:O),0)</f>
        <v>0</v>
      </c>
      <c r="AL211" s="7">
        <f t="shared" si="59"/>
        <v>0</v>
      </c>
    </row>
    <row r="212" spans="1:38">
      <c r="A212" s="324">
        <v>1984</v>
      </c>
      <c r="B212" s="324">
        <v>0</v>
      </c>
      <c r="C212" s="5" t="s">
        <v>1276</v>
      </c>
      <c r="D212" s="5" t="s">
        <v>939</v>
      </c>
      <c r="E212" s="5" t="s">
        <v>1196</v>
      </c>
      <c r="F212" s="132">
        <f>SUMIF('COLAR PLANO'!$A:$A,A212,'COLAR PLANO'!$D:$D)</f>
        <v>0</v>
      </c>
      <c r="G212" s="131">
        <f t="shared" si="57"/>
        <v>0</v>
      </c>
      <c r="H212" s="6">
        <v>0.7419</v>
      </c>
      <c r="I212" s="7">
        <f t="shared" si="60"/>
        <v>0</v>
      </c>
      <c r="J212" s="130">
        <f t="shared" si="61"/>
        <v>0</v>
      </c>
      <c r="K212" s="327">
        <v>1</v>
      </c>
      <c r="L212" s="324">
        <v>10</v>
      </c>
      <c r="M212" s="324">
        <v>10</v>
      </c>
      <c r="N212" s="7">
        <f t="shared" si="55"/>
        <v>0</v>
      </c>
      <c r="O212" s="311"/>
      <c r="P212" s="311">
        <f t="shared" si="56"/>
        <v>0</v>
      </c>
      <c r="Q212" s="7"/>
      <c r="R212" s="7"/>
      <c r="S212" s="7"/>
      <c r="T212" s="7"/>
      <c r="U212" s="7" t="s">
        <v>2288</v>
      </c>
      <c r="V212" s="7" t="s">
        <v>2289</v>
      </c>
      <c r="W212" s="7" t="str">
        <f>Preencher!$B$3&amp;U212&amp;V212&amp;A212&amp;$W$6</f>
        <v>JARINU-FRG1984MQ.TUNEL DE CG (CONTINUO)</v>
      </c>
      <c r="X212" s="7" t="str">
        <f>Preencher!$B$3&amp;U212&amp;V212&amp;A212&amp;$X$6</f>
        <v>JARINU-FRG1984MQ.TUNEL DE CG (CONTINUO) (1)</v>
      </c>
      <c r="Y212" s="7" t="str">
        <f>Preencher!$B$3&amp;U212&amp;V212&amp;A212&amp;$Y$6</f>
        <v>JARINU-FRG1984MQ.TUNEL DE CG (CONTINUO) (2)</v>
      </c>
      <c r="Z212" s="7" t="str">
        <f>Preencher!$B$3&amp;U212&amp;V212&amp;A212&amp;$Z$6</f>
        <v>JARINU-FRG1984MQ.TUNEL DE CG (CONTINUO) (3)</v>
      </c>
      <c r="AA212" s="7" t="str">
        <f>Preencher!$B$3&amp;U212&amp;V212&amp;A212&amp;$AA$6</f>
        <v>JARINU-FRG1984MQ.TUNEL DE CG (ESTATICO)</v>
      </c>
      <c r="AB212" s="7" t="str">
        <f>Preencher!$B$3&amp;U212&amp;V212&amp;A212&amp;$AB$6</f>
        <v>JARINU-FRG1984MQ.TUNEL DE CG (ESTATICO) (1)</v>
      </c>
      <c r="AC212" s="7" t="str">
        <f>Preencher!$B$3&amp;U212&amp;V212&amp;A212&amp;$AC$6</f>
        <v>JARINU-FRG1984MQ.TUNEL DE CG (ESTATICO) (2)</v>
      </c>
      <c r="AD212" s="327">
        <f>IFERROR(SUMIF('BD Otimix'!A:A,'BD VOLUME'!X212,'BD Otimix'!O:O)+SUMIF('BD Otimix'!A:A,'BD VOLUME'!Y212,'BD Otimix'!O:O)+SUMIF('BD Otimix'!A:A,'BD VOLUME'!Z212,'BD Otimix'!O:O)+SUMIF('BD Otimix'!A:A,'BD VOLUME'!AA212,'BD Otimix'!O:O)+SUMIF('BD Otimix'!A:A,'BD VOLUME'!AB212,'BD Otimix'!O:O)+SUMIF('BD Otimix'!A:A,'BD VOLUME'!AC212,'BD Otimix'!O:O)+SUMIF('BD Otimix'!A:A,'BD VOLUME'!W212,'BD Otimix'!O:O),0)</f>
        <v>0</v>
      </c>
      <c r="AE212" s="327">
        <f t="shared" si="58"/>
        <v>0</v>
      </c>
      <c r="AF212" s="7" t="str">
        <f>Preencher!$B$3&amp;$U$8&amp;$V$8&amp;A212&amp;$AF$6</f>
        <v>JARINU-FRG1984MQ.GIROFREEZER</v>
      </c>
      <c r="AG212" s="7" t="str">
        <f>Preencher!$B$3&amp;$U$8&amp;$V$8&amp;A212&amp;$AG$6</f>
        <v>JARINU-FRG1984MQ.GIROFREEZER (1)</v>
      </c>
      <c r="AH212" s="7" t="str">
        <f>Preencher!$B$3&amp;$U$8&amp;$V$8&amp;A212&amp;$AH$6</f>
        <v>JARINU-FRG1984MQ.GIROFREEZER (2)</v>
      </c>
      <c r="AI212" s="7" t="str">
        <f>Preencher!$B$3&amp;$U$8&amp;$V$8&amp;A212&amp;$AI$6</f>
        <v>JARINU-FRG1984MQ.GIROFREEZER REV04</v>
      </c>
      <c r="AJ212" s="7" t="str">
        <f>Preencher!$B$3&amp;$U$8&amp;$V$8&amp;A212&amp;$AJ$6</f>
        <v>JARINU-FRG1984MQ.GIROFREEZER (3)</v>
      </c>
      <c r="AK212" s="327">
        <f>IFERROR(SUMIF('BD Otimix'!A:A,'BD VOLUME'!AG212,'BD Otimix'!O:O)+SUMIF('BD Otimix'!A:A,'BD VOLUME'!AH212,'BD Otimix'!O:O)+SUMIF('BD Otimix'!A:A,'BD VOLUME'!AI212,'BD Otimix'!O:O)+SUMIF('BD Otimix'!A:A,'BD VOLUME'!AJ212,'BD Otimix'!O:O)+SUMIF('BD Otimix'!A:A,'BD VOLUME'!AF212,'BD Otimix'!O:O),0)</f>
        <v>0</v>
      </c>
      <c r="AL212" s="7">
        <f t="shared" si="59"/>
        <v>0</v>
      </c>
    </row>
    <row r="213" spans="1:38">
      <c r="A213" s="324">
        <v>1986</v>
      </c>
      <c r="B213" s="324">
        <v>0</v>
      </c>
      <c r="C213" s="5" t="s">
        <v>1277</v>
      </c>
      <c r="D213" s="5" t="s">
        <v>939</v>
      </c>
      <c r="E213" s="5" t="s">
        <v>1196</v>
      </c>
      <c r="F213" s="132">
        <f>SUMIF('COLAR PLANO'!$A:$A,A213,'COLAR PLANO'!$D:$D)</f>
        <v>0</v>
      </c>
      <c r="G213" s="131">
        <f t="shared" si="57"/>
        <v>0</v>
      </c>
      <c r="H213" s="6">
        <v>0.7419</v>
      </c>
      <c r="I213" s="7">
        <f t="shared" si="60"/>
        <v>0</v>
      </c>
      <c r="J213" s="130">
        <f t="shared" si="61"/>
        <v>0</v>
      </c>
      <c r="K213" s="327">
        <v>1.1000000000000001</v>
      </c>
      <c r="L213" s="324">
        <v>10</v>
      </c>
      <c r="M213" s="324">
        <v>11</v>
      </c>
      <c r="N213" s="7">
        <f t="shared" si="55"/>
        <v>0</v>
      </c>
      <c r="O213" s="311"/>
      <c r="P213" s="311">
        <f t="shared" si="56"/>
        <v>0</v>
      </c>
      <c r="Q213" s="7"/>
      <c r="R213" s="7"/>
      <c r="S213" s="7"/>
      <c r="T213" s="7"/>
      <c r="U213" s="7" t="s">
        <v>2288</v>
      </c>
      <c r="V213" s="7" t="s">
        <v>2289</v>
      </c>
      <c r="W213" s="7" t="str">
        <f>Preencher!$B$3&amp;U213&amp;V213&amp;A213&amp;$W$6</f>
        <v>JARINU-FRG1986MQ.TUNEL DE CG (CONTINUO)</v>
      </c>
      <c r="X213" s="7" t="str">
        <f>Preencher!$B$3&amp;U213&amp;V213&amp;A213&amp;$X$6</f>
        <v>JARINU-FRG1986MQ.TUNEL DE CG (CONTINUO) (1)</v>
      </c>
      <c r="Y213" s="7" t="str">
        <f>Preencher!$B$3&amp;U213&amp;V213&amp;A213&amp;$Y$6</f>
        <v>JARINU-FRG1986MQ.TUNEL DE CG (CONTINUO) (2)</v>
      </c>
      <c r="Z213" s="7" t="str">
        <f>Preencher!$B$3&amp;U213&amp;V213&amp;A213&amp;$Z$6</f>
        <v>JARINU-FRG1986MQ.TUNEL DE CG (CONTINUO) (3)</v>
      </c>
      <c r="AA213" s="7" t="str">
        <f>Preencher!$B$3&amp;U213&amp;V213&amp;A213&amp;$AA$6</f>
        <v>JARINU-FRG1986MQ.TUNEL DE CG (ESTATICO)</v>
      </c>
      <c r="AB213" s="7" t="str">
        <f>Preencher!$B$3&amp;U213&amp;V213&amp;A213&amp;$AB$6</f>
        <v>JARINU-FRG1986MQ.TUNEL DE CG (ESTATICO) (1)</v>
      </c>
      <c r="AC213" s="7" t="str">
        <f>Preencher!$B$3&amp;U213&amp;V213&amp;A213&amp;$AC$6</f>
        <v>JARINU-FRG1986MQ.TUNEL DE CG (ESTATICO) (2)</v>
      </c>
      <c r="AD213" s="327">
        <f>IFERROR(SUMIF('BD Otimix'!A:A,'BD VOLUME'!X213,'BD Otimix'!O:O)+SUMIF('BD Otimix'!A:A,'BD VOLUME'!Y213,'BD Otimix'!O:O)+SUMIF('BD Otimix'!A:A,'BD VOLUME'!Z213,'BD Otimix'!O:O)+SUMIF('BD Otimix'!A:A,'BD VOLUME'!AA213,'BD Otimix'!O:O)+SUMIF('BD Otimix'!A:A,'BD VOLUME'!AB213,'BD Otimix'!O:O)+SUMIF('BD Otimix'!A:A,'BD VOLUME'!AC213,'BD Otimix'!O:O)+SUMIF('BD Otimix'!A:A,'BD VOLUME'!W213,'BD Otimix'!O:O),0)</f>
        <v>0</v>
      </c>
      <c r="AE213" s="327">
        <f t="shared" si="58"/>
        <v>0</v>
      </c>
      <c r="AF213" s="7" t="str">
        <f>Preencher!$B$3&amp;$U$8&amp;$V$8&amp;A213&amp;$AF$6</f>
        <v>JARINU-FRG1986MQ.GIROFREEZER</v>
      </c>
      <c r="AG213" s="7" t="str">
        <f>Preencher!$B$3&amp;$U$8&amp;$V$8&amp;A213&amp;$AG$6</f>
        <v>JARINU-FRG1986MQ.GIROFREEZER (1)</v>
      </c>
      <c r="AH213" s="7" t="str">
        <f>Preencher!$B$3&amp;$U$8&amp;$V$8&amp;A213&amp;$AH$6</f>
        <v>JARINU-FRG1986MQ.GIROFREEZER (2)</v>
      </c>
      <c r="AI213" s="7" t="str">
        <f>Preencher!$B$3&amp;$U$8&amp;$V$8&amp;A213&amp;$AI$6</f>
        <v>JARINU-FRG1986MQ.GIROFREEZER REV04</v>
      </c>
      <c r="AJ213" s="7" t="str">
        <f>Preencher!$B$3&amp;$U$8&amp;$V$8&amp;A213&amp;$AJ$6</f>
        <v>JARINU-FRG1986MQ.GIROFREEZER (3)</v>
      </c>
      <c r="AK213" s="327">
        <f>IFERROR(SUMIF('BD Otimix'!A:A,'BD VOLUME'!AG213,'BD Otimix'!O:O)+SUMIF('BD Otimix'!A:A,'BD VOLUME'!AH213,'BD Otimix'!O:O)+SUMIF('BD Otimix'!A:A,'BD VOLUME'!AI213,'BD Otimix'!O:O)+SUMIF('BD Otimix'!A:A,'BD VOLUME'!AJ213,'BD Otimix'!O:O)+SUMIF('BD Otimix'!A:A,'BD VOLUME'!AF213,'BD Otimix'!O:O),0)</f>
        <v>0</v>
      </c>
      <c r="AL213" s="7">
        <f t="shared" si="59"/>
        <v>0</v>
      </c>
    </row>
    <row r="214" spans="1:38">
      <c r="A214" s="324">
        <v>1987</v>
      </c>
      <c r="B214" s="324">
        <v>0</v>
      </c>
      <c r="C214" s="5" t="s">
        <v>1190</v>
      </c>
      <c r="D214" s="5" t="s">
        <v>939</v>
      </c>
      <c r="E214" s="5" t="s">
        <v>1196</v>
      </c>
      <c r="F214" s="132">
        <f>SUMIF('COLAR PLANO'!$A:$A,A214,'COLAR PLANO'!$D:$D)</f>
        <v>0</v>
      </c>
      <c r="G214" s="131">
        <f t="shared" si="57"/>
        <v>0</v>
      </c>
      <c r="H214" s="6">
        <v>0.7419</v>
      </c>
      <c r="I214" s="7">
        <f t="shared" si="60"/>
        <v>0</v>
      </c>
      <c r="J214" s="130">
        <f t="shared" si="61"/>
        <v>0</v>
      </c>
      <c r="K214" s="327">
        <v>1.2</v>
      </c>
      <c r="L214" s="324">
        <v>10</v>
      </c>
      <c r="M214" s="324">
        <v>12</v>
      </c>
      <c r="N214" s="7">
        <f t="shared" si="55"/>
        <v>0</v>
      </c>
      <c r="O214" s="311"/>
      <c r="P214" s="311">
        <f t="shared" si="56"/>
        <v>0</v>
      </c>
      <c r="Q214" s="7"/>
      <c r="R214" s="7"/>
      <c r="S214" s="7"/>
      <c r="T214" s="7"/>
      <c r="U214" s="7" t="s">
        <v>2288</v>
      </c>
      <c r="V214" s="7" t="s">
        <v>2289</v>
      </c>
      <c r="W214" s="7" t="str">
        <f>Preencher!$B$3&amp;U214&amp;V214&amp;A214&amp;$W$6</f>
        <v>JARINU-FRG1987MQ.TUNEL DE CG (CONTINUO)</v>
      </c>
      <c r="X214" s="7" t="str">
        <f>Preencher!$B$3&amp;U214&amp;V214&amp;A214&amp;$X$6</f>
        <v>JARINU-FRG1987MQ.TUNEL DE CG (CONTINUO) (1)</v>
      </c>
      <c r="Y214" s="7" t="str">
        <f>Preencher!$B$3&amp;U214&amp;V214&amp;A214&amp;$Y$6</f>
        <v>JARINU-FRG1987MQ.TUNEL DE CG (CONTINUO) (2)</v>
      </c>
      <c r="Z214" s="7" t="str">
        <f>Preencher!$B$3&amp;U214&amp;V214&amp;A214&amp;$Z$6</f>
        <v>JARINU-FRG1987MQ.TUNEL DE CG (CONTINUO) (3)</v>
      </c>
      <c r="AA214" s="7" t="str">
        <f>Preencher!$B$3&amp;U214&amp;V214&amp;A214&amp;$AA$6</f>
        <v>JARINU-FRG1987MQ.TUNEL DE CG (ESTATICO)</v>
      </c>
      <c r="AB214" s="7" t="str">
        <f>Preencher!$B$3&amp;U214&amp;V214&amp;A214&amp;$AB$6</f>
        <v>JARINU-FRG1987MQ.TUNEL DE CG (ESTATICO) (1)</v>
      </c>
      <c r="AC214" s="7" t="str">
        <f>Preencher!$B$3&amp;U214&amp;V214&amp;A214&amp;$AC$6</f>
        <v>JARINU-FRG1987MQ.TUNEL DE CG (ESTATICO) (2)</v>
      </c>
      <c r="AD214" s="327">
        <f>IFERROR(SUMIF('BD Otimix'!A:A,'BD VOLUME'!X214,'BD Otimix'!O:O)+SUMIF('BD Otimix'!A:A,'BD VOLUME'!Y214,'BD Otimix'!O:O)+SUMIF('BD Otimix'!A:A,'BD VOLUME'!Z214,'BD Otimix'!O:O)+SUMIF('BD Otimix'!A:A,'BD VOLUME'!AA214,'BD Otimix'!O:O)+SUMIF('BD Otimix'!A:A,'BD VOLUME'!AB214,'BD Otimix'!O:O)+SUMIF('BD Otimix'!A:A,'BD VOLUME'!AC214,'BD Otimix'!O:O)+SUMIF('BD Otimix'!A:A,'BD VOLUME'!W214,'BD Otimix'!O:O),0)</f>
        <v>0</v>
      </c>
      <c r="AE214" s="327">
        <f t="shared" si="58"/>
        <v>0</v>
      </c>
      <c r="AF214" s="7" t="str">
        <f>Preencher!$B$3&amp;$U$8&amp;$V$8&amp;A214&amp;$AF$6</f>
        <v>JARINU-FRG1987MQ.GIROFREEZER</v>
      </c>
      <c r="AG214" s="7" t="str">
        <f>Preencher!$B$3&amp;$U$8&amp;$V$8&amp;A214&amp;$AG$6</f>
        <v>JARINU-FRG1987MQ.GIROFREEZER (1)</v>
      </c>
      <c r="AH214" s="7" t="str">
        <f>Preencher!$B$3&amp;$U$8&amp;$V$8&amp;A214&amp;$AH$6</f>
        <v>JARINU-FRG1987MQ.GIROFREEZER (2)</v>
      </c>
      <c r="AI214" s="7" t="str">
        <f>Preencher!$B$3&amp;$U$8&amp;$V$8&amp;A214&amp;$AI$6</f>
        <v>JARINU-FRG1987MQ.GIROFREEZER REV04</v>
      </c>
      <c r="AJ214" s="7" t="str">
        <f>Preencher!$B$3&amp;$U$8&amp;$V$8&amp;A214&amp;$AJ$6</f>
        <v>JARINU-FRG1987MQ.GIROFREEZER (3)</v>
      </c>
      <c r="AK214" s="327">
        <f>IFERROR(SUMIF('BD Otimix'!A:A,'BD VOLUME'!AG214,'BD Otimix'!O:O)+SUMIF('BD Otimix'!A:A,'BD VOLUME'!AH214,'BD Otimix'!O:O)+SUMIF('BD Otimix'!A:A,'BD VOLUME'!AI214,'BD Otimix'!O:O)+SUMIF('BD Otimix'!A:A,'BD VOLUME'!AJ214,'BD Otimix'!O:O)+SUMIF('BD Otimix'!A:A,'BD VOLUME'!AF214,'BD Otimix'!O:O),0)</f>
        <v>0</v>
      </c>
      <c r="AL214" s="7">
        <f t="shared" si="59"/>
        <v>0</v>
      </c>
    </row>
    <row r="215" spans="1:38">
      <c r="A215" s="324">
        <v>1989</v>
      </c>
      <c r="B215" s="324">
        <v>0</v>
      </c>
      <c r="C215" s="5" t="s">
        <v>1281</v>
      </c>
      <c r="D215" s="5" t="s">
        <v>939</v>
      </c>
      <c r="E215" s="5" t="s">
        <v>1196</v>
      </c>
      <c r="F215" s="132">
        <f>SUMIF('COLAR PLANO'!$A:$A,A215,'COLAR PLANO'!$D:$D)</f>
        <v>0</v>
      </c>
      <c r="G215" s="131">
        <f t="shared" si="57"/>
        <v>0</v>
      </c>
      <c r="H215" s="6">
        <v>0.7419</v>
      </c>
      <c r="I215" s="7">
        <f t="shared" si="60"/>
        <v>0</v>
      </c>
      <c r="J215" s="130">
        <f t="shared" si="61"/>
        <v>0</v>
      </c>
      <c r="K215" s="327">
        <v>1.4</v>
      </c>
      <c r="L215" s="324">
        <v>10</v>
      </c>
      <c r="M215" s="324">
        <v>14</v>
      </c>
      <c r="N215" s="7">
        <f t="shared" si="55"/>
        <v>0</v>
      </c>
      <c r="O215" s="311"/>
      <c r="P215" s="311">
        <f t="shared" si="56"/>
        <v>0</v>
      </c>
      <c r="Q215" s="7"/>
      <c r="R215" s="7"/>
      <c r="S215" s="7"/>
      <c r="T215" s="7"/>
      <c r="U215" s="7" t="s">
        <v>2288</v>
      </c>
      <c r="V215" s="7" t="s">
        <v>2289</v>
      </c>
      <c r="W215" s="7" t="str">
        <f>Preencher!$B$3&amp;U215&amp;V215&amp;A215&amp;$W$6</f>
        <v>JARINU-FRG1989MQ.TUNEL DE CG (CONTINUO)</v>
      </c>
      <c r="X215" s="7" t="str">
        <f>Preencher!$B$3&amp;U215&amp;V215&amp;A215&amp;$X$6</f>
        <v>JARINU-FRG1989MQ.TUNEL DE CG (CONTINUO) (1)</v>
      </c>
      <c r="Y215" s="7" t="str">
        <f>Preencher!$B$3&amp;U215&amp;V215&amp;A215&amp;$Y$6</f>
        <v>JARINU-FRG1989MQ.TUNEL DE CG (CONTINUO) (2)</v>
      </c>
      <c r="Z215" s="7" t="str">
        <f>Preencher!$B$3&amp;U215&amp;V215&amp;A215&amp;$Z$6</f>
        <v>JARINU-FRG1989MQ.TUNEL DE CG (CONTINUO) (3)</v>
      </c>
      <c r="AA215" s="7" t="str">
        <f>Preencher!$B$3&amp;U215&amp;V215&amp;A215&amp;$AA$6</f>
        <v>JARINU-FRG1989MQ.TUNEL DE CG (ESTATICO)</v>
      </c>
      <c r="AB215" s="7" t="str">
        <f>Preencher!$B$3&amp;U215&amp;V215&amp;A215&amp;$AB$6</f>
        <v>JARINU-FRG1989MQ.TUNEL DE CG (ESTATICO) (1)</v>
      </c>
      <c r="AC215" s="7" t="str">
        <f>Preencher!$B$3&amp;U215&amp;V215&amp;A215&amp;$AC$6</f>
        <v>JARINU-FRG1989MQ.TUNEL DE CG (ESTATICO) (2)</v>
      </c>
      <c r="AD215" s="327">
        <f>IFERROR(SUMIF('BD Otimix'!A:A,'BD VOLUME'!X215,'BD Otimix'!O:O)+SUMIF('BD Otimix'!A:A,'BD VOLUME'!Y215,'BD Otimix'!O:O)+SUMIF('BD Otimix'!A:A,'BD VOLUME'!Z215,'BD Otimix'!O:O)+SUMIF('BD Otimix'!A:A,'BD VOLUME'!AA215,'BD Otimix'!O:O)+SUMIF('BD Otimix'!A:A,'BD VOLUME'!AB215,'BD Otimix'!O:O)+SUMIF('BD Otimix'!A:A,'BD VOLUME'!AC215,'BD Otimix'!O:O)+SUMIF('BD Otimix'!A:A,'BD VOLUME'!W215,'BD Otimix'!O:O),0)</f>
        <v>0</v>
      </c>
      <c r="AE215" s="327">
        <f t="shared" si="58"/>
        <v>0</v>
      </c>
      <c r="AF215" s="7" t="str">
        <f>Preencher!$B$3&amp;$U$8&amp;$V$8&amp;A215&amp;$AF$6</f>
        <v>JARINU-FRG1989MQ.GIROFREEZER</v>
      </c>
      <c r="AG215" s="7" t="str">
        <f>Preencher!$B$3&amp;$U$8&amp;$V$8&amp;A215&amp;$AG$6</f>
        <v>JARINU-FRG1989MQ.GIROFREEZER (1)</v>
      </c>
      <c r="AH215" s="7" t="str">
        <f>Preencher!$B$3&amp;$U$8&amp;$V$8&amp;A215&amp;$AH$6</f>
        <v>JARINU-FRG1989MQ.GIROFREEZER (2)</v>
      </c>
      <c r="AI215" s="7" t="str">
        <f>Preencher!$B$3&amp;$U$8&amp;$V$8&amp;A215&amp;$AI$6</f>
        <v>JARINU-FRG1989MQ.GIROFREEZER REV04</v>
      </c>
      <c r="AJ215" s="7" t="str">
        <f>Preencher!$B$3&amp;$U$8&amp;$V$8&amp;A215&amp;$AJ$6</f>
        <v>JARINU-FRG1989MQ.GIROFREEZER (3)</v>
      </c>
      <c r="AK215" s="327">
        <f>IFERROR(SUMIF('BD Otimix'!A:A,'BD VOLUME'!AG215,'BD Otimix'!O:O)+SUMIF('BD Otimix'!A:A,'BD VOLUME'!AH215,'BD Otimix'!O:O)+SUMIF('BD Otimix'!A:A,'BD VOLUME'!AI215,'BD Otimix'!O:O)+SUMIF('BD Otimix'!A:A,'BD VOLUME'!AJ215,'BD Otimix'!O:O)+SUMIF('BD Otimix'!A:A,'BD VOLUME'!AF215,'BD Otimix'!O:O),0)</f>
        <v>0</v>
      </c>
      <c r="AL215" s="7">
        <f t="shared" si="59"/>
        <v>0</v>
      </c>
    </row>
    <row r="216" spans="1:38">
      <c r="A216" s="324">
        <v>3163</v>
      </c>
      <c r="B216" s="324">
        <v>0</v>
      </c>
      <c r="C216" s="5" t="s">
        <v>1280</v>
      </c>
      <c r="D216" s="5" t="s">
        <v>939</v>
      </c>
      <c r="E216" s="5" t="s">
        <v>1196</v>
      </c>
      <c r="F216" s="132">
        <f>SUMIF('COLAR PLANO'!$A:$A,A216,'COLAR PLANO'!$D:$D)</f>
        <v>0</v>
      </c>
      <c r="G216" s="131">
        <f t="shared" si="57"/>
        <v>0</v>
      </c>
      <c r="H216" s="6">
        <v>0.7419</v>
      </c>
      <c r="I216" s="7">
        <f t="shared" si="60"/>
        <v>0</v>
      </c>
      <c r="J216" s="130">
        <f t="shared" si="61"/>
        <v>0</v>
      </c>
      <c r="K216" s="327">
        <v>0.8</v>
      </c>
      <c r="L216" s="324">
        <v>10</v>
      </c>
      <c r="M216" s="324">
        <v>8</v>
      </c>
      <c r="N216" s="7">
        <f t="shared" si="55"/>
        <v>0</v>
      </c>
      <c r="O216" s="311"/>
      <c r="P216" s="311">
        <f t="shared" si="56"/>
        <v>0</v>
      </c>
      <c r="Q216" s="7"/>
      <c r="R216" s="7"/>
      <c r="S216" s="7"/>
      <c r="T216" s="7"/>
      <c r="U216" s="7" t="s">
        <v>2288</v>
      </c>
      <c r="V216" s="7" t="s">
        <v>2289</v>
      </c>
      <c r="W216" s="7" t="str">
        <f>Preencher!$B$3&amp;U216&amp;V216&amp;A216&amp;$W$6</f>
        <v>JARINU-FRG3163MQ.TUNEL DE CG (CONTINUO)</v>
      </c>
      <c r="X216" s="7" t="str">
        <f>Preencher!$B$3&amp;U216&amp;V216&amp;A216&amp;$X$6</f>
        <v>JARINU-FRG3163MQ.TUNEL DE CG (CONTINUO) (1)</v>
      </c>
      <c r="Y216" s="7" t="str">
        <f>Preencher!$B$3&amp;U216&amp;V216&amp;A216&amp;$Y$6</f>
        <v>JARINU-FRG3163MQ.TUNEL DE CG (CONTINUO) (2)</v>
      </c>
      <c r="Z216" s="7" t="str">
        <f>Preencher!$B$3&amp;U216&amp;V216&amp;A216&amp;$Z$6</f>
        <v>JARINU-FRG3163MQ.TUNEL DE CG (CONTINUO) (3)</v>
      </c>
      <c r="AA216" s="7" t="str">
        <f>Preencher!$B$3&amp;U216&amp;V216&amp;A216&amp;$AA$6</f>
        <v>JARINU-FRG3163MQ.TUNEL DE CG (ESTATICO)</v>
      </c>
      <c r="AB216" s="7" t="str">
        <f>Preencher!$B$3&amp;U216&amp;V216&amp;A216&amp;$AB$6</f>
        <v>JARINU-FRG3163MQ.TUNEL DE CG (ESTATICO) (1)</v>
      </c>
      <c r="AC216" s="7" t="str">
        <f>Preencher!$B$3&amp;U216&amp;V216&amp;A216&amp;$AC$6</f>
        <v>JARINU-FRG3163MQ.TUNEL DE CG (ESTATICO) (2)</v>
      </c>
      <c r="AD216" s="327">
        <f>IFERROR(SUMIF('BD Otimix'!A:A,'BD VOLUME'!X216,'BD Otimix'!O:O)+SUMIF('BD Otimix'!A:A,'BD VOLUME'!Y216,'BD Otimix'!O:O)+SUMIF('BD Otimix'!A:A,'BD VOLUME'!Z216,'BD Otimix'!O:O)+SUMIF('BD Otimix'!A:A,'BD VOLUME'!AA216,'BD Otimix'!O:O)+SUMIF('BD Otimix'!A:A,'BD VOLUME'!AB216,'BD Otimix'!O:O)+SUMIF('BD Otimix'!A:A,'BD VOLUME'!AC216,'BD Otimix'!O:O)+SUMIF('BD Otimix'!A:A,'BD VOLUME'!W216,'BD Otimix'!O:O),0)</f>
        <v>0</v>
      </c>
      <c r="AE216" s="327">
        <f t="shared" si="58"/>
        <v>0</v>
      </c>
      <c r="AF216" s="7" t="str">
        <f>Preencher!$B$3&amp;$U$8&amp;$V$8&amp;A216&amp;$AF$6</f>
        <v>JARINU-FRG3163MQ.GIROFREEZER</v>
      </c>
      <c r="AG216" s="7" t="str">
        <f>Preencher!$B$3&amp;$U$8&amp;$V$8&amp;A216&amp;$AG$6</f>
        <v>JARINU-FRG3163MQ.GIROFREEZER (1)</v>
      </c>
      <c r="AH216" s="7" t="str">
        <f>Preencher!$B$3&amp;$U$8&amp;$V$8&amp;A216&amp;$AH$6</f>
        <v>JARINU-FRG3163MQ.GIROFREEZER (2)</v>
      </c>
      <c r="AI216" s="7" t="str">
        <f>Preencher!$B$3&amp;$U$8&amp;$V$8&amp;A216&amp;$AI$6</f>
        <v>JARINU-FRG3163MQ.GIROFREEZER REV04</v>
      </c>
      <c r="AJ216" s="7" t="str">
        <f>Preencher!$B$3&amp;$U$8&amp;$V$8&amp;A216&amp;$AJ$6</f>
        <v>JARINU-FRG3163MQ.GIROFREEZER (3)</v>
      </c>
      <c r="AK216" s="327">
        <f>IFERROR(SUMIF('BD Otimix'!A:A,'BD VOLUME'!AG216,'BD Otimix'!O:O)+SUMIF('BD Otimix'!A:A,'BD VOLUME'!AH216,'BD Otimix'!O:O)+SUMIF('BD Otimix'!A:A,'BD VOLUME'!AI216,'BD Otimix'!O:O)+SUMIF('BD Otimix'!A:A,'BD VOLUME'!AJ216,'BD Otimix'!O:O)+SUMIF('BD Otimix'!A:A,'BD VOLUME'!AF216,'BD Otimix'!O:O),0)</f>
        <v>0</v>
      </c>
      <c r="AL216" s="7">
        <f t="shared" si="59"/>
        <v>0</v>
      </c>
    </row>
    <row r="217" spans="1:38">
      <c r="A217" s="324">
        <v>3165</v>
      </c>
      <c r="B217" s="324">
        <v>0</v>
      </c>
      <c r="C217" s="5" t="s">
        <v>1248</v>
      </c>
      <c r="D217" s="5" t="s">
        <v>939</v>
      </c>
      <c r="E217" s="5" t="s">
        <v>1196</v>
      </c>
      <c r="F217" s="132">
        <f>SUMIF('COLAR PLANO'!$A:$A,A217,'COLAR PLANO'!$D:$D)</f>
        <v>0</v>
      </c>
      <c r="G217" s="131">
        <f t="shared" si="57"/>
        <v>0</v>
      </c>
      <c r="H217" s="6">
        <v>0.7419</v>
      </c>
      <c r="I217" s="7">
        <f t="shared" si="60"/>
        <v>0</v>
      </c>
      <c r="J217" s="130">
        <f t="shared" si="61"/>
        <v>0</v>
      </c>
      <c r="K217" s="327">
        <v>0.9</v>
      </c>
      <c r="L217" s="324">
        <v>10</v>
      </c>
      <c r="M217" s="324">
        <v>9</v>
      </c>
      <c r="N217" s="7">
        <f t="shared" si="55"/>
        <v>0</v>
      </c>
      <c r="O217" s="311"/>
      <c r="P217" s="311">
        <f t="shared" si="56"/>
        <v>0</v>
      </c>
      <c r="Q217" s="7"/>
      <c r="R217" s="7"/>
      <c r="S217" s="7"/>
      <c r="T217" s="7"/>
      <c r="U217" s="7" t="s">
        <v>2288</v>
      </c>
      <c r="V217" s="7" t="s">
        <v>2289</v>
      </c>
      <c r="W217" s="7" t="str">
        <f>Preencher!$B$3&amp;U217&amp;V217&amp;A217&amp;$W$6</f>
        <v>JARINU-FRG3165MQ.TUNEL DE CG (CONTINUO)</v>
      </c>
      <c r="X217" s="7" t="str">
        <f>Preencher!$B$3&amp;U217&amp;V217&amp;A217&amp;$X$6</f>
        <v>JARINU-FRG3165MQ.TUNEL DE CG (CONTINUO) (1)</v>
      </c>
      <c r="Y217" s="7" t="str">
        <f>Preencher!$B$3&amp;U217&amp;V217&amp;A217&amp;$Y$6</f>
        <v>JARINU-FRG3165MQ.TUNEL DE CG (CONTINUO) (2)</v>
      </c>
      <c r="Z217" s="7" t="str">
        <f>Preencher!$B$3&amp;U217&amp;V217&amp;A217&amp;$Z$6</f>
        <v>JARINU-FRG3165MQ.TUNEL DE CG (CONTINUO) (3)</v>
      </c>
      <c r="AA217" s="7" t="str">
        <f>Preencher!$B$3&amp;U217&amp;V217&amp;A217&amp;$AA$6</f>
        <v>JARINU-FRG3165MQ.TUNEL DE CG (ESTATICO)</v>
      </c>
      <c r="AB217" s="7" t="str">
        <f>Preencher!$B$3&amp;U217&amp;V217&amp;A217&amp;$AB$6</f>
        <v>JARINU-FRG3165MQ.TUNEL DE CG (ESTATICO) (1)</v>
      </c>
      <c r="AC217" s="7" t="str">
        <f>Preencher!$B$3&amp;U217&amp;V217&amp;A217&amp;$AC$6</f>
        <v>JARINU-FRG3165MQ.TUNEL DE CG (ESTATICO) (2)</v>
      </c>
      <c r="AD217" s="327">
        <f>IFERROR(SUMIF('BD Otimix'!A:A,'BD VOLUME'!X217,'BD Otimix'!O:O)+SUMIF('BD Otimix'!A:A,'BD VOLUME'!Y217,'BD Otimix'!O:O)+SUMIF('BD Otimix'!A:A,'BD VOLUME'!Z217,'BD Otimix'!O:O)+SUMIF('BD Otimix'!A:A,'BD VOLUME'!AA217,'BD Otimix'!O:O)+SUMIF('BD Otimix'!A:A,'BD VOLUME'!AB217,'BD Otimix'!O:O)+SUMIF('BD Otimix'!A:A,'BD VOLUME'!AC217,'BD Otimix'!O:O)+SUMIF('BD Otimix'!A:A,'BD VOLUME'!W217,'BD Otimix'!O:O),0)</f>
        <v>0</v>
      </c>
      <c r="AE217" s="327">
        <f t="shared" si="58"/>
        <v>0</v>
      </c>
      <c r="AF217" s="7" t="str">
        <f>Preencher!$B$3&amp;$U$8&amp;$V$8&amp;A217&amp;$AF$6</f>
        <v>JARINU-FRG3165MQ.GIROFREEZER</v>
      </c>
      <c r="AG217" s="7" t="str">
        <f>Preencher!$B$3&amp;$U$8&amp;$V$8&amp;A217&amp;$AG$6</f>
        <v>JARINU-FRG3165MQ.GIROFREEZER (1)</v>
      </c>
      <c r="AH217" s="7" t="str">
        <f>Preencher!$B$3&amp;$U$8&amp;$V$8&amp;A217&amp;$AH$6</f>
        <v>JARINU-FRG3165MQ.GIROFREEZER (2)</v>
      </c>
      <c r="AI217" s="7" t="str">
        <f>Preencher!$B$3&amp;$U$8&amp;$V$8&amp;A217&amp;$AI$6</f>
        <v>JARINU-FRG3165MQ.GIROFREEZER REV04</v>
      </c>
      <c r="AJ217" s="7" t="str">
        <f>Preencher!$B$3&amp;$U$8&amp;$V$8&amp;A217&amp;$AJ$6</f>
        <v>JARINU-FRG3165MQ.GIROFREEZER (3)</v>
      </c>
      <c r="AK217" s="327">
        <f>IFERROR(SUMIF('BD Otimix'!A:A,'BD VOLUME'!AG217,'BD Otimix'!O:O)+SUMIF('BD Otimix'!A:A,'BD VOLUME'!AH217,'BD Otimix'!O:O)+SUMIF('BD Otimix'!A:A,'BD VOLUME'!AI217,'BD Otimix'!O:O)+SUMIF('BD Otimix'!A:A,'BD VOLUME'!AJ217,'BD Otimix'!O:O)+SUMIF('BD Otimix'!A:A,'BD VOLUME'!AF217,'BD Otimix'!O:O),0)</f>
        <v>0</v>
      </c>
      <c r="AL217" s="7">
        <f t="shared" si="59"/>
        <v>0</v>
      </c>
    </row>
    <row r="218" spans="1:38">
      <c r="A218" s="324">
        <v>3167</v>
      </c>
      <c r="B218" s="324">
        <v>0</v>
      </c>
      <c r="C218" s="5" t="s">
        <v>1276</v>
      </c>
      <c r="D218" s="5" t="s">
        <v>939</v>
      </c>
      <c r="E218" s="5" t="s">
        <v>1196</v>
      </c>
      <c r="F218" s="132">
        <f>SUMIF('COLAR PLANO'!$A:$A,A218,'COLAR PLANO'!$D:$D)</f>
        <v>0</v>
      </c>
      <c r="G218" s="131">
        <f t="shared" si="57"/>
        <v>0</v>
      </c>
      <c r="H218" s="6">
        <v>0.7419</v>
      </c>
      <c r="I218" s="7">
        <f t="shared" si="60"/>
        <v>0</v>
      </c>
      <c r="J218" s="130">
        <f t="shared" si="61"/>
        <v>0</v>
      </c>
      <c r="K218" s="327">
        <v>1</v>
      </c>
      <c r="L218" s="324">
        <v>10</v>
      </c>
      <c r="M218" s="324">
        <v>10</v>
      </c>
      <c r="N218" s="7">
        <f t="shared" si="55"/>
        <v>0</v>
      </c>
      <c r="O218" s="311"/>
      <c r="P218" s="311">
        <f t="shared" si="56"/>
        <v>0</v>
      </c>
      <c r="Q218" s="7"/>
      <c r="R218" s="7"/>
      <c r="S218" s="7"/>
      <c r="T218" s="7"/>
      <c r="U218" s="7" t="s">
        <v>2288</v>
      </c>
      <c r="V218" s="7" t="s">
        <v>2289</v>
      </c>
      <c r="W218" s="7" t="str">
        <f>Preencher!$B$3&amp;U218&amp;V218&amp;A218&amp;$W$6</f>
        <v>JARINU-FRG3167MQ.TUNEL DE CG (CONTINUO)</v>
      </c>
      <c r="X218" s="7" t="str">
        <f>Preencher!$B$3&amp;U218&amp;V218&amp;A218&amp;$X$6</f>
        <v>JARINU-FRG3167MQ.TUNEL DE CG (CONTINUO) (1)</v>
      </c>
      <c r="Y218" s="7" t="str">
        <f>Preencher!$B$3&amp;U218&amp;V218&amp;A218&amp;$Y$6</f>
        <v>JARINU-FRG3167MQ.TUNEL DE CG (CONTINUO) (2)</v>
      </c>
      <c r="Z218" s="7" t="str">
        <f>Preencher!$B$3&amp;U218&amp;V218&amp;A218&amp;$Z$6</f>
        <v>JARINU-FRG3167MQ.TUNEL DE CG (CONTINUO) (3)</v>
      </c>
      <c r="AA218" s="7" t="str">
        <f>Preencher!$B$3&amp;U218&amp;V218&amp;A218&amp;$AA$6</f>
        <v>JARINU-FRG3167MQ.TUNEL DE CG (ESTATICO)</v>
      </c>
      <c r="AB218" s="7" t="str">
        <f>Preencher!$B$3&amp;U218&amp;V218&amp;A218&amp;$AB$6</f>
        <v>JARINU-FRG3167MQ.TUNEL DE CG (ESTATICO) (1)</v>
      </c>
      <c r="AC218" s="7" t="str">
        <f>Preencher!$B$3&amp;U218&amp;V218&amp;A218&amp;$AC$6</f>
        <v>JARINU-FRG3167MQ.TUNEL DE CG (ESTATICO) (2)</v>
      </c>
      <c r="AD218" s="327">
        <f>IFERROR(SUMIF('BD Otimix'!A:A,'BD VOLUME'!X218,'BD Otimix'!O:O)+SUMIF('BD Otimix'!A:A,'BD VOLUME'!Y218,'BD Otimix'!O:O)+SUMIF('BD Otimix'!A:A,'BD VOLUME'!Z218,'BD Otimix'!O:O)+SUMIF('BD Otimix'!A:A,'BD VOLUME'!AA218,'BD Otimix'!O:O)+SUMIF('BD Otimix'!A:A,'BD VOLUME'!AB218,'BD Otimix'!O:O)+SUMIF('BD Otimix'!A:A,'BD VOLUME'!AC218,'BD Otimix'!O:O)+SUMIF('BD Otimix'!A:A,'BD VOLUME'!W218,'BD Otimix'!O:O),0)</f>
        <v>0</v>
      </c>
      <c r="AE218" s="327">
        <f t="shared" si="58"/>
        <v>0</v>
      </c>
      <c r="AF218" s="7" t="str">
        <f>Preencher!$B$3&amp;$U$8&amp;$V$8&amp;A218&amp;$AF$6</f>
        <v>JARINU-FRG3167MQ.GIROFREEZER</v>
      </c>
      <c r="AG218" s="7" t="str">
        <f>Preencher!$B$3&amp;$U$8&amp;$V$8&amp;A218&amp;$AG$6</f>
        <v>JARINU-FRG3167MQ.GIROFREEZER (1)</v>
      </c>
      <c r="AH218" s="7" t="str">
        <f>Preencher!$B$3&amp;$U$8&amp;$V$8&amp;A218&amp;$AH$6</f>
        <v>JARINU-FRG3167MQ.GIROFREEZER (2)</v>
      </c>
      <c r="AI218" s="7" t="str">
        <f>Preencher!$B$3&amp;$U$8&amp;$V$8&amp;A218&amp;$AI$6</f>
        <v>JARINU-FRG3167MQ.GIROFREEZER REV04</v>
      </c>
      <c r="AJ218" s="7" t="str">
        <f>Preencher!$B$3&amp;$U$8&amp;$V$8&amp;A218&amp;$AJ$6</f>
        <v>JARINU-FRG3167MQ.GIROFREEZER (3)</v>
      </c>
      <c r="AK218" s="327">
        <f>IFERROR(SUMIF('BD Otimix'!A:A,'BD VOLUME'!AG218,'BD Otimix'!O:O)+SUMIF('BD Otimix'!A:A,'BD VOLUME'!AH218,'BD Otimix'!O:O)+SUMIF('BD Otimix'!A:A,'BD VOLUME'!AI218,'BD Otimix'!O:O)+SUMIF('BD Otimix'!A:A,'BD VOLUME'!AJ218,'BD Otimix'!O:O)+SUMIF('BD Otimix'!A:A,'BD VOLUME'!AF218,'BD Otimix'!O:O),0)</f>
        <v>0</v>
      </c>
      <c r="AL218" s="7">
        <f t="shared" si="59"/>
        <v>0</v>
      </c>
    </row>
    <row r="219" spans="1:38">
      <c r="A219" s="324">
        <v>3169</v>
      </c>
      <c r="B219" s="324">
        <v>0</v>
      </c>
      <c r="C219" s="5" t="s">
        <v>1277</v>
      </c>
      <c r="D219" s="5" t="s">
        <v>939</v>
      </c>
      <c r="E219" s="5" t="s">
        <v>1196</v>
      </c>
      <c r="F219" s="132">
        <f>SUMIF('COLAR PLANO'!$A:$A,A219,'COLAR PLANO'!$D:$D)</f>
        <v>0</v>
      </c>
      <c r="G219" s="131">
        <f t="shared" si="57"/>
        <v>0</v>
      </c>
      <c r="H219" s="6">
        <v>0.7419</v>
      </c>
      <c r="I219" s="7">
        <f t="shared" si="60"/>
        <v>0</v>
      </c>
      <c r="J219" s="130">
        <f t="shared" si="61"/>
        <v>0</v>
      </c>
      <c r="K219" s="327">
        <v>1.1000000000000001</v>
      </c>
      <c r="L219" s="324">
        <v>10</v>
      </c>
      <c r="M219" s="324">
        <v>11</v>
      </c>
      <c r="N219" s="7">
        <f t="shared" si="55"/>
        <v>0</v>
      </c>
      <c r="O219" s="311"/>
      <c r="P219" s="311">
        <f t="shared" si="56"/>
        <v>0</v>
      </c>
      <c r="Q219" s="7"/>
      <c r="R219" s="7"/>
      <c r="S219" s="7"/>
      <c r="T219" s="7"/>
      <c r="U219" s="7" t="s">
        <v>2288</v>
      </c>
      <c r="V219" s="7" t="s">
        <v>2289</v>
      </c>
      <c r="W219" s="7" t="str">
        <f>Preencher!$B$3&amp;U219&amp;V219&amp;A219&amp;$W$6</f>
        <v>JARINU-FRG3169MQ.TUNEL DE CG (CONTINUO)</v>
      </c>
      <c r="X219" s="7" t="str">
        <f>Preencher!$B$3&amp;U219&amp;V219&amp;A219&amp;$X$6</f>
        <v>JARINU-FRG3169MQ.TUNEL DE CG (CONTINUO) (1)</v>
      </c>
      <c r="Y219" s="7" t="str">
        <f>Preencher!$B$3&amp;U219&amp;V219&amp;A219&amp;$Y$6</f>
        <v>JARINU-FRG3169MQ.TUNEL DE CG (CONTINUO) (2)</v>
      </c>
      <c r="Z219" s="7" t="str">
        <f>Preencher!$B$3&amp;U219&amp;V219&amp;A219&amp;$Z$6</f>
        <v>JARINU-FRG3169MQ.TUNEL DE CG (CONTINUO) (3)</v>
      </c>
      <c r="AA219" s="7" t="str">
        <f>Preencher!$B$3&amp;U219&amp;V219&amp;A219&amp;$AA$6</f>
        <v>JARINU-FRG3169MQ.TUNEL DE CG (ESTATICO)</v>
      </c>
      <c r="AB219" s="7" t="str">
        <f>Preencher!$B$3&amp;U219&amp;V219&amp;A219&amp;$AB$6</f>
        <v>JARINU-FRG3169MQ.TUNEL DE CG (ESTATICO) (1)</v>
      </c>
      <c r="AC219" s="7" t="str">
        <f>Preencher!$B$3&amp;U219&amp;V219&amp;A219&amp;$AC$6</f>
        <v>JARINU-FRG3169MQ.TUNEL DE CG (ESTATICO) (2)</v>
      </c>
      <c r="AD219" s="327">
        <f>IFERROR(SUMIF('BD Otimix'!A:A,'BD VOLUME'!X219,'BD Otimix'!O:O)+SUMIF('BD Otimix'!A:A,'BD VOLUME'!Y219,'BD Otimix'!O:O)+SUMIF('BD Otimix'!A:A,'BD VOLUME'!Z219,'BD Otimix'!O:O)+SUMIF('BD Otimix'!A:A,'BD VOLUME'!AA219,'BD Otimix'!O:O)+SUMIF('BD Otimix'!A:A,'BD VOLUME'!AB219,'BD Otimix'!O:O)+SUMIF('BD Otimix'!A:A,'BD VOLUME'!AC219,'BD Otimix'!O:O)+SUMIF('BD Otimix'!A:A,'BD VOLUME'!W219,'BD Otimix'!O:O),0)</f>
        <v>0</v>
      </c>
      <c r="AE219" s="327">
        <f t="shared" si="58"/>
        <v>0</v>
      </c>
      <c r="AF219" s="7" t="str">
        <f>Preencher!$B$3&amp;$U$8&amp;$V$8&amp;A219&amp;$AF$6</f>
        <v>JARINU-FRG3169MQ.GIROFREEZER</v>
      </c>
      <c r="AG219" s="7" t="str">
        <f>Preencher!$B$3&amp;$U$8&amp;$V$8&amp;A219&amp;$AG$6</f>
        <v>JARINU-FRG3169MQ.GIROFREEZER (1)</v>
      </c>
      <c r="AH219" s="7" t="str">
        <f>Preencher!$B$3&amp;$U$8&amp;$V$8&amp;A219&amp;$AH$6</f>
        <v>JARINU-FRG3169MQ.GIROFREEZER (2)</v>
      </c>
      <c r="AI219" s="7" t="str">
        <f>Preencher!$B$3&amp;$U$8&amp;$V$8&amp;A219&amp;$AI$6</f>
        <v>JARINU-FRG3169MQ.GIROFREEZER REV04</v>
      </c>
      <c r="AJ219" s="7" t="str">
        <f>Preencher!$B$3&amp;$U$8&amp;$V$8&amp;A219&amp;$AJ$6</f>
        <v>JARINU-FRG3169MQ.GIROFREEZER (3)</v>
      </c>
      <c r="AK219" s="327">
        <f>IFERROR(SUMIF('BD Otimix'!A:A,'BD VOLUME'!AG219,'BD Otimix'!O:O)+SUMIF('BD Otimix'!A:A,'BD VOLUME'!AH219,'BD Otimix'!O:O)+SUMIF('BD Otimix'!A:A,'BD VOLUME'!AI219,'BD Otimix'!O:O)+SUMIF('BD Otimix'!A:A,'BD VOLUME'!AJ219,'BD Otimix'!O:O)+SUMIF('BD Otimix'!A:A,'BD VOLUME'!AF219,'BD Otimix'!O:O),0)</f>
        <v>0</v>
      </c>
      <c r="AL219" s="7">
        <f t="shared" si="59"/>
        <v>0</v>
      </c>
    </row>
    <row r="220" spans="1:38">
      <c r="A220" s="324">
        <v>3170</v>
      </c>
      <c r="B220" s="324">
        <v>0</v>
      </c>
      <c r="C220" s="5" t="s">
        <v>1190</v>
      </c>
      <c r="D220" s="5" t="s">
        <v>939</v>
      </c>
      <c r="E220" s="5" t="s">
        <v>1196</v>
      </c>
      <c r="F220" s="132">
        <f>SUMIF('COLAR PLANO'!$A:$A,A220,'COLAR PLANO'!$D:$D)</f>
        <v>0</v>
      </c>
      <c r="G220" s="131">
        <f t="shared" si="57"/>
        <v>0</v>
      </c>
      <c r="H220" s="6">
        <v>0.7419</v>
      </c>
      <c r="I220" s="7">
        <f t="shared" si="60"/>
        <v>0</v>
      </c>
      <c r="J220" s="130">
        <f t="shared" si="61"/>
        <v>0</v>
      </c>
      <c r="K220" s="327">
        <v>1.2</v>
      </c>
      <c r="L220" s="324">
        <v>10</v>
      </c>
      <c r="M220" s="324">
        <v>12</v>
      </c>
      <c r="N220" s="7">
        <f t="shared" si="55"/>
        <v>0</v>
      </c>
      <c r="O220" s="311"/>
      <c r="P220" s="311">
        <f t="shared" si="56"/>
        <v>0</v>
      </c>
      <c r="Q220" s="7"/>
      <c r="R220" s="7"/>
      <c r="S220" s="7"/>
      <c r="T220" s="7"/>
      <c r="U220" s="7" t="s">
        <v>2288</v>
      </c>
      <c r="V220" s="7" t="s">
        <v>2289</v>
      </c>
      <c r="W220" s="7" t="str">
        <f>Preencher!$B$3&amp;U220&amp;V220&amp;A220&amp;$W$6</f>
        <v>JARINU-FRG3170MQ.TUNEL DE CG (CONTINUO)</v>
      </c>
      <c r="X220" s="7" t="str">
        <f>Preencher!$B$3&amp;U220&amp;V220&amp;A220&amp;$X$6</f>
        <v>JARINU-FRG3170MQ.TUNEL DE CG (CONTINUO) (1)</v>
      </c>
      <c r="Y220" s="7" t="str">
        <f>Preencher!$B$3&amp;U220&amp;V220&amp;A220&amp;$Y$6</f>
        <v>JARINU-FRG3170MQ.TUNEL DE CG (CONTINUO) (2)</v>
      </c>
      <c r="Z220" s="7" t="str">
        <f>Preencher!$B$3&amp;U220&amp;V220&amp;A220&amp;$Z$6</f>
        <v>JARINU-FRG3170MQ.TUNEL DE CG (CONTINUO) (3)</v>
      </c>
      <c r="AA220" s="7" t="str">
        <f>Preencher!$B$3&amp;U220&amp;V220&amp;A220&amp;$AA$6</f>
        <v>JARINU-FRG3170MQ.TUNEL DE CG (ESTATICO)</v>
      </c>
      <c r="AB220" s="7" t="str">
        <f>Preencher!$B$3&amp;U220&amp;V220&amp;A220&amp;$AB$6</f>
        <v>JARINU-FRG3170MQ.TUNEL DE CG (ESTATICO) (1)</v>
      </c>
      <c r="AC220" s="7" t="str">
        <f>Preencher!$B$3&amp;U220&amp;V220&amp;A220&amp;$AC$6</f>
        <v>JARINU-FRG3170MQ.TUNEL DE CG (ESTATICO) (2)</v>
      </c>
      <c r="AD220" s="327">
        <f>IFERROR(SUMIF('BD Otimix'!A:A,'BD VOLUME'!X220,'BD Otimix'!O:O)+SUMIF('BD Otimix'!A:A,'BD VOLUME'!Y220,'BD Otimix'!O:O)+SUMIF('BD Otimix'!A:A,'BD VOLUME'!Z220,'BD Otimix'!O:O)+SUMIF('BD Otimix'!A:A,'BD VOLUME'!AA220,'BD Otimix'!O:O)+SUMIF('BD Otimix'!A:A,'BD VOLUME'!AB220,'BD Otimix'!O:O)+SUMIF('BD Otimix'!A:A,'BD VOLUME'!AC220,'BD Otimix'!O:O)+SUMIF('BD Otimix'!A:A,'BD VOLUME'!W220,'BD Otimix'!O:O),0)</f>
        <v>0</v>
      </c>
      <c r="AE220" s="327">
        <f t="shared" si="58"/>
        <v>0</v>
      </c>
      <c r="AF220" s="7" t="str">
        <f>Preencher!$B$3&amp;$U$8&amp;$V$8&amp;A220&amp;$AF$6</f>
        <v>JARINU-FRG3170MQ.GIROFREEZER</v>
      </c>
      <c r="AG220" s="7" t="str">
        <f>Preencher!$B$3&amp;$U$8&amp;$V$8&amp;A220&amp;$AG$6</f>
        <v>JARINU-FRG3170MQ.GIROFREEZER (1)</v>
      </c>
      <c r="AH220" s="7" t="str">
        <f>Preencher!$B$3&amp;$U$8&amp;$V$8&amp;A220&amp;$AH$6</f>
        <v>JARINU-FRG3170MQ.GIROFREEZER (2)</v>
      </c>
      <c r="AI220" s="7" t="str">
        <f>Preencher!$B$3&amp;$U$8&amp;$V$8&amp;A220&amp;$AI$6</f>
        <v>JARINU-FRG3170MQ.GIROFREEZER REV04</v>
      </c>
      <c r="AJ220" s="7" t="str">
        <f>Preencher!$B$3&amp;$U$8&amp;$V$8&amp;A220&amp;$AJ$6</f>
        <v>JARINU-FRG3170MQ.GIROFREEZER (3)</v>
      </c>
      <c r="AK220" s="327">
        <f>IFERROR(SUMIF('BD Otimix'!A:A,'BD VOLUME'!AG220,'BD Otimix'!O:O)+SUMIF('BD Otimix'!A:A,'BD VOLUME'!AH220,'BD Otimix'!O:O)+SUMIF('BD Otimix'!A:A,'BD VOLUME'!AI220,'BD Otimix'!O:O)+SUMIF('BD Otimix'!A:A,'BD VOLUME'!AJ220,'BD Otimix'!O:O)+SUMIF('BD Otimix'!A:A,'BD VOLUME'!AF220,'BD Otimix'!O:O),0)</f>
        <v>0</v>
      </c>
      <c r="AL220" s="7">
        <f t="shared" si="59"/>
        <v>0</v>
      </c>
    </row>
    <row r="221" spans="1:38">
      <c r="A221" s="324">
        <v>3171</v>
      </c>
      <c r="B221" s="324">
        <v>0</v>
      </c>
      <c r="C221" s="5" t="s">
        <v>1189</v>
      </c>
      <c r="D221" s="5" t="s">
        <v>939</v>
      </c>
      <c r="E221" s="5" t="s">
        <v>1196</v>
      </c>
      <c r="F221" s="132">
        <f>SUMIF('COLAR PLANO'!$A:$A,A221,'COLAR PLANO'!$D:$D)</f>
        <v>0</v>
      </c>
      <c r="G221" s="131">
        <f t="shared" si="57"/>
        <v>0</v>
      </c>
      <c r="H221" s="6">
        <v>0.7419</v>
      </c>
      <c r="I221" s="7">
        <f t="shared" si="60"/>
        <v>0</v>
      </c>
      <c r="J221" s="130">
        <f t="shared" si="61"/>
        <v>0</v>
      </c>
      <c r="K221" s="327">
        <v>1.3</v>
      </c>
      <c r="L221" s="324">
        <v>10</v>
      </c>
      <c r="M221" s="324">
        <v>13</v>
      </c>
      <c r="N221" s="7">
        <f t="shared" si="55"/>
        <v>0</v>
      </c>
      <c r="O221" s="311"/>
      <c r="P221" s="311">
        <f t="shared" si="56"/>
        <v>0</v>
      </c>
      <c r="Q221" s="7"/>
      <c r="R221" s="7"/>
      <c r="S221" s="7"/>
      <c r="T221" s="7"/>
      <c r="U221" s="7" t="s">
        <v>2288</v>
      </c>
      <c r="V221" s="7" t="s">
        <v>2289</v>
      </c>
      <c r="W221" s="7" t="str">
        <f>Preencher!$B$3&amp;U221&amp;V221&amp;A221&amp;$W$6</f>
        <v>JARINU-FRG3171MQ.TUNEL DE CG (CONTINUO)</v>
      </c>
      <c r="X221" s="7" t="str">
        <f>Preencher!$B$3&amp;U221&amp;V221&amp;A221&amp;$X$6</f>
        <v>JARINU-FRG3171MQ.TUNEL DE CG (CONTINUO) (1)</v>
      </c>
      <c r="Y221" s="7" t="str">
        <f>Preencher!$B$3&amp;U221&amp;V221&amp;A221&amp;$Y$6</f>
        <v>JARINU-FRG3171MQ.TUNEL DE CG (CONTINUO) (2)</v>
      </c>
      <c r="Z221" s="7" t="str">
        <f>Preencher!$B$3&amp;U221&amp;V221&amp;A221&amp;$Z$6</f>
        <v>JARINU-FRG3171MQ.TUNEL DE CG (CONTINUO) (3)</v>
      </c>
      <c r="AA221" s="7" t="str">
        <f>Preencher!$B$3&amp;U221&amp;V221&amp;A221&amp;$AA$6</f>
        <v>JARINU-FRG3171MQ.TUNEL DE CG (ESTATICO)</v>
      </c>
      <c r="AB221" s="7" t="str">
        <f>Preencher!$B$3&amp;U221&amp;V221&amp;A221&amp;$AB$6</f>
        <v>JARINU-FRG3171MQ.TUNEL DE CG (ESTATICO) (1)</v>
      </c>
      <c r="AC221" s="7" t="str">
        <f>Preencher!$B$3&amp;U221&amp;V221&amp;A221&amp;$AC$6</f>
        <v>JARINU-FRG3171MQ.TUNEL DE CG (ESTATICO) (2)</v>
      </c>
      <c r="AD221" s="327">
        <f>IFERROR(SUMIF('BD Otimix'!A:A,'BD VOLUME'!X221,'BD Otimix'!O:O)+SUMIF('BD Otimix'!A:A,'BD VOLUME'!Y221,'BD Otimix'!O:O)+SUMIF('BD Otimix'!A:A,'BD VOLUME'!Z221,'BD Otimix'!O:O)+SUMIF('BD Otimix'!A:A,'BD VOLUME'!AA221,'BD Otimix'!O:O)+SUMIF('BD Otimix'!A:A,'BD VOLUME'!AB221,'BD Otimix'!O:O)+SUMIF('BD Otimix'!A:A,'BD VOLUME'!AC221,'BD Otimix'!O:O)+SUMIF('BD Otimix'!A:A,'BD VOLUME'!W221,'BD Otimix'!O:O),0)</f>
        <v>0</v>
      </c>
      <c r="AE221" s="327">
        <f t="shared" si="58"/>
        <v>0</v>
      </c>
      <c r="AF221" s="7" t="str">
        <f>Preencher!$B$3&amp;$U$8&amp;$V$8&amp;A221&amp;$AF$6</f>
        <v>JARINU-FRG3171MQ.GIROFREEZER</v>
      </c>
      <c r="AG221" s="7" t="str">
        <f>Preencher!$B$3&amp;$U$8&amp;$V$8&amp;A221&amp;$AG$6</f>
        <v>JARINU-FRG3171MQ.GIROFREEZER (1)</v>
      </c>
      <c r="AH221" s="7" t="str">
        <f>Preencher!$B$3&amp;$U$8&amp;$V$8&amp;A221&amp;$AH$6</f>
        <v>JARINU-FRG3171MQ.GIROFREEZER (2)</v>
      </c>
      <c r="AI221" s="7" t="str">
        <f>Preencher!$B$3&amp;$U$8&amp;$V$8&amp;A221&amp;$AI$6</f>
        <v>JARINU-FRG3171MQ.GIROFREEZER REV04</v>
      </c>
      <c r="AJ221" s="7" t="str">
        <f>Preencher!$B$3&amp;$U$8&amp;$V$8&amp;A221&amp;$AJ$6</f>
        <v>JARINU-FRG3171MQ.GIROFREEZER (3)</v>
      </c>
      <c r="AK221" s="327">
        <f>IFERROR(SUMIF('BD Otimix'!A:A,'BD VOLUME'!AG221,'BD Otimix'!O:O)+SUMIF('BD Otimix'!A:A,'BD VOLUME'!AH221,'BD Otimix'!O:O)+SUMIF('BD Otimix'!A:A,'BD VOLUME'!AI221,'BD Otimix'!O:O)+SUMIF('BD Otimix'!A:A,'BD VOLUME'!AJ221,'BD Otimix'!O:O)+SUMIF('BD Otimix'!A:A,'BD VOLUME'!AF221,'BD Otimix'!O:O),0)</f>
        <v>0</v>
      </c>
      <c r="AL221" s="7">
        <f t="shared" si="59"/>
        <v>0</v>
      </c>
    </row>
    <row r="222" spans="1:38">
      <c r="A222" s="324">
        <v>3467</v>
      </c>
      <c r="B222" s="324">
        <v>0</v>
      </c>
      <c r="C222" s="5" t="s">
        <v>1282</v>
      </c>
      <c r="D222" s="5" t="s">
        <v>939</v>
      </c>
      <c r="E222" s="5" t="s">
        <v>1196</v>
      </c>
      <c r="F222" s="132">
        <f>SUMIF('COLAR PLANO'!$A:$A,A222,'COLAR PLANO'!$D:$D)</f>
        <v>0</v>
      </c>
      <c r="G222" s="131">
        <f t="shared" si="57"/>
        <v>0</v>
      </c>
      <c r="H222" s="6">
        <v>0.7419</v>
      </c>
      <c r="I222" s="7">
        <f t="shared" si="60"/>
        <v>0</v>
      </c>
      <c r="J222" s="130">
        <f t="shared" si="61"/>
        <v>0</v>
      </c>
      <c r="K222" s="327">
        <v>0.6</v>
      </c>
      <c r="L222" s="324">
        <v>16</v>
      </c>
      <c r="M222" s="324">
        <v>9.6</v>
      </c>
      <c r="N222" s="7">
        <f t="shared" si="55"/>
        <v>0</v>
      </c>
      <c r="O222" s="311"/>
      <c r="P222" s="311">
        <f t="shared" si="56"/>
        <v>0</v>
      </c>
      <c r="Q222" s="7"/>
      <c r="R222" s="7"/>
      <c r="S222" s="7"/>
      <c r="T222" s="7"/>
      <c r="U222" s="7" t="s">
        <v>2288</v>
      </c>
      <c r="V222" s="7" t="s">
        <v>2289</v>
      </c>
      <c r="W222" s="7" t="str">
        <f>Preencher!$B$3&amp;U222&amp;V222&amp;A222&amp;$W$6</f>
        <v>JARINU-FRG3467MQ.TUNEL DE CG (CONTINUO)</v>
      </c>
      <c r="X222" s="7" t="str">
        <f>Preencher!$B$3&amp;U222&amp;V222&amp;A222&amp;$X$6</f>
        <v>JARINU-FRG3467MQ.TUNEL DE CG (CONTINUO) (1)</v>
      </c>
      <c r="Y222" s="7" t="str">
        <f>Preencher!$B$3&amp;U222&amp;V222&amp;A222&amp;$Y$6</f>
        <v>JARINU-FRG3467MQ.TUNEL DE CG (CONTINUO) (2)</v>
      </c>
      <c r="Z222" s="7" t="str">
        <f>Preencher!$B$3&amp;U222&amp;V222&amp;A222&amp;$Z$6</f>
        <v>JARINU-FRG3467MQ.TUNEL DE CG (CONTINUO) (3)</v>
      </c>
      <c r="AA222" s="7" t="str">
        <f>Preencher!$B$3&amp;U222&amp;V222&amp;A222&amp;$AA$6</f>
        <v>JARINU-FRG3467MQ.TUNEL DE CG (ESTATICO)</v>
      </c>
      <c r="AB222" s="7" t="str">
        <f>Preencher!$B$3&amp;U222&amp;V222&amp;A222&amp;$AB$6</f>
        <v>JARINU-FRG3467MQ.TUNEL DE CG (ESTATICO) (1)</v>
      </c>
      <c r="AC222" s="7" t="str">
        <f>Preencher!$B$3&amp;U222&amp;V222&amp;A222&amp;$AC$6</f>
        <v>JARINU-FRG3467MQ.TUNEL DE CG (ESTATICO) (2)</v>
      </c>
      <c r="AD222" s="327">
        <f>IFERROR(SUMIF('BD Otimix'!A:A,'BD VOLUME'!X222,'BD Otimix'!O:O)+SUMIF('BD Otimix'!A:A,'BD VOLUME'!Y222,'BD Otimix'!O:O)+SUMIF('BD Otimix'!A:A,'BD VOLUME'!Z222,'BD Otimix'!O:O)+SUMIF('BD Otimix'!A:A,'BD VOLUME'!AA222,'BD Otimix'!O:O)+SUMIF('BD Otimix'!A:A,'BD VOLUME'!AB222,'BD Otimix'!O:O)+SUMIF('BD Otimix'!A:A,'BD VOLUME'!AC222,'BD Otimix'!O:O)+SUMIF('BD Otimix'!A:A,'BD VOLUME'!W222,'BD Otimix'!O:O),0)</f>
        <v>0</v>
      </c>
      <c r="AE222" s="327">
        <f t="shared" si="58"/>
        <v>0</v>
      </c>
      <c r="AF222" s="7" t="str">
        <f>Preencher!$B$3&amp;$U$8&amp;$V$8&amp;A222&amp;$AF$6</f>
        <v>JARINU-FRG3467MQ.GIROFREEZER</v>
      </c>
      <c r="AG222" s="7" t="str">
        <f>Preencher!$B$3&amp;$U$8&amp;$V$8&amp;A222&amp;$AG$6</f>
        <v>JARINU-FRG3467MQ.GIROFREEZER (1)</v>
      </c>
      <c r="AH222" s="7" t="str">
        <f>Preencher!$B$3&amp;$U$8&amp;$V$8&amp;A222&amp;$AH$6</f>
        <v>JARINU-FRG3467MQ.GIROFREEZER (2)</v>
      </c>
      <c r="AI222" s="7" t="str">
        <f>Preencher!$B$3&amp;$U$8&amp;$V$8&amp;A222&amp;$AI$6</f>
        <v>JARINU-FRG3467MQ.GIROFREEZER REV04</v>
      </c>
      <c r="AJ222" s="7" t="str">
        <f>Preencher!$B$3&amp;$U$8&amp;$V$8&amp;A222&amp;$AJ$6</f>
        <v>JARINU-FRG3467MQ.GIROFREEZER (3)</v>
      </c>
      <c r="AK222" s="327">
        <f>IFERROR(SUMIF('BD Otimix'!A:A,'BD VOLUME'!AG222,'BD Otimix'!O:O)+SUMIF('BD Otimix'!A:A,'BD VOLUME'!AH222,'BD Otimix'!O:O)+SUMIF('BD Otimix'!A:A,'BD VOLUME'!AI222,'BD Otimix'!O:O)+SUMIF('BD Otimix'!A:A,'BD VOLUME'!AJ222,'BD Otimix'!O:O)+SUMIF('BD Otimix'!A:A,'BD VOLUME'!AF222,'BD Otimix'!O:O),0)</f>
        <v>0</v>
      </c>
      <c r="AL222" s="7">
        <f t="shared" si="59"/>
        <v>0</v>
      </c>
    </row>
    <row r="223" spans="1:38">
      <c r="A223" s="324">
        <v>950295</v>
      </c>
      <c r="B223" s="324">
        <v>0</v>
      </c>
      <c r="C223" s="5" t="s">
        <v>1283</v>
      </c>
      <c r="D223" s="5" t="s">
        <v>939</v>
      </c>
      <c r="E223" s="5" t="s">
        <v>1196</v>
      </c>
      <c r="F223" s="132">
        <f>SUMIF('COLAR PLANO'!$A:$A,A223,'COLAR PLANO'!$D:$D)</f>
        <v>0</v>
      </c>
      <c r="G223" s="131">
        <f t="shared" si="57"/>
        <v>0</v>
      </c>
      <c r="H223" s="6">
        <v>0.7419</v>
      </c>
      <c r="I223" s="7">
        <f t="shared" si="60"/>
        <v>0</v>
      </c>
      <c r="J223" s="130">
        <f t="shared" si="61"/>
        <v>0</v>
      </c>
      <c r="K223" s="327">
        <v>0.6</v>
      </c>
      <c r="L223" s="324">
        <v>16</v>
      </c>
      <c r="M223" s="324">
        <v>9.6</v>
      </c>
      <c r="N223" s="7">
        <f t="shared" si="55"/>
        <v>0</v>
      </c>
      <c r="O223" s="311"/>
      <c r="P223" s="311">
        <f t="shared" si="56"/>
        <v>0</v>
      </c>
      <c r="Q223" s="7"/>
      <c r="R223" s="7"/>
      <c r="S223" s="7"/>
      <c r="T223" s="7"/>
      <c r="U223" s="7" t="s">
        <v>2288</v>
      </c>
      <c r="V223" s="7" t="s">
        <v>2289</v>
      </c>
      <c r="W223" s="7" t="str">
        <f>Preencher!$B$3&amp;U223&amp;V223&amp;A223&amp;$W$6</f>
        <v>JARINU-FRG950295MQ.TUNEL DE CG (CONTINUO)</v>
      </c>
      <c r="X223" s="7" t="str">
        <f>Preencher!$B$3&amp;U223&amp;V223&amp;A223&amp;$X$6</f>
        <v>JARINU-FRG950295MQ.TUNEL DE CG (CONTINUO) (1)</v>
      </c>
      <c r="Y223" s="7" t="str">
        <f>Preencher!$B$3&amp;U223&amp;V223&amp;A223&amp;$Y$6</f>
        <v>JARINU-FRG950295MQ.TUNEL DE CG (CONTINUO) (2)</v>
      </c>
      <c r="Z223" s="7" t="str">
        <f>Preencher!$B$3&amp;U223&amp;V223&amp;A223&amp;$Z$6</f>
        <v>JARINU-FRG950295MQ.TUNEL DE CG (CONTINUO) (3)</v>
      </c>
      <c r="AA223" s="7" t="str">
        <f>Preencher!$B$3&amp;U223&amp;V223&amp;A223&amp;$AA$6</f>
        <v>JARINU-FRG950295MQ.TUNEL DE CG (ESTATICO)</v>
      </c>
      <c r="AB223" s="7" t="str">
        <f>Preencher!$B$3&amp;U223&amp;V223&amp;A223&amp;$AB$6</f>
        <v>JARINU-FRG950295MQ.TUNEL DE CG (ESTATICO) (1)</v>
      </c>
      <c r="AC223" s="7" t="str">
        <f>Preencher!$B$3&amp;U223&amp;V223&amp;A223&amp;$AC$6</f>
        <v>JARINU-FRG950295MQ.TUNEL DE CG (ESTATICO) (2)</v>
      </c>
      <c r="AD223" s="327">
        <f>IFERROR(SUMIF('BD Otimix'!A:A,'BD VOLUME'!X223,'BD Otimix'!O:O)+SUMIF('BD Otimix'!A:A,'BD VOLUME'!Y223,'BD Otimix'!O:O)+SUMIF('BD Otimix'!A:A,'BD VOLUME'!Z223,'BD Otimix'!O:O)+SUMIF('BD Otimix'!A:A,'BD VOLUME'!AA223,'BD Otimix'!O:O)+SUMIF('BD Otimix'!A:A,'BD VOLUME'!AB223,'BD Otimix'!O:O)+SUMIF('BD Otimix'!A:A,'BD VOLUME'!AC223,'BD Otimix'!O:O)+SUMIF('BD Otimix'!A:A,'BD VOLUME'!W223,'BD Otimix'!O:O),0)</f>
        <v>0</v>
      </c>
      <c r="AE223" s="327">
        <f t="shared" si="58"/>
        <v>0</v>
      </c>
      <c r="AF223" s="7" t="str">
        <f>Preencher!$B$3&amp;$U$8&amp;$V$8&amp;A223&amp;$AF$6</f>
        <v>JARINU-FRG950295MQ.GIROFREEZER</v>
      </c>
      <c r="AG223" s="7" t="str">
        <f>Preencher!$B$3&amp;$U$8&amp;$V$8&amp;A223&amp;$AG$6</f>
        <v>JARINU-FRG950295MQ.GIROFREEZER (1)</v>
      </c>
      <c r="AH223" s="7" t="str">
        <f>Preencher!$B$3&amp;$U$8&amp;$V$8&amp;A223&amp;$AH$6</f>
        <v>JARINU-FRG950295MQ.GIROFREEZER (2)</v>
      </c>
      <c r="AI223" s="7" t="str">
        <f>Preencher!$B$3&amp;$U$8&amp;$V$8&amp;A223&amp;$AI$6</f>
        <v>JARINU-FRG950295MQ.GIROFREEZER REV04</v>
      </c>
      <c r="AJ223" s="7" t="str">
        <f>Preencher!$B$3&amp;$U$8&amp;$V$8&amp;A223&amp;$AJ$6</f>
        <v>JARINU-FRG950295MQ.GIROFREEZER (3)</v>
      </c>
      <c r="AK223" s="327">
        <f>IFERROR(SUMIF('BD Otimix'!A:A,'BD VOLUME'!AG223,'BD Otimix'!O:O)+SUMIF('BD Otimix'!A:A,'BD VOLUME'!AH223,'BD Otimix'!O:O)+SUMIF('BD Otimix'!A:A,'BD VOLUME'!AI223,'BD Otimix'!O:O)+SUMIF('BD Otimix'!A:A,'BD VOLUME'!AJ223,'BD Otimix'!O:O)+SUMIF('BD Otimix'!A:A,'BD VOLUME'!AF223,'BD Otimix'!O:O),0)</f>
        <v>0</v>
      </c>
      <c r="AL223" s="7">
        <f t="shared" si="59"/>
        <v>0</v>
      </c>
    </row>
    <row r="224" spans="1:38">
      <c r="A224" s="324">
        <v>951674</v>
      </c>
      <c r="B224" s="324">
        <v>0</v>
      </c>
      <c r="C224" s="5" t="s">
        <v>1189</v>
      </c>
      <c r="D224" s="5" t="s">
        <v>939</v>
      </c>
      <c r="E224" s="5" t="s">
        <v>1196</v>
      </c>
      <c r="F224" s="132">
        <f>SUMIF('COLAR PLANO'!$A:$A,A224,'COLAR PLANO'!$D:$D)</f>
        <v>0</v>
      </c>
      <c r="G224" s="131">
        <f t="shared" si="57"/>
        <v>0</v>
      </c>
      <c r="H224" s="6">
        <v>0.7419</v>
      </c>
      <c r="I224" s="7">
        <f t="shared" si="60"/>
        <v>0</v>
      </c>
      <c r="J224" s="130">
        <f t="shared" si="61"/>
        <v>0</v>
      </c>
      <c r="K224" s="327">
        <v>1.3</v>
      </c>
      <c r="L224" s="324">
        <v>10</v>
      </c>
      <c r="M224" s="324">
        <v>13</v>
      </c>
      <c r="N224" s="7">
        <f t="shared" si="55"/>
        <v>0</v>
      </c>
      <c r="O224" s="311"/>
      <c r="P224" s="311">
        <f t="shared" si="56"/>
        <v>0</v>
      </c>
      <c r="Q224" s="7"/>
      <c r="R224" s="7"/>
      <c r="S224" s="7"/>
      <c r="T224" s="7"/>
      <c r="U224" s="7" t="s">
        <v>2288</v>
      </c>
      <c r="V224" s="7" t="s">
        <v>2289</v>
      </c>
      <c r="W224" s="7" t="str">
        <f>Preencher!$B$3&amp;U224&amp;V224&amp;A224&amp;$W$6</f>
        <v>JARINU-FRG951674MQ.TUNEL DE CG (CONTINUO)</v>
      </c>
      <c r="X224" s="7" t="str">
        <f>Preencher!$B$3&amp;U224&amp;V224&amp;A224&amp;$X$6</f>
        <v>JARINU-FRG951674MQ.TUNEL DE CG (CONTINUO) (1)</v>
      </c>
      <c r="Y224" s="7" t="str">
        <f>Preencher!$B$3&amp;U224&amp;V224&amp;A224&amp;$Y$6</f>
        <v>JARINU-FRG951674MQ.TUNEL DE CG (CONTINUO) (2)</v>
      </c>
      <c r="Z224" s="7" t="str">
        <f>Preencher!$B$3&amp;U224&amp;V224&amp;A224&amp;$Z$6</f>
        <v>JARINU-FRG951674MQ.TUNEL DE CG (CONTINUO) (3)</v>
      </c>
      <c r="AA224" s="7" t="str">
        <f>Preencher!$B$3&amp;U224&amp;V224&amp;A224&amp;$AA$6</f>
        <v>JARINU-FRG951674MQ.TUNEL DE CG (ESTATICO)</v>
      </c>
      <c r="AB224" s="7" t="str">
        <f>Preencher!$B$3&amp;U224&amp;V224&amp;A224&amp;$AB$6</f>
        <v>JARINU-FRG951674MQ.TUNEL DE CG (ESTATICO) (1)</v>
      </c>
      <c r="AC224" s="7" t="str">
        <f>Preencher!$B$3&amp;U224&amp;V224&amp;A224&amp;$AC$6</f>
        <v>JARINU-FRG951674MQ.TUNEL DE CG (ESTATICO) (2)</v>
      </c>
      <c r="AD224" s="327">
        <f>IFERROR(SUMIF('BD Otimix'!A:A,'BD VOLUME'!X224,'BD Otimix'!O:O)+SUMIF('BD Otimix'!A:A,'BD VOLUME'!Y224,'BD Otimix'!O:O)+SUMIF('BD Otimix'!A:A,'BD VOLUME'!Z224,'BD Otimix'!O:O)+SUMIF('BD Otimix'!A:A,'BD VOLUME'!AA224,'BD Otimix'!O:O)+SUMIF('BD Otimix'!A:A,'BD VOLUME'!AB224,'BD Otimix'!O:O)+SUMIF('BD Otimix'!A:A,'BD VOLUME'!AC224,'BD Otimix'!O:O)+SUMIF('BD Otimix'!A:A,'BD VOLUME'!W224,'BD Otimix'!O:O),0)</f>
        <v>0</v>
      </c>
      <c r="AE224" s="327">
        <f t="shared" si="58"/>
        <v>0</v>
      </c>
      <c r="AF224" s="7" t="str">
        <f>Preencher!$B$3&amp;$U$8&amp;$V$8&amp;A224&amp;$AF$6</f>
        <v>JARINU-FRG951674MQ.GIROFREEZER</v>
      </c>
      <c r="AG224" s="7" t="str">
        <f>Preencher!$B$3&amp;$U$8&amp;$V$8&amp;A224&amp;$AG$6</f>
        <v>JARINU-FRG951674MQ.GIROFREEZER (1)</v>
      </c>
      <c r="AH224" s="7" t="str">
        <f>Preencher!$B$3&amp;$U$8&amp;$V$8&amp;A224&amp;$AH$6</f>
        <v>JARINU-FRG951674MQ.GIROFREEZER (2)</v>
      </c>
      <c r="AI224" s="7" t="str">
        <f>Preencher!$B$3&amp;$U$8&amp;$V$8&amp;A224&amp;$AI$6</f>
        <v>JARINU-FRG951674MQ.GIROFREEZER REV04</v>
      </c>
      <c r="AJ224" s="7" t="str">
        <f>Preencher!$B$3&amp;$U$8&amp;$V$8&amp;A224&amp;$AJ$6</f>
        <v>JARINU-FRG951674MQ.GIROFREEZER (3)</v>
      </c>
      <c r="AK224" s="327">
        <f>IFERROR(SUMIF('BD Otimix'!A:A,'BD VOLUME'!AG224,'BD Otimix'!O:O)+SUMIF('BD Otimix'!A:A,'BD VOLUME'!AH224,'BD Otimix'!O:O)+SUMIF('BD Otimix'!A:A,'BD VOLUME'!AI224,'BD Otimix'!O:O)+SUMIF('BD Otimix'!A:A,'BD VOLUME'!AJ224,'BD Otimix'!O:O)+SUMIF('BD Otimix'!A:A,'BD VOLUME'!AF224,'BD Otimix'!O:O),0)</f>
        <v>0</v>
      </c>
      <c r="AL224" s="7">
        <f t="shared" si="59"/>
        <v>0</v>
      </c>
    </row>
    <row r="225" spans="1:38">
      <c r="A225" s="324">
        <v>951919</v>
      </c>
      <c r="B225" s="324">
        <v>0</v>
      </c>
      <c r="C225" s="5" t="s">
        <v>1273</v>
      </c>
      <c r="D225" s="5" t="s">
        <v>939</v>
      </c>
      <c r="E225" s="5" t="s">
        <v>1196</v>
      </c>
      <c r="F225" s="132">
        <f>SUMIF('COLAR PLANO'!$A:$A,A225,'COLAR PLANO'!$D:$D)</f>
        <v>0</v>
      </c>
      <c r="G225" s="131">
        <f t="shared" si="57"/>
        <v>0</v>
      </c>
      <c r="H225" s="6">
        <v>0.7419</v>
      </c>
      <c r="I225" s="7">
        <f t="shared" si="60"/>
        <v>0</v>
      </c>
      <c r="J225" s="130">
        <f t="shared" si="61"/>
        <v>0</v>
      </c>
      <c r="K225" s="327">
        <v>0.7</v>
      </c>
      <c r="L225" s="324">
        <v>16</v>
      </c>
      <c r="M225" s="324">
        <v>11.2</v>
      </c>
      <c r="N225" s="7">
        <f t="shared" si="55"/>
        <v>0</v>
      </c>
      <c r="O225" s="311"/>
      <c r="P225" s="311">
        <f t="shared" si="56"/>
        <v>0</v>
      </c>
      <c r="Q225" s="7"/>
      <c r="R225" s="7"/>
      <c r="S225" s="7"/>
      <c r="T225" s="7"/>
      <c r="U225" s="7" t="s">
        <v>2288</v>
      </c>
      <c r="V225" s="7" t="s">
        <v>2289</v>
      </c>
      <c r="W225" s="7" t="str">
        <f>Preencher!$B$3&amp;U225&amp;V225&amp;A225&amp;$W$6</f>
        <v>JARINU-FRG951919MQ.TUNEL DE CG (CONTINUO)</v>
      </c>
      <c r="X225" s="7" t="str">
        <f>Preencher!$B$3&amp;U225&amp;V225&amp;A225&amp;$X$6</f>
        <v>JARINU-FRG951919MQ.TUNEL DE CG (CONTINUO) (1)</v>
      </c>
      <c r="Y225" s="7" t="str">
        <f>Preencher!$B$3&amp;U225&amp;V225&amp;A225&amp;$Y$6</f>
        <v>JARINU-FRG951919MQ.TUNEL DE CG (CONTINUO) (2)</v>
      </c>
      <c r="Z225" s="7" t="str">
        <f>Preencher!$B$3&amp;U225&amp;V225&amp;A225&amp;$Z$6</f>
        <v>JARINU-FRG951919MQ.TUNEL DE CG (CONTINUO) (3)</v>
      </c>
      <c r="AA225" s="7" t="str">
        <f>Preencher!$B$3&amp;U225&amp;V225&amp;A225&amp;$AA$6</f>
        <v>JARINU-FRG951919MQ.TUNEL DE CG (ESTATICO)</v>
      </c>
      <c r="AB225" s="7" t="str">
        <f>Preencher!$B$3&amp;U225&amp;V225&amp;A225&amp;$AB$6</f>
        <v>JARINU-FRG951919MQ.TUNEL DE CG (ESTATICO) (1)</v>
      </c>
      <c r="AC225" s="7" t="str">
        <f>Preencher!$B$3&amp;U225&amp;V225&amp;A225&amp;$AC$6</f>
        <v>JARINU-FRG951919MQ.TUNEL DE CG (ESTATICO) (2)</v>
      </c>
      <c r="AD225" s="327">
        <f>IFERROR(SUMIF('BD Otimix'!A:A,'BD VOLUME'!X225,'BD Otimix'!O:O)+SUMIF('BD Otimix'!A:A,'BD VOLUME'!Y225,'BD Otimix'!O:O)+SUMIF('BD Otimix'!A:A,'BD VOLUME'!Z225,'BD Otimix'!O:O)+SUMIF('BD Otimix'!A:A,'BD VOLUME'!AA225,'BD Otimix'!O:O)+SUMIF('BD Otimix'!A:A,'BD VOLUME'!AB225,'BD Otimix'!O:O)+SUMIF('BD Otimix'!A:A,'BD VOLUME'!AC225,'BD Otimix'!O:O)+SUMIF('BD Otimix'!A:A,'BD VOLUME'!W225,'BD Otimix'!O:O),0)</f>
        <v>0</v>
      </c>
      <c r="AE225" s="327">
        <f t="shared" si="58"/>
        <v>0</v>
      </c>
      <c r="AF225" s="7" t="str">
        <f>Preencher!$B$3&amp;$U$8&amp;$V$8&amp;A225&amp;$AF$6</f>
        <v>JARINU-FRG951919MQ.GIROFREEZER</v>
      </c>
      <c r="AG225" s="7" t="str">
        <f>Preencher!$B$3&amp;$U$8&amp;$V$8&amp;A225&amp;$AG$6</f>
        <v>JARINU-FRG951919MQ.GIROFREEZER (1)</v>
      </c>
      <c r="AH225" s="7" t="str">
        <f>Preencher!$B$3&amp;$U$8&amp;$V$8&amp;A225&amp;$AH$6</f>
        <v>JARINU-FRG951919MQ.GIROFREEZER (2)</v>
      </c>
      <c r="AI225" s="7" t="str">
        <f>Preencher!$B$3&amp;$U$8&amp;$V$8&amp;A225&amp;$AI$6</f>
        <v>JARINU-FRG951919MQ.GIROFREEZER REV04</v>
      </c>
      <c r="AJ225" s="7" t="str">
        <f>Preencher!$B$3&amp;$U$8&amp;$V$8&amp;A225&amp;$AJ$6</f>
        <v>JARINU-FRG951919MQ.GIROFREEZER (3)</v>
      </c>
      <c r="AK225" s="327">
        <f>IFERROR(SUMIF('BD Otimix'!A:A,'BD VOLUME'!AG225,'BD Otimix'!O:O)+SUMIF('BD Otimix'!A:A,'BD VOLUME'!AH225,'BD Otimix'!O:O)+SUMIF('BD Otimix'!A:A,'BD VOLUME'!AI225,'BD Otimix'!O:O)+SUMIF('BD Otimix'!A:A,'BD VOLUME'!AJ225,'BD Otimix'!O:O)+SUMIF('BD Otimix'!A:A,'BD VOLUME'!AF225,'BD Otimix'!O:O),0)</f>
        <v>0</v>
      </c>
      <c r="AL225" s="7">
        <f t="shared" si="59"/>
        <v>0</v>
      </c>
    </row>
    <row r="226" spans="1:38">
      <c r="A226" s="324">
        <v>951929</v>
      </c>
      <c r="B226" s="324">
        <v>0</v>
      </c>
      <c r="C226" s="5" t="s">
        <v>1252</v>
      </c>
      <c r="D226" s="5" t="s">
        <v>939</v>
      </c>
      <c r="E226" s="5" t="s">
        <v>1196</v>
      </c>
      <c r="F226" s="132">
        <f>SUMIF('COLAR PLANO'!$A:$A,A226,'COLAR PLANO'!$D:$D)</f>
        <v>0</v>
      </c>
      <c r="G226" s="131">
        <f t="shared" si="57"/>
        <v>0</v>
      </c>
      <c r="H226" s="6">
        <v>0.7419</v>
      </c>
      <c r="I226" s="7">
        <f t="shared" si="60"/>
        <v>0</v>
      </c>
      <c r="J226" s="130">
        <f t="shared" si="61"/>
        <v>0</v>
      </c>
      <c r="K226" s="327">
        <v>1.3</v>
      </c>
      <c r="L226" s="324">
        <v>10</v>
      </c>
      <c r="M226" s="324">
        <v>13</v>
      </c>
      <c r="N226" s="7">
        <f t="shared" si="55"/>
        <v>0</v>
      </c>
      <c r="O226" s="311"/>
      <c r="P226" s="311">
        <f t="shared" si="56"/>
        <v>0</v>
      </c>
      <c r="Q226" s="7"/>
      <c r="R226" s="7"/>
      <c r="S226" s="7"/>
      <c r="T226" s="7"/>
      <c r="U226" s="7" t="s">
        <v>2288</v>
      </c>
      <c r="V226" s="7" t="s">
        <v>2289</v>
      </c>
      <c r="W226" s="7" t="str">
        <f>Preencher!$B$3&amp;U226&amp;V226&amp;A226&amp;$W$6</f>
        <v>JARINU-FRG951929MQ.TUNEL DE CG (CONTINUO)</v>
      </c>
      <c r="X226" s="7" t="str">
        <f>Preencher!$B$3&amp;U226&amp;V226&amp;A226&amp;$X$6</f>
        <v>JARINU-FRG951929MQ.TUNEL DE CG (CONTINUO) (1)</v>
      </c>
      <c r="Y226" s="7" t="str">
        <f>Preencher!$B$3&amp;U226&amp;V226&amp;A226&amp;$Y$6</f>
        <v>JARINU-FRG951929MQ.TUNEL DE CG (CONTINUO) (2)</v>
      </c>
      <c r="Z226" s="7" t="str">
        <f>Preencher!$B$3&amp;U226&amp;V226&amp;A226&amp;$Z$6</f>
        <v>JARINU-FRG951929MQ.TUNEL DE CG (CONTINUO) (3)</v>
      </c>
      <c r="AA226" s="7" t="str">
        <f>Preencher!$B$3&amp;U226&amp;V226&amp;A226&amp;$AA$6</f>
        <v>JARINU-FRG951929MQ.TUNEL DE CG (ESTATICO)</v>
      </c>
      <c r="AB226" s="7" t="str">
        <f>Preencher!$B$3&amp;U226&amp;V226&amp;A226&amp;$AB$6</f>
        <v>JARINU-FRG951929MQ.TUNEL DE CG (ESTATICO) (1)</v>
      </c>
      <c r="AC226" s="7" t="str">
        <f>Preencher!$B$3&amp;U226&amp;V226&amp;A226&amp;$AC$6</f>
        <v>JARINU-FRG951929MQ.TUNEL DE CG (ESTATICO) (2)</v>
      </c>
      <c r="AD226" s="327">
        <f>IFERROR(SUMIF('BD Otimix'!A:A,'BD VOLUME'!X226,'BD Otimix'!O:O)+SUMIF('BD Otimix'!A:A,'BD VOLUME'!Y226,'BD Otimix'!O:O)+SUMIF('BD Otimix'!A:A,'BD VOLUME'!Z226,'BD Otimix'!O:O)+SUMIF('BD Otimix'!A:A,'BD VOLUME'!AA226,'BD Otimix'!O:O)+SUMIF('BD Otimix'!A:A,'BD VOLUME'!AB226,'BD Otimix'!O:O)+SUMIF('BD Otimix'!A:A,'BD VOLUME'!AC226,'BD Otimix'!O:O)+SUMIF('BD Otimix'!A:A,'BD VOLUME'!W226,'BD Otimix'!O:O),0)</f>
        <v>0</v>
      </c>
      <c r="AE226" s="327">
        <f t="shared" si="58"/>
        <v>0</v>
      </c>
      <c r="AF226" s="7" t="str">
        <f>Preencher!$B$3&amp;$U$8&amp;$V$8&amp;A226&amp;$AF$6</f>
        <v>JARINU-FRG951929MQ.GIROFREEZER</v>
      </c>
      <c r="AG226" s="7" t="str">
        <f>Preencher!$B$3&amp;$U$8&amp;$V$8&amp;A226&amp;$AG$6</f>
        <v>JARINU-FRG951929MQ.GIROFREEZER (1)</v>
      </c>
      <c r="AH226" s="7" t="str">
        <f>Preencher!$B$3&amp;$U$8&amp;$V$8&amp;A226&amp;$AH$6</f>
        <v>JARINU-FRG951929MQ.GIROFREEZER (2)</v>
      </c>
      <c r="AI226" s="7" t="str">
        <f>Preencher!$B$3&amp;$U$8&amp;$V$8&amp;A226&amp;$AI$6</f>
        <v>JARINU-FRG951929MQ.GIROFREEZER REV04</v>
      </c>
      <c r="AJ226" s="7" t="str">
        <f>Preencher!$B$3&amp;$U$8&amp;$V$8&amp;A226&amp;$AJ$6</f>
        <v>JARINU-FRG951929MQ.GIROFREEZER (3)</v>
      </c>
      <c r="AK226" s="327">
        <f>IFERROR(SUMIF('BD Otimix'!A:A,'BD VOLUME'!AG226,'BD Otimix'!O:O)+SUMIF('BD Otimix'!A:A,'BD VOLUME'!AH226,'BD Otimix'!O:O)+SUMIF('BD Otimix'!A:A,'BD VOLUME'!AI226,'BD Otimix'!O:O)+SUMIF('BD Otimix'!A:A,'BD VOLUME'!AJ226,'BD Otimix'!O:O)+SUMIF('BD Otimix'!A:A,'BD VOLUME'!AF226,'BD Otimix'!O:O),0)</f>
        <v>0</v>
      </c>
      <c r="AL226" s="7">
        <f t="shared" si="59"/>
        <v>0</v>
      </c>
    </row>
    <row r="227" spans="1:38">
      <c r="A227" s="324">
        <v>951988</v>
      </c>
      <c r="B227" s="324">
        <v>0</v>
      </c>
      <c r="C227" s="5" t="s">
        <v>1189</v>
      </c>
      <c r="D227" s="5" t="s">
        <v>939</v>
      </c>
      <c r="E227" s="5" t="s">
        <v>1196</v>
      </c>
      <c r="F227" s="132">
        <f>SUMIF('COLAR PLANO'!$A:$A,A227,'COLAR PLANO'!$D:$D)</f>
        <v>0</v>
      </c>
      <c r="G227" s="131">
        <f t="shared" si="57"/>
        <v>0</v>
      </c>
      <c r="H227" s="6">
        <v>0.7419</v>
      </c>
      <c r="I227" s="7">
        <f t="shared" si="60"/>
        <v>0</v>
      </c>
      <c r="J227" s="130">
        <f t="shared" si="61"/>
        <v>0</v>
      </c>
      <c r="K227" s="327">
        <v>1.3</v>
      </c>
      <c r="L227" s="324">
        <v>10</v>
      </c>
      <c r="M227" s="324">
        <v>13</v>
      </c>
      <c r="N227" s="7">
        <f t="shared" si="55"/>
        <v>0</v>
      </c>
      <c r="O227" s="311"/>
      <c r="P227" s="311">
        <f t="shared" si="56"/>
        <v>0</v>
      </c>
      <c r="Q227" s="7"/>
      <c r="R227" s="7"/>
      <c r="S227" s="7"/>
      <c r="T227" s="7"/>
      <c r="U227" s="7" t="s">
        <v>2288</v>
      </c>
      <c r="V227" s="7" t="s">
        <v>2289</v>
      </c>
      <c r="W227" s="7" t="str">
        <f>Preencher!$B$3&amp;U227&amp;V227&amp;A227&amp;$W$6</f>
        <v>JARINU-FRG951988MQ.TUNEL DE CG (CONTINUO)</v>
      </c>
      <c r="X227" s="7" t="str">
        <f>Preencher!$B$3&amp;U227&amp;V227&amp;A227&amp;$X$6</f>
        <v>JARINU-FRG951988MQ.TUNEL DE CG (CONTINUO) (1)</v>
      </c>
      <c r="Y227" s="7" t="str">
        <f>Preencher!$B$3&amp;U227&amp;V227&amp;A227&amp;$Y$6</f>
        <v>JARINU-FRG951988MQ.TUNEL DE CG (CONTINUO) (2)</v>
      </c>
      <c r="Z227" s="7" t="str">
        <f>Preencher!$B$3&amp;U227&amp;V227&amp;A227&amp;$Z$6</f>
        <v>JARINU-FRG951988MQ.TUNEL DE CG (CONTINUO) (3)</v>
      </c>
      <c r="AA227" s="7" t="str">
        <f>Preencher!$B$3&amp;U227&amp;V227&amp;A227&amp;$AA$6</f>
        <v>JARINU-FRG951988MQ.TUNEL DE CG (ESTATICO)</v>
      </c>
      <c r="AB227" s="7" t="str">
        <f>Preencher!$B$3&amp;U227&amp;V227&amp;A227&amp;$AB$6</f>
        <v>JARINU-FRG951988MQ.TUNEL DE CG (ESTATICO) (1)</v>
      </c>
      <c r="AC227" s="7" t="str">
        <f>Preencher!$B$3&amp;U227&amp;V227&amp;A227&amp;$AC$6</f>
        <v>JARINU-FRG951988MQ.TUNEL DE CG (ESTATICO) (2)</v>
      </c>
      <c r="AD227" s="327">
        <f>IFERROR(SUMIF('BD Otimix'!A:A,'BD VOLUME'!X227,'BD Otimix'!O:O)+SUMIF('BD Otimix'!A:A,'BD VOLUME'!Y227,'BD Otimix'!O:O)+SUMIF('BD Otimix'!A:A,'BD VOLUME'!Z227,'BD Otimix'!O:O)+SUMIF('BD Otimix'!A:A,'BD VOLUME'!AA227,'BD Otimix'!O:O)+SUMIF('BD Otimix'!A:A,'BD VOLUME'!AB227,'BD Otimix'!O:O)+SUMIF('BD Otimix'!A:A,'BD VOLUME'!AC227,'BD Otimix'!O:O)+SUMIF('BD Otimix'!A:A,'BD VOLUME'!W227,'BD Otimix'!O:O),0)</f>
        <v>0</v>
      </c>
      <c r="AE227" s="327">
        <f t="shared" si="58"/>
        <v>0</v>
      </c>
      <c r="AF227" s="7" t="str">
        <f>Preencher!$B$3&amp;$U$8&amp;$V$8&amp;A227&amp;$AF$6</f>
        <v>JARINU-FRG951988MQ.GIROFREEZER</v>
      </c>
      <c r="AG227" s="7" t="str">
        <f>Preencher!$B$3&amp;$U$8&amp;$V$8&amp;A227&amp;$AG$6</f>
        <v>JARINU-FRG951988MQ.GIROFREEZER (1)</v>
      </c>
      <c r="AH227" s="7" t="str">
        <f>Preencher!$B$3&amp;$U$8&amp;$V$8&amp;A227&amp;$AH$6</f>
        <v>JARINU-FRG951988MQ.GIROFREEZER (2)</v>
      </c>
      <c r="AI227" s="7" t="str">
        <f>Preencher!$B$3&amp;$U$8&amp;$V$8&amp;A227&amp;$AI$6</f>
        <v>JARINU-FRG951988MQ.GIROFREEZER REV04</v>
      </c>
      <c r="AJ227" s="7" t="str">
        <f>Preencher!$B$3&amp;$U$8&amp;$V$8&amp;A227&amp;$AJ$6</f>
        <v>JARINU-FRG951988MQ.GIROFREEZER (3)</v>
      </c>
      <c r="AK227" s="327">
        <f>IFERROR(SUMIF('BD Otimix'!A:A,'BD VOLUME'!AG227,'BD Otimix'!O:O)+SUMIF('BD Otimix'!A:A,'BD VOLUME'!AH227,'BD Otimix'!O:O)+SUMIF('BD Otimix'!A:A,'BD VOLUME'!AI227,'BD Otimix'!O:O)+SUMIF('BD Otimix'!A:A,'BD VOLUME'!AJ227,'BD Otimix'!O:O)+SUMIF('BD Otimix'!A:A,'BD VOLUME'!AF227,'BD Otimix'!O:O),0)</f>
        <v>0</v>
      </c>
      <c r="AL227" s="7">
        <f t="shared" si="59"/>
        <v>0</v>
      </c>
    </row>
    <row r="228" spans="1:38">
      <c r="A228" s="324">
        <v>952299</v>
      </c>
      <c r="B228" s="324">
        <v>0</v>
      </c>
      <c r="C228" s="5" t="s">
        <v>1274</v>
      </c>
      <c r="D228" s="5" t="s">
        <v>939</v>
      </c>
      <c r="E228" s="5" t="s">
        <v>1196</v>
      </c>
      <c r="F228" s="132">
        <f>SUMIF('COLAR PLANO'!$A:$A,A228,'COLAR PLANO'!$D:$D)</f>
        <v>0</v>
      </c>
      <c r="G228" s="131">
        <f t="shared" si="57"/>
        <v>0</v>
      </c>
      <c r="H228" s="6">
        <v>0.7419</v>
      </c>
      <c r="I228" s="7">
        <f t="shared" si="60"/>
        <v>0</v>
      </c>
      <c r="J228" s="130">
        <f t="shared" si="61"/>
        <v>0</v>
      </c>
      <c r="K228" s="327">
        <v>0.8</v>
      </c>
      <c r="L228" s="324">
        <v>10</v>
      </c>
      <c r="M228" s="324">
        <v>8</v>
      </c>
      <c r="N228" s="7">
        <f t="shared" si="55"/>
        <v>0</v>
      </c>
      <c r="O228" s="311"/>
      <c r="P228" s="311">
        <f t="shared" si="56"/>
        <v>0</v>
      </c>
      <c r="Q228" s="7"/>
      <c r="R228" s="7"/>
      <c r="S228" s="7"/>
      <c r="T228" s="7"/>
      <c r="U228" s="7" t="s">
        <v>2288</v>
      </c>
      <c r="V228" s="7" t="s">
        <v>2289</v>
      </c>
      <c r="W228" s="7" t="str">
        <f>Preencher!$B$3&amp;U228&amp;V228&amp;A228&amp;$W$6</f>
        <v>JARINU-FRG952299MQ.TUNEL DE CG (CONTINUO)</v>
      </c>
      <c r="X228" s="7" t="str">
        <f>Preencher!$B$3&amp;U228&amp;V228&amp;A228&amp;$X$6</f>
        <v>JARINU-FRG952299MQ.TUNEL DE CG (CONTINUO) (1)</v>
      </c>
      <c r="Y228" s="7" t="str">
        <f>Preencher!$B$3&amp;U228&amp;V228&amp;A228&amp;$Y$6</f>
        <v>JARINU-FRG952299MQ.TUNEL DE CG (CONTINUO) (2)</v>
      </c>
      <c r="Z228" s="7" t="str">
        <f>Preencher!$B$3&amp;U228&amp;V228&amp;A228&amp;$Z$6</f>
        <v>JARINU-FRG952299MQ.TUNEL DE CG (CONTINUO) (3)</v>
      </c>
      <c r="AA228" s="7" t="str">
        <f>Preencher!$B$3&amp;U228&amp;V228&amp;A228&amp;$AA$6</f>
        <v>JARINU-FRG952299MQ.TUNEL DE CG (ESTATICO)</v>
      </c>
      <c r="AB228" s="7" t="str">
        <f>Preencher!$B$3&amp;U228&amp;V228&amp;A228&amp;$AB$6</f>
        <v>JARINU-FRG952299MQ.TUNEL DE CG (ESTATICO) (1)</v>
      </c>
      <c r="AC228" s="7" t="str">
        <f>Preencher!$B$3&amp;U228&amp;V228&amp;A228&amp;$AC$6</f>
        <v>JARINU-FRG952299MQ.TUNEL DE CG (ESTATICO) (2)</v>
      </c>
      <c r="AD228" s="327">
        <f>IFERROR(SUMIF('BD Otimix'!A:A,'BD VOLUME'!X228,'BD Otimix'!O:O)+SUMIF('BD Otimix'!A:A,'BD VOLUME'!Y228,'BD Otimix'!O:O)+SUMIF('BD Otimix'!A:A,'BD VOLUME'!Z228,'BD Otimix'!O:O)+SUMIF('BD Otimix'!A:A,'BD VOLUME'!AA228,'BD Otimix'!O:O)+SUMIF('BD Otimix'!A:A,'BD VOLUME'!AB228,'BD Otimix'!O:O)+SUMIF('BD Otimix'!A:A,'BD VOLUME'!AC228,'BD Otimix'!O:O)+SUMIF('BD Otimix'!A:A,'BD VOLUME'!W228,'BD Otimix'!O:O),0)</f>
        <v>0</v>
      </c>
      <c r="AE228" s="327">
        <f t="shared" si="58"/>
        <v>0</v>
      </c>
      <c r="AF228" s="7" t="str">
        <f>Preencher!$B$3&amp;$U$8&amp;$V$8&amp;A228&amp;$AF$6</f>
        <v>JARINU-FRG952299MQ.GIROFREEZER</v>
      </c>
      <c r="AG228" s="7" t="str">
        <f>Preencher!$B$3&amp;$U$8&amp;$V$8&amp;A228&amp;$AG$6</f>
        <v>JARINU-FRG952299MQ.GIROFREEZER (1)</v>
      </c>
      <c r="AH228" s="7" t="str">
        <f>Preencher!$B$3&amp;$U$8&amp;$V$8&amp;A228&amp;$AH$6</f>
        <v>JARINU-FRG952299MQ.GIROFREEZER (2)</v>
      </c>
      <c r="AI228" s="7" t="str">
        <f>Preencher!$B$3&amp;$U$8&amp;$V$8&amp;A228&amp;$AI$6</f>
        <v>JARINU-FRG952299MQ.GIROFREEZER REV04</v>
      </c>
      <c r="AJ228" s="7" t="str">
        <f>Preencher!$B$3&amp;$U$8&amp;$V$8&amp;A228&amp;$AJ$6</f>
        <v>JARINU-FRG952299MQ.GIROFREEZER (3)</v>
      </c>
      <c r="AK228" s="327">
        <f>IFERROR(SUMIF('BD Otimix'!A:A,'BD VOLUME'!AG228,'BD Otimix'!O:O)+SUMIF('BD Otimix'!A:A,'BD VOLUME'!AH228,'BD Otimix'!O:O)+SUMIF('BD Otimix'!A:A,'BD VOLUME'!AI228,'BD Otimix'!O:O)+SUMIF('BD Otimix'!A:A,'BD VOLUME'!AJ228,'BD Otimix'!O:O)+SUMIF('BD Otimix'!A:A,'BD VOLUME'!AF228,'BD Otimix'!O:O),0)</f>
        <v>0</v>
      </c>
      <c r="AL228" s="7">
        <f t="shared" si="59"/>
        <v>0</v>
      </c>
    </row>
    <row r="229" spans="1:38">
      <c r="A229" s="324">
        <v>952359</v>
      </c>
      <c r="B229" s="324">
        <v>0</v>
      </c>
      <c r="C229" s="5" t="s">
        <v>1275</v>
      </c>
      <c r="D229" s="5" t="s">
        <v>939</v>
      </c>
      <c r="E229" s="5" t="s">
        <v>1196</v>
      </c>
      <c r="F229" s="132">
        <f>SUMIF('COLAR PLANO'!$A:$A,A229,'COLAR PLANO'!$D:$D)</f>
        <v>0</v>
      </c>
      <c r="G229" s="131">
        <f t="shared" si="57"/>
        <v>0</v>
      </c>
      <c r="H229" s="6">
        <v>0.7419</v>
      </c>
      <c r="I229" s="7">
        <f t="shared" si="60"/>
        <v>0</v>
      </c>
      <c r="J229" s="130">
        <f t="shared" si="61"/>
        <v>0</v>
      </c>
      <c r="K229" s="327">
        <v>0.9</v>
      </c>
      <c r="L229" s="324">
        <v>10</v>
      </c>
      <c r="M229" s="324">
        <v>9</v>
      </c>
      <c r="N229" s="7">
        <f t="shared" si="55"/>
        <v>0</v>
      </c>
      <c r="O229" s="311"/>
      <c r="P229" s="311">
        <f t="shared" si="56"/>
        <v>0</v>
      </c>
      <c r="Q229" s="7"/>
      <c r="R229" s="7"/>
      <c r="S229" s="7"/>
      <c r="T229" s="7"/>
      <c r="U229" s="7" t="s">
        <v>2288</v>
      </c>
      <c r="V229" s="7" t="s">
        <v>2289</v>
      </c>
      <c r="W229" s="7" t="str">
        <f>Preencher!$B$3&amp;U229&amp;V229&amp;A229&amp;$W$6</f>
        <v>JARINU-FRG952359MQ.TUNEL DE CG (CONTINUO)</v>
      </c>
      <c r="X229" s="7" t="str">
        <f>Preencher!$B$3&amp;U229&amp;V229&amp;A229&amp;$X$6</f>
        <v>JARINU-FRG952359MQ.TUNEL DE CG (CONTINUO) (1)</v>
      </c>
      <c r="Y229" s="7" t="str">
        <f>Preencher!$B$3&amp;U229&amp;V229&amp;A229&amp;$Y$6</f>
        <v>JARINU-FRG952359MQ.TUNEL DE CG (CONTINUO) (2)</v>
      </c>
      <c r="Z229" s="7" t="str">
        <f>Preencher!$B$3&amp;U229&amp;V229&amp;A229&amp;$Z$6</f>
        <v>JARINU-FRG952359MQ.TUNEL DE CG (CONTINUO) (3)</v>
      </c>
      <c r="AA229" s="7" t="str">
        <f>Preencher!$B$3&amp;U229&amp;V229&amp;A229&amp;$AA$6</f>
        <v>JARINU-FRG952359MQ.TUNEL DE CG (ESTATICO)</v>
      </c>
      <c r="AB229" s="7" t="str">
        <f>Preencher!$B$3&amp;U229&amp;V229&amp;A229&amp;$AB$6</f>
        <v>JARINU-FRG952359MQ.TUNEL DE CG (ESTATICO) (1)</v>
      </c>
      <c r="AC229" s="7" t="str">
        <f>Preencher!$B$3&amp;U229&amp;V229&amp;A229&amp;$AC$6</f>
        <v>JARINU-FRG952359MQ.TUNEL DE CG (ESTATICO) (2)</v>
      </c>
      <c r="AD229" s="327">
        <f>IFERROR(SUMIF('BD Otimix'!A:A,'BD VOLUME'!X229,'BD Otimix'!O:O)+SUMIF('BD Otimix'!A:A,'BD VOLUME'!Y229,'BD Otimix'!O:O)+SUMIF('BD Otimix'!A:A,'BD VOLUME'!Z229,'BD Otimix'!O:O)+SUMIF('BD Otimix'!A:A,'BD VOLUME'!AA229,'BD Otimix'!O:O)+SUMIF('BD Otimix'!A:A,'BD VOLUME'!AB229,'BD Otimix'!O:O)+SUMIF('BD Otimix'!A:A,'BD VOLUME'!AC229,'BD Otimix'!O:O)+SUMIF('BD Otimix'!A:A,'BD VOLUME'!W229,'BD Otimix'!O:O),0)</f>
        <v>0</v>
      </c>
      <c r="AE229" s="327">
        <f t="shared" si="58"/>
        <v>0</v>
      </c>
      <c r="AF229" s="7" t="str">
        <f>Preencher!$B$3&amp;$U$8&amp;$V$8&amp;A229&amp;$AF$6</f>
        <v>JARINU-FRG952359MQ.GIROFREEZER</v>
      </c>
      <c r="AG229" s="7" t="str">
        <f>Preencher!$B$3&amp;$U$8&amp;$V$8&amp;A229&amp;$AG$6</f>
        <v>JARINU-FRG952359MQ.GIROFREEZER (1)</v>
      </c>
      <c r="AH229" s="7" t="str">
        <f>Preencher!$B$3&amp;$U$8&amp;$V$8&amp;A229&amp;$AH$6</f>
        <v>JARINU-FRG952359MQ.GIROFREEZER (2)</v>
      </c>
      <c r="AI229" s="7" t="str">
        <f>Preencher!$B$3&amp;$U$8&amp;$V$8&amp;A229&amp;$AI$6</f>
        <v>JARINU-FRG952359MQ.GIROFREEZER REV04</v>
      </c>
      <c r="AJ229" s="7" t="str">
        <f>Preencher!$B$3&amp;$U$8&amp;$V$8&amp;A229&amp;$AJ$6</f>
        <v>JARINU-FRG952359MQ.GIROFREEZER (3)</v>
      </c>
      <c r="AK229" s="327">
        <f>IFERROR(SUMIF('BD Otimix'!A:A,'BD VOLUME'!AG229,'BD Otimix'!O:O)+SUMIF('BD Otimix'!A:A,'BD VOLUME'!AH229,'BD Otimix'!O:O)+SUMIF('BD Otimix'!A:A,'BD VOLUME'!AI229,'BD Otimix'!O:O)+SUMIF('BD Otimix'!A:A,'BD VOLUME'!AJ229,'BD Otimix'!O:O)+SUMIF('BD Otimix'!A:A,'BD VOLUME'!AF229,'BD Otimix'!O:O),0)</f>
        <v>0</v>
      </c>
      <c r="AL229" s="7">
        <f t="shared" si="59"/>
        <v>0</v>
      </c>
    </row>
    <row r="230" spans="1:38">
      <c r="A230" s="324">
        <v>952380</v>
      </c>
      <c r="B230" s="324">
        <v>0</v>
      </c>
      <c r="C230" s="5" t="s">
        <v>1276</v>
      </c>
      <c r="D230" s="5" t="s">
        <v>939</v>
      </c>
      <c r="E230" s="5" t="s">
        <v>1196</v>
      </c>
      <c r="F230" s="132">
        <f>SUMIF('COLAR PLANO'!$A:$A,A230,'COLAR PLANO'!$D:$D)</f>
        <v>0</v>
      </c>
      <c r="G230" s="131">
        <f t="shared" si="57"/>
        <v>0</v>
      </c>
      <c r="H230" s="6">
        <v>0.7419</v>
      </c>
      <c r="I230" s="7">
        <f t="shared" si="60"/>
        <v>0</v>
      </c>
      <c r="J230" s="130">
        <f t="shared" si="61"/>
        <v>0</v>
      </c>
      <c r="K230" s="327">
        <v>1</v>
      </c>
      <c r="L230" s="324">
        <v>10</v>
      </c>
      <c r="M230" s="324">
        <v>10</v>
      </c>
      <c r="N230" s="7">
        <f t="shared" si="55"/>
        <v>0</v>
      </c>
      <c r="O230" s="311"/>
      <c r="P230" s="311">
        <f t="shared" si="56"/>
        <v>0</v>
      </c>
      <c r="Q230" s="7"/>
      <c r="R230" s="7"/>
      <c r="S230" s="7"/>
      <c r="T230" s="7"/>
      <c r="U230" s="7" t="s">
        <v>2288</v>
      </c>
      <c r="V230" s="7" t="s">
        <v>2289</v>
      </c>
      <c r="W230" s="7" t="str">
        <f>Preencher!$B$3&amp;U230&amp;V230&amp;A230&amp;$W$6</f>
        <v>JARINU-FRG952380MQ.TUNEL DE CG (CONTINUO)</v>
      </c>
      <c r="X230" s="7" t="str">
        <f>Preencher!$B$3&amp;U230&amp;V230&amp;A230&amp;$X$6</f>
        <v>JARINU-FRG952380MQ.TUNEL DE CG (CONTINUO) (1)</v>
      </c>
      <c r="Y230" s="7" t="str">
        <f>Preencher!$B$3&amp;U230&amp;V230&amp;A230&amp;$Y$6</f>
        <v>JARINU-FRG952380MQ.TUNEL DE CG (CONTINUO) (2)</v>
      </c>
      <c r="Z230" s="7" t="str">
        <f>Preencher!$B$3&amp;U230&amp;V230&amp;A230&amp;$Z$6</f>
        <v>JARINU-FRG952380MQ.TUNEL DE CG (CONTINUO) (3)</v>
      </c>
      <c r="AA230" s="7" t="str">
        <f>Preencher!$B$3&amp;U230&amp;V230&amp;A230&amp;$AA$6</f>
        <v>JARINU-FRG952380MQ.TUNEL DE CG (ESTATICO)</v>
      </c>
      <c r="AB230" s="7" t="str">
        <f>Preencher!$B$3&amp;U230&amp;V230&amp;A230&amp;$AB$6</f>
        <v>JARINU-FRG952380MQ.TUNEL DE CG (ESTATICO) (1)</v>
      </c>
      <c r="AC230" s="7" t="str">
        <f>Preencher!$B$3&amp;U230&amp;V230&amp;A230&amp;$AC$6</f>
        <v>JARINU-FRG952380MQ.TUNEL DE CG (ESTATICO) (2)</v>
      </c>
      <c r="AD230" s="327">
        <f>IFERROR(SUMIF('BD Otimix'!A:A,'BD VOLUME'!X230,'BD Otimix'!O:O)+SUMIF('BD Otimix'!A:A,'BD VOLUME'!Y230,'BD Otimix'!O:O)+SUMIF('BD Otimix'!A:A,'BD VOLUME'!Z230,'BD Otimix'!O:O)+SUMIF('BD Otimix'!A:A,'BD VOLUME'!AA230,'BD Otimix'!O:O)+SUMIF('BD Otimix'!A:A,'BD VOLUME'!AB230,'BD Otimix'!O:O)+SUMIF('BD Otimix'!A:A,'BD VOLUME'!AC230,'BD Otimix'!O:O)+SUMIF('BD Otimix'!A:A,'BD VOLUME'!W230,'BD Otimix'!O:O),0)</f>
        <v>0</v>
      </c>
      <c r="AE230" s="327">
        <f t="shared" si="58"/>
        <v>0</v>
      </c>
      <c r="AF230" s="7" t="str">
        <f>Preencher!$B$3&amp;$U$8&amp;$V$8&amp;A230&amp;$AF$6</f>
        <v>JARINU-FRG952380MQ.GIROFREEZER</v>
      </c>
      <c r="AG230" s="7" t="str">
        <f>Preencher!$B$3&amp;$U$8&amp;$V$8&amp;A230&amp;$AG$6</f>
        <v>JARINU-FRG952380MQ.GIROFREEZER (1)</v>
      </c>
      <c r="AH230" s="7" t="str">
        <f>Preencher!$B$3&amp;$U$8&amp;$V$8&amp;A230&amp;$AH$6</f>
        <v>JARINU-FRG952380MQ.GIROFREEZER (2)</v>
      </c>
      <c r="AI230" s="7" t="str">
        <f>Preencher!$B$3&amp;$U$8&amp;$V$8&amp;A230&amp;$AI$6</f>
        <v>JARINU-FRG952380MQ.GIROFREEZER REV04</v>
      </c>
      <c r="AJ230" s="7" t="str">
        <f>Preencher!$B$3&amp;$U$8&amp;$V$8&amp;A230&amp;$AJ$6</f>
        <v>JARINU-FRG952380MQ.GIROFREEZER (3)</v>
      </c>
      <c r="AK230" s="327">
        <f>IFERROR(SUMIF('BD Otimix'!A:A,'BD VOLUME'!AG230,'BD Otimix'!O:O)+SUMIF('BD Otimix'!A:A,'BD VOLUME'!AH230,'BD Otimix'!O:O)+SUMIF('BD Otimix'!A:A,'BD VOLUME'!AI230,'BD Otimix'!O:O)+SUMIF('BD Otimix'!A:A,'BD VOLUME'!AJ230,'BD Otimix'!O:O)+SUMIF('BD Otimix'!A:A,'BD VOLUME'!AF230,'BD Otimix'!O:O),0)</f>
        <v>0</v>
      </c>
      <c r="AL230" s="7">
        <f t="shared" si="59"/>
        <v>0</v>
      </c>
    </row>
    <row r="231" spans="1:38">
      <c r="A231" s="324">
        <v>952563</v>
      </c>
      <c r="B231" s="324">
        <v>0</v>
      </c>
      <c r="C231" s="5" t="s">
        <v>1277</v>
      </c>
      <c r="D231" s="5" t="s">
        <v>939</v>
      </c>
      <c r="E231" s="5" t="s">
        <v>1196</v>
      </c>
      <c r="F231" s="132">
        <f>SUMIF('COLAR PLANO'!$A:$A,A231,'COLAR PLANO'!$D:$D)</f>
        <v>0</v>
      </c>
      <c r="G231" s="131">
        <f t="shared" si="57"/>
        <v>0</v>
      </c>
      <c r="H231" s="6">
        <v>0.7419</v>
      </c>
      <c r="I231" s="7">
        <f t="shared" si="60"/>
        <v>0</v>
      </c>
      <c r="J231" s="130">
        <f t="shared" si="61"/>
        <v>0</v>
      </c>
      <c r="K231" s="327">
        <v>1.1000000000000001</v>
      </c>
      <c r="L231" s="324">
        <v>10</v>
      </c>
      <c r="M231" s="324">
        <v>11</v>
      </c>
      <c r="N231" s="7">
        <f t="shared" si="55"/>
        <v>0</v>
      </c>
      <c r="O231" s="311"/>
      <c r="P231" s="311">
        <f t="shared" si="56"/>
        <v>0</v>
      </c>
      <c r="Q231" s="7"/>
      <c r="R231" s="7"/>
      <c r="S231" s="7"/>
      <c r="T231" s="7"/>
      <c r="U231" s="7" t="s">
        <v>2288</v>
      </c>
      <c r="V231" s="7" t="s">
        <v>2289</v>
      </c>
      <c r="W231" s="7" t="str">
        <f>Preencher!$B$3&amp;U231&amp;V231&amp;A231&amp;$W$6</f>
        <v>JARINU-FRG952563MQ.TUNEL DE CG (CONTINUO)</v>
      </c>
      <c r="X231" s="7" t="str">
        <f>Preencher!$B$3&amp;U231&amp;V231&amp;A231&amp;$X$6</f>
        <v>JARINU-FRG952563MQ.TUNEL DE CG (CONTINUO) (1)</v>
      </c>
      <c r="Y231" s="7" t="str">
        <f>Preencher!$B$3&amp;U231&amp;V231&amp;A231&amp;$Y$6</f>
        <v>JARINU-FRG952563MQ.TUNEL DE CG (CONTINUO) (2)</v>
      </c>
      <c r="Z231" s="7" t="str">
        <f>Preencher!$B$3&amp;U231&amp;V231&amp;A231&amp;$Z$6</f>
        <v>JARINU-FRG952563MQ.TUNEL DE CG (CONTINUO) (3)</v>
      </c>
      <c r="AA231" s="7" t="str">
        <f>Preencher!$B$3&amp;U231&amp;V231&amp;A231&amp;$AA$6</f>
        <v>JARINU-FRG952563MQ.TUNEL DE CG (ESTATICO)</v>
      </c>
      <c r="AB231" s="7" t="str">
        <f>Preencher!$B$3&amp;U231&amp;V231&amp;A231&amp;$AB$6</f>
        <v>JARINU-FRG952563MQ.TUNEL DE CG (ESTATICO) (1)</v>
      </c>
      <c r="AC231" s="7" t="str">
        <f>Preencher!$B$3&amp;U231&amp;V231&amp;A231&amp;$AC$6</f>
        <v>JARINU-FRG952563MQ.TUNEL DE CG (ESTATICO) (2)</v>
      </c>
      <c r="AD231" s="327">
        <f>IFERROR(SUMIF('BD Otimix'!A:A,'BD VOLUME'!X231,'BD Otimix'!O:O)+SUMIF('BD Otimix'!A:A,'BD VOLUME'!Y231,'BD Otimix'!O:O)+SUMIF('BD Otimix'!A:A,'BD VOLUME'!Z231,'BD Otimix'!O:O)+SUMIF('BD Otimix'!A:A,'BD VOLUME'!AA231,'BD Otimix'!O:O)+SUMIF('BD Otimix'!A:A,'BD VOLUME'!AB231,'BD Otimix'!O:O)+SUMIF('BD Otimix'!A:A,'BD VOLUME'!AC231,'BD Otimix'!O:O)+SUMIF('BD Otimix'!A:A,'BD VOLUME'!W231,'BD Otimix'!O:O),0)</f>
        <v>0</v>
      </c>
      <c r="AE231" s="327">
        <f t="shared" si="58"/>
        <v>0</v>
      </c>
      <c r="AF231" s="7" t="str">
        <f>Preencher!$B$3&amp;$U$8&amp;$V$8&amp;A231&amp;$AF$6</f>
        <v>JARINU-FRG952563MQ.GIROFREEZER</v>
      </c>
      <c r="AG231" s="7" t="str">
        <f>Preencher!$B$3&amp;$U$8&amp;$V$8&amp;A231&amp;$AG$6</f>
        <v>JARINU-FRG952563MQ.GIROFREEZER (1)</v>
      </c>
      <c r="AH231" s="7" t="str">
        <f>Preencher!$B$3&amp;$U$8&amp;$V$8&amp;A231&amp;$AH$6</f>
        <v>JARINU-FRG952563MQ.GIROFREEZER (2)</v>
      </c>
      <c r="AI231" s="7" t="str">
        <f>Preencher!$B$3&amp;$U$8&amp;$V$8&amp;A231&amp;$AI$6</f>
        <v>JARINU-FRG952563MQ.GIROFREEZER REV04</v>
      </c>
      <c r="AJ231" s="7" t="str">
        <f>Preencher!$B$3&amp;$U$8&amp;$V$8&amp;A231&amp;$AJ$6</f>
        <v>JARINU-FRG952563MQ.GIROFREEZER (3)</v>
      </c>
      <c r="AK231" s="327">
        <f>IFERROR(SUMIF('BD Otimix'!A:A,'BD VOLUME'!AG231,'BD Otimix'!O:O)+SUMIF('BD Otimix'!A:A,'BD VOLUME'!AH231,'BD Otimix'!O:O)+SUMIF('BD Otimix'!A:A,'BD VOLUME'!AI231,'BD Otimix'!O:O)+SUMIF('BD Otimix'!A:A,'BD VOLUME'!AJ231,'BD Otimix'!O:O)+SUMIF('BD Otimix'!A:A,'BD VOLUME'!AF231,'BD Otimix'!O:O),0)</f>
        <v>0</v>
      </c>
      <c r="AL231" s="7">
        <f t="shared" si="59"/>
        <v>0</v>
      </c>
    </row>
    <row r="232" spans="1:38">
      <c r="A232" s="324">
        <v>952566</v>
      </c>
      <c r="B232" s="324">
        <v>0</v>
      </c>
      <c r="C232" s="5" t="s">
        <v>1190</v>
      </c>
      <c r="D232" s="5" t="s">
        <v>939</v>
      </c>
      <c r="E232" s="5" t="s">
        <v>1196</v>
      </c>
      <c r="F232" s="132">
        <f>SUMIF('COLAR PLANO'!$A:$A,A232,'COLAR PLANO'!$D:$D)</f>
        <v>0</v>
      </c>
      <c r="G232" s="131">
        <f t="shared" si="57"/>
        <v>0</v>
      </c>
      <c r="H232" s="6">
        <v>0.7419</v>
      </c>
      <c r="I232" s="7">
        <f t="shared" si="60"/>
        <v>0</v>
      </c>
      <c r="J232" s="130">
        <f t="shared" si="61"/>
        <v>0</v>
      </c>
      <c r="K232" s="327">
        <v>1.2</v>
      </c>
      <c r="L232" s="324">
        <v>10</v>
      </c>
      <c r="M232" s="324">
        <v>12</v>
      </c>
      <c r="N232" s="7">
        <f t="shared" si="55"/>
        <v>0</v>
      </c>
      <c r="O232" s="311"/>
      <c r="P232" s="311">
        <f t="shared" si="56"/>
        <v>0</v>
      </c>
      <c r="Q232" s="7"/>
      <c r="R232" s="7"/>
      <c r="S232" s="7"/>
      <c r="T232" s="7"/>
      <c r="U232" s="7" t="s">
        <v>2288</v>
      </c>
      <c r="V232" s="7" t="s">
        <v>2289</v>
      </c>
      <c r="W232" s="7" t="str">
        <f>Preencher!$B$3&amp;U232&amp;V232&amp;A232&amp;$W$6</f>
        <v>JARINU-FRG952566MQ.TUNEL DE CG (CONTINUO)</v>
      </c>
      <c r="X232" s="7" t="str">
        <f>Preencher!$B$3&amp;U232&amp;V232&amp;A232&amp;$X$6</f>
        <v>JARINU-FRG952566MQ.TUNEL DE CG (CONTINUO) (1)</v>
      </c>
      <c r="Y232" s="7" t="str">
        <f>Preencher!$B$3&amp;U232&amp;V232&amp;A232&amp;$Y$6</f>
        <v>JARINU-FRG952566MQ.TUNEL DE CG (CONTINUO) (2)</v>
      </c>
      <c r="Z232" s="7" t="str">
        <f>Preencher!$B$3&amp;U232&amp;V232&amp;A232&amp;$Z$6</f>
        <v>JARINU-FRG952566MQ.TUNEL DE CG (CONTINUO) (3)</v>
      </c>
      <c r="AA232" s="7" t="str">
        <f>Preencher!$B$3&amp;U232&amp;V232&amp;A232&amp;$AA$6</f>
        <v>JARINU-FRG952566MQ.TUNEL DE CG (ESTATICO)</v>
      </c>
      <c r="AB232" s="7" t="str">
        <f>Preencher!$B$3&amp;U232&amp;V232&amp;A232&amp;$AB$6</f>
        <v>JARINU-FRG952566MQ.TUNEL DE CG (ESTATICO) (1)</v>
      </c>
      <c r="AC232" s="7" t="str">
        <f>Preencher!$B$3&amp;U232&amp;V232&amp;A232&amp;$AC$6</f>
        <v>JARINU-FRG952566MQ.TUNEL DE CG (ESTATICO) (2)</v>
      </c>
      <c r="AD232" s="327">
        <f>IFERROR(SUMIF('BD Otimix'!A:A,'BD VOLUME'!X232,'BD Otimix'!O:O)+SUMIF('BD Otimix'!A:A,'BD VOLUME'!Y232,'BD Otimix'!O:O)+SUMIF('BD Otimix'!A:A,'BD VOLUME'!Z232,'BD Otimix'!O:O)+SUMIF('BD Otimix'!A:A,'BD VOLUME'!AA232,'BD Otimix'!O:O)+SUMIF('BD Otimix'!A:A,'BD VOLUME'!AB232,'BD Otimix'!O:O)+SUMIF('BD Otimix'!A:A,'BD VOLUME'!AC232,'BD Otimix'!O:O)+SUMIF('BD Otimix'!A:A,'BD VOLUME'!W232,'BD Otimix'!O:O),0)</f>
        <v>0</v>
      </c>
      <c r="AE232" s="327">
        <f t="shared" si="58"/>
        <v>0</v>
      </c>
      <c r="AF232" s="7" t="str">
        <f>Preencher!$B$3&amp;$U$8&amp;$V$8&amp;A232&amp;$AF$6</f>
        <v>JARINU-FRG952566MQ.GIROFREEZER</v>
      </c>
      <c r="AG232" s="7" t="str">
        <f>Preencher!$B$3&amp;$U$8&amp;$V$8&amp;A232&amp;$AG$6</f>
        <v>JARINU-FRG952566MQ.GIROFREEZER (1)</v>
      </c>
      <c r="AH232" s="7" t="str">
        <f>Preencher!$B$3&amp;$U$8&amp;$V$8&amp;A232&amp;$AH$6</f>
        <v>JARINU-FRG952566MQ.GIROFREEZER (2)</v>
      </c>
      <c r="AI232" s="7" t="str">
        <f>Preencher!$B$3&amp;$U$8&amp;$V$8&amp;A232&amp;$AI$6</f>
        <v>JARINU-FRG952566MQ.GIROFREEZER REV04</v>
      </c>
      <c r="AJ232" s="7" t="str">
        <f>Preencher!$B$3&amp;$U$8&amp;$V$8&amp;A232&amp;$AJ$6</f>
        <v>JARINU-FRG952566MQ.GIROFREEZER (3)</v>
      </c>
      <c r="AK232" s="327">
        <f>IFERROR(SUMIF('BD Otimix'!A:A,'BD VOLUME'!AG232,'BD Otimix'!O:O)+SUMIF('BD Otimix'!A:A,'BD VOLUME'!AH232,'BD Otimix'!O:O)+SUMIF('BD Otimix'!A:A,'BD VOLUME'!AI232,'BD Otimix'!O:O)+SUMIF('BD Otimix'!A:A,'BD VOLUME'!AJ232,'BD Otimix'!O:O)+SUMIF('BD Otimix'!A:A,'BD VOLUME'!AF232,'BD Otimix'!O:O),0)</f>
        <v>0</v>
      </c>
      <c r="AL232" s="7">
        <f t="shared" si="59"/>
        <v>0</v>
      </c>
    </row>
    <row r="233" spans="1:38">
      <c r="A233" s="324">
        <v>952593</v>
      </c>
      <c r="B233" s="324">
        <v>0</v>
      </c>
      <c r="C233" s="5" t="s">
        <v>1189</v>
      </c>
      <c r="D233" s="5" t="s">
        <v>939</v>
      </c>
      <c r="E233" s="5" t="s">
        <v>1196</v>
      </c>
      <c r="F233" s="132">
        <f>SUMIF('COLAR PLANO'!$A:$A,A233,'COLAR PLANO'!$D:$D)</f>
        <v>0</v>
      </c>
      <c r="G233" s="131">
        <f t="shared" si="57"/>
        <v>0</v>
      </c>
      <c r="H233" s="6">
        <v>0.7419</v>
      </c>
      <c r="I233" s="7">
        <f t="shared" si="60"/>
        <v>0</v>
      </c>
      <c r="J233" s="130">
        <f t="shared" si="61"/>
        <v>0</v>
      </c>
      <c r="K233" s="327">
        <v>1.3</v>
      </c>
      <c r="L233" s="324">
        <v>10</v>
      </c>
      <c r="M233" s="324">
        <v>13</v>
      </c>
      <c r="N233" s="7">
        <f t="shared" si="55"/>
        <v>0</v>
      </c>
      <c r="O233" s="311"/>
      <c r="P233" s="311">
        <f t="shared" si="56"/>
        <v>0</v>
      </c>
      <c r="Q233" s="7"/>
      <c r="R233" s="7"/>
      <c r="S233" s="7"/>
      <c r="T233" s="7"/>
      <c r="U233" s="7" t="s">
        <v>2288</v>
      </c>
      <c r="V233" s="7" t="s">
        <v>2289</v>
      </c>
      <c r="W233" s="7" t="str">
        <f>Preencher!$B$3&amp;U233&amp;V233&amp;A233&amp;$W$6</f>
        <v>JARINU-FRG952593MQ.TUNEL DE CG (CONTINUO)</v>
      </c>
      <c r="X233" s="7" t="str">
        <f>Preencher!$B$3&amp;U233&amp;V233&amp;A233&amp;$X$6</f>
        <v>JARINU-FRG952593MQ.TUNEL DE CG (CONTINUO) (1)</v>
      </c>
      <c r="Y233" s="7" t="str">
        <f>Preencher!$B$3&amp;U233&amp;V233&amp;A233&amp;$Y$6</f>
        <v>JARINU-FRG952593MQ.TUNEL DE CG (CONTINUO) (2)</v>
      </c>
      <c r="Z233" s="7" t="str">
        <f>Preencher!$B$3&amp;U233&amp;V233&amp;A233&amp;$Z$6</f>
        <v>JARINU-FRG952593MQ.TUNEL DE CG (CONTINUO) (3)</v>
      </c>
      <c r="AA233" s="7" t="str">
        <f>Preencher!$B$3&amp;U233&amp;V233&amp;A233&amp;$AA$6</f>
        <v>JARINU-FRG952593MQ.TUNEL DE CG (ESTATICO)</v>
      </c>
      <c r="AB233" s="7" t="str">
        <f>Preencher!$B$3&amp;U233&amp;V233&amp;A233&amp;$AB$6</f>
        <v>JARINU-FRG952593MQ.TUNEL DE CG (ESTATICO) (1)</v>
      </c>
      <c r="AC233" s="7" t="str">
        <f>Preencher!$B$3&amp;U233&amp;V233&amp;A233&amp;$AC$6</f>
        <v>JARINU-FRG952593MQ.TUNEL DE CG (ESTATICO) (2)</v>
      </c>
      <c r="AD233" s="327">
        <f>IFERROR(SUMIF('BD Otimix'!A:A,'BD VOLUME'!X233,'BD Otimix'!O:O)+SUMIF('BD Otimix'!A:A,'BD VOLUME'!Y233,'BD Otimix'!O:O)+SUMIF('BD Otimix'!A:A,'BD VOLUME'!Z233,'BD Otimix'!O:O)+SUMIF('BD Otimix'!A:A,'BD VOLUME'!AA233,'BD Otimix'!O:O)+SUMIF('BD Otimix'!A:A,'BD VOLUME'!AB233,'BD Otimix'!O:O)+SUMIF('BD Otimix'!A:A,'BD VOLUME'!AC233,'BD Otimix'!O:O)+SUMIF('BD Otimix'!A:A,'BD VOLUME'!W233,'BD Otimix'!O:O),0)</f>
        <v>0</v>
      </c>
      <c r="AE233" s="327">
        <f t="shared" si="58"/>
        <v>0</v>
      </c>
      <c r="AF233" s="7" t="str">
        <f>Preencher!$B$3&amp;$U$8&amp;$V$8&amp;A233&amp;$AF$6</f>
        <v>JARINU-FRG952593MQ.GIROFREEZER</v>
      </c>
      <c r="AG233" s="7" t="str">
        <f>Preencher!$B$3&amp;$U$8&amp;$V$8&amp;A233&amp;$AG$6</f>
        <v>JARINU-FRG952593MQ.GIROFREEZER (1)</v>
      </c>
      <c r="AH233" s="7" t="str">
        <f>Preencher!$B$3&amp;$U$8&amp;$V$8&amp;A233&amp;$AH$6</f>
        <v>JARINU-FRG952593MQ.GIROFREEZER (2)</v>
      </c>
      <c r="AI233" s="7" t="str">
        <f>Preencher!$B$3&amp;$U$8&amp;$V$8&amp;A233&amp;$AI$6</f>
        <v>JARINU-FRG952593MQ.GIROFREEZER REV04</v>
      </c>
      <c r="AJ233" s="7" t="str">
        <f>Preencher!$B$3&amp;$U$8&amp;$V$8&amp;A233&amp;$AJ$6</f>
        <v>JARINU-FRG952593MQ.GIROFREEZER (3)</v>
      </c>
      <c r="AK233" s="327">
        <f>IFERROR(SUMIF('BD Otimix'!A:A,'BD VOLUME'!AG233,'BD Otimix'!O:O)+SUMIF('BD Otimix'!A:A,'BD VOLUME'!AH233,'BD Otimix'!O:O)+SUMIF('BD Otimix'!A:A,'BD VOLUME'!AI233,'BD Otimix'!O:O)+SUMIF('BD Otimix'!A:A,'BD VOLUME'!AJ233,'BD Otimix'!O:O)+SUMIF('BD Otimix'!A:A,'BD VOLUME'!AF233,'BD Otimix'!O:O),0)</f>
        <v>0</v>
      </c>
      <c r="AL233" s="7">
        <f t="shared" si="59"/>
        <v>0</v>
      </c>
    </row>
    <row r="234" spans="1:38">
      <c r="A234" s="324">
        <v>952602</v>
      </c>
      <c r="B234" s="324">
        <v>0</v>
      </c>
      <c r="C234" s="5" t="s">
        <v>1281</v>
      </c>
      <c r="D234" s="5" t="s">
        <v>939</v>
      </c>
      <c r="E234" s="5" t="s">
        <v>1196</v>
      </c>
      <c r="F234" s="132">
        <f>SUMIF('COLAR PLANO'!$A:$A,A234,'COLAR PLANO'!$D:$D)</f>
        <v>0</v>
      </c>
      <c r="G234" s="131">
        <f t="shared" si="57"/>
        <v>0</v>
      </c>
      <c r="H234" s="6">
        <v>0.7419</v>
      </c>
      <c r="I234" s="7">
        <f t="shared" si="60"/>
        <v>0</v>
      </c>
      <c r="J234" s="130">
        <f t="shared" si="61"/>
        <v>0</v>
      </c>
      <c r="K234" s="327">
        <v>1.4</v>
      </c>
      <c r="L234" s="324">
        <v>10</v>
      </c>
      <c r="M234" s="324">
        <v>14</v>
      </c>
      <c r="N234" s="7">
        <f t="shared" si="55"/>
        <v>0</v>
      </c>
      <c r="O234" s="311"/>
      <c r="P234" s="311">
        <f t="shared" si="56"/>
        <v>0</v>
      </c>
      <c r="Q234" s="7"/>
      <c r="R234" s="7"/>
      <c r="S234" s="7"/>
      <c r="T234" s="7"/>
      <c r="U234" s="7" t="s">
        <v>2288</v>
      </c>
      <c r="V234" s="7" t="s">
        <v>2289</v>
      </c>
      <c r="W234" s="7" t="str">
        <f>Preencher!$B$3&amp;U234&amp;V234&amp;A234&amp;$W$6</f>
        <v>JARINU-FRG952602MQ.TUNEL DE CG (CONTINUO)</v>
      </c>
      <c r="X234" s="7" t="str">
        <f>Preencher!$B$3&amp;U234&amp;V234&amp;A234&amp;$X$6</f>
        <v>JARINU-FRG952602MQ.TUNEL DE CG (CONTINUO) (1)</v>
      </c>
      <c r="Y234" s="7" t="str">
        <f>Preencher!$B$3&amp;U234&amp;V234&amp;A234&amp;$Y$6</f>
        <v>JARINU-FRG952602MQ.TUNEL DE CG (CONTINUO) (2)</v>
      </c>
      <c r="Z234" s="7" t="str">
        <f>Preencher!$B$3&amp;U234&amp;V234&amp;A234&amp;$Z$6</f>
        <v>JARINU-FRG952602MQ.TUNEL DE CG (CONTINUO) (3)</v>
      </c>
      <c r="AA234" s="7" t="str">
        <f>Preencher!$B$3&amp;U234&amp;V234&amp;A234&amp;$AA$6</f>
        <v>JARINU-FRG952602MQ.TUNEL DE CG (ESTATICO)</v>
      </c>
      <c r="AB234" s="7" t="str">
        <f>Preencher!$B$3&amp;U234&amp;V234&amp;A234&amp;$AB$6</f>
        <v>JARINU-FRG952602MQ.TUNEL DE CG (ESTATICO) (1)</v>
      </c>
      <c r="AC234" s="7" t="str">
        <f>Preencher!$B$3&amp;U234&amp;V234&amp;A234&amp;$AC$6</f>
        <v>JARINU-FRG952602MQ.TUNEL DE CG (ESTATICO) (2)</v>
      </c>
      <c r="AD234" s="327">
        <f>IFERROR(SUMIF('BD Otimix'!A:A,'BD VOLUME'!X234,'BD Otimix'!O:O)+SUMIF('BD Otimix'!A:A,'BD VOLUME'!Y234,'BD Otimix'!O:O)+SUMIF('BD Otimix'!A:A,'BD VOLUME'!Z234,'BD Otimix'!O:O)+SUMIF('BD Otimix'!A:A,'BD VOLUME'!AA234,'BD Otimix'!O:O)+SUMIF('BD Otimix'!A:A,'BD VOLUME'!AB234,'BD Otimix'!O:O)+SUMIF('BD Otimix'!A:A,'BD VOLUME'!AC234,'BD Otimix'!O:O)+SUMIF('BD Otimix'!A:A,'BD VOLUME'!W234,'BD Otimix'!O:O),0)</f>
        <v>0</v>
      </c>
      <c r="AE234" s="327">
        <f t="shared" si="58"/>
        <v>0</v>
      </c>
      <c r="AF234" s="7" t="str">
        <f>Preencher!$B$3&amp;$U$8&amp;$V$8&amp;A234&amp;$AF$6</f>
        <v>JARINU-FRG952602MQ.GIROFREEZER</v>
      </c>
      <c r="AG234" s="7" t="str">
        <f>Preencher!$B$3&amp;$U$8&amp;$V$8&amp;A234&amp;$AG$6</f>
        <v>JARINU-FRG952602MQ.GIROFREEZER (1)</v>
      </c>
      <c r="AH234" s="7" t="str">
        <f>Preencher!$B$3&amp;$U$8&amp;$V$8&amp;A234&amp;$AH$6</f>
        <v>JARINU-FRG952602MQ.GIROFREEZER (2)</v>
      </c>
      <c r="AI234" s="7" t="str">
        <f>Preencher!$B$3&amp;$U$8&amp;$V$8&amp;A234&amp;$AI$6</f>
        <v>JARINU-FRG952602MQ.GIROFREEZER REV04</v>
      </c>
      <c r="AJ234" s="7" t="str">
        <f>Preencher!$B$3&amp;$U$8&amp;$V$8&amp;A234&amp;$AJ$6</f>
        <v>JARINU-FRG952602MQ.GIROFREEZER (3)</v>
      </c>
      <c r="AK234" s="327">
        <f>IFERROR(SUMIF('BD Otimix'!A:A,'BD VOLUME'!AG234,'BD Otimix'!O:O)+SUMIF('BD Otimix'!A:A,'BD VOLUME'!AH234,'BD Otimix'!O:O)+SUMIF('BD Otimix'!A:A,'BD VOLUME'!AI234,'BD Otimix'!O:O)+SUMIF('BD Otimix'!A:A,'BD VOLUME'!AJ234,'BD Otimix'!O:O)+SUMIF('BD Otimix'!A:A,'BD VOLUME'!AF234,'BD Otimix'!O:O),0)</f>
        <v>0</v>
      </c>
      <c r="AL234" s="7">
        <f t="shared" si="59"/>
        <v>0</v>
      </c>
    </row>
    <row r="235" spans="1:38">
      <c r="A235" s="324">
        <v>952678</v>
      </c>
      <c r="B235" s="324">
        <v>0</v>
      </c>
      <c r="C235" s="5" t="s">
        <v>1274</v>
      </c>
      <c r="D235" s="5" t="s">
        <v>939</v>
      </c>
      <c r="E235" s="5" t="s">
        <v>1196</v>
      </c>
      <c r="F235" s="132">
        <f>SUMIF('COLAR PLANO'!$A:$A,A235,'COLAR PLANO'!$D:$D)</f>
        <v>0</v>
      </c>
      <c r="G235" s="131">
        <f t="shared" si="57"/>
        <v>0</v>
      </c>
      <c r="H235" s="6">
        <v>0.7419</v>
      </c>
      <c r="I235" s="7">
        <f t="shared" si="60"/>
        <v>0</v>
      </c>
      <c r="J235" s="130">
        <f t="shared" si="61"/>
        <v>0</v>
      </c>
      <c r="K235" s="327">
        <v>0.8</v>
      </c>
      <c r="L235" s="324">
        <v>10</v>
      </c>
      <c r="M235" s="324">
        <v>8</v>
      </c>
      <c r="N235" s="7">
        <f t="shared" si="55"/>
        <v>0</v>
      </c>
      <c r="O235" s="311"/>
      <c r="P235" s="311">
        <f t="shared" si="56"/>
        <v>0</v>
      </c>
      <c r="Q235" s="7"/>
      <c r="R235" s="7"/>
      <c r="S235" s="7"/>
      <c r="T235" s="7"/>
      <c r="U235" s="7" t="s">
        <v>2288</v>
      </c>
      <c r="V235" s="7" t="s">
        <v>2289</v>
      </c>
      <c r="W235" s="7" t="str">
        <f>Preencher!$B$3&amp;U235&amp;V235&amp;A235&amp;$W$6</f>
        <v>JARINU-FRG952678MQ.TUNEL DE CG (CONTINUO)</v>
      </c>
      <c r="X235" s="7" t="str">
        <f>Preencher!$B$3&amp;U235&amp;V235&amp;A235&amp;$X$6</f>
        <v>JARINU-FRG952678MQ.TUNEL DE CG (CONTINUO) (1)</v>
      </c>
      <c r="Y235" s="7" t="str">
        <f>Preencher!$B$3&amp;U235&amp;V235&amp;A235&amp;$Y$6</f>
        <v>JARINU-FRG952678MQ.TUNEL DE CG (CONTINUO) (2)</v>
      </c>
      <c r="Z235" s="7" t="str">
        <f>Preencher!$B$3&amp;U235&amp;V235&amp;A235&amp;$Z$6</f>
        <v>JARINU-FRG952678MQ.TUNEL DE CG (CONTINUO) (3)</v>
      </c>
      <c r="AA235" s="7" t="str">
        <f>Preencher!$B$3&amp;U235&amp;V235&amp;A235&amp;$AA$6</f>
        <v>JARINU-FRG952678MQ.TUNEL DE CG (ESTATICO)</v>
      </c>
      <c r="AB235" s="7" t="str">
        <f>Preencher!$B$3&amp;U235&amp;V235&amp;A235&amp;$AB$6</f>
        <v>JARINU-FRG952678MQ.TUNEL DE CG (ESTATICO) (1)</v>
      </c>
      <c r="AC235" s="7" t="str">
        <f>Preencher!$B$3&amp;U235&amp;V235&amp;A235&amp;$AC$6</f>
        <v>JARINU-FRG952678MQ.TUNEL DE CG (ESTATICO) (2)</v>
      </c>
      <c r="AD235" s="327">
        <f>IFERROR(SUMIF('BD Otimix'!A:A,'BD VOLUME'!X235,'BD Otimix'!O:O)+SUMIF('BD Otimix'!A:A,'BD VOLUME'!Y235,'BD Otimix'!O:O)+SUMIF('BD Otimix'!A:A,'BD VOLUME'!Z235,'BD Otimix'!O:O)+SUMIF('BD Otimix'!A:A,'BD VOLUME'!AA235,'BD Otimix'!O:O)+SUMIF('BD Otimix'!A:A,'BD VOLUME'!AB235,'BD Otimix'!O:O)+SUMIF('BD Otimix'!A:A,'BD VOLUME'!AC235,'BD Otimix'!O:O)+SUMIF('BD Otimix'!A:A,'BD VOLUME'!W235,'BD Otimix'!O:O),0)</f>
        <v>0</v>
      </c>
      <c r="AE235" s="327">
        <f t="shared" si="58"/>
        <v>0</v>
      </c>
      <c r="AF235" s="7" t="str">
        <f>Preencher!$B$3&amp;$U$8&amp;$V$8&amp;A235&amp;$AF$6</f>
        <v>JARINU-FRG952678MQ.GIROFREEZER</v>
      </c>
      <c r="AG235" s="7" t="str">
        <f>Preencher!$B$3&amp;$U$8&amp;$V$8&amp;A235&amp;$AG$6</f>
        <v>JARINU-FRG952678MQ.GIROFREEZER (1)</v>
      </c>
      <c r="AH235" s="7" t="str">
        <f>Preencher!$B$3&amp;$U$8&amp;$V$8&amp;A235&amp;$AH$6</f>
        <v>JARINU-FRG952678MQ.GIROFREEZER (2)</v>
      </c>
      <c r="AI235" s="7" t="str">
        <f>Preencher!$B$3&amp;$U$8&amp;$V$8&amp;A235&amp;$AI$6</f>
        <v>JARINU-FRG952678MQ.GIROFREEZER REV04</v>
      </c>
      <c r="AJ235" s="7" t="str">
        <f>Preencher!$B$3&amp;$U$8&amp;$V$8&amp;A235&amp;$AJ$6</f>
        <v>JARINU-FRG952678MQ.GIROFREEZER (3)</v>
      </c>
      <c r="AK235" s="327">
        <f>IFERROR(SUMIF('BD Otimix'!A:A,'BD VOLUME'!AG235,'BD Otimix'!O:O)+SUMIF('BD Otimix'!A:A,'BD VOLUME'!AH235,'BD Otimix'!O:O)+SUMIF('BD Otimix'!A:A,'BD VOLUME'!AI235,'BD Otimix'!O:O)+SUMIF('BD Otimix'!A:A,'BD VOLUME'!AJ235,'BD Otimix'!O:O)+SUMIF('BD Otimix'!A:A,'BD VOLUME'!AF235,'BD Otimix'!O:O),0)</f>
        <v>0</v>
      </c>
      <c r="AL235" s="7">
        <f t="shared" si="59"/>
        <v>0</v>
      </c>
    </row>
    <row r="236" spans="1:38">
      <c r="A236" s="324">
        <v>952972</v>
      </c>
      <c r="B236" s="324">
        <v>0</v>
      </c>
      <c r="C236" s="5" t="s">
        <v>1276</v>
      </c>
      <c r="D236" s="5" t="s">
        <v>939</v>
      </c>
      <c r="E236" s="5" t="s">
        <v>1196</v>
      </c>
      <c r="F236" s="132">
        <f>SUMIF('COLAR PLANO'!$A:$A,A236,'COLAR PLANO'!$D:$D)</f>
        <v>0</v>
      </c>
      <c r="G236" s="131">
        <f t="shared" si="57"/>
        <v>0</v>
      </c>
      <c r="H236" s="6">
        <v>0.7419</v>
      </c>
      <c r="I236" s="7">
        <f t="shared" si="60"/>
        <v>0</v>
      </c>
      <c r="J236" s="130">
        <f t="shared" si="61"/>
        <v>0</v>
      </c>
      <c r="K236" s="327">
        <v>1</v>
      </c>
      <c r="L236" s="324">
        <v>10</v>
      </c>
      <c r="M236" s="324">
        <v>10</v>
      </c>
      <c r="N236" s="7">
        <f t="shared" si="55"/>
        <v>0</v>
      </c>
      <c r="O236" s="311"/>
      <c r="P236" s="311">
        <f t="shared" si="56"/>
        <v>0</v>
      </c>
      <c r="Q236" s="7"/>
      <c r="R236" s="7"/>
      <c r="S236" s="7"/>
      <c r="T236" s="7"/>
      <c r="U236" s="7" t="s">
        <v>2288</v>
      </c>
      <c r="V236" s="7" t="s">
        <v>2289</v>
      </c>
      <c r="W236" s="7" t="str">
        <f>Preencher!$B$3&amp;U236&amp;V236&amp;A236&amp;$W$6</f>
        <v>JARINU-FRG952972MQ.TUNEL DE CG (CONTINUO)</v>
      </c>
      <c r="X236" s="7" t="str">
        <f>Preencher!$B$3&amp;U236&amp;V236&amp;A236&amp;$X$6</f>
        <v>JARINU-FRG952972MQ.TUNEL DE CG (CONTINUO) (1)</v>
      </c>
      <c r="Y236" s="7" t="str">
        <f>Preencher!$B$3&amp;U236&amp;V236&amp;A236&amp;$Y$6</f>
        <v>JARINU-FRG952972MQ.TUNEL DE CG (CONTINUO) (2)</v>
      </c>
      <c r="Z236" s="7" t="str">
        <f>Preencher!$B$3&amp;U236&amp;V236&amp;A236&amp;$Z$6</f>
        <v>JARINU-FRG952972MQ.TUNEL DE CG (CONTINUO) (3)</v>
      </c>
      <c r="AA236" s="7" t="str">
        <f>Preencher!$B$3&amp;U236&amp;V236&amp;A236&amp;$AA$6</f>
        <v>JARINU-FRG952972MQ.TUNEL DE CG (ESTATICO)</v>
      </c>
      <c r="AB236" s="7" t="str">
        <f>Preencher!$B$3&amp;U236&amp;V236&amp;A236&amp;$AB$6</f>
        <v>JARINU-FRG952972MQ.TUNEL DE CG (ESTATICO) (1)</v>
      </c>
      <c r="AC236" s="7" t="str">
        <f>Preencher!$B$3&amp;U236&amp;V236&amp;A236&amp;$AC$6</f>
        <v>JARINU-FRG952972MQ.TUNEL DE CG (ESTATICO) (2)</v>
      </c>
      <c r="AD236" s="327">
        <f>IFERROR(SUMIF('BD Otimix'!A:A,'BD VOLUME'!X236,'BD Otimix'!O:O)+SUMIF('BD Otimix'!A:A,'BD VOLUME'!Y236,'BD Otimix'!O:O)+SUMIF('BD Otimix'!A:A,'BD VOLUME'!Z236,'BD Otimix'!O:O)+SUMIF('BD Otimix'!A:A,'BD VOLUME'!AA236,'BD Otimix'!O:O)+SUMIF('BD Otimix'!A:A,'BD VOLUME'!AB236,'BD Otimix'!O:O)+SUMIF('BD Otimix'!A:A,'BD VOLUME'!AC236,'BD Otimix'!O:O)+SUMIF('BD Otimix'!A:A,'BD VOLUME'!W236,'BD Otimix'!O:O),0)</f>
        <v>0</v>
      </c>
      <c r="AE236" s="327">
        <f t="shared" si="58"/>
        <v>0</v>
      </c>
      <c r="AF236" s="7" t="str">
        <f>Preencher!$B$3&amp;$U$8&amp;$V$8&amp;A236&amp;$AF$6</f>
        <v>JARINU-FRG952972MQ.GIROFREEZER</v>
      </c>
      <c r="AG236" s="7" t="str">
        <f>Preencher!$B$3&amp;$U$8&amp;$V$8&amp;A236&amp;$AG$6</f>
        <v>JARINU-FRG952972MQ.GIROFREEZER (1)</v>
      </c>
      <c r="AH236" s="7" t="str">
        <f>Preencher!$B$3&amp;$U$8&amp;$V$8&amp;A236&amp;$AH$6</f>
        <v>JARINU-FRG952972MQ.GIROFREEZER (2)</v>
      </c>
      <c r="AI236" s="7" t="str">
        <f>Preencher!$B$3&amp;$U$8&amp;$V$8&amp;A236&amp;$AI$6</f>
        <v>JARINU-FRG952972MQ.GIROFREEZER REV04</v>
      </c>
      <c r="AJ236" s="7" t="str">
        <f>Preencher!$B$3&amp;$U$8&amp;$V$8&amp;A236&amp;$AJ$6</f>
        <v>JARINU-FRG952972MQ.GIROFREEZER (3)</v>
      </c>
      <c r="AK236" s="327">
        <f>IFERROR(SUMIF('BD Otimix'!A:A,'BD VOLUME'!AG236,'BD Otimix'!O:O)+SUMIF('BD Otimix'!A:A,'BD VOLUME'!AH236,'BD Otimix'!O:O)+SUMIF('BD Otimix'!A:A,'BD VOLUME'!AI236,'BD Otimix'!O:O)+SUMIF('BD Otimix'!A:A,'BD VOLUME'!AJ236,'BD Otimix'!O:O)+SUMIF('BD Otimix'!A:A,'BD VOLUME'!AF236,'BD Otimix'!O:O),0)</f>
        <v>0</v>
      </c>
      <c r="AL236" s="7">
        <f t="shared" si="59"/>
        <v>0</v>
      </c>
    </row>
    <row r="237" spans="1:38">
      <c r="A237" s="324">
        <v>953006</v>
      </c>
      <c r="B237" s="324">
        <v>0</v>
      </c>
      <c r="C237" s="5" t="s">
        <v>1277</v>
      </c>
      <c r="D237" s="5" t="s">
        <v>939</v>
      </c>
      <c r="E237" s="5" t="s">
        <v>1196</v>
      </c>
      <c r="F237" s="132">
        <f>SUMIF('COLAR PLANO'!$A:$A,A237,'COLAR PLANO'!$D:$D)</f>
        <v>0</v>
      </c>
      <c r="G237" s="131">
        <f t="shared" si="57"/>
        <v>0</v>
      </c>
      <c r="H237" s="6">
        <v>0.7419</v>
      </c>
      <c r="I237" s="7">
        <f t="shared" si="60"/>
        <v>0</v>
      </c>
      <c r="J237" s="130">
        <f t="shared" si="61"/>
        <v>0</v>
      </c>
      <c r="K237" s="327">
        <v>1.1000000000000001</v>
      </c>
      <c r="L237" s="324">
        <v>10</v>
      </c>
      <c r="M237" s="324">
        <v>11</v>
      </c>
      <c r="N237" s="7">
        <f t="shared" si="55"/>
        <v>0</v>
      </c>
      <c r="O237" s="311"/>
      <c r="P237" s="311">
        <f t="shared" si="56"/>
        <v>0</v>
      </c>
      <c r="Q237" s="7"/>
      <c r="R237" s="7"/>
      <c r="S237" s="7"/>
      <c r="T237" s="7"/>
      <c r="U237" s="7" t="s">
        <v>2288</v>
      </c>
      <c r="V237" s="7" t="s">
        <v>2289</v>
      </c>
      <c r="W237" s="7" t="str">
        <f>Preencher!$B$3&amp;U237&amp;V237&amp;A237&amp;$W$6</f>
        <v>JARINU-FRG953006MQ.TUNEL DE CG (CONTINUO)</v>
      </c>
      <c r="X237" s="7" t="str">
        <f>Preencher!$B$3&amp;U237&amp;V237&amp;A237&amp;$X$6</f>
        <v>JARINU-FRG953006MQ.TUNEL DE CG (CONTINUO) (1)</v>
      </c>
      <c r="Y237" s="7" t="str">
        <f>Preencher!$B$3&amp;U237&amp;V237&amp;A237&amp;$Y$6</f>
        <v>JARINU-FRG953006MQ.TUNEL DE CG (CONTINUO) (2)</v>
      </c>
      <c r="Z237" s="7" t="str">
        <f>Preencher!$B$3&amp;U237&amp;V237&amp;A237&amp;$Z$6</f>
        <v>JARINU-FRG953006MQ.TUNEL DE CG (CONTINUO) (3)</v>
      </c>
      <c r="AA237" s="7" t="str">
        <f>Preencher!$B$3&amp;U237&amp;V237&amp;A237&amp;$AA$6</f>
        <v>JARINU-FRG953006MQ.TUNEL DE CG (ESTATICO)</v>
      </c>
      <c r="AB237" s="7" t="str">
        <f>Preencher!$B$3&amp;U237&amp;V237&amp;A237&amp;$AB$6</f>
        <v>JARINU-FRG953006MQ.TUNEL DE CG (ESTATICO) (1)</v>
      </c>
      <c r="AC237" s="7" t="str">
        <f>Preencher!$B$3&amp;U237&amp;V237&amp;A237&amp;$AC$6</f>
        <v>JARINU-FRG953006MQ.TUNEL DE CG (ESTATICO) (2)</v>
      </c>
      <c r="AD237" s="327">
        <f>IFERROR(SUMIF('BD Otimix'!A:A,'BD VOLUME'!X237,'BD Otimix'!O:O)+SUMIF('BD Otimix'!A:A,'BD VOLUME'!Y237,'BD Otimix'!O:O)+SUMIF('BD Otimix'!A:A,'BD VOLUME'!Z237,'BD Otimix'!O:O)+SUMIF('BD Otimix'!A:A,'BD VOLUME'!AA237,'BD Otimix'!O:O)+SUMIF('BD Otimix'!A:A,'BD VOLUME'!AB237,'BD Otimix'!O:O)+SUMIF('BD Otimix'!A:A,'BD VOLUME'!AC237,'BD Otimix'!O:O)+SUMIF('BD Otimix'!A:A,'BD VOLUME'!W237,'BD Otimix'!O:O),0)</f>
        <v>0</v>
      </c>
      <c r="AE237" s="327">
        <f t="shared" si="58"/>
        <v>0</v>
      </c>
      <c r="AF237" s="7" t="str">
        <f>Preencher!$B$3&amp;$U$8&amp;$V$8&amp;A237&amp;$AF$6</f>
        <v>JARINU-FRG953006MQ.GIROFREEZER</v>
      </c>
      <c r="AG237" s="7" t="str">
        <f>Preencher!$B$3&amp;$U$8&amp;$V$8&amp;A237&amp;$AG$6</f>
        <v>JARINU-FRG953006MQ.GIROFREEZER (1)</v>
      </c>
      <c r="AH237" s="7" t="str">
        <f>Preencher!$B$3&amp;$U$8&amp;$V$8&amp;A237&amp;$AH$6</f>
        <v>JARINU-FRG953006MQ.GIROFREEZER (2)</v>
      </c>
      <c r="AI237" s="7" t="str">
        <f>Preencher!$B$3&amp;$U$8&amp;$V$8&amp;A237&amp;$AI$6</f>
        <v>JARINU-FRG953006MQ.GIROFREEZER REV04</v>
      </c>
      <c r="AJ237" s="7" t="str">
        <f>Preencher!$B$3&amp;$U$8&amp;$V$8&amp;A237&amp;$AJ$6</f>
        <v>JARINU-FRG953006MQ.GIROFREEZER (3)</v>
      </c>
      <c r="AK237" s="327">
        <f>IFERROR(SUMIF('BD Otimix'!A:A,'BD VOLUME'!AG237,'BD Otimix'!O:O)+SUMIF('BD Otimix'!A:A,'BD VOLUME'!AH237,'BD Otimix'!O:O)+SUMIF('BD Otimix'!A:A,'BD VOLUME'!AI237,'BD Otimix'!O:O)+SUMIF('BD Otimix'!A:A,'BD VOLUME'!AJ237,'BD Otimix'!O:O)+SUMIF('BD Otimix'!A:A,'BD VOLUME'!AF237,'BD Otimix'!O:O),0)</f>
        <v>0</v>
      </c>
      <c r="AL237" s="7">
        <f t="shared" si="59"/>
        <v>0</v>
      </c>
    </row>
    <row r="238" spans="1:38">
      <c r="A238" s="324">
        <v>953029</v>
      </c>
      <c r="B238" s="324">
        <v>0</v>
      </c>
      <c r="C238" s="5" t="s">
        <v>1190</v>
      </c>
      <c r="D238" s="5" t="s">
        <v>939</v>
      </c>
      <c r="E238" s="5" t="s">
        <v>1196</v>
      </c>
      <c r="F238" s="132">
        <f>SUMIF('COLAR PLANO'!$A:$A,A238,'COLAR PLANO'!$D:$D)</f>
        <v>0</v>
      </c>
      <c r="G238" s="131">
        <f t="shared" si="57"/>
        <v>0</v>
      </c>
      <c r="H238" s="6">
        <v>0.7419</v>
      </c>
      <c r="I238" s="7">
        <f t="shared" si="60"/>
        <v>0</v>
      </c>
      <c r="J238" s="130">
        <f t="shared" si="61"/>
        <v>0</v>
      </c>
      <c r="K238" s="327">
        <v>1.2</v>
      </c>
      <c r="L238" s="324">
        <v>10</v>
      </c>
      <c r="M238" s="324">
        <v>12</v>
      </c>
      <c r="N238" s="7">
        <f t="shared" si="55"/>
        <v>0</v>
      </c>
      <c r="O238" s="311"/>
      <c r="P238" s="311">
        <f t="shared" si="56"/>
        <v>0</v>
      </c>
      <c r="Q238" s="7"/>
      <c r="R238" s="7"/>
      <c r="S238" s="7"/>
      <c r="T238" s="7"/>
      <c r="U238" s="7" t="s">
        <v>2288</v>
      </c>
      <c r="V238" s="7" t="s">
        <v>2289</v>
      </c>
      <c r="W238" s="7" t="str">
        <f>Preencher!$B$3&amp;U238&amp;V238&amp;A238&amp;$W$6</f>
        <v>JARINU-FRG953029MQ.TUNEL DE CG (CONTINUO)</v>
      </c>
      <c r="X238" s="7" t="str">
        <f>Preencher!$B$3&amp;U238&amp;V238&amp;A238&amp;$X$6</f>
        <v>JARINU-FRG953029MQ.TUNEL DE CG (CONTINUO) (1)</v>
      </c>
      <c r="Y238" s="7" t="str">
        <f>Preencher!$B$3&amp;U238&amp;V238&amp;A238&amp;$Y$6</f>
        <v>JARINU-FRG953029MQ.TUNEL DE CG (CONTINUO) (2)</v>
      </c>
      <c r="Z238" s="7" t="str">
        <f>Preencher!$B$3&amp;U238&amp;V238&amp;A238&amp;$Z$6</f>
        <v>JARINU-FRG953029MQ.TUNEL DE CG (CONTINUO) (3)</v>
      </c>
      <c r="AA238" s="7" t="str">
        <f>Preencher!$B$3&amp;U238&amp;V238&amp;A238&amp;$AA$6</f>
        <v>JARINU-FRG953029MQ.TUNEL DE CG (ESTATICO)</v>
      </c>
      <c r="AB238" s="7" t="str">
        <f>Preencher!$B$3&amp;U238&amp;V238&amp;A238&amp;$AB$6</f>
        <v>JARINU-FRG953029MQ.TUNEL DE CG (ESTATICO) (1)</v>
      </c>
      <c r="AC238" s="7" t="str">
        <f>Preencher!$B$3&amp;U238&amp;V238&amp;A238&amp;$AC$6</f>
        <v>JARINU-FRG953029MQ.TUNEL DE CG (ESTATICO) (2)</v>
      </c>
      <c r="AD238" s="327">
        <f>IFERROR(SUMIF('BD Otimix'!A:A,'BD VOLUME'!X238,'BD Otimix'!O:O)+SUMIF('BD Otimix'!A:A,'BD VOLUME'!Y238,'BD Otimix'!O:O)+SUMIF('BD Otimix'!A:A,'BD VOLUME'!Z238,'BD Otimix'!O:O)+SUMIF('BD Otimix'!A:A,'BD VOLUME'!AA238,'BD Otimix'!O:O)+SUMIF('BD Otimix'!A:A,'BD VOLUME'!AB238,'BD Otimix'!O:O)+SUMIF('BD Otimix'!A:A,'BD VOLUME'!AC238,'BD Otimix'!O:O)+SUMIF('BD Otimix'!A:A,'BD VOLUME'!W238,'BD Otimix'!O:O),0)</f>
        <v>0</v>
      </c>
      <c r="AE238" s="327">
        <f t="shared" si="58"/>
        <v>0</v>
      </c>
      <c r="AF238" s="7" t="str">
        <f>Preencher!$B$3&amp;$U$8&amp;$V$8&amp;A238&amp;$AF$6</f>
        <v>JARINU-FRG953029MQ.GIROFREEZER</v>
      </c>
      <c r="AG238" s="7" t="str">
        <f>Preencher!$B$3&amp;$U$8&amp;$V$8&amp;A238&amp;$AG$6</f>
        <v>JARINU-FRG953029MQ.GIROFREEZER (1)</v>
      </c>
      <c r="AH238" s="7" t="str">
        <f>Preencher!$B$3&amp;$U$8&amp;$V$8&amp;A238&amp;$AH$6</f>
        <v>JARINU-FRG953029MQ.GIROFREEZER (2)</v>
      </c>
      <c r="AI238" s="7" t="str">
        <f>Preencher!$B$3&amp;$U$8&amp;$V$8&amp;A238&amp;$AI$6</f>
        <v>JARINU-FRG953029MQ.GIROFREEZER REV04</v>
      </c>
      <c r="AJ238" s="7" t="str">
        <f>Preencher!$B$3&amp;$U$8&amp;$V$8&amp;A238&amp;$AJ$6</f>
        <v>JARINU-FRG953029MQ.GIROFREEZER (3)</v>
      </c>
      <c r="AK238" s="327">
        <f>IFERROR(SUMIF('BD Otimix'!A:A,'BD VOLUME'!AG238,'BD Otimix'!O:O)+SUMIF('BD Otimix'!A:A,'BD VOLUME'!AH238,'BD Otimix'!O:O)+SUMIF('BD Otimix'!A:A,'BD VOLUME'!AI238,'BD Otimix'!O:O)+SUMIF('BD Otimix'!A:A,'BD VOLUME'!AJ238,'BD Otimix'!O:O)+SUMIF('BD Otimix'!A:A,'BD VOLUME'!AF238,'BD Otimix'!O:O),0)</f>
        <v>0</v>
      </c>
      <c r="AL238" s="7">
        <f t="shared" si="59"/>
        <v>0</v>
      </c>
    </row>
    <row r="239" spans="1:38">
      <c r="A239" s="324">
        <v>40240</v>
      </c>
      <c r="B239" s="324" t="s">
        <v>1284</v>
      </c>
      <c r="C239" s="5" t="s">
        <v>1185</v>
      </c>
      <c r="D239" s="5" t="s">
        <v>939</v>
      </c>
      <c r="E239" s="5" t="s">
        <v>1196</v>
      </c>
      <c r="F239" s="132">
        <f>SUMIF('COLAR PLANO'!$A:$A,A239,'COLAR PLANO'!$D:$D)</f>
        <v>0</v>
      </c>
      <c r="G239" s="131">
        <f t="shared" si="57"/>
        <v>0</v>
      </c>
      <c r="H239" s="6">
        <v>0.73870000000000002</v>
      </c>
      <c r="I239" s="7">
        <f t="shared" si="60"/>
        <v>0</v>
      </c>
      <c r="J239" s="130">
        <f t="shared" si="61"/>
        <v>0</v>
      </c>
      <c r="K239" s="327">
        <v>0.8</v>
      </c>
      <c r="L239" s="324">
        <v>10</v>
      </c>
      <c r="M239" s="324">
        <v>8</v>
      </c>
      <c r="N239" s="7">
        <f t="shared" si="55"/>
        <v>0</v>
      </c>
      <c r="O239" s="311"/>
      <c r="P239" s="311">
        <f t="shared" si="56"/>
        <v>0</v>
      </c>
      <c r="Q239" s="7"/>
      <c r="R239" s="7"/>
      <c r="S239" s="7"/>
      <c r="T239" s="7"/>
      <c r="U239" s="7" t="s">
        <v>2288</v>
      </c>
      <c r="V239" s="7" t="s">
        <v>2289</v>
      </c>
      <c r="W239" s="7" t="str">
        <f>Preencher!$B$3&amp;U239&amp;V239&amp;A239&amp;$W$6</f>
        <v>JARINU-FRG40240MQ.TUNEL DE CG (CONTINUO)</v>
      </c>
      <c r="X239" s="7" t="str">
        <f>Preencher!$B$3&amp;U239&amp;V239&amp;A239&amp;$X$6</f>
        <v>JARINU-FRG40240MQ.TUNEL DE CG (CONTINUO) (1)</v>
      </c>
      <c r="Y239" s="7" t="str">
        <f>Preencher!$B$3&amp;U239&amp;V239&amp;A239&amp;$Y$6</f>
        <v>JARINU-FRG40240MQ.TUNEL DE CG (CONTINUO) (2)</v>
      </c>
      <c r="Z239" s="7" t="str">
        <f>Preencher!$B$3&amp;U239&amp;V239&amp;A239&amp;$Z$6</f>
        <v>JARINU-FRG40240MQ.TUNEL DE CG (CONTINUO) (3)</v>
      </c>
      <c r="AA239" s="7" t="str">
        <f>Preencher!$B$3&amp;U239&amp;V239&amp;A239&amp;$AA$6</f>
        <v>JARINU-FRG40240MQ.TUNEL DE CG (ESTATICO)</v>
      </c>
      <c r="AB239" s="7" t="str">
        <f>Preencher!$B$3&amp;U239&amp;V239&amp;A239&amp;$AB$6</f>
        <v>JARINU-FRG40240MQ.TUNEL DE CG (ESTATICO) (1)</v>
      </c>
      <c r="AC239" s="7" t="str">
        <f>Preencher!$B$3&amp;U239&amp;V239&amp;A239&amp;$AC$6</f>
        <v>JARINU-FRG40240MQ.TUNEL DE CG (ESTATICO) (2)</v>
      </c>
      <c r="AD239" s="327">
        <f>IFERROR(SUMIF('BD Otimix'!A:A,'BD VOLUME'!X239,'BD Otimix'!O:O)+SUMIF('BD Otimix'!A:A,'BD VOLUME'!Y239,'BD Otimix'!O:O)+SUMIF('BD Otimix'!A:A,'BD VOLUME'!Z239,'BD Otimix'!O:O)+SUMIF('BD Otimix'!A:A,'BD VOLUME'!AA239,'BD Otimix'!O:O)+SUMIF('BD Otimix'!A:A,'BD VOLUME'!AB239,'BD Otimix'!O:O)+SUMIF('BD Otimix'!A:A,'BD VOLUME'!AC239,'BD Otimix'!O:O)+SUMIF('BD Otimix'!A:A,'BD VOLUME'!W239,'BD Otimix'!O:O),0)</f>
        <v>0</v>
      </c>
      <c r="AE239" s="327">
        <f t="shared" si="58"/>
        <v>0</v>
      </c>
      <c r="AF239" s="7" t="str">
        <f>Preencher!$B$3&amp;$U$8&amp;$V$8&amp;A239&amp;$AF$6</f>
        <v>JARINU-FRG40240MQ.GIROFREEZER</v>
      </c>
      <c r="AG239" s="7" t="str">
        <f>Preencher!$B$3&amp;$U$8&amp;$V$8&amp;A239&amp;$AG$6</f>
        <v>JARINU-FRG40240MQ.GIROFREEZER (1)</v>
      </c>
      <c r="AH239" s="7" t="str">
        <f>Preencher!$B$3&amp;$U$8&amp;$V$8&amp;A239&amp;$AH$6</f>
        <v>JARINU-FRG40240MQ.GIROFREEZER (2)</v>
      </c>
      <c r="AI239" s="7" t="str">
        <f>Preencher!$B$3&amp;$U$8&amp;$V$8&amp;A239&amp;$AI$6</f>
        <v>JARINU-FRG40240MQ.GIROFREEZER REV04</v>
      </c>
      <c r="AJ239" s="7" t="str">
        <f>Preencher!$B$3&amp;$U$8&amp;$V$8&amp;A239&amp;$AJ$6</f>
        <v>JARINU-FRG40240MQ.GIROFREEZER (3)</v>
      </c>
      <c r="AK239" s="327">
        <f>IFERROR(SUMIF('BD Otimix'!A:A,'BD VOLUME'!AG239,'BD Otimix'!O:O)+SUMIF('BD Otimix'!A:A,'BD VOLUME'!AH239,'BD Otimix'!O:O)+SUMIF('BD Otimix'!A:A,'BD VOLUME'!AI239,'BD Otimix'!O:O)+SUMIF('BD Otimix'!A:A,'BD VOLUME'!AJ239,'BD Otimix'!O:O)+SUMIF('BD Otimix'!A:A,'BD VOLUME'!AF239,'BD Otimix'!O:O),0)</f>
        <v>0</v>
      </c>
      <c r="AL239" s="7">
        <f t="shared" si="59"/>
        <v>0</v>
      </c>
    </row>
    <row r="240" spans="1:38">
      <c r="A240" s="324">
        <v>40258</v>
      </c>
      <c r="B240" s="324" t="s">
        <v>1285</v>
      </c>
      <c r="C240" s="5" t="s">
        <v>1186</v>
      </c>
      <c r="D240" s="5" t="s">
        <v>939</v>
      </c>
      <c r="E240" s="5" t="s">
        <v>1196</v>
      </c>
      <c r="F240" s="132">
        <f>SUMIF('COLAR PLANO'!$A:$A,A240,'COLAR PLANO'!$D:$D)</f>
        <v>0</v>
      </c>
      <c r="G240" s="131">
        <f t="shared" si="57"/>
        <v>0</v>
      </c>
      <c r="H240" s="6">
        <v>0.73870000000000002</v>
      </c>
      <c r="I240" s="7">
        <f t="shared" si="60"/>
        <v>0</v>
      </c>
      <c r="J240" s="130">
        <f t="shared" si="61"/>
        <v>0</v>
      </c>
      <c r="K240" s="327">
        <v>0.9</v>
      </c>
      <c r="L240" s="324">
        <v>10</v>
      </c>
      <c r="M240" s="324">
        <v>9</v>
      </c>
      <c r="N240" s="7">
        <f t="shared" si="55"/>
        <v>0</v>
      </c>
      <c r="O240" s="311"/>
      <c r="P240" s="311">
        <f t="shared" si="56"/>
        <v>0</v>
      </c>
      <c r="Q240" s="7"/>
      <c r="R240" s="7"/>
      <c r="S240" s="7"/>
      <c r="T240" s="7"/>
      <c r="U240" s="7" t="s">
        <v>2288</v>
      </c>
      <c r="V240" s="7" t="s">
        <v>2289</v>
      </c>
      <c r="W240" s="7" t="str">
        <f>Preencher!$B$3&amp;U240&amp;V240&amp;A240&amp;$W$6</f>
        <v>JARINU-FRG40258MQ.TUNEL DE CG (CONTINUO)</v>
      </c>
      <c r="X240" s="7" t="str">
        <f>Preencher!$B$3&amp;U240&amp;V240&amp;A240&amp;$X$6</f>
        <v>JARINU-FRG40258MQ.TUNEL DE CG (CONTINUO) (1)</v>
      </c>
      <c r="Y240" s="7" t="str">
        <f>Preencher!$B$3&amp;U240&amp;V240&amp;A240&amp;$Y$6</f>
        <v>JARINU-FRG40258MQ.TUNEL DE CG (CONTINUO) (2)</v>
      </c>
      <c r="Z240" s="7" t="str">
        <f>Preencher!$B$3&amp;U240&amp;V240&amp;A240&amp;$Z$6</f>
        <v>JARINU-FRG40258MQ.TUNEL DE CG (CONTINUO) (3)</v>
      </c>
      <c r="AA240" s="7" t="str">
        <f>Preencher!$B$3&amp;U240&amp;V240&amp;A240&amp;$AA$6</f>
        <v>JARINU-FRG40258MQ.TUNEL DE CG (ESTATICO)</v>
      </c>
      <c r="AB240" s="7" t="str">
        <f>Preencher!$B$3&amp;U240&amp;V240&amp;A240&amp;$AB$6</f>
        <v>JARINU-FRG40258MQ.TUNEL DE CG (ESTATICO) (1)</v>
      </c>
      <c r="AC240" s="7" t="str">
        <f>Preencher!$B$3&amp;U240&amp;V240&amp;A240&amp;$AC$6</f>
        <v>JARINU-FRG40258MQ.TUNEL DE CG (ESTATICO) (2)</v>
      </c>
      <c r="AD240" s="327">
        <f>IFERROR(SUMIF('BD Otimix'!A:A,'BD VOLUME'!X240,'BD Otimix'!O:O)+SUMIF('BD Otimix'!A:A,'BD VOLUME'!Y240,'BD Otimix'!O:O)+SUMIF('BD Otimix'!A:A,'BD VOLUME'!Z240,'BD Otimix'!O:O)+SUMIF('BD Otimix'!A:A,'BD VOLUME'!AA240,'BD Otimix'!O:O)+SUMIF('BD Otimix'!A:A,'BD VOLUME'!AB240,'BD Otimix'!O:O)+SUMIF('BD Otimix'!A:A,'BD VOLUME'!AC240,'BD Otimix'!O:O)+SUMIF('BD Otimix'!A:A,'BD VOLUME'!W240,'BD Otimix'!O:O),0)</f>
        <v>0</v>
      </c>
      <c r="AE240" s="327">
        <f t="shared" si="58"/>
        <v>0</v>
      </c>
      <c r="AF240" s="7" t="str">
        <f>Preencher!$B$3&amp;$U$8&amp;$V$8&amp;A240&amp;$AF$6</f>
        <v>JARINU-FRG40258MQ.GIROFREEZER</v>
      </c>
      <c r="AG240" s="7" t="str">
        <f>Preencher!$B$3&amp;$U$8&amp;$V$8&amp;A240&amp;$AG$6</f>
        <v>JARINU-FRG40258MQ.GIROFREEZER (1)</v>
      </c>
      <c r="AH240" s="7" t="str">
        <f>Preencher!$B$3&amp;$U$8&amp;$V$8&amp;A240&amp;$AH$6</f>
        <v>JARINU-FRG40258MQ.GIROFREEZER (2)</v>
      </c>
      <c r="AI240" s="7" t="str">
        <f>Preencher!$B$3&amp;$U$8&amp;$V$8&amp;A240&amp;$AI$6</f>
        <v>JARINU-FRG40258MQ.GIROFREEZER REV04</v>
      </c>
      <c r="AJ240" s="7" t="str">
        <f>Preencher!$B$3&amp;$U$8&amp;$V$8&amp;A240&amp;$AJ$6</f>
        <v>JARINU-FRG40258MQ.GIROFREEZER (3)</v>
      </c>
      <c r="AK240" s="327">
        <f>IFERROR(SUMIF('BD Otimix'!A:A,'BD VOLUME'!AG240,'BD Otimix'!O:O)+SUMIF('BD Otimix'!A:A,'BD VOLUME'!AH240,'BD Otimix'!O:O)+SUMIF('BD Otimix'!A:A,'BD VOLUME'!AI240,'BD Otimix'!O:O)+SUMIF('BD Otimix'!A:A,'BD VOLUME'!AJ240,'BD Otimix'!O:O)+SUMIF('BD Otimix'!A:A,'BD VOLUME'!AF240,'BD Otimix'!O:O),0)</f>
        <v>0</v>
      </c>
      <c r="AL240" s="7">
        <f t="shared" si="59"/>
        <v>0</v>
      </c>
    </row>
    <row r="241" spans="1:38">
      <c r="A241" s="324">
        <v>40266</v>
      </c>
      <c r="B241" s="324" t="s">
        <v>1286</v>
      </c>
      <c r="C241" s="5" t="s">
        <v>1187</v>
      </c>
      <c r="D241" s="5" t="s">
        <v>939</v>
      </c>
      <c r="E241" s="5" t="s">
        <v>1196</v>
      </c>
      <c r="F241" s="132">
        <f>SUMIF('COLAR PLANO'!$A:$A,A241,'COLAR PLANO'!$D:$D)</f>
        <v>0</v>
      </c>
      <c r="G241" s="131">
        <f t="shared" si="57"/>
        <v>0</v>
      </c>
      <c r="H241" s="6">
        <v>0.73870000000000002</v>
      </c>
      <c r="I241" s="7">
        <f t="shared" si="60"/>
        <v>0</v>
      </c>
      <c r="J241" s="130">
        <f t="shared" si="61"/>
        <v>0</v>
      </c>
      <c r="K241" s="327">
        <v>1</v>
      </c>
      <c r="L241" s="324">
        <v>10</v>
      </c>
      <c r="M241" s="324">
        <v>10</v>
      </c>
      <c r="N241" s="7">
        <f t="shared" si="55"/>
        <v>0</v>
      </c>
      <c r="O241" s="311"/>
      <c r="P241" s="311">
        <f t="shared" si="56"/>
        <v>0</v>
      </c>
      <c r="Q241" s="7"/>
      <c r="R241" s="7"/>
      <c r="S241" s="7"/>
      <c r="T241" s="7"/>
      <c r="U241" s="7" t="s">
        <v>2288</v>
      </c>
      <c r="V241" s="7" t="s">
        <v>2289</v>
      </c>
      <c r="W241" s="7" t="str">
        <f>Preencher!$B$3&amp;U241&amp;V241&amp;A241&amp;$W$6</f>
        <v>JARINU-FRG40266MQ.TUNEL DE CG (CONTINUO)</v>
      </c>
      <c r="X241" s="7" t="str">
        <f>Preencher!$B$3&amp;U241&amp;V241&amp;A241&amp;$X$6</f>
        <v>JARINU-FRG40266MQ.TUNEL DE CG (CONTINUO) (1)</v>
      </c>
      <c r="Y241" s="7" t="str">
        <f>Preencher!$B$3&amp;U241&amp;V241&amp;A241&amp;$Y$6</f>
        <v>JARINU-FRG40266MQ.TUNEL DE CG (CONTINUO) (2)</v>
      </c>
      <c r="Z241" s="7" t="str">
        <f>Preencher!$B$3&amp;U241&amp;V241&amp;A241&amp;$Z$6</f>
        <v>JARINU-FRG40266MQ.TUNEL DE CG (CONTINUO) (3)</v>
      </c>
      <c r="AA241" s="7" t="str">
        <f>Preencher!$B$3&amp;U241&amp;V241&amp;A241&amp;$AA$6</f>
        <v>JARINU-FRG40266MQ.TUNEL DE CG (ESTATICO)</v>
      </c>
      <c r="AB241" s="7" t="str">
        <f>Preencher!$B$3&amp;U241&amp;V241&amp;A241&amp;$AB$6</f>
        <v>JARINU-FRG40266MQ.TUNEL DE CG (ESTATICO) (1)</v>
      </c>
      <c r="AC241" s="7" t="str">
        <f>Preencher!$B$3&amp;U241&amp;V241&amp;A241&amp;$AC$6</f>
        <v>JARINU-FRG40266MQ.TUNEL DE CG (ESTATICO) (2)</v>
      </c>
      <c r="AD241" s="327">
        <f>IFERROR(SUMIF('BD Otimix'!A:A,'BD VOLUME'!X241,'BD Otimix'!O:O)+SUMIF('BD Otimix'!A:A,'BD VOLUME'!Y241,'BD Otimix'!O:O)+SUMIF('BD Otimix'!A:A,'BD VOLUME'!Z241,'BD Otimix'!O:O)+SUMIF('BD Otimix'!A:A,'BD VOLUME'!AA241,'BD Otimix'!O:O)+SUMIF('BD Otimix'!A:A,'BD VOLUME'!AB241,'BD Otimix'!O:O)+SUMIF('BD Otimix'!A:A,'BD VOLUME'!AC241,'BD Otimix'!O:O)+SUMIF('BD Otimix'!A:A,'BD VOLUME'!W241,'BD Otimix'!O:O),0)</f>
        <v>0</v>
      </c>
      <c r="AE241" s="327">
        <f t="shared" si="58"/>
        <v>0</v>
      </c>
      <c r="AF241" s="7" t="str">
        <f>Preencher!$B$3&amp;$U$8&amp;$V$8&amp;A241&amp;$AF$6</f>
        <v>JARINU-FRG40266MQ.GIROFREEZER</v>
      </c>
      <c r="AG241" s="7" t="str">
        <f>Preencher!$B$3&amp;$U$8&amp;$V$8&amp;A241&amp;$AG$6</f>
        <v>JARINU-FRG40266MQ.GIROFREEZER (1)</v>
      </c>
      <c r="AH241" s="7" t="str">
        <f>Preencher!$B$3&amp;$U$8&amp;$V$8&amp;A241&amp;$AH$6</f>
        <v>JARINU-FRG40266MQ.GIROFREEZER (2)</v>
      </c>
      <c r="AI241" s="7" t="str">
        <f>Preencher!$B$3&amp;$U$8&amp;$V$8&amp;A241&amp;$AI$6</f>
        <v>JARINU-FRG40266MQ.GIROFREEZER REV04</v>
      </c>
      <c r="AJ241" s="7" t="str">
        <f>Preencher!$B$3&amp;$U$8&amp;$V$8&amp;A241&amp;$AJ$6</f>
        <v>JARINU-FRG40266MQ.GIROFREEZER (3)</v>
      </c>
      <c r="AK241" s="327">
        <f>IFERROR(SUMIF('BD Otimix'!A:A,'BD VOLUME'!AG241,'BD Otimix'!O:O)+SUMIF('BD Otimix'!A:A,'BD VOLUME'!AH241,'BD Otimix'!O:O)+SUMIF('BD Otimix'!A:A,'BD VOLUME'!AI241,'BD Otimix'!O:O)+SUMIF('BD Otimix'!A:A,'BD VOLUME'!AJ241,'BD Otimix'!O:O)+SUMIF('BD Otimix'!A:A,'BD VOLUME'!AF241,'BD Otimix'!O:O),0)</f>
        <v>0</v>
      </c>
      <c r="AL241" s="7">
        <f t="shared" si="59"/>
        <v>0</v>
      </c>
    </row>
    <row r="242" spans="1:38">
      <c r="A242" s="324">
        <v>40274</v>
      </c>
      <c r="B242" s="324" t="s">
        <v>1287</v>
      </c>
      <c r="C242" s="5" t="s">
        <v>1188</v>
      </c>
      <c r="D242" s="5" t="s">
        <v>939</v>
      </c>
      <c r="E242" s="5" t="s">
        <v>1196</v>
      </c>
      <c r="F242" s="132">
        <f>SUMIF('COLAR PLANO'!$A:$A,A242,'COLAR PLANO'!$D:$D)</f>
        <v>0</v>
      </c>
      <c r="G242" s="131">
        <f t="shared" si="57"/>
        <v>0</v>
      </c>
      <c r="H242" s="6">
        <v>0.73870000000000002</v>
      </c>
      <c r="I242" s="7">
        <f t="shared" si="60"/>
        <v>0</v>
      </c>
      <c r="J242" s="130">
        <f t="shared" si="61"/>
        <v>0</v>
      </c>
      <c r="K242" s="327">
        <v>1.1000000000000001</v>
      </c>
      <c r="L242" s="324">
        <v>10</v>
      </c>
      <c r="M242" s="324">
        <v>11</v>
      </c>
      <c r="N242" s="7">
        <f t="shared" si="55"/>
        <v>0</v>
      </c>
      <c r="O242" s="311"/>
      <c r="P242" s="311">
        <f t="shared" si="56"/>
        <v>0</v>
      </c>
      <c r="Q242" s="7"/>
      <c r="R242" s="7"/>
      <c r="S242" s="7"/>
      <c r="T242" s="7"/>
      <c r="U242" s="7" t="s">
        <v>2288</v>
      </c>
      <c r="V242" s="7" t="s">
        <v>2289</v>
      </c>
      <c r="W242" s="7" t="str">
        <f>Preencher!$B$3&amp;U242&amp;V242&amp;A242&amp;$W$6</f>
        <v>JARINU-FRG40274MQ.TUNEL DE CG (CONTINUO)</v>
      </c>
      <c r="X242" s="7" t="str">
        <f>Preencher!$B$3&amp;U242&amp;V242&amp;A242&amp;$X$6</f>
        <v>JARINU-FRG40274MQ.TUNEL DE CG (CONTINUO) (1)</v>
      </c>
      <c r="Y242" s="7" t="str">
        <f>Preencher!$B$3&amp;U242&amp;V242&amp;A242&amp;$Y$6</f>
        <v>JARINU-FRG40274MQ.TUNEL DE CG (CONTINUO) (2)</v>
      </c>
      <c r="Z242" s="7" t="str">
        <f>Preencher!$B$3&amp;U242&amp;V242&amp;A242&amp;$Z$6</f>
        <v>JARINU-FRG40274MQ.TUNEL DE CG (CONTINUO) (3)</v>
      </c>
      <c r="AA242" s="7" t="str">
        <f>Preencher!$B$3&amp;U242&amp;V242&amp;A242&amp;$AA$6</f>
        <v>JARINU-FRG40274MQ.TUNEL DE CG (ESTATICO)</v>
      </c>
      <c r="AB242" s="7" t="str">
        <f>Preencher!$B$3&amp;U242&amp;V242&amp;A242&amp;$AB$6</f>
        <v>JARINU-FRG40274MQ.TUNEL DE CG (ESTATICO) (1)</v>
      </c>
      <c r="AC242" s="7" t="str">
        <f>Preencher!$B$3&amp;U242&amp;V242&amp;A242&amp;$AC$6</f>
        <v>JARINU-FRG40274MQ.TUNEL DE CG (ESTATICO) (2)</v>
      </c>
      <c r="AD242" s="327">
        <f>IFERROR(SUMIF('BD Otimix'!A:A,'BD VOLUME'!X242,'BD Otimix'!O:O)+SUMIF('BD Otimix'!A:A,'BD VOLUME'!Y242,'BD Otimix'!O:O)+SUMIF('BD Otimix'!A:A,'BD VOLUME'!Z242,'BD Otimix'!O:O)+SUMIF('BD Otimix'!A:A,'BD VOLUME'!AA242,'BD Otimix'!O:O)+SUMIF('BD Otimix'!A:A,'BD VOLUME'!AB242,'BD Otimix'!O:O)+SUMIF('BD Otimix'!A:A,'BD VOLUME'!AC242,'BD Otimix'!O:O)+SUMIF('BD Otimix'!A:A,'BD VOLUME'!W242,'BD Otimix'!O:O),0)</f>
        <v>0</v>
      </c>
      <c r="AE242" s="327">
        <f t="shared" si="58"/>
        <v>0</v>
      </c>
      <c r="AF242" s="7" t="str">
        <f>Preencher!$B$3&amp;$U$8&amp;$V$8&amp;A242&amp;$AF$6</f>
        <v>JARINU-FRG40274MQ.GIROFREEZER</v>
      </c>
      <c r="AG242" s="7" t="str">
        <f>Preencher!$B$3&amp;$U$8&amp;$V$8&amp;A242&amp;$AG$6</f>
        <v>JARINU-FRG40274MQ.GIROFREEZER (1)</v>
      </c>
      <c r="AH242" s="7" t="str">
        <f>Preencher!$B$3&amp;$U$8&amp;$V$8&amp;A242&amp;$AH$6</f>
        <v>JARINU-FRG40274MQ.GIROFREEZER (2)</v>
      </c>
      <c r="AI242" s="7" t="str">
        <f>Preencher!$B$3&amp;$U$8&amp;$V$8&amp;A242&amp;$AI$6</f>
        <v>JARINU-FRG40274MQ.GIROFREEZER REV04</v>
      </c>
      <c r="AJ242" s="7" t="str">
        <f>Preencher!$B$3&amp;$U$8&amp;$V$8&amp;A242&amp;$AJ$6</f>
        <v>JARINU-FRG40274MQ.GIROFREEZER (3)</v>
      </c>
      <c r="AK242" s="327">
        <f>IFERROR(SUMIF('BD Otimix'!A:A,'BD VOLUME'!AG242,'BD Otimix'!O:O)+SUMIF('BD Otimix'!A:A,'BD VOLUME'!AH242,'BD Otimix'!O:O)+SUMIF('BD Otimix'!A:A,'BD VOLUME'!AI242,'BD Otimix'!O:O)+SUMIF('BD Otimix'!A:A,'BD VOLUME'!AJ242,'BD Otimix'!O:O)+SUMIF('BD Otimix'!A:A,'BD VOLUME'!AF242,'BD Otimix'!O:O),0)</f>
        <v>0</v>
      </c>
      <c r="AL242" s="7">
        <f t="shared" si="59"/>
        <v>0</v>
      </c>
    </row>
    <row r="243" spans="1:38">
      <c r="A243" s="324">
        <v>40282</v>
      </c>
      <c r="B243" s="324" t="s">
        <v>1288</v>
      </c>
      <c r="C243" s="5" t="s">
        <v>1195</v>
      </c>
      <c r="D243" s="5" t="s">
        <v>939</v>
      </c>
      <c r="E243" s="5" t="s">
        <v>1196</v>
      </c>
      <c r="F243" s="132">
        <f>SUMIF('COLAR PLANO'!$A:$A,A243,'COLAR PLANO'!$D:$D)</f>
        <v>0</v>
      </c>
      <c r="G243" s="131">
        <f t="shared" si="57"/>
        <v>0</v>
      </c>
      <c r="H243" s="6">
        <v>0.73870000000000002</v>
      </c>
      <c r="I243" s="7">
        <f t="shared" si="60"/>
        <v>0</v>
      </c>
      <c r="J243" s="130">
        <f t="shared" si="61"/>
        <v>0</v>
      </c>
      <c r="K243" s="327">
        <v>1.2</v>
      </c>
      <c r="L243" s="324">
        <v>10</v>
      </c>
      <c r="M243" s="324">
        <v>12</v>
      </c>
      <c r="N243" s="7">
        <f t="shared" si="55"/>
        <v>0</v>
      </c>
      <c r="O243" s="311"/>
      <c r="P243" s="311">
        <f t="shared" si="56"/>
        <v>0</v>
      </c>
      <c r="Q243" s="7"/>
      <c r="R243" s="7"/>
      <c r="S243" s="7"/>
      <c r="T243" s="7"/>
      <c r="U243" s="7" t="s">
        <v>2288</v>
      </c>
      <c r="V243" s="7" t="s">
        <v>2289</v>
      </c>
      <c r="W243" s="7" t="str">
        <f>Preencher!$B$3&amp;U243&amp;V243&amp;A243&amp;$W$6</f>
        <v>JARINU-FRG40282MQ.TUNEL DE CG (CONTINUO)</v>
      </c>
      <c r="X243" s="7" t="str">
        <f>Preencher!$B$3&amp;U243&amp;V243&amp;A243&amp;$X$6</f>
        <v>JARINU-FRG40282MQ.TUNEL DE CG (CONTINUO) (1)</v>
      </c>
      <c r="Y243" s="7" t="str">
        <f>Preencher!$B$3&amp;U243&amp;V243&amp;A243&amp;$Y$6</f>
        <v>JARINU-FRG40282MQ.TUNEL DE CG (CONTINUO) (2)</v>
      </c>
      <c r="Z243" s="7" t="str">
        <f>Preencher!$B$3&amp;U243&amp;V243&amp;A243&amp;$Z$6</f>
        <v>JARINU-FRG40282MQ.TUNEL DE CG (CONTINUO) (3)</v>
      </c>
      <c r="AA243" s="7" t="str">
        <f>Preencher!$B$3&amp;U243&amp;V243&amp;A243&amp;$AA$6</f>
        <v>JARINU-FRG40282MQ.TUNEL DE CG (ESTATICO)</v>
      </c>
      <c r="AB243" s="7" t="str">
        <f>Preencher!$B$3&amp;U243&amp;V243&amp;A243&amp;$AB$6</f>
        <v>JARINU-FRG40282MQ.TUNEL DE CG (ESTATICO) (1)</v>
      </c>
      <c r="AC243" s="7" t="str">
        <f>Preencher!$B$3&amp;U243&amp;V243&amp;A243&amp;$AC$6</f>
        <v>JARINU-FRG40282MQ.TUNEL DE CG (ESTATICO) (2)</v>
      </c>
      <c r="AD243" s="327">
        <f>IFERROR(SUMIF('BD Otimix'!A:A,'BD VOLUME'!X243,'BD Otimix'!O:O)+SUMIF('BD Otimix'!A:A,'BD VOLUME'!Y243,'BD Otimix'!O:O)+SUMIF('BD Otimix'!A:A,'BD VOLUME'!Z243,'BD Otimix'!O:O)+SUMIF('BD Otimix'!A:A,'BD VOLUME'!AA243,'BD Otimix'!O:O)+SUMIF('BD Otimix'!A:A,'BD VOLUME'!AB243,'BD Otimix'!O:O)+SUMIF('BD Otimix'!A:A,'BD VOLUME'!AC243,'BD Otimix'!O:O)+SUMIF('BD Otimix'!A:A,'BD VOLUME'!W243,'BD Otimix'!O:O),0)</f>
        <v>0</v>
      </c>
      <c r="AE243" s="327">
        <f t="shared" si="58"/>
        <v>0</v>
      </c>
      <c r="AF243" s="7" t="str">
        <f>Preencher!$B$3&amp;$U$8&amp;$V$8&amp;A243&amp;$AF$6</f>
        <v>JARINU-FRG40282MQ.GIROFREEZER</v>
      </c>
      <c r="AG243" s="7" t="str">
        <f>Preencher!$B$3&amp;$U$8&amp;$V$8&amp;A243&amp;$AG$6</f>
        <v>JARINU-FRG40282MQ.GIROFREEZER (1)</v>
      </c>
      <c r="AH243" s="7" t="str">
        <f>Preencher!$B$3&amp;$U$8&amp;$V$8&amp;A243&amp;$AH$6</f>
        <v>JARINU-FRG40282MQ.GIROFREEZER (2)</v>
      </c>
      <c r="AI243" s="7" t="str">
        <f>Preencher!$B$3&amp;$U$8&amp;$V$8&amp;A243&amp;$AI$6</f>
        <v>JARINU-FRG40282MQ.GIROFREEZER REV04</v>
      </c>
      <c r="AJ243" s="7" t="str">
        <f>Preencher!$B$3&amp;$U$8&amp;$V$8&amp;A243&amp;$AJ$6</f>
        <v>JARINU-FRG40282MQ.GIROFREEZER (3)</v>
      </c>
      <c r="AK243" s="327">
        <f>IFERROR(SUMIF('BD Otimix'!A:A,'BD VOLUME'!AG243,'BD Otimix'!O:O)+SUMIF('BD Otimix'!A:A,'BD VOLUME'!AH243,'BD Otimix'!O:O)+SUMIF('BD Otimix'!A:A,'BD VOLUME'!AI243,'BD Otimix'!O:O)+SUMIF('BD Otimix'!A:A,'BD VOLUME'!AJ243,'BD Otimix'!O:O)+SUMIF('BD Otimix'!A:A,'BD VOLUME'!AF243,'BD Otimix'!O:O),0)</f>
        <v>0</v>
      </c>
      <c r="AL243" s="7">
        <f t="shared" si="59"/>
        <v>0</v>
      </c>
    </row>
    <row r="244" spans="1:38">
      <c r="A244" s="324">
        <v>40290</v>
      </c>
      <c r="B244" s="324" t="s">
        <v>1289</v>
      </c>
      <c r="C244" s="5" t="s">
        <v>1225</v>
      </c>
      <c r="D244" s="5" t="s">
        <v>939</v>
      </c>
      <c r="E244" s="5" t="s">
        <v>1196</v>
      </c>
      <c r="F244" s="132">
        <f>SUMIF('COLAR PLANO'!$A:$A,A244,'COLAR PLANO'!$D:$D)</f>
        <v>0</v>
      </c>
      <c r="G244" s="131">
        <f t="shared" si="57"/>
        <v>0</v>
      </c>
      <c r="H244" s="6">
        <v>0.73870000000000002</v>
      </c>
      <c r="I244" s="7">
        <f t="shared" si="60"/>
        <v>0</v>
      </c>
      <c r="J244" s="130">
        <f t="shared" si="61"/>
        <v>0</v>
      </c>
      <c r="K244" s="327">
        <v>1.3</v>
      </c>
      <c r="L244" s="324">
        <v>10</v>
      </c>
      <c r="M244" s="324">
        <v>13</v>
      </c>
      <c r="N244" s="7">
        <f t="shared" si="55"/>
        <v>0</v>
      </c>
      <c r="O244" s="311"/>
      <c r="P244" s="311">
        <f t="shared" si="56"/>
        <v>0</v>
      </c>
      <c r="Q244" s="7"/>
      <c r="R244" s="7"/>
      <c r="S244" s="7"/>
      <c r="T244" s="7"/>
      <c r="U244" s="7" t="s">
        <v>2288</v>
      </c>
      <c r="V244" s="7" t="s">
        <v>2289</v>
      </c>
      <c r="W244" s="7" t="str">
        <f>Preencher!$B$3&amp;U244&amp;V244&amp;A244&amp;$W$6</f>
        <v>JARINU-FRG40290MQ.TUNEL DE CG (CONTINUO)</v>
      </c>
      <c r="X244" s="7" t="str">
        <f>Preencher!$B$3&amp;U244&amp;V244&amp;A244&amp;$X$6</f>
        <v>JARINU-FRG40290MQ.TUNEL DE CG (CONTINUO) (1)</v>
      </c>
      <c r="Y244" s="7" t="str">
        <f>Preencher!$B$3&amp;U244&amp;V244&amp;A244&amp;$Y$6</f>
        <v>JARINU-FRG40290MQ.TUNEL DE CG (CONTINUO) (2)</v>
      </c>
      <c r="Z244" s="7" t="str">
        <f>Preencher!$B$3&amp;U244&amp;V244&amp;A244&amp;$Z$6</f>
        <v>JARINU-FRG40290MQ.TUNEL DE CG (CONTINUO) (3)</v>
      </c>
      <c r="AA244" s="7" t="str">
        <f>Preencher!$B$3&amp;U244&amp;V244&amp;A244&amp;$AA$6</f>
        <v>JARINU-FRG40290MQ.TUNEL DE CG (ESTATICO)</v>
      </c>
      <c r="AB244" s="7" t="str">
        <f>Preencher!$B$3&amp;U244&amp;V244&amp;A244&amp;$AB$6</f>
        <v>JARINU-FRG40290MQ.TUNEL DE CG (ESTATICO) (1)</v>
      </c>
      <c r="AC244" s="7" t="str">
        <f>Preencher!$B$3&amp;U244&amp;V244&amp;A244&amp;$AC$6</f>
        <v>JARINU-FRG40290MQ.TUNEL DE CG (ESTATICO) (2)</v>
      </c>
      <c r="AD244" s="327">
        <f>IFERROR(SUMIF('BD Otimix'!A:A,'BD VOLUME'!X244,'BD Otimix'!O:O)+SUMIF('BD Otimix'!A:A,'BD VOLUME'!Y244,'BD Otimix'!O:O)+SUMIF('BD Otimix'!A:A,'BD VOLUME'!Z244,'BD Otimix'!O:O)+SUMIF('BD Otimix'!A:A,'BD VOLUME'!AA244,'BD Otimix'!O:O)+SUMIF('BD Otimix'!A:A,'BD VOLUME'!AB244,'BD Otimix'!O:O)+SUMIF('BD Otimix'!A:A,'BD VOLUME'!AC244,'BD Otimix'!O:O)+SUMIF('BD Otimix'!A:A,'BD VOLUME'!W244,'BD Otimix'!O:O),0)</f>
        <v>0</v>
      </c>
      <c r="AE244" s="327">
        <f t="shared" si="58"/>
        <v>0</v>
      </c>
      <c r="AF244" s="7" t="str">
        <f>Preencher!$B$3&amp;$U$8&amp;$V$8&amp;A244&amp;$AF$6</f>
        <v>JARINU-FRG40290MQ.GIROFREEZER</v>
      </c>
      <c r="AG244" s="7" t="str">
        <f>Preencher!$B$3&amp;$U$8&amp;$V$8&amp;A244&amp;$AG$6</f>
        <v>JARINU-FRG40290MQ.GIROFREEZER (1)</v>
      </c>
      <c r="AH244" s="7" t="str">
        <f>Preencher!$B$3&amp;$U$8&amp;$V$8&amp;A244&amp;$AH$6</f>
        <v>JARINU-FRG40290MQ.GIROFREEZER (2)</v>
      </c>
      <c r="AI244" s="7" t="str">
        <f>Preencher!$B$3&amp;$U$8&amp;$V$8&amp;A244&amp;$AI$6</f>
        <v>JARINU-FRG40290MQ.GIROFREEZER REV04</v>
      </c>
      <c r="AJ244" s="7" t="str">
        <f>Preencher!$B$3&amp;$U$8&amp;$V$8&amp;A244&amp;$AJ$6</f>
        <v>JARINU-FRG40290MQ.GIROFREEZER (3)</v>
      </c>
      <c r="AK244" s="327">
        <f>IFERROR(SUMIF('BD Otimix'!A:A,'BD VOLUME'!AG244,'BD Otimix'!O:O)+SUMIF('BD Otimix'!A:A,'BD VOLUME'!AH244,'BD Otimix'!O:O)+SUMIF('BD Otimix'!A:A,'BD VOLUME'!AI244,'BD Otimix'!O:O)+SUMIF('BD Otimix'!A:A,'BD VOLUME'!AJ244,'BD Otimix'!O:O)+SUMIF('BD Otimix'!A:A,'BD VOLUME'!AF244,'BD Otimix'!O:O),0)</f>
        <v>0</v>
      </c>
      <c r="AL244" s="7">
        <f t="shared" si="59"/>
        <v>0</v>
      </c>
    </row>
    <row r="245" spans="1:38">
      <c r="A245" s="324">
        <v>42463</v>
      </c>
      <c r="B245" s="324" t="s">
        <v>1290</v>
      </c>
      <c r="C245" s="5" t="s">
        <v>1185</v>
      </c>
      <c r="D245" s="5" t="s">
        <v>939</v>
      </c>
      <c r="E245" s="5" t="s">
        <v>1196</v>
      </c>
      <c r="F245" s="132">
        <f>SUMIF('COLAR PLANO'!$A:$A,A245,'COLAR PLANO'!$D:$D)</f>
        <v>0</v>
      </c>
      <c r="G245" s="131">
        <f t="shared" si="57"/>
        <v>0</v>
      </c>
      <c r="H245" s="6">
        <v>0.73870000000000002</v>
      </c>
      <c r="I245" s="7">
        <f t="shared" si="60"/>
        <v>0</v>
      </c>
      <c r="J245" s="130">
        <f t="shared" si="61"/>
        <v>0</v>
      </c>
      <c r="K245" s="327">
        <v>0.8</v>
      </c>
      <c r="L245" s="324">
        <v>10</v>
      </c>
      <c r="M245" s="324">
        <v>8</v>
      </c>
      <c r="N245" s="7">
        <f t="shared" si="55"/>
        <v>0</v>
      </c>
      <c r="O245" s="311"/>
      <c r="P245" s="311">
        <f t="shared" si="56"/>
        <v>0</v>
      </c>
      <c r="Q245" s="7"/>
      <c r="R245" s="7"/>
      <c r="S245" s="7"/>
      <c r="T245" s="7"/>
      <c r="U245" s="7" t="s">
        <v>2288</v>
      </c>
      <c r="V245" s="7" t="s">
        <v>2289</v>
      </c>
      <c r="W245" s="7" t="str">
        <f>Preencher!$B$3&amp;U245&amp;V245&amp;A245&amp;$W$6</f>
        <v>JARINU-FRG42463MQ.TUNEL DE CG (CONTINUO)</v>
      </c>
      <c r="X245" s="7" t="str">
        <f>Preencher!$B$3&amp;U245&amp;V245&amp;A245&amp;$X$6</f>
        <v>JARINU-FRG42463MQ.TUNEL DE CG (CONTINUO) (1)</v>
      </c>
      <c r="Y245" s="7" t="str">
        <f>Preencher!$B$3&amp;U245&amp;V245&amp;A245&amp;$Y$6</f>
        <v>JARINU-FRG42463MQ.TUNEL DE CG (CONTINUO) (2)</v>
      </c>
      <c r="Z245" s="7" t="str">
        <f>Preencher!$B$3&amp;U245&amp;V245&amp;A245&amp;$Z$6</f>
        <v>JARINU-FRG42463MQ.TUNEL DE CG (CONTINUO) (3)</v>
      </c>
      <c r="AA245" s="7" t="str">
        <f>Preencher!$B$3&amp;U245&amp;V245&amp;A245&amp;$AA$6</f>
        <v>JARINU-FRG42463MQ.TUNEL DE CG (ESTATICO)</v>
      </c>
      <c r="AB245" s="7" t="str">
        <f>Preencher!$B$3&amp;U245&amp;V245&amp;A245&amp;$AB$6</f>
        <v>JARINU-FRG42463MQ.TUNEL DE CG (ESTATICO) (1)</v>
      </c>
      <c r="AC245" s="7" t="str">
        <f>Preencher!$B$3&amp;U245&amp;V245&amp;A245&amp;$AC$6</f>
        <v>JARINU-FRG42463MQ.TUNEL DE CG (ESTATICO) (2)</v>
      </c>
      <c r="AD245" s="327">
        <f>IFERROR(SUMIF('BD Otimix'!A:A,'BD VOLUME'!X245,'BD Otimix'!O:O)+SUMIF('BD Otimix'!A:A,'BD VOLUME'!Y245,'BD Otimix'!O:O)+SUMIF('BD Otimix'!A:A,'BD VOLUME'!Z245,'BD Otimix'!O:O)+SUMIF('BD Otimix'!A:A,'BD VOLUME'!AA245,'BD Otimix'!O:O)+SUMIF('BD Otimix'!A:A,'BD VOLUME'!AB245,'BD Otimix'!O:O)+SUMIF('BD Otimix'!A:A,'BD VOLUME'!AC245,'BD Otimix'!O:O)+SUMIF('BD Otimix'!A:A,'BD VOLUME'!W245,'BD Otimix'!O:O),0)</f>
        <v>0</v>
      </c>
      <c r="AE245" s="327">
        <f t="shared" si="58"/>
        <v>0</v>
      </c>
      <c r="AF245" s="7" t="str">
        <f>Preencher!$B$3&amp;$U$8&amp;$V$8&amp;A245&amp;$AF$6</f>
        <v>JARINU-FRG42463MQ.GIROFREEZER</v>
      </c>
      <c r="AG245" s="7" t="str">
        <f>Preencher!$B$3&amp;$U$8&amp;$V$8&amp;A245&amp;$AG$6</f>
        <v>JARINU-FRG42463MQ.GIROFREEZER (1)</v>
      </c>
      <c r="AH245" s="7" t="str">
        <f>Preencher!$B$3&amp;$U$8&amp;$V$8&amp;A245&amp;$AH$6</f>
        <v>JARINU-FRG42463MQ.GIROFREEZER (2)</v>
      </c>
      <c r="AI245" s="7" t="str">
        <f>Preencher!$B$3&amp;$U$8&amp;$V$8&amp;A245&amp;$AI$6</f>
        <v>JARINU-FRG42463MQ.GIROFREEZER REV04</v>
      </c>
      <c r="AJ245" s="7" t="str">
        <f>Preencher!$B$3&amp;$U$8&amp;$V$8&amp;A245&amp;$AJ$6</f>
        <v>JARINU-FRG42463MQ.GIROFREEZER (3)</v>
      </c>
      <c r="AK245" s="327">
        <f>IFERROR(SUMIF('BD Otimix'!A:A,'BD VOLUME'!AG245,'BD Otimix'!O:O)+SUMIF('BD Otimix'!A:A,'BD VOLUME'!AH245,'BD Otimix'!O:O)+SUMIF('BD Otimix'!A:A,'BD VOLUME'!AI245,'BD Otimix'!O:O)+SUMIF('BD Otimix'!A:A,'BD VOLUME'!AJ245,'BD Otimix'!O:O)+SUMIF('BD Otimix'!A:A,'BD VOLUME'!AF245,'BD Otimix'!O:O),0)</f>
        <v>0</v>
      </c>
      <c r="AL245" s="7">
        <f t="shared" si="59"/>
        <v>0</v>
      </c>
    </row>
    <row r="246" spans="1:38">
      <c r="A246" s="324">
        <v>42471</v>
      </c>
      <c r="B246" s="324" t="s">
        <v>1291</v>
      </c>
      <c r="C246" s="5" t="s">
        <v>1186</v>
      </c>
      <c r="D246" s="5" t="s">
        <v>939</v>
      </c>
      <c r="E246" s="5" t="s">
        <v>1196</v>
      </c>
      <c r="F246" s="132">
        <f>SUMIF('COLAR PLANO'!$A:$A,A246,'COLAR PLANO'!$D:$D)</f>
        <v>0</v>
      </c>
      <c r="G246" s="131">
        <f t="shared" si="57"/>
        <v>0</v>
      </c>
      <c r="H246" s="6">
        <v>0.73870000000000002</v>
      </c>
      <c r="I246" s="7">
        <f t="shared" si="60"/>
        <v>0</v>
      </c>
      <c r="J246" s="130">
        <f t="shared" si="61"/>
        <v>0</v>
      </c>
      <c r="K246" s="327">
        <v>0.9</v>
      </c>
      <c r="L246" s="324">
        <v>10</v>
      </c>
      <c r="M246" s="324">
        <v>9</v>
      </c>
      <c r="N246" s="7">
        <f t="shared" si="55"/>
        <v>0</v>
      </c>
      <c r="O246" s="311"/>
      <c r="P246" s="311">
        <f t="shared" si="56"/>
        <v>0</v>
      </c>
      <c r="Q246" s="7"/>
      <c r="R246" s="7"/>
      <c r="S246" s="7"/>
      <c r="T246" s="7"/>
      <c r="U246" s="7" t="s">
        <v>2288</v>
      </c>
      <c r="V246" s="7" t="s">
        <v>2289</v>
      </c>
      <c r="W246" s="7" t="str">
        <f>Preencher!$B$3&amp;U246&amp;V246&amp;A246&amp;$W$6</f>
        <v>JARINU-FRG42471MQ.TUNEL DE CG (CONTINUO)</v>
      </c>
      <c r="X246" s="7" t="str">
        <f>Preencher!$B$3&amp;U246&amp;V246&amp;A246&amp;$X$6</f>
        <v>JARINU-FRG42471MQ.TUNEL DE CG (CONTINUO) (1)</v>
      </c>
      <c r="Y246" s="7" t="str">
        <f>Preencher!$B$3&amp;U246&amp;V246&amp;A246&amp;$Y$6</f>
        <v>JARINU-FRG42471MQ.TUNEL DE CG (CONTINUO) (2)</v>
      </c>
      <c r="Z246" s="7" t="str">
        <f>Preencher!$B$3&amp;U246&amp;V246&amp;A246&amp;$Z$6</f>
        <v>JARINU-FRG42471MQ.TUNEL DE CG (CONTINUO) (3)</v>
      </c>
      <c r="AA246" s="7" t="str">
        <f>Preencher!$B$3&amp;U246&amp;V246&amp;A246&amp;$AA$6</f>
        <v>JARINU-FRG42471MQ.TUNEL DE CG (ESTATICO)</v>
      </c>
      <c r="AB246" s="7" t="str">
        <f>Preencher!$B$3&amp;U246&amp;V246&amp;A246&amp;$AB$6</f>
        <v>JARINU-FRG42471MQ.TUNEL DE CG (ESTATICO) (1)</v>
      </c>
      <c r="AC246" s="7" t="str">
        <f>Preencher!$B$3&amp;U246&amp;V246&amp;A246&amp;$AC$6</f>
        <v>JARINU-FRG42471MQ.TUNEL DE CG (ESTATICO) (2)</v>
      </c>
      <c r="AD246" s="327">
        <f>IFERROR(SUMIF('BD Otimix'!A:A,'BD VOLUME'!X246,'BD Otimix'!O:O)+SUMIF('BD Otimix'!A:A,'BD VOLUME'!Y246,'BD Otimix'!O:O)+SUMIF('BD Otimix'!A:A,'BD VOLUME'!Z246,'BD Otimix'!O:O)+SUMIF('BD Otimix'!A:A,'BD VOLUME'!AA246,'BD Otimix'!O:O)+SUMIF('BD Otimix'!A:A,'BD VOLUME'!AB246,'BD Otimix'!O:O)+SUMIF('BD Otimix'!A:A,'BD VOLUME'!AC246,'BD Otimix'!O:O)+SUMIF('BD Otimix'!A:A,'BD VOLUME'!W246,'BD Otimix'!O:O),0)</f>
        <v>0</v>
      </c>
      <c r="AE246" s="327">
        <f t="shared" si="58"/>
        <v>0</v>
      </c>
      <c r="AF246" s="7" t="str">
        <f>Preencher!$B$3&amp;$U$8&amp;$V$8&amp;A246&amp;$AF$6</f>
        <v>JARINU-FRG42471MQ.GIROFREEZER</v>
      </c>
      <c r="AG246" s="7" t="str">
        <f>Preencher!$B$3&amp;$U$8&amp;$V$8&amp;A246&amp;$AG$6</f>
        <v>JARINU-FRG42471MQ.GIROFREEZER (1)</v>
      </c>
      <c r="AH246" s="7" t="str">
        <f>Preencher!$B$3&amp;$U$8&amp;$V$8&amp;A246&amp;$AH$6</f>
        <v>JARINU-FRG42471MQ.GIROFREEZER (2)</v>
      </c>
      <c r="AI246" s="7" t="str">
        <f>Preencher!$B$3&amp;$U$8&amp;$V$8&amp;A246&amp;$AI$6</f>
        <v>JARINU-FRG42471MQ.GIROFREEZER REV04</v>
      </c>
      <c r="AJ246" s="7" t="str">
        <f>Preencher!$B$3&amp;$U$8&amp;$V$8&amp;A246&amp;$AJ$6</f>
        <v>JARINU-FRG42471MQ.GIROFREEZER (3)</v>
      </c>
      <c r="AK246" s="327">
        <f>IFERROR(SUMIF('BD Otimix'!A:A,'BD VOLUME'!AG246,'BD Otimix'!O:O)+SUMIF('BD Otimix'!A:A,'BD VOLUME'!AH246,'BD Otimix'!O:O)+SUMIF('BD Otimix'!A:A,'BD VOLUME'!AI246,'BD Otimix'!O:O)+SUMIF('BD Otimix'!A:A,'BD VOLUME'!AJ246,'BD Otimix'!O:O)+SUMIF('BD Otimix'!A:A,'BD VOLUME'!AF246,'BD Otimix'!O:O),0)</f>
        <v>0</v>
      </c>
      <c r="AL246" s="7">
        <f t="shared" si="59"/>
        <v>0</v>
      </c>
    </row>
    <row r="247" spans="1:38">
      <c r="A247" s="324">
        <v>42480</v>
      </c>
      <c r="B247" s="324" t="s">
        <v>1292</v>
      </c>
      <c r="C247" s="5" t="s">
        <v>1187</v>
      </c>
      <c r="D247" s="5" t="s">
        <v>939</v>
      </c>
      <c r="E247" s="5" t="s">
        <v>1196</v>
      </c>
      <c r="F247" s="132">
        <f>SUMIF('COLAR PLANO'!$A:$A,A247,'COLAR PLANO'!$D:$D)</f>
        <v>0</v>
      </c>
      <c r="G247" s="131">
        <f t="shared" si="57"/>
        <v>0</v>
      </c>
      <c r="H247" s="6">
        <v>0.73870000000000002</v>
      </c>
      <c r="I247" s="7">
        <f t="shared" si="60"/>
        <v>0</v>
      </c>
      <c r="J247" s="130">
        <f t="shared" si="61"/>
        <v>0</v>
      </c>
      <c r="K247" s="327">
        <v>1</v>
      </c>
      <c r="L247" s="324">
        <v>10</v>
      </c>
      <c r="M247" s="324">
        <v>10</v>
      </c>
      <c r="N247" s="7">
        <f t="shared" si="55"/>
        <v>0</v>
      </c>
      <c r="O247" s="311"/>
      <c r="P247" s="311">
        <f t="shared" si="56"/>
        <v>0</v>
      </c>
      <c r="Q247" s="7"/>
      <c r="R247" s="7"/>
      <c r="S247" s="7"/>
      <c r="T247" s="7"/>
      <c r="U247" s="7" t="s">
        <v>2288</v>
      </c>
      <c r="V247" s="7" t="s">
        <v>2289</v>
      </c>
      <c r="W247" s="7" t="str">
        <f>Preencher!$B$3&amp;U247&amp;V247&amp;A247&amp;$W$6</f>
        <v>JARINU-FRG42480MQ.TUNEL DE CG (CONTINUO)</v>
      </c>
      <c r="X247" s="7" t="str">
        <f>Preencher!$B$3&amp;U247&amp;V247&amp;A247&amp;$X$6</f>
        <v>JARINU-FRG42480MQ.TUNEL DE CG (CONTINUO) (1)</v>
      </c>
      <c r="Y247" s="7" t="str">
        <f>Preencher!$B$3&amp;U247&amp;V247&amp;A247&amp;$Y$6</f>
        <v>JARINU-FRG42480MQ.TUNEL DE CG (CONTINUO) (2)</v>
      </c>
      <c r="Z247" s="7" t="str">
        <f>Preencher!$B$3&amp;U247&amp;V247&amp;A247&amp;$Z$6</f>
        <v>JARINU-FRG42480MQ.TUNEL DE CG (CONTINUO) (3)</v>
      </c>
      <c r="AA247" s="7" t="str">
        <f>Preencher!$B$3&amp;U247&amp;V247&amp;A247&amp;$AA$6</f>
        <v>JARINU-FRG42480MQ.TUNEL DE CG (ESTATICO)</v>
      </c>
      <c r="AB247" s="7" t="str">
        <f>Preencher!$B$3&amp;U247&amp;V247&amp;A247&amp;$AB$6</f>
        <v>JARINU-FRG42480MQ.TUNEL DE CG (ESTATICO) (1)</v>
      </c>
      <c r="AC247" s="7" t="str">
        <f>Preencher!$B$3&amp;U247&amp;V247&amp;A247&amp;$AC$6</f>
        <v>JARINU-FRG42480MQ.TUNEL DE CG (ESTATICO) (2)</v>
      </c>
      <c r="AD247" s="327">
        <f>IFERROR(SUMIF('BD Otimix'!A:A,'BD VOLUME'!X247,'BD Otimix'!O:O)+SUMIF('BD Otimix'!A:A,'BD VOLUME'!Y247,'BD Otimix'!O:O)+SUMIF('BD Otimix'!A:A,'BD VOLUME'!Z247,'BD Otimix'!O:O)+SUMIF('BD Otimix'!A:A,'BD VOLUME'!AA247,'BD Otimix'!O:O)+SUMIF('BD Otimix'!A:A,'BD VOLUME'!AB247,'BD Otimix'!O:O)+SUMIF('BD Otimix'!A:A,'BD VOLUME'!AC247,'BD Otimix'!O:O)+SUMIF('BD Otimix'!A:A,'BD VOLUME'!W247,'BD Otimix'!O:O),0)</f>
        <v>0</v>
      </c>
      <c r="AE247" s="327">
        <f t="shared" si="58"/>
        <v>0</v>
      </c>
      <c r="AF247" s="7" t="str">
        <f>Preencher!$B$3&amp;$U$8&amp;$V$8&amp;A247&amp;$AF$6</f>
        <v>JARINU-FRG42480MQ.GIROFREEZER</v>
      </c>
      <c r="AG247" s="7" t="str">
        <f>Preencher!$B$3&amp;$U$8&amp;$V$8&amp;A247&amp;$AG$6</f>
        <v>JARINU-FRG42480MQ.GIROFREEZER (1)</v>
      </c>
      <c r="AH247" s="7" t="str">
        <f>Preencher!$B$3&amp;$U$8&amp;$V$8&amp;A247&amp;$AH$6</f>
        <v>JARINU-FRG42480MQ.GIROFREEZER (2)</v>
      </c>
      <c r="AI247" s="7" t="str">
        <f>Preencher!$B$3&amp;$U$8&amp;$V$8&amp;A247&amp;$AI$6</f>
        <v>JARINU-FRG42480MQ.GIROFREEZER REV04</v>
      </c>
      <c r="AJ247" s="7" t="str">
        <f>Preencher!$B$3&amp;$U$8&amp;$V$8&amp;A247&amp;$AJ$6</f>
        <v>JARINU-FRG42480MQ.GIROFREEZER (3)</v>
      </c>
      <c r="AK247" s="327">
        <f>IFERROR(SUMIF('BD Otimix'!A:A,'BD VOLUME'!AG247,'BD Otimix'!O:O)+SUMIF('BD Otimix'!A:A,'BD VOLUME'!AH247,'BD Otimix'!O:O)+SUMIF('BD Otimix'!A:A,'BD VOLUME'!AI247,'BD Otimix'!O:O)+SUMIF('BD Otimix'!A:A,'BD VOLUME'!AJ247,'BD Otimix'!O:O)+SUMIF('BD Otimix'!A:A,'BD VOLUME'!AF247,'BD Otimix'!O:O),0)</f>
        <v>0</v>
      </c>
      <c r="AL247" s="7">
        <f t="shared" si="59"/>
        <v>0</v>
      </c>
    </row>
    <row r="248" spans="1:38">
      <c r="A248" s="324">
        <v>42498</v>
      </c>
      <c r="B248" s="324" t="s">
        <v>1293</v>
      </c>
      <c r="C248" s="5" t="s">
        <v>1188</v>
      </c>
      <c r="D248" s="5" t="s">
        <v>939</v>
      </c>
      <c r="E248" s="5" t="s">
        <v>1196</v>
      </c>
      <c r="F248" s="132">
        <f>SUMIF('COLAR PLANO'!$A:$A,A248,'COLAR PLANO'!$D:$D)</f>
        <v>0</v>
      </c>
      <c r="G248" s="131">
        <f t="shared" si="57"/>
        <v>0</v>
      </c>
      <c r="H248" s="6">
        <v>0.73870000000000002</v>
      </c>
      <c r="I248" s="7">
        <f t="shared" si="60"/>
        <v>0</v>
      </c>
      <c r="J248" s="130">
        <f t="shared" si="61"/>
        <v>0</v>
      </c>
      <c r="K248" s="327">
        <v>1.1000000000000001</v>
      </c>
      <c r="L248" s="324">
        <v>10</v>
      </c>
      <c r="M248" s="324">
        <v>11</v>
      </c>
      <c r="N248" s="7">
        <f t="shared" si="55"/>
        <v>0</v>
      </c>
      <c r="O248" s="311"/>
      <c r="P248" s="311">
        <f t="shared" si="56"/>
        <v>0</v>
      </c>
      <c r="Q248" s="7"/>
      <c r="R248" s="7"/>
      <c r="S248" s="7"/>
      <c r="T248" s="7"/>
      <c r="U248" s="7" t="s">
        <v>2288</v>
      </c>
      <c r="V248" s="7" t="s">
        <v>2289</v>
      </c>
      <c r="W248" s="7" t="str">
        <f>Preencher!$B$3&amp;U248&amp;V248&amp;A248&amp;$W$6</f>
        <v>JARINU-FRG42498MQ.TUNEL DE CG (CONTINUO)</v>
      </c>
      <c r="X248" s="7" t="str">
        <f>Preencher!$B$3&amp;U248&amp;V248&amp;A248&amp;$X$6</f>
        <v>JARINU-FRG42498MQ.TUNEL DE CG (CONTINUO) (1)</v>
      </c>
      <c r="Y248" s="7" t="str">
        <f>Preencher!$B$3&amp;U248&amp;V248&amp;A248&amp;$Y$6</f>
        <v>JARINU-FRG42498MQ.TUNEL DE CG (CONTINUO) (2)</v>
      </c>
      <c r="Z248" s="7" t="str">
        <f>Preencher!$B$3&amp;U248&amp;V248&amp;A248&amp;$Z$6</f>
        <v>JARINU-FRG42498MQ.TUNEL DE CG (CONTINUO) (3)</v>
      </c>
      <c r="AA248" s="7" t="str">
        <f>Preencher!$B$3&amp;U248&amp;V248&amp;A248&amp;$AA$6</f>
        <v>JARINU-FRG42498MQ.TUNEL DE CG (ESTATICO)</v>
      </c>
      <c r="AB248" s="7" t="str">
        <f>Preencher!$B$3&amp;U248&amp;V248&amp;A248&amp;$AB$6</f>
        <v>JARINU-FRG42498MQ.TUNEL DE CG (ESTATICO) (1)</v>
      </c>
      <c r="AC248" s="7" t="str">
        <f>Preencher!$B$3&amp;U248&amp;V248&amp;A248&amp;$AC$6</f>
        <v>JARINU-FRG42498MQ.TUNEL DE CG (ESTATICO) (2)</v>
      </c>
      <c r="AD248" s="327">
        <f>IFERROR(SUMIF('BD Otimix'!A:A,'BD VOLUME'!X248,'BD Otimix'!O:O)+SUMIF('BD Otimix'!A:A,'BD VOLUME'!Y248,'BD Otimix'!O:O)+SUMIF('BD Otimix'!A:A,'BD VOLUME'!Z248,'BD Otimix'!O:O)+SUMIF('BD Otimix'!A:A,'BD VOLUME'!AA248,'BD Otimix'!O:O)+SUMIF('BD Otimix'!A:A,'BD VOLUME'!AB248,'BD Otimix'!O:O)+SUMIF('BD Otimix'!A:A,'BD VOLUME'!AC248,'BD Otimix'!O:O)+SUMIF('BD Otimix'!A:A,'BD VOLUME'!W248,'BD Otimix'!O:O),0)</f>
        <v>0</v>
      </c>
      <c r="AE248" s="327">
        <f t="shared" si="58"/>
        <v>0</v>
      </c>
      <c r="AF248" s="7" t="str">
        <f>Preencher!$B$3&amp;$U$8&amp;$V$8&amp;A248&amp;$AF$6</f>
        <v>JARINU-FRG42498MQ.GIROFREEZER</v>
      </c>
      <c r="AG248" s="7" t="str">
        <f>Preencher!$B$3&amp;$U$8&amp;$V$8&amp;A248&amp;$AG$6</f>
        <v>JARINU-FRG42498MQ.GIROFREEZER (1)</v>
      </c>
      <c r="AH248" s="7" t="str">
        <f>Preencher!$B$3&amp;$U$8&amp;$V$8&amp;A248&amp;$AH$6</f>
        <v>JARINU-FRG42498MQ.GIROFREEZER (2)</v>
      </c>
      <c r="AI248" s="7" t="str">
        <f>Preencher!$B$3&amp;$U$8&amp;$V$8&amp;A248&amp;$AI$6</f>
        <v>JARINU-FRG42498MQ.GIROFREEZER REV04</v>
      </c>
      <c r="AJ248" s="7" t="str">
        <f>Preencher!$B$3&amp;$U$8&amp;$V$8&amp;A248&amp;$AJ$6</f>
        <v>JARINU-FRG42498MQ.GIROFREEZER (3)</v>
      </c>
      <c r="AK248" s="327">
        <f>IFERROR(SUMIF('BD Otimix'!A:A,'BD VOLUME'!AG248,'BD Otimix'!O:O)+SUMIF('BD Otimix'!A:A,'BD VOLUME'!AH248,'BD Otimix'!O:O)+SUMIF('BD Otimix'!A:A,'BD VOLUME'!AI248,'BD Otimix'!O:O)+SUMIF('BD Otimix'!A:A,'BD VOLUME'!AJ248,'BD Otimix'!O:O)+SUMIF('BD Otimix'!A:A,'BD VOLUME'!AF248,'BD Otimix'!O:O),0)</f>
        <v>0</v>
      </c>
      <c r="AL248" s="7">
        <f t="shared" si="59"/>
        <v>0</v>
      </c>
    </row>
    <row r="249" spans="1:38">
      <c r="A249" s="324">
        <v>42501</v>
      </c>
      <c r="B249" s="324" t="s">
        <v>1294</v>
      </c>
      <c r="C249" s="5" t="s">
        <v>1195</v>
      </c>
      <c r="D249" s="5" t="s">
        <v>939</v>
      </c>
      <c r="E249" s="5" t="s">
        <v>1196</v>
      </c>
      <c r="F249" s="132">
        <f>SUMIF('COLAR PLANO'!$A:$A,A249,'COLAR PLANO'!$D:$D)</f>
        <v>0</v>
      </c>
      <c r="G249" s="131">
        <f t="shared" si="57"/>
        <v>0</v>
      </c>
      <c r="H249" s="6">
        <v>0.73870000000000002</v>
      </c>
      <c r="I249" s="7">
        <f t="shared" si="60"/>
        <v>0</v>
      </c>
      <c r="J249" s="130">
        <f t="shared" si="61"/>
        <v>0</v>
      </c>
      <c r="K249" s="327">
        <v>1.2</v>
      </c>
      <c r="L249" s="324">
        <v>10</v>
      </c>
      <c r="M249" s="324">
        <v>12</v>
      </c>
      <c r="N249" s="7">
        <f t="shared" si="55"/>
        <v>0</v>
      </c>
      <c r="O249" s="311"/>
      <c r="P249" s="311">
        <f t="shared" si="56"/>
        <v>0</v>
      </c>
      <c r="Q249" s="7"/>
      <c r="R249" s="7"/>
      <c r="S249" s="7"/>
      <c r="T249" s="7"/>
      <c r="U249" s="7" t="s">
        <v>2288</v>
      </c>
      <c r="V249" s="7" t="s">
        <v>2289</v>
      </c>
      <c r="W249" s="7" t="str">
        <f>Preencher!$B$3&amp;U249&amp;V249&amp;A249&amp;$W$6</f>
        <v>JARINU-FRG42501MQ.TUNEL DE CG (CONTINUO)</v>
      </c>
      <c r="X249" s="7" t="str">
        <f>Preencher!$B$3&amp;U249&amp;V249&amp;A249&amp;$X$6</f>
        <v>JARINU-FRG42501MQ.TUNEL DE CG (CONTINUO) (1)</v>
      </c>
      <c r="Y249" s="7" t="str">
        <f>Preencher!$B$3&amp;U249&amp;V249&amp;A249&amp;$Y$6</f>
        <v>JARINU-FRG42501MQ.TUNEL DE CG (CONTINUO) (2)</v>
      </c>
      <c r="Z249" s="7" t="str">
        <f>Preencher!$B$3&amp;U249&amp;V249&amp;A249&amp;$Z$6</f>
        <v>JARINU-FRG42501MQ.TUNEL DE CG (CONTINUO) (3)</v>
      </c>
      <c r="AA249" s="7" t="str">
        <f>Preencher!$B$3&amp;U249&amp;V249&amp;A249&amp;$AA$6</f>
        <v>JARINU-FRG42501MQ.TUNEL DE CG (ESTATICO)</v>
      </c>
      <c r="AB249" s="7" t="str">
        <f>Preencher!$B$3&amp;U249&amp;V249&amp;A249&amp;$AB$6</f>
        <v>JARINU-FRG42501MQ.TUNEL DE CG (ESTATICO) (1)</v>
      </c>
      <c r="AC249" s="7" t="str">
        <f>Preencher!$B$3&amp;U249&amp;V249&amp;A249&amp;$AC$6</f>
        <v>JARINU-FRG42501MQ.TUNEL DE CG (ESTATICO) (2)</v>
      </c>
      <c r="AD249" s="327">
        <f>IFERROR(SUMIF('BD Otimix'!A:A,'BD VOLUME'!X249,'BD Otimix'!O:O)+SUMIF('BD Otimix'!A:A,'BD VOLUME'!Y249,'BD Otimix'!O:O)+SUMIF('BD Otimix'!A:A,'BD VOLUME'!Z249,'BD Otimix'!O:O)+SUMIF('BD Otimix'!A:A,'BD VOLUME'!AA249,'BD Otimix'!O:O)+SUMIF('BD Otimix'!A:A,'BD VOLUME'!AB249,'BD Otimix'!O:O)+SUMIF('BD Otimix'!A:A,'BD VOLUME'!AC249,'BD Otimix'!O:O)+SUMIF('BD Otimix'!A:A,'BD VOLUME'!W249,'BD Otimix'!O:O),0)</f>
        <v>0</v>
      </c>
      <c r="AE249" s="327">
        <f t="shared" si="58"/>
        <v>0</v>
      </c>
      <c r="AF249" s="7" t="str">
        <f>Preencher!$B$3&amp;$U$8&amp;$V$8&amp;A249&amp;$AF$6</f>
        <v>JARINU-FRG42501MQ.GIROFREEZER</v>
      </c>
      <c r="AG249" s="7" t="str">
        <f>Preencher!$B$3&amp;$U$8&amp;$V$8&amp;A249&amp;$AG$6</f>
        <v>JARINU-FRG42501MQ.GIROFREEZER (1)</v>
      </c>
      <c r="AH249" s="7" t="str">
        <f>Preencher!$B$3&amp;$U$8&amp;$V$8&amp;A249&amp;$AH$6</f>
        <v>JARINU-FRG42501MQ.GIROFREEZER (2)</v>
      </c>
      <c r="AI249" s="7" t="str">
        <f>Preencher!$B$3&amp;$U$8&amp;$V$8&amp;A249&amp;$AI$6</f>
        <v>JARINU-FRG42501MQ.GIROFREEZER REV04</v>
      </c>
      <c r="AJ249" s="7" t="str">
        <f>Preencher!$B$3&amp;$U$8&amp;$V$8&amp;A249&amp;$AJ$6</f>
        <v>JARINU-FRG42501MQ.GIROFREEZER (3)</v>
      </c>
      <c r="AK249" s="327">
        <f>IFERROR(SUMIF('BD Otimix'!A:A,'BD VOLUME'!AG249,'BD Otimix'!O:O)+SUMIF('BD Otimix'!A:A,'BD VOLUME'!AH249,'BD Otimix'!O:O)+SUMIF('BD Otimix'!A:A,'BD VOLUME'!AI249,'BD Otimix'!O:O)+SUMIF('BD Otimix'!A:A,'BD VOLUME'!AJ249,'BD Otimix'!O:O)+SUMIF('BD Otimix'!A:A,'BD VOLUME'!AF249,'BD Otimix'!O:O),0)</f>
        <v>0</v>
      </c>
      <c r="AL249" s="7">
        <f t="shared" si="59"/>
        <v>0</v>
      </c>
    </row>
    <row r="250" spans="1:38">
      <c r="A250" s="324">
        <v>42510</v>
      </c>
      <c r="B250" s="324" t="s">
        <v>1295</v>
      </c>
      <c r="C250" s="5" t="s">
        <v>1225</v>
      </c>
      <c r="D250" s="5" t="s">
        <v>939</v>
      </c>
      <c r="E250" s="5" t="s">
        <v>1196</v>
      </c>
      <c r="F250" s="132">
        <f>SUMIF('COLAR PLANO'!$A:$A,A250,'COLAR PLANO'!$D:$D)</f>
        <v>0</v>
      </c>
      <c r="G250" s="131">
        <f t="shared" si="57"/>
        <v>0</v>
      </c>
      <c r="H250" s="6">
        <v>0.73870000000000002</v>
      </c>
      <c r="I250" s="7">
        <f t="shared" si="60"/>
        <v>0</v>
      </c>
      <c r="J250" s="130">
        <f t="shared" si="61"/>
        <v>0</v>
      </c>
      <c r="K250" s="327">
        <v>1.3</v>
      </c>
      <c r="L250" s="324">
        <v>10</v>
      </c>
      <c r="M250" s="324">
        <v>13</v>
      </c>
      <c r="N250" s="7">
        <f t="shared" si="55"/>
        <v>0</v>
      </c>
      <c r="O250" s="311"/>
      <c r="P250" s="311">
        <f t="shared" si="56"/>
        <v>0</v>
      </c>
      <c r="Q250" s="7"/>
      <c r="R250" s="7"/>
      <c r="S250" s="7"/>
      <c r="T250" s="7"/>
      <c r="U250" s="7" t="s">
        <v>2288</v>
      </c>
      <c r="V250" s="7" t="s">
        <v>2289</v>
      </c>
      <c r="W250" s="7" t="str">
        <f>Preencher!$B$3&amp;U250&amp;V250&amp;A250&amp;$W$6</f>
        <v>JARINU-FRG42510MQ.TUNEL DE CG (CONTINUO)</v>
      </c>
      <c r="X250" s="7" t="str">
        <f>Preencher!$B$3&amp;U250&amp;V250&amp;A250&amp;$X$6</f>
        <v>JARINU-FRG42510MQ.TUNEL DE CG (CONTINUO) (1)</v>
      </c>
      <c r="Y250" s="7" t="str">
        <f>Preencher!$B$3&amp;U250&amp;V250&amp;A250&amp;$Y$6</f>
        <v>JARINU-FRG42510MQ.TUNEL DE CG (CONTINUO) (2)</v>
      </c>
      <c r="Z250" s="7" t="str">
        <f>Preencher!$B$3&amp;U250&amp;V250&amp;A250&amp;$Z$6</f>
        <v>JARINU-FRG42510MQ.TUNEL DE CG (CONTINUO) (3)</v>
      </c>
      <c r="AA250" s="7" t="str">
        <f>Preencher!$B$3&amp;U250&amp;V250&amp;A250&amp;$AA$6</f>
        <v>JARINU-FRG42510MQ.TUNEL DE CG (ESTATICO)</v>
      </c>
      <c r="AB250" s="7" t="str">
        <f>Preencher!$B$3&amp;U250&amp;V250&amp;A250&amp;$AB$6</f>
        <v>JARINU-FRG42510MQ.TUNEL DE CG (ESTATICO) (1)</v>
      </c>
      <c r="AC250" s="7" t="str">
        <f>Preencher!$B$3&amp;U250&amp;V250&amp;A250&amp;$AC$6</f>
        <v>JARINU-FRG42510MQ.TUNEL DE CG (ESTATICO) (2)</v>
      </c>
      <c r="AD250" s="327">
        <f>IFERROR(SUMIF('BD Otimix'!A:A,'BD VOLUME'!X250,'BD Otimix'!O:O)+SUMIF('BD Otimix'!A:A,'BD VOLUME'!Y250,'BD Otimix'!O:O)+SUMIF('BD Otimix'!A:A,'BD VOLUME'!Z250,'BD Otimix'!O:O)+SUMIF('BD Otimix'!A:A,'BD VOLUME'!AA250,'BD Otimix'!O:O)+SUMIF('BD Otimix'!A:A,'BD VOLUME'!AB250,'BD Otimix'!O:O)+SUMIF('BD Otimix'!A:A,'BD VOLUME'!AC250,'BD Otimix'!O:O)+SUMIF('BD Otimix'!A:A,'BD VOLUME'!W250,'BD Otimix'!O:O),0)</f>
        <v>0</v>
      </c>
      <c r="AE250" s="327">
        <f t="shared" si="58"/>
        <v>0</v>
      </c>
      <c r="AF250" s="7" t="str">
        <f>Preencher!$B$3&amp;$U$8&amp;$V$8&amp;A250&amp;$AF$6</f>
        <v>JARINU-FRG42510MQ.GIROFREEZER</v>
      </c>
      <c r="AG250" s="7" t="str">
        <f>Preencher!$B$3&amp;$U$8&amp;$V$8&amp;A250&amp;$AG$6</f>
        <v>JARINU-FRG42510MQ.GIROFREEZER (1)</v>
      </c>
      <c r="AH250" s="7" t="str">
        <f>Preencher!$B$3&amp;$U$8&amp;$V$8&amp;A250&amp;$AH$6</f>
        <v>JARINU-FRG42510MQ.GIROFREEZER (2)</v>
      </c>
      <c r="AI250" s="7" t="str">
        <f>Preencher!$B$3&amp;$U$8&amp;$V$8&amp;A250&amp;$AI$6</f>
        <v>JARINU-FRG42510MQ.GIROFREEZER REV04</v>
      </c>
      <c r="AJ250" s="7" t="str">
        <f>Preencher!$B$3&amp;$U$8&amp;$V$8&amp;A250&amp;$AJ$6</f>
        <v>JARINU-FRG42510MQ.GIROFREEZER (3)</v>
      </c>
      <c r="AK250" s="327">
        <f>IFERROR(SUMIF('BD Otimix'!A:A,'BD VOLUME'!AG250,'BD Otimix'!O:O)+SUMIF('BD Otimix'!A:A,'BD VOLUME'!AH250,'BD Otimix'!O:O)+SUMIF('BD Otimix'!A:A,'BD VOLUME'!AI250,'BD Otimix'!O:O)+SUMIF('BD Otimix'!A:A,'BD VOLUME'!AJ250,'BD Otimix'!O:O)+SUMIF('BD Otimix'!A:A,'BD VOLUME'!AF250,'BD Otimix'!O:O),0)</f>
        <v>0</v>
      </c>
      <c r="AL250" s="7">
        <f t="shared" si="59"/>
        <v>0</v>
      </c>
    </row>
    <row r="251" spans="1:38">
      <c r="A251" s="324">
        <v>48917</v>
      </c>
      <c r="B251" s="324" t="s">
        <v>1296</v>
      </c>
      <c r="C251" s="5" t="s">
        <v>1185</v>
      </c>
      <c r="D251" s="5" t="s">
        <v>939</v>
      </c>
      <c r="E251" s="5" t="s">
        <v>1196</v>
      </c>
      <c r="F251" s="132">
        <f>SUMIF('COLAR PLANO'!$A:$A,A251,'COLAR PLANO'!$D:$D)</f>
        <v>0</v>
      </c>
      <c r="G251" s="131">
        <f t="shared" si="57"/>
        <v>0</v>
      </c>
      <c r="H251" s="6">
        <v>0.73870000000000002</v>
      </c>
      <c r="I251" s="7">
        <f t="shared" si="60"/>
        <v>0</v>
      </c>
      <c r="J251" s="130">
        <f t="shared" si="61"/>
        <v>0</v>
      </c>
      <c r="K251" s="327">
        <v>0.8</v>
      </c>
      <c r="L251" s="324">
        <v>10</v>
      </c>
      <c r="M251" s="324">
        <v>8</v>
      </c>
      <c r="N251" s="7">
        <f t="shared" si="55"/>
        <v>0</v>
      </c>
      <c r="O251" s="311"/>
      <c r="P251" s="311">
        <f t="shared" si="56"/>
        <v>0</v>
      </c>
      <c r="Q251" s="7"/>
      <c r="R251" s="7"/>
      <c r="S251" s="7"/>
      <c r="T251" s="7"/>
      <c r="U251" s="7" t="s">
        <v>2288</v>
      </c>
      <c r="V251" s="7" t="s">
        <v>2289</v>
      </c>
      <c r="W251" s="7" t="str">
        <f>Preencher!$B$3&amp;U251&amp;V251&amp;A251&amp;$W$6</f>
        <v>JARINU-FRG48917MQ.TUNEL DE CG (CONTINUO)</v>
      </c>
      <c r="X251" s="7" t="str">
        <f>Preencher!$B$3&amp;U251&amp;V251&amp;A251&amp;$X$6</f>
        <v>JARINU-FRG48917MQ.TUNEL DE CG (CONTINUO) (1)</v>
      </c>
      <c r="Y251" s="7" t="str">
        <f>Preencher!$B$3&amp;U251&amp;V251&amp;A251&amp;$Y$6</f>
        <v>JARINU-FRG48917MQ.TUNEL DE CG (CONTINUO) (2)</v>
      </c>
      <c r="Z251" s="7" t="str">
        <f>Preencher!$B$3&amp;U251&amp;V251&amp;A251&amp;$Z$6</f>
        <v>JARINU-FRG48917MQ.TUNEL DE CG (CONTINUO) (3)</v>
      </c>
      <c r="AA251" s="7" t="str">
        <f>Preencher!$B$3&amp;U251&amp;V251&amp;A251&amp;$AA$6</f>
        <v>JARINU-FRG48917MQ.TUNEL DE CG (ESTATICO)</v>
      </c>
      <c r="AB251" s="7" t="str">
        <f>Preencher!$B$3&amp;U251&amp;V251&amp;A251&amp;$AB$6</f>
        <v>JARINU-FRG48917MQ.TUNEL DE CG (ESTATICO) (1)</v>
      </c>
      <c r="AC251" s="7" t="str">
        <f>Preencher!$B$3&amp;U251&amp;V251&amp;A251&amp;$AC$6</f>
        <v>JARINU-FRG48917MQ.TUNEL DE CG (ESTATICO) (2)</v>
      </c>
      <c r="AD251" s="327">
        <f>IFERROR(SUMIF('BD Otimix'!A:A,'BD VOLUME'!X251,'BD Otimix'!O:O)+SUMIF('BD Otimix'!A:A,'BD VOLUME'!Y251,'BD Otimix'!O:O)+SUMIF('BD Otimix'!A:A,'BD VOLUME'!Z251,'BD Otimix'!O:O)+SUMIF('BD Otimix'!A:A,'BD VOLUME'!AA251,'BD Otimix'!O:O)+SUMIF('BD Otimix'!A:A,'BD VOLUME'!AB251,'BD Otimix'!O:O)+SUMIF('BD Otimix'!A:A,'BD VOLUME'!AC251,'BD Otimix'!O:O)+SUMIF('BD Otimix'!A:A,'BD VOLUME'!W251,'BD Otimix'!O:O),0)</f>
        <v>0</v>
      </c>
      <c r="AE251" s="327">
        <f t="shared" si="58"/>
        <v>0</v>
      </c>
      <c r="AF251" s="7" t="str">
        <f>Preencher!$B$3&amp;$U$8&amp;$V$8&amp;A251&amp;$AF$6</f>
        <v>JARINU-FRG48917MQ.GIROFREEZER</v>
      </c>
      <c r="AG251" s="7" t="str">
        <f>Preencher!$B$3&amp;$U$8&amp;$V$8&amp;A251&amp;$AG$6</f>
        <v>JARINU-FRG48917MQ.GIROFREEZER (1)</v>
      </c>
      <c r="AH251" s="7" t="str">
        <f>Preencher!$B$3&amp;$U$8&amp;$V$8&amp;A251&amp;$AH$6</f>
        <v>JARINU-FRG48917MQ.GIROFREEZER (2)</v>
      </c>
      <c r="AI251" s="7" t="str">
        <f>Preencher!$B$3&amp;$U$8&amp;$V$8&amp;A251&amp;$AI$6</f>
        <v>JARINU-FRG48917MQ.GIROFREEZER REV04</v>
      </c>
      <c r="AJ251" s="7" t="str">
        <f>Preencher!$B$3&amp;$U$8&amp;$V$8&amp;A251&amp;$AJ$6</f>
        <v>JARINU-FRG48917MQ.GIROFREEZER (3)</v>
      </c>
      <c r="AK251" s="327">
        <f>IFERROR(SUMIF('BD Otimix'!A:A,'BD VOLUME'!AG251,'BD Otimix'!O:O)+SUMIF('BD Otimix'!A:A,'BD VOLUME'!AH251,'BD Otimix'!O:O)+SUMIF('BD Otimix'!A:A,'BD VOLUME'!AI251,'BD Otimix'!O:O)+SUMIF('BD Otimix'!A:A,'BD VOLUME'!AJ251,'BD Otimix'!O:O)+SUMIF('BD Otimix'!A:A,'BD VOLUME'!AF251,'BD Otimix'!O:O),0)</f>
        <v>0</v>
      </c>
      <c r="AL251" s="7">
        <f t="shared" si="59"/>
        <v>0</v>
      </c>
    </row>
    <row r="252" spans="1:38">
      <c r="A252" s="324">
        <v>49034</v>
      </c>
      <c r="B252" s="324" t="s">
        <v>1297</v>
      </c>
      <c r="C252" s="5" t="s">
        <v>1186</v>
      </c>
      <c r="D252" s="5" t="s">
        <v>939</v>
      </c>
      <c r="E252" s="5" t="s">
        <v>1196</v>
      </c>
      <c r="F252" s="132">
        <f>SUMIF('COLAR PLANO'!$A:$A,A252,'COLAR PLANO'!$D:$D)</f>
        <v>0</v>
      </c>
      <c r="G252" s="131">
        <f t="shared" si="57"/>
        <v>0</v>
      </c>
      <c r="H252" s="6">
        <v>0.73870000000000002</v>
      </c>
      <c r="I252" s="7">
        <f t="shared" si="60"/>
        <v>0</v>
      </c>
      <c r="J252" s="130">
        <f t="shared" si="61"/>
        <v>0</v>
      </c>
      <c r="K252" s="327">
        <v>0.9</v>
      </c>
      <c r="L252" s="324">
        <v>10</v>
      </c>
      <c r="M252" s="324">
        <v>9</v>
      </c>
      <c r="N252" s="7">
        <f t="shared" si="55"/>
        <v>0</v>
      </c>
      <c r="O252" s="311"/>
      <c r="P252" s="311">
        <f t="shared" si="56"/>
        <v>0</v>
      </c>
      <c r="Q252" s="7"/>
      <c r="R252" s="7"/>
      <c r="S252" s="7"/>
      <c r="T252" s="7"/>
      <c r="U252" s="7" t="s">
        <v>2288</v>
      </c>
      <c r="V252" s="7" t="s">
        <v>2289</v>
      </c>
      <c r="W252" s="7" t="str">
        <f>Preencher!$B$3&amp;U252&amp;V252&amp;A252&amp;$W$6</f>
        <v>JARINU-FRG49034MQ.TUNEL DE CG (CONTINUO)</v>
      </c>
      <c r="X252" s="7" t="str">
        <f>Preencher!$B$3&amp;U252&amp;V252&amp;A252&amp;$X$6</f>
        <v>JARINU-FRG49034MQ.TUNEL DE CG (CONTINUO) (1)</v>
      </c>
      <c r="Y252" s="7" t="str">
        <f>Preencher!$B$3&amp;U252&amp;V252&amp;A252&amp;$Y$6</f>
        <v>JARINU-FRG49034MQ.TUNEL DE CG (CONTINUO) (2)</v>
      </c>
      <c r="Z252" s="7" t="str">
        <f>Preencher!$B$3&amp;U252&amp;V252&amp;A252&amp;$Z$6</f>
        <v>JARINU-FRG49034MQ.TUNEL DE CG (CONTINUO) (3)</v>
      </c>
      <c r="AA252" s="7" t="str">
        <f>Preencher!$B$3&amp;U252&amp;V252&amp;A252&amp;$AA$6</f>
        <v>JARINU-FRG49034MQ.TUNEL DE CG (ESTATICO)</v>
      </c>
      <c r="AB252" s="7" t="str">
        <f>Preencher!$B$3&amp;U252&amp;V252&amp;A252&amp;$AB$6</f>
        <v>JARINU-FRG49034MQ.TUNEL DE CG (ESTATICO) (1)</v>
      </c>
      <c r="AC252" s="7" t="str">
        <f>Preencher!$B$3&amp;U252&amp;V252&amp;A252&amp;$AC$6</f>
        <v>JARINU-FRG49034MQ.TUNEL DE CG (ESTATICO) (2)</v>
      </c>
      <c r="AD252" s="327">
        <f>IFERROR(SUMIF('BD Otimix'!A:A,'BD VOLUME'!X252,'BD Otimix'!O:O)+SUMIF('BD Otimix'!A:A,'BD VOLUME'!Y252,'BD Otimix'!O:O)+SUMIF('BD Otimix'!A:A,'BD VOLUME'!Z252,'BD Otimix'!O:O)+SUMIF('BD Otimix'!A:A,'BD VOLUME'!AA252,'BD Otimix'!O:O)+SUMIF('BD Otimix'!A:A,'BD VOLUME'!AB252,'BD Otimix'!O:O)+SUMIF('BD Otimix'!A:A,'BD VOLUME'!AC252,'BD Otimix'!O:O)+SUMIF('BD Otimix'!A:A,'BD VOLUME'!W252,'BD Otimix'!O:O),0)</f>
        <v>0</v>
      </c>
      <c r="AE252" s="327">
        <f t="shared" si="58"/>
        <v>0</v>
      </c>
      <c r="AF252" s="7" t="str">
        <f>Preencher!$B$3&amp;$U$8&amp;$V$8&amp;A252&amp;$AF$6</f>
        <v>JARINU-FRG49034MQ.GIROFREEZER</v>
      </c>
      <c r="AG252" s="7" t="str">
        <f>Preencher!$B$3&amp;$U$8&amp;$V$8&amp;A252&amp;$AG$6</f>
        <v>JARINU-FRG49034MQ.GIROFREEZER (1)</v>
      </c>
      <c r="AH252" s="7" t="str">
        <f>Preencher!$B$3&amp;$U$8&amp;$V$8&amp;A252&amp;$AH$6</f>
        <v>JARINU-FRG49034MQ.GIROFREEZER (2)</v>
      </c>
      <c r="AI252" s="7" t="str">
        <f>Preencher!$B$3&amp;$U$8&amp;$V$8&amp;A252&amp;$AI$6</f>
        <v>JARINU-FRG49034MQ.GIROFREEZER REV04</v>
      </c>
      <c r="AJ252" s="7" t="str">
        <f>Preencher!$B$3&amp;$U$8&amp;$V$8&amp;A252&amp;$AJ$6</f>
        <v>JARINU-FRG49034MQ.GIROFREEZER (3)</v>
      </c>
      <c r="AK252" s="327">
        <f>IFERROR(SUMIF('BD Otimix'!A:A,'BD VOLUME'!AG252,'BD Otimix'!O:O)+SUMIF('BD Otimix'!A:A,'BD VOLUME'!AH252,'BD Otimix'!O:O)+SUMIF('BD Otimix'!A:A,'BD VOLUME'!AI252,'BD Otimix'!O:O)+SUMIF('BD Otimix'!A:A,'BD VOLUME'!AJ252,'BD Otimix'!O:O)+SUMIF('BD Otimix'!A:A,'BD VOLUME'!AF252,'BD Otimix'!O:O),0)</f>
        <v>0</v>
      </c>
      <c r="AL252" s="7">
        <f t="shared" si="59"/>
        <v>0</v>
      </c>
    </row>
    <row r="253" spans="1:38">
      <c r="A253" s="324">
        <v>49042</v>
      </c>
      <c r="B253" s="324" t="s">
        <v>1298</v>
      </c>
      <c r="C253" s="5" t="s">
        <v>1187</v>
      </c>
      <c r="D253" s="5" t="s">
        <v>939</v>
      </c>
      <c r="E253" s="5" t="s">
        <v>1196</v>
      </c>
      <c r="F253" s="132">
        <f>SUMIF('COLAR PLANO'!$A:$A,A253,'COLAR PLANO'!$D:$D)</f>
        <v>0</v>
      </c>
      <c r="G253" s="131">
        <f t="shared" si="57"/>
        <v>0</v>
      </c>
      <c r="H253" s="6">
        <v>0.73870000000000002</v>
      </c>
      <c r="I253" s="7">
        <f t="shared" si="60"/>
        <v>0</v>
      </c>
      <c r="J253" s="130">
        <f t="shared" si="61"/>
        <v>0</v>
      </c>
      <c r="K253" s="327">
        <v>1</v>
      </c>
      <c r="L253" s="324">
        <v>10</v>
      </c>
      <c r="M253" s="324">
        <v>10</v>
      </c>
      <c r="N253" s="7">
        <f t="shared" si="55"/>
        <v>0</v>
      </c>
      <c r="O253" s="311"/>
      <c r="P253" s="311">
        <f t="shared" si="56"/>
        <v>0</v>
      </c>
      <c r="Q253" s="7"/>
      <c r="R253" s="7"/>
      <c r="S253" s="7"/>
      <c r="T253" s="7"/>
      <c r="U253" s="7" t="s">
        <v>2288</v>
      </c>
      <c r="V253" s="7" t="s">
        <v>2289</v>
      </c>
      <c r="W253" s="7" t="str">
        <f>Preencher!$B$3&amp;U253&amp;V253&amp;A253&amp;$W$6</f>
        <v>JARINU-FRG49042MQ.TUNEL DE CG (CONTINUO)</v>
      </c>
      <c r="X253" s="7" t="str">
        <f>Preencher!$B$3&amp;U253&amp;V253&amp;A253&amp;$X$6</f>
        <v>JARINU-FRG49042MQ.TUNEL DE CG (CONTINUO) (1)</v>
      </c>
      <c r="Y253" s="7" t="str">
        <f>Preencher!$B$3&amp;U253&amp;V253&amp;A253&amp;$Y$6</f>
        <v>JARINU-FRG49042MQ.TUNEL DE CG (CONTINUO) (2)</v>
      </c>
      <c r="Z253" s="7" t="str">
        <f>Preencher!$B$3&amp;U253&amp;V253&amp;A253&amp;$Z$6</f>
        <v>JARINU-FRG49042MQ.TUNEL DE CG (CONTINUO) (3)</v>
      </c>
      <c r="AA253" s="7" t="str">
        <f>Preencher!$B$3&amp;U253&amp;V253&amp;A253&amp;$AA$6</f>
        <v>JARINU-FRG49042MQ.TUNEL DE CG (ESTATICO)</v>
      </c>
      <c r="AB253" s="7" t="str">
        <f>Preencher!$B$3&amp;U253&amp;V253&amp;A253&amp;$AB$6</f>
        <v>JARINU-FRG49042MQ.TUNEL DE CG (ESTATICO) (1)</v>
      </c>
      <c r="AC253" s="7" t="str">
        <f>Preencher!$B$3&amp;U253&amp;V253&amp;A253&amp;$AC$6</f>
        <v>JARINU-FRG49042MQ.TUNEL DE CG (ESTATICO) (2)</v>
      </c>
      <c r="AD253" s="327">
        <f>IFERROR(SUMIF('BD Otimix'!A:A,'BD VOLUME'!X253,'BD Otimix'!O:O)+SUMIF('BD Otimix'!A:A,'BD VOLUME'!Y253,'BD Otimix'!O:O)+SUMIF('BD Otimix'!A:A,'BD VOLUME'!Z253,'BD Otimix'!O:O)+SUMIF('BD Otimix'!A:A,'BD VOLUME'!AA253,'BD Otimix'!O:O)+SUMIF('BD Otimix'!A:A,'BD VOLUME'!AB253,'BD Otimix'!O:O)+SUMIF('BD Otimix'!A:A,'BD VOLUME'!AC253,'BD Otimix'!O:O)+SUMIF('BD Otimix'!A:A,'BD VOLUME'!W253,'BD Otimix'!O:O),0)</f>
        <v>0</v>
      </c>
      <c r="AE253" s="327">
        <f t="shared" si="58"/>
        <v>0</v>
      </c>
      <c r="AF253" s="7" t="str">
        <f>Preencher!$B$3&amp;$U$8&amp;$V$8&amp;A253&amp;$AF$6</f>
        <v>JARINU-FRG49042MQ.GIROFREEZER</v>
      </c>
      <c r="AG253" s="7" t="str">
        <f>Preencher!$B$3&amp;$U$8&amp;$V$8&amp;A253&amp;$AG$6</f>
        <v>JARINU-FRG49042MQ.GIROFREEZER (1)</v>
      </c>
      <c r="AH253" s="7" t="str">
        <f>Preencher!$B$3&amp;$U$8&amp;$V$8&amp;A253&amp;$AH$6</f>
        <v>JARINU-FRG49042MQ.GIROFREEZER (2)</v>
      </c>
      <c r="AI253" s="7" t="str">
        <f>Preencher!$B$3&amp;$U$8&amp;$V$8&amp;A253&amp;$AI$6</f>
        <v>JARINU-FRG49042MQ.GIROFREEZER REV04</v>
      </c>
      <c r="AJ253" s="7" t="str">
        <f>Preencher!$B$3&amp;$U$8&amp;$V$8&amp;A253&amp;$AJ$6</f>
        <v>JARINU-FRG49042MQ.GIROFREEZER (3)</v>
      </c>
      <c r="AK253" s="327">
        <f>IFERROR(SUMIF('BD Otimix'!A:A,'BD VOLUME'!AG253,'BD Otimix'!O:O)+SUMIF('BD Otimix'!A:A,'BD VOLUME'!AH253,'BD Otimix'!O:O)+SUMIF('BD Otimix'!A:A,'BD VOLUME'!AI253,'BD Otimix'!O:O)+SUMIF('BD Otimix'!A:A,'BD VOLUME'!AJ253,'BD Otimix'!O:O)+SUMIF('BD Otimix'!A:A,'BD VOLUME'!AF253,'BD Otimix'!O:O),0)</f>
        <v>0</v>
      </c>
      <c r="AL253" s="7">
        <f t="shared" si="59"/>
        <v>0</v>
      </c>
    </row>
    <row r="254" spans="1:38">
      <c r="A254" s="324">
        <v>49050</v>
      </c>
      <c r="B254" s="324" t="s">
        <v>1299</v>
      </c>
      <c r="C254" s="5" t="s">
        <v>1188</v>
      </c>
      <c r="D254" s="5" t="s">
        <v>939</v>
      </c>
      <c r="E254" s="5" t="s">
        <v>1196</v>
      </c>
      <c r="F254" s="132">
        <f>SUMIF('COLAR PLANO'!$A:$A,A254,'COLAR PLANO'!$D:$D)</f>
        <v>0</v>
      </c>
      <c r="G254" s="131">
        <f t="shared" si="57"/>
        <v>0</v>
      </c>
      <c r="H254" s="6">
        <v>0.73870000000000002</v>
      </c>
      <c r="I254" s="7">
        <f t="shared" si="60"/>
        <v>0</v>
      </c>
      <c r="J254" s="130">
        <f t="shared" si="61"/>
        <v>0</v>
      </c>
      <c r="K254" s="327">
        <v>1.1000000000000001</v>
      </c>
      <c r="L254" s="324">
        <v>10</v>
      </c>
      <c r="M254" s="324">
        <v>11</v>
      </c>
      <c r="N254" s="7">
        <f t="shared" si="55"/>
        <v>0</v>
      </c>
      <c r="O254" s="311"/>
      <c r="P254" s="311">
        <f t="shared" si="56"/>
        <v>0</v>
      </c>
      <c r="Q254" s="7"/>
      <c r="R254" s="7"/>
      <c r="S254" s="7"/>
      <c r="T254" s="7"/>
      <c r="U254" s="7" t="s">
        <v>2288</v>
      </c>
      <c r="V254" s="7" t="s">
        <v>2289</v>
      </c>
      <c r="W254" s="7" t="str">
        <f>Preencher!$B$3&amp;U254&amp;V254&amp;A254&amp;$W$6</f>
        <v>JARINU-FRG49050MQ.TUNEL DE CG (CONTINUO)</v>
      </c>
      <c r="X254" s="7" t="str">
        <f>Preencher!$B$3&amp;U254&amp;V254&amp;A254&amp;$X$6</f>
        <v>JARINU-FRG49050MQ.TUNEL DE CG (CONTINUO) (1)</v>
      </c>
      <c r="Y254" s="7" t="str">
        <f>Preencher!$B$3&amp;U254&amp;V254&amp;A254&amp;$Y$6</f>
        <v>JARINU-FRG49050MQ.TUNEL DE CG (CONTINUO) (2)</v>
      </c>
      <c r="Z254" s="7" t="str">
        <f>Preencher!$B$3&amp;U254&amp;V254&amp;A254&amp;$Z$6</f>
        <v>JARINU-FRG49050MQ.TUNEL DE CG (CONTINUO) (3)</v>
      </c>
      <c r="AA254" s="7" t="str">
        <f>Preencher!$B$3&amp;U254&amp;V254&amp;A254&amp;$AA$6</f>
        <v>JARINU-FRG49050MQ.TUNEL DE CG (ESTATICO)</v>
      </c>
      <c r="AB254" s="7" t="str">
        <f>Preencher!$B$3&amp;U254&amp;V254&amp;A254&amp;$AB$6</f>
        <v>JARINU-FRG49050MQ.TUNEL DE CG (ESTATICO) (1)</v>
      </c>
      <c r="AC254" s="7" t="str">
        <f>Preencher!$B$3&amp;U254&amp;V254&amp;A254&amp;$AC$6</f>
        <v>JARINU-FRG49050MQ.TUNEL DE CG (ESTATICO) (2)</v>
      </c>
      <c r="AD254" s="327">
        <f>IFERROR(SUMIF('BD Otimix'!A:A,'BD VOLUME'!X254,'BD Otimix'!O:O)+SUMIF('BD Otimix'!A:A,'BD VOLUME'!Y254,'BD Otimix'!O:O)+SUMIF('BD Otimix'!A:A,'BD VOLUME'!Z254,'BD Otimix'!O:O)+SUMIF('BD Otimix'!A:A,'BD VOLUME'!AA254,'BD Otimix'!O:O)+SUMIF('BD Otimix'!A:A,'BD VOLUME'!AB254,'BD Otimix'!O:O)+SUMIF('BD Otimix'!A:A,'BD VOLUME'!AC254,'BD Otimix'!O:O)+SUMIF('BD Otimix'!A:A,'BD VOLUME'!W254,'BD Otimix'!O:O),0)</f>
        <v>0</v>
      </c>
      <c r="AE254" s="327">
        <f t="shared" si="58"/>
        <v>0</v>
      </c>
      <c r="AF254" s="7" t="str">
        <f>Preencher!$B$3&amp;$U$8&amp;$V$8&amp;A254&amp;$AF$6</f>
        <v>JARINU-FRG49050MQ.GIROFREEZER</v>
      </c>
      <c r="AG254" s="7" t="str">
        <f>Preencher!$B$3&amp;$U$8&amp;$V$8&amp;A254&amp;$AG$6</f>
        <v>JARINU-FRG49050MQ.GIROFREEZER (1)</v>
      </c>
      <c r="AH254" s="7" t="str">
        <f>Preencher!$B$3&amp;$U$8&amp;$V$8&amp;A254&amp;$AH$6</f>
        <v>JARINU-FRG49050MQ.GIROFREEZER (2)</v>
      </c>
      <c r="AI254" s="7" t="str">
        <f>Preencher!$B$3&amp;$U$8&amp;$V$8&amp;A254&amp;$AI$6</f>
        <v>JARINU-FRG49050MQ.GIROFREEZER REV04</v>
      </c>
      <c r="AJ254" s="7" t="str">
        <f>Preencher!$B$3&amp;$U$8&amp;$V$8&amp;A254&amp;$AJ$6</f>
        <v>JARINU-FRG49050MQ.GIROFREEZER (3)</v>
      </c>
      <c r="AK254" s="327">
        <f>IFERROR(SUMIF('BD Otimix'!A:A,'BD VOLUME'!AG254,'BD Otimix'!O:O)+SUMIF('BD Otimix'!A:A,'BD VOLUME'!AH254,'BD Otimix'!O:O)+SUMIF('BD Otimix'!A:A,'BD VOLUME'!AI254,'BD Otimix'!O:O)+SUMIF('BD Otimix'!A:A,'BD VOLUME'!AJ254,'BD Otimix'!O:O)+SUMIF('BD Otimix'!A:A,'BD VOLUME'!AF254,'BD Otimix'!O:O),0)</f>
        <v>0</v>
      </c>
      <c r="AL254" s="7">
        <f t="shared" si="59"/>
        <v>0</v>
      </c>
    </row>
    <row r="255" spans="1:38">
      <c r="A255" s="324">
        <v>49085</v>
      </c>
      <c r="B255" s="324" t="s">
        <v>1300</v>
      </c>
      <c r="C255" s="5" t="s">
        <v>1195</v>
      </c>
      <c r="D255" s="5" t="s">
        <v>939</v>
      </c>
      <c r="E255" s="5" t="s">
        <v>1196</v>
      </c>
      <c r="F255" s="132">
        <f>SUMIF('COLAR PLANO'!$A:$A,A255,'COLAR PLANO'!$D:$D)</f>
        <v>0</v>
      </c>
      <c r="G255" s="131">
        <f t="shared" si="57"/>
        <v>0</v>
      </c>
      <c r="H255" s="6">
        <v>0.73870000000000002</v>
      </c>
      <c r="I255" s="7">
        <f t="shared" si="60"/>
        <v>0</v>
      </c>
      <c r="J255" s="130">
        <f t="shared" si="61"/>
        <v>0</v>
      </c>
      <c r="K255" s="327">
        <v>1.2</v>
      </c>
      <c r="L255" s="324">
        <v>10</v>
      </c>
      <c r="M255" s="324">
        <v>12</v>
      </c>
      <c r="N255" s="7">
        <f t="shared" si="55"/>
        <v>0</v>
      </c>
      <c r="O255" s="311"/>
      <c r="P255" s="311">
        <f t="shared" si="56"/>
        <v>0</v>
      </c>
      <c r="Q255" s="7"/>
      <c r="R255" s="7"/>
      <c r="S255" s="7"/>
      <c r="T255" s="7"/>
      <c r="U255" s="7" t="s">
        <v>2288</v>
      </c>
      <c r="V255" s="7" t="s">
        <v>2289</v>
      </c>
      <c r="W255" s="7" t="str">
        <f>Preencher!$B$3&amp;U255&amp;V255&amp;A255&amp;$W$6</f>
        <v>JARINU-FRG49085MQ.TUNEL DE CG (CONTINUO)</v>
      </c>
      <c r="X255" s="7" t="str">
        <f>Preencher!$B$3&amp;U255&amp;V255&amp;A255&amp;$X$6</f>
        <v>JARINU-FRG49085MQ.TUNEL DE CG (CONTINUO) (1)</v>
      </c>
      <c r="Y255" s="7" t="str">
        <f>Preencher!$B$3&amp;U255&amp;V255&amp;A255&amp;$Y$6</f>
        <v>JARINU-FRG49085MQ.TUNEL DE CG (CONTINUO) (2)</v>
      </c>
      <c r="Z255" s="7" t="str">
        <f>Preencher!$B$3&amp;U255&amp;V255&amp;A255&amp;$Z$6</f>
        <v>JARINU-FRG49085MQ.TUNEL DE CG (CONTINUO) (3)</v>
      </c>
      <c r="AA255" s="7" t="str">
        <f>Preencher!$B$3&amp;U255&amp;V255&amp;A255&amp;$AA$6</f>
        <v>JARINU-FRG49085MQ.TUNEL DE CG (ESTATICO)</v>
      </c>
      <c r="AB255" s="7" t="str">
        <f>Preencher!$B$3&amp;U255&amp;V255&amp;A255&amp;$AB$6</f>
        <v>JARINU-FRG49085MQ.TUNEL DE CG (ESTATICO) (1)</v>
      </c>
      <c r="AC255" s="7" t="str">
        <f>Preencher!$B$3&amp;U255&amp;V255&amp;A255&amp;$AC$6</f>
        <v>JARINU-FRG49085MQ.TUNEL DE CG (ESTATICO) (2)</v>
      </c>
      <c r="AD255" s="327">
        <f>IFERROR(SUMIF('BD Otimix'!A:A,'BD VOLUME'!X255,'BD Otimix'!O:O)+SUMIF('BD Otimix'!A:A,'BD VOLUME'!Y255,'BD Otimix'!O:O)+SUMIF('BD Otimix'!A:A,'BD VOLUME'!Z255,'BD Otimix'!O:O)+SUMIF('BD Otimix'!A:A,'BD VOLUME'!AA255,'BD Otimix'!O:O)+SUMIF('BD Otimix'!A:A,'BD VOLUME'!AB255,'BD Otimix'!O:O)+SUMIF('BD Otimix'!A:A,'BD VOLUME'!AC255,'BD Otimix'!O:O)+SUMIF('BD Otimix'!A:A,'BD VOLUME'!W255,'BD Otimix'!O:O),0)</f>
        <v>0</v>
      </c>
      <c r="AE255" s="327">
        <f t="shared" si="58"/>
        <v>0</v>
      </c>
      <c r="AF255" s="7" t="str">
        <f>Preencher!$B$3&amp;$U$8&amp;$V$8&amp;A255&amp;$AF$6</f>
        <v>JARINU-FRG49085MQ.GIROFREEZER</v>
      </c>
      <c r="AG255" s="7" t="str">
        <f>Preencher!$B$3&amp;$U$8&amp;$V$8&amp;A255&amp;$AG$6</f>
        <v>JARINU-FRG49085MQ.GIROFREEZER (1)</v>
      </c>
      <c r="AH255" s="7" t="str">
        <f>Preencher!$B$3&amp;$U$8&amp;$V$8&amp;A255&amp;$AH$6</f>
        <v>JARINU-FRG49085MQ.GIROFREEZER (2)</v>
      </c>
      <c r="AI255" s="7" t="str">
        <f>Preencher!$B$3&amp;$U$8&amp;$V$8&amp;A255&amp;$AI$6</f>
        <v>JARINU-FRG49085MQ.GIROFREEZER REV04</v>
      </c>
      <c r="AJ255" s="7" t="str">
        <f>Preencher!$B$3&amp;$U$8&amp;$V$8&amp;A255&amp;$AJ$6</f>
        <v>JARINU-FRG49085MQ.GIROFREEZER (3)</v>
      </c>
      <c r="AK255" s="327">
        <f>IFERROR(SUMIF('BD Otimix'!A:A,'BD VOLUME'!AG255,'BD Otimix'!O:O)+SUMIF('BD Otimix'!A:A,'BD VOLUME'!AH255,'BD Otimix'!O:O)+SUMIF('BD Otimix'!A:A,'BD VOLUME'!AI255,'BD Otimix'!O:O)+SUMIF('BD Otimix'!A:A,'BD VOLUME'!AJ255,'BD Otimix'!O:O)+SUMIF('BD Otimix'!A:A,'BD VOLUME'!AF255,'BD Otimix'!O:O),0)</f>
        <v>0</v>
      </c>
      <c r="AL255" s="7">
        <f t="shared" si="59"/>
        <v>0</v>
      </c>
    </row>
    <row r="256" spans="1:38">
      <c r="A256" s="324">
        <v>49093</v>
      </c>
      <c r="B256" s="324" t="s">
        <v>1301</v>
      </c>
      <c r="C256" s="5" t="s">
        <v>1225</v>
      </c>
      <c r="D256" s="5" t="s">
        <v>939</v>
      </c>
      <c r="E256" s="5" t="s">
        <v>1196</v>
      </c>
      <c r="F256" s="132">
        <f>SUMIF('COLAR PLANO'!$A:$A,A256,'COLAR PLANO'!$D:$D)</f>
        <v>0</v>
      </c>
      <c r="G256" s="131">
        <f t="shared" si="57"/>
        <v>0</v>
      </c>
      <c r="H256" s="6">
        <v>0.73870000000000002</v>
      </c>
      <c r="I256" s="7">
        <f t="shared" si="60"/>
        <v>0</v>
      </c>
      <c r="J256" s="130">
        <f t="shared" si="61"/>
        <v>0</v>
      </c>
      <c r="K256" s="327">
        <v>1.3</v>
      </c>
      <c r="L256" s="324">
        <v>10</v>
      </c>
      <c r="M256" s="324">
        <v>13</v>
      </c>
      <c r="N256" s="7">
        <f t="shared" si="55"/>
        <v>0</v>
      </c>
      <c r="O256" s="311"/>
      <c r="P256" s="311">
        <f t="shared" si="56"/>
        <v>0</v>
      </c>
      <c r="Q256" s="7"/>
      <c r="R256" s="7"/>
      <c r="S256" s="7"/>
      <c r="T256" s="7"/>
      <c r="U256" s="7" t="s">
        <v>2288</v>
      </c>
      <c r="V256" s="7" t="s">
        <v>2289</v>
      </c>
      <c r="W256" s="7" t="str">
        <f>Preencher!$B$3&amp;U256&amp;V256&amp;A256&amp;$W$6</f>
        <v>JARINU-FRG49093MQ.TUNEL DE CG (CONTINUO)</v>
      </c>
      <c r="X256" s="7" t="str">
        <f>Preencher!$B$3&amp;U256&amp;V256&amp;A256&amp;$X$6</f>
        <v>JARINU-FRG49093MQ.TUNEL DE CG (CONTINUO) (1)</v>
      </c>
      <c r="Y256" s="7" t="str">
        <f>Preencher!$B$3&amp;U256&amp;V256&amp;A256&amp;$Y$6</f>
        <v>JARINU-FRG49093MQ.TUNEL DE CG (CONTINUO) (2)</v>
      </c>
      <c r="Z256" s="7" t="str">
        <f>Preencher!$B$3&amp;U256&amp;V256&amp;A256&amp;$Z$6</f>
        <v>JARINU-FRG49093MQ.TUNEL DE CG (CONTINUO) (3)</v>
      </c>
      <c r="AA256" s="7" t="str">
        <f>Preencher!$B$3&amp;U256&amp;V256&amp;A256&amp;$AA$6</f>
        <v>JARINU-FRG49093MQ.TUNEL DE CG (ESTATICO)</v>
      </c>
      <c r="AB256" s="7" t="str">
        <f>Preencher!$B$3&amp;U256&amp;V256&amp;A256&amp;$AB$6</f>
        <v>JARINU-FRG49093MQ.TUNEL DE CG (ESTATICO) (1)</v>
      </c>
      <c r="AC256" s="7" t="str">
        <f>Preencher!$B$3&amp;U256&amp;V256&amp;A256&amp;$AC$6</f>
        <v>JARINU-FRG49093MQ.TUNEL DE CG (ESTATICO) (2)</v>
      </c>
      <c r="AD256" s="327">
        <f>IFERROR(SUMIF('BD Otimix'!A:A,'BD VOLUME'!X256,'BD Otimix'!O:O)+SUMIF('BD Otimix'!A:A,'BD VOLUME'!Y256,'BD Otimix'!O:O)+SUMIF('BD Otimix'!A:A,'BD VOLUME'!Z256,'BD Otimix'!O:O)+SUMIF('BD Otimix'!A:A,'BD VOLUME'!AA256,'BD Otimix'!O:O)+SUMIF('BD Otimix'!A:A,'BD VOLUME'!AB256,'BD Otimix'!O:O)+SUMIF('BD Otimix'!A:A,'BD VOLUME'!AC256,'BD Otimix'!O:O)+SUMIF('BD Otimix'!A:A,'BD VOLUME'!W256,'BD Otimix'!O:O),0)</f>
        <v>0</v>
      </c>
      <c r="AE256" s="327">
        <f t="shared" si="58"/>
        <v>0</v>
      </c>
      <c r="AF256" s="7" t="str">
        <f>Preencher!$B$3&amp;$U$8&amp;$V$8&amp;A256&amp;$AF$6</f>
        <v>JARINU-FRG49093MQ.GIROFREEZER</v>
      </c>
      <c r="AG256" s="7" t="str">
        <f>Preencher!$B$3&amp;$U$8&amp;$V$8&amp;A256&amp;$AG$6</f>
        <v>JARINU-FRG49093MQ.GIROFREEZER (1)</v>
      </c>
      <c r="AH256" s="7" t="str">
        <f>Preencher!$B$3&amp;$U$8&amp;$V$8&amp;A256&amp;$AH$6</f>
        <v>JARINU-FRG49093MQ.GIROFREEZER (2)</v>
      </c>
      <c r="AI256" s="7" t="str">
        <f>Preencher!$B$3&amp;$U$8&amp;$V$8&amp;A256&amp;$AI$6</f>
        <v>JARINU-FRG49093MQ.GIROFREEZER REV04</v>
      </c>
      <c r="AJ256" s="7" t="str">
        <f>Preencher!$B$3&amp;$U$8&amp;$V$8&amp;A256&amp;$AJ$6</f>
        <v>JARINU-FRG49093MQ.GIROFREEZER (3)</v>
      </c>
      <c r="AK256" s="327">
        <f>IFERROR(SUMIF('BD Otimix'!A:A,'BD VOLUME'!AG256,'BD Otimix'!O:O)+SUMIF('BD Otimix'!A:A,'BD VOLUME'!AH256,'BD Otimix'!O:O)+SUMIF('BD Otimix'!A:A,'BD VOLUME'!AI256,'BD Otimix'!O:O)+SUMIF('BD Otimix'!A:A,'BD VOLUME'!AJ256,'BD Otimix'!O:O)+SUMIF('BD Otimix'!A:A,'BD VOLUME'!AF256,'BD Otimix'!O:O),0)</f>
        <v>0</v>
      </c>
      <c r="AL256" s="7">
        <f t="shared" si="59"/>
        <v>0</v>
      </c>
    </row>
    <row r="257" spans="1:38">
      <c r="A257" s="324">
        <v>196193</v>
      </c>
      <c r="B257" s="324" t="s">
        <v>1302</v>
      </c>
      <c r="C257" s="5" t="s">
        <v>1184</v>
      </c>
      <c r="D257" s="5" t="s">
        <v>939</v>
      </c>
      <c r="E257" s="5" t="s">
        <v>1196</v>
      </c>
      <c r="F257" s="132">
        <f>SUMIF('COLAR PLANO'!$A:$A,A257,'COLAR PLANO'!$D:$D)</f>
        <v>0</v>
      </c>
      <c r="G257" s="131">
        <f t="shared" si="57"/>
        <v>0</v>
      </c>
      <c r="H257" s="6">
        <v>0.73870000000000002</v>
      </c>
      <c r="I257" s="7">
        <f t="shared" si="60"/>
        <v>0</v>
      </c>
      <c r="J257" s="130">
        <f t="shared" si="61"/>
        <v>0</v>
      </c>
      <c r="K257" s="327">
        <v>0.7</v>
      </c>
      <c r="L257" s="324">
        <v>10</v>
      </c>
      <c r="M257" s="324">
        <v>7</v>
      </c>
      <c r="N257" s="7">
        <f t="shared" si="55"/>
        <v>0</v>
      </c>
      <c r="O257" s="311"/>
      <c r="P257" s="311">
        <f t="shared" si="56"/>
        <v>0</v>
      </c>
      <c r="Q257" s="7"/>
      <c r="R257" s="7"/>
      <c r="S257" s="7"/>
      <c r="T257" s="7"/>
      <c r="U257" s="7" t="s">
        <v>2288</v>
      </c>
      <c r="V257" s="7" t="s">
        <v>2289</v>
      </c>
      <c r="W257" s="7" t="str">
        <f>Preencher!$B$3&amp;U257&amp;V257&amp;A257&amp;$W$6</f>
        <v>JARINU-FRG196193MQ.TUNEL DE CG (CONTINUO)</v>
      </c>
      <c r="X257" s="7" t="str">
        <f>Preencher!$B$3&amp;U257&amp;V257&amp;A257&amp;$X$6</f>
        <v>JARINU-FRG196193MQ.TUNEL DE CG (CONTINUO) (1)</v>
      </c>
      <c r="Y257" s="7" t="str">
        <f>Preencher!$B$3&amp;U257&amp;V257&amp;A257&amp;$Y$6</f>
        <v>JARINU-FRG196193MQ.TUNEL DE CG (CONTINUO) (2)</v>
      </c>
      <c r="Z257" s="7" t="str">
        <f>Preencher!$B$3&amp;U257&amp;V257&amp;A257&amp;$Z$6</f>
        <v>JARINU-FRG196193MQ.TUNEL DE CG (CONTINUO) (3)</v>
      </c>
      <c r="AA257" s="7" t="str">
        <f>Preencher!$B$3&amp;U257&amp;V257&amp;A257&amp;$AA$6</f>
        <v>JARINU-FRG196193MQ.TUNEL DE CG (ESTATICO)</v>
      </c>
      <c r="AB257" s="7" t="str">
        <f>Preencher!$B$3&amp;U257&amp;V257&amp;A257&amp;$AB$6</f>
        <v>JARINU-FRG196193MQ.TUNEL DE CG (ESTATICO) (1)</v>
      </c>
      <c r="AC257" s="7" t="str">
        <f>Preencher!$B$3&amp;U257&amp;V257&amp;A257&amp;$AC$6</f>
        <v>JARINU-FRG196193MQ.TUNEL DE CG (ESTATICO) (2)</v>
      </c>
      <c r="AD257" s="327">
        <f>IFERROR(SUMIF('BD Otimix'!A:A,'BD VOLUME'!X257,'BD Otimix'!O:O)+SUMIF('BD Otimix'!A:A,'BD VOLUME'!Y257,'BD Otimix'!O:O)+SUMIF('BD Otimix'!A:A,'BD VOLUME'!Z257,'BD Otimix'!O:O)+SUMIF('BD Otimix'!A:A,'BD VOLUME'!AA257,'BD Otimix'!O:O)+SUMIF('BD Otimix'!A:A,'BD VOLUME'!AB257,'BD Otimix'!O:O)+SUMIF('BD Otimix'!A:A,'BD VOLUME'!AC257,'BD Otimix'!O:O)+SUMIF('BD Otimix'!A:A,'BD VOLUME'!W257,'BD Otimix'!O:O),0)</f>
        <v>0</v>
      </c>
      <c r="AE257" s="327">
        <f t="shared" si="58"/>
        <v>0</v>
      </c>
      <c r="AF257" s="7" t="str">
        <f>Preencher!$B$3&amp;$U$8&amp;$V$8&amp;A257&amp;$AF$6</f>
        <v>JARINU-FRG196193MQ.GIROFREEZER</v>
      </c>
      <c r="AG257" s="7" t="str">
        <f>Preencher!$B$3&amp;$U$8&amp;$V$8&amp;A257&amp;$AG$6</f>
        <v>JARINU-FRG196193MQ.GIROFREEZER (1)</v>
      </c>
      <c r="AH257" s="7" t="str">
        <f>Preencher!$B$3&amp;$U$8&amp;$V$8&amp;A257&amp;$AH$6</f>
        <v>JARINU-FRG196193MQ.GIROFREEZER (2)</v>
      </c>
      <c r="AI257" s="7" t="str">
        <f>Preencher!$B$3&amp;$U$8&amp;$V$8&amp;A257&amp;$AI$6</f>
        <v>JARINU-FRG196193MQ.GIROFREEZER REV04</v>
      </c>
      <c r="AJ257" s="7" t="str">
        <f>Preencher!$B$3&amp;$U$8&amp;$V$8&amp;A257&amp;$AJ$6</f>
        <v>JARINU-FRG196193MQ.GIROFREEZER (3)</v>
      </c>
      <c r="AK257" s="327">
        <f>IFERROR(SUMIF('BD Otimix'!A:A,'BD VOLUME'!AG257,'BD Otimix'!O:O)+SUMIF('BD Otimix'!A:A,'BD VOLUME'!AH257,'BD Otimix'!O:O)+SUMIF('BD Otimix'!A:A,'BD VOLUME'!AI257,'BD Otimix'!O:O)+SUMIF('BD Otimix'!A:A,'BD VOLUME'!AJ257,'BD Otimix'!O:O)+SUMIF('BD Otimix'!A:A,'BD VOLUME'!AF257,'BD Otimix'!O:O),0)</f>
        <v>0</v>
      </c>
      <c r="AL257" s="7">
        <f t="shared" si="59"/>
        <v>0</v>
      </c>
    </row>
    <row r="258" spans="1:38">
      <c r="A258" s="324">
        <v>196207</v>
      </c>
      <c r="B258" s="324" t="s">
        <v>1303</v>
      </c>
      <c r="C258" s="5" t="s">
        <v>1185</v>
      </c>
      <c r="D258" s="5" t="s">
        <v>939</v>
      </c>
      <c r="E258" s="5" t="s">
        <v>1196</v>
      </c>
      <c r="F258" s="132">
        <f>SUMIF('COLAR PLANO'!$A:$A,A258,'COLAR PLANO'!$D:$D)</f>
        <v>0</v>
      </c>
      <c r="G258" s="131">
        <f t="shared" si="57"/>
        <v>0</v>
      </c>
      <c r="H258" s="6">
        <v>0.73870000000000002</v>
      </c>
      <c r="I258" s="7">
        <f t="shared" si="60"/>
        <v>0</v>
      </c>
      <c r="J258" s="130">
        <f t="shared" si="61"/>
        <v>0</v>
      </c>
      <c r="K258" s="327">
        <v>0.8</v>
      </c>
      <c r="L258" s="324">
        <v>10</v>
      </c>
      <c r="M258" s="324">
        <v>8</v>
      </c>
      <c r="N258" s="7">
        <f t="shared" si="55"/>
        <v>0</v>
      </c>
      <c r="O258" s="311"/>
      <c r="P258" s="311">
        <f t="shared" si="56"/>
        <v>0</v>
      </c>
      <c r="Q258" s="7"/>
      <c r="R258" s="7"/>
      <c r="S258" s="7"/>
      <c r="T258" s="7"/>
      <c r="U258" s="7" t="s">
        <v>2288</v>
      </c>
      <c r="V258" s="7" t="s">
        <v>2289</v>
      </c>
      <c r="W258" s="7" t="str">
        <f>Preencher!$B$3&amp;U258&amp;V258&amp;A258&amp;$W$6</f>
        <v>JARINU-FRG196207MQ.TUNEL DE CG (CONTINUO)</v>
      </c>
      <c r="X258" s="7" t="str">
        <f>Preencher!$B$3&amp;U258&amp;V258&amp;A258&amp;$X$6</f>
        <v>JARINU-FRG196207MQ.TUNEL DE CG (CONTINUO) (1)</v>
      </c>
      <c r="Y258" s="7" t="str">
        <f>Preencher!$B$3&amp;U258&amp;V258&amp;A258&amp;$Y$6</f>
        <v>JARINU-FRG196207MQ.TUNEL DE CG (CONTINUO) (2)</v>
      </c>
      <c r="Z258" s="7" t="str">
        <f>Preencher!$B$3&amp;U258&amp;V258&amp;A258&amp;$Z$6</f>
        <v>JARINU-FRG196207MQ.TUNEL DE CG (CONTINUO) (3)</v>
      </c>
      <c r="AA258" s="7" t="str">
        <f>Preencher!$B$3&amp;U258&amp;V258&amp;A258&amp;$AA$6</f>
        <v>JARINU-FRG196207MQ.TUNEL DE CG (ESTATICO)</v>
      </c>
      <c r="AB258" s="7" t="str">
        <f>Preencher!$B$3&amp;U258&amp;V258&amp;A258&amp;$AB$6</f>
        <v>JARINU-FRG196207MQ.TUNEL DE CG (ESTATICO) (1)</v>
      </c>
      <c r="AC258" s="7" t="str">
        <f>Preencher!$B$3&amp;U258&amp;V258&amp;A258&amp;$AC$6</f>
        <v>JARINU-FRG196207MQ.TUNEL DE CG (ESTATICO) (2)</v>
      </c>
      <c r="AD258" s="327">
        <f>IFERROR(SUMIF('BD Otimix'!A:A,'BD VOLUME'!X258,'BD Otimix'!O:O)+SUMIF('BD Otimix'!A:A,'BD VOLUME'!Y258,'BD Otimix'!O:O)+SUMIF('BD Otimix'!A:A,'BD VOLUME'!Z258,'BD Otimix'!O:O)+SUMIF('BD Otimix'!A:A,'BD VOLUME'!AA258,'BD Otimix'!O:O)+SUMIF('BD Otimix'!A:A,'BD VOLUME'!AB258,'BD Otimix'!O:O)+SUMIF('BD Otimix'!A:A,'BD VOLUME'!AC258,'BD Otimix'!O:O)+SUMIF('BD Otimix'!A:A,'BD VOLUME'!W258,'BD Otimix'!O:O),0)</f>
        <v>0</v>
      </c>
      <c r="AE258" s="327">
        <f t="shared" si="58"/>
        <v>0</v>
      </c>
      <c r="AF258" s="7" t="str">
        <f>Preencher!$B$3&amp;$U$8&amp;$V$8&amp;A258&amp;$AF$6</f>
        <v>JARINU-FRG196207MQ.GIROFREEZER</v>
      </c>
      <c r="AG258" s="7" t="str">
        <f>Preencher!$B$3&amp;$U$8&amp;$V$8&amp;A258&amp;$AG$6</f>
        <v>JARINU-FRG196207MQ.GIROFREEZER (1)</v>
      </c>
      <c r="AH258" s="7" t="str">
        <f>Preencher!$B$3&amp;$U$8&amp;$V$8&amp;A258&amp;$AH$6</f>
        <v>JARINU-FRG196207MQ.GIROFREEZER (2)</v>
      </c>
      <c r="AI258" s="7" t="str">
        <f>Preencher!$B$3&amp;$U$8&amp;$V$8&amp;A258&amp;$AI$6</f>
        <v>JARINU-FRG196207MQ.GIROFREEZER REV04</v>
      </c>
      <c r="AJ258" s="7" t="str">
        <f>Preencher!$B$3&amp;$U$8&amp;$V$8&amp;A258&amp;$AJ$6</f>
        <v>JARINU-FRG196207MQ.GIROFREEZER (3)</v>
      </c>
      <c r="AK258" s="327">
        <f>IFERROR(SUMIF('BD Otimix'!A:A,'BD VOLUME'!AG258,'BD Otimix'!O:O)+SUMIF('BD Otimix'!A:A,'BD VOLUME'!AH258,'BD Otimix'!O:O)+SUMIF('BD Otimix'!A:A,'BD VOLUME'!AI258,'BD Otimix'!O:O)+SUMIF('BD Otimix'!A:A,'BD VOLUME'!AJ258,'BD Otimix'!O:O)+SUMIF('BD Otimix'!A:A,'BD VOLUME'!AF258,'BD Otimix'!O:O),0)</f>
        <v>0</v>
      </c>
      <c r="AL258" s="7">
        <f t="shared" si="59"/>
        <v>0</v>
      </c>
    </row>
    <row r="259" spans="1:38">
      <c r="A259" s="324">
        <v>196215</v>
      </c>
      <c r="B259" s="324" t="s">
        <v>1304</v>
      </c>
      <c r="C259" s="5" t="s">
        <v>1186</v>
      </c>
      <c r="D259" s="5" t="s">
        <v>939</v>
      </c>
      <c r="E259" s="5" t="s">
        <v>1196</v>
      </c>
      <c r="F259" s="132">
        <f>SUMIF('COLAR PLANO'!$A:$A,A259,'COLAR PLANO'!$D:$D)</f>
        <v>0</v>
      </c>
      <c r="G259" s="131">
        <f t="shared" si="57"/>
        <v>0</v>
      </c>
      <c r="H259" s="6">
        <v>0.73870000000000002</v>
      </c>
      <c r="I259" s="7">
        <f t="shared" si="60"/>
        <v>0</v>
      </c>
      <c r="J259" s="130">
        <f t="shared" si="61"/>
        <v>0</v>
      </c>
      <c r="K259" s="327">
        <v>0.9</v>
      </c>
      <c r="L259" s="324">
        <v>10</v>
      </c>
      <c r="M259" s="324">
        <v>9</v>
      </c>
      <c r="N259" s="7">
        <f t="shared" si="55"/>
        <v>0</v>
      </c>
      <c r="O259" s="311"/>
      <c r="P259" s="311">
        <f t="shared" si="56"/>
        <v>0</v>
      </c>
      <c r="Q259" s="7"/>
      <c r="R259" s="7"/>
      <c r="S259" s="7"/>
      <c r="T259" s="7"/>
      <c r="U259" s="7" t="s">
        <v>2288</v>
      </c>
      <c r="V259" s="7" t="s">
        <v>2289</v>
      </c>
      <c r="W259" s="7" t="str">
        <f>Preencher!$B$3&amp;U259&amp;V259&amp;A259&amp;$W$6</f>
        <v>JARINU-FRG196215MQ.TUNEL DE CG (CONTINUO)</v>
      </c>
      <c r="X259" s="7" t="str">
        <f>Preencher!$B$3&amp;U259&amp;V259&amp;A259&amp;$X$6</f>
        <v>JARINU-FRG196215MQ.TUNEL DE CG (CONTINUO) (1)</v>
      </c>
      <c r="Y259" s="7" t="str">
        <f>Preencher!$B$3&amp;U259&amp;V259&amp;A259&amp;$Y$6</f>
        <v>JARINU-FRG196215MQ.TUNEL DE CG (CONTINUO) (2)</v>
      </c>
      <c r="Z259" s="7" t="str">
        <f>Preencher!$B$3&amp;U259&amp;V259&amp;A259&amp;$Z$6</f>
        <v>JARINU-FRG196215MQ.TUNEL DE CG (CONTINUO) (3)</v>
      </c>
      <c r="AA259" s="7" t="str">
        <f>Preencher!$B$3&amp;U259&amp;V259&amp;A259&amp;$AA$6</f>
        <v>JARINU-FRG196215MQ.TUNEL DE CG (ESTATICO)</v>
      </c>
      <c r="AB259" s="7" t="str">
        <f>Preencher!$B$3&amp;U259&amp;V259&amp;A259&amp;$AB$6</f>
        <v>JARINU-FRG196215MQ.TUNEL DE CG (ESTATICO) (1)</v>
      </c>
      <c r="AC259" s="7" t="str">
        <f>Preencher!$B$3&amp;U259&amp;V259&amp;A259&amp;$AC$6</f>
        <v>JARINU-FRG196215MQ.TUNEL DE CG (ESTATICO) (2)</v>
      </c>
      <c r="AD259" s="327">
        <f>IFERROR(SUMIF('BD Otimix'!A:A,'BD VOLUME'!X259,'BD Otimix'!O:O)+SUMIF('BD Otimix'!A:A,'BD VOLUME'!Y259,'BD Otimix'!O:O)+SUMIF('BD Otimix'!A:A,'BD VOLUME'!Z259,'BD Otimix'!O:O)+SUMIF('BD Otimix'!A:A,'BD VOLUME'!AA259,'BD Otimix'!O:O)+SUMIF('BD Otimix'!A:A,'BD VOLUME'!AB259,'BD Otimix'!O:O)+SUMIF('BD Otimix'!A:A,'BD VOLUME'!AC259,'BD Otimix'!O:O)+SUMIF('BD Otimix'!A:A,'BD VOLUME'!W259,'BD Otimix'!O:O),0)</f>
        <v>0</v>
      </c>
      <c r="AE259" s="327">
        <f t="shared" si="58"/>
        <v>0</v>
      </c>
      <c r="AF259" s="7" t="str">
        <f>Preencher!$B$3&amp;$U$8&amp;$V$8&amp;A259&amp;$AF$6</f>
        <v>JARINU-FRG196215MQ.GIROFREEZER</v>
      </c>
      <c r="AG259" s="7" t="str">
        <f>Preencher!$B$3&amp;$U$8&amp;$V$8&amp;A259&amp;$AG$6</f>
        <v>JARINU-FRG196215MQ.GIROFREEZER (1)</v>
      </c>
      <c r="AH259" s="7" t="str">
        <f>Preencher!$B$3&amp;$U$8&amp;$V$8&amp;A259&amp;$AH$6</f>
        <v>JARINU-FRG196215MQ.GIROFREEZER (2)</v>
      </c>
      <c r="AI259" s="7" t="str">
        <f>Preencher!$B$3&amp;$U$8&amp;$V$8&amp;A259&amp;$AI$6</f>
        <v>JARINU-FRG196215MQ.GIROFREEZER REV04</v>
      </c>
      <c r="AJ259" s="7" t="str">
        <f>Preencher!$B$3&amp;$U$8&amp;$V$8&amp;A259&amp;$AJ$6</f>
        <v>JARINU-FRG196215MQ.GIROFREEZER (3)</v>
      </c>
      <c r="AK259" s="327">
        <f>IFERROR(SUMIF('BD Otimix'!A:A,'BD VOLUME'!AG259,'BD Otimix'!O:O)+SUMIF('BD Otimix'!A:A,'BD VOLUME'!AH259,'BD Otimix'!O:O)+SUMIF('BD Otimix'!A:A,'BD VOLUME'!AI259,'BD Otimix'!O:O)+SUMIF('BD Otimix'!A:A,'BD VOLUME'!AJ259,'BD Otimix'!O:O)+SUMIF('BD Otimix'!A:A,'BD VOLUME'!AF259,'BD Otimix'!O:O),0)</f>
        <v>0</v>
      </c>
      <c r="AL259" s="7">
        <f t="shared" si="59"/>
        <v>0</v>
      </c>
    </row>
    <row r="260" spans="1:38">
      <c r="A260" s="324">
        <v>196223</v>
      </c>
      <c r="B260" s="324" t="s">
        <v>1305</v>
      </c>
      <c r="C260" s="5" t="s">
        <v>1187</v>
      </c>
      <c r="D260" s="5" t="s">
        <v>939</v>
      </c>
      <c r="E260" s="5" t="s">
        <v>1196</v>
      </c>
      <c r="F260" s="132">
        <f>SUMIF('COLAR PLANO'!$A:$A,A260,'COLAR PLANO'!$D:$D)</f>
        <v>0</v>
      </c>
      <c r="G260" s="131">
        <f t="shared" si="57"/>
        <v>0</v>
      </c>
      <c r="H260" s="6">
        <v>0.73870000000000002</v>
      </c>
      <c r="I260" s="7">
        <f t="shared" si="60"/>
        <v>0</v>
      </c>
      <c r="J260" s="130">
        <f t="shared" si="61"/>
        <v>0</v>
      </c>
      <c r="K260" s="327">
        <v>1</v>
      </c>
      <c r="L260" s="324">
        <v>10</v>
      </c>
      <c r="M260" s="324">
        <v>10</v>
      </c>
      <c r="N260" s="7">
        <f t="shared" si="55"/>
        <v>0</v>
      </c>
      <c r="O260" s="311"/>
      <c r="P260" s="311">
        <f t="shared" si="56"/>
        <v>0</v>
      </c>
      <c r="Q260" s="7"/>
      <c r="R260" s="7"/>
      <c r="S260" s="7"/>
      <c r="T260" s="7"/>
      <c r="U260" s="7" t="s">
        <v>2288</v>
      </c>
      <c r="V260" s="7" t="s">
        <v>2289</v>
      </c>
      <c r="W260" s="7" t="str">
        <f>Preencher!$B$3&amp;U260&amp;V260&amp;A260&amp;$W$6</f>
        <v>JARINU-FRG196223MQ.TUNEL DE CG (CONTINUO)</v>
      </c>
      <c r="X260" s="7" t="str">
        <f>Preencher!$B$3&amp;U260&amp;V260&amp;A260&amp;$X$6</f>
        <v>JARINU-FRG196223MQ.TUNEL DE CG (CONTINUO) (1)</v>
      </c>
      <c r="Y260" s="7" t="str">
        <f>Preencher!$B$3&amp;U260&amp;V260&amp;A260&amp;$Y$6</f>
        <v>JARINU-FRG196223MQ.TUNEL DE CG (CONTINUO) (2)</v>
      </c>
      <c r="Z260" s="7" t="str">
        <f>Preencher!$B$3&amp;U260&amp;V260&amp;A260&amp;$Z$6</f>
        <v>JARINU-FRG196223MQ.TUNEL DE CG (CONTINUO) (3)</v>
      </c>
      <c r="AA260" s="7" t="str">
        <f>Preencher!$B$3&amp;U260&amp;V260&amp;A260&amp;$AA$6</f>
        <v>JARINU-FRG196223MQ.TUNEL DE CG (ESTATICO)</v>
      </c>
      <c r="AB260" s="7" t="str">
        <f>Preencher!$B$3&amp;U260&amp;V260&amp;A260&amp;$AB$6</f>
        <v>JARINU-FRG196223MQ.TUNEL DE CG (ESTATICO) (1)</v>
      </c>
      <c r="AC260" s="7" t="str">
        <f>Preencher!$B$3&amp;U260&amp;V260&amp;A260&amp;$AC$6</f>
        <v>JARINU-FRG196223MQ.TUNEL DE CG (ESTATICO) (2)</v>
      </c>
      <c r="AD260" s="327">
        <f>IFERROR(SUMIF('BD Otimix'!A:A,'BD VOLUME'!X260,'BD Otimix'!O:O)+SUMIF('BD Otimix'!A:A,'BD VOLUME'!Y260,'BD Otimix'!O:O)+SUMIF('BD Otimix'!A:A,'BD VOLUME'!Z260,'BD Otimix'!O:O)+SUMIF('BD Otimix'!A:A,'BD VOLUME'!AA260,'BD Otimix'!O:O)+SUMIF('BD Otimix'!A:A,'BD VOLUME'!AB260,'BD Otimix'!O:O)+SUMIF('BD Otimix'!A:A,'BD VOLUME'!AC260,'BD Otimix'!O:O)+SUMIF('BD Otimix'!A:A,'BD VOLUME'!W260,'BD Otimix'!O:O),0)</f>
        <v>0</v>
      </c>
      <c r="AE260" s="327">
        <f t="shared" si="58"/>
        <v>0</v>
      </c>
      <c r="AF260" s="7" t="str">
        <f>Preencher!$B$3&amp;$U$8&amp;$V$8&amp;A260&amp;$AF$6</f>
        <v>JARINU-FRG196223MQ.GIROFREEZER</v>
      </c>
      <c r="AG260" s="7" t="str">
        <f>Preencher!$B$3&amp;$U$8&amp;$V$8&amp;A260&amp;$AG$6</f>
        <v>JARINU-FRG196223MQ.GIROFREEZER (1)</v>
      </c>
      <c r="AH260" s="7" t="str">
        <f>Preencher!$B$3&amp;$U$8&amp;$V$8&amp;A260&amp;$AH$6</f>
        <v>JARINU-FRG196223MQ.GIROFREEZER (2)</v>
      </c>
      <c r="AI260" s="7" t="str">
        <f>Preencher!$B$3&amp;$U$8&amp;$V$8&amp;A260&amp;$AI$6</f>
        <v>JARINU-FRG196223MQ.GIROFREEZER REV04</v>
      </c>
      <c r="AJ260" s="7" t="str">
        <f>Preencher!$B$3&amp;$U$8&amp;$V$8&amp;A260&amp;$AJ$6</f>
        <v>JARINU-FRG196223MQ.GIROFREEZER (3)</v>
      </c>
      <c r="AK260" s="327">
        <f>IFERROR(SUMIF('BD Otimix'!A:A,'BD VOLUME'!AG260,'BD Otimix'!O:O)+SUMIF('BD Otimix'!A:A,'BD VOLUME'!AH260,'BD Otimix'!O:O)+SUMIF('BD Otimix'!A:A,'BD VOLUME'!AI260,'BD Otimix'!O:O)+SUMIF('BD Otimix'!A:A,'BD VOLUME'!AJ260,'BD Otimix'!O:O)+SUMIF('BD Otimix'!A:A,'BD VOLUME'!AF260,'BD Otimix'!O:O),0)</f>
        <v>0</v>
      </c>
      <c r="AL260" s="7">
        <f t="shared" si="59"/>
        <v>0</v>
      </c>
    </row>
    <row r="261" spans="1:38">
      <c r="A261" s="324">
        <v>196231</v>
      </c>
      <c r="B261" s="324" t="s">
        <v>1306</v>
      </c>
      <c r="C261" s="5" t="s">
        <v>1188</v>
      </c>
      <c r="D261" s="5" t="s">
        <v>939</v>
      </c>
      <c r="E261" s="5" t="s">
        <v>1196</v>
      </c>
      <c r="F261" s="132">
        <f>SUMIF('COLAR PLANO'!$A:$A,A261,'COLAR PLANO'!$D:$D)</f>
        <v>0</v>
      </c>
      <c r="G261" s="131">
        <f t="shared" si="57"/>
        <v>0</v>
      </c>
      <c r="H261" s="6">
        <v>0.73870000000000002</v>
      </c>
      <c r="I261" s="7">
        <f t="shared" si="60"/>
        <v>0</v>
      </c>
      <c r="J261" s="130">
        <f t="shared" si="61"/>
        <v>0</v>
      </c>
      <c r="K261" s="327">
        <v>1.1000000000000001</v>
      </c>
      <c r="L261" s="324">
        <v>10</v>
      </c>
      <c r="M261" s="324">
        <v>11</v>
      </c>
      <c r="N261" s="7">
        <f t="shared" si="55"/>
        <v>0</v>
      </c>
      <c r="O261" s="311"/>
      <c r="P261" s="311">
        <f t="shared" si="56"/>
        <v>0</v>
      </c>
      <c r="Q261" s="7"/>
      <c r="R261" s="7"/>
      <c r="S261" s="7"/>
      <c r="T261" s="7"/>
      <c r="U261" s="7" t="s">
        <v>2288</v>
      </c>
      <c r="V261" s="7" t="s">
        <v>2289</v>
      </c>
      <c r="W261" s="7" t="str">
        <f>Preencher!$B$3&amp;U261&amp;V261&amp;A261&amp;$W$6</f>
        <v>JARINU-FRG196231MQ.TUNEL DE CG (CONTINUO)</v>
      </c>
      <c r="X261" s="7" t="str">
        <f>Preencher!$B$3&amp;U261&amp;V261&amp;A261&amp;$X$6</f>
        <v>JARINU-FRG196231MQ.TUNEL DE CG (CONTINUO) (1)</v>
      </c>
      <c r="Y261" s="7" t="str">
        <f>Preencher!$B$3&amp;U261&amp;V261&amp;A261&amp;$Y$6</f>
        <v>JARINU-FRG196231MQ.TUNEL DE CG (CONTINUO) (2)</v>
      </c>
      <c r="Z261" s="7" t="str">
        <f>Preencher!$B$3&amp;U261&amp;V261&amp;A261&amp;$Z$6</f>
        <v>JARINU-FRG196231MQ.TUNEL DE CG (CONTINUO) (3)</v>
      </c>
      <c r="AA261" s="7" t="str">
        <f>Preencher!$B$3&amp;U261&amp;V261&amp;A261&amp;$AA$6</f>
        <v>JARINU-FRG196231MQ.TUNEL DE CG (ESTATICO)</v>
      </c>
      <c r="AB261" s="7" t="str">
        <f>Preencher!$B$3&amp;U261&amp;V261&amp;A261&amp;$AB$6</f>
        <v>JARINU-FRG196231MQ.TUNEL DE CG (ESTATICO) (1)</v>
      </c>
      <c r="AC261" s="7" t="str">
        <f>Preencher!$B$3&amp;U261&amp;V261&amp;A261&amp;$AC$6</f>
        <v>JARINU-FRG196231MQ.TUNEL DE CG (ESTATICO) (2)</v>
      </c>
      <c r="AD261" s="327">
        <f>IFERROR(SUMIF('BD Otimix'!A:A,'BD VOLUME'!X261,'BD Otimix'!O:O)+SUMIF('BD Otimix'!A:A,'BD VOLUME'!Y261,'BD Otimix'!O:O)+SUMIF('BD Otimix'!A:A,'BD VOLUME'!Z261,'BD Otimix'!O:O)+SUMIF('BD Otimix'!A:A,'BD VOLUME'!AA261,'BD Otimix'!O:O)+SUMIF('BD Otimix'!A:A,'BD VOLUME'!AB261,'BD Otimix'!O:O)+SUMIF('BD Otimix'!A:A,'BD VOLUME'!AC261,'BD Otimix'!O:O)+SUMIF('BD Otimix'!A:A,'BD VOLUME'!W261,'BD Otimix'!O:O),0)</f>
        <v>0</v>
      </c>
      <c r="AE261" s="327">
        <f t="shared" si="58"/>
        <v>0</v>
      </c>
      <c r="AF261" s="7" t="str">
        <f>Preencher!$B$3&amp;$U$8&amp;$V$8&amp;A261&amp;$AF$6</f>
        <v>JARINU-FRG196231MQ.GIROFREEZER</v>
      </c>
      <c r="AG261" s="7" t="str">
        <f>Preencher!$B$3&amp;$U$8&amp;$V$8&amp;A261&amp;$AG$6</f>
        <v>JARINU-FRG196231MQ.GIROFREEZER (1)</v>
      </c>
      <c r="AH261" s="7" t="str">
        <f>Preencher!$B$3&amp;$U$8&amp;$V$8&amp;A261&amp;$AH$6</f>
        <v>JARINU-FRG196231MQ.GIROFREEZER (2)</v>
      </c>
      <c r="AI261" s="7" t="str">
        <f>Preencher!$B$3&amp;$U$8&amp;$V$8&amp;A261&amp;$AI$6</f>
        <v>JARINU-FRG196231MQ.GIROFREEZER REV04</v>
      </c>
      <c r="AJ261" s="7" t="str">
        <f>Preencher!$B$3&amp;$U$8&amp;$V$8&amp;A261&amp;$AJ$6</f>
        <v>JARINU-FRG196231MQ.GIROFREEZER (3)</v>
      </c>
      <c r="AK261" s="327">
        <f>IFERROR(SUMIF('BD Otimix'!A:A,'BD VOLUME'!AG261,'BD Otimix'!O:O)+SUMIF('BD Otimix'!A:A,'BD VOLUME'!AH261,'BD Otimix'!O:O)+SUMIF('BD Otimix'!A:A,'BD VOLUME'!AI261,'BD Otimix'!O:O)+SUMIF('BD Otimix'!A:A,'BD VOLUME'!AJ261,'BD Otimix'!O:O)+SUMIF('BD Otimix'!A:A,'BD VOLUME'!AF261,'BD Otimix'!O:O),0)</f>
        <v>0</v>
      </c>
      <c r="AL261" s="7">
        <f t="shared" si="59"/>
        <v>0</v>
      </c>
    </row>
    <row r="262" spans="1:38">
      <c r="A262" s="324">
        <v>196240</v>
      </c>
      <c r="B262" s="324" t="s">
        <v>1307</v>
      </c>
      <c r="C262" s="5" t="s">
        <v>1195</v>
      </c>
      <c r="D262" s="5" t="s">
        <v>939</v>
      </c>
      <c r="E262" s="5" t="s">
        <v>1196</v>
      </c>
      <c r="F262" s="132">
        <f>SUMIF('COLAR PLANO'!$A:$A,A262,'COLAR PLANO'!$D:$D)</f>
        <v>0</v>
      </c>
      <c r="G262" s="131">
        <f t="shared" si="57"/>
        <v>0</v>
      </c>
      <c r="H262" s="6">
        <v>0.73870000000000002</v>
      </c>
      <c r="I262" s="7">
        <f t="shared" si="60"/>
        <v>0</v>
      </c>
      <c r="J262" s="130">
        <f t="shared" si="61"/>
        <v>0</v>
      </c>
      <c r="K262" s="327">
        <v>1.2</v>
      </c>
      <c r="L262" s="324">
        <v>10</v>
      </c>
      <c r="M262" s="324">
        <v>12</v>
      </c>
      <c r="N262" s="7">
        <f t="shared" si="55"/>
        <v>0</v>
      </c>
      <c r="O262" s="311"/>
      <c r="P262" s="311">
        <f t="shared" si="56"/>
        <v>0</v>
      </c>
      <c r="Q262" s="7"/>
      <c r="R262" s="7"/>
      <c r="S262" s="7"/>
      <c r="T262" s="7"/>
      <c r="U262" s="7" t="s">
        <v>2288</v>
      </c>
      <c r="V262" s="7" t="s">
        <v>2289</v>
      </c>
      <c r="W262" s="7" t="str">
        <f>Preencher!$B$3&amp;U262&amp;V262&amp;A262&amp;$W$6</f>
        <v>JARINU-FRG196240MQ.TUNEL DE CG (CONTINUO)</v>
      </c>
      <c r="X262" s="7" t="str">
        <f>Preencher!$B$3&amp;U262&amp;V262&amp;A262&amp;$X$6</f>
        <v>JARINU-FRG196240MQ.TUNEL DE CG (CONTINUO) (1)</v>
      </c>
      <c r="Y262" s="7" t="str">
        <f>Preencher!$B$3&amp;U262&amp;V262&amp;A262&amp;$Y$6</f>
        <v>JARINU-FRG196240MQ.TUNEL DE CG (CONTINUO) (2)</v>
      </c>
      <c r="Z262" s="7" t="str">
        <f>Preencher!$B$3&amp;U262&amp;V262&amp;A262&amp;$Z$6</f>
        <v>JARINU-FRG196240MQ.TUNEL DE CG (CONTINUO) (3)</v>
      </c>
      <c r="AA262" s="7" t="str">
        <f>Preencher!$B$3&amp;U262&amp;V262&amp;A262&amp;$AA$6</f>
        <v>JARINU-FRG196240MQ.TUNEL DE CG (ESTATICO)</v>
      </c>
      <c r="AB262" s="7" t="str">
        <f>Preencher!$B$3&amp;U262&amp;V262&amp;A262&amp;$AB$6</f>
        <v>JARINU-FRG196240MQ.TUNEL DE CG (ESTATICO) (1)</v>
      </c>
      <c r="AC262" s="7" t="str">
        <f>Preencher!$B$3&amp;U262&amp;V262&amp;A262&amp;$AC$6</f>
        <v>JARINU-FRG196240MQ.TUNEL DE CG (ESTATICO) (2)</v>
      </c>
      <c r="AD262" s="327">
        <f>IFERROR(SUMIF('BD Otimix'!A:A,'BD VOLUME'!X262,'BD Otimix'!O:O)+SUMIF('BD Otimix'!A:A,'BD VOLUME'!Y262,'BD Otimix'!O:O)+SUMIF('BD Otimix'!A:A,'BD VOLUME'!Z262,'BD Otimix'!O:O)+SUMIF('BD Otimix'!A:A,'BD VOLUME'!AA262,'BD Otimix'!O:O)+SUMIF('BD Otimix'!A:A,'BD VOLUME'!AB262,'BD Otimix'!O:O)+SUMIF('BD Otimix'!A:A,'BD VOLUME'!AC262,'BD Otimix'!O:O)+SUMIF('BD Otimix'!A:A,'BD VOLUME'!W262,'BD Otimix'!O:O),0)</f>
        <v>0</v>
      </c>
      <c r="AE262" s="327">
        <f t="shared" si="58"/>
        <v>0</v>
      </c>
      <c r="AF262" s="7" t="str">
        <f>Preencher!$B$3&amp;$U$8&amp;$V$8&amp;A262&amp;$AF$6</f>
        <v>JARINU-FRG196240MQ.GIROFREEZER</v>
      </c>
      <c r="AG262" s="7" t="str">
        <f>Preencher!$B$3&amp;$U$8&amp;$V$8&amp;A262&amp;$AG$6</f>
        <v>JARINU-FRG196240MQ.GIROFREEZER (1)</v>
      </c>
      <c r="AH262" s="7" t="str">
        <f>Preencher!$B$3&amp;$U$8&amp;$V$8&amp;A262&amp;$AH$6</f>
        <v>JARINU-FRG196240MQ.GIROFREEZER (2)</v>
      </c>
      <c r="AI262" s="7" t="str">
        <f>Preencher!$B$3&amp;$U$8&amp;$V$8&amp;A262&amp;$AI$6</f>
        <v>JARINU-FRG196240MQ.GIROFREEZER REV04</v>
      </c>
      <c r="AJ262" s="7" t="str">
        <f>Preencher!$B$3&amp;$U$8&amp;$V$8&amp;A262&amp;$AJ$6</f>
        <v>JARINU-FRG196240MQ.GIROFREEZER (3)</v>
      </c>
      <c r="AK262" s="327">
        <f>IFERROR(SUMIF('BD Otimix'!A:A,'BD VOLUME'!AG262,'BD Otimix'!O:O)+SUMIF('BD Otimix'!A:A,'BD VOLUME'!AH262,'BD Otimix'!O:O)+SUMIF('BD Otimix'!A:A,'BD VOLUME'!AI262,'BD Otimix'!O:O)+SUMIF('BD Otimix'!A:A,'BD VOLUME'!AJ262,'BD Otimix'!O:O)+SUMIF('BD Otimix'!A:A,'BD VOLUME'!AF262,'BD Otimix'!O:O),0)</f>
        <v>0</v>
      </c>
      <c r="AL262" s="7">
        <f t="shared" si="59"/>
        <v>0</v>
      </c>
    </row>
    <row r="263" spans="1:38">
      <c r="A263" s="324">
        <v>196258</v>
      </c>
      <c r="B263" s="324" t="s">
        <v>1308</v>
      </c>
      <c r="C263" s="5" t="s">
        <v>1225</v>
      </c>
      <c r="D263" s="5" t="s">
        <v>939</v>
      </c>
      <c r="E263" s="5" t="s">
        <v>1196</v>
      </c>
      <c r="F263" s="132">
        <f>SUMIF('COLAR PLANO'!$A:$A,A263,'COLAR PLANO'!$D:$D)</f>
        <v>0</v>
      </c>
      <c r="G263" s="131">
        <f t="shared" si="57"/>
        <v>0</v>
      </c>
      <c r="H263" s="6">
        <v>0.73870000000000002</v>
      </c>
      <c r="I263" s="7">
        <f t="shared" si="60"/>
        <v>0</v>
      </c>
      <c r="J263" s="130">
        <f t="shared" si="61"/>
        <v>0</v>
      </c>
      <c r="K263" s="327">
        <v>1.3</v>
      </c>
      <c r="L263" s="324">
        <v>10</v>
      </c>
      <c r="M263" s="324">
        <v>13</v>
      </c>
      <c r="N263" s="7">
        <f t="shared" si="55"/>
        <v>0</v>
      </c>
      <c r="O263" s="311"/>
      <c r="P263" s="311">
        <f t="shared" si="56"/>
        <v>0</v>
      </c>
      <c r="Q263" s="7"/>
      <c r="R263" s="7"/>
      <c r="S263" s="7"/>
      <c r="T263" s="7"/>
      <c r="U263" s="7" t="s">
        <v>2288</v>
      </c>
      <c r="V263" s="7" t="s">
        <v>2289</v>
      </c>
      <c r="W263" s="7" t="str">
        <f>Preencher!$B$3&amp;U263&amp;V263&amp;A263&amp;$W$6</f>
        <v>JARINU-FRG196258MQ.TUNEL DE CG (CONTINUO)</v>
      </c>
      <c r="X263" s="7" t="str">
        <f>Preencher!$B$3&amp;U263&amp;V263&amp;A263&amp;$X$6</f>
        <v>JARINU-FRG196258MQ.TUNEL DE CG (CONTINUO) (1)</v>
      </c>
      <c r="Y263" s="7" t="str">
        <f>Preencher!$B$3&amp;U263&amp;V263&amp;A263&amp;$Y$6</f>
        <v>JARINU-FRG196258MQ.TUNEL DE CG (CONTINUO) (2)</v>
      </c>
      <c r="Z263" s="7" t="str">
        <f>Preencher!$B$3&amp;U263&amp;V263&amp;A263&amp;$Z$6</f>
        <v>JARINU-FRG196258MQ.TUNEL DE CG (CONTINUO) (3)</v>
      </c>
      <c r="AA263" s="7" t="str">
        <f>Preencher!$B$3&amp;U263&amp;V263&amp;A263&amp;$AA$6</f>
        <v>JARINU-FRG196258MQ.TUNEL DE CG (ESTATICO)</v>
      </c>
      <c r="AB263" s="7" t="str">
        <f>Preencher!$B$3&amp;U263&amp;V263&amp;A263&amp;$AB$6</f>
        <v>JARINU-FRG196258MQ.TUNEL DE CG (ESTATICO) (1)</v>
      </c>
      <c r="AC263" s="7" t="str">
        <f>Preencher!$B$3&amp;U263&amp;V263&amp;A263&amp;$AC$6</f>
        <v>JARINU-FRG196258MQ.TUNEL DE CG (ESTATICO) (2)</v>
      </c>
      <c r="AD263" s="327">
        <f>IFERROR(SUMIF('BD Otimix'!A:A,'BD VOLUME'!X263,'BD Otimix'!O:O)+SUMIF('BD Otimix'!A:A,'BD VOLUME'!Y263,'BD Otimix'!O:O)+SUMIF('BD Otimix'!A:A,'BD VOLUME'!Z263,'BD Otimix'!O:O)+SUMIF('BD Otimix'!A:A,'BD VOLUME'!AA263,'BD Otimix'!O:O)+SUMIF('BD Otimix'!A:A,'BD VOLUME'!AB263,'BD Otimix'!O:O)+SUMIF('BD Otimix'!A:A,'BD VOLUME'!AC263,'BD Otimix'!O:O)+SUMIF('BD Otimix'!A:A,'BD VOLUME'!W263,'BD Otimix'!O:O),0)</f>
        <v>0</v>
      </c>
      <c r="AE263" s="327">
        <f t="shared" si="58"/>
        <v>0</v>
      </c>
      <c r="AF263" s="7" t="str">
        <f>Preencher!$B$3&amp;$U$8&amp;$V$8&amp;A263&amp;$AF$6</f>
        <v>JARINU-FRG196258MQ.GIROFREEZER</v>
      </c>
      <c r="AG263" s="7" t="str">
        <f>Preencher!$B$3&amp;$U$8&amp;$V$8&amp;A263&amp;$AG$6</f>
        <v>JARINU-FRG196258MQ.GIROFREEZER (1)</v>
      </c>
      <c r="AH263" s="7" t="str">
        <f>Preencher!$B$3&amp;$U$8&amp;$V$8&amp;A263&amp;$AH$6</f>
        <v>JARINU-FRG196258MQ.GIROFREEZER (2)</v>
      </c>
      <c r="AI263" s="7" t="str">
        <f>Preencher!$B$3&amp;$U$8&amp;$V$8&amp;A263&amp;$AI$6</f>
        <v>JARINU-FRG196258MQ.GIROFREEZER REV04</v>
      </c>
      <c r="AJ263" s="7" t="str">
        <f>Preencher!$B$3&amp;$U$8&amp;$V$8&amp;A263&amp;$AJ$6</f>
        <v>JARINU-FRG196258MQ.GIROFREEZER (3)</v>
      </c>
      <c r="AK263" s="327">
        <f>IFERROR(SUMIF('BD Otimix'!A:A,'BD VOLUME'!AG263,'BD Otimix'!O:O)+SUMIF('BD Otimix'!A:A,'BD VOLUME'!AH263,'BD Otimix'!O:O)+SUMIF('BD Otimix'!A:A,'BD VOLUME'!AI263,'BD Otimix'!O:O)+SUMIF('BD Otimix'!A:A,'BD VOLUME'!AJ263,'BD Otimix'!O:O)+SUMIF('BD Otimix'!A:A,'BD VOLUME'!AF263,'BD Otimix'!O:O),0)</f>
        <v>0</v>
      </c>
      <c r="AL263" s="7">
        <f t="shared" si="59"/>
        <v>0</v>
      </c>
    </row>
    <row r="264" spans="1:38">
      <c r="A264" s="324">
        <v>196266</v>
      </c>
      <c r="B264" s="324" t="s">
        <v>1309</v>
      </c>
      <c r="C264" s="5" t="s">
        <v>1310</v>
      </c>
      <c r="D264" s="5" t="s">
        <v>939</v>
      </c>
      <c r="E264" s="5" t="s">
        <v>1196</v>
      </c>
      <c r="F264" s="132">
        <f>SUMIF('COLAR PLANO'!$A:$A,A264,'COLAR PLANO'!$D:$D)</f>
        <v>0</v>
      </c>
      <c r="G264" s="131">
        <f t="shared" si="57"/>
        <v>0</v>
      </c>
      <c r="H264" s="6">
        <v>0.73870000000000002</v>
      </c>
      <c r="I264" s="7">
        <f t="shared" si="60"/>
        <v>0</v>
      </c>
      <c r="J264" s="130">
        <f t="shared" si="61"/>
        <v>0</v>
      </c>
      <c r="K264" s="327">
        <v>1.4</v>
      </c>
      <c r="L264" s="324">
        <v>10</v>
      </c>
      <c r="M264" s="324">
        <v>14</v>
      </c>
      <c r="N264" s="7">
        <f t="shared" si="55"/>
        <v>0</v>
      </c>
      <c r="O264" s="311"/>
      <c r="P264" s="311">
        <f t="shared" si="56"/>
        <v>0</v>
      </c>
      <c r="Q264" s="7"/>
      <c r="R264" s="7"/>
      <c r="S264" s="7"/>
      <c r="T264" s="7"/>
      <c r="U264" s="7" t="s">
        <v>2288</v>
      </c>
      <c r="V264" s="7" t="s">
        <v>2289</v>
      </c>
      <c r="W264" s="7" t="str">
        <f>Preencher!$B$3&amp;U264&amp;V264&amp;A264&amp;$W$6</f>
        <v>JARINU-FRG196266MQ.TUNEL DE CG (CONTINUO)</v>
      </c>
      <c r="X264" s="7" t="str">
        <f>Preencher!$B$3&amp;U264&amp;V264&amp;A264&amp;$X$6</f>
        <v>JARINU-FRG196266MQ.TUNEL DE CG (CONTINUO) (1)</v>
      </c>
      <c r="Y264" s="7" t="str">
        <f>Preencher!$B$3&amp;U264&amp;V264&amp;A264&amp;$Y$6</f>
        <v>JARINU-FRG196266MQ.TUNEL DE CG (CONTINUO) (2)</v>
      </c>
      <c r="Z264" s="7" t="str">
        <f>Preencher!$B$3&amp;U264&amp;V264&amp;A264&amp;$Z$6</f>
        <v>JARINU-FRG196266MQ.TUNEL DE CG (CONTINUO) (3)</v>
      </c>
      <c r="AA264" s="7" t="str">
        <f>Preencher!$B$3&amp;U264&amp;V264&amp;A264&amp;$AA$6</f>
        <v>JARINU-FRG196266MQ.TUNEL DE CG (ESTATICO)</v>
      </c>
      <c r="AB264" s="7" t="str">
        <f>Preencher!$B$3&amp;U264&amp;V264&amp;A264&amp;$AB$6</f>
        <v>JARINU-FRG196266MQ.TUNEL DE CG (ESTATICO) (1)</v>
      </c>
      <c r="AC264" s="7" t="str">
        <f>Preencher!$B$3&amp;U264&amp;V264&amp;A264&amp;$AC$6</f>
        <v>JARINU-FRG196266MQ.TUNEL DE CG (ESTATICO) (2)</v>
      </c>
      <c r="AD264" s="327">
        <f>IFERROR(SUMIF('BD Otimix'!A:A,'BD VOLUME'!X264,'BD Otimix'!O:O)+SUMIF('BD Otimix'!A:A,'BD VOLUME'!Y264,'BD Otimix'!O:O)+SUMIF('BD Otimix'!A:A,'BD VOLUME'!Z264,'BD Otimix'!O:O)+SUMIF('BD Otimix'!A:A,'BD VOLUME'!AA264,'BD Otimix'!O:O)+SUMIF('BD Otimix'!A:A,'BD VOLUME'!AB264,'BD Otimix'!O:O)+SUMIF('BD Otimix'!A:A,'BD VOLUME'!AC264,'BD Otimix'!O:O)+SUMIF('BD Otimix'!A:A,'BD VOLUME'!W264,'BD Otimix'!O:O),0)</f>
        <v>0</v>
      </c>
      <c r="AE264" s="327">
        <f t="shared" si="58"/>
        <v>0</v>
      </c>
      <c r="AF264" s="7" t="str">
        <f>Preencher!$B$3&amp;$U$8&amp;$V$8&amp;A264&amp;$AF$6</f>
        <v>JARINU-FRG196266MQ.GIROFREEZER</v>
      </c>
      <c r="AG264" s="7" t="str">
        <f>Preencher!$B$3&amp;$U$8&amp;$V$8&amp;A264&amp;$AG$6</f>
        <v>JARINU-FRG196266MQ.GIROFREEZER (1)</v>
      </c>
      <c r="AH264" s="7" t="str">
        <f>Preencher!$B$3&amp;$U$8&amp;$V$8&amp;A264&amp;$AH$6</f>
        <v>JARINU-FRG196266MQ.GIROFREEZER (2)</v>
      </c>
      <c r="AI264" s="7" t="str">
        <f>Preencher!$B$3&amp;$U$8&amp;$V$8&amp;A264&amp;$AI$6</f>
        <v>JARINU-FRG196266MQ.GIROFREEZER REV04</v>
      </c>
      <c r="AJ264" s="7" t="str">
        <f>Preencher!$B$3&amp;$U$8&amp;$V$8&amp;A264&amp;$AJ$6</f>
        <v>JARINU-FRG196266MQ.GIROFREEZER (3)</v>
      </c>
      <c r="AK264" s="327">
        <f>IFERROR(SUMIF('BD Otimix'!A:A,'BD VOLUME'!AG264,'BD Otimix'!O:O)+SUMIF('BD Otimix'!A:A,'BD VOLUME'!AH264,'BD Otimix'!O:O)+SUMIF('BD Otimix'!A:A,'BD VOLUME'!AI264,'BD Otimix'!O:O)+SUMIF('BD Otimix'!A:A,'BD VOLUME'!AJ264,'BD Otimix'!O:O)+SUMIF('BD Otimix'!A:A,'BD VOLUME'!AF264,'BD Otimix'!O:O),0)</f>
        <v>0</v>
      </c>
      <c r="AL264" s="7">
        <f t="shared" si="59"/>
        <v>0</v>
      </c>
    </row>
    <row r="265" spans="1:38">
      <c r="A265" s="324">
        <v>378666</v>
      </c>
      <c r="B265" s="324" t="s">
        <v>1311</v>
      </c>
      <c r="C265" s="5" t="s">
        <v>1184</v>
      </c>
      <c r="D265" s="5" t="s">
        <v>939</v>
      </c>
      <c r="E265" s="5" t="s">
        <v>1196</v>
      </c>
      <c r="F265" s="132">
        <f>SUMIF('COLAR PLANO'!$A:$A,A265,'COLAR PLANO'!$D:$D)</f>
        <v>0</v>
      </c>
      <c r="G265" s="131">
        <f t="shared" si="57"/>
        <v>0</v>
      </c>
      <c r="H265" s="6">
        <v>0.74159999999999993</v>
      </c>
      <c r="I265" s="7">
        <f t="shared" si="60"/>
        <v>0</v>
      </c>
      <c r="J265" s="130">
        <f t="shared" si="61"/>
        <v>0</v>
      </c>
      <c r="K265" s="327">
        <v>0.7</v>
      </c>
      <c r="L265" s="324">
        <v>10</v>
      </c>
      <c r="M265" s="324">
        <v>7</v>
      </c>
      <c r="N265" s="7">
        <f t="shared" si="55"/>
        <v>0</v>
      </c>
      <c r="O265" s="311"/>
      <c r="P265" s="311">
        <f t="shared" si="56"/>
        <v>0</v>
      </c>
      <c r="Q265" s="7"/>
      <c r="R265" s="7"/>
      <c r="S265" s="7"/>
      <c r="T265" s="7"/>
      <c r="U265" s="7" t="s">
        <v>2288</v>
      </c>
      <c r="V265" s="7" t="s">
        <v>2289</v>
      </c>
      <c r="W265" s="7" t="str">
        <f>Preencher!$B$3&amp;U265&amp;V265&amp;A265&amp;$W$6</f>
        <v>JARINU-FRG378666MQ.TUNEL DE CG (CONTINUO)</v>
      </c>
      <c r="X265" s="7" t="str">
        <f>Preencher!$B$3&amp;U265&amp;V265&amp;A265&amp;$X$6</f>
        <v>JARINU-FRG378666MQ.TUNEL DE CG (CONTINUO) (1)</v>
      </c>
      <c r="Y265" s="7" t="str">
        <f>Preencher!$B$3&amp;U265&amp;V265&amp;A265&amp;$Y$6</f>
        <v>JARINU-FRG378666MQ.TUNEL DE CG (CONTINUO) (2)</v>
      </c>
      <c r="Z265" s="7" t="str">
        <f>Preencher!$B$3&amp;U265&amp;V265&amp;A265&amp;$Z$6</f>
        <v>JARINU-FRG378666MQ.TUNEL DE CG (CONTINUO) (3)</v>
      </c>
      <c r="AA265" s="7" t="str">
        <f>Preencher!$B$3&amp;U265&amp;V265&amp;A265&amp;$AA$6</f>
        <v>JARINU-FRG378666MQ.TUNEL DE CG (ESTATICO)</v>
      </c>
      <c r="AB265" s="7" t="str">
        <f>Preencher!$B$3&amp;U265&amp;V265&amp;A265&amp;$AB$6</f>
        <v>JARINU-FRG378666MQ.TUNEL DE CG (ESTATICO) (1)</v>
      </c>
      <c r="AC265" s="7" t="str">
        <f>Preencher!$B$3&amp;U265&amp;V265&amp;A265&amp;$AC$6</f>
        <v>JARINU-FRG378666MQ.TUNEL DE CG (ESTATICO) (2)</v>
      </c>
      <c r="AD265" s="327">
        <f>IFERROR(SUMIF('BD Otimix'!A:A,'BD VOLUME'!X265,'BD Otimix'!O:O)+SUMIF('BD Otimix'!A:A,'BD VOLUME'!Y265,'BD Otimix'!O:O)+SUMIF('BD Otimix'!A:A,'BD VOLUME'!Z265,'BD Otimix'!O:O)+SUMIF('BD Otimix'!A:A,'BD VOLUME'!AA265,'BD Otimix'!O:O)+SUMIF('BD Otimix'!A:A,'BD VOLUME'!AB265,'BD Otimix'!O:O)+SUMIF('BD Otimix'!A:A,'BD VOLUME'!AC265,'BD Otimix'!O:O)+SUMIF('BD Otimix'!A:A,'BD VOLUME'!W265,'BD Otimix'!O:O),0)</f>
        <v>0</v>
      </c>
      <c r="AE265" s="327">
        <f t="shared" si="58"/>
        <v>0</v>
      </c>
      <c r="AF265" s="7" t="str">
        <f>Preencher!$B$3&amp;$U$8&amp;$V$8&amp;A265&amp;$AF$6</f>
        <v>JARINU-FRG378666MQ.GIROFREEZER</v>
      </c>
      <c r="AG265" s="7" t="str">
        <f>Preencher!$B$3&amp;$U$8&amp;$V$8&amp;A265&amp;$AG$6</f>
        <v>JARINU-FRG378666MQ.GIROFREEZER (1)</v>
      </c>
      <c r="AH265" s="7" t="str">
        <f>Preencher!$B$3&amp;$U$8&amp;$V$8&amp;A265&amp;$AH$6</f>
        <v>JARINU-FRG378666MQ.GIROFREEZER (2)</v>
      </c>
      <c r="AI265" s="7" t="str">
        <f>Preencher!$B$3&amp;$U$8&amp;$V$8&amp;A265&amp;$AI$6</f>
        <v>JARINU-FRG378666MQ.GIROFREEZER REV04</v>
      </c>
      <c r="AJ265" s="7" t="str">
        <f>Preencher!$B$3&amp;$U$8&amp;$V$8&amp;A265&amp;$AJ$6</f>
        <v>JARINU-FRG378666MQ.GIROFREEZER (3)</v>
      </c>
      <c r="AK265" s="327">
        <f>IFERROR(SUMIF('BD Otimix'!A:A,'BD VOLUME'!AG265,'BD Otimix'!O:O)+SUMIF('BD Otimix'!A:A,'BD VOLUME'!AH265,'BD Otimix'!O:O)+SUMIF('BD Otimix'!A:A,'BD VOLUME'!AI265,'BD Otimix'!O:O)+SUMIF('BD Otimix'!A:A,'BD VOLUME'!AJ265,'BD Otimix'!O:O)+SUMIF('BD Otimix'!A:A,'BD VOLUME'!AF265,'BD Otimix'!O:O),0)</f>
        <v>0</v>
      </c>
      <c r="AL265" s="7">
        <f t="shared" si="59"/>
        <v>0</v>
      </c>
    </row>
    <row r="266" spans="1:38">
      <c r="A266" s="324">
        <v>384623</v>
      </c>
      <c r="B266" s="324" t="s">
        <v>1312</v>
      </c>
      <c r="C266" s="5" t="s">
        <v>1310</v>
      </c>
      <c r="D266" s="5" t="s">
        <v>939</v>
      </c>
      <c r="E266" s="5" t="s">
        <v>1196</v>
      </c>
      <c r="F266" s="132">
        <f>SUMIF('COLAR PLANO'!$A:$A,A266,'COLAR PLANO'!$D:$D)</f>
        <v>0</v>
      </c>
      <c r="G266" s="131">
        <f t="shared" si="57"/>
        <v>0</v>
      </c>
      <c r="H266" s="6">
        <v>0.74159999999999993</v>
      </c>
      <c r="I266" s="7">
        <f t="shared" si="60"/>
        <v>0</v>
      </c>
      <c r="J266" s="130">
        <f t="shared" si="61"/>
        <v>0</v>
      </c>
      <c r="K266" s="327">
        <v>1.4</v>
      </c>
      <c r="L266" s="324">
        <v>10</v>
      </c>
      <c r="M266" s="324">
        <v>14</v>
      </c>
      <c r="N266" s="7">
        <f t="shared" si="55"/>
        <v>0</v>
      </c>
      <c r="O266" s="311"/>
      <c r="P266" s="311">
        <f t="shared" si="56"/>
        <v>0</v>
      </c>
      <c r="Q266" s="7"/>
      <c r="R266" s="7"/>
      <c r="S266" s="7"/>
      <c r="T266" s="7"/>
      <c r="U266" s="7" t="s">
        <v>2288</v>
      </c>
      <c r="V266" s="7" t="s">
        <v>2289</v>
      </c>
      <c r="W266" s="7" t="str">
        <f>Preencher!$B$3&amp;U266&amp;V266&amp;A266&amp;$W$6</f>
        <v>JARINU-FRG384623MQ.TUNEL DE CG (CONTINUO)</v>
      </c>
      <c r="X266" s="7" t="str">
        <f>Preencher!$B$3&amp;U266&amp;V266&amp;A266&amp;$X$6</f>
        <v>JARINU-FRG384623MQ.TUNEL DE CG (CONTINUO) (1)</v>
      </c>
      <c r="Y266" s="7" t="str">
        <f>Preencher!$B$3&amp;U266&amp;V266&amp;A266&amp;$Y$6</f>
        <v>JARINU-FRG384623MQ.TUNEL DE CG (CONTINUO) (2)</v>
      </c>
      <c r="Z266" s="7" t="str">
        <f>Preencher!$B$3&amp;U266&amp;V266&amp;A266&amp;$Z$6</f>
        <v>JARINU-FRG384623MQ.TUNEL DE CG (CONTINUO) (3)</v>
      </c>
      <c r="AA266" s="7" t="str">
        <f>Preencher!$B$3&amp;U266&amp;V266&amp;A266&amp;$AA$6</f>
        <v>JARINU-FRG384623MQ.TUNEL DE CG (ESTATICO)</v>
      </c>
      <c r="AB266" s="7" t="str">
        <f>Preencher!$B$3&amp;U266&amp;V266&amp;A266&amp;$AB$6</f>
        <v>JARINU-FRG384623MQ.TUNEL DE CG (ESTATICO) (1)</v>
      </c>
      <c r="AC266" s="7" t="str">
        <f>Preencher!$B$3&amp;U266&amp;V266&amp;A266&amp;$AC$6</f>
        <v>JARINU-FRG384623MQ.TUNEL DE CG (ESTATICO) (2)</v>
      </c>
      <c r="AD266" s="327">
        <f>IFERROR(SUMIF('BD Otimix'!A:A,'BD VOLUME'!X266,'BD Otimix'!O:O)+SUMIF('BD Otimix'!A:A,'BD VOLUME'!Y266,'BD Otimix'!O:O)+SUMIF('BD Otimix'!A:A,'BD VOLUME'!Z266,'BD Otimix'!O:O)+SUMIF('BD Otimix'!A:A,'BD VOLUME'!AA266,'BD Otimix'!O:O)+SUMIF('BD Otimix'!A:A,'BD VOLUME'!AB266,'BD Otimix'!O:O)+SUMIF('BD Otimix'!A:A,'BD VOLUME'!AC266,'BD Otimix'!O:O)+SUMIF('BD Otimix'!A:A,'BD VOLUME'!W266,'BD Otimix'!O:O),0)</f>
        <v>0</v>
      </c>
      <c r="AE266" s="327">
        <f t="shared" si="58"/>
        <v>0</v>
      </c>
      <c r="AF266" s="7" t="str">
        <f>Preencher!$B$3&amp;$U$8&amp;$V$8&amp;A266&amp;$AF$6</f>
        <v>JARINU-FRG384623MQ.GIROFREEZER</v>
      </c>
      <c r="AG266" s="7" t="str">
        <f>Preencher!$B$3&amp;$U$8&amp;$V$8&amp;A266&amp;$AG$6</f>
        <v>JARINU-FRG384623MQ.GIROFREEZER (1)</v>
      </c>
      <c r="AH266" s="7" t="str">
        <f>Preencher!$B$3&amp;$U$8&amp;$V$8&amp;A266&amp;$AH$6</f>
        <v>JARINU-FRG384623MQ.GIROFREEZER (2)</v>
      </c>
      <c r="AI266" s="7" t="str">
        <f>Preencher!$B$3&amp;$U$8&amp;$V$8&amp;A266&amp;$AI$6</f>
        <v>JARINU-FRG384623MQ.GIROFREEZER REV04</v>
      </c>
      <c r="AJ266" s="7" t="str">
        <f>Preencher!$B$3&amp;$U$8&amp;$V$8&amp;A266&amp;$AJ$6</f>
        <v>JARINU-FRG384623MQ.GIROFREEZER (3)</v>
      </c>
      <c r="AK266" s="327">
        <f>IFERROR(SUMIF('BD Otimix'!A:A,'BD VOLUME'!AG266,'BD Otimix'!O:O)+SUMIF('BD Otimix'!A:A,'BD VOLUME'!AH266,'BD Otimix'!O:O)+SUMIF('BD Otimix'!A:A,'BD VOLUME'!AI266,'BD Otimix'!O:O)+SUMIF('BD Otimix'!A:A,'BD VOLUME'!AJ266,'BD Otimix'!O:O)+SUMIF('BD Otimix'!A:A,'BD VOLUME'!AF266,'BD Otimix'!O:O),0)</f>
        <v>0</v>
      </c>
      <c r="AL266" s="7">
        <f t="shared" si="59"/>
        <v>0</v>
      </c>
    </row>
    <row r="267" spans="1:38">
      <c r="A267" s="324">
        <v>58670</v>
      </c>
      <c r="B267" s="324" t="s">
        <v>1313</v>
      </c>
      <c r="C267" s="5" t="s">
        <v>1181</v>
      </c>
      <c r="D267" s="5" t="s">
        <v>939</v>
      </c>
      <c r="E267" s="5" t="s">
        <v>1196</v>
      </c>
      <c r="F267" s="132">
        <f>SUMIF('COLAR PLANO'!$A:$A,A267,'COLAR PLANO'!$D:$D)</f>
        <v>0</v>
      </c>
      <c r="G267" s="131">
        <f t="shared" si="57"/>
        <v>0</v>
      </c>
      <c r="H267" s="6">
        <v>0.74010000000000009</v>
      </c>
      <c r="I267" s="7">
        <f t="shared" si="60"/>
        <v>0</v>
      </c>
      <c r="J267" s="130">
        <f t="shared" si="61"/>
        <v>0</v>
      </c>
      <c r="K267" s="327">
        <v>1.2</v>
      </c>
      <c r="L267" s="324">
        <v>10</v>
      </c>
      <c r="M267" s="324">
        <v>12</v>
      </c>
      <c r="N267" s="7">
        <f t="shared" si="55"/>
        <v>0</v>
      </c>
      <c r="O267" s="311"/>
      <c r="P267" s="311">
        <f t="shared" si="56"/>
        <v>0</v>
      </c>
      <c r="Q267" s="7"/>
      <c r="R267" s="7"/>
      <c r="S267" s="7"/>
      <c r="T267" s="7"/>
      <c r="U267" s="7" t="s">
        <v>2288</v>
      </c>
      <c r="V267" s="7" t="s">
        <v>2289</v>
      </c>
      <c r="W267" s="7" t="str">
        <f>Preencher!$B$3&amp;U267&amp;V267&amp;A267&amp;$W$6</f>
        <v>JARINU-FRG58670MQ.TUNEL DE CG (CONTINUO)</v>
      </c>
      <c r="X267" s="7" t="str">
        <f>Preencher!$B$3&amp;U267&amp;V267&amp;A267&amp;$X$6</f>
        <v>JARINU-FRG58670MQ.TUNEL DE CG (CONTINUO) (1)</v>
      </c>
      <c r="Y267" s="7" t="str">
        <f>Preencher!$B$3&amp;U267&amp;V267&amp;A267&amp;$Y$6</f>
        <v>JARINU-FRG58670MQ.TUNEL DE CG (CONTINUO) (2)</v>
      </c>
      <c r="Z267" s="7" t="str">
        <f>Preencher!$B$3&amp;U267&amp;V267&amp;A267&amp;$Z$6</f>
        <v>JARINU-FRG58670MQ.TUNEL DE CG (CONTINUO) (3)</v>
      </c>
      <c r="AA267" s="7" t="str">
        <f>Preencher!$B$3&amp;U267&amp;V267&amp;A267&amp;$AA$6</f>
        <v>JARINU-FRG58670MQ.TUNEL DE CG (ESTATICO)</v>
      </c>
      <c r="AB267" s="7" t="str">
        <f>Preencher!$B$3&amp;U267&amp;V267&amp;A267&amp;$AB$6</f>
        <v>JARINU-FRG58670MQ.TUNEL DE CG (ESTATICO) (1)</v>
      </c>
      <c r="AC267" s="7" t="str">
        <f>Preencher!$B$3&amp;U267&amp;V267&amp;A267&amp;$AC$6</f>
        <v>JARINU-FRG58670MQ.TUNEL DE CG (ESTATICO) (2)</v>
      </c>
      <c r="AD267" s="327">
        <f>IFERROR(SUMIF('BD Otimix'!A:A,'BD VOLUME'!X267,'BD Otimix'!O:O)+SUMIF('BD Otimix'!A:A,'BD VOLUME'!Y267,'BD Otimix'!O:O)+SUMIF('BD Otimix'!A:A,'BD VOLUME'!Z267,'BD Otimix'!O:O)+SUMIF('BD Otimix'!A:A,'BD VOLUME'!AA267,'BD Otimix'!O:O)+SUMIF('BD Otimix'!A:A,'BD VOLUME'!AB267,'BD Otimix'!O:O)+SUMIF('BD Otimix'!A:A,'BD VOLUME'!AC267,'BD Otimix'!O:O)+SUMIF('BD Otimix'!A:A,'BD VOLUME'!W267,'BD Otimix'!O:O),0)</f>
        <v>0</v>
      </c>
      <c r="AE267" s="327">
        <f t="shared" si="58"/>
        <v>0</v>
      </c>
      <c r="AF267" s="7" t="str">
        <f>Preencher!$B$3&amp;$U$8&amp;$V$8&amp;A267&amp;$AF$6</f>
        <v>JARINU-FRG58670MQ.GIROFREEZER</v>
      </c>
      <c r="AG267" s="7" t="str">
        <f>Preencher!$B$3&amp;$U$8&amp;$V$8&amp;A267&amp;$AG$6</f>
        <v>JARINU-FRG58670MQ.GIROFREEZER (1)</v>
      </c>
      <c r="AH267" s="7" t="str">
        <f>Preencher!$B$3&amp;$U$8&amp;$V$8&amp;A267&amp;$AH$6</f>
        <v>JARINU-FRG58670MQ.GIROFREEZER (2)</v>
      </c>
      <c r="AI267" s="7" t="str">
        <f>Preencher!$B$3&amp;$U$8&amp;$V$8&amp;A267&amp;$AI$6</f>
        <v>JARINU-FRG58670MQ.GIROFREEZER REV04</v>
      </c>
      <c r="AJ267" s="7" t="str">
        <f>Preencher!$B$3&amp;$U$8&amp;$V$8&amp;A267&amp;$AJ$6</f>
        <v>JARINU-FRG58670MQ.GIROFREEZER (3)</v>
      </c>
      <c r="AK267" s="327">
        <f>IFERROR(SUMIF('BD Otimix'!A:A,'BD VOLUME'!AG267,'BD Otimix'!O:O)+SUMIF('BD Otimix'!A:A,'BD VOLUME'!AH267,'BD Otimix'!O:O)+SUMIF('BD Otimix'!A:A,'BD VOLUME'!AI267,'BD Otimix'!O:O)+SUMIF('BD Otimix'!A:A,'BD VOLUME'!AJ267,'BD Otimix'!O:O)+SUMIF('BD Otimix'!A:A,'BD VOLUME'!AF267,'BD Otimix'!O:O),0)</f>
        <v>0</v>
      </c>
      <c r="AL267" s="7">
        <f t="shared" si="59"/>
        <v>0</v>
      </c>
    </row>
    <row r="268" spans="1:38">
      <c r="A268" s="324">
        <v>924903</v>
      </c>
      <c r="B268" s="324" t="s">
        <v>1314</v>
      </c>
      <c r="C268" s="5" t="s">
        <v>1212</v>
      </c>
      <c r="D268" s="5" t="s">
        <v>939</v>
      </c>
      <c r="E268" s="5" t="s">
        <v>1196</v>
      </c>
      <c r="F268" s="132">
        <f>SUMIF('COLAR PLANO'!$A:$A,A268,'COLAR PLANO'!$D:$D)</f>
        <v>0</v>
      </c>
      <c r="G268" s="131">
        <f t="shared" si="57"/>
        <v>0</v>
      </c>
      <c r="H268" s="6">
        <v>0.74010000000000009</v>
      </c>
      <c r="I268" s="7">
        <f t="shared" si="60"/>
        <v>0</v>
      </c>
      <c r="J268" s="130">
        <f t="shared" si="61"/>
        <v>0</v>
      </c>
      <c r="K268" s="327">
        <v>0.9</v>
      </c>
      <c r="L268" s="324">
        <v>10</v>
      </c>
      <c r="M268" s="324">
        <v>9</v>
      </c>
      <c r="N268" s="7">
        <f t="shared" si="55"/>
        <v>0</v>
      </c>
      <c r="O268" s="311"/>
      <c r="P268" s="311">
        <f t="shared" si="56"/>
        <v>0</v>
      </c>
      <c r="Q268" s="7"/>
      <c r="R268" s="7"/>
      <c r="S268" s="7"/>
      <c r="T268" s="7"/>
      <c r="U268" s="7" t="s">
        <v>2288</v>
      </c>
      <c r="V268" s="7" t="s">
        <v>2289</v>
      </c>
      <c r="W268" s="7" t="str">
        <f>Preencher!$B$3&amp;U268&amp;V268&amp;A268&amp;$W$6</f>
        <v>JARINU-FRG924903MQ.TUNEL DE CG (CONTINUO)</v>
      </c>
      <c r="X268" s="7" t="str">
        <f>Preencher!$B$3&amp;U268&amp;V268&amp;A268&amp;$X$6</f>
        <v>JARINU-FRG924903MQ.TUNEL DE CG (CONTINUO) (1)</v>
      </c>
      <c r="Y268" s="7" t="str">
        <f>Preencher!$B$3&amp;U268&amp;V268&amp;A268&amp;$Y$6</f>
        <v>JARINU-FRG924903MQ.TUNEL DE CG (CONTINUO) (2)</v>
      </c>
      <c r="Z268" s="7" t="str">
        <f>Preencher!$B$3&amp;U268&amp;V268&amp;A268&amp;$Z$6</f>
        <v>JARINU-FRG924903MQ.TUNEL DE CG (CONTINUO) (3)</v>
      </c>
      <c r="AA268" s="7" t="str">
        <f>Preencher!$B$3&amp;U268&amp;V268&amp;A268&amp;$AA$6</f>
        <v>JARINU-FRG924903MQ.TUNEL DE CG (ESTATICO)</v>
      </c>
      <c r="AB268" s="7" t="str">
        <f>Preencher!$B$3&amp;U268&amp;V268&amp;A268&amp;$AB$6</f>
        <v>JARINU-FRG924903MQ.TUNEL DE CG (ESTATICO) (1)</v>
      </c>
      <c r="AC268" s="7" t="str">
        <f>Preencher!$B$3&amp;U268&amp;V268&amp;A268&amp;$AC$6</f>
        <v>JARINU-FRG924903MQ.TUNEL DE CG (ESTATICO) (2)</v>
      </c>
      <c r="AD268" s="327">
        <f>IFERROR(SUMIF('BD Otimix'!A:A,'BD VOLUME'!X268,'BD Otimix'!O:O)+SUMIF('BD Otimix'!A:A,'BD VOLUME'!Y268,'BD Otimix'!O:O)+SUMIF('BD Otimix'!A:A,'BD VOLUME'!Z268,'BD Otimix'!O:O)+SUMIF('BD Otimix'!A:A,'BD VOLUME'!AA268,'BD Otimix'!O:O)+SUMIF('BD Otimix'!A:A,'BD VOLUME'!AB268,'BD Otimix'!O:O)+SUMIF('BD Otimix'!A:A,'BD VOLUME'!AC268,'BD Otimix'!O:O)+SUMIF('BD Otimix'!A:A,'BD VOLUME'!W268,'BD Otimix'!O:O),0)</f>
        <v>0</v>
      </c>
      <c r="AE268" s="327">
        <f t="shared" si="58"/>
        <v>0</v>
      </c>
      <c r="AF268" s="7" t="str">
        <f>Preencher!$B$3&amp;$U$8&amp;$V$8&amp;A268&amp;$AF$6</f>
        <v>JARINU-FRG924903MQ.GIROFREEZER</v>
      </c>
      <c r="AG268" s="7" t="str">
        <f>Preencher!$B$3&amp;$U$8&amp;$V$8&amp;A268&amp;$AG$6</f>
        <v>JARINU-FRG924903MQ.GIROFREEZER (1)</v>
      </c>
      <c r="AH268" s="7" t="str">
        <f>Preencher!$B$3&amp;$U$8&amp;$V$8&amp;A268&amp;$AH$6</f>
        <v>JARINU-FRG924903MQ.GIROFREEZER (2)</v>
      </c>
      <c r="AI268" s="7" t="str">
        <f>Preencher!$B$3&amp;$U$8&amp;$V$8&amp;A268&amp;$AI$6</f>
        <v>JARINU-FRG924903MQ.GIROFREEZER REV04</v>
      </c>
      <c r="AJ268" s="7" t="str">
        <f>Preencher!$B$3&amp;$U$8&amp;$V$8&amp;A268&amp;$AJ$6</f>
        <v>JARINU-FRG924903MQ.GIROFREEZER (3)</v>
      </c>
      <c r="AK268" s="327">
        <f>IFERROR(SUMIF('BD Otimix'!A:A,'BD VOLUME'!AG268,'BD Otimix'!O:O)+SUMIF('BD Otimix'!A:A,'BD VOLUME'!AH268,'BD Otimix'!O:O)+SUMIF('BD Otimix'!A:A,'BD VOLUME'!AI268,'BD Otimix'!O:O)+SUMIF('BD Otimix'!A:A,'BD VOLUME'!AJ268,'BD Otimix'!O:O)+SUMIF('BD Otimix'!A:A,'BD VOLUME'!AF268,'BD Otimix'!O:O),0)</f>
        <v>0</v>
      </c>
      <c r="AL268" s="7">
        <f t="shared" si="59"/>
        <v>0</v>
      </c>
    </row>
    <row r="269" spans="1:38">
      <c r="A269" s="324">
        <v>924946</v>
      </c>
      <c r="B269" s="324" t="s">
        <v>1315</v>
      </c>
      <c r="C269" s="5" t="s">
        <v>1236</v>
      </c>
      <c r="D269" s="5" t="s">
        <v>939</v>
      </c>
      <c r="E269" s="5" t="s">
        <v>1196</v>
      </c>
      <c r="F269" s="132">
        <f>SUMIF('COLAR PLANO'!$A:$A,A269,'COLAR PLANO'!$D:$D)</f>
        <v>0</v>
      </c>
      <c r="G269" s="131">
        <f t="shared" si="57"/>
        <v>0</v>
      </c>
      <c r="H269" s="6">
        <v>0.74010000000000009</v>
      </c>
      <c r="I269" s="7">
        <f t="shared" si="60"/>
        <v>0</v>
      </c>
      <c r="J269" s="130">
        <f t="shared" si="61"/>
        <v>0</v>
      </c>
      <c r="K269" s="327">
        <v>1</v>
      </c>
      <c r="L269" s="324">
        <v>10</v>
      </c>
      <c r="M269" s="324">
        <v>10</v>
      </c>
      <c r="N269" s="7">
        <f t="shared" si="55"/>
        <v>0</v>
      </c>
      <c r="O269" s="311"/>
      <c r="P269" s="311">
        <f t="shared" si="56"/>
        <v>0</v>
      </c>
      <c r="Q269" s="7"/>
      <c r="R269" s="7"/>
      <c r="S269" s="7"/>
      <c r="T269" s="7"/>
      <c r="U269" s="7" t="s">
        <v>2288</v>
      </c>
      <c r="V269" s="7" t="s">
        <v>2289</v>
      </c>
      <c r="W269" s="7" t="str">
        <f>Preencher!$B$3&amp;U269&amp;V269&amp;A269&amp;$W$6</f>
        <v>JARINU-FRG924946MQ.TUNEL DE CG (CONTINUO)</v>
      </c>
      <c r="X269" s="7" t="str">
        <f>Preencher!$B$3&amp;U269&amp;V269&amp;A269&amp;$X$6</f>
        <v>JARINU-FRG924946MQ.TUNEL DE CG (CONTINUO) (1)</v>
      </c>
      <c r="Y269" s="7" t="str">
        <f>Preencher!$B$3&amp;U269&amp;V269&amp;A269&amp;$Y$6</f>
        <v>JARINU-FRG924946MQ.TUNEL DE CG (CONTINUO) (2)</v>
      </c>
      <c r="Z269" s="7" t="str">
        <f>Preencher!$B$3&amp;U269&amp;V269&amp;A269&amp;$Z$6</f>
        <v>JARINU-FRG924946MQ.TUNEL DE CG (CONTINUO) (3)</v>
      </c>
      <c r="AA269" s="7" t="str">
        <f>Preencher!$B$3&amp;U269&amp;V269&amp;A269&amp;$AA$6</f>
        <v>JARINU-FRG924946MQ.TUNEL DE CG (ESTATICO)</v>
      </c>
      <c r="AB269" s="7" t="str">
        <f>Preencher!$B$3&amp;U269&amp;V269&amp;A269&amp;$AB$6</f>
        <v>JARINU-FRG924946MQ.TUNEL DE CG (ESTATICO) (1)</v>
      </c>
      <c r="AC269" s="7" t="str">
        <f>Preencher!$B$3&amp;U269&amp;V269&amp;A269&amp;$AC$6</f>
        <v>JARINU-FRG924946MQ.TUNEL DE CG (ESTATICO) (2)</v>
      </c>
      <c r="AD269" s="327">
        <f>IFERROR(SUMIF('BD Otimix'!A:A,'BD VOLUME'!X269,'BD Otimix'!O:O)+SUMIF('BD Otimix'!A:A,'BD VOLUME'!Y269,'BD Otimix'!O:O)+SUMIF('BD Otimix'!A:A,'BD VOLUME'!Z269,'BD Otimix'!O:O)+SUMIF('BD Otimix'!A:A,'BD VOLUME'!AA269,'BD Otimix'!O:O)+SUMIF('BD Otimix'!A:A,'BD VOLUME'!AB269,'BD Otimix'!O:O)+SUMIF('BD Otimix'!A:A,'BD VOLUME'!AC269,'BD Otimix'!O:O)+SUMIF('BD Otimix'!A:A,'BD VOLUME'!W269,'BD Otimix'!O:O),0)</f>
        <v>0</v>
      </c>
      <c r="AE269" s="327">
        <f t="shared" si="58"/>
        <v>0</v>
      </c>
      <c r="AF269" s="7" t="str">
        <f>Preencher!$B$3&amp;$U$8&amp;$V$8&amp;A269&amp;$AF$6</f>
        <v>JARINU-FRG924946MQ.GIROFREEZER</v>
      </c>
      <c r="AG269" s="7" t="str">
        <f>Preencher!$B$3&amp;$U$8&amp;$V$8&amp;A269&amp;$AG$6</f>
        <v>JARINU-FRG924946MQ.GIROFREEZER (1)</v>
      </c>
      <c r="AH269" s="7" t="str">
        <f>Preencher!$B$3&amp;$U$8&amp;$V$8&amp;A269&amp;$AH$6</f>
        <v>JARINU-FRG924946MQ.GIROFREEZER (2)</v>
      </c>
      <c r="AI269" s="7" t="str">
        <f>Preencher!$B$3&amp;$U$8&amp;$V$8&amp;A269&amp;$AI$6</f>
        <v>JARINU-FRG924946MQ.GIROFREEZER REV04</v>
      </c>
      <c r="AJ269" s="7" t="str">
        <f>Preencher!$B$3&amp;$U$8&amp;$V$8&amp;A269&amp;$AJ$6</f>
        <v>JARINU-FRG924946MQ.GIROFREEZER (3)</v>
      </c>
      <c r="AK269" s="327">
        <f>IFERROR(SUMIF('BD Otimix'!A:A,'BD VOLUME'!AG269,'BD Otimix'!O:O)+SUMIF('BD Otimix'!A:A,'BD VOLUME'!AH269,'BD Otimix'!O:O)+SUMIF('BD Otimix'!A:A,'BD VOLUME'!AI269,'BD Otimix'!O:O)+SUMIF('BD Otimix'!A:A,'BD VOLUME'!AJ269,'BD Otimix'!O:O)+SUMIF('BD Otimix'!A:A,'BD VOLUME'!AF269,'BD Otimix'!O:O),0)</f>
        <v>0</v>
      </c>
      <c r="AL269" s="7">
        <f t="shared" si="59"/>
        <v>0</v>
      </c>
    </row>
    <row r="270" spans="1:38">
      <c r="A270" s="324">
        <v>924970</v>
      </c>
      <c r="B270" s="324" t="s">
        <v>1316</v>
      </c>
      <c r="C270" s="5" t="s">
        <v>1215</v>
      </c>
      <c r="D270" s="5" t="s">
        <v>939</v>
      </c>
      <c r="E270" s="5" t="s">
        <v>1196</v>
      </c>
      <c r="F270" s="132">
        <f>SUMIF('COLAR PLANO'!$A:$A,A270,'COLAR PLANO'!$D:$D)</f>
        <v>0</v>
      </c>
      <c r="G270" s="131">
        <f t="shared" si="57"/>
        <v>0</v>
      </c>
      <c r="H270" s="6">
        <v>0.74010000000000009</v>
      </c>
      <c r="I270" s="7">
        <f t="shared" si="60"/>
        <v>0</v>
      </c>
      <c r="J270" s="130">
        <f t="shared" si="61"/>
        <v>0</v>
      </c>
      <c r="K270" s="327">
        <v>1.1000000000000001</v>
      </c>
      <c r="L270" s="324">
        <v>10</v>
      </c>
      <c r="M270" s="324">
        <v>11</v>
      </c>
      <c r="N270" s="7">
        <f t="shared" si="55"/>
        <v>0</v>
      </c>
      <c r="O270" s="311"/>
      <c r="P270" s="311">
        <f t="shared" si="56"/>
        <v>0</v>
      </c>
      <c r="Q270" s="7"/>
      <c r="R270" s="7"/>
      <c r="S270" s="7"/>
      <c r="T270" s="7"/>
      <c r="U270" s="7" t="s">
        <v>2288</v>
      </c>
      <c r="V270" s="7" t="s">
        <v>2289</v>
      </c>
      <c r="W270" s="7" t="str">
        <f>Preencher!$B$3&amp;U270&amp;V270&amp;A270&amp;$W$6</f>
        <v>JARINU-FRG924970MQ.TUNEL DE CG (CONTINUO)</v>
      </c>
      <c r="X270" s="7" t="str">
        <f>Preencher!$B$3&amp;U270&amp;V270&amp;A270&amp;$X$6</f>
        <v>JARINU-FRG924970MQ.TUNEL DE CG (CONTINUO) (1)</v>
      </c>
      <c r="Y270" s="7" t="str">
        <f>Preencher!$B$3&amp;U270&amp;V270&amp;A270&amp;$Y$6</f>
        <v>JARINU-FRG924970MQ.TUNEL DE CG (CONTINUO) (2)</v>
      </c>
      <c r="Z270" s="7" t="str">
        <f>Preencher!$B$3&amp;U270&amp;V270&amp;A270&amp;$Z$6</f>
        <v>JARINU-FRG924970MQ.TUNEL DE CG (CONTINUO) (3)</v>
      </c>
      <c r="AA270" s="7" t="str">
        <f>Preencher!$B$3&amp;U270&amp;V270&amp;A270&amp;$AA$6</f>
        <v>JARINU-FRG924970MQ.TUNEL DE CG (ESTATICO)</v>
      </c>
      <c r="AB270" s="7" t="str">
        <f>Preencher!$B$3&amp;U270&amp;V270&amp;A270&amp;$AB$6</f>
        <v>JARINU-FRG924970MQ.TUNEL DE CG (ESTATICO) (1)</v>
      </c>
      <c r="AC270" s="7" t="str">
        <f>Preencher!$B$3&amp;U270&amp;V270&amp;A270&amp;$AC$6</f>
        <v>JARINU-FRG924970MQ.TUNEL DE CG (ESTATICO) (2)</v>
      </c>
      <c r="AD270" s="327">
        <f>IFERROR(SUMIF('BD Otimix'!A:A,'BD VOLUME'!X270,'BD Otimix'!O:O)+SUMIF('BD Otimix'!A:A,'BD VOLUME'!Y270,'BD Otimix'!O:O)+SUMIF('BD Otimix'!A:A,'BD VOLUME'!Z270,'BD Otimix'!O:O)+SUMIF('BD Otimix'!A:A,'BD VOLUME'!AA270,'BD Otimix'!O:O)+SUMIF('BD Otimix'!A:A,'BD VOLUME'!AB270,'BD Otimix'!O:O)+SUMIF('BD Otimix'!A:A,'BD VOLUME'!AC270,'BD Otimix'!O:O)+SUMIF('BD Otimix'!A:A,'BD VOLUME'!W270,'BD Otimix'!O:O),0)</f>
        <v>0</v>
      </c>
      <c r="AE270" s="327">
        <f t="shared" si="58"/>
        <v>0</v>
      </c>
      <c r="AF270" s="7" t="str">
        <f>Preencher!$B$3&amp;$U$8&amp;$V$8&amp;A270&amp;$AF$6</f>
        <v>JARINU-FRG924970MQ.GIROFREEZER</v>
      </c>
      <c r="AG270" s="7" t="str">
        <f>Preencher!$B$3&amp;$U$8&amp;$V$8&amp;A270&amp;$AG$6</f>
        <v>JARINU-FRG924970MQ.GIROFREEZER (1)</v>
      </c>
      <c r="AH270" s="7" t="str">
        <f>Preencher!$B$3&amp;$U$8&amp;$V$8&amp;A270&amp;$AH$6</f>
        <v>JARINU-FRG924970MQ.GIROFREEZER (2)</v>
      </c>
      <c r="AI270" s="7" t="str">
        <f>Preencher!$B$3&amp;$U$8&amp;$V$8&amp;A270&amp;$AI$6</f>
        <v>JARINU-FRG924970MQ.GIROFREEZER REV04</v>
      </c>
      <c r="AJ270" s="7" t="str">
        <f>Preencher!$B$3&amp;$U$8&amp;$V$8&amp;A270&amp;$AJ$6</f>
        <v>JARINU-FRG924970MQ.GIROFREEZER (3)</v>
      </c>
      <c r="AK270" s="327">
        <f>IFERROR(SUMIF('BD Otimix'!A:A,'BD VOLUME'!AG270,'BD Otimix'!O:O)+SUMIF('BD Otimix'!A:A,'BD VOLUME'!AH270,'BD Otimix'!O:O)+SUMIF('BD Otimix'!A:A,'BD VOLUME'!AI270,'BD Otimix'!O:O)+SUMIF('BD Otimix'!A:A,'BD VOLUME'!AJ270,'BD Otimix'!O:O)+SUMIF('BD Otimix'!A:A,'BD VOLUME'!AF270,'BD Otimix'!O:O),0)</f>
        <v>0</v>
      </c>
      <c r="AL270" s="7">
        <f t="shared" si="59"/>
        <v>0</v>
      </c>
    </row>
    <row r="271" spans="1:38">
      <c r="A271" s="324">
        <v>925110</v>
      </c>
      <c r="B271" s="324" t="s">
        <v>1317</v>
      </c>
      <c r="C271" s="5" t="s">
        <v>1217</v>
      </c>
      <c r="D271" s="5" t="s">
        <v>939</v>
      </c>
      <c r="E271" s="5" t="s">
        <v>1196</v>
      </c>
      <c r="F271" s="132">
        <f>SUMIF('COLAR PLANO'!$A:$A,A271,'COLAR PLANO'!$D:$D)</f>
        <v>0</v>
      </c>
      <c r="G271" s="131">
        <f t="shared" si="57"/>
        <v>0</v>
      </c>
      <c r="H271" s="6">
        <v>0.74010000000000009</v>
      </c>
      <c r="I271" s="7">
        <f t="shared" si="60"/>
        <v>0</v>
      </c>
      <c r="J271" s="130">
        <f t="shared" si="61"/>
        <v>0</v>
      </c>
      <c r="K271" s="327">
        <v>1.2</v>
      </c>
      <c r="L271" s="324">
        <v>10</v>
      </c>
      <c r="M271" s="324">
        <v>12</v>
      </c>
      <c r="N271" s="7">
        <f t="shared" si="55"/>
        <v>0</v>
      </c>
      <c r="O271" s="311"/>
      <c r="P271" s="311">
        <f t="shared" si="56"/>
        <v>0</v>
      </c>
      <c r="Q271" s="7"/>
      <c r="R271" s="7"/>
      <c r="S271" s="7"/>
      <c r="T271" s="7"/>
      <c r="U271" s="7" t="s">
        <v>2288</v>
      </c>
      <c r="V271" s="7" t="s">
        <v>2289</v>
      </c>
      <c r="W271" s="7" t="str">
        <f>Preencher!$B$3&amp;U271&amp;V271&amp;A271&amp;$W$6</f>
        <v>JARINU-FRG925110MQ.TUNEL DE CG (CONTINUO)</v>
      </c>
      <c r="X271" s="7" t="str">
        <f>Preencher!$B$3&amp;U271&amp;V271&amp;A271&amp;$X$6</f>
        <v>JARINU-FRG925110MQ.TUNEL DE CG (CONTINUO) (1)</v>
      </c>
      <c r="Y271" s="7" t="str">
        <f>Preencher!$B$3&amp;U271&amp;V271&amp;A271&amp;$Y$6</f>
        <v>JARINU-FRG925110MQ.TUNEL DE CG (CONTINUO) (2)</v>
      </c>
      <c r="Z271" s="7" t="str">
        <f>Preencher!$B$3&amp;U271&amp;V271&amp;A271&amp;$Z$6</f>
        <v>JARINU-FRG925110MQ.TUNEL DE CG (CONTINUO) (3)</v>
      </c>
      <c r="AA271" s="7" t="str">
        <f>Preencher!$B$3&amp;U271&amp;V271&amp;A271&amp;$AA$6</f>
        <v>JARINU-FRG925110MQ.TUNEL DE CG (ESTATICO)</v>
      </c>
      <c r="AB271" s="7" t="str">
        <f>Preencher!$B$3&amp;U271&amp;V271&amp;A271&amp;$AB$6</f>
        <v>JARINU-FRG925110MQ.TUNEL DE CG (ESTATICO) (1)</v>
      </c>
      <c r="AC271" s="7" t="str">
        <f>Preencher!$B$3&amp;U271&amp;V271&amp;A271&amp;$AC$6</f>
        <v>JARINU-FRG925110MQ.TUNEL DE CG (ESTATICO) (2)</v>
      </c>
      <c r="AD271" s="327">
        <f>IFERROR(SUMIF('BD Otimix'!A:A,'BD VOLUME'!X271,'BD Otimix'!O:O)+SUMIF('BD Otimix'!A:A,'BD VOLUME'!Y271,'BD Otimix'!O:O)+SUMIF('BD Otimix'!A:A,'BD VOLUME'!Z271,'BD Otimix'!O:O)+SUMIF('BD Otimix'!A:A,'BD VOLUME'!AA271,'BD Otimix'!O:O)+SUMIF('BD Otimix'!A:A,'BD VOLUME'!AB271,'BD Otimix'!O:O)+SUMIF('BD Otimix'!A:A,'BD VOLUME'!AC271,'BD Otimix'!O:O)+SUMIF('BD Otimix'!A:A,'BD VOLUME'!W271,'BD Otimix'!O:O),0)</f>
        <v>0</v>
      </c>
      <c r="AE271" s="327">
        <f t="shared" si="58"/>
        <v>0</v>
      </c>
      <c r="AF271" s="7" t="str">
        <f>Preencher!$B$3&amp;$U$8&amp;$V$8&amp;A271&amp;$AF$6</f>
        <v>JARINU-FRG925110MQ.GIROFREEZER</v>
      </c>
      <c r="AG271" s="7" t="str">
        <f>Preencher!$B$3&amp;$U$8&amp;$V$8&amp;A271&amp;$AG$6</f>
        <v>JARINU-FRG925110MQ.GIROFREEZER (1)</v>
      </c>
      <c r="AH271" s="7" t="str">
        <f>Preencher!$B$3&amp;$U$8&amp;$V$8&amp;A271&amp;$AH$6</f>
        <v>JARINU-FRG925110MQ.GIROFREEZER (2)</v>
      </c>
      <c r="AI271" s="7" t="str">
        <f>Preencher!$B$3&amp;$U$8&amp;$V$8&amp;A271&amp;$AI$6</f>
        <v>JARINU-FRG925110MQ.GIROFREEZER REV04</v>
      </c>
      <c r="AJ271" s="7" t="str">
        <f>Preencher!$B$3&amp;$U$8&amp;$V$8&amp;A271&amp;$AJ$6</f>
        <v>JARINU-FRG925110MQ.GIROFREEZER (3)</v>
      </c>
      <c r="AK271" s="327">
        <f>IFERROR(SUMIF('BD Otimix'!A:A,'BD VOLUME'!AG271,'BD Otimix'!O:O)+SUMIF('BD Otimix'!A:A,'BD VOLUME'!AH271,'BD Otimix'!O:O)+SUMIF('BD Otimix'!A:A,'BD VOLUME'!AI271,'BD Otimix'!O:O)+SUMIF('BD Otimix'!A:A,'BD VOLUME'!AJ271,'BD Otimix'!O:O)+SUMIF('BD Otimix'!A:A,'BD VOLUME'!AF271,'BD Otimix'!O:O),0)</f>
        <v>0</v>
      </c>
      <c r="AL271" s="7">
        <f t="shared" si="59"/>
        <v>0</v>
      </c>
    </row>
    <row r="272" spans="1:38">
      <c r="A272" s="324">
        <v>379824</v>
      </c>
      <c r="B272" s="324" t="s">
        <v>1318</v>
      </c>
      <c r="C272" s="5" t="s">
        <v>1185</v>
      </c>
      <c r="D272" s="5" t="s">
        <v>939</v>
      </c>
      <c r="E272" s="5" t="s">
        <v>1196</v>
      </c>
      <c r="F272" s="132">
        <f>SUMIF('COLAR PLANO'!$A:$A,A272,'COLAR PLANO'!$D:$D)</f>
        <v>0</v>
      </c>
      <c r="G272" s="131">
        <f t="shared" ref="G272:G288" si="62">IFERROR(F272/($E$3*$C$3),0)</f>
        <v>0</v>
      </c>
      <c r="H272" s="6">
        <v>0.74439999999999995</v>
      </c>
      <c r="I272" s="7">
        <f t="shared" si="60"/>
        <v>0</v>
      </c>
      <c r="J272" s="130">
        <f t="shared" si="61"/>
        <v>0</v>
      </c>
      <c r="K272" s="327">
        <v>0.8</v>
      </c>
      <c r="L272" s="324">
        <v>10</v>
      </c>
      <c r="M272" s="324">
        <v>8</v>
      </c>
      <c r="N272" s="7">
        <f t="shared" ref="N272:N288" si="63">IFERROR(G272/K272,"-")</f>
        <v>0</v>
      </c>
      <c r="O272" s="311"/>
      <c r="P272" s="311">
        <f t="shared" ref="P272:P288" si="64">IFERROR(G272/M272,"-")</f>
        <v>0</v>
      </c>
      <c r="Q272" s="7"/>
      <c r="R272" s="7"/>
      <c r="S272" s="7"/>
      <c r="T272" s="7"/>
      <c r="U272" s="7" t="s">
        <v>2288</v>
      </c>
      <c r="V272" s="7" t="s">
        <v>2289</v>
      </c>
      <c r="W272" s="7" t="str">
        <f>Preencher!$B$3&amp;U272&amp;V272&amp;A272&amp;$W$6</f>
        <v>JARINU-FRG379824MQ.TUNEL DE CG (CONTINUO)</v>
      </c>
      <c r="X272" s="7" t="str">
        <f>Preencher!$B$3&amp;U272&amp;V272&amp;A272&amp;$X$6</f>
        <v>JARINU-FRG379824MQ.TUNEL DE CG (CONTINUO) (1)</v>
      </c>
      <c r="Y272" s="7" t="str">
        <f>Preencher!$B$3&amp;U272&amp;V272&amp;A272&amp;$Y$6</f>
        <v>JARINU-FRG379824MQ.TUNEL DE CG (CONTINUO) (2)</v>
      </c>
      <c r="Z272" s="7" t="str">
        <f>Preencher!$B$3&amp;U272&amp;V272&amp;A272&amp;$Z$6</f>
        <v>JARINU-FRG379824MQ.TUNEL DE CG (CONTINUO) (3)</v>
      </c>
      <c r="AA272" s="7" t="str">
        <f>Preencher!$B$3&amp;U272&amp;V272&amp;A272&amp;$AA$6</f>
        <v>JARINU-FRG379824MQ.TUNEL DE CG (ESTATICO)</v>
      </c>
      <c r="AB272" s="7" t="str">
        <f>Preencher!$B$3&amp;U272&amp;V272&amp;A272&amp;$AB$6</f>
        <v>JARINU-FRG379824MQ.TUNEL DE CG (ESTATICO) (1)</v>
      </c>
      <c r="AC272" s="7" t="str">
        <f>Preencher!$B$3&amp;U272&amp;V272&amp;A272&amp;$AC$6</f>
        <v>JARINU-FRG379824MQ.TUNEL DE CG (ESTATICO) (2)</v>
      </c>
      <c r="AD272" s="327">
        <f>IFERROR(SUMIF('BD Otimix'!A:A,'BD VOLUME'!X272,'BD Otimix'!O:O)+SUMIF('BD Otimix'!A:A,'BD VOLUME'!Y272,'BD Otimix'!O:O)+SUMIF('BD Otimix'!A:A,'BD VOLUME'!Z272,'BD Otimix'!O:O)+SUMIF('BD Otimix'!A:A,'BD VOLUME'!AA272,'BD Otimix'!O:O)+SUMIF('BD Otimix'!A:A,'BD VOLUME'!AB272,'BD Otimix'!O:O)+SUMIF('BD Otimix'!A:A,'BD VOLUME'!AC272,'BD Otimix'!O:O)+SUMIF('BD Otimix'!A:A,'BD VOLUME'!W272,'BD Otimix'!O:O),0)</f>
        <v>0</v>
      </c>
      <c r="AE272" s="327">
        <f t="shared" si="58"/>
        <v>0</v>
      </c>
      <c r="AF272" s="7" t="str">
        <f>Preencher!$B$3&amp;$U$8&amp;$V$8&amp;A272&amp;$AF$6</f>
        <v>JARINU-FRG379824MQ.GIROFREEZER</v>
      </c>
      <c r="AG272" s="7" t="str">
        <f>Preencher!$B$3&amp;$U$8&amp;$V$8&amp;A272&amp;$AG$6</f>
        <v>JARINU-FRG379824MQ.GIROFREEZER (1)</v>
      </c>
      <c r="AH272" s="7" t="str">
        <f>Preencher!$B$3&amp;$U$8&amp;$V$8&amp;A272&amp;$AH$6</f>
        <v>JARINU-FRG379824MQ.GIROFREEZER (2)</v>
      </c>
      <c r="AI272" s="7" t="str">
        <f>Preencher!$B$3&amp;$U$8&amp;$V$8&amp;A272&amp;$AI$6</f>
        <v>JARINU-FRG379824MQ.GIROFREEZER REV04</v>
      </c>
      <c r="AJ272" s="7" t="str">
        <f>Preencher!$B$3&amp;$U$8&amp;$V$8&amp;A272&amp;$AJ$6</f>
        <v>JARINU-FRG379824MQ.GIROFREEZER (3)</v>
      </c>
      <c r="AK272" s="327">
        <f>IFERROR(SUMIF('BD Otimix'!A:A,'BD VOLUME'!AG272,'BD Otimix'!O:O)+SUMIF('BD Otimix'!A:A,'BD VOLUME'!AH272,'BD Otimix'!O:O)+SUMIF('BD Otimix'!A:A,'BD VOLUME'!AI272,'BD Otimix'!O:O)+SUMIF('BD Otimix'!A:A,'BD VOLUME'!AJ272,'BD Otimix'!O:O)+SUMIF('BD Otimix'!A:A,'BD VOLUME'!AF272,'BD Otimix'!O:O),0)</f>
        <v>0</v>
      </c>
      <c r="AL272" s="7">
        <f t="shared" si="59"/>
        <v>0</v>
      </c>
    </row>
    <row r="273" spans="1:38">
      <c r="A273" s="324">
        <v>1673</v>
      </c>
      <c r="B273" s="324">
        <v>0</v>
      </c>
      <c r="C273" s="5" t="s">
        <v>1190</v>
      </c>
      <c r="D273" s="5" t="s">
        <v>939</v>
      </c>
      <c r="E273" s="5" t="s">
        <v>1196</v>
      </c>
      <c r="F273" s="132">
        <f>SUMIF('COLAR PLANO'!$A:$A,A273,'COLAR PLANO'!$D:$D)</f>
        <v>0</v>
      </c>
      <c r="G273" s="131">
        <f t="shared" si="62"/>
        <v>0</v>
      </c>
      <c r="H273" s="6">
        <v>0.73980000000000001</v>
      </c>
      <c r="I273" s="7">
        <f t="shared" si="60"/>
        <v>0</v>
      </c>
      <c r="J273" s="130">
        <f t="shared" si="61"/>
        <v>0</v>
      </c>
      <c r="K273" s="327">
        <v>1.2</v>
      </c>
      <c r="L273" s="324">
        <v>10</v>
      </c>
      <c r="M273" s="324">
        <v>12</v>
      </c>
      <c r="N273" s="7">
        <f t="shared" si="63"/>
        <v>0</v>
      </c>
      <c r="O273" s="311"/>
      <c r="P273" s="311">
        <f t="shared" si="64"/>
        <v>0</v>
      </c>
      <c r="Q273" s="7"/>
      <c r="R273" s="7"/>
      <c r="S273" s="7"/>
      <c r="T273" s="7"/>
      <c r="U273" s="7" t="s">
        <v>2288</v>
      </c>
      <c r="V273" s="7" t="s">
        <v>2289</v>
      </c>
      <c r="W273" s="7" t="str">
        <f>Preencher!$B$3&amp;U273&amp;V273&amp;A273&amp;$W$6</f>
        <v>JARINU-FRG1673MQ.TUNEL DE CG (CONTINUO)</v>
      </c>
      <c r="X273" s="7" t="str">
        <f>Preencher!$B$3&amp;U273&amp;V273&amp;A273&amp;$X$6</f>
        <v>JARINU-FRG1673MQ.TUNEL DE CG (CONTINUO) (1)</v>
      </c>
      <c r="Y273" s="7" t="str">
        <f>Preencher!$B$3&amp;U273&amp;V273&amp;A273&amp;$Y$6</f>
        <v>JARINU-FRG1673MQ.TUNEL DE CG (CONTINUO) (2)</v>
      </c>
      <c r="Z273" s="7" t="str">
        <f>Preencher!$B$3&amp;U273&amp;V273&amp;A273&amp;$Z$6</f>
        <v>JARINU-FRG1673MQ.TUNEL DE CG (CONTINUO) (3)</v>
      </c>
      <c r="AA273" s="7" t="str">
        <f>Preencher!$B$3&amp;U273&amp;V273&amp;A273&amp;$AA$6</f>
        <v>JARINU-FRG1673MQ.TUNEL DE CG (ESTATICO)</v>
      </c>
      <c r="AB273" s="7" t="str">
        <f>Preencher!$B$3&amp;U273&amp;V273&amp;A273&amp;$AB$6</f>
        <v>JARINU-FRG1673MQ.TUNEL DE CG (ESTATICO) (1)</v>
      </c>
      <c r="AC273" s="7" t="str">
        <f>Preencher!$B$3&amp;U273&amp;V273&amp;A273&amp;$AC$6</f>
        <v>JARINU-FRG1673MQ.TUNEL DE CG (ESTATICO) (2)</v>
      </c>
      <c r="AD273" s="327">
        <f>IFERROR(SUMIF('BD Otimix'!A:A,'BD VOLUME'!X273,'BD Otimix'!O:O)+SUMIF('BD Otimix'!A:A,'BD VOLUME'!Y273,'BD Otimix'!O:O)+SUMIF('BD Otimix'!A:A,'BD VOLUME'!Z273,'BD Otimix'!O:O)+SUMIF('BD Otimix'!A:A,'BD VOLUME'!AA273,'BD Otimix'!O:O)+SUMIF('BD Otimix'!A:A,'BD VOLUME'!AB273,'BD Otimix'!O:O)+SUMIF('BD Otimix'!A:A,'BD VOLUME'!AC273,'BD Otimix'!O:O)+SUMIF('BD Otimix'!A:A,'BD VOLUME'!W273,'BD Otimix'!O:O),0)</f>
        <v>0</v>
      </c>
      <c r="AE273" s="327">
        <f t="shared" si="58"/>
        <v>0</v>
      </c>
      <c r="AF273" s="7" t="str">
        <f>Preencher!$B$3&amp;$U$8&amp;$V$8&amp;A273&amp;$AF$6</f>
        <v>JARINU-FRG1673MQ.GIROFREEZER</v>
      </c>
      <c r="AG273" s="7" t="str">
        <f>Preencher!$B$3&amp;$U$8&amp;$V$8&amp;A273&amp;$AG$6</f>
        <v>JARINU-FRG1673MQ.GIROFREEZER (1)</v>
      </c>
      <c r="AH273" s="7" t="str">
        <f>Preencher!$B$3&amp;$U$8&amp;$V$8&amp;A273&amp;$AH$6</f>
        <v>JARINU-FRG1673MQ.GIROFREEZER (2)</v>
      </c>
      <c r="AI273" s="7" t="str">
        <f>Preencher!$B$3&amp;$U$8&amp;$V$8&amp;A273&amp;$AI$6</f>
        <v>JARINU-FRG1673MQ.GIROFREEZER REV04</v>
      </c>
      <c r="AJ273" s="7" t="str">
        <f>Preencher!$B$3&amp;$U$8&amp;$V$8&amp;A273&amp;$AJ$6</f>
        <v>JARINU-FRG1673MQ.GIROFREEZER (3)</v>
      </c>
      <c r="AK273" s="327">
        <f>IFERROR(SUMIF('BD Otimix'!A:A,'BD VOLUME'!AG273,'BD Otimix'!O:O)+SUMIF('BD Otimix'!A:A,'BD VOLUME'!AH273,'BD Otimix'!O:O)+SUMIF('BD Otimix'!A:A,'BD VOLUME'!AI273,'BD Otimix'!O:O)+SUMIF('BD Otimix'!A:A,'BD VOLUME'!AJ273,'BD Otimix'!O:O)+SUMIF('BD Otimix'!A:A,'BD VOLUME'!AF273,'BD Otimix'!O:O),0)</f>
        <v>0</v>
      </c>
      <c r="AL273" s="7">
        <f t="shared" si="59"/>
        <v>0</v>
      </c>
    </row>
    <row r="274" spans="1:38">
      <c r="A274" s="324">
        <v>1980</v>
      </c>
      <c r="B274" s="324">
        <v>0</v>
      </c>
      <c r="C274" s="5" t="s">
        <v>1319</v>
      </c>
      <c r="D274" s="5" t="s">
        <v>939</v>
      </c>
      <c r="E274" s="5" t="s">
        <v>1196</v>
      </c>
      <c r="F274" s="132">
        <f>SUMIF('COLAR PLANO'!$A:$A,A274,'COLAR PLANO'!$D:$D)</f>
        <v>0</v>
      </c>
      <c r="G274" s="131">
        <f t="shared" si="62"/>
        <v>0</v>
      </c>
      <c r="H274" s="6">
        <v>0.73980000000000001</v>
      </c>
      <c r="I274" s="7">
        <f t="shared" si="60"/>
        <v>0</v>
      </c>
      <c r="J274" s="130">
        <f t="shared" si="61"/>
        <v>0</v>
      </c>
      <c r="K274" s="327">
        <v>0.7</v>
      </c>
      <c r="L274" s="324">
        <v>10</v>
      </c>
      <c r="M274" s="324">
        <v>7</v>
      </c>
      <c r="N274" s="7">
        <f t="shared" si="63"/>
        <v>0</v>
      </c>
      <c r="O274" s="311"/>
      <c r="P274" s="311">
        <f t="shared" si="64"/>
        <v>0</v>
      </c>
      <c r="Q274" s="7"/>
      <c r="R274" s="7"/>
      <c r="S274" s="7"/>
      <c r="T274" s="7"/>
      <c r="U274" s="7" t="s">
        <v>2288</v>
      </c>
      <c r="V274" s="7" t="s">
        <v>2289</v>
      </c>
      <c r="W274" s="7" t="str">
        <f>Preencher!$B$3&amp;U274&amp;V274&amp;A274&amp;$W$6</f>
        <v>JARINU-FRG1980MQ.TUNEL DE CG (CONTINUO)</v>
      </c>
      <c r="X274" s="7" t="str">
        <f>Preencher!$B$3&amp;U274&amp;V274&amp;A274&amp;$X$6</f>
        <v>JARINU-FRG1980MQ.TUNEL DE CG (CONTINUO) (1)</v>
      </c>
      <c r="Y274" s="7" t="str">
        <f>Preencher!$B$3&amp;U274&amp;V274&amp;A274&amp;$Y$6</f>
        <v>JARINU-FRG1980MQ.TUNEL DE CG (CONTINUO) (2)</v>
      </c>
      <c r="Z274" s="7" t="str">
        <f>Preencher!$B$3&amp;U274&amp;V274&amp;A274&amp;$Z$6</f>
        <v>JARINU-FRG1980MQ.TUNEL DE CG (CONTINUO) (3)</v>
      </c>
      <c r="AA274" s="7" t="str">
        <f>Preencher!$B$3&amp;U274&amp;V274&amp;A274&amp;$AA$6</f>
        <v>JARINU-FRG1980MQ.TUNEL DE CG (ESTATICO)</v>
      </c>
      <c r="AB274" s="7" t="str">
        <f>Preencher!$B$3&amp;U274&amp;V274&amp;A274&amp;$AB$6</f>
        <v>JARINU-FRG1980MQ.TUNEL DE CG (ESTATICO) (1)</v>
      </c>
      <c r="AC274" s="7" t="str">
        <f>Preencher!$B$3&amp;U274&amp;V274&amp;A274&amp;$AC$6</f>
        <v>JARINU-FRG1980MQ.TUNEL DE CG (ESTATICO) (2)</v>
      </c>
      <c r="AD274" s="327">
        <f>IFERROR(SUMIF('BD Otimix'!A:A,'BD VOLUME'!X274,'BD Otimix'!O:O)+SUMIF('BD Otimix'!A:A,'BD VOLUME'!Y274,'BD Otimix'!O:O)+SUMIF('BD Otimix'!A:A,'BD VOLUME'!Z274,'BD Otimix'!O:O)+SUMIF('BD Otimix'!A:A,'BD VOLUME'!AA274,'BD Otimix'!O:O)+SUMIF('BD Otimix'!A:A,'BD VOLUME'!AB274,'BD Otimix'!O:O)+SUMIF('BD Otimix'!A:A,'BD VOLUME'!AC274,'BD Otimix'!O:O)+SUMIF('BD Otimix'!A:A,'BD VOLUME'!W274,'BD Otimix'!O:O),0)</f>
        <v>0</v>
      </c>
      <c r="AE274" s="327">
        <f t="shared" ref="AE274:AE303" si="65">IFERROR(F274/$E$3/1000/AD274,0)</f>
        <v>0</v>
      </c>
      <c r="AF274" s="7" t="str">
        <f>Preencher!$B$3&amp;$U$8&amp;$V$8&amp;A274&amp;$AF$6</f>
        <v>JARINU-FRG1980MQ.GIROFREEZER</v>
      </c>
      <c r="AG274" s="7" t="str">
        <f>Preencher!$B$3&amp;$U$8&amp;$V$8&amp;A274&amp;$AG$6</f>
        <v>JARINU-FRG1980MQ.GIROFREEZER (1)</v>
      </c>
      <c r="AH274" s="7" t="str">
        <f>Preencher!$B$3&amp;$U$8&amp;$V$8&amp;A274&amp;$AH$6</f>
        <v>JARINU-FRG1980MQ.GIROFREEZER (2)</v>
      </c>
      <c r="AI274" s="7" t="str">
        <f>Preencher!$B$3&amp;$U$8&amp;$V$8&amp;A274&amp;$AI$6</f>
        <v>JARINU-FRG1980MQ.GIROFREEZER REV04</v>
      </c>
      <c r="AJ274" s="7" t="str">
        <f>Preencher!$B$3&amp;$U$8&amp;$V$8&amp;A274&amp;$AJ$6</f>
        <v>JARINU-FRG1980MQ.GIROFREEZER (3)</v>
      </c>
      <c r="AK274" s="327">
        <f>IFERROR(SUMIF('BD Otimix'!A:A,'BD VOLUME'!AG274,'BD Otimix'!O:O)+SUMIF('BD Otimix'!A:A,'BD VOLUME'!AH274,'BD Otimix'!O:O)+SUMIF('BD Otimix'!A:A,'BD VOLUME'!AI274,'BD Otimix'!O:O)+SUMIF('BD Otimix'!A:A,'BD VOLUME'!AJ274,'BD Otimix'!O:O)+SUMIF('BD Otimix'!A:A,'BD VOLUME'!AF274,'BD Otimix'!O:O),0)</f>
        <v>0</v>
      </c>
      <c r="AL274" s="7">
        <f t="shared" ref="AL274:AL303" si="66">IFERROR(F274/$E$3/1000/AK274,0)</f>
        <v>0</v>
      </c>
    </row>
    <row r="275" spans="1:38">
      <c r="A275" s="324">
        <v>952285</v>
      </c>
      <c r="B275" s="324">
        <v>0</v>
      </c>
      <c r="C275" s="5" t="s">
        <v>1274</v>
      </c>
      <c r="D275" s="5" t="s">
        <v>939</v>
      </c>
      <c r="E275" s="5" t="s">
        <v>1196</v>
      </c>
      <c r="F275" s="132">
        <f>SUMIF('COLAR PLANO'!$A:$A,A275,'COLAR PLANO'!$D:$D)</f>
        <v>0</v>
      </c>
      <c r="G275" s="131">
        <f t="shared" si="62"/>
        <v>0</v>
      </c>
      <c r="H275" s="6">
        <v>0.73980000000000001</v>
      </c>
      <c r="I275" s="7">
        <f t="shared" ref="I275:I288" si="67">IFERROR(G275/$D$4/H275,0)</f>
        <v>0</v>
      </c>
      <c r="J275" s="130">
        <f t="shared" ref="J275:J288" si="68">IFERROR(I275/$B$145,0)</f>
        <v>0</v>
      </c>
      <c r="K275" s="327">
        <v>0.8</v>
      </c>
      <c r="L275" s="324">
        <v>10</v>
      </c>
      <c r="M275" s="324">
        <v>8</v>
      </c>
      <c r="N275" s="7">
        <f t="shared" si="63"/>
        <v>0</v>
      </c>
      <c r="O275" s="311"/>
      <c r="P275" s="311">
        <f t="shared" si="64"/>
        <v>0</v>
      </c>
      <c r="Q275" s="7"/>
      <c r="R275" s="7"/>
      <c r="S275" s="7"/>
      <c r="T275" s="7"/>
      <c r="U275" s="7" t="s">
        <v>2288</v>
      </c>
      <c r="V275" s="7" t="s">
        <v>2289</v>
      </c>
      <c r="W275" s="7" t="str">
        <f>Preencher!$B$3&amp;U275&amp;V275&amp;A275&amp;$W$6</f>
        <v>JARINU-FRG952285MQ.TUNEL DE CG (CONTINUO)</v>
      </c>
      <c r="X275" s="7" t="str">
        <f>Preencher!$B$3&amp;U275&amp;V275&amp;A275&amp;$X$6</f>
        <v>JARINU-FRG952285MQ.TUNEL DE CG (CONTINUO) (1)</v>
      </c>
      <c r="Y275" s="7" t="str">
        <f>Preencher!$B$3&amp;U275&amp;V275&amp;A275&amp;$Y$6</f>
        <v>JARINU-FRG952285MQ.TUNEL DE CG (CONTINUO) (2)</v>
      </c>
      <c r="Z275" s="7" t="str">
        <f>Preencher!$B$3&amp;U275&amp;V275&amp;A275&amp;$Z$6</f>
        <v>JARINU-FRG952285MQ.TUNEL DE CG (CONTINUO) (3)</v>
      </c>
      <c r="AA275" s="7" t="str">
        <f>Preencher!$B$3&amp;U275&amp;V275&amp;A275&amp;$AA$6</f>
        <v>JARINU-FRG952285MQ.TUNEL DE CG (ESTATICO)</v>
      </c>
      <c r="AB275" s="7" t="str">
        <f>Preencher!$B$3&amp;U275&amp;V275&amp;A275&amp;$AB$6</f>
        <v>JARINU-FRG952285MQ.TUNEL DE CG (ESTATICO) (1)</v>
      </c>
      <c r="AC275" s="7" t="str">
        <f>Preencher!$B$3&amp;U275&amp;V275&amp;A275&amp;$AC$6</f>
        <v>JARINU-FRG952285MQ.TUNEL DE CG (ESTATICO) (2)</v>
      </c>
      <c r="AD275" s="327">
        <f>IFERROR(SUMIF('BD Otimix'!A:A,'BD VOLUME'!X275,'BD Otimix'!O:O)+SUMIF('BD Otimix'!A:A,'BD VOLUME'!Y275,'BD Otimix'!O:O)+SUMIF('BD Otimix'!A:A,'BD VOLUME'!Z275,'BD Otimix'!O:O)+SUMIF('BD Otimix'!A:A,'BD VOLUME'!AA275,'BD Otimix'!O:O)+SUMIF('BD Otimix'!A:A,'BD VOLUME'!AB275,'BD Otimix'!O:O)+SUMIF('BD Otimix'!A:A,'BD VOLUME'!AC275,'BD Otimix'!O:O)+SUMIF('BD Otimix'!A:A,'BD VOLUME'!W275,'BD Otimix'!O:O),0)</f>
        <v>0</v>
      </c>
      <c r="AE275" s="327">
        <f t="shared" si="65"/>
        <v>0</v>
      </c>
      <c r="AF275" s="7" t="str">
        <f>Preencher!$B$3&amp;$U$8&amp;$V$8&amp;A275&amp;$AF$6</f>
        <v>JARINU-FRG952285MQ.GIROFREEZER</v>
      </c>
      <c r="AG275" s="7" t="str">
        <f>Preencher!$B$3&amp;$U$8&amp;$V$8&amp;A275&amp;$AG$6</f>
        <v>JARINU-FRG952285MQ.GIROFREEZER (1)</v>
      </c>
      <c r="AH275" s="7" t="str">
        <f>Preencher!$B$3&amp;$U$8&amp;$V$8&amp;A275&amp;$AH$6</f>
        <v>JARINU-FRG952285MQ.GIROFREEZER (2)</v>
      </c>
      <c r="AI275" s="7" t="str">
        <f>Preencher!$B$3&amp;$U$8&amp;$V$8&amp;A275&amp;$AI$6</f>
        <v>JARINU-FRG952285MQ.GIROFREEZER REV04</v>
      </c>
      <c r="AJ275" s="7" t="str">
        <f>Preencher!$B$3&amp;$U$8&amp;$V$8&amp;A275&amp;$AJ$6</f>
        <v>JARINU-FRG952285MQ.GIROFREEZER (3)</v>
      </c>
      <c r="AK275" s="327">
        <f>IFERROR(SUMIF('BD Otimix'!A:A,'BD VOLUME'!AG275,'BD Otimix'!O:O)+SUMIF('BD Otimix'!A:A,'BD VOLUME'!AH275,'BD Otimix'!O:O)+SUMIF('BD Otimix'!A:A,'BD VOLUME'!AI275,'BD Otimix'!O:O)+SUMIF('BD Otimix'!A:A,'BD VOLUME'!AJ275,'BD Otimix'!O:O)+SUMIF('BD Otimix'!A:A,'BD VOLUME'!AF275,'BD Otimix'!O:O),0)</f>
        <v>0</v>
      </c>
      <c r="AL275" s="7">
        <f t="shared" si="66"/>
        <v>0</v>
      </c>
    </row>
    <row r="276" spans="1:38">
      <c r="A276" s="324">
        <v>952286</v>
      </c>
      <c r="B276" s="324">
        <v>0</v>
      </c>
      <c r="C276" s="5" t="s">
        <v>1275</v>
      </c>
      <c r="D276" s="5" t="s">
        <v>939</v>
      </c>
      <c r="E276" s="5" t="s">
        <v>1196</v>
      </c>
      <c r="F276" s="132">
        <f>SUMIF('COLAR PLANO'!$A:$A,A276,'COLAR PLANO'!$D:$D)</f>
        <v>0</v>
      </c>
      <c r="G276" s="131">
        <f t="shared" si="62"/>
        <v>0</v>
      </c>
      <c r="H276" s="6">
        <v>0.73980000000000001</v>
      </c>
      <c r="I276" s="7">
        <f t="shared" si="67"/>
        <v>0</v>
      </c>
      <c r="J276" s="130">
        <f t="shared" si="68"/>
        <v>0</v>
      </c>
      <c r="K276" s="327">
        <v>0.9</v>
      </c>
      <c r="L276" s="324">
        <v>10</v>
      </c>
      <c r="M276" s="324">
        <v>9</v>
      </c>
      <c r="N276" s="7">
        <f t="shared" si="63"/>
        <v>0</v>
      </c>
      <c r="O276" s="311"/>
      <c r="P276" s="311">
        <f t="shared" si="64"/>
        <v>0</v>
      </c>
      <c r="Q276" s="7"/>
      <c r="R276" s="7"/>
      <c r="S276" s="7"/>
      <c r="T276" s="7"/>
      <c r="U276" s="7" t="s">
        <v>2288</v>
      </c>
      <c r="V276" s="7" t="s">
        <v>2289</v>
      </c>
      <c r="W276" s="7" t="str">
        <f>Preencher!$B$3&amp;U276&amp;V276&amp;A276&amp;$W$6</f>
        <v>JARINU-FRG952286MQ.TUNEL DE CG (CONTINUO)</v>
      </c>
      <c r="X276" s="7" t="str">
        <f>Preencher!$B$3&amp;U276&amp;V276&amp;A276&amp;$X$6</f>
        <v>JARINU-FRG952286MQ.TUNEL DE CG (CONTINUO) (1)</v>
      </c>
      <c r="Y276" s="7" t="str">
        <f>Preencher!$B$3&amp;U276&amp;V276&amp;A276&amp;$Y$6</f>
        <v>JARINU-FRG952286MQ.TUNEL DE CG (CONTINUO) (2)</v>
      </c>
      <c r="Z276" s="7" t="str">
        <f>Preencher!$B$3&amp;U276&amp;V276&amp;A276&amp;$Z$6</f>
        <v>JARINU-FRG952286MQ.TUNEL DE CG (CONTINUO) (3)</v>
      </c>
      <c r="AA276" s="7" t="str">
        <f>Preencher!$B$3&amp;U276&amp;V276&amp;A276&amp;$AA$6</f>
        <v>JARINU-FRG952286MQ.TUNEL DE CG (ESTATICO)</v>
      </c>
      <c r="AB276" s="7" t="str">
        <f>Preencher!$B$3&amp;U276&amp;V276&amp;A276&amp;$AB$6</f>
        <v>JARINU-FRG952286MQ.TUNEL DE CG (ESTATICO) (1)</v>
      </c>
      <c r="AC276" s="7" t="str">
        <f>Preencher!$B$3&amp;U276&amp;V276&amp;A276&amp;$AC$6</f>
        <v>JARINU-FRG952286MQ.TUNEL DE CG (ESTATICO) (2)</v>
      </c>
      <c r="AD276" s="327">
        <f>IFERROR(SUMIF('BD Otimix'!A:A,'BD VOLUME'!X276,'BD Otimix'!O:O)+SUMIF('BD Otimix'!A:A,'BD VOLUME'!Y276,'BD Otimix'!O:O)+SUMIF('BD Otimix'!A:A,'BD VOLUME'!Z276,'BD Otimix'!O:O)+SUMIF('BD Otimix'!A:A,'BD VOLUME'!AA276,'BD Otimix'!O:O)+SUMIF('BD Otimix'!A:A,'BD VOLUME'!AB276,'BD Otimix'!O:O)+SUMIF('BD Otimix'!A:A,'BD VOLUME'!AC276,'BD Otimix'!O:O)+SUMIF('BD Otimix'!A:A,'BD VOLUME'!W276,'BD Otimix'!O:O),0)</f>
        <v>0</v>
      </c>
      <c r="AE276" s="327">
        <f t="shared" si="65"/>
        <v>0</v>
      </c>
      <c r="AF276" s="7" t="str">
        <f>Preencher!$B$3&amp;$U$8&amp;$V$8&amp;A276&amp;$AF$6</f>
        <v>JARINU-FRG952286MQ.GIROFREEZER</v>
      </c>
      <c r="AG276" s="7" t="str">
        <f>Preencher!$B$3&amp;$U$8&amp;$V$8&amp;A276&amp;$AG$6</f>
        <v>JARINU-FRG952286MQ.GIROFREEZER (1)</v>
      </c>
      <c r="AH276" s="7" t="str">
        <f>Preencher!$B$3&amp;$U$8&amp;$V$8&amp;A276&amp;$AH$6</f>
        <v>JARINU-FRG952286MQ.GIROFREEZER (2)</v>
      </c>
      <c r="AI276" s="7" t="str">
        <f>Preencher!$B$3&amp;$U$8&amp;$V$8&amp;A276&amp;$AI$6</f>
        <v>JARINU-FRG952286MQ.GIROFREEZER REV04</v>
      </c>
      <c r="AJ276" s="7" t="str">
        <f>Preencher!$B$3&amp;$U$8&amp;$V$8&amp;A276&amp;$AJ$6</f>
        <v>JARINU-FRG952286MQ.GIROFREEZER (3)</v>
      </c>
      <c r="AK276" s="327">
        <f>IFERROR(SUMIF('BD Otimix'!A:A,'BD VOLUME'!AG276,'BD Otimix'!O:O)+SUMIF('BD Otimix'!A:A,'BD VOLUME'!AH276,'BD Otimix'!O:O)+SUMIF('BD Otimix'!A:A,'BD VOLUME'!AI276,'BD Otimix'!O:O)+SUMIF('BD Otimix'!A:A,'BD VOLUME'!AJ276,'BD Otimix'!O:O)+SUMIF('BD Otimix'!A:A,'BD VOLUME'!AF276,'BD Otimix'!O:O),0)</f>
        <v>0</v>
      </c>
      <c r="AL276" s="7">
        <f t="shared" si="66"/>
        <v>0</v>
      </c>
    </row>
    <row r="277" spans="1:38">
      <c r="A277" s="324">
        <v>952288</v>
      </c>
      <c r="B277" s="324">
        <v>0</v>
      </c>
      <c r="C277" s="5" t="s">
        <v>1276</v>
      </c>
      <c r="D277" s="5" t="s">
        <v>939</v>
      </c>
      <c r="E277" s="5" t="s">
        <v>1196</v>
      </c>
      <c r="F277" s="132">
        <f>SUMIF('COLAR PLANO'!$A:$A,A277,'COLAR PLANO'!$D:$D)</f>
        <v>0</v>
      </c>
      <c r="G277" s="131">
        <f t="shared" si="62"/>
        <v>0</v>
      </c>
      <c r="H277" s="6">
        <v>0.73980000000000001</v>
      </c>
      <c r="I277" s="7">
        <f t="shared" si="67"/>
        <v>0</v>
      </c>
      <c r="J277" s="130">
        <f t="shared" si="68"/>
        <v>0</v>
      </c>
      <c r="K277" s="327">
        <v>1</v>
      </c>
      <c r="L277" s="324">
        <v>10</v>
      </c>
      <c r="M277" s="324">
        <v>10</v>
      </c>
      <c r="N277" s="7">
        <f t="shared" si="63"/>
        <v>0</v>
      </c>
      <c r="O277" s="311"/>
      <c r="P277" s="311">
        <f t="shared" si="64"/>
        <v>0</v>
      </c>
      <c r="Q277" s="7"/>
      <c r="R277" s="7"/>
      <c r="S277" s="7"/>
      <c r="T277" s="7"/>
      <c r="U277" s="7" t="s">
        <v>2288</v>
      </c>
      <c r="V277" s="7" t="s">
        <v>2289</v>
      </c>
      <c r="W277" s="7" t="str">
        <f>Preencher!$B$3&amp;U277&amp;V277&amp;A277&amp;$W$6</f>
        <v>JARINU-FRG952288MQ.TUNEL DE CG (CONTINUO)</v>
      </c>
      <c r="X277" s="7" t="str">
        <f>Preencher!$B$3&amp;U277&amp;V277&amp;A277&amp;$X$6</f>
        <v>JARINU-FRG952288MQ.TUNEL DE CG (CONTINUO) (1)</v>
      </c>
      <c r="Y277" s="7" t="str">
        <f>Preencher!$B$3&amp;U277&amp;V277&amp;A277&amp;$Y$6</f>
        <v>JARINU-FRG952288MQ.TUNEL DE CG (CONTINUO) (2)</v>
      </c>
      <c r="Z277" s="7" t="str">
        <f>Preencher!$B$3&amp;U277&amp;V277&amp;A277&amp;$Z$6</f>
        <v>JARINU-FRG952288MQ.TUNEL DE CG (CONTINUO) (3)</v>
      </c>
      <c r="AA277" s="7" t="str">
        <f>Preencher!$B$3&amp;U277&amp;V277&amp;A277&amp;$AA$6</f>
        <v>JARINU-FRG952288MQ.TUNEL DE CG (ESTATICO)</v>
      </c>
      <c r="AB277" s="7" t="str">
        <f>Preencher!$B$3&amp;U277&amp;V277&amp;A277&amp;$AB$6</f>
        <v>JARINU-FRG952288MQ.TUNEL DE CG (ESTATICO) (1)</v>
      </c>
      <c r="AC277" s="7" t="str">
        <f>Preencher!$B$3&amp;U277&amp;V277&amp;A277&amp;$AC$6</f>
        <v>JARINU-FRG952288MQ.TUNEL DE CG (ESTATICO) (2)</v>
      </c>
      <c r="AD277" s="327">
        <f>IFERROR(SUMIF('BD Otimix'!A:A,'BD VOLUME'!X277,'BD Otimix'!O:O)+SUMIF('BD Otimix'!A:A,'BD VOLUME'!Y277,'BD Otimix'!O:O)+SUMIF('BD Otimix'!A:A,'BD VOLUME'!Z277,'BD Otimix'!O:O)+SUMIF('BD Otimix'!A:A,'BD VOLUME'!AA277,'BD Otimix'!O:O)+SUMIF('BD Otimix'!A:A,'BD VOLUME'!AB277,'BD Otimix'!O:O)+SUMIF('BD Otimix'!A:A,'BD VOLUME'!AC277,'BD Otimix'!O:O)+SUMIF('BD Otimix'!A:A,'BD VOLUME'!W277,'BD Otimix'!O:O),0)</f>
        <v>0</v>
      </c>
      <c r="AE277" s="327">
        <f t="shared" si="65"/>
        <v>0</v>
      </c>
      <c r="AF277" s="7" t="str">
        <f>Preencher!$B$3&amp;$U$8&amp;$V$8&amp;A277&amp;$AF$6</f>
        <v>JARINU-FRG952288MQ.GIROFREEZER</v>
      </c>
      <c r="AG277" s="7" t="str">
        <f>Preencher!$B$3&amp;$U$8&amp;$V$8&amp;A277&amp;$AG$6</f>
        <v>JARINU-FRG952288MQ.GIROFREEZER (1)</v>
      </c>
      <c r="AH277" s="7" t="str">
        <f>Preencher!$B$3&amp;$U$8&amp;$V$8&amp;A277&amp;$AH$6</f>
        <v>JARINU-FRG952288MQ.GIROFREEZER (2)</v>
      </c>
      <c r="AI277" s="7" t="str">
        <f>Preencher!$B$3&amp;$U$8&amp;$V$8&amp;A277&amp;$AI$6</f>
        <v>JARINU-FRG952288MQ.GIROFREEZER REV04</v>
      </c>
      <c r="AJ277" s="7" t="str">
        <f>Preencher!$B$3&amp;$U$8&amp;$V$8&amp;A277&amp;$AJ$6</f>
        <v>JARINU-FRG952288MQ.GIROFREEZER (3)</v>
      </c>
      <c r="AK277" s="327">
        <f>IFERROR(SUMIF('BD Otimix'!A:A,'BD VOLUME'!AG277,'BD Otimix'!O:O)+SUMIF('BD Otimix'!A:A,'BD VOLUME'!AH277,'BD Otimix'!O:O)+SUMIF('BD Otimix'!A:A,'BD VOLUME'!AI277,'BD Otimix'!O:O)+SUMIF('BD Otimix'!A:A,'BD VOLUME'!AJ277,'BD Otimix'!O:O)+SUMIF('BD Otimix'!A:A,'BD VOLUME'!AF277,'BD Otimix'!O:O),0)</f>
        <v>0</v>
      </c>
      <c r="AL277" s="7">
        <f t="shared" si="66"/>
        <v>0</v>
      </c>
    </row>
    <row r="278" spans="1:38">
      <c r="A278" s="324">
        <v>952290</v>
      </c>
      <c r="B278" s="324">
        <v>0</v>
      </c>
      <c r="C278" s="5" t="s">
        <v>1277</v>
      </c>
      <c r="D278" s="5" t="s">
        <v>939</v>
      </c>
      <c r="E278" s="5" t="s">
        <v>1196</v>
      </c>
      <c r="F278" s="132">
        <f>SUMIF('COLAR PLANO'!$A:$A,A278,'COLAR PLANO'!$D:$D)</f>
        <v>0</v>
      </c>
      <c r="G278" s="131">
        <f t="shared" si="62"/>
        <v>0</v>
      </c>
      <c r="H278" s="6">
        <v>0.73980000000000001</v>
      </c>
      <c r="I278" s="7">
        <f t="shared" si="67"/>
        <v>0</v>
      </c>
      <c r="J278" s="130">
        <f t="shared" si="68"/>
        <v>0</v>
      </c>
      <c r="K278" s="327">
        <v>1.1000000000000001</v>
      </c>
      <c r="L278" s="324">
        <v>10</v>
      </c>
      <c r="M278" s="324">
        <v>11</v>
      </c>
      <c r="N278" s="7">
        <f t="shared" si="63"/>
        <v>0</v>
      </c>
      <c r="O278" s="311"/>
      <c r="P278" s="311">
        <f t="shared" si="64"/>
        <v>0</v>
      </c>
      <c r="Q278" s="7"/>
      <c r="R278" s="7"/>
      <c r="S278" s="7"/>
      <c r="T278" s="7"/>
      <c r="U278" s="7" t="s">
        <v>2288</v>
      </c>
      <c r="V278" s="7" t="s">
        <v>2289</v>
      </c>
      <c r="W278" s="7" t="str">
        <f>Preencher!$B$3&amp;U278&amp;V278&amp;A278&amp;$W$6</f>
        <v>JARINU-FRG952290MQ.TUNEL DE CG (CONTINUO)</v>
      </c>
      <c r="X278" s="7" t="str">
        <f>Preencher!$B$3&amp;U278&amp;V278&amp;A278&amp;$X$6</f>
        <v>JARINU-FRG952290MQ.TUNEL DE CG (CONTINUO) (1)</v>
      </c>
      <c r="Y278" s="7" t="str">
        <f>Preencher!$B$3&amp;U278&amp;V278&amp;A278&amp;$Y$6</f>
        <v>JARINU-FRG952290MQ.TUNEL DE CG (CONTINUO) (2)</v>
      </c>
      <c r="Z278" s="7" t="str">
        <f>Preencher!$B$3&amp;U278&amp;V278&amp;A278&amp;$Z$6</f>
        <v>JARINU-FRG952290MQ.TUNEL DE CG (CONTINUO) (3)</v>
      </c>
      <c r="AA278" s="7" t="str">
        <f>Preencher!$B$3&amp;U278&amp;V278&amp;A278&amp;$AA$6</f>
        <v>JARINU-FRG952290MQ.TUNEL DE CG (ESTATICO)</v>
      </c>
      <c r="AB278" s="7" t="str">
        <f>Preencher!$B$3&amp;U278&amp;V278&amp;A278&amp;$AB$6</f>
        <v>JARINU-FRG952290MQ.TUNEL DE CG (ESTATICO) (1)</v>
      </c>
      <c r="AC278" s="7" t="str">
        <f>Preencher!$B$3&amp;U278&amp;V278&amp;A278&amp;$AC$6</f>
        <v>JARINU-FRG952290MQ.TUNEL DE CG (ESTATICO) (2)</v>
      </c>
      <c r="AD278" s="327">
        <f>IFERROR(SUMIF('BD Otimix'!A:A,'BD VOLUME'!X278,'BD Otimix'!O:O)+SUMIF('BD Otimix'!A:A,'BD VOLUME'!Y278,'BD Otimix'!O:O)+SUMIF('BD Otimix'!A:A,'BD VOLUME'!Z278,'BD Otimix'!O:O)+SUMIF('BD Otimix'!A:A,'BD VOLUME'!AA278,'BD Otimix'!O:O)+SUMIF('BD Otimix'!A:A,'BD VOLUME'!AB278,'BD Otimix'!O:O)+SUMIF('BD Otimix'!A:A,'BD VOLUME'!AC278,'BD Otimix'!O:O)+SUMIF('BD Otimix'!A:A,'BD VOLUME'!W278,'BD Otimix'!O:O),0)</f>
        <v>0</v>
      </c>
      <c r="AE278" s="327">
        <f t="shared" si="65"/>
        <v>0</v>
      </c>
      <c r="AF278" s="7" t="str">
        <f>Preencher!$B$3&amp;$U$8&amp;$V$8&amp;A278&amp;$AF$6</f>
        <v>JARINU-FRG952290MQ.GIROFREEZER</v>
      </c>
      <c r="AG278" s="7" t="str">
        <f>Preencher!$B$3&amp;$U$8&amp;$V$8&amp;A278&amp;$AG$6</f>
        <v>JARINU-FRG952290MQ.GIROFREEZER (1)</v>
      </c>
      <c r="AH278" s="7" t="str">
        <f>Preencher!$B$3&amp;$U$8&amp;$V$8&amp;A278&amp;$AH$6</f>
        <v>JARINU-FRG952290MQ.GIROFREEZER (2)</v>
      </c>
      <c r="AI278" s="7" t="str">
        <f>Preencher!$B$3&amp;$U$8&amp;$V$8&amp;A278&amp;$AI$6</f>
        <v>JARINU-FRG952290MQ.GIROFREEZER REV04</v>
      </c>
      <c r="AJ278" s="7" t="str">
        <f>Preencher!$B$3&amp;$U$8&amp;$V$8&amp;A278&amp;$AJ$6</f>
        <v>JARINU-FRG952290MQ.GIROFREEZER (3)</v>
      </c>
      <c r="AK278" s="327">
        <f>IFERROR(SUMIF('BD Otimix'!A:A,'BD VOLUME'!AG278,'BD Otimix'!O:O)+SUMIF('BD Otimix'!A:A,'BD VOLUME'!AH278,'BD Otimix'!O:O)+SUMIF('BD Otimix'!A:A,'BD VOLUME'!AI278,'BD Otimix'!O:O)+SUMIF('BD Otimix'!A:A,'BD VOLUME'!AJ278,'BD Otimix'!O:O)+SUMIF('BD Otimix'!A:A,'BD VOLUME'!AF278,'BD Otimix'!O:O),0)</f>
        <v>0</v>
      </c>
      <c r="AL278" s="7">
        <f t="shared" si="66"/>
        <v>0</v>
      </c>
    </row>
    <row r="279" spans="1:38">
      <c r="A279" s="324">
        <v>952291</v>
      </c>
      <c r="B279" s="324">
        <v>0</v>
      </c>
      <c r="C279" s="5" t="s">
        <v>1190</v>
      </c>
      <c r="D279" s="5" t="s">
        <v>939</v>
      </c>
      <c r="E279" s="5" t="s">
        <v>1196</v>
      </c>
      <c r="F279" s="132">
        <f>SUMIF('COLAR PLANO'!$A:$A,A279,'COLAR PLANO'!$D:$D)</f>
        <v>0</v>
      </c>
      <c r="G279" s="131">
        <f t="shared" si="62"/>
        <v>0</v>
      </c>
      <c r="H279" s="6">
        <v>0.73980000000000001</v>
      </c>
      <c r="I279" s="7">
        <f t="shared" si="67"/>
        <v>0</v>
      </c>
      <c r="J279" s="130">
        <f t="shared" si="68"/>
        <v>0</v>
      </c>
      <c r="K279" s="327">
        <v>1.2</v>
      </c>
      <c r="L279" s="324">
        <v>10</v>
      </c>
      <c r="M279" s="324">
        <v>12</v>
      </c>
      <c r="N279" s="7">
        <f t="shared" si="63"/>
        <v>0</v>
      </c>
      <c r="O279" s="311"/>
      <c r="P279" s="311">
        <f t="shared" si="64"/>
        <v>0</v>
      </c>
      <c r="Q279" s="7"/>
      <c r="R279" s="7"/>
      <c r="S279" s="7"/>
      <c r="T279" s="7"/>
      <c r="U279" s="7" t="s">
        <v>2288</v>
      </c>
      <c r="V279" s="7" t="s">
        <v>2289</v>
      </c>
      <c r="W279" s="7" t="str">
        <f>Preencher!$B$3&amp;U279&amp;V279&amp;A279&amp;$W$6</f>
        <v>JARINU-FRG952291MQ.TUNEL DE CG (CONTINUO)</v>
      </c>
      <c r="X279" s="7" t="str">
        <f>Preencher!$B$3&amp;U279&amp;V279&amp;A279&amp;$X$6</f>
        <v>JARINU-FRG952291MQ.TUNEL DE CG (CONTINUO) (1)</v>
      </c>
      <c r="Y279" s="7" t="str">
        <f>Preencher!$B$3&amp;U279&amp;V279&amp;A279&amp;$Y$6</f>
        <v>JARINU-FRG952291MQ.TUNEL DE CG (CONTINUO) (2)</v>
      </c>
      <c r="Z279" s="7" t="str">
        <f>Preencher!$B$3&amp;U279&amp;V279&amp;A279&amp;$Z$6</f>
        <v>JARINU-FRG952291MQ.TUNEL DE CG (CONTINUO) (3)</v>
      </c>
      <c r="AA279" s="7" t="str">
        <f>Preencher!$B$3&amp;U279&amp;V279&amp;A279&amp;$AA$6</f>
        <v>JARINU-FRG952291MQ.TUNEL DE CG (ESTATICO)</v>
      </c>
      <c r="AB279" s="7" t="str">
        <f>Preencher!$B$3&amp;U279&amp;V279&amp;A279&amp;$AB$6</f>
        <v>JARINU-FRG952291MQ.TUNEL DE CG (ESTATICO) (1)</v>
      </c>
      <c r="AC279" s="7" t="str">
        <f>Preencher!$B$3&amp;U279&amp;V279&amp;A279&amp;$AC$6</f>
        <v>JARINU-FRG952291MQ.TUNEL DE CG (ESTATICO) (2)</v>
      </c>
      <c r="AD279" s="327">
        <f>IFERROR(SUMIF('BD Otimix'!A:A,'BD VOLUME'!X279,'BD Otimix'!O:O)+SUMIF('BD Otimix'!A:A,'BD VOLUME'!Y279,'BD Otimix'!O:O)+SUMIF('BD Otimix'!A:A,'BD VOLUME'!Z279,'BD Otimix'!O:O)+SUMIF('BD Otimix'!A:A,'BD VOLUME'!AA279,'BD Otimix'!O:O)+SUMIF('BD Otimix'!A:A,'BD VOLUME'!AB279,'BD Otimix'!O:O)+SUMIF('BD Otimix'!A:A,'BD VOLUME'!AC279,'BD Otimix'!O:O)+SUMIF('BD Otimix'!A:A,'BD VOLUME'!W279,'BD Otimix'!O:O),0)</f>
        <v>0</v>
      </c>
      <c r="AE279" s="327">
        <f t="shared" si="65"/>
        <v>0</v>
      </c>
      <c r="AF279" s="7" t="str">
        <f>Preencher!$B$3&amp;$U$8&amp;$V$8&amp;A279&amp;$AF$6</f>
        <v>JARINU-FRG952291MQ.GIROFREEZER</v>
      </c>
      <c r="AG279" s="7" t="str">
        <f>Preencher!$B$3&amp;$U$8&amp;$V$8&amp;A279&amp;$AG$6</f>
        <v>JARINU-FRG952291MQ.GIROFREEZER (1)</v>
      </c>
      <c r="AH279" s="7" t="str">
        <f>Preencher!$B$3&amp;$U$8&amp;$V$8&amp;A279&amp;$AH$6</f>
        <v>JARINU-FRG952291MQ.GIROFREEZER (2)</v>
      </c>
      <c r="AI279" s="7" t="str">
        <f>Preencher!$B$3&amp;$U$8&amp;$V$8&amp;A279&amp;$AI$6</f>
        <v>JARINU-FRG952291MQ.GIROFREEZER REV04</v>
      </c>
      <c r="AJ279" s="7" t="str">
        <f>Preencher!$B$3&amp;$U$8&amp;$V$8&amp;A279&amp;$AJ$6</f>
        <v>JARINU-FRG952291MQ.GIROFREEZER (3)</v>
      </c>
      <c r="AK279" s="327">
        <f>IFERROR(SUMIF('BD Otimix'!A:A,'BD VOLUME'!AG279,'BD Otimix'!O:O)+SUMIF('BD Otimix'!A:A,'BD VOLUME'!AH279,'BD Otimix'!O:O)+SUMIF('BD Otimix'!A:A,'BD VOLUME'!AI279,'BD Otimix'!O:O)+SUMIF('BD Otimix'!A:A,'BD VOLUME'!AJ279,'BD Otimix'!O:O)+SUMIF('BD Otimix'!A:A,'BD VOLUME'!AF279,'BD Otimix'!O:O),0)</f>
        <v>0</v>
      </c>
      <c r="AL279" s="7">
        <f t="shared" si="66"/>
        <v>0</v>
      </c>
    </row>
    <row r="280" spans="1:38">
      <c r="A280" s="324">
        <v>952940</v>
      </c>
      <c r="B280" s="324">
        <v>0</v>
      </c>
      <c r="C280" s="5" t="s">
        <v>1275</v>
      </c>
      <c r="D280" s="5" t="s">
        <v>939</v>
      </c>
      <c r="E280" s="5" t="s">
        <v>1196</v>
      </c>
      <c r="F280" s="132">
        <f>SUMIF('COLAR PLANO'!$A:$A,A280,'COLAR PLANO'!$D:$D)</f>
        <v>0</v>
      </c>
      <c r="G280" s="131">
        <f t="shared" si="62"/>
        <v>0</v>
      </c>
      <c r="H280" s="6">
        <v>0.73980000000000001</v>
      </c>
      <c r="I280" s="7">
        <f t="shared" si="67"/>
        <v>0</v>
      </c>
      <c r="J280" s="130">
        <f t="shared" si="68"/>
        <v>0</v>
      </c>
      <c r="K280" s="327">
        <v>0.9</v>
      </c>
      <c r="L280" s="324">
        <v>10</v>
      </c>
      <c r="M280" s="324">
        <v>9</v>
      </c>
      <c r="N280" s="7">
        <f t="shared" si="63"/>
        <v>0</v>
      </c>
      <c r="O280" s="311"/>
      <c r="P280" s="311">
        <f t="shared" si="64"/>
        <v>0</v>
      </c>
      <c r="Q280" s="7"/>
      <c r="R280" s="7"/>
      <c r="S280" s="7"/>
      <c r="T280" s="7"/>
      <c r="U280" s="7" t="s">
        <v>2288</v>
      </c>
      <c r="V280" s="7" t="s">
        <v>2289</v>
      </c>
      <c r="W280" s="7" t="str">
        <f>Preencher!$B$3&amp;U280&amp;V280&amp;A280&amp;$W$6</f>
        <v>JARINU-FRG952940MQ.TUNEL DE CG (CONTINUO)</v>
      </c>
      <c r="X280" s="7" t="str">
        <f>Preencher!$B$3&amp;U280&amp;V280&amp;A280&amp;$X$6</f>
        <v>JARINU-FRG952940MQ.TUNEL DE CG (CONTINUO) (1)</v>
      </c>
      <c r="Y280" s="7" t="str">
        <f>Preencher!$B$3&amp;U280&amp;V280&amp;A280&amp;$Y$6</f>
        <v>JARINU-FRG952940MQ.TUNEL DE CG (CONTINUO) (2)</v>
      </c>
      <c r="Z280" s="7" t="str">
        <f>Preencher!$B$3&amp;U280&amp;V280&amp;A280&amp;$Z$6</f>
        <v>JARINU-FRG952940MQ.TUNEL DE CG (CONTINUO) (3)</v>
      </c>
      <c r="AA280" s="7" t="str">
        <f>Preencher!$B$3&amp;U280&amp;V280&amp;A280&amp;$AA$6</f>
        <v>JARINU-FRG952940MQ.TUNEL DE CG (ESTATICO)</v>
      </c>
      <c r="AB280" s="7" t="str">
        <f>Preencher!$B$3&amp;U280&amp;V280&amp;A280&amp;$AB$6</f>
        <v>JARINU-FRG952940MQ.TUNEL DE CG (ESTATICO) (1)</v>
      </c>
      <c r="AC280" s="7" t="str">
        <f>Preencher!$B$3&amp;U280&amp;V280&amp;A280&amp;$AC$6</f>
        <v>JARINU-FRG952940MQ.TUNEL DE CG (ESTATICO) (2)</v>
      </c>
      <c r="AD280" s="327">
        <f>IFERROR(SUMIF('BD Otimix'!A:A,'BD VOLUME'!X280,'BD Otimix'!O:O)+SUMIF('BD Otimix'!A:A,'BD VOLUME'!Y280,'BD Otimix'!O:O)+SUMIF('BD Otimix'!A:A,'BD VOLUME'!Z280,'BD Otimix'!O:O)+SUMIF('BD Otimix'!A:A,'BD VOLUME'!AA280,'BD Otimix'!O:O)+SUMIF('BD Otimix'!A:A,'BD VOLUME'!AB280,'BD Otimix'!O:O)+SUMIF('BD Otimix'!A:A,'BD VOLUME'!AC280,'BD Otimix'!O:O)+SUMIF('BD Otimix'!A:A,'BD VOLUME'!W280,'BD Otimix'!O:O),0)</f>
        <v>0</v>
      </c>
      <c r="AE280" s="327">
        <f t="shared" si="65"/>
        <v>0</v>
      </c>
      <c r="AF280" s="7" t="str">
        <f>Preencher!$B$3&amp;$U$8&amp;$V$8&amp;A280&amp;$AF$6</f>
        <v>JARINU-FRG952940MQ.GIROFREEZER</v>
      </c>
      <c r="AG280" s="7" t="str">
        <f>Preencher!$B$3&amp;$U$8&amp;$V$8&amp;A280&amp;$AG$6</f>
        <v>JARINU-FRG952940MQ.GIROFREEZER (1)</v>
      </c>
      <c r="AH280" s="7" t="str">
        <f>Preencher!$B$3&amp;$U$8&amp;$V$8&amp;A280&amp;$AH$6</f>
        <v>JARINU-FRG952940MQ.GIROFREEZER (2)</v>
      </c>
      <c r="AI280" s="7" t="str">
        <f>Preencher!$B$3&amp;$U$8&amp;$V$8&amp;A280&amp;$AI$6</f>
        <v>JARINU-FRG952940MQ.GIROFREEZER REV04</v>
      </c>
      <c r="AJ280" s="7" t="str">
        <f>Preencher!$B$3&amp;$U$8&amp;$V$8&amp;A280&amp;$AJ$6</f>
        <v>JARINU-FRG952940MQ.GIROFREEZER (3)</v>
      </c>
      <c r="AK280" s="327">
        <f>IFERROR(SUMIF('BD Otimix'!A:A,'BD VOLUME'!AG280,'BD Otimix'!O:O)+SUMIF('BD Otimix'!A:A,'BD VOLUME'!AH280,'BD Otimix'!O:O)+SUMIF('BD Otimix'!A:A,'BD VOLUME'!AI280,'BD Otimix'!O:O)+SUMIF('BD Otimix'!A:A,'BD VOLUME'!AJ280,'BD Otimix'!O:O)+SUMIF('BD Otimix'!A:A,'BD VOLUME'!AF280,'BD Otimix'!O:O),0)</f>
        <v>0</v>
      </c>
      <c r="AL280" s="7">
        <f t="shared" si="66"/>
        <v>0</v>
      </c>
    </row>
    <row r="281" spans="1:38">
      <c r="A281" s="324">
        <v>924865</v>
      </c>
      <c r="B281" s="324" t="s">
        <v>1320</v>
      </c>
      <c r="C281" s="5" t="s">
        <v>1210</v>
      </c>
      <c r="D281" s="5" t="s">
        <v>939</v>
      </c>
      <c r="E281" s="5" t="s">
        <v>1196</v>
      </c>
      <c r="F281" s="132">
        <f>SUMIF('COLAR PLANO'!$A:$A,A281,'COLAR PLANO'!$D:$D)</f>
        <v>0</v>
      </c>
      <c r="G281" s="131">
        <f t="shared" si="62"/>
        <v>0</v>
      </c>
      <c r="H281" s="6">
        <v>0.74029999999999996</v>
      </c>
      <c r="I281" s="7">
        <f t="shared" si="67"/>
        <v>0</v>
      </c>
      <c r="J281" s="130">
        <f t="shared" si="68"/>
        <v>0</v>
      </c>
      <c r="K281" s="327">
        <v>0.8</v>
      </c>
      <c r="L281" s="324">
        <v>10</v>
      </c>
      <c r="M281" s="324">
        <v>8</v>
      </c>
      <c r="N281" s="7">
        <f t="shared" si="63"/>
        <v>0</v>
      </c>
      <c r="O281" s="311"/>
      <c r="P281" s="311">
        <f t="shared" si="64"/>
        <v>0</v>
      </c>
      <c r="Q281" s="7"/>
      <c r="R281" s="7"/>
      <c r="S281" s="7"/>
      <c r="T281" s="7"/>
      <c r="U281" s="7" t="s">
        <v>2288</v>
      </c>
      <c r="V281" s="7" t="s">
        <v>2289</v>
      </c>
      <c r="W281" s="7" t="str">
        <f>Preencher!$B$3&amp;U281&amp;V281&amp;A281&amp;$W$6</f>
        <v>JARINU-FRG924865MQ.TUNEL DE CG (CONTINUO)</v>
      </c>
      <c r="X281" s="7" t="str">
        <f>Preencher!$B$3&amp;U281&amp;V281&amp;A281&amp;$X$6</f>
        <v>JARINU-FRG924865MQ.TUNEL DE CG (CONTINUO) (1)</v>
      </c>
      <c r="Y281" s="7" t="str">
        <f>Preencher!$B$3&amp;U281&amp;V281&amp;A281&amp;$Y$6</f>
        <v>JARINU-FRG924865MQ.TUNEL DE CG (CONTINUO) (2)</v>
      </c>
      <c r="Z281" s="7" t="str">
        <f>Preencher!$B$3&amp;U281&amp;V281&amp;A281&amp;$Z$6</f>
        <v>JARINU-FRG924865MQ.TUNEL DE CG (CONTINUO) (3)</v>
      </c>
      <c r="AA281" s="7" t="str">
        <f>Preencher!$B$3&amp;U281&amp;V281&amp;A281&amp;$AA$6</f>
        <v>JARINU-FRG924865MQ.TUNEL DE CG (ESTATICO)</v>
      </c>
      <c r="AB281" s="7" t="str">
        <f>Preencher!$B$3&amp;U281&amp;V281&amp;A281&amp;$AB$6</f>
        <v>JARINU-FRG924865MQ.TUNEL DE CG (ESTATICO) (1)</v>
      </c>
      <c r="AC281" s="7" t="str">
        <f>Preencher!$B$3&amp;U281&amp;V281&amp;A281&amp;$AC$6</f>
        <v>JARINU-FRG924865MQ.TUNEL DE CG (ESTATICO) (2)</v>
      </c>
      <c r="AD281" s="327">
        <f>IFERROR(SUMIF('BD Otimix'!A:A,'BD VOLUME'!X281,'BD Otimix'!O:O)+SUMIF('BD Otimix'!A:A,'BD VOLUME'!Y281,'BD Otimix'!O:O)+SUMIF('BD Otimix'!A:A,'BD VOLUME'!Z281,'BD Otimix'!O:O)+SUMIF('BD Otimix'!A:A,'BD VOLUME'!AA281,'BD Otimix'!O:O)+SUMIF('BD Otimix'!A:A,'BD VOLUME'!AB281,'BD Otimix'!O:O)+SUMIF('BD Otimix'!A:A,'BD VOLUME'!AC281,'BD Otimix'!O:O)+SUMIF('BD Otimix'!A:A,'BD VOLUME'!W281,'BD Otimix'!O:O),0)</f>
        <v>0</v>
      </c>
      <c r="AE281" s="327">
        <f t="shared" si="65"/>
        <v>0</v>
      </c>
      <c r="AF281" s="7" t="str">
        <f>Preencher!$B$3&amp;$U$8&amp;$V$8&amp;A281&amp;$AF$6</f>
        <v>JARINU-FRG924865MQ.GIROFREEZER</v>
      </c>
      <c r="AG281" s="7" t="str">
        <f>Preencher!$B$3&amp;$U$8&amp;$V$8&amp;A281&amp;$AG$6</f>
        <v>JARINU-FRG924865MQ.GIROFREEZER (1)</v>
      </c>
      <c r="AH281" s="7" t="str">
        <f>Preencher!$B$3&amp;$U$8&amp;$V$8&amp;A281&amp;$AH$6</f>
        <v>JARINU-FRG924865MQ.GIROFREEZER (2)</v>
      </c>
      <c r="AI281" s="7" t="str">
        <f>Preencher!$B$3&amp;$U$8&amp;$V$8&amp;A281&amp;$AI$6</f>
        <v>JARINU-FRG924865MQ.GIROFREEZER REV04</v>
      </c>
      <c r="AJ281" s="7" t="str">
        <f>Preencher!$B$3&amp;$U$8&amp;$V$8&amp;A281&amp;$AJ$6</f>
        <v>JARINU-FRG924865MQ.GIROFREEZER (3)</v>
      </c>
      <c r="AK281" s="327">
        <f>IFERROR(SUMIF('BD Otimix'!A:A,'BD VOLUME'!AG281,'BD Otimix'!O:O)+SUMIF('BD Otimix'!A:A,'BD VOLUME'!AH281,'BD Otimix'!O:O)+SUMIF('BD Otimix'!A:A,'BD VOLUME'!AI281,'BD Otimix'!O:O)+SUMIF('BD Otimix'!A:A,'BD VOLUME'!AJ281,'BD Otimix'!O:O)+SUMIF('BD Otimix'!A:A,'BD VOLUME'!AF281,'BD Otimix'!O:O),0)</f>
        <v>0</v>
      </c>
      <c r="AL281" s="7">
        <f t="shared" si="66"/>
        <v>0</v>
      </c>
    </row>
    <row r="282" spans="1:38">
      <c r="A282" s="324">
        <v>952657</v>
      </c>
      <c r="B282" s="324">
        <v>0</v>
      </c>
      <c r="C282" s="5" t="s">
        <v>1321</v>
      </c>
      <c r="D282" s="5" t="s">
        <v>939</v>
      </c>
      <c r="E282" s="5" t="s">
        <v>1196</v>
      </c>
      <c r="F282" s="132">
        <f>SUMIF('COLAR PLANO'!$A:$A,A282,'COLAR PLANO'!$D:$D)</f>
        <v>0</v>
      </c>
      <c r="G282" s="131">
        <f t="shared" si="62"/>
        <v>0</v>
      </c>
      <c r="H282" s="6">
        <v>0.74029999999999996</v>
      </c>
      <c r="I282" s="7">
        <f t="shared" si="67"/>
        <v>0</v>
      </c>
      <c r="J282" s="130">
        <f t="shared" si="68"/>
        <v>0</v>
      </c>
      <c r="K282" s="327">
        <v>0.7</v>
      </c>
      <c r="L282" s="324">
        <v>10</v>
      </c>
      <c r="M282" s="324">
        <v>7</v>
      </c>
      <c r="N282" s="7">
        <f t="shared" si="63"/>
        <v>0</v>
      </c>
      <c r="O282" s="311"/>
      <c r="P282" s="311">
        <f t="shared" si="64"/>
        <v>0</v>
      </c>
      <c r="Q282" s="7"/>
      <c r="R282" s="7"/>
      <c r="S282" s="7"/>
      <c r="T282" s="7"/>
      <c r="U282" s="7" t="s">
        <v>2288</v>
      </c>
      <c r="V282" s="7" t="s">
        <v>2289</v>
      </c>
      <c r="W282" s="7" t="str">
        <f>Preencher!$B$3&amp;U282&amp;V282&amp;A282&amp;$W$6</f>
        <v>JARINU-FRG952657MQ.TUNEL DE CG (CONTINUO)</v>
      </c>
      <c r="X282" s="7" t="str">
        <f>Preencher!$B$3&amp;U282&amp;V282&amp;A282&amp;$X$6</f>
        <v>JARINU-FRG952657MQ.TUNEL DE CG (CONTINUO) (1)</v>
      </c>
      <c r="Y282" s="7" t="str">
        <f>Preencher!$B$3&amp;U282&amp;V282&amp;A282&amp;$Y$6</f>
        <v>JARINU-FRG952657MQ.TUNEL DE CG (CONTINUO) (2)</v>
      </c>
      <c r="Z282" s="7" t="str">
        <f>Preencher!$B$3&amp;U282&amp;V282&amp;A282&amp;$Z$6</f>
        <v>JARINU-FRG952657MQ.TUNEL DE CG (CONTINUO) (3)</v>
      </c>
      <c r="AA282" s="7" t="str">
        <f>Preencher!$B$3&amp;U282&amp;V282&amp;A282&amp;$AA$6</f>
        <v>JARINU-FRG952657MQ.TUNEL DE CG (ESTATICO)</v>
      </c>
      <c r="AB282" s="7" t="str">
        <f>Preencher!$B$3&amp;U282&amp;V282&amp;A282&amp;$AB$6</f>
        <v>JARINU-FRG952657MQ.TUNEL DE CG (ESTATICO) (1)</v>
      </c>
      <c r="AC282" s="7" t="str">
        <f>Preencher!$B$3&amp;U282&amp;V282&amp;A282&amp;$AC$6</f>
        <v>JARINU-FRG952657MQ.TUNEL DE CG (ESTATICO) (2)</v>
      </c>
      <c r="AD282" s="327">
        <f>IFERROR(SUMIF('BD Otimix'!A:A,'BD VOLUME'!X282,'BD Otimix'!O:O)+SUMIF('BD Otimix'!A:A,'BD VOLUME'!Y282,'BD Otimix'!O:O)+SUMIF('BD Otimix'!A:A,'BD VOLUME'!Z282,'BD Otimix'!O:O)+SUMIF('BD Otimix'!A:A,'BD VOLUME'!AA282,'BD Otimix'!O:O)+SUMIF('BD Otimix'!A:A,'BD VOLUME'!AB282,'BD Otimix'!O:O)+SUMIF('BD Otimix'!A:A,'BD VOLUME'!AC282,'BD Otimix'!O:O)+SUMIF('BD Otimix'!A:A,'BD VOLUME'!W282,'BD Otimix'!O:O),0)</f>
        <v>0</v>
      </c>
      <c r="AE282" s="327">
        <f t="shared" si="65"/>
        <v>0</v>
      </c>
      <c r="AF282" s="7" t="str">
        <f>Preencher!$B$3&amp;$U$8&amp;$V$8&amp;A282&amp;$AF$6</f>
        <v>JARINU-FRG952657MQ.GIROFREEZER</v>
      </c>
      <c r="AG282" s="7" t="str">
        <f>Preencher!$B$3&amp;$U$8&amp;$V$8&amp;A282&amp;$AG$6</f>
        <v>JARINU-FRG952657MQ.GIROFREEZER (1)</v>
      </c>
      <c r="AH282" s="7" t="str">
        <f>Preencher!$B$3&amp;$U$8&amp;$V$8&amp;A282&amp;$AH$6</f>
        <v>JARINU-FRG952657MQ.GIROFREEZER (2)</v>
      </c>
      <c r="AI282" s="7" t="str">
        <f>Preencher!$B$3&amp;$U$8&amp;$V$8&amp;A282&amp;$AI$6</f>
        <v>JARINU-FRG952657MQ.GIROFREEZER REV04</v>
      </c>
      <c r="AJ282" s="7" t="str">
        <f>Preencher!$B$3&amp;$U$8&amp;$V$8&amp;A282&amp;$AJ$6</f>
        <v>JARINU-FRG952657MQ.GIROFREEZER (3)</v>
      </c>
      <c r="AK282" s="327">
        <f>IFERROR(SUMIF('BD Otimix'!A:A,'BD VOLUME'!AG282,'BD Otimix'!O:O)+SUMIF('BD Otimix'!A:A,'BD VOLUME'!AH282,'BD Otimix'!O:O)+SUMIF('BD Otimix'!A:A,'BD VOLUME'!AI282,'BD Otimix'!O:O)+SUMIF('BD Otimix'!A:A,'BD VOLUME'!AJ282,'BD Otimix'!O:O)+SUMIF('BD Otimix'!A:A,'BD VOLUME'!AF282,'BD Otimix'!O:O),0)</f>
        <v>0</v>
      </c>
      <c r="AL282" s="7">
        <f t="shared" si="66"/>
        <v>0</v>
      </c>
    </row>
    <row r="283" spans="1:38">
      <c r="A283" s="324">
        <v>790370</v>
      </c>
      <c r="B283" s="324" t="s">
        <v>1322</v>
      </c>
      <c r="C283" s="5" t="s">
        <v>1323</v>
      </c>
      <c r="D283" s="5" t="s">
        <v>939</v>
      </c>
      <c r="E283" s="5" t="s">
        <v>1196</v>
      </c>
      <c r="F283" s="132">
        <f>SUMIF('COLAR PLANO'!$A:$A,A283,'COLAR PLANO'!$D:$D)</f>
        <v>0</v>
      </c>
      <c r="G283" s="131">
        <f t="shared" si="62"/>
        <v>0</v>
      </c>
      <c r="H283" s="6">
        <v>0.73939999999999995</v>
      </c>
      <c r="I283" s="7">
        <f t="shared" si="67"/>
        <v>0</v>
      </c>
      <c r="J283" s="130">
        <f t="shared" si="68"/>
        <v>0</v>
      </c>
      <c r="K283" s="327">
        <v>1.5</v>
      </c>
      <c r="L283" s="324">
        <v>8</v>
      </c>
      <c r="M283" s="324">
        <v>12</v>
      </c>
      <c r="N283" s="7">
        <f t="shared" si="63"/>
        <v>0</v>
      </c>
      <c r="O283" s="311"/>
      <c r="P283" s="311">
        <f t="shared" si="64"/>
        <v>0</v>
      </c>
      <c r="Q283" s="7"/>
      <c r="R283" s="7"/>
      <c r="S283" s="7"/>
      <c r="T283" s="7"/>
      <c r="U283" s="7" t="s">
        <v>2288</v>
      </c>
      <c r="V283" s="7" t="s">
        <v>2289</v>
      </c>
      <c r="W283" s="7" t="str">
        <f>Preencher!$B$3&amp;U283&amp;V283&amp;A283&amp;$W$6</f>
        <v>JARINU-FRG790370MQ.TUNEL DE CG (CONTINUO)</v>
      </c>
      <c r="X283" s="7" t="str">
        <f>Preencher!$B$3&amp;U283&amp;V283&amp;A283&amp;$X$6</f>
        <v>JARINU-FRG790370MQ.TUNEL DE CG (CONTINUO) (1)</v>
      </c>
      <c r="Y283" s="7" t="str">
        <f>Preencher!$B$3&amp;U283&amp;V283&amp;A283&amp;$Y$6</f>
        <v>JARINU-FRG790370MQ.TUNEL DE CG (CONTINUO) (2)</v>
      </c>
      <c r="Z283" s="7" t="str">
        <f>Preencher!$B$3&amp;U283&amp;V283&amp;A283&amp;$Z$6</f>
        <v>JARINU-FRG790370MQ.TUNEL DE CG (CONTINUO) (3)</v>
      </c>
      <c r="AA283" s="7" t="str">
        <f>Preencher!$B$3&amp;U283&amp;V283&amp;A283&amp;$AA$6</f>
        <v>JARINU-FRG790370MQ.TUNEL DE CG (ESTATICO)</v>
      </c>
      <c r="AB283" s="7" t="str">
        <f>Preencher!$B$3&amp;U283&amp;V283&amp;A283&amp;$AB$6</f>
        <v>JARINU-FRG790370MQ.TUNEL DE CG (ESTATICO) (1)</v>
      </c>
      <c r="AC283" s="7" t="str">
        <f>Preencher!$B$3&amp;U283&amp;V283&amp;A283&amp;$AC$6</f>
        <v>JARINU-FRG790370MQ.TUNEL DE CG (ESTATICO) (2)</v>
      </c>
      <c r="AD283" s="327">
        <f>IFERROR(SUMIF('BD Otimix'!A:A,'BD VOLUME'!X283,'BD Otimix'!O:O)+SUMIF('BD Otimix'!A:A,'BD VOLUME'!Y283,'BD Otimix'!O:O)+SUMIF('BD Otimix'!A:A,'BD VOLUME'!Z283,'BD Otimix'!O:O)+SUMIF('BD Otimix'!A:A,'BD VOLUME'!AA283,'BD Otimix'!O:O)+SUMIF('BD Otimix'!A:A,'BD VOLUME'!AB283,'BD Otimix'!O:O)+SUMIF('BD Otimix'!A:A,'BD VOLUME'!AC283,'BD Otimix'!O:O)+SUMIF('BD Otimix'!A:A,'BD VOLUME'!W283,'BD Otimix'!O:O),0)</f>
        <v>0</v>
      </c>
      <c r="AE283" s="327">
        <f t="shared" si="65"/>
        <v>0</v>
      </c>
      <c r="AF283" s="7" t="str">
        <f>Preencher!$B$3&amp;$U$8&amp;$V$8&amp;A283&amp;$AF$6</f>
        <v>JARINU-FRG790370MQ.GIROFREEZER</v>
      </c>
      <c r="AG283" s="7" t="str">
        <f>Preencher!$B$3&amp;$U$8&amp;$V$8&amp;A283&amp;$AG$6</f>
        <v>JARINU-FRG790370MQ.GIROFREEZER (1)</v>
      </c>
      <c r="AH283" s="7" t="str">
        <f>Preencher!$B$3&amp;$U$8&amp;$V$8&amp;A283&amp;$AH$6</f>
        <v>JARINU-FRG790370MQ.GIROFREEZER (2)</v>
      </c>
      <c r="AI283" s="7" t="str">
        <f>Preencher!$B$3&amp;$U$8&amp;$V$8&amp;A283&amp;$AI$6</f>
        <v>JARINU-FRG790370MQ.GIROFREEZER REV04</v>
      </c>
      <c r="AJ283" s="7" t="str">
        <f>Preencher!$B$3&amp;$U$8&amp;$V$8&amp;A283&amp;$AJ$6</f>
        <v>JARINU-FRG790370MQ.GIROFREEZER (3)</v>
      </c>
      <c r="AK283" s="327">
        <f>IFERROR(SUMIF('BD Otimix'!A:A,'BD VOLUME'!AG283,'BD Otimix'!O:O)+SUMIF('BD Otimix'!A:A,'BD VOLUME'!AH283,'BD Otimix'!O:O)+SUMIF('BD Otimix'!A:A,'BD VOLUME'!AI283,'BD Otimix'!O:O)+SUMIF('BD Otimix'!A:A,'BD VOLUME'!AJ283,'BD Otimix'!O:O)+SUMIF('BD Otimix'!A:A,'BD VOLUME'!AF283,'BD Otimix'!O:O),0)</f>
        <v>0</v>
      </c>
      <c r="AL283" s="7">
        <f t="shared" si="66"/>
        <v>0</v>
      </c>
    </row>
    <row r="284" spans="1:38">
      <c r="A284" s="324">
        <v>15580</v>
      </c>
      <c r="B284" s="324" t="s">
        <v>1324</v>
      </c>
      <c r="C284" s="5" t="s">
        <v>1191</v>
      </c>
      <c r="D284" s="5" t="s">
        <v>939</v>
      </c>
      <c r="E284" s="5" t="s">
        <v>1196</v>
      </c>
      <c r="F284" s="132">
        <f>SUMIF('COLAR PLANO'!$A:$A,A284,'COLAR PLANO'!$D:$D)</f>
        <v>0</v>
      </c>
      <c r="G284" s="131">
        <f t="shared" si="62"/>
        <v>0</v>
      </c>
      <c r="H284" s="6">
        <v>0.746</v>
      </c>
      <c r="I284" s="7">
        <f t="shared" si="67"/>
        <v>0</v>
      </c>
      <c r="J284" s="130">
        <f t="shared" si="68"/>
        <v>0</v>
      </c>
      <c r="K284" s="327">
        <v>1.2</v>
      </c>
      <c r="L284" s="324">
        <v>10</v>
      </c>
      <c r="M284" s="324">
        <v>12</v>
      </c>
      <c r="N284" s="7">
        <f t="shared" si="63"/>
        <v>0</v>
      </c>
      <c r="O284" s="311"/>
      <c r="P284" s="311">
        <f t="shared" si="64"/>
        <v>0</v>
      </c>
      <c r="Q284" s="7"/>
      <c r="R284" s="7"/>
      <c r="S284" s="7"/>
      <c r="T284" s="7"/>
      <c r="U284" s="7" t="s">
        <v>2288</v>
      </c>
      <c r="V284" s="7" t="s">
        <v>2289</v>
      </c>
      <c r="W284" s="7" t="str">
        <f>Preencher!$B$3&amp;U284&amp;V284&amp;A284&amp;$W$6</f>
        <v>JARINU-FRG15580MQ.TUNEL DE CG (CONTINUO)</v>
      </c>
      <c r="X284" s="7" t="str">
        <f>Preencher!$B$3&amp;U284&amp;V284&amp;A284&amp;$X$6</f>
        <v>JARINU-FRG15580MQ.TUNEL DE CG (CONTINUO) (1)</v>
      </c>
      <c r="Y284" s="7" t="str">
        <f>Preencher!$B$3&amp;U284&amp;V284&amp;A284&amp;$Y$6</f>
        <v>JARINU-FRG15580MQ.TUNEL DE CG (CONTINUO) (2)</v>
      </c>
      <c r="Z284" s="7" t="str">
        <f>Preencher!$B$3&amp;U284&amp;V284&amp;A284&amp;$Z$6</f>
        <v>JARINU-FRG15580MQ.TUNEL DE CG (CONTINUO) (3)</v>
      </c>
      <c r="AA284" s="7" t="str">
        <f>Preencher!$B$3&amp;U284&amp;V284&amp;A284&amp;$AA$6</f>
        <v>JARINU-FRG15580MQ.TUNEL DE CG (ESTATICO)</v>
      </c>
      <c r="AB284" s="7" t="str">
        <f>Preencher!$B$3&amp;U284&amp;V284&amp;A284&amp;$AB$6</f>
        <v>JARINU-FRG15580MQ.TUNEL DE CG (ESTATICO) (1)</v>
      </c>
      <c r="AC284" s="7" t="str">
        <f>Preencher!$B$3&amp;U284&amp;V284&amp;A284&amp;$AC$6</f>
        <v>JARINU-FRG15580MQ.TUNEL DE CG (ESTATICO) (2)</v>
      </c>
      <c r="AD284" s="327">
        <f>IFERROR(SUMIF('BD Otimix'!A:A,'BD VOLUME'!X284,'BD Otimix'!O:O)+SUMIF('BD Otimix'!A:A,'BD VOLUME'!Y284,'BD Otimix'!O:O)+SUMIF('BD Otimix'!A:A,'BD VOLUME'!Z284,'BD Otimix'!O:O)+SUMIF('BD Otimix'!A:A,'BD VOLUME'!AA284,'BD Otimix'!O:O)+SUMIF('BD Otimix'!A:A,'BD VOLUME'!AB284,'BD Otimix'!O:O)+SUMIF('BD Otimix'!A:A,'BD VOLUME'!AC284,'BD Otimix'!O:O)+SUMIF('BD Otimix'!A:A,'BD VOLUME'!W284,'BD Otimix'!O:O),0)</f>
        <v>0</v>
      </c>
      <c r="AE284" s="327">
        <f t="shared" si="65"/>
        <v>0</v>
      </c>
      <c r="AF284" s="7" t="str">
        <f>Preencher!$B$3&amp;$U$8&amp;$V$8&amp;A284&amp;$AF$6</f>
        <v>JARINU-FRG15580MQ.GIROFREEZER</v>
      </c>
      <c r="AG284" s="7" t="str">
        <f>Preencher!$B$3&amp;$U$8&amp;$V$8&amp;A284&amp;$AG$6</f>
        <v>JARINU-FRG15580MQ.GIROFREEZER (1)</v>
      </c>
      <c r="AH284" s="7" t="str">
        <f>Preencher!$B$3&amp;$U$8&amp;$V$8&amp;A284&amp;$AH$6</f>
        <v>JARINU-FRG15580MQ.GIROFREEZER (2)</v>
      </c>
      <c r="AI284" s="7" t="str">
        <f>Preencher!$B$3&amp;$U$8&amp;$V$8&amp;A284&amp;$AI$6</f>
        <v>JARINU-FRG15580MQ.GIROFREEZER REV04</v>
      </c>
      <c r="AJ284" s="7" t="str">
        <f>Preencher!$B$3&amp;$U$8&amp;$V$8&amp;A284&amp;$AJ$6</f>
        <v>JARINU-FRG15580MQ.GIROFREEZER (3)</v>
      </c>
      <c r="AK284" s="327">
        <f>IFERROR(SUMIF('BD Otimix'!A:A,'BD VOLUME'!AG284,'BD Otimix'!O:O)+SUMIF('BD Otimix'!A:A,'BD VOLUME'!AH284,'BD Otimix'!O:O)+SUMIF('BD Otimix'!A:A,'BD VOLUME'!AI284,'BD Otimix'!O:O)+SUMIF('BD Otimix'!A:A,'BD VOLUME'!AJ284,'BD Otimix'!O:O)+SUMIF('BD Otimix'!A:A,'BD VOLUME'!AF284,'BD Otimix'!O:O),0)</f>
        <v>0</v>
      </c>
      <c r="AL284" s="7">
        <f t="shared" si="66"/>
        <v>0</v>
      </c>
    </row>
    <row r="285" spans="1:38">
      <c r="A285" s="324">
        <v>49115</v>
      </c>
      <c r="B285" s="324" t="s">
        <v>1325</v>
      </c>
      <c r="C285" s="5" t="s">
        <v>1310</v>
      </c>
      <c r="D285" s="5" t="s">
        <v>939</v>
      </c>
      <c r="E285" s="5" t="s">
        <v>1196</v>
      </c>
      <c r="F285" s="132">
        <f>SUMIF('COLAR PLANO'!$A:$A,A285,'COLAR PLANO'!$D:$D)</f>
        <v>0</v>
      </c>
      <c r="G285" s="131">
        <f t="shared" si="62"/>
        <v>0</v>
      </c>
      <c r="H285" s="6">
        <v>0.746</v>
      </c>
      <c r="I285" s="7">
        <f t="shared" si="67"/>
        <v>0</v>
      </c>
      <c r="J285" s="130">
        <f t="shared" si="68"/>
        <v>0</v>
      </c>
      <c r="K285" s="327">
        <v>1.4</v>
      </c>
      <c r="L285" s="324">
        <v>10</v>
      </c>
      <c r="M285" s="324">
        <v>14</v>
      </c>
      <c r="N285" s="7">
        <f t="shared" si="63"/>
        <v>0</v>
      </c>
      <c r="O285" s="311"/>
      <c r="P285" s="311">
        <f t="shared" si="64"/>
        <v>0</v>
      </c>
      <c r="Q285" s="7"/>
      <c r="R285" s="7"/>
      <c r="S285" s="7"/>
      <c r="T285" s="7"/>
      <c r="U285" s="7" t="s">
        <v>2288</v>
      </c>
      <c r="V285" s="7" t="s">
        <v>2289</v>
      </c>
      <c r="W285" s="7" t="str">
        <f>Preencher!$B$3&amp;U285&amp;V285&amp;A285&amp;$W$6</f>
        <v>JARINU-FRG49115MQ.TUNEL DE CG (CONTINUO)</v>
      </c>
      <c r="X285" s="7" t="str">
        <f>Preencher!$B$3&amp;U285&amp;V285&amp;A285&amp;$X$6</f>
        <v>JARINU-FRG49115MQ.TUNEL DE CG (CONTINUO) (1)</v>
      </c>
      <c r="Y285" s="7" t="str">
        <f>Preencher!$B$3&amp;U285&amp;V285&amp;A285&amp;$Y$6</f>
        <v>JARINU-FRG49115MQ.TUNEL DE CG (CONTINUO) (2)</v>
      </c>
      <c r="Z285" s="7" t="str">
        <f>Preencher!$B$3&amp;U285&amp;V285&amp;A285&amp;$Z$6</f>
        <v>JARINU-FRG49115MQ.TUNEL DE CG (CONTINUO) (3)</v>
      </c>
      <c r="AA285" s="7" t="str">
        <f>Preencher!$B$3&amp;U285&amp;V285&amp;A285&amp;$AA$6</f>
        <v>JARINU-FRG49115MQ.TUNEL DE CG (ESTATICO)</v>
      </c>
      <c r="AB285" s="7" t="str">
        <f>Preencher!$B$3&amp;U285&amp;V285&amp;A285&amp;$AB$6</f>
        <v>JARINU-FRG49115MQ.TUNEL DE CG (ESTATICO) (1)</v>
      </c>
      <c r="AC285" s="7" t="str">
        <f>Preencher!$B$3&amp;U285&amp;V285&amp;A285&amp;$AC$6</f>
        <v>JARINU-FRG49115MQ.TUNEL DE CG (ESTATICO) (2)</v>
      </c>
      <c r="AD285" s="327">
        <f>IFERROR(SUMIF('BD Otimix'!A:A,'BD VOLUME'!X285,'BD Otimix'!O:O)+SUMIF('BD Otimix'!A:A,'BD VOLUME'!Y285,'BD Otimix'!O:O)+SUMIF('BD Otimix'!A:A,'BD VOLUME'!Z285,'BD Otimix'!O:O)+SUMIF('BD Otimix'!A:A,'BD VOLUME'!AA285,'BD Otimix'!O:O)+SUMIF('BD Otimix'!A:A,'BD VOLUME'!AB285,'BD Otimix'!O:O)+SUMIF('BD Otimix'!A:A,'BD VOLUME'!AC285,'BD Otimix'!O:O)+SUMIF('BD Otimix'!A:A,'BD VOLUME'!W285,'BD Otimix'!O:O),0)</f>
        <v>0</v>
      </c>
      <c r="AE285" s="327">
        <f t="shared" si="65"/>
        <v>0</v>
      </c>
      <c r="AF285" s="7" t="str">
        <f>Preencher!$B$3&amp;$U$8&amp;$V$8&amp;A285&amp;$AF$6</f>
        <v>JARINU-FRG49115MQ.GIROFREEZER</v>
      </c>
      <c r="AG285" s="7" t="str">
        <f>Preencher!$B$3&amp;$U$8&amp;$V$8&amp;A285&amp;$AG$6</f>
        <v>JARINU-FRG49115MQ.GIROFREEZER (1)</v>
      </c>
      <c r="AH285" s="7" t="str">
        <f>Preencher!$B$3&amp;$U$8&amp;$V$8&amp;A285&amp;$AH$6</f>
        <v>JARINU-FRG49115MQ.GIROFREEZER (2)</v>
      </c>
      <c r="AI285" s="7" t="str">
        <f>Preencher!$B$3&amp;$U$8&amp;$V$8&amp;A285&amp;$AI$6</f>
        <v>JARINU-FRG49115MQ.GIROFREEZER REV04</v>
      </c>
      <c r="AJ285" s="7" t="str">
        <f>Preencher!$B$3&amp;$U$8&amp;$V$8&amp;A285&amp;$AJ$6</f>
        <v>JARINU-FRG49115MQ.GIROFREEZER (3)</v>
      </c>
      <c r="AK285" s="327">
        <f>IFERROR(SUMIF('BD Otimix'!A:A,'BD VOLUME'!AG285,'BD Otimix'!O:O)+SUMIF('BD Otimix'!A:A,'BD VOLUME'!AH285,'BD Otimix'!O:O)+SUMIF('BD Otimix'!A:A,'BD VOLUME'!AI285,'BD Otimix'!O:O)+SUMIF('BD Otimix'!A:A,'BD VOLUME'!AJ285,'BD Otimix'!O:O)+SUMIF('BD Otimix'!A:A,'BD VOLUME'!AF285,'BD Otimix'!O:O),0)</f>
        <v>0</v>
      </c>
      <c r="AL285" s="7">
        <f t="shared" si="66"/>
        <v>0</v>
      </c>
    </row>
    <row r="286" spans="1:38">
      <c r="A286" s="324">
        <v>953043</v>
      </c>
      <c r="B286" s="324">
        <v>0</v>
      </c>
      <c r="C286" s="5" t="s">
        <v>1189</v>
      </c>
      <c r="D286" s="5" t="s">
        <v>939</v>
      </c>
      <c r="E286" s="5" t="s">
        <v>1196</v>
      </c>
      <c r="F286" s="132">
        <f>SUMIF('COLAR PLANO'!$A:$A,A286,'COLAR PLANO'!$D:$D)</f>
        <v>0</v>
      </c>
      <c r="G286" s="131">
        <f t="shared" si="62"/>
        <v>0</v>
      </c>
      <c r="H286" s="6">
        <v>0.74319999999999997</v>
      </c>
      <c r="I286" s="7">
        <f t="shared" si="67"/>
        <v>0</v>
      </c>
      <c r="J286" s="130">
        <f t="shared" si="68"/>
        <v>0</v>
      </c>
      <c r="K286" s="327">
        <v>1.3</v>
      </c>
      <c r="L286" s="324">
        <v>10</v>
      </c>
      <c r="M286" s="324">
        <v>13</v>
      </c>
      <c r="N286" s="7">
        <f t="shared" si="63"/>
        <v>0</v>
      </c>
      <c r="O286" s="311"/>
      <c r="P286" s="311">
        <f t="shared" si="64"/>
        <v>0</v>
      </c>
      <c r="Q286" s="7"/>
      <c r="R286" s="7"/>
      <c r="S286" s="7"/>
      <c r="T286" s="7"/>
      <c r="U286" s="7" t="s">
        <v>2288</v>
      </c>
      <c r="V286" s="7" t="s">
        <v>2289</v>
      </c>
      <c r="W286" s="7" t="str">
        <f>Preencher!$B$3&amp;U286&amp;V286&amp;A286&amp;$W$6</f>
        <v>JARINU-FRG953043MQ.TUNEL DE CG (CONTINUO)</v>
      </c>
      <c r="X286" s="7" t="str">
        <f>Preencher!$B$3&amp;U286&amp;V286&amp;A286&amp;$X$6</f>
        <v>JARINU-FRG953043MQ.TUNEL DE CG (CONTINUO) (1)</v>
      </c>
      <c r="Y286" s="7" t="str">
        <f>Preencher!$B$3&amp;U286&amp;V286&amp;A286&amp;$Y$6</f>
        <v>JARINU-FRG953043MQ.TUNEL DE CG (CONTINUO) (2)</v>
      </c>
      <c r="Z286" s="7" t="str">
        <f>Preencher!$B$3&amp;U286&amp;V286&amp;A286&amp;$Z$6</f>
        <v>JARINU-FRG953043MQ.TUNEL DE CG (CONTINUO) (3)</v>
      </c>
      <c r="AA286" s="7" t="str">
        <f>Preencher!$B$3&amp;U286&amp;V286&amp;A286&amp;$AA$6</f>
        <v>JARINU-FRG953043MQ.TUNEL DE CG (ESTATICO)</v>
      </c>
      <c r="AB286" s="7" t="str">
        <f>Preencher!$B$3&amp;U286&amp;V286&amp;A286&amp;$AB$6</f>
        <v>JARINU-FRG953043MQ.TUNEL DE CG (ESTATICO) (1)</v>
      </c>
      <c r="AC286" s="7" t="str">
        <f>Preencher!$B$3&amp;U286&amp;V286&amp;A286&amp;$AC$6</f>
        <v>JARINU-FRG953043MQ.TUNEL DE CG (ESTATICO) (2)</v>
      </c>
      <c r="AD286" s="327">
        <f>IFERROR(SUMIF('BD Otimix'!A:A,'BD VOLUME'!X286,'BD Otimix'!O:O)+SUMIF('BD Otimix'!A:A,'BD VOLUME'!Y286,'BD Otimix'!O:O)+SUMIF('BD Otimix'!A:A,'BD VOLUME'!Z286,'BD Otimix'!O:O)+SUMIF('BD Otimix'!A:A,'BD VOLUME'!AA286,'BD Otimix'!O:O)+SUMIF('BD Otimix'!A:A,'BD VOLUME'!AB286,'BD Otimix'!O:O)+SUMIF('BD Otimix'!A:A,'BD VOLUME'!AC286,'BD Otimix'!O:O)+SUMIF('BD Otimix'!A:A,'BD VOLUME'!W286,'BD Otimix'!O:O),0)</f>
        <v>0</v>
      </c>
      <c r="AE286" s="327">
        <f t="shared" si="65"/>
        <v>0</v>
      </c>
      <c r="AF286" s="7" t="str">
        <f>Preencher!$B$3&amp;$U$8&amp;$V$8&amp;A286&amp;$AF$6</f>
        <v>JARINU-FRG953043MQ.GIROFREEZER</v>
      </c>
      <c r="AG286" s="7" t="str">
        <f>Preencher!$B$3&amp;$U$8&amp;$V$8&amp;A286&amp;$AG$6</f>
        <v>JARINU-FRG953043MQ.GIROFREEZER (1)</v>
      </c>
      <c r="AH286" s="7" t="str">
        <f>Preencher!$B$3&amp;$U$8&amp;$V$8&amp;A286&amp;$AH$6</f>
        <v>JARINU-FRG953043MQ.GIROFREEZER (2)</v>
      </c>
      <c r="AI286" s="7" t="str">
        <f>Preencher!$B$3&amp;$U$8&amp;$V$8&amp;A286&amp;$AI$6</f>
        <v>JARINU-FRG953043MQ.GIROFREEZER REV04</v>
      </c>
      <c r="AJ286" s="7" t="str">
        <f>Preencher!$B$3&amp;$U$8&amp;$V$8&amp;A286&amp;$AJ$6</f>
        <v>JARINU-FRG953043MQ.GIROFREEZER (3)</v>
      </c>
      <c r="AK286" s="327">
        <f>IFERROR(SUMIF('BD Otimix'!A:A,'BD VOLUME'!AG286,'BD Otimix'!O:O)+SUMIF('BD Otimix'!A:A,'BD VOLUME'!AH286,'BD Otimix'!O:O)+SUMIF('BD Otimix'!A:A,'BD VOLUME'!AI286,'BD Otimix'!O:O)+SUMIF('BD Otimix'!A:A,'BD VOLUME'!AJ286,'BD Otimix'!O:O)+SUMIF('BD Otimix'!A:A,'BD VOLUME'!AF286,'BD Otimix'!O:O),0)</f>
        <v>0</v>
      </c>
      <c r="AL286" s="7">
        <f t="shared" si="66"/>
        <v>0</v>
      </c>
    </row>
    <row r="287" spans="1:38">
      <c r="A287" s="324">
        <v>1427</v>
      </c>
      <c r="B287" s="324">
        <v>0</v>
      </c>
      <c r="C287" s="5" t="s">
        <v>1279</v>
      </c>
      <c r="D287" s="5" t="s">
        <v>939</v>
      </c>
      <c r="E287" s="5" t="s">
        <v>1196</v>
      </c>
      <c r="F287" s="132">
        <f>SUMIF('COLAR PLANO'!$A:$A,A287,'COLAR PLANO'!$D:$D)</f>
        <v>0</v>
      </c>
      <c r="G287" s="131">
        <f t="shared" si="62"/>
        <v>0</v>
      </c>
      <c r="H287" s="6">
        <v>0</v>
      </c>
      <c r="I287" s="7">
        <f t="shared" si="67"/>
        <v>0</v>
      </c>
      <c r="J287" s="130">
        <f t="shared" si="68"/>
        <v>0</v>
      </c>
      <c r="K287" s="327">
        <v>1.4</v>
      </c>
      <c r="L287" s="324">
        <v>10</v>
      </c>
      <c r="M287" s="324">
        <v>14</v>
      </c>
      <c r="N287" s="7">
        <f t="shared" si="63"/>
        <v>0</v>
      </c>
      <c r="O287" s="311"/>
      <c r="P287" s="311">
        <f t="shared" si="64"/>
        <v>0</v>
      </c>
      <c r="Q287" s="7"/>
      <c r="R287" s="7"/>
      <c r="S287" s="7"/>
      <c r="T287" s="7"/>
      <c r="U287" s="7" t="s">
        <v>2288</v>
      </c>
      <c r="V287" s="7" t="s">
        <v>2289</v>
      </c>
      <c r="W287" s="7" t="str">
        <f>Preencher!$B$3&amp;U287&amp;V287&amp;A287&amp;$W$6</f>
        <v>JARINU-FRG1427MQ.TUNEL DE CG (CONTINUO)</v>
      </c>
      <c r="X287" s="7" t="str">
        <f>Preencher!$B$3&amp;U287&amp;V287&amp;A287&amp;$X$6</f>
        <v>JARINU-FRG1427MQ.TUNEL DE CG (CONTINUO) (1)</v>
      </c>
      <c r="Y287" s="7" t="str">
        <f>Preencher!$B$3&amp;U287&amp;V287&amp;A287&amp;$Y$6</f>
        <v>JARINU-FRG1427MQ.TUNEL DE CG (CONTINUO) (2)</v>
      </c>
      <c r="Z287" s="7" t="str">
        <f>Preencher!$B$3&amp;U287&amp;V287&amp;A287&amp;$Z$6</f>
        <v>JARINU-FRG1427MQ.TUNEL DE CG (CONTINUO) (3)</v>
      </c>
      <c r="AA287" s="7" t="str">
        <f>Preencher!$B$3&amp;U287&amp;V287&amp;A287&amp;$AA$6</f>
        <v>JARINU-FRG1427MQ.TUNEL DE CG (ESTATICO)</v>
      </c>
      <c r="AB287" s="7" t="str">
        <f>Preencher!$B$3&amp;U287&amp;V287&amp;A287&amp;$AB$6</f>
        <v>JARINU-FRG1427MQ.TUNEL DE CG (ESTATICO) (1)</v>
      </c>
      <c r="AC287" s="7" t="str">
        <f>Preencher!$B$3&amp;U287&amp;V287&amp;A287&amp;$AC$6</f>
        <v>JARINU-FRG1427MQ.TUNEL DE CG (ESTATICO) (2)</v>
      </c>
      <c r="AD287" s="327">
        <f>IFERROR(SUMIF('BD Otimix'!A:A,'BD VOLUME'!X287,'BD Otimix'!O:O)+SUMIF('BD Otimix'!A:A,'BD VOLUME'!Y287,'BD Otimix'!O:O)+SUMIF('BD Otimix'!A:A,'BD VOLUME'!Z287,'BD Otimix'!O:O)+SUMIF('BD Otimix'!A:A,'BD VOLUME'!AA287,'BD Otimix'!O:O)+SUMIF('BD Otimix'!A:A,'BD VOLUME'!AB287,'BD Otimix'!O:O)+SUMIF('BD Otimix'!A:A,'BD VOLUME'!AC287,'BD Otimix'!O:O)+SUMIF('BD Otimix'!A:A,'BD VOLUME'!W287,'BD Otimix'!O:O),0)</f>
        <v>0</v>
      </c>
      <c r="AE287" s="327">
        <f t="shared" si="65"/>
        <v>0</v>
      </c>
      <c r="AF287" s="7" t="str">
        <f>Preencher!$B$3&amp;$U$8&amp;$V$8&amp;A287&amp;$AF$6</f>
        <v>JARINU-FRG1427MQ.GIROFREEZER</v>
      </c>
      <c r="AG287" s="7" t="str">
        <f>Preencher!$B$3&amp;$U$8&amp;$V$8&amp;A287&amp;$AG$6</f>
        <v>JARINU-FRG1427MQ.GIROFREEZER (1)</v>
      </c>
      <c r="AH287" s="7" t="str">
        <f>Preencher!$B$3&amp;$U$8&amp;$V$8&amp;A287&amp;$AH$6</f>
        <v>JARINU-FRG1427MQ.GIROFREEZER (2)</v>
      </c>
      <c r="AI287" s="7" t="str">
        <f>Preencher!$B$3&amp;$U$8&amp;$V$8&amp;A287&amp;$AI$6</f>
        <v>JARINU-FRG1427MQ.GIROFREEZER REV04</v>
      </c>
      <c r="AJ287" s="7" t="str">
        <f>Preencher!$B$3&amp;$U$8&amp;$V$8&amp;A287&amp;$AJ$6</f>
        <v>JARINU-FRG1427MQ.GIROFREEZER (3)</v>
      </c>
      <c r="AK287" s="327">
        <f>IFERROR(SUMIF('BD Otimix'!A:A,'BD VOLUME'!AG287,'BD Otimix'!O:O)+SUMIF('BD Otimix'!A:A,'BD VOLUME'!AH287,'BD Otimix'!O:O)+SUMIF('BD Otimix'!A:A,'BD VOLUME'!AI287,'BD Otimix'!O:O)+SUMIF('BD Otimix'!A:A,'BD VOLUME'!AJ287,'BD Otimix'!O:O)+SUMIF('BD Otimix'!A:A,'BD VOLUME'!AF287,'BD Otimix'!O:O),0)</f>
        <v>0</v>
      </c>
      <c r="AL287" s="7">
        <f t="shared" si="66"/>
        <v>0</v>
      </c>
    </row>
    <row r="288" spans="1:38">
      <c r="A288" s="324">
        <v>15571</v>
      </c>
      <c r="B288" s="324" t="s">
        <v>1326</v>
      </c>
      <c r="C288" s="5" t="s">
        <v>1193</v>
      </c>
      <c r="D288" s="5" t="s">
        <v>939</v>
      </c>
      <c r="E288" s="5" t="s">
        <v>1196</v>
      </c>
      <c r="F288" s="132">
        <f>SUMIF('COLAR PLANO'!$A:$A,A288,'COLAR PLANO'!$D:$D)</f>
        <v>0</v>
      </c>
      <c r="G288" s="131">
        <f t="shared" si="62"/>
        <v>0</v>
      </c>
      <c r="H288" s="6">
        <v>0.73980000000000001</v>
      </c>
      <c r="I288" s="7">
        <f t="shared" si="67"/>
        <v>0</v>
      </c>
      <c r="J288" s="130">
        <f t="shared" si="68"/>
        <v>0</v>
      </c>
      <c r="K288" s="327">
        <v>1.1000000000000001</v>
      </c>
      <c r="L288" s="324">
        <v>10</v>
      </c>
      <c r="M288" s="324">
        <v>11</v>
      </c>
      <c r="N288" s="7">
        <f t="shared" si="63"/>
        <v>0</v>
      </c>
      <c r="O288" s="311"/>
      <c r="P288" s="311">
        <f t="shared" si="64"/>
        <v>0</v>
      </c>
      <c r="Q288" s="7"/>
      <c r="R288" s="7"/>
      <c r="S288" s="7"/>
      <c r="T288" s="7"/>
      <c r="U288" s="7" t="s">
        <v>2288</v>
      </c>
      <c r="V288" s="7" t="s">
        <v>2289</v>
      </c>
      <c r="W288" s="7" t="str">
        <f>Preencher!$B$3&amp;U288&amp;V288&amp;A288&amp;$W$6</f>
        <v>JARINU-FRG15571MQ.TUNEL DE CG (CONTINUO)</v>
      </c>
      <c r="X288" s="7" t="str">
        <f>Preencher!$B$3&amp;U288&amp;V288&amp;A288&amp;$X$6</f>
        <v>JARINU-FRG15571MQ.TUNEL DE CG (CONTINUO) (1)</v>
      </c>
      <c r="Y288" s="7" t="str">
        <f>Preencher!$B$3&amp;U288&amp;V288&amp;A288&amp;$Y$6</f>
        <v>JARINU-FRG15571MQ.TUNEL DE CG (CONTINUO) (2)</v>
      </c>
      <c r="Z288" s="7" t="str">
        <f>Preencher!$B$3&amp;U288&amp;V288&amp;A288&amp;$Z$6</f>
        <v>JARINU-FRG15571MQ.TUNEL DE CG (CONTINUO) (3)</v>
      </c>
      <c r="AA288" s="7" t="str">
        <f>Preencher!$B$3&amp;U288&amp;V288&amp;A288&amp;$AA$6</f>
        <v>JARINU-FRG15571MQ.TUNEL DE CG (ESTATICO)</v>
      </c>
      <c r="AB288" s="7" t="str">
        <f>Preencher!$B$3&amp;U288&amp;V288&amp;A288&amp;$AB$6</f>
        <v>JARINU-FRG15571MQ.TUNEL DE CG (ESTATICO) (1)</v>
      </c>
      <c r="AC288" s="7" t="str">
        <f>Preencher!$B$3&amp;U288&amp;V288&amp;A288&amp;$AC$6</f>
        <v>JARINU-FRG15571MQ.TUNEL DE CG (ESTATICO) (2)</v>
      </c>
      <c r="AD288" s="327">
        <f>IFERROR(SUMIF('BD Otimix'!A:A,'BD VOLUME'!X288,'BD Otimix'!O:O)+SUMIF('BD Otimix'!A:A,'BD VOLUME'!Y288,'BD Otimix'!O:O)+SUMIF('BD Otimix'!A:A,'BD VOLUME'!Z288,'BD Otimix'!O:O)+SUMIF('BD Otimix'!A:A,'BD VOLUME'!AA288,'BD Otimix'!O:O)+SUMIF('BD Otimix'!A:A,'BD VOLUME'!AB288,'BD Otimix'!O:O)+SUMIF('BD Otimix'!A:A,'BD VOLUME'!AC288,'BD Otimix'!O:O)+SUMIF('BD Otimix'!A:A,'BD VOLUME'!W288,'BD Otimix'!O:O),0)</f>
        <v>0</v>
      </c>
      <c r="AE288" s="327">
        <f t="shared" si="65"/>
        <v>0</v>
      </c>
      <c r="AF288" s="7" t="str">
        <f>Preencher!$B$3&amp;$U$8&amp;$V$8&amp;A288&amp;$AF$6</f>
        <v>JARINU-FRG15571MQ.GIROFREEZER</v>
      </c>
      <c r="AG288" s="7" t="str">
        <f>Preencher!$B$3&amp;$U$8&amp;$V$8&amp;A288&amp;$AG$6</f>
        <v>JARINU-FRG15571MQ.GIROFREEZER (1)</v>
      </c>
      <c r="AH288" s="7" t="str">
        <f>Preencher!$B$3&amp;$U$8&amp;$V$8&amp;A288&amp;$AH$6</f>
        <v>JARINU-FRG15571MQ.GIROFREEZER (2)</v>
      </c>
      <c r="AI288" s="7" t="str">
        <f>Preencher!$B$3&amp;$U$8&amp;$V$8&amp;A288&amp;$AI$6</f>
        <v>JARINU-FRG15571MQ.GIROFREEZER REV04</v>
      </c>
      <c r="AJ288" s="7" t="str">
        <f>Preencher!$B$3&amp;$U$8&amp;$V$8&amp;A288&amp;$AJ$6</f>
        <v>JARINU-FRG15571MQ.GIROFREEZER (3)</v>
      </c>
      <c r="AK288" s="327">
        <f>IFERROR(SUMIF('BD Otimix'!A:A,'BD VOLUME'!AG288,'BD Otimix'!O:O)+SUMIF('BD Otimix'!A:A,'BD VOLUME'!AH288,'BD Otimix'!O:O)+SUMIF('BD Otimix'!A:A,'BD VOLUME'!AI288,'BD Otimix'!O:O)+SUMIF('BD Otimix'!A:A,'BD VOLUME'!AJ288,'BD Otimix'!O:O)+SUMIF('BD Otimix'!A:A,'BD VOLUME'!AF288,'BD Otimix'!O:O),0)</f>
        <v>0</v>
      </c>
      <c r="AL288" s="7">
        <f t="shared" si="66"/>
        <v>0</v>
      </c>
    </row>
    <row r="289" spans="1:38">
      <c r="A289" s="324"/>
      <c r="B289" s="324"/>
      <c r="C289" s="5"/>
      <c r="D289" s="5"/>
      <c r="E289" s="5"/>
      <c r="F289" s="132"/>
      <c r="G289" s="131"/>
      <c r="H289" s="6"/>
      <c r="I289" s="7"/>
      <c r="J289" s="130"/>
      <c r="K289" s="327"/>
      <c r="L289" s="324"/>
      <c r="M289" s="324"/>
      <c r="N289" s="7"/>
      <c r="O289" s="7"/>
      <c r="P289" s="7"/>
      <c r="Q289" s="7"/>
      <c r="R289" s="7"/>
      <c r="S289" s="7"/>
      <c r="T289" s="7"/>
      <c r="U289" s="7" t="s">
        <v>2288</v>
      </c>
      <c r="V289" s="7" t="s">
        <v>2289</v>
      </c>
      <c r="W289" s="7" t="str">
        <f>Preencher!$B$3&amp;U289&amp;V289&amp;A289&amp;$W$6</f>
        <v>JARINU-FRGMQ.TUNEL DE CG (CONTINUO)</v>
      </c>
      <c r="X289" s="7" t="str">
        <f>Preencher!$B$3&amp;U289&amp;V289&amp;A289&amp;$X$6</f>
        <v>JARINU-FRGMQ.TUNEL DE CG (CONTINUO) (1)</v>
      </c>
      <c r="Y289" s="7" t="str">
        <f>Preencher!$B$3&amp;U289&amp;V289&amp;A289&amp;$Y$6</f>
        <v>JARINU-FRGMQ.TUNEL DE CG (CONTINUO) (2)</v>
      </c>
      <c r="Z289" s="7" t="str">
        <f>Preencher!$B$3&amp;U289&amp;V289&amp;A289&amp;$Z$6</f>
        <v>JARINU-FRGMQ.TUNEL DE CG (CONTINUO) (3)</v>
      </c>
      <c r="AA289" s="7" t="str">
        <f>Preencher!$B$3&amp;U289&amp;V289&amp;A289&amp;$AA$6</f>
        <v>JARINU-FRGMQ.TUNEL DE CG (ESTATICO)</v>
      </c>
      <c r="AB289" s="7" t="str">
        <f>Preencher!$B$3&amp;U289&amp;V289&amp;A289&amp;$AB$6</f>
        <v>JARINU-FRGMQ.TUNEL DE CG (ESTATICO) (1)</v>
      </c>
      <c r="AC289" s="7" t="str">
        <f>Preencher!$B$3&amp;U289&amp;V289&amp;A289&amp;$AC$6</f>
        <v>JARINU-FRGMQ.TUNEL DE CG (ESTATICO) (2)</v>
      </c>
      <c r="AD289" s="327">
        <f>IFERROR(SUMIF('BD Otimix'!A:A,'BD VOLUME'!X289,'BD Otimix'!O:O)+SUMIF('BD Otimix'!A:A,'BD VOLUME'!Y289,'BD Otimix'!O:O)+SUMIF('BD Otimix'!A:A,'BD VOLUME'!Z289,'BD Otimix'!O:O)+SUMIF('BD Otimix'!A:A,'BD VOLUME'!AA289,'BD Otimix'!O:O)+SUMIF('BD Otimix'!A:A,'BD VOLUME'!AB289,'BD Otimix'!O:O)+SUMIF('BD Otimix'!A:A,'BD VOLUME'!AC289,'BD Otimix'!O:O)+SUMIF('BD Otimix'!A:A,'BD VOLUME'!W289,'BD Otimix'!O:O),0)</f>
        <v>0</v>
      </c>
      <c r="AE289" s="327">
        <f t="shared" si="65"/>
        <v>0</v>
      </c>
      <c r="AF289" s="7" t="str">
        <f>Preencher!$B$3&amp;$U$8&amp;$V$8&amp;A289&amp;$AF$6</f>
        <v>JARINU-FRGMQ.GIROFREEZER</v>
      </c>
      <c r="AG289" s="7" t="str">
        <f>Preencher!$B$3&amp;$U$8&amp;$V$8&amp;A289&amp;$AG$6</f>
        <v>JARINU-FRGMQ.GIROFREEZER (1)</v>
      </c>
      <c r="AH289" s="7" t="str">
        <f>Preencher!$B$3&amp;$U$8&amp;$V$8&amp;A289&amp;$AH$6</f>
        <v>JARINU-FRGMQ.GIROFREEZER (2)</v>
      </c>
      <c r="AI289" s="7" t="str">
        <f>Preencher!$B$3&amp;$U$8&amp;$V$8&amp;A289&amp;$AI$6</f>
        <v>JARINU-FRGMQ.GIROFREEZER REV04</v>
      </c>
      <c r="AJ289" s="7" t="str">
        <f>Preencher!$B$3&amp;$U$8&amp;$V$8&amp;A289&amp;$AJ$6</f>
        <v>JARINU-FRGMQ.GIROFREEZER (3)</v>
      </c>
      <c r="AK289" s="327">
        <f>IFERROR(SUMIF('BD Otimix'!A:A,'BD VOLUME'!AG289,'BD Otimix'!O:O)+SUMIF('BD Otimix'!A:A,'BD VOLUME'!AH289,'BD Otimix'!O:O)+SUMIF('BD Otimix'!A:A,'BD VOLUME'!AI289,'BD Otimix'!O:O)+SUMIF('BD Otimix'!A:A,'BD VOLUME'!AJ289,'BD Otimix'!O:O)+SUMIF('BD Otimix'!A:A,'BD VOLUME'!AF289,'BD Otimix'!O:O),0)</f>
        <v>0</v>
      </c>
      <c r="AL289" s="7">
        <f t="shared" si="66"/>
        <v>0</v>
      </c>
    </row>
    <row r="290" spans="1:38">
      <c r="A290" s="324"/>
      <c r="B290" s="324"/>
      <c r="C290" s="5"/>
      <c r="D290" s="5"/>
      <c r="E290" s="5"/>
      <c r="F290" s="132"/>
      <c r="G290" s="131"/>
      <c r="H290" s="6"/>
      <c r="I290" s="7"/>
      <c r="J290" s="130"/>
      <c r="K290" s="327"/>
      <c r="L290" s="324"/>
      <c r="M290" s="324"/>
      <c r="N290" s="7"/>
      <c r="O290" s="7"/>
      <c r="P290" s="7"/>
      <c r="Q290" s="7"/>
      <c r="R290" s="7"/>
      <c r="S290" s="7"/>
      <c r="T290" s="7"/>
      <c r="U290" s="7" t="s">
        <v>2288</v>
      </c>
      <c r="V290" s="7" t="s">
        <v>2289</v>
      </c>
      <c r="W290" s="7" t="str">
        <f>Preencher!$B$3&amp;U290&amp;V290&amp;A290&amp;$W$6</f>
        <v>JARINU-FRGMQ.TUNEL DE CG (CONTINUO)</v>
      </c>
      <c r="X290" s="7" t="str">
        <f>Preencher!$B$3&amp;U290&amp;V290&amp;A290&amp;$X$6</f>
        <v>JARINU-FRGMQ.TUNEL DE CG (CONTINUO) (1)</v>
      </c>
      <c r="Y290" s="7" t="str">
        <f>Preencher!$B$3&amp;U290&amp;V290&amp;A290&amp;$Y$6</f>
        <v>JARINU-FRGMQ.TUNEL DE CG (CONTINUO) (2)</v>
      </c>
      <c r="Z290" s="7" t="str">
        <f>Preencher!$B$3&amp;U290&amp;V290&amp;A290&amp;$Z$6</f>
        <v>JARINU-FRGMQ.TUNEL DE CG (CONTINUO) (3)</v>
      </c>
      <c r="AA290" s="7" t="str">
        <f>Preencher!$B$3&amp;U290&amp;V290&amp;A290&amp;$AA$6</f>
        <v>JARINU-FRGMQ.TUNEL DE CG (ESTATICO)</v>
      </c>
      <c r="AB290" s="7" t="str">
        <f>Preencher!$B$3&amp;U290&amp;V290&amp;A290&amp;$AB$6</f>
        <v>JARINU-FRGMQ.TUNEL DE CG (ESTATICO) (1)</v>
      </c>
      <c r="AC290" s="7" t="str">
        <f>Preencher!$B$3&amp;U290&amp;V290&amp;A290&amp;$AC$6</f>
        <v>JARINU-FRGMQ.TUNEL DE CG (ESTATICO) (2)</v>
      </c>
      <c r="AD290" s="327">
        <f>IFERROR(SUMIF('BD Otimix'!A:A,'BD VOLUME'!X290,'BD Otimix'!O:O)+SUMIF('BD Otimix'!A:A,'BD VOLUME'!Y290,'BD Otimix'!O:O)+SUMIF('BD Otimix'!A:A,'BD VOLUME'!Z290,'BD Otimix'!O:O)+SUMIF('BD Otimix'!A:A,'BD VOLUME'!AA290,'BD Otimix'!O:O)+SUMIF('BD Otimix'!A:A,'BD VOLUME'!AB290,'BD Otimix'!O:O)+SUMIF('BD Otimix'!A:A,'BD VOLUME'!AC290,'BD Otimix'!O:O)+SUMIF('BD Otimix'!A:A,'BD VOLUME'!W290,'BD Otimix'!O:O),0)</f>
        <v>0</v>
      </c>
      <c r="AE290" s="327">
        <f t="shared" si="65"/>
        <v>0</v>
      </c>
      <c r="AF290" s="7" t="str">
        <f>Preencher!$B$3&amp;$U$8&amp;$V$8&amp;A290&amp;$AF$6</f>
        <v>JARINU-FRGMQ.GIROFREEZER</v>
      </c>
      <c r="AG290" s="7" t="str">
        <f>Preencher!$B$3&amp;$U$8&amp;$V$8&amp;A290&amp;$AG$6</f>
        <v>JARINU-FRGMQ.GIROFREEZER (1)</v>
      </c>
      <c r="AH290" s="7" t="str">
        <f>Preencher!$B$3&amp;$U$8&amp;$V$8&amp;A290&amp;$AH$6</f>
        <v>JARINU-FRGMQ.GIROFREEZER (2)</v>
      </c>
      <c r="AI290" s="7" t="str">
        <f>Preencher!$B$3&amp;$U$8&amp;$V$8&amp;A290&amp;$AI$6</f>
        <v>JARINU-FRGMQ.GIROFREEZER REV04</v>
      </c>
      <c r="AJ290" s="7" t="str">
        <f>Preencher!$B$3&amp;$U$8&amp;$V$8&amp;A290&amp;$AJ$6</f>
        <v>JARINU-FRGMQ.GIROFREEZER (3)</v>
      </c>
      <c r="AK290" s="327">
        <f>IFERROR(SUMIF('BD Otimix'!A:A,'BD VOLUME'!AG290,'BD Otimix'!O:O)+SUMIF('BD Otimix'!A:A,'BD VOLUME'!AH290,'BD Otimix'!O:O)+SUMIF('BD Otimix'!A:A,'BD VOLUME'!AI290,'BD Otimix'!O:O)+SUMIF('BD Otimix'!A:A,'BD VOLUME'!AJ290,'BD Otimix'!O:O)+SUMIF('BD Otimix'!A:A,'BD VOLUME'!AF290,'BD Otimix'!O:O),0)</f>
        <v>0</v>
      </c>
      <c r="AL290" s="7">
        <f t="shared" si="66"/>
        <v>0</v>
      </c>
    </row>
    <row r="291" spans="1:38">
      <c r="A291" s="324"/>
      <c r="B291" s="324"/>
      <c r="C291" s="5"/>
      <c r="D291" s="5"/>
      <c r="E291" s="5"/>
      <c r="F291" s="132"/>
      <c r="G291" s="131"/>
      <c r="H291" s="6"/>
      <c r="I291" s="7"/>
      <c r="J291" s="130"/>
      <c r="K291" s="327"/>
      <c r="L291" s="324"/>
      <c r="M291" s="324"/>
      <c r="N291" s="7"/>
      <c r="O291" s="7"/>
      <c r="P291" s="7"/>
      <c r="Q291" s="7"/>
      <c r="R291" s="7"/>
      <c r="S291" s="7"/>
      <c r="T291" s="7"/>
      <c r="U291" s="7" t="s">
        <v>2288</v>
      </c>
      <c r="V291" s="7" t="s">
        <v>2289</v>
      </c>
      <c r="W291" s="7" t="str">
        <f>Preencher!$B$3&amp;U291&amp;V291&amp;A291&amp;$W$6</f>
        <v>JARINU-FRGMQ.TUNEL DE CG (CONTINUO)</v>
      </c>
      <c r="X291" s="7" t="str">
        <f>Preencher!$B$3&amp;U291&amp;V291&amp;A291&amp;$X$6</f>
        <v>JARINU-FRGMQ.TUNEL DE CG (CONTINUO) (1)</v>
      </c>
      <c r="Y291" s="7" t="str">
        <f>Preencher!$B$3&amp;U291&amp;V291&amp;A291&amp;$Y$6</f>
        <v>JARINU-FRGMQ.TUNEL DE CG (CONTINUO) (2)</v>
      </c>
      <c r="Z291" s="7" t="str">
        <f>Preencher!$B$3&amp;U291&amp;V291&amp;A291&amp;$Z$6</f>
        <v>JARINU-FRGMQ.TUNEL DE CG (CONTINUO) (3)</v>
      </c>
      <c r="AA291" s="7" t="str">
        <f>Preencher!$B$3&amp;U291&amp;V291&amp;A291&amp;$AA$6</f>
        <v>JARINU-FRGMQ.TUNEL DE CG (ESTATICO)</v>
      </c>
      <c r="AB291" s="7" t="str">
        <f>Preencher!$B$3&amp;U291&amp;V291&amp;A291&amp;$AB$6</f>
        <v>JARINU-FRGMQ.TUNEL DE CG (ESTATICO) (1)</v>
      </c>
      <c r="AC291" s="7" t="str">
        <f>Preencher!$B$3&amp;U291&amp;V291&amp;A291&amp;$AC$6</f>
        <v>JARINU-FRGMQ.TUNEL DE CG (ESTATICO) (2)</v>
      </c>
      <c r="AD291" s="327">
        <f>IFERROR(SUMIF('BD Otimix'!A:A,'BD VOLUME'!X291,'BD Otimix'!O:O)+SUMIF('BD Otimix'!A:A,'BD VOLUME'!Y291,'BD Otimix'!O:O)+SUMIF('BD Otimix'!A:A,'BD VOLUME'!Z291,'BD Otimix'!O:O)+SUMIF('BD Otimix'!A:A,'BD VOLUME'!AA291,'BD Otimix'!O:O)+SUMIF('BD Otimix'!A:A,'BD VOLUME'!AB291,'BD Otimix'!O:O)+SUMIF('BD Otimix'!A:A,'BD VOLUME'!AC291,'BD Otimix'!O:O)+SUMIF('BD Otimix'!A:A,'BD VOLUME'!W291,'BD Otimix'!O:O),0)</f>
        <v>0</v>
      </c>
      <c r="AE291" s="327">
        <f t="shared" si="65"/>
        <v>0</v>
      </c>
      <c r="AF291" s="7" t="str">
        <f>Preencher!$B$3&amp;$U$8&amp;$V$8&amp;A291&amp;$AF$6</f>
        <v>JARINU-FRGMQ.GIROFREEZER</v>
      </c>
      <c r="AG291" s="7" t="str">
        <f>Preencher!$B$3&amp;$U$8&amp;$V$8&amp;A291&amp;$AG$6</f>
        <v>JARINU-FRGMQ.GIROFREEZER (1)</v>
      </c>
      <c r="AH291" s="7" t="str">
        <f>Preencher!$B$3&amp;$U$8&amp;$V$8&amp;A291&amp;$AH$6</f>
        <v>JARINU-FRGMQ.GIROFREEZER (2)</v>
      </c>
      <c r="AI291" s="7" t="str">
        <f>Preencher!$B$3&amp;$U$8&amp;$V$8&amp;A291&amp;$AI$6</f>
        <v>JARINU-FRGMQ.GIROFREEZER REV04</v>
      </c>
      <c r="AJ291" s="7" t="str">
        <f>Preencher!$B$3&amp;$U$8&amp;$V$8&amp;A291&amp;$AJ$6</f>
        <v>JARINU-FRGMQ.GIROFREEZER (3)</v>
      </c>
      <c r="AK291" s="327">
        <f>IFERROR(SUMIF('BD Otimix'!A:A,'BD VOLUME'!AG291,'BD Otimix'!O:O)+SUMIF('BD Otimix'!A:A,'BD VOLUME'!AH291,'BD Otimix'!O:O)+SUMIF('BD Otimix'!A:A,'BD VOLUME'!AI291,'BD Otimix'!O:O)+SUMIF('BD Otimix'!A:A,'BD VOLUME'!AJ291,'BD Otimix'!O:O)+SUMIF('BD Otimix'!A:A,'BD VOLUME'!AF291,'BD Otimix'!O:O),0)</f>
        <v>0</v>
      </c>
      <c r="AL291" s="7">
        <f t="shared" si="66"/>
        <v>0</v>
      </c>
    </row>
    <row r="292" spans="1:38">
      <c r="A292" s="324"/>
      <c r="B292" s="324"/>
      <c r="C292" s="5"/>
      <c r="D292" s="5"/>
      <c r="E292" s="5"/>
      <c r="F292" s="132"/>
      <c r="G292" s="131"/>
      <c r="H292" s="6"/>
      <c r="I292" s="7"/>
      <c r="J292" s="130"/>
      <c r="K292" s="327"/>
      <c r="L292" s="324"/>
      <c r="M292" s="324"/>
      <c r="N292" s="7"/>
      <c r="O292" s="7"/>
      <c r="P292" s="7"/>
      <c r="Q292" s="7"/>
      <c r="R292" s="7"/>
      <c r="S292" s="7"/>
      <c r="T292" s="7"/>
      <c r="U292" s="7" t="s">
        <v>2288</v>
      </c>
      <c r="V292" s="7" t="s">
        <v>2289</v>
      </c>
      <c r="W292" s="7" t="str">
        <f>Preencher!$B$3&amp;U292&amp;V292&amp;A292&amp;$W$6</f>
        <v>JARINU-FRGMQ.TUNEL DE CG (CONTINUO)</v>
      </c>
      <c r="X292" s="7" t="str">
        <f>Preencher!$B$3&amp;U292&amp;V292&amp;A292&amp;$X$6</f>
        <v>JARINU-FRGMQ.TUNEL DE CG (CONTINUO) (1)</v>
      </c>
      <c r="Y292" s="7" t="str">
        <f>Preencher!$B$3&amp;U292&amp;V292&amp;A292&amp;$Y$6</f>
        <v>JARINU-FRGMQ.TUNEL DE CG (CONTINUO) (2)</v>
      </c>
      <c r="Z292" s="7" t="str">
        <f>Preencher!$B$3&amp;U292&amp;V292&amp;A292&amp;$Z$6</f>
        <v>JARINU-FRGMQ.TUNEL DE CG (CONTINUO) (3)</v>
      </c>
      <c r="AA292" s="7" t="str">
        <f>Preencher!$B$3&amp;U292&amp;V292&amp;A292&amp;$AA$6</f>
        <v>JARINU-FRGMQ.TUNEL DE CG (ESTATICO)</v>
      </c>
      <c r="AB292" s="7" t="str">
        <f>Preencher!$B$3&amp;U292&amp;V292&amp;A292&amp;$AB$6</f>
        <v>JARINU-FRGMQ.TUNEL DE CG (ESTATICO) (1)</v>
      </c>
      <c r="AC292" s="7" t="str">
        <f>Preencher!$B$3&amp;U292&amp;V292&amp;A292&amp;$AC$6</f>
        <v>JARINU-FRGMQ.TUNEL DE CG (ESTATICO) (2)</v>
      </c>
      <c r="AD292" s="327">
        <f>IFERROR(SUMIF('BD Otimix'!A:A,'BD VOLUME'!X292,'BD Otimix'!O:O)+SUMIF('BD Otimix'!A:A,'BD VOLUME'!Y292,'BD Otimix'!O:O)+SUMIF('BD Otimix'!A:A,'BD VOLUME'!Z292,'BD Otimix'!O:O)+SUMIF('BD Otimix'!A:A,'BD VOLUME'!AA292,'BD Otimix'!O:O)+SUMIF('BD Otimix'!A:A,'BD VOLUME'!AB292,'BD Otimix'!O:O)+SUMIF('BD Otimix'!A:A,'BD VOLUME'!AC292,'BD Otimix'!O:O)+SUMIF('BD Otimix'!A:A,'BD VOLUME'!W292,'BD Otimix'!O:O),0)</f>
        <v>0</v>
      </c>
      <c r="AE292" s="327">
        <f t="shared" si="65"/>
        <v>0</v>
      </c>
      <c r="AF292" s="7" t="str">
        <f>Preencher!$B$3&amp;$U$8&amp;$V$8&amp;A292&amp;$AF$6</f>
        <v>JARINU-FRGMQ.GIROFREEZER</v>
      </c>
      <c r="AG292" s="7" t="str">
        <f>Preencher!$B$3&amp;$U$8&amp;$V$8&amp;A292&amp;$AG$6</f>
        <v>JARINU-FRGMQ.GIROFREEZER (1)</v>
      </c>
      <c r="AH292" s="7" t="str">
        <f>Preencher!$B$3&amp;$U$8&amp;$V$8&amp;A292&amp;$AH$6</f>
        <v>JARINU-FRGMQ.GIROFREEZER (2)</v>
      </c>
      <c r="AI292" s="7" t="str">
        <f>Preencher!$B$3&amp;$U$8&amp;$V$8&amp;A292&amp;$AI$6</f>
        <v>JARINU-FRGMQ.GIROFREEZER REV04</v>
      </c>
      <c r="AJ292" s="7" t="str">
        <f>Preencher!$B$3&amp;$U$8&amp;$V$8&amp;A292&amp;$AJ$6</f>
        <v>JARINU-FRGMQ.GIROFREEZER (3)</v>
      </c>
      <c r="AK292" s="327">
        <f>IFERROR(SUMIF('BD Otimix'!A:A,'BD VOLUME'!AG292,'BD Otimix'!O:O)+SUMIF('BD Otimix'!A:A,'BD VOLUME'!AH292,'BD Otimix'!O:O)+SUMIF('BD Otimix'!A:A,'BD VOLUME'!AI292,'BD Otimix'!O:O)+SUMIF('BD Otimix'!A:A,'BD VOLUME'!AJ292,'BD Otimix'!O:O)+SUMIF('BD Otimix'!A:A,'BD VOLUME'!AF292,'BD Otimix'!O:O),0)</f>
        <v>0</v>
      </c>
      <c r="AL292" s="7">
        <f t="shared" si="66"/>
        <v>0</v>
      </c>
    </row>
    <row r="293" spans="1:38">
      <c r="A293" s="324"/>
      <c r="B293" s="324"/>
      <c r="C293" s="5"/>
      <c r="D293" s="5"/>
      <c r="E293" s="5"/>
      <c r="F293" s="132"/>
      <c r="G293" s="131"/>
      <c r="H293" s="6"/>
      <c r="I293" s="7"/>
      <c r="J293" s="130"/>
      <c r="K293" s="327"/>
      <c r="L293" s="324"/>
      <c r="M293" s="324"/>
      <c r="N293" s="7"/>
      <c r="O293" s="7"/>
      <c r="P293" s="7"/>
      <c r="Q293" s="7"/>
      <c r="R293" s="7"/>
      <c r="S293" s="7"/>
      <c r="T293" s="7"/>
      <c r="U293" s="7" t="s">
        <v>2288</v>
      </c>
      <c r="V293" s="7" t="s">
        <v>2289</v>
      </c>
      <c r="W293" s="7" t="str">
        <f>Preencher!$B$3&amp;U293&amp;V293&amp;A293&amp;$W$6</f>
        <v>JARINU-FRGMQ.TUNEL DE CG (CONTINUO)</v>
      </c>
      <c r="X293" s="7" t="str">
        <f>Preencher!$B$3&amp;U293&amp;V293&amp;A293&amp;$X$6</f>
        <v>JARINU-FRGMQ.TUNEL DE CG (CONTINUO) (1)</v>
      </c>
      <c r="Y293" s="7" t="str">
        <f>Preencher!$B$3&amp;U293&amp;V293&amp;A293&amp;$Y$6</f>
        <v>JARINU-FRGMQ.TUNEL DE CG (CONTINUO) (2)</v>
      </c>
      <c r="Z293" s="7" t="str">
        <f>Preencher!$B$3&amp;U293&amp;V293&amp;A293&amp;$Z$6</f>
        <v>JARINU-FRGMQ.TUNEL DE CG (CONTINUO) (3)</v>
      </c>
      <c r="AA293" s="7" t="str">
        <f>Preencher!$B$3&amp;U293&amp;V293&amp;A293&amp;$AA$6</f>
        <v>JARINU-FRGMQ.TUNEL DE CG (ESTATICO)</v>
      </c>
      <c r="AB293" s="7" t="str">
        <f>Preencher!$B$3&amp;U293&amp;V293&amp;A293&amp;$AB$6</f>
        <v>JARINU-FRGMQ.TUNEL DE CG (ESTATICO) (1)</v>
      </c>
      <c r="AC293" s="7" t="str">
        <f>Preencher!$B$3&amp;U293&amp;V293&amp;A293&amp;$AC$6</f>
        <v>JARINU-FRGMQ.TUNEL DE CG (ESTATICO) (2)</v>
      </c>
      <c r="AD293" s="327">
        <f>IFERROR(SUMIF('BD Otimix'!A:A,'BD VOLUME'!X293,'BD Otimix'!O:O)+SUMIF('BD Otimix'!A:A,'BD VOLUME'!Y293,'BD Otimix'!O:O)+SUMIF('BD Otimix'!A:A,'BD VOLUME'!Z293,'BD Otimix'!O:O)+SUMIF('BD Otimix'!A:A,'BD VOLUME'!AA293,'BD Otimix'!O:O)+SUMIF('BD Otimix'!A:A,'BD VOLUME'!AB293,'BD Otimix'!O:O)+SUMIF('BD Otimix'!A:A,'BD VOLUME'!AC293,'BD Otimix'!O:O)+SUMIF('BD Otimix'!A:A,'BD VOLUME'!W293,'BD Otimix'!O:O),0)</f>
        <v>0</v>
      </c>
      <c r="AE293" s="327">
        <f t="shared" si="65"/>
        <v>0</v>
      </c>
      <c r="AF293" s="7" t="str">
        <f>Preencher!$B$3&amp;$U$8&amp;$V$8&amp;A293&amp;$AF$6</f>
        <v>JARINU-FRGMQ.GIROFREEZER</v>
      </c>
      <c r="AG293" s="7" t="str">
        <f>Preencher!$B$3&amp;$U$8&amp;$V$8&amp;A293&amp;$AG$6</f>
        <v>JARINU-FRGMQ.GIROFREEZER (1)</v>
      </c>
      <c r="AH293" s="7" t="str">
        <f>Preencher!$B$3&amp;$U$8&amp;$V$8&amp;A293&amp;$AH$6</f>
        <v>JARINU-FRGMQ.GIROFREEZER (2)</v>
      </c>
      <c r="AI293" s="7" t="str">
        <f>Preencher!$B$3&amp;$U$8&amp;$V$8&amp;A293&amp;$AI$6</f>
        <v>JARINU-FRGMQ.GIROFREEZER REV04</v>
      </c>
      <c r="AJ293" s="7" t="str">
        <f>Preencher!$B$3&amp;$U$8&amp;$V$8&amp;A293&amp;$AJ$6</f>
        <v>JARINU-FRGMQ.GIROFREEZER (3)</v>
      </c>
      <c r="AK293" s="327">
        <f>IFERROR(SUMIF('BD Otimix'!A:A,'BD VOLUME'!AG293,'BD Otimix'!O:O)+SUMIF('BD Otimix'!A:A,'BD VOLUME'!AH293,'BD Otimix'!O:O)+SUMIF('BD Otimix'!A:A,'BD VOLUME'!AI293,'BD Otimix'!O:O)+SUMIF('BD Otimix'!A:A,'BD VOLUME'!AJ293,'BD Otimix'!O:O)+SUMIF('BD Otimix'!A:A,'BD VOLUME'!AF293,'BD Otimix'!O:O),0)</f>
        <v>0</v>
      </c>
      <c r="AL293" s="7">
        <f t="shared" si="66"/>
        <v>0</v>
      </c>
    </row>
    <row r="294" spans="1:38">
      <c r="A294" s="324"/>
      <c r="B294" s="324"/>
      <c r="C294" s="5"/>
      <c r="D294" s="5"/>
      <c r="E294" s="5"/>
      <c r="F294" s="132"/>
      <c r="G294" s="131"/>
      <c r="H294" s="6"/>
      <c r="I294" s="7"/>
      <c r="J294" s="130"/>
      <c r="K294" s="327"/>
      <c r="L294" s="324"/>
      <c r="M294" s="324"/>
      <c r="N294" s="7"/>
      <c r="O294" s="7"/>
      <c r="P294" s="7"/>
      <c r="Q294" s="7"/>
      <c r="R294" s="7"/>
      <c r="S294" s="7"/>
      <c r="T294" s="7"/>
      <c r="U294" s="7" t="s">
        <v>2288</v>
      </c>
      <c r="V294" s="7" t="s">
        <v>2289</v>
      </c>
      <c r="W294" s="7" t="str">
        <f>Preencher!$B$3&amp;U294&amp;V294&amp;A294&amp;$W$6</f>
        <v>JARINU-FRGMQ.TUNEL DE CG (CONTINUO)</v>
      </c>
      <c r="X294" s="7" t="str">
        <f>Preencher!$B$3&amp;U294&amp;V294&amp;A294&amp;$X$6</f>
        <v>JARINU-FRGMQ.TUNEL DE CG (CONTINUO) (1)</v>
      </c>
      <c r="Y294" s="7" t="str">
        <f>Preencher!$B$3&amp;U294&amp;V294&amp;A294&amp;$Y$6</f>
        <v>JARINU-FRGMQ.TUNEL DE CG (CONTINUO) (2)</v>
      </c>
      <c r="Z294" s="7" t="str">
        <f>Preencher!$B$3&amp;U294&amp;V294&amp;A294&amp;$Z$6</f>
        <v>JARINU-FRGMQ.TUNEL DE CG (CONTINUO) (3)</v>
      </c>
      <c r="AA294" s="7" t="str">
        <f>Preencher!$B$3&amp;U294&amp;V294&amp;A294&amp;$AA$6</f>
        <v>JARINU-FRGMQ.TUNEL DE CG (ESTATICO)</v>
      </c>
      <c r="AB294" s="7" t="str">
        <f>Preencher!$B$3&amp;U294&amp;V294&amp;A294&amp;$AB$6</f>
        <v>JARINU-FRGMQ.TUNEL DE CG (ESTATICO) (1)</v>
      </c>
      <c r="AC294" s="7" t="str">
        <f>Preencher!$B$3&amp;U294&amp;V294&amp;A294&amp;$AC$6</f>
        <v>JARINU-FRGMQ.TUNEL DE CG (ESTATICO) (2)</v>
      </c>
      <c r="AD294" s="327">
        <f>IFERROR(SUMIF('BD Otimix'!A:A,'BD VOLUME'!X294,'BD Otimix'!O:O)+SUMIF('BD Otimix'!A:A,'BD VOLUME'!Y294,'BD Otimix'!O:O)+SUMIF('BD Otimix'!A:A,'BD VOLUME'!Z294,'BD Otimix'!O:O)+SUMIF('BD Otimix'!A:A,'BD VOLUME'!AA294,'BD Otimix'!O:O)+SUMIF('BD Otimix'!A:A,'BD VOLUME'!AB294,'BD Otimix'!O:O)+SUMIF('BD Otimix'!A:A,'BD VOLUME'!AC294,'BD Otimix'!O:O)+SUMIF('BD Otimix'!A:A,'BD VOLUME'!W294,'BD Otimix'!O:O),0)</f>
        <v>0</v>
      </c>
      <c r="AE294" s="327">
        <f t="shared" si="65"/>
        <v>0</v>
      </c>
      <c r="AF294" s="7" t="str">
        <f>Preencher!$B$3&amp;$U$8&amp;$V$8&amp;A294&amp;$AF$6</f>
        <v>JARINU-FRGMQ.GIROFREEZER</v>
      </c>
      <c r="AG294" s="7" t="str">
        <f>Preencher!$B$3&amp;$U$8&amp;$V$8&amp;A294&amp;$AG$6</f>
        <v>JARINU-FRGMQ.GIROFREEZER (1)</v>
      </c>
      <c r="AH294" s="7" t="str">
        <f>Preencher!$B$3&amp;$U$8&amp;$V$8&amp;A294&amp;$AH$6</f>
        <v>JARINU-FRGMQ.GIROFREEZER (2)</v>
      </c>
      <c r="AI294" s="7" t="str">
        <f>Preencher!$B$3&amp;$U$8&amp;$V$8&amp;A294&amp;$AI$6</f>
        <v>JARINU-FRGMQ.GIROFREEZER REV04</v>
      </c>
      <c r="AJ294" s="7" t="str">
        <f>Preencher!$B$3&amp;$U$8&amp;$V$8&amp;A294&amp;$AJ$6</f>
        <v>JARINU-FRGMQ.GIROFREEZER (3)</v>
      </c>
      <c r="AK294" s="327">
        <f>IFERROR(SUMIF('BD Otimix'!A:A,'BD VOLUME'!AG294,'BD Otimix'!O:O)+SUMIF('BD Otimix'!A:A,'BD VOLUME'!AH294,'BD Otimix'!O:O)+SUMIF('BD Otimix'!A:A,'BD VOLUME'!AI294,'BD Otimix'!O:O)+SUMIF('BD Otimix'!A:A,'BD VOLUME'!AJ294,'BD Otimix'!O:O)+SUMIF('BD Otimix'!A:A,'BD VOLUME'!AF294,'BD Otimix'!O:O),0)</f>
        <v>0</v>
      </c>
      <c r="AL294" s="7">
        <f t="shared" si="66"/>
        <v>0</v>
      </c>
    </row>
    <row r="295" spans="1:38">
      <c r="A295" s="324"/>
      <c r="B295" s="324"/>
      <c r="C295" s="5"/>
      <c r="D295" s="5"/>
      <c r="E295" s="5"/>
      <c r="F295" s="132"/>
      <c r="G295" s="131"/>
      <c r="H295" s="6"/>
      <c r="I295" s="7"/>
      <c r="J295" s="130"/>
      <c r="K295" s="327"/>
      <c r="L295" s="324"/>
      <c r="M295" s="324"/>
      <c r="N295" s="7"/>
      <c r="O295" s="7"/>
      <c r="P295" s="7"/>
      <c r="Q295" s="7"/>
      <c r="R295" s="7"/>
      <c r="S295" s="7"/>
      <c r="T295" s="7"/>
      <c r="U295" s="7" t="s">
        <v>2288</v>
      </c>
      <c r="V295" s="7" t="s">
        <v>2289</v>
      </c>
      <c r="W295" s="7" t="str">
        <f>Preencher!$B$3&amp;U295&amp;V295&amp;A295&amp;$W$6</f>
        <v>JARINU-FRGMQ.TUNEL DE CG (CONTINUO)</v>
      </c>
      <c r="X295" s="7" t="str">
        <f>Preencher!$B$3&amp;U295&amp;V295&amp;A295&amp;$X$6</f>
        <v>JARINU-FRGMQ.TUNEL DE CG (CONTINUO) (1)</v>
      </c>
      <c r="Y295" s="7" t="str">
        <f>Preencher!$B$3&amp;U295&amp;V295&amp;A295&amp;$Y$6</f>
        <v>JARINU-FRGMQ.TUNEL DE CG (CONTINUO) (2)</v>
      </c>
      <c r="Z295" s="7" t="str">
        <f>Preencher!$B$3&amp;U295&amp;V295&amp;A295&amp;$Z$6</f>
        <v>JARINU-FRGMQ.TUNEL DE CG (CONTINUO) (3)</v>
      </c>
      <c r="AA295" s="7" t="str">
        <f>Preencher!$B$3&amp;U295&amp;V295&amp;A295&amp;$AA$6</f>
        <v>JARINU-FRGMQ.TUNEL DE CG (ESTATICO)</v>
      </c>
      <c r="AB295" s="7" t="str">
        <f>Preencher!$B$3&amp;U295&amp;V295&amp;A295&amp;$AB$6</f>
        <v>JARINU-FRGMQ.TUNEL DE CG (ESTATICO) (1)</v>
      </c>
      <c r="AC295" s="7" t="str">
        <f>Preencher!$B$3&amp;U295&amp;V295&amp;A295&amp;$AC$6</f>
        <v>JARINU-FRGMQ.TUNEL DE CG (ESTATICO) (2)</v>
      </c>
      <c r="AD295" s="327">
        <f>IFERROR(SUMIF('BD Otimix'!A:A,'BD VOLUME'!X295,'BD Otimix'!O:O)+SUMIF('BD Otimix'!A:A,'BD VOLUME'!Y295,'BD Otimix'!O:O)+SUMIF('BD Otimix'!A:A,'BD VOLUME'!Z295,'BD Otimix'!O:O)+SUMIF('BD Otimix'!A:A,'BD VOLUME'!AA295,'BD Otimix'!O:O)+SUMIF('BD Otimix'!A:A,'BD VOLUME'!AB295,'BD Otimix'!O:O)+SUMIF('BD Otimix'!A:A,'BD VOLUME'!AC295,'BD Otimix'!O:O)+SUMIF('BD Otimix'!A:A,'BD VOLUME'!W295,'BD Otimix'!O:O),0)</f>
        <v>0</v>
      </c>
      <c r="AE295" s="327">
        <f t="shared" si="65"/>
        <v>0</v>
      </c>
      <c r="AF295" s="7" t="str">
        <f>Preencher!$B$3&amp;$U$8&amp;$V$8&amp;A295&amp;$AF$6</f>
        <v>JARINU-FRGMQ.GIROFREEZER</v>
      </c>
      <c r="AG295" s="7" t="str">
        <f>Preencher!$B$3&amp;$U$8&amp;$V$8&amp;A295&amp;$AG$6</f>
        <v>JARINU-FRGMQ.GIROFREEZER (1)</v>
      </c>
      <c r="AH295" s="7" t="str">
        <f>Preencher!$B$3&amp;$U$8&amp;$V$8&amp;A295&amp;$AH$6</f>
        <v>JARINU-FRGMQ.GIROFREEZER (2)</v>
      </c>
      <c r="AI295" s="7" t="str">
        <f>Preencher!$B$3&amp;$U$8&amp;$V$8&amp;A295&amp;$AI$6</f>
        <v>JARINU-FRGMQ.GIROFREEZER REV04</v>
      </c>
      <c r="AJ295" s="7" t="str">
        <f>Preencher!$B$3&amp;$U$8&amp;$V$8&amp;A295&amp;$AJ$6</f>
        <v>JARINU-FRGMQ.GIROFREEZER (3)</v>
      </c>
      <c r="AK295" s="327">
        <f>IFERROR(SUMIF('BD Otimix'!A:A,'BD VOLUME'!AG295,'BD Otimix'!O:O)+SUMIF('BD Otimix'!A:A,'BD VOLUME'!AH295,'BD Otimix'!O:O)+SUMIF('BD Otimix'!A:A,'BD VOLUME'!AI295,'BD Otimix'!O:O)+SUMIF('BD Otimix'!A:A,'BD VOLUME'!AJ295,'BD Otimix'!O:O)+SUMIF('BD Otimix'!A:A,'BD VOLUME'!AF295,'BD Otimix'!O:O),0)</f>
        <v>0</v>
      </c>
      <c r="AL295" s="7">
        <f t="shared" si="66"/>
        <v>0</v>
      </c>
    </row>
    <row r="296" spans="1:38">
      <c r="A296" s="324"/>
      <c r="B296" s="324"/>
      <c r="C296" s="5"/>
      <c r="D296" s="5"/>
      <c r="E296" s="5"/>
      <c r="F296" s="132"/>
      <c r="G296" s="131"/>
      <c r="H296" s="6"/>
      <c r="I296" s="7"/>
      <c r="J296" s="130"/>
      <c r="K296" s="327"/>
      <c r="L296" s="324"/>
      <c r="M296" s="324"/>
      <c r="N296" s="7"/>
      <c r="O296" s="7"/>
      <c r="P296" s="7"/>
      <c r="Q296" s="7"/>
      <c r="R296" s="7"/>
      <c r="S296" s="7"/>
      <c r="T296" s="7"/>
      <c r="U296" s="7" t="s">
        <v>2288</v>
      </c>
      <c r="V296" s="7" t="s">
        <v>2289</v>
      </c>
      <c r="W296" s="7" t="str">
        <f>Preencher!$B$3&amp;U296&amp;V296&amp;A296&amp;$W$6</f>
        <v>JARINU-FRGMQ.TUNEL DE CG (CONTINUO)</v>
      </c>
      <c r="X296" s="7" t="str">
        <f>Preencher!$B$3&amp;U296&amp;V296&amp;A296&amp;$X$6</f>
        <v>JARINU-FRGMQ.TUNEL DE CG (CONTINUO) (1)</v>
      </c>
      <c r="Y296" s="7" t="str">
        <f>Preencher!$B$3&amp;U296&amp;V296&amp;A296&amp;$Y$6</f>
        <v>JARINU-FRGMQ.TUNEL DE CG (CONTINUO) (2)</v>
      </c>
      <c r="Z296" s="7" t="str">
        <f>Preencher!$B$3&amp;U296&amp;V296&amp;A296&amp;$Z$6</f>
        <v>JARINU-FRGMQ.TUNEL DE CG (CONTINUO) (3)</v>
      </c>
      <c r="AA296" s="7" t="str">
        <f>Preencher!$B$3&amp;U296&amp;V296&amp;A296&amp;$AA$6</f>
        <v>JARINU-FRGMQ.TUNEL DE CG (ESTATICO)</v>
      </c>
      <c r="AB296" s="7" t="str">
        <f>Preencher!$B$3&amp;U296&amp;V296&amp;A296&amp;$AB$6</f>
        <v>JARINU-FRGMQ.TUNEL DE CG (ESTATICO) (1)</v>
      </c>
      <c r="AC296" s="7" t="str">
        <f>Preencher!$B$3&amp;U296&amp;V296&amp;A296&amp;$AC$6</f>
        <v>JARINU-FRGMQ.TUNEL DE CG (ESTATICO) (2)</v>
      </c>
      <c r="AD296" s="327">
        <f>IFERROR(SUMIF('BD Otimix'!A:A,'BD VOLUME'!X296,'BD Otimix'!O:O)+SUMIF('BD Otimix'!A:A,'BD VOLUME'!Y296,'BD Otimix'!O:O)+SUMIF('BD Otimix'!A:A,'BD VOLUME'!Z296,'BD Otimix'!O:O)+SUMIF('BD Otimix'!A:A,'BD VOLUME'!AA296,'BD Otimix'!O:O)+SUMIF('BD Otimix'!A:A,'BD VOLUME'!AB296,'BD Otimix'!O:O)+SUMIF('BD Otimix'!A:A,'BD VOLUME'!AC296,'BD Otimix'!O:O)+SUMIF('BD Otimix'!A:A,'BD VOLUME'!W296,'BD Otimix'!O:O),0)</f>
        <v>0</v>
      </c>
      <c r="AE296" s="327">
        <f t="shared" si="65"/>
        <v>0</v>
      </c>
      <c r="AF296" s="7" t="str">
        <f>Preencher!$B$3&amp;$U$8&amp;$V$8&amp;A296&amp;$AF$6</f>
        <v>JARINU-FRGMQ.GIROFREEZER</v>
      </c>
      <c r="AG296" s="7" t="str">
        <f>Preencher!$B$3&amp;$U$8&amp;$V$8&amp;A296&amp;$AG$6</f>
        <v>JARINU-FRGMQ.GIROFREEZER (1)</v>
      </c>
      <c r="AH296" s="7" t="str">
        <f>Preencher!$B$3&amp;$U$8&amp;$V$8&amp;A296&amp;$AH$6</f>
        <v>JARINU-FRGMQ.GIROFREEZER (2)</v>
      </c>
      <c r="AI296" s="7" t="str">
        <f>Preencher!$B$3&amp;$U$8&amp;$V$8&amp;A296&amp;$AI$6</f>
        <v>JARINU-FRGMQ.GIROFREEZER REV04</v>
      </c>
      <c r="AJ296" s="7" t="str">
        <f>Preencher!$B$3&amp;$U$8&amp;$V$8&amp;A296&amp;$AJ$6</f>
        <v>JARINU-FRGMQ.GIROFREEZER (3)</v>
      </c>
      <c r="AK296" s="327">
        <f>IFERROR(SUMIF('BD Otimix'!A:A,'BD VOLUME'!AG296,'BD Otimix'!O:O)+SUMIF('BD Otimix'!A:A,'BD VOLUME'!AH296,'BD Otimix'!O:O)+SUMIF('BD Otimix'!A:A,'BD VOLUME'!AI296,'BD Otimix'!O:O)+SUMIF('BD Otimix'!A:A,'BD VOLUME'!AJ296,'BD Otimix'!O:O)+SUMIF('BD Otimix'!A:A,'BD VOLUME'!AF296,'BD Otimix'!O:O),0)</f>
        <v>0</v>
      </c>
      <c r="AL296" s="7">
        <f t="shared" si="66"/>
        <v>0</v>
      </c>
    </row>
    <row r="297" spans="1:38">
      <c r="A297" s="324"/>
      <c r="B297" s="324"/>
      <c r="C297" s="5"/>
      <c r="D297" s="5"/>
      <c r="E297" s="5"/>
      <c r="F297" s="132"/>
      <c r="G297" s="131"/>
      <c r="H297" s="6"/>
      <c r="I297" s="7"/>
      <c r="J297" s="130"/>
      <c r="K297" s="327"/>
      <c r="L297" s="324"/>
      <c r="M297" s="324"/>
      <c r="N297" s="7"/>
      <c r="O297" s="7"/>
      <c r="P297" s="7"/>
      <c r="Q297" s="7"/>
      <c r="R297" s="7"/>
      <c r="S297" s="7"/>
      <c r="T297" s="7"/>
      <c r="U297" s="7" t="s">
        <v>2288</v>
      </c>
      <c r="V297" s="7" t="s">
        <v>2289</v>
      </c>
      <c r="W297" s="7" t="str">
        <f>Preencher!$B$3&amp;U297&amp;V297&amp;A297&amp;$W$6</f>
        <v>JARINU-FRGMQ.TUNEL DE CG (CONTINUO)</v>
      </c>
      <c r="X297" s="7" t="str">
        <f>Preencher!$B$3&amp;U297&amp;V297&amp;A297&amp;$X$6</f>
        <v>JARINU-FRGMQ.TUNEL DE CG (CONTINUO) (1)</v>
      </c>
      <c r="Y297" s="7" t="str">
        <f>Preencher!$B$3&amp;U297&amp;V297&amp;A297&amp;$Y$6</f>
        <v>JARINU-FRGMQ.TUNEL DE CG (CONTINUO) (2)</v>
      </c>
      <c r="Z297" s="7" t="str">
        <f>Preencher!$B$3&amp;U297&amp;V297&amp;A297&amp;$Z$6</f>
        <v>JARINU-FRGMQ.TUNEL DE CG (CONTINUO) (3)</v>
      </c>
      <c r="AA297" s="7" t="str">
        <f>Preencher!$B$3&amp;U297&amp;V297&amp;A297&amp;$AA$6</f>
        <v>JARINU-FRGMQ.TUNEL DE CG (ESTATICO)</v>
      </c>
      <c r="AB297" s="7" t="str">
        <f>Preencher!$B$3&amp;U297&amp;V297&amp;A297&amp;$AB$6</f>
        <v>JARINU-FRGMQ.TUNEL DE CG (ESTATICO) (1)</v>
      </c>
      <c r="AC297" s="7" t="str">
        <f>Preencher!$B$3&amp;U297&amp;V297&amp;A297&amp;$AC$6</f>
        <v>JARINU-FRGMQ.TUNEL DE CG (ESTATICO) (2)</v>
      </c>
      <c r="AD297" s="327">
        <f>IFERROR(SUMIF('BD Otimix'!A:A,'BD VOLUME'!X297,'BD Otimix'!O:O)+SUMIF('BD Otimix'!A:A,'BD VOLUME'!Y297,'BD Otimix'!O:O)+SUMIF('BD Otimix'!A:A,'BD VOLUME'!Z297,'BD Otimix'!O:O)+SUMIF('BD Otimix'!A:A,'BD VOLUME'!AA297,'BD Otimix'!O:O)+SUMIF('BD Otimix'!A:A,'BD VOLUME'!AB297,'BD Otimix'!O:O)+SUMIF('BD Otimix'!A:A,'BD VOLUME'!AC297,'BD Otimix'!O:O)+SUMIF('BD Otimix'!A:A,'BD VOLUME'!W297,'BD Otimix'!O:O),0)</f>
        <v>0</v>
      </c>
      <c r="AE297" s="327">
        <f t="shared" si="65"/>
        <v>0</v>
      </c>
      <c r="AF297" s="7" t="str">
        <f>Preencher!$B$3&amp;$U$8&amp;$V$8&amp;A297&amp;$AF$6</f>
        <v>JARINU-FRGMQ.GIROFREEZER</v>
      </c>
      <c r="AG297" s="7" t="str">
        <f>Preencher!$B$3&amp;$U$8&amp;$V$8&amp;A297&amp;$AG$6</f>
        <v>JARINU-FRGMQ.GIROFREEZER (1)</v>
      </c>
      <c r="AH297" s="7" t="str">
        <f>Preencher!$B$3&amp;$U$8&amp;$V$8&amp;A297&amp;$AH$6</f>
        <v>JARINU-FRGMQ.GIROFREEZER (2)</v>
      </c>
      <c r="AI297" s="7" t="str">
        <f>Preencher!$B$3&amp;$U$8&amp;$V$8&amp;A297&amp;$AI$6</f>
        <v>JARINU-FRGMQ.GIROFREEZER REV04</v>
      </c>
      <c r="AJ297" s="7" t="str">
        <f>Preencher!$B$3&amp;$U$8&amp;$V$8&amp;A297&amp;$AJ$6</f>
        <v>JARINU-FRGMQ.GIROFREEZER (3)</v>
      </c>
      <c r="AK297" s="327">
        <f>IFERROR(SUMIF('BD Otimix'!A:A,'BD VOLUME'!AG297,'BD Otimix'!O:O)+SUMIF('BD Otimix'!A:A,'BD VOLUME'!AH297,'BD Otimix'!O:O)+SUMIF('BD Otimix'!A:A,'BD VOLUME'!AI297,'BD Otimix'!O:O)+SUMIF('BD Otimix'!A:A,'BD VOLUME'!AJ297,'BD Otimix'!O:O)+SUMIF('BD Otimix'!A:A,'BD VOLUME'!AF297,'BD Otimix'!O:O),0)</f>
        <v>0</v>
      </c>
      <c r="AL297" s="7">
        <f t="shared" si="66"/>
        <v>0</v>
      </c>
    </row>
    <row r="298" spans="1:38">
      <c r="A298" s="324"/>
      <c r="B298" s="324"/>
      <c r="C298" s="5"/>
      <c r="D298" s="5"/>
      <c r="E298" s="5"/>
      <c r="F298" s="132"/>
      <c r="G298" s="131"/>
      <c r="H298" s="6"/>
      <c r="I298" s="7"/>
      <c r="J298" s="130"/>
      <c r="K298" s="327"/>
      <c r="L298" s="324"/>
      <c r="M298" s="324"/>
      <c r="N298" s="7"/>
      <c r="O298" s="7"/>
      <c r="P298" s="7"/>
      <c r="Q298" s="7"/>
      <c r="R298" s="7"/>
      <c r="S298" s="7"/>
      <c r="T298" s="7"/>
      <c r="U298" s="7" t="s">
        <v>2288</v>
      </c>
      <c r="V298" s="7" t="s">
        <v>2289</v>
      </c>
      <c r="W298" s="7" t="str">
        <f>Preencher!$B$3&amp;U298&amp;V298&amp;A298&amp;$W$6</f>
        <v>JARINU-FRGMQ.TUNEL DE CG (CONTINUO)</v>
      </c>
      <c r="X298" s="7" t="str">
        <f>Preencher!$B$3&amp;U298&amp;V298&amp;A298&amp;$X$6</f>
        <v>JARINU-FRGMQ.TUNEL DE CG (CONTINUO) (1)</v>
      </c>
      <c r="Y298" s="7" t="str">
        <f>Preencher!$B$3&amp;U298&amp;V298&amp;A298&amp;$Y$6</f>
        <v>JARINU-FRGMQ.TUNEL DE CG (CONTINUO) (2)</v>
      </c>
      <c r="Z298" s="7" t="str">
        <f>Preencher!$B$3&amp;U298&amp;V298&amp;A298&amp;$Z$6</f>
        <v>JARINU-FRGMQ.TUNEL DE CG (CONTINUO) (3)</v>
      </c>
      <c r="AA298" s="7" t="str">
        <f>Preencher!$B$3&amp;U298&amp;V298&amp;A298&amp;$AA$6</f>
        <v>JARINU-FRGMQ.TUNEL DE CG (ESTATICO)</v>
      </c>
      <c r="AB298" s="7" t="str">
        <f>Preencher!$B$3&amp;U298&amp;V298&amp;A298&amp;$AB$6</f>
        <v>JARINU-FRGMQ.TUNEL DE CG (ESTATICO) (1)</v>
      </c>
      <c r="AC298" s="7" t="str">
        <f>Preencher!$B$3&amp;U298&amp;V298&amp;A298&amp;$AC$6</f>
        <v>JARINU-FRGMQ.TUNEL DE CG (ESTATICO) (2)</v>
      </c>
      <c r="AD298" s="327">
        <f>IFERROR(SUMIF('BD Otimix'!A:A,'BD VOLUME'!X298,'BD Otimix'!O:O)+SUMIF('BD Otimix'!A:A,'BD VOLUME'!Y298,'BD Otimix'!O:O)+SUMIF('BD Otimix'!A:A,'BD VOLUME'!Z298,'BD Otimix'!O:O)+SUMIF('BD Otimix'!A:A,'BD VOLUME'!AA298,'BD Otimix'!O:O)+SUMIF('BD Otimix'!A:A,'BD VOLUME'!AB298,'BD Otimix'!O:O)+SUMIF('BD Otimix'!A:A,'BD VOLUME'!AC298,'BD Otimix'!O:O)+SUMIF('BD Otimix'!A:A,'BD VOLUME'!W298,'BD Otimix'!O:O),0)</f>
        <v>0</v>
      </c>
      <c r="AE298" s="327">
        <f t="shared" si="65"/>
        <v>0</v>
      </c>
      <c r="AF298" s="7" t="str">
        <f>Preencher!$B$3&amp;$U$8&amp;$V$8&amp;A298&amp;$AF$6</f>
        <v>JARINU-FRGMQ.GIROFREEZER</v>
      </c>
      <c r="AG298" s="7" t="str">
        <f>Preencher!$B$3&amp;$U$8&amp;$V$8&amp;A298&amp;$AG$6</f>
        <v>JARINU-FRGMQ.GIROFREEZER (1)</v>
      </c>
      <c r="AH298" s="7" t="str">
        <f>Preencher!$B$3&amp;$U$8&amp;$V$8&amp;A298&amp;$AH$6</f>
        <v>JARINU-FRGMQ.GIROFREEZER (2)</v>
      </c>
      <c r="AI298" s="7" t="str">
        <f>Preencher!$B$3&amp;$U$8&amp;$V$8&amp;A298&amp;$AI$6</f>
        <v>JARINU-FRGMQ.GIROFREEZER REV04</v>
      </c>
      <c r="AJ298" s="7" t="str">
        <f>Preencher!$B$3&amp;$U$8&amp;$V$8&amp;A298&amp;$AJ$6</f>
        <v>JARINU-FRGMQ.GIROFREEZER (3)</v>
      </c>
      <c r="AK298" s="327">
        <f>IFERROR(SUMIF('BD Otimix'!A:A,'BD VOLUME'!AG298,'BD Otimix'!O:O)+SUMIF('BD Otimix'!A:A,'BD VOLUME'!AH298,'BD Otimix'!O:O)+SUMIF('BD Otimix'!A:A,'BD VOLUME'!AI298,'BD Otimix'!O:O)+SUMIF('BD Otimix'!A:A,'BD VOLUME'!AJ298,'BD Otimix'!O:O)+SUMIF('BD Otimix'!A:A,'BD VOLUME'!AF298,'BD Otimix'!O:O),0)</f>
        <v>0</v>
      </c>
      <c r="AL298" s="7">
        <f t="shared" si="66"/>
        <v>0</v>
      </c>
    </row>
    <row r="299" spans="1:38">
      <c r="A299" s="324"/>
      <c r="B299" s="324"/>
      <c r="C299" s="5"/>
      <c r="D299" s="5"/>
      <c r="E299" s="5"/>
      <c r="F299" s="132"/>
      <c r="G299" s="131"/>
      <c r="H299" s="6"/>
      <c r="I299" s="7"/>
      <c r="J299" s="130"/>
      <c r="K299" s="327"/>
      <c r="L299" s="324"/>
      <c r="M299" s="324"/>
      <c r="N299" s="7"/>
      <c r="O299" s="7"/>
      <c r="P299" s="7"/>
      <c r="Q299" s="7"/>
      <c r="R299" s="7"/>
      <c r="S299" s="7"/>
      <c r="T299" s="7"/>
      <c r="U299" s="7" t="s">
        <v>2288</v>
      </c>
      <c r="V299" s="7" t="s">
        <v>2289</v>
      </c>
      <c r="W299" s="7" t="str">
        <f>Preencher!$B$3&amp;U299&amp;V299&amp;A299&amp;$W$6</f>
        <v>JARINU-FRGMQ.TUNEL DE CG (CONTINUO)</v>
      </c>
      <c r="X299" s="7" t="str">
        <f>Preencher!$B$3&amp;U299&amp;V299&amp;A299&amp;$X$6</f>
        <v>JARINU-FRGMQ.TUNEL DE CG (CONTINUO) (1)</v>
      </c>
      <c r="Y299" s="7" t="str">
        <f>Preencher!$B$3&amp;U299&amp;V299&amp;A299&amp;$Y$6</f>
        <v>JARINU-FRGMQ.TUNEL DE CG (CONTINUO) (2)</v>
      </c>
      <c r="Z299" s="7" t="str">
        <f>Preencher!$B$3&amp;U299&amp;V299&amp;A299&amp;$Z$6</f>
        <v>JARINU-FRGMQ.TUNEL DE CG (CONTINUO) (3)</v>
      </c>
      <c r="AA299" s="7" t="str">
        <f>Preencher!$B$3&amp;U299&amp;V299&amp;A299&amp;$AA$6</f>
        <v>JARINU-FRGMQ.TUNEL DE CG (ESTATICO)</v>
      </c>
      <c r="AB299" s="7" t="str">
        <f>Preencher!$B$3&amp;U299&amp;V299&amp;A299&amp;$AB$6</f>
        <v>JARINU-FRGMQ.TUNEL DE CG (ESTATICO) (1)</v>
      </c>
      <c r="AC299" s="7" t="str">
        <f>Preencher!$B$3&amp;U299&amp;V299&amp;A299&amp;$AC$6</f>
        <v>JARINU-FRGMQ.TUNEL DE CG (ESTATICO) (2)</v>
      </c>
      <c r="AD299" s="327">
        <f>IFERROR(SUMIF('BD Otimix'!A:A,'BD VOLUME'!X299,'BD Otimix'!O:O)+SUMIF('BD Otimix'!A:A,'BD VOLUME'!Y299,'BD Otimix'!O:O)+SUMIF('BD Otimix'!A:A,'BD VOLUME'!Z299,'BD Otimix'!O:O)+SUMIF('BD Otimix'!A:A,'BD VOLUME'!AA299,'BD Otimix'!O:O)+SUMIF('BD Otimix'!A:A,'BD VOLUME'!AB299,'BD Otimix'!O:O)+SUMIF('BD Otimix'!A:A,'BD VOLUME'!AC299,'BD Otimix'!O:O)+SUMIF('BD Otimix'!A:A,'BD VOLUME'!W299,'BD Otimix'!O:O),0)</f>
        <v>0</v>
      </c>
      <c r="AE299" s="327">
        <f t="shared" si="65"/>
        <v>0</v>
      </c>
      <c r="AF299" s="7" t="str">
        <f>Preencher!$B$3&amp;$U$8&amp;$V$8&amp;A299&amp;$AF$6</f>
        <v>JARINU-FRGMQ.GIROFREEZER</v>
      </c>
      <c r="AG299" s="7" t="str">
        <f>Preencher!$B$3&amp;$U$8&amp;$V$8&amp;A299&amp;$AG$6</f>
        <v>JARINU-FRGMQ.GIROFREEZER (1)</v>
      </c>
      <c r="AH299" s="7" t="str">
        <f>Preencher!$B$3&amp;$U$8&amp;$V$8&amp;A299&amp;$AH$6</f>
        <v>JARINU-FRGMQ.GIROFREEZER (2)</v>
      </c>
      <c r="AI299" s="7" t="str">
        <f>Preencher!$B$3&amp;$U$8&amp;$V$8&amp;A299&amp;$AI$6</f>
        <v>JARINU-FRGMQ.GIROFREEZER REV04</v>
      </c>
      <c r="AJ299" s="7" t="str">
        <f>Preencher!$B$3&amp;$U$8&amp;$V$8&amp;A299&amp;$AJ$6</f>
        <v>JARINU-FRGMQ.GIROFREEZER (3)</v>
      </c>
      <c r="AK299" s="327">
        <f>IFERROR(SUMIF('BD Otimix'!A:A,'BD VOLUME'!AG299,'BD Otimix'!O:O)+SUMIF('BD Otimix'!A:A,'BD VOLUME'!AH299,'BD Otimix'!O:O)+SUMIF('BD Otimix'!A:A,'BD VOLUME'!AI299,'BD Otimix'!O:O)+SUMIF('BD Otimix'!A:A,'BD VOLUME'!AJ299,'BD Otimix'!O:O)+SUMIF('BD Otimix'!A:A,'BD VOLUME'!AF299,'BD Otimix'!O:O),0)</f>
        <v>0</v>
      </c>
      <c r="AL299" s="7">
        <f t="shared" si="66"/>
        <v>0</v>
      </c>
    </row>
    <row r="300" spans="1:38">
      <c r="A300" s="324"/>
      <c r="B300" s="324"/>
      <c r="C300" s="5"/>
      <c r="D300" s="5"/>
      <c r="E300" s="5"/>
      <c r="F300" s="132"/>
      <c r="G300" s="131"/>
      <c r="H300" s="6"/>
      <c r="I300" s="7"/>
      <c r="J300" s="130"/>
      <c r="K300" s="327"/>
      <c r="L300" s="324"/>
      <c r="M300" s="324"/>
      <c r="N300" s="7"/>
      <c r="O300" s="7"/>
      <c r="P300" s="7"/>
      <c r="Q300" s="7"/>
      <c r="R300" s="7"/>
      <c r="S300" s="7"/>
      <c r="T300" s="7"/>
      <c r="U300" s="7" t="s">
        <v>2288</v>
      </c>
      <c r="V300" s="7" t="s">
        <v>2289</v>
      </c>
      <c r="W300" s="7" t="str">
        <f>Preencher!$B$3&amp;U300&amp;V300&amp;A300&amp;$W$6</f>
        <v>JARINU-FRGMQ.TUNEL DE CG (CONTINUO)</v>
      </c>
      <c r="X300" s="7" t="str">
        <f>Preencher!$B$3&amp;U300&amp;V300&amp;A300&amp;$X$6</f>
        <v>JARINU-FRGMQ.TUNEL DE CG (CONTINUO) (1)</v>
      </c>
      <c r="Y300" s="7" t="str">
        <f>Preencher!$B$3&amp;U300&amp;V300&amp;A300&amp;$Y$6</f>
        <v>JARINU-FRGMQ.TUNEL DE CG (CONTINUO) (2)</v>
      </c>
      <c r="Z300" s="7" t="str">
        <f>Preencher!$B$3&amp;U300&amp;V300&amp;A300&amp;$Z$6</f>
        <v>JARINU-FRGMQ.TUNEL DE CG (CONTINUO) (3)</v>
      </c>
      <c r="AA300" s="7" t="str">
        <f>Preencher!$B$3&amp;U300&amp;V300&amp;A300&amp;$AA$6</f>
        <v>JARINU-FRGMQ.TUNEL DE CG (ESTATICO)</v>
      </c>
      <c r="AB300" s="7" t="str">
        <f>Preencher!$B$3&amp;U300&amp;V300&amp;A300&amp;$AB$6</f>
        <v>JARINU-FRGMQ.TUNEL DE CG (ESTATICO) (1)</v>
      </c>
      <c r="AC300" s="7" t="str">
        <f>Preencher!$B$3&amp;U300&amp;V300&amp;A300&amp;$AC$6</f>
        <v>JARINU-FRGMQ.TUNEL DE CG (ESTATICO) (2)</v>
      </c>
      <c r="AD300" s="327">
        <f>IFERROR(SUMIF('BD Otimix'!A:A,'BD VOLUME'!X300,'BD Otimix'!O:O)+SUMIF('BD Otimix'!A:A,'BD VOLUME'!Y300,'BD Otimix'!O:O)+SUMIF('BD Otimix'!A:A,'BD VOLUME'!Z300,'BD Otimix'!O:O)+SUMIF('BD Otimix'!A:A,'BD VOLUME'!AA300,'BD Otimix'!O:O)+SUMIF('BD Otimix'!A:A,'BD VOLUME'!AB300,'BD Otimix'!O:O)+SUMIF('BD Otimix'!A:A,'BD VOLUME'!AC300,'BD Otimix'!O:O)+SUMIF('BD Otimix'!A:A,'BD VOLUME'!W300,'BD Otimix'!O:O),0)</f>
        <v>0</v>
      </c>
      <c r="AE300" s="327">
        <f t="shared" si="65"/>
        <v>0</v>
      </c>
      <c r="AF300" s="7" t="str">
        <f>Preencher!$B$3&amp;$U$8&amp;$V$8&amp;A300&amp;$AF$6</f>
        <v>JARINU-FRGMQ.GIROFREEZER</v>
      </c>
      <c r="AG300" s="7" t="str">
        <f>Preencher!$B$3&amp;$U$8&amp;$V$8&amp;A300&amp;$AG$6</f>
        <v>JARINU-FRGMQ.GIROFREEZER (1)</v>
      </c>
      <c r="AH300" s="7" t="str">
        <f>Preencher!$B$3&amp;$U$8&amp;$V$8&amp;A300&amp;$AH$6</f>
        <v>JARINU-FRGMQ.GIROFREEZER (2)</v>
      </c>
      <c r="AI300" s="7" t="str">
        <f>Preencher!$B$3&amp;$U$8&amp;$V$8&amp;A300&amp;$AI$6</f>
        <v>JARINU-FRGMQ.GIROFREEZER REV04</v>
      </c>
      <c r="AJ300" s="7" t="str">
        <f>Preencher!$B$3&amp;$U$8&amp;$V$8&amp;A300&amp;$AJ$6</f>
        <v>JARINU-FRGMQ.GIROFREEZER (3)</v>
      </c>
      <c r="AK300" s="327">
        <f>IFERROR(SUMIF('BD Otimix'!A:A,'BD VOLUME'!AG300,'BD Otimix'!O:O)+SUMIF('BD Otimix'!A:A,'BD VOLUME'!AH300,'BD Otimix'!O:O)+SUMIF('BD Otimix'!A:A,'BD VOLUME'!AI300,'BD Otimix'!O:O)+SUMIF('BD Otimix'!A:A,'BD VOLUME'!AJ300,'BD Otimix'!O:O)+SUMIF('BD Otimix'!A:A,'BD VOLUME'!AF300,'BD Otimix'!O:O),0)</f>
        <v>0</v>
      </c>
      <c r="AL300" s="7">
        <f t="shared" si="66"/>
        <v>0</v>
      </c>
    </row>
    <row r="301" spans="1:38">
      <c r="A301" s="324"/>
      <c r="B301" s="324"/>
      <c r="C301" s="5"/>
      <c r="D301" s="5"/>
      <c r="E301" s="5"/>
      <c r="F301" s="132"/>
      <c r="G301" s="131"/>
      <c r="H301" s="6"/>
      <c r="I301" s="7"/>
      <c r="J301" s="130"/>
      <c r="K301" s="327"/>
      <c r="L301" s="324"/>
      <c r="M301" s="324"/>
      <c r="N301" s="7"/>
      <c r="O301" s="7"/>
      <c r="P301" s="7"/>
      <c r="Q301" s="7"/>
      <c r="R301" s="7"/>
      <c r="S301" s="7"/>
      <c r="T301" s="7"/>
      <c r="U301" s="7" t="s">
        <v>2288</v>
      </c>
      <c r="V301" s="7" t="s">
        <v>2289</v>
      </c>
      <c r="W301" s="7" t="str">
        <f>Preencher!$B$3&amp;U301&amp;V301&amp;A301&amp;$W$6</f>
        <v>JARINU-FRGMQ.TUNEL DE CG (CONTINUO)</v>
      </c>
      <c r="X301" s="7" t="str">
        <f>Preencher!$B$3&amp;U301&amp;V301&amp;A301&amp;$X$6</f>
        <v>JARINU-FRGMQ.TUNEL DE CG (CONTINUO) (1)</v>
      </c>
      <c r="Y301" s="7" t="str">
        <f>Preencher!$B$3&amp;U301&amp;V301&amp;A301&amp;$Y$6</f>
        <v>JARINU-FRGMQ.TUNEL DE CG (CONTINUO) (2)</v>
      </c>
      <c r="Z301" s="7" t="str">
        <f>Preencher!$B$3&amp;U301&amp;V301&amp;A301&amp;$Z$6</f>
        <v>JARINU-FRGMQ.TUNEL DE CG (CONTINUO) (3)</v>
      </c>
      <c r="AA301" s="7" t="str">
        <f>Preencher!$B$3&amp;U301&amp;V301&amp;A301&amp;$AA$6</f>
        <v>JARINU-FRGMQ.TUNEL DE CG (ESTATICO)</v>
      </c>
      <c r="AB301" s="7" t="str">
        <f>Preencher!$B$3&amp;U301&amp;V301&amp;A301&amp;$AB$6</f>
        <v>JARINU-FRGMQ.TUNEL DE CG (ESTATICO) (1)</v>
      </c>
      <c r="AC301" s="7" t="str">
        <f>Preencher!$B$3&amp;U301&amp;V301&amp;A301&amp;$AC$6</f>
        <v>JARINU-FRGMQ.TUNEL DE CG (ESTATICO) (2)</v>
      </c>
      <c r="AD301" s="327">
        <f>IFERROR(SUMIF('BD Otimix'!A:A,'BD VOLUME'!X301,'BD Otimix'!O:O)+SUMIF('BD Otimix'!A:A,'BD VOLUME'!Y301,'BD Otimix'!O:O)+SUMIF('BD Otimix'!A:A,'BD VOLUME'!Z301,'BD Otimix'!O:O)+SUMIF('BD Otimix'!A:A,'BD VOLUME'!AA301,'BD Otimix'!O:O)+SUMIF('BD Otimix'!A:A,'BD VOLUME'!AB301,'BD Otimix'!O:O)+SUMIF('BD Otimix'!A:A,'BD VOLUME'!AC301,'BD Otimix'!O:O)+SUMIF('BD Otimix'!A:A,'BD VOLUME'!W301,'BD Otimix'!O:O),0)</f>
        <v>0</v>
      </c>
      <c r="AE301" s="327">
        <f t="shared" si="65"/>
        <v>0</v>
      </c>
      <c r="AF301" s="7" t="str">
        <f>Preencher!$B$3&amp;$U$8&amp;$V$8&amp;A301&amp;$AF$6</f>
        <v>JARINU-FRGMQ.GIROFREEZER</v>
      </c>
      <c r="AG301" s="7" t="str">
        <f>Preencher!$B$3&amp;$U$8&amp;$V$8&amp;A301&amp;$AG$6</f>
        <v>JARINU-FRGMQ.GIROFREEZER (1)</v>
      </c>
      <c r="AH301" s="7" t="str">
        <f>Preencher!$B$3&amp;$U$8&amp;$V$8&amp;A301&amp;$AH$6</f>
        <v>JARINU-FRGMQ.GIROFREEZER (2)</v>
      </c>
      <c r="AI301" s="7" t="str">
        <f>Preencher!$B$3&amp;$U$8&amp;$V$8&amp;A301&amp;$AI$6</f>
        <v>JARINU-FRGMQ.GIROFREEZER REV04</v>
      </c>
      <c r="AJ301" s="7" t="str">
        <f>Preencher!$B$3&amp;$U$8&amp;$V$8&amp;A301&amp;$AJ$6</f>
        <v>JARINU-FRGMQ.GIROFREEZER (3)</v>
      </c>
      <c r="AK301" s="327">
        <f>IFERROR(SUMIF('BD Otimix'!A:A,'BD VOLUME'!AG301,'BD Otimix'!O:O)+SUMIF('BD Otimix'!A:A,'BD VOLUME'!AH301,'BD Otimix'!O:O)+SUMIF('BD Otimix'!A:A,'BD VOLUME'!AI301,'BD Otimix'!O:O)+SUMIF('BD Otimix'!A:A,'BD VOLUME'!AJ301,'BD Otimix'!O:O)+SUMIF('BD Otimix'!A:A,'BD VOLUME'!AF301,'BD Otimix'!O:O),0)</f>
        <v>0</v>
      </c>
      <c r="AL301" s="7">
        <f t="shared" si="66"/>
        <v>0</v>
      </c>
    </row>
    <row r="302" spans="1:38">
      <c r="A302" s="249"/>
      <c r="B302" s="249" t="s">
        <v>1022</v>
      </c>
      <c r="C302" s="5"/>
      <c r="D302" s="5"/>
      <c r="E302" s="5"/>
      <c r="F302" s="132"/>
      <c r="G302" s="131"/>
      <c r="H302" s="6"/>
      <c r="I302" s="7"/>
      <c r="J302" s="130"/>
      <c r="K302" s="327"/>
      <c r="L302" s="249"/>
      <c r="M302" s="249"/>
      <c r="N302" s="7"/>
      <c r="O302" s="7"/>
      <c r="P302" s="7"/>
      <c r="Q302" s="7"/>
      <c r="R302" s="7"/>
      <c r="S302" s="7"/>
      <c r="T302" s="7"/>
      <c r="U302" s="7" t="s">
        <v>2288</v>
      </c>
      <c r="V302" s="7" t="s">
        <v>2289</v>
      </c>
      <c r="W302" s="7" t="str">
        <f>Preencher!$B$3&amp;U302&amp;V302&amp;A302&amp;$W$6</f>
        <v>JARINU-FRGMQ.TUNEL DE CG (CONTINUO)</v>
      </c>
      <c r="X302" s="7" t="str">
        <f>Preencher!$B$3&amp;U302&amp;V302&amp;A302&amp;$X$6</f>
        <v>JARINU-FRGMQ.TUNEL DE CG (CONTINUO) (1)</v>
      </c>
      <c r="Y302" s="7" t="str">
        <f>Preencher!$B$3&amp;U302&amp;V302&amp;A302&amp;$Y$6</f>
        <v>JARINU-FRGMQ.TUNEL DE CG (CONTINUO) (2)</v>
      </c>
      <c r="Z302" s="7" t="str">
        <f>Preencher!$B$3&amp;U302&amp;V302&amp;A302&amp;$Z$6</f>
        <v>JARINU-FRGMQ.TUNEL DE CG (CONTINUO) (3)</v>
      </c>
      <c r="AA302" s="7" t="str">
        <f>Preencher!$B$3&amp;U302&amp;V302&amp;A302&amp;$AA$6</f>
        <v>JARINU-FRGMQ.TUNEL DE CG (ESTATICO)</v>
      </c>
      <c r="AB302" s="7" t="str">
        <f>Preencher!$B$3&amp;U302&amp;V302&amp;A302&amp;$AB$6</f>
        <v>JARINU-FRGMQ.TUNEL DE CG (ESTATICO) (1)</v>
      </c>
      <c r="AC302" s="7" t="str">
        <f>Preencher!$B$3&amp;U302&amp;V302&amp;A302&amp;$AC$6</f>
        <v>JARINU-FRGMQ.TUNEL DE CG (ESTATICO) (2)</v>
      </c>
      <c r="AD302" s="327">
        <f>IFERROR(SUMIF('BD Otimix'!A:A,'BD VOLUME'!X302,'BD Otimix'!O:O)+SUMIF('BD Otimix'!A:A,'BD VOLUME'!Y302,'BD Otimix'!O:O)+SUMIF('BD Otimix'!A:A,'BD VOLUME'!Z302,'BD Otimix'!O:O)+SUMIF('BD Otimix'!A:A,'BD VOLUME'!AA302,'BD Otimix'!O:O)+SUMIF('BD Otimix'!A:A,'BD VOLUME'!AB302,'BD Otimix'!O:O)+SUMIF('BD Otimix'!A:A,'BD VOLUME'!AC302,'BD Otimix'!O:O)+SUMIF('BD Otimix'!A:A,'BD VOLUME'!W302,'BD Otimix'!O:O),0)</f>
        <v>0</v>
      </c>
      <c r="AE302" s="327">
        <f t="shared" si="65"/>
        <v>0</v>
      </c>
      <c r="AF302" s="7" t="str">
        <f>Preencher!$B$3&amp;$U$8&amp;$V$8&amp;A302&amp;$AF$6</f>
        <v>JARINU-FRGMQ.GIROFREEZER</v>
      </c>
      <c r="AG302" s="7" t="str">
        <f>Preencher!$B$3&amp;$U$8&amp;$V$8&amp;A302&amp;$AG$6</f>
        <v>JARINU-FRGMQ.GIROFREEZER (1)</v>
      </c>
      <c r="AH302" s="7" t="str">
        <f>Preencher!$B$3&amp;$U$8&amp;$V$8&amp;A302&amp;$AH$6</f>
        <v>JARINU-FRGMQ.GIROFREEZER (2)</v>
      </c>
      <c r="AI302" s="7" t="str">
        <f>Preencher!$B$3&amp;$U$8&amp;$V$8&amp;A302&amp;$AI$6</f>
        <v>JARINU-FRGMQ.GIROFREEZER REV04</v>
      </c>
      <c r="AJ302" s="7" t="str">
        <f>Preencher!$B$3&amp;$U$8&amp;$V$8&amp;A302&amp;$AJ$6</f>
        <v>JARINU-FRGMQ.GIROFREEZER (3)</v>
      </c>
      <c r="AK302" s="327">
        <f>IFERROR(SUMIF('BD Otimix'!A:A,'BD VOLUME'!AG302,'BD Otimix'!O:O)+SUMIF('BD Otimix'!A:A,'BD VOLUME'!AH302,'BD Otimix'!O:O)+SUMIF('BD Otimix'!A:A,'BD VOLUME'!AI302,'BD Otimix'!O:O)+SUMIF('BD Otimix'!A:A,'BD VOLUME'!AJ302,'BD Otimix'!O:O)+SUMIF('BD Otimix'!A:A,'BD VOLUME'!AF302,'BD Otimix'!O:O),0)</f>
        <v>0</v>
      </c>
      <c r="AL302" s="7">
        <f t="shared" si="66"/>
        <v>0</v>
      </c>
    </row>
    <row r="303" spans="1:38">
      <c r="A303" s="249"/>
      <c r="B303" s="249"/>
      <c r="C303" s="5"/>
      <c r="D303" s="5"/>
      <c r="E303" s="5"/>
      <c r="F303" s="132"/>
      <c r="G303" s="131"/>
      <c r="H303" s="6"/>
      <c r="I303" s="7"/>
      <c r="J303" s="130"/>
      <c r="K303" s="249"/>
      <c r="L303" s="249"/>
      <c r="M303" s="249"/>
      <c r="N303" s="7"/>
      <c r="O303" s="7"/>
      <c r="P303" s="7"/>
      <c r="Q303" s="7"/>
      <c r="R303" s="7"/>
      <c r="S303" s="7"/>
      <c r="T303" s="7"/>
      <c r="U303" s="7" t="s">
        <v>2288</v>
      </c>
      <c r="V303" s="7" t="s">
        <v>2289</v>
      </c>
      <c r="W303" s="7" t="str">
        <f>Preencher!$B$3&amp;U303&amp;V303&amp;A303&amp;$W$6</f>
        <v>JARINU-FRGMQ.TUNEL DE CG (CONTINUO)</v>
      </c>
      <c r="X303" s="7" t="str">
        <f>Preencher!$B$3&amp;U303&amp;V303&amp;A303&amp;$X$6</f>
        <v>JARINU-FRGMQ.TUNEL DE CG (CONTINUO) (1)</v>
      </c>
      <c r="Y303" s="7" t="str">
        <f>Preencher!$B$3&amp;U303&amp;V303&amp;A303&amp;$Y$6</f>
        <v>JARINU-FRGMQ.TUNEL DE CG (CONTINUO) (2)</v>
      </c>
      <c r="Z303" s="7" t="str">
        <f>Preencher!$B$3&amp;U303&amp;V303&amp;A303&amp;$Z$6</f>
        <v>JARINU-FRGMQ.TUNEL DE CG (CONTINUO) (3)</v>
      </c>
      <c r="AA303" s="7" t="str">
        <f>Preencher!$B$3&amp;U303&amp;V303&amp;A303&amp;$AA$6</f>
        <v>JARINU-FRGMQ.TUNEL DE CG (ESTATICO)</v>
      </c>
      <c r="AB303" s="7" t="str">
        <f>Preencher!$B$3&amp;U303&amp;V303&amp;A303&amp;$AB$6</f>
        <v>JARINU-FRGMQ.TUNEL DE CG (ESTATICO) (1)</v>
      </c>
      <c r="AC303" s="7" t="str">
        <f>Preencher!$B$3&amp;U303&amp;V303&amp;A303&amp;$AC$6</f>
        <v>JARINU-FRGMQ.TUNEL DE CG (ESTATICO) (2)</v>
      </c>
      <c r="AD303" s="327">
        <f>IFERROR(SUMIF('BD Otimix'!A:A,'BD VOLUME'!X303,'BD Otimix'!O:O)+SUMIF('BD Otimix'!A:A,'BD VOLUME'!Y303,'BD Otimix'!O:O)+SUMIF('BD Otimix'!A:A,'BD VOLUME'!Z303,'BD Otimix'!O:O)+SUMIF('BD Otimix'!A:A,'BD VOLUME'!AA303,'BD Otimix'!O:O)+SUMIF('BD Otimix'!A:A,'BD VOLUME'!AB303,'BD Otimix'!O:O)+SUMIF('BD Otimix'!A:A,'BD VOLUME'!AC303,'BD Otimix'!O:O)+SUMIF('BD Otimix'!A:A,'BD VOLUME'!W303,'BD Otimix'!O:O),0)</f>
        <v>0</v>
      </c>
      <c r="AE303" s="327">
        <f t="shared" si="65"/>
        <v>0</v>
      </c>
      <c r="AF303" s="7" t="str">
        <f>Preencher!$B$3&amp;$U$8&amp;$V$8&amp;A303&amp;$AF$6</f>
        <v>JARINU-FRGMQ.GIROFREEZER</v>
      </c>
      <c r="AG303" s="7" t="str">
        <f>Preencher!$B$3&amp;$U$8&amp;$V$8&amp;A303&amp;$AG$6</f>
        <v>JARINU-FRGMQ.GIROFREEZER (1)</v>
      </c>
      <c r="AH303" s="7" t="str">
        <f>Preencher!$B$3&amp;$U$8&amp;$V$8&amp;A303&amp;$AH$6</f>
        <v>JARINU-FRGMQ.GIROFREEZER (2)</v>
      </c>
      <c r="AI303" s="7" t="str">
        <f>Preencher!$B$3&amp;$U$8&amp;$V$8&amp;A303&amp;$AI$6</f>
        <v>JARINU-FRGMQ.GIROFREEZER REV04</v>
      </c>
      <c r="AJ303" s="7" t="str">
        <f>Preencher!$B$3&amp;$U$8&amp;$V$8&amp;A303&amp;$AJ$6</f>
        <v>JARINU-FRGMQ.GIROFREEZER (3)</v>
      </c>
      <c r="AK303" s="327">
        <f>IFERROR(SUMIF('BD Otimix'!A:A,'BD VOLUME'!AG303,'BD Otimix'!O:O)+SUMIF('BD Otimix'!A:A,'BD VOLUME'!AH303,'BD Otimix'!O:O)+SUMIF('BD Otimix'!A:A,'BD VOLUME'!AI303,'BD Otimix'!O:O)+SUMIF('BD Otimix'!A:A,'BD VOLUME'!AJ303,'BD Otimix'!O:O)+SUMIF('BD Otimix'!A:A,'BD VOLUME'!AF303,'BD Otimix'!O:O),0)</f>
        <v>0</v>
      </c>
      <c r="AL303" s="7">
        <f t="shared" si="66"/>
        <v>0</v>
      </c>
    </row>
    <row r="304" spans="1:38">
      <c r="A304" s="146"/>
      <c r="B304" s="146"/>
      <c r="C304" s="9"/>
      <c r="D304" s="9"/>
      <c r="E304" s="9"/>
      <c r="F304" s="151"/>
      <c r="G304" s="150"/>
      <c r="H304" s="149"/>
      <c r="I304" s="147"/>
      <c r="J304" s="148"/>
      <c r="K304" s="146"/>
      <c r="L304" s="146"/>
      <c r="M304" s="146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</row>
    <row r="305" spans="1:38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</row>
    <row r="306" spans="1:38">
      <c r="A306" s="138" t="s">
        <v>867</v>
      </c>
      <c r="B306" s="386">
        <f>B3+B4-I65-I145</f>
        <v>4699.7389033942563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  <c r="AI306" s="138"/>
      <c r="AJ306" s="138"/>
      <c r="AK306" s="138"/>
      <c r="AL306" s="138"/>
    </row>
    <row r="307" spans="1:38" s="4" customFormat="1" ht="14.25">
      <c r="A307" s="209">
        <v>990391</v>
      </c>
      <c r="B307" s="209"/>
      <c r="C307" s="5" t="s">
        <v>5352</v>
      </c>
      <c r="D307" s="5" t="s">
        <v>867</v>
      </c>
      <c r="E307" s="5" t="s">
        <v>1821</v>
      </c>
      <c r="F307" s="132">
        <f>SUMIF('COLAR PLANO'!$A:$A,A307,'COLAR PLANO'!$D:$D)</f>
        <v>1453.68</v>
      </c>
      <c r="G307" s="131">
        <f t="shared" ref="G307:G324" si="69">IFERROR(F307/($E$3*$C$3),0)</f>
        <v>6.900925706147639</v>
      </c>
      <c r="H307" s="6">
        <v>0.2147</v>
      </c>
      <c r="I307" s="7">
        <f t="shared" ref="I307:I324" si="70">IFERROR(G307/$D$3/H307,0)</f>
        <v>10.714059472360873</v>
      </c>
      <c r="J307" s="130">
        <f t="shared" ref="J307:J314" si="71">IFERROR(I307/$B$306,0)</f>
        <v>2.2797137655078967E-3</v>
      </c>
      <c r="K307" s="122">
        <v>1</v>
      </c>
      <c r="L307" s="122">
        <v>12</v>
      </c>
      <c r="M307" s="122">
        <v>12</v>
      </c>
      <c r="N307" s="311">
        <f t="shared" ref="N307:N314" si="72">IFERROR(G307/K307,"-")</f>
        <v>6.900925706147639</v>
      </c>
      <c r="O307" s="311">
        <f t="shared" ref="O307:O326" si="73">IFERROR(G307/M307,"-")</f>
        <v>0.57507714217896988</v>
      </c>
      <c r="P307" s="311"/>
      <c r="Q307" s="311"/>
      <c r="R307" s="311"/>
      <c r="S307" s="7"/>
      <c r="T307" s="7"/>
      <c r="U307" s="7" t="s">
        <v>2288</v>
      </c>
      <c r="V307" s="7" t="s">
        <v>2289</v>
      </c>
      <c r="W307" s="7" t="str">
        <f>Preencher!$B$3&amp;U307&amp;V307&amp;A307&amp;$W$6</f>
        <v>JARINU-FRG990391MQ.TUNEL DE CG (CONTINUO)</v>
      </c>
      <c r="X307" s="7" t="str">
        <f>Preencher!$B$3&amp;U307&amp;V307&amp;A307&amp;$X$6</f>
        <v>JARINU-FRG990391MQ.TUNEL DE CG (CONTINUO) (1)</v>
      </c>
      <c r="Y307" s="7" t="str">
        <f>Preencher!$B$3&amp;U307&amp;V307&amp;A307&amp;$Y$6</f>
        <v>JARINU-FRG990391MQ.TUNEL DE CG (CONTINUO) (2)</v>
      </c>
      <c r="Z307" s="7" t="str">
        <f>Preencher!$B$3&amp;U307&amp;V307&amp;A307&amp;$Z$6</f>
        <v>JARINU-FRG990391MQ.TUNEL DE CG (CONTINUO) (3)</v>
      </c>
      <c r="AA307" s="7" t="str">
        <f>Preencher!$B$3&amp;U307&amp;V307&amp;A307&amp;$AA$6</f>
        <v>JARINU-FRG990391MQ.TUNEL DE CG (ESTATICO)</v>
      </c>
      <c r="AB307" s="7" t="str">
        <f>Preencher!$B$3&amp;U307&amp;V307&amp;A307&amp;$AB$6</f>
        <v>JARINU-FRG990391MQ.TUNEL DE CG (ESTATICO) (1)</v>
      </c>
      <c r="AC307" s="7" t="str">
        <f>Preencher!$B$3&amp;U307&amp;V307&amp;A307&amp;$AC$6</f>
        <v>JARINU-FRG990391MQ.TUNEL DE CG (ESTATICO) (2)</v>
      </c>
      <c r="AD307" s="327">
        <f>IFERROR(SUMIF('BD Otimix'!A:A,'BD VOLUME'!X307,'BD Otimix'!O:O)+SUMIF('BD Otimix'!A:A,'BD VOLUME'!Y307,'BD Otimix'!O:O)+SUMIF('BD Otimix'!A:A,'BD VOLUME'!Z307,'BD Otimix'!O:O)+SUMIF('BD Otimix'!A:A,'BD VOLUME'!AA307,'BD Otimix'!O:O)+SUMIF('BD Otimix'!A:A,'BD VOLUME'!AB307,'BD Otimix'!O:O)+SUMIF('BD Otimix'!A:A,'BD VOLUME'!AC307,'BD Otimix'!O:O)+SUMIF('BD Otimix'!A:A,'BD VOLUME'!W307,'BD Otimix'!O:O),0)</f>
        <v>0</v>
      </c>
      <c r="AE307" s="327">
        <f t="shared" ref="AE307:AE373" si="74">IFERROR(F307/$E$3/1000/AD307,0)</f>
        <v>0</v>
      </c>
      <c r="AF307" s="7" t="str">
        <f>Preencher!$B$3&amp;$U$8&amp;$V$8&amp;A307&amp;$AF$6</f>
        <v>JARINU-FRG990391MQ.GIROFREEZER</v>
      </c>
      <c r="AG307" s="7" t="str">
        <f>Preencher!$B$3&amp;$U$8&amp;$V$8&amp;A307&amp;$AG$6</f>
        <v>JARINU-FRG990391MQ.GIROFREEZER (1)</v>
      </c>
      <c r="AH307" s="7" t="str">
        <f>Preencher!$B$3&amp;$U$8&amp;$V$8&amp;A307&amp;$AH$6</f>
        <v>JARINU-FRG990391MQ.GIROFREEZER (2)</v>
      </c>
      <c r="AI307" s="7" t="str">
        <f>Preencher!$B$3&amp;$U$8&amp;$V$8&amp;A307&amp;$AI$6</f>
        <v>JARINU-FRG990391MQ.GIROFREEZER REV04</v>
      </c>
      <c r="AJ307" s="7" t="str">
        <f>Preencher!$B$3&amp;$U$8&amp;$V$8&amp;A307&amp;$AJ$6</f>
        <v>JARINU-FRG990391MQ.GIROFREEZER (3)</v>
      </c>
      <c r="AK307" s="327">
        <f>IFERROR(SUMIF('BD Otimix'!A:A,'BD VOLUME'!AG307,'BD Otimix'!O:O)+SUMIF('BD Otimix'!A:A,'BD VOLUME'!AH307,'BD Otimix'!O:O)+SUMIF('BD Otimix'!A:A,'BD VOLUME'!AI307,'BD Otimix'!O:O)+SUMIF('BD Otimix'!A:A,'BD VOLUME'!AJ307,'BD Otimix'!O:O)+SUMIF('BD Otimix'!A:A,'BD VOLUME'!AF307,'BD Otimix'!O:O),0)</f>
        <v>0</v>
      </c>
      <c r="AL307" s="7">
        <f t="shared" ref="AL307:AL373" si="75">IFERROR(F307/$E$3/1000/AK307,0)</f>
        <v>0</v>
      </c>
    </row>
    <row r="308" spans="1:38" s="4" customFormat="1" ht="14.25">
      <c r="A308" s="644">
        <v>15105</v>
      </c>
      <c r="B308" s="644" t="s">
        <v>3179</v>
      </c>
      <c r="C308" s="5" t="s">
        <v>1094</v>
      </c>
      <c r="D308" s="5" t="s">
        <v>867</v>
      </c>
      <c r="E308" s="5" t="s">
        <v>935</v>
      </c>
      <c r="F308" s="132">
        <f>SUMIF('COLAR PLANO'!$A:$A,A308,'COLAR PLANO'!$D:$D)</f>
        <v>58147.199999999997</v>
      </c>
      <c r="G308" s="131">
        <f t="shared" si="69"/>
        <v>276.03702824590556</v>
      </c>
      <c r="H308" s="6">
        <v>0.2147</v>
      </c>
      <c r="I308" s="7">
        <f t="shared" si="70"/>
        <v>428.56237889443497</v>
      </c>
      <c r="J308" s="130">
        <f t="shared" si="71"/>
        <v>9.1188550620315875E-2</v>
      </c>
      <c r="K308" s="122">
        <v>1</v>
      </c>
      <c r="L308" s="122">
        <v>12</v>
      </c>
      <c r="M308" s="122">
        <v>12</v>
      </c>
      <c r="N308" s="311">
        <f t="shared" si="72"/>
        <v>276.03702824590556</v>
      </c>
      <c r="O308" s="311">
        <f t="shared" si="73"/>
        <v>23.003085687158798</v>
      </c>
      <c r="P308" s="311"/>
      <c r="Q308" s="311"/>
      <c r="R308" s="311"/>
      <c r="S308" s="7"/>
      <c r="T308" s="7"/>
      <c r="U308" s="7" t="s">
        <v>2288</v>
      </c>
      <c r="V308" s="7" t="s">
        <v>2289</v>
      </c>
      <c r="W308" s="7" t="str">
        <f>Preencher!$B$3&amp;U308&amp;V308&amp;A308&amp;$W$6</f>
        <v>JARINU-FRG15105MQ.TUNEL DE CG (CONTINUO)</v>
      </c>
      <c r="X308" s="7" t="str">
        <f>Preencher!$B$3&amp;U308&amp;V308&amp;A308&amp;$X$6</f>
        <v>JARINU-FRG15105MQ.TUNEL DE CG (CONTINUO) (1)</v>
      </c>
      <c r="Y308" s="7" t="str">
        <f>Preencher!$B$3&amp;U308&amp;V308&amp;A308&amp;$Y$6</f>
        <v>JARINU-FRG15105MQ.TUNEL DE CG (CONTINUO) (2)</v>
      </c>
      <c r="Z308" s="7" t="str">
        <f>Preencher!$B$3&amp;U308&amp;V308&amp;A308&amp;$Z$6</f>
        <v>JARINU-FRG15105MQ.TUNEL DE CG (CONTINUO) (3)</v>
      </c>
      <c r="AA308" s="7" t="str">
        <f>Preencher!$B$3&amp;U308&amp;V308&amp;A308&amp;$AA$6</f>
        <v>JARINU-FRG15105MQ.TUNEL DE CG (ESTATICO)</v>
      </c>
      <c r="AB308" s="7" t="str">
        <f>Preencher!$B$3&amp;U308&amp;V308&amp;A308&amp;$AB$6</f>
        <v>JARINU-FRG15105MQ.TUNEL DE CG (ESTATICO) (1)</v>
      </c>
      <c r="AC308" s="7" t="str">
        <f>Preencher!$B$3&amp;U308&amp;V308&amp;A308&amp;$AC$6</f>
        <v>JARINU-FRG15105MQ.TUNEL DE CG (ESTATICO) (2)</v>
      </c>
      <c r="AD308" s="327">
        <f>IFERROR(SUMIF('BD Otimix'!A:A,'BD VOLUME'!X308,'BD Otimix'!O:O)+SUMIF('BD Otimix'!A:A,'BD VOLUME'!Y308,'BD Otimix'!O:O)+SUMIF('BD Otimix'!A:A,'BD VOLUME'!Z308,'BD Otimix'!O:O)+SUMIF('BD Otimix'!A:A,'BD VOLUME'!AA308,'BD Otimix'!O:O)+SUMIF('BD Otimix'!A:A,'BD VOLUME'!AB308,'BD Otimix'!O:O)+SUMIF('BD Otimix'!A:A,'BD VOLUME'!AC308,'BD Otimix'!O:O)+SUMIF('BD Otimix'!A:A,'BD VOLUME'!W308,'BD Otimix'!O:O),0)</f>
        <v>0</v>
      </c>
      <c r="AE308" s="327">
        <f t="shared" si="74"/>
        <v>0</v>
      </c>
      <c r="AF308" s="7" t="str">
        <f>Preencher!$B$3&amp;$U$8&amp;$V$8&amp;A308&amp;$AF$6</f>
        <v>JARINU-FRG15105MQ.GIROFREEZER</v>
      </c>
      <c r="AG308" s="7" t="str">
        <f>Preencher!$B$3&amp;$U$8&amp;$V$8&amp;A308&amp;$AG$6</f>
        <v>JARINU-FRG15105MQ.GIROFREEZER (1)</v>
      </c>
      <c r="AH308" s="7" t="str">
        <f>Preencher!$B$3&amp;$U$8&amp;$V$8&amp;A308&amp;$AH$6</f>
        <v>JARINU-FRG15105MQ.GIROFREEZER (2)</v>
      </c>
      <c r="AI308" s="7" t="str">
        <f>Preencher!$B$3&amp;$U$8&amp;$V$8&amp;A308&amp;$AI$6</f>
        <v>JARINU-FRG15105MQ.GIROFREEZER REV04</v>
      </c>
      <c r="AJ308" s="7" t="str">
        <f>Preencher!$B$3&amp;$U$8&amp;$V$8&amp;A308&amp;$AJ$6</f>
        <v>JARINU-FRG15105MQ.GIROFREEZER (3)</v>
      </c>
      <c r="AK308" s="327">
        <f>IFERROR(SUMIF('BD Otimix'!A:A,'BD VOLUME'!AG308,'BD Otimix'!O:O)+SUMIF('BD Otimix'!A:A,'BD VOLUME'!AH308,'BD Otimix'!O:O)+SUMIF('BD Otimix'!A:A,'BD VOLUME'!AI308,'BD Otimix'!O:O)+SUMIF('BD Otimix'!A:A,'BD VOLUME'!AJ308,'BD Otimix'!O:O)+SUMIF('BD Otimix'!A:A,'BD VOLUME'!AF308,'BD Otimix'!O:O),0)</f>
        <v>0</v>
      </c>
      <c r="AL308" s="7">
        <f t="shared" si="75"/>
        <v>0</v>
      </c>
    </row>
    <row r="309" spans="1:38" s="4" customFormat="1" ht="14.25">
      <c r="A309" s="580">
        <v>729817</v>
      </c>
      <c r="B309" s="580" t="s">
        <v>2021</v>
      </c>
      <c r="C309" s="5" t="s">
        <v>2022</v>
      </c>
      <c r="D309" s="5" t="s">
        <v>867</v>
      </c>
      <c r="E309" s="5" t="s">
        <v>1821</v>
      </c>
      <c r="F309" s="132">
        <f>SUMIF('COLAR PLANO'!$A:$A,A309,'COLAR PLANO'!$D:$D)</f>
        <v>0</v>
      </c>
      <c r="G309" s="131">
        <f t="shared" si="69"/>
        <v>0</v>
      </c>
      <c r="H309" s="6">
        <v>0.2147</v>
      </c>
      <c r="I309" s="7">
        <f t="shared" si="70"/>
        <v>0</v>
      </c>
      <c r="J309" s="130">
        <f t="shared" si="71"/>
        <v>0</v>
      </c>
      <c r="K309" s="122">
        <v>0.65</v>
      </c>
      <c r="L309" s="122">
        <v>10</v>
      </c>
      <c r="M309" s="122">
        <v>6.5</v>
      </c>
      <c r="N309" s="311">
        <f t="shared" si="72"/>
        <v>0</v>
      </c>
      <c r="O309" s="311">
        <f t="shared" si="73"/>
        <v>0</v>
      </c>
      <c r="P309" s="311"/>
      <c r="Q309" s="311"/>
      <c r="R309" s="311"/>
      <c r="S309" s="7"/>
      <c r="T309" s="7"/>
      <c r="U309" s="7" t="s">
        <v>2288</v>
      </c>
      <c r="V309" s="7" t="s">
        <v>2289</v>
      </c>
      <c r="W309" s="7" t="str">
        <f>Preencher!$B$3&amp;U309&amp;V309&amp;A309&amp;$W$6</f>
        <v>JARINU-FRG729817MQ.TUNEL DE CG (CONTINUO)</v>
      </c>
      <c r="X309" s="7" t="str">
        <f>Preencher!$B$3&amp;U309&amp;V309&amp;A309&amp;$X$6</f>
        <v>JARINU-FRG729817MQ.TUNEL DE CG (CONTINUO) (1)</v>
      </c>
      <c r="Y309" s="7" t="str">
        <f>Preencher!$B$3&amp;U309&amp;V309&amp;A309&amp;$Y$6</f>
        <v>JARINU-FRG729817MQ.TUNEL DE CG (CONTINUO) (2)</v>
      </c>
      <c r="Z309" s="7" t="str">
        <f>Preencher!$B$3&amp;U309&amp;V309&amp;A309&amp;$Z$6</f>
        <v>JARINU-FRG729817MQ.TUNEL DE CG (CONTINUO) (3)</v>
      </c>
      <c r="AA309" s="7" t="str">
        <f>Preencher!$B$3&amp;U309&amp;V309&amp;A309&amp;$AA$6</f>
        <v>JARINU-FRG729817MQ.TUNEL DE CG (ESTATICO)</v>
      </c>
      <c r="AB309" s="7" t="str">
        <f>Preencher!$B$3&amp;U309&amp;V309&amp;A309&amp;$AB$6</f>
        <v>JARINU-FRG729817MQ.TUNEL DE CG (ESTATICO) (1)</v>
      </c>
      <c r="AC309" s="7" t="str">
        <f>Preencher!$B$3&amp;U309&amp;V309&amp;A309&amp;$AC$6</f>
        <v>JARINU-FRG729817MQ.TUNEL DE CG (ESTATICO) (2)</v>
      </c>
      <c r="AD309" s="327">
        <f>IFERROR(SUMIF('BD Otimix'!A:A,'BD VOLUME'!X309,'BD Otimix'!O:O)+SUMIF('BD Otimix'!A:A,'BD VOLUME'!Y309,'BD Otimix'!O:O)+SUMIF('BD Otimix'!A:A,'BD VOLUME'!Z309,'BD Otimix'!O:O)+SUMIF('BD Otimix'!A:A,'BD VOLUME'!AA309,'BD Otimix'!O:O)+SUMIF('BD Otimix'!A:A,'BD VOLUME'!AB309,'BD Otimix'!O:O)+SUMIF('BD Otimix'!A:A,'BD VOLUME'!AC309,'BD Otimix'!O:O)+SUMIF('BD Otimix'!A:A,'BD VOLUME'!W309,'BD Otimix'!O:O),0)</f>
        <v>0</v>
      </c>
      <c r="AE309" s="327">
        <f t="shared" si="74"/>
        <v>0</v>
      </c>
      <c r="AF309" s="7" t="str">
        <f>Preencher!$B$3&amp;$U$8&amp;$V$8&amp;A309&amp;$AF$6</f>
        <v>JARINU-FRG729817MQ.GIROFREEZER</v>
      </c>
      <c r="AG309" s="7" t="str">
        <f>Preencher!$B$3&amp;$U$8&amp;$V$8&amp;A309&amp;$AG$6</f>
        <v>JARINU-FRG729817MQ.GIROFREEZER (1)</v>
      </c>
      <c r="AH309" s="7" t="str">
        <f>Preencher!$B$3&amp;$U$8&amp;$V$8&amp;A309&amp;$AH$6</f>
        <v>JARINU-FRG729817MQ.GIROFREEZER (2)</v>
      </c>
      <c r="AI309" s="7" t="str">
        <f>Preencher!$B$3&amp;$U$8&amp;$V$8&amp;A309&amp;$AI$6</f>
        <v>JARINU-FRG729817MQ.GIROFREEZER REV04</v>
      </c>
      <c r="AJ309" s="7" t="str">
        <f>Preencher!$B$3&amp;$U$8&amp;$V$8&amp;A309&amp;$AJ$6</f>
        <v>JARINU-FRG729817MQ.GIROFREEZER (3)</v>
      </c>
      <c r="AK309" s="327">
        <f>IFERROR(SUMIF('BD Otimix'!A:A,'BD VOLUME'!AG309,'BD Otimix'!O:O)+SUMIF('BD Otimix'!A:A,'BD VOLUME'!AH309,'BD Otimix'!O:O)+SUMIF('BD Otimix'!A:A,'BD VOLUME'!AI309,'BD Otimix'!O:O)+SUMIF('BD Otimix'!A:A,'BD VOLUME'!AJ309,'BD Otimix'!O:O)+SUMIF('BD Otimix'!A:A,'BD VOLUME'!AF309,'BD Otimix'!O:O),0)</f>
        <v>0</v>
      </c>
      <c r="AL309" s="7">
        <f t="shared" si="75"/>
        <v>0</v>
      </c>
    </row>
    <row r="310" spans="1:38" s="4" customFormat="1" ht="14.25">
      <c r="A310" s="645">
        <v>729787</v>
      </c>
      <c r="B310" s="645" t="s">
        <v>2325</v>
      </c>
      <c r="C310" s="5" t="s">
        <v>2262</v>
      </c>
      <c r="D310" s="5" t="s">
        <v>867</v>
      </c>
      <c r="E310" s="5" t="s">
        <v>2117</v>
      </c>
      <c r="F310" s="132">
        <f>SUMIF('COLAR PLANO'!$A:$A,A310,'COLAR PLANO'!$D:$D)</f>
        <v>0</v>
      </c>
      <c r="G310" s="131">
        <f t="shared" si="69"/>
        <v>0</v>
      </c>
      <c r="H310" s="6">
        <v>0.31900000000000001</v>
      </c>
      <c r="I310" s="7">
        <f t="shared" si="70"/>
        <v>0</v>
      </c>
      <c r="J310" s="130">
        <f t="shared" si="71"/>
        <v>0</v>
      </c>
      <c r="K310" s="122">
        <v>0.8</v>
      </c>
      <c r="L310" s="122">
        <v>11</v>
      </c>
      <c r="M310" s="122">
        <v>8.8000000000000007</v>
      </c>
      <c r="N310" s="311">
        <f>IFERROR(G310/K310,"-")</f>
        <v>0</v>
      </c>
      <c r="O310" s="311">
        <f t="shared" si="73"/>
        <v>0</v>
      </c>
      <c r="P310" s="311"/>
      <c r="Q310" s="311"/>
      <c r="R310" s="311"/>
      <c r="S310" s="7"/>
      <c r="T310" s="7"/>
      <c r="U310" s="7" t="s">
        <v>2288</v>
      </c>
      <c r="V310" s="7" t="s">
        <v>2289</v>
      </c>
      <c r="W310" s="7" t="str">
        <f>Preencher!$B$3&amp;U310&amp;V310&amp;A310&amp;$W$6</f>
        <v>JARINU-FRG729787MQ.TUNEL DE CG (CONTINUO)</v>
      </c>
      <c r="X310" s="7" t="str">
        <f>Preencher!$B$3&amp;U310&amp;V310&amp;A310&amp;$X$6</f>
        <v>JARINU-FRG729787MQ.TUNEL DE CG (CONTINUO) (1)</v>
      </c>
      <c r="Y310" s="7" t="str">
        <f>Preencher!$B$3&amp;U310&amp;V310&amp;A310&amp;$Y$6</f>
        <v>JARINU-FRG729787MQ.TUNEL DE CG (CONTINUO) (2)</v>
      </c>
      <c r="Z310" s="7" t="str">
        <f>Preencher!$B$3&amp;U310&amp;V310&amp;A310&amp;$Z$6</f>
        <v>JARINU-FRG729787MQ.TUNEL DE CG (CONTINUO) (3)</v>
      </c>
      <c r="AA310" s="7" t="str">
        <f>Preencher!$B$3&amp;U310&amp;V310&amp;A310&amp;$AA$6</f>
        <v>JARINU-FRG729787MQ.TUNEL DE CG (ESTATICO)</v>
      </c>
      <c r="AB310" s="7" t="str">
        <f>Preencher!$B$3&amp;U310&amp;V310&amp;A310&amp;$AB$6</f>
        <v>JARINU-FRG729787MQ.TUNEL DE CG (ESTATICO) (1)</v>
      </c>
      <c r="AC310" s="7" t="str">
        <f>Preencher!$B$3&amp;U310&amp;V310&amp;A310&amp;$AC$6</f>
        <v>JARINU-FRG729787MQ.TUNEL DE CG (ESTATICO) (2)</v>
      </c>
      <c r="AD310" s="327">
        <f>IFERROR(SUMIF('BD Otimix'!A:A,'BD VOLUME'!X310,'BD Otimix'!O:O)+SUMIF('BD Otimix'!A:A,'BD VOLUME'!Y310,'BD Otimix'!O:O)+SUMIF('BD Otimix'!A:A,'BD VOLUME'!Z310,'BD Otimix'!O:O)+SUMIF('BD Otimix'!A:A,'BD VOLUME'!AA310,'BD Otimix'!O:O)+SUMIF('BD Otimix'!A:A,'BD VOLUME'!AB310,'BD Otimix'!O:O)+SUMIF('BD Otimix'!A:A,'BD VOLUME'!AC310,'BD Otimix'!O:O)+SUMIF('BD Otimix'!A:A,'BD VOLUME'!W310,'BD Otimix'!O:O),0)</f>
        <v>0</v>
      </c>
      <c r="AE310" s="327">
        <f t="shared" si="74"/>
        <v>0</v>
      </c>
      <c r="AF310" s="7" t="str">
        <f>Preencher!$B$3&amp;$U$8&amp;$V$8&amp;A310&amp;$AF$6</f>
        <v>JARINU-FRG729787MQ.GIROFREEZER</v>
      </c>
      <c r="AG310" s="7" t="str">
        <f>Preencher!$B$3&amp;$U$8&amp;$V$8&amp;A310&amp;$AG$6</f>
        <v>JARINU-FRG729787MQ.GIROFREEZER (1)</v>
      </c>
      <c r="AH310" s="7" t="str">
        <f>Preencher!$B$3&amp;$U$8&amp;$V$8&amp;A310&amp;$AH$6</f>
        <v>JARINU-FRG729787MQ.GIROFREEZER (2)</v>
      </c>
      <c r="AI310" s="7" t="str">
        <f>Preencher!$B$3&amp;$U$8&amp;$V$8&amp;A310&amp;$AI$6</f>
        <v>JARINU-FRG729787MQ.GIROFREEZER REV04</v>
      </c>
      <c r="AJ310" s="7" t="str">
        <f>Preencher!$B$3&amp;$U$8&amp;$V$8&amp;A310&amp;$AJ$6</f>
        <v>JARINU-FRG729787MQ.GIROFREEZER (3)</v>
      </c>
      <c r="AK310" s="327">
        <f>IFERROR(SUMIF('BD Otimix'!A:A,'BD VOLUME'!AG310,'BD Otimix'!O:O)+SUMIF('BD Otimix'!A:A,'BD VOLUME'!AH310,'BD Otimix'!O:O)+SUMIF('BD Otimix'!A:A,'BD VOLUME'!AI310,'BD Otimix'!O:O)+SUMIF('BD Otimix'!A:A,'BD VOLUME'!AJ310,'BD Otimix'!O:O)+SUMIF('BD Otimix'!A:A,'BD VOLUME'!AF310,'BD Otimix'!O:O),0)</f>
        <v>0</v>
      </c>
      <c r="AL310" s="7">
        <f t="shared" si="75"/>
        <v>0</v>
      </c>
    </row>
    <row r="311" spans="1:38" s="4" customFormat="1" ht="14.25">
      <c r="A311" s="580">
        <v>729795</v>
      </c>
      <c r="B311" s="580" t="s">
        <v>2028</v>
      </c>
      <c r="C311" s="5" t="s">
        <v>2029</v>
      </c>
      <c r="D311" s="5" t="s">
        <v>867</v>
      </c>
      <c r="E311" s="5" t="s">
        <v>2117</v>
      </c>
      <c r="F311" s="132">
        <f>SUMIF('COLAR PLANO'!$A:$A,A311,'COLAR PLANO'!$D:$D)</f>
        <v>0</v>
      </c>
      <c r="G311" s="131">
        <f t="shared" si="69"/>
        <v>0</v>
      </c>
      <c r="H311" s="6">
        <v>0.31900000000000001</v>
      </c>
      <c r="I311" s="7">
        <f t="shared" si="70"/>
        <v>0</v>
      </c>
      <c r="J311" s="130">
        <f t="shared" si="71"/>
        <v>0</v>
      </c>
      <c r="K311" s="122">
        <v>0.8</v>
      </c>
      <c r="L311" s="122">
        <v>11</v>
      </c>
      <c r="M311" s="122">
        <v>8.8000000000000007</v>
      </c>
      <c r="N311" s="311">
        <f t="shared" si="72"/>
        <v>0</v>
      </c>
      <c r="O311" s="311">
        <f t="shared" si="73"/>
        <v>0</v>
      </c>
      <c r="P311" s="311"/>
      <c r="Q311" s="311"/>
      <c r="R311" s="311"/>
      <c r="S311" s="7"/>
      <c r="T311" s="7"/>
      <c r="U311" s="7" t="s">
        <v>2288</v>
      </c>
      <c r="V311" s="7" t="s">
        <v>2289</v>
      </c>
      <c r="W311" s="7" t="str">
        <f>Preencher!$B$3&amp;U311&amp;V311&amp;A311&amp;$W$6</f>
        <v>JARINU-FRG729795MQ.TUNEL DE CG (CONTINUO)</v>
      </c>
      <c r="X311" s="7" t="str">
        <f>Preencher!$B$3&amp;U311&amp;V311&amp;A311&amp;$X$6</f>
        <v>JARINU-FRG729795MQ.TUNEL DE CG (CONTINUO) (1)</v>
      </c>
      <c r="Y311" s="7" t="str">
        <f>Preencher!$B$3&amp;U311&amp;V311&amp;A311&amp;$Y$6</f>
        <v>JARINU-FRG729795MQ.TUNEL DE CG (CONTINUO) (2)</v>
      </c>
      <c r="Z311" s="7" t="str">
        <f>Preencher!$B$3&amp;U311&amp;V311&amp;A311&amp;$Z$6</f>
        <v>JARINU-FRG729795MQ.TUNEL DE CG (CONTINUO) (3)</v>
      </c>
      <c r="AA311" s="7" t="str">
        <f>Preencher!$B$3&amp;U311&amp;V311&amp;A311&amp;$AA$6</f>
        <v>JARINU-FRG729795MQ.TUNEL DE CG (ESTATICO)</v>
      </c>
      <c r="AB311" s="7" t="str">
        <f>Preencher!$B$3&amp;U311&amp;V311&amp;A311&amp;$AB$6</f>
        <v>JARINU-FRG729795MQ.TUNEL DE CG (ESTATICO) (1)</v>
      </c>
      <c r="AC311" s="7" t="str">
        <f>Preencher!$B$3&amp;U311&amp;V311&amp;A311&amp;$AC$6</f>
        <v>JARINU-FRG729795MQ.TUNEL DE CG (ESTATICO) (2)</v>
      </c>
      <c r="AD311" s="327">
        <f>IFERROR(SUMIF('BD Otimix'!A:A,'BD VOLUME'!X311,'BD Otimix'!O:O)+SUMIF('BD Otimix'!A:A,'BD VOLUME'!Y311,'BD Otimix'!O:O)+SUMIF('BD Otimix'!A:A,'BD VOLUME'!Z311,'BD Otimix'!O:O)+SUMIF('BD Otimix'!A:A,'BD VOLUME'!AA311,'BD Otimix'!O:O)+SUMIF('BD Otimix'!A:A,'BD VOLUME'!AB311,'BD Otimix'!O:O)+SUMIF('BD Otimix'!A:A,'BD VOLUME'!AC311,'BD Otimix'!O:O)+SUMIF('BD Otimix'!A:A,'BD VOLUME'!W311,'BD Otimix'!O:O),0)</f>
        <v>0</v>
      </c>
      <c r="AE311" s="327">
        <f t="shared" si="74"/>
        <v>0</v>
      </c>
      <c r="AF311" s="7" t="str">
        <f>Preencher!$B$3&amp;$U$8&amp;$V$8&amp;A311&amp;$AF$6</f>
        <v>JARINU-FRG729795MQ.GIROFREEZER</v>
      </c>
      <c r="AG311" s="7" t="str">
        <f>Preencher!$B$3&amp;$U$8&amp;$V$8&amp;A311&amp;$AG$6</f>
        <v>JARINU-FRG729795MQ.GIROFREEZER (1)</v>
      </c>
      <c r="AH311" s="7" t="str">
        <f>Preencher!$B$3&amp;$U$8&amp;$V$8&amp;A311&amp;$AH$6</f>
        <v>JARINU-FRG729795MQ.GIROFREEZER (2)</v>
      </c>
      <c r="AI311" s="7" t="str">
        <f>Preencher!$B$3&amp;$U$8&amp;$V$8&amp;A311&amp;$AI$6</f>
        <v>JARINU-FRG729795MQ.GIROFREEZER REV04</v>
      </c>
      <c r="AJ311" s="7" t="str">
        <f>Preencher!$B$3&amp;$U$8&amp;$V$8&amp;A311&amp;$AJ$6</f>
        <v>JARINU-FRG729795MQ.GIROFREEZER (3)</v>
      </c>
      <c r="AK311" s="327">
        <f>IFERROR(SUMIF('BD Otimix'!A:A,'BD VOLUME'!AG311,'BD Otimix'!O:O)+SUMIF('BD Otimix'!A:A,'BD VOLUME'!AH311,'BD Otimix'!O:O)+SUMIF('BD Otimix'!A:A,'BD VOLUME'!AI311,'BD Otimix'!O:O)+SUMIF('BD Otimix'!A:A,'BD VOLUME'!AJ311,'BD Otimix'!O:O)+SUMIF('BD Otimix'!A:A,'BD VOLUME'!AF311,'BD Otimix'!O:O),0)</f>
        <v>0</v>
      </c>
      <c r="AL311" s="7">
        <f t="shared" si="75"/>
        <v>0</v>
      </c>
    </row>
    <row r="312" spans="1:38" s="4" customFormat="1" ht="14.25">
      <c r="A312" s="644">
        <v>729809</v>
      </c>
      <c r="B312" s="644" t="s">
        <v>2314</v>
      </c>
      <c r="C312" s="5" t="s">
        <v>2263</v>
      </c>
      <c r="D312" s="5" t="s">
        <v>867</v>
      </c>
      <c r="E312" s="5" t="s">
        <v>2383</v>
      </c>
      <c r="F312" s="132">
        <f>SUMIF('COLAR PLANO'!$A:$A,A312,'COLAR PLANO'!$D:$D)</f>
        <v>0</v>
      </c>
      <c r="G312" s="131">
        <f t="shared" si="69"/>
        <v>0</v>
      </c>
      <c r="H312" s="6">
        <v>0.31900000000000001</v>
      </c>
      <c r="I312" s="7">
        <f t="shared" si="70"/>
        <v>0</v>
      </c>
      <c r="J312" s="130">
        <f t="shared" si="71"/>
        <v>0</v>
      </c>
      <c r="K312" s="122">
        <v>0.65</v>
      </c>
      <c r="L312" s="122">
        <v>10</v>
      </c>
      <c r="M312" s="122">
        <v>6.5</v>
      </c>
      <c r="N312" s="311">
        <f t="shared" si="72"/>
        <v>0</v>
      </c>
      <c r="O312" s="311">
        <f t="shared" si="73"/>
        <v>0</v>
      </c>
      <c r="P312" s="311"/>
      <c r="Q312" s="311"/>
      <c r="R312" s="311"/>
      <c r="S312" s="7"/>
      <c r="T312" s="7"/>
      <c r="U312" s="7" t="s">
        <v>2288</v>
      </c>
      <c r="V312" s="7" t="s">
        <v>2289</v>
      </c>
      <c r="W312" s="7" t="str">
        <f>Preencher!$B$3&amp;U312&amp;V312&amp;A312&amp;$W$6</f>
        <v>JARINU-FRG729809MQ.TUNEL DE CG (CONTINUO)</v>
      </c>
      <c r="X312" s="7" t="str">
        <f>Preencher!$B$3&amp;U312&amp;V312&amp;A312&amp;$X$6</f>
        <v>JARINU-FRG729809MQ.TUNEL DE CG (CONTINUO) (1)</v>
      </c>
      <c r="Y312" s="7" t="str">
        <f>Preencher!$B$3&amp;U312&amp;V312&amp;A312&amp;$Y$6</f>
        <v>JARINU-FRG729809MQ.TUNEL DE CG (CONTINUO) (2)</v>
      </c>
      <c r="Z312" s="7" t="str">
        <f>Preencher!$B$3&amp;U312&amp;V312&amp;A312&amp;$Z$6</f>
        <v>JARINU-FRG729809MQ.TUNEL DE CG (CONTINUO) (3)</v>
      </c>
      <c r="AA312" s="7" t="str">
        <f>Preencher!$B$3&amp;U312&amp;V312&amp;A312&amp;$AA$6</f>
        <v>JARINU-FRG729809MQ.TUNEL DE CG (ESTATICO)</v>
      </c>
      <c r="AB312" s="7" t="str">
        <f>Preencher!$B$3&amp;U312&amp;V312&amp;A312&amp;$AB$6</f>
        <v>JARINU-FRG729809MQ.TUNEL DE CG (ESTATICO) (1)</v>
      </c>
      <c r="AC312" s="7" t="str">
        <f>Preencher!$B$3&amp;U312&amp;V312&amp;A312&amp;$AC$6</f>
        <v>JARINU-FRG729809MQ.TUNEL DE CG (ESTATICO) (2)</v>
      </c>
      <c r="AD312" s="327">
        <f>IFERROR(SUMIF('BD Otimix'!A:A,'BD VOLUME'!X312,'BD Otimix'!O:O)+SUMIF('BD Otimix'!A:A,'BD VOLUME'!Y312,'BD Otimix'!O:O)+SUMIF('BD Otimix'!A:A,'BD VOLUME'!Z312,'BD Otimix'!O:O)+SUMIF('BD Otimix'!A:A,'BD VOLUME'!AA312,'BD Otimix'!O:O)+SUMIF('BD Otimix'!A:A,'BD VOLUME'!AB312,'BD Otimix'!O:O)+SUMIF('BD Otimix'!A:A,'BD VOLUME'!AC312,'BD Otimix'!O:O)+SUMIF('BD Otimix'!A:A,'BD VOLUME'!W312,'BD Otimix'!O:O),0)</f>
        <v>0</v>
      </c>
      <c r="AE312" s="327">
        <f t="shared" si="74"/>
        <v>0</v>
      </c>
      <c r="AF312" s="7" t="str">
        <f>Preencher!$B$3&amp;$U$8&amp;$V$8&amp;A312&amp;$AF$6</f>
        <v>JARINU-FRG729809MQ.GIROFREEZER</v>
      </c>
      <c r="AG312" s="7" t="str">
        <f>Preencher!$B$3&amp;$U$8&amp;$V$8&amp;A312&amp;$AG$6</f>
        <v>JARINU-FRG729809MQ.GIROFREEZER (1)</v>
      </c>
      <c r="AH312" s="7" t="str">
        <f>Preencher!$B$3&amp;$U$8&amp;$V$8&amp;A312&amp;$AH$6</f>
        <v>JARINU-FRG729809MQ.GIROFREEZER (2)</v>
      </c>
      <c r="AI312" s="7" t="str">
        <f>Preencher!$B$3&amp;$U$8&amp;$V$8&amp;A312&amp;$AI$6</f>
        <v>JARINU-FRG729809MQ.GIROFREEZER REV04</v>
      </c>
      <c r="AJ312" s="7" t="str">
        <f>Preencher!$B$3&amp;$U$8&amp;$V$8&amp;A312&amp;$AJ$6</f>
        <v>JARINU-FRG729809MQ.GIROFREEZER (3)</v>
      </c>
      <c r="AK312" s="327">
        <f>IFERROR(SUMIF('BD Otimix'!A:A,'BD VOLUME'!AG312,'BD Otimix'!O:O)+SUMIF('BD Otimix'!A:A,'BD VOLUME'!AH312,'BD Otimix'!O:O)+SUMIF('BD Otimix'!A:A,'BD VOLUME'!AI312,'BD Otimix'!O:O)+SUMIF('BD Otimix'!A:A,'BD VOLUME'!AJ312,'BD Otimix'!O:O)+SUMIF('BD Otimix'!A:A,'BD VOLUME'!AF312,'BD Otimix'!O:O),0)</f>
        <v>0</v>
      </c>
      <c r="AL312" s="7">
        <f t="shared" si="75"/>
        <v>0</v>
      </c>
    </row>
    <row r="313" spans="1:38" s="4" customFormat="1" ht="14.25">
      <c r="A313" s="644">
        <v>729884</v>
      </c>
      <c r="B313" s="644" t="s">
        <v>2315</v>
      </c>
      <c r="C313" s="5" t="s">
        <v>2265</v>
      </c>
      <c r="D313" s="5" t="s">
        <v>867</v>
      </c>
      <c r="E313" s="5" t="s">
        <v>2383</v>
      </c>
      <c r="F313" s="132">
        <f>SUMIF('COLAR PLANO'!$A:$A,A313,'COLAR PLANO'!$D:$D)</f>
        <v>0</v>
      </c>
      <c r="G313" s="131">
        <f t="shared" si="69"/>
        <v>0</v>
      </c>
      <c r="H313" s="6">
        <v>0.31900000000000001</v>
      </c>
      <c r="I313" s="7">
        <f t="shared" si="70"/>
        <v>0</v>
      </c>
      <c r="J313" s="130">
        <f t="shared" si="71"/>
        <v>0</v>
      </c>
      <c r="K313" s="122">
        <v>0.65</v>
      </c>
      <c r="L313" s="122">
        <v>10</v>
      </c>
      <c r="M313" s="122">
        <v>6.5</v>
      </c>
      <c r="N313" s="311">
        <f t="shared" si="72"/>
        <v>0</v>
      </c>
      <c r="O313" s="311">
        <f t="shared" si="73"/>
        <v>0</v>
      </c>
      <c r="P313" s="311"/>
      <c r="Q313" s="311"/>
      <c r="R313" s="311"/>
      <c r="S313" s="7"/>
      <c r="T313" s="7"/>
      <c r="U313" s="7" t="s">
        <v>2288</v>
      </c>
      <c r="V313" s="7" t="s">
        <v>2289</v>
      </c>
      <c r="W313" s="7" t="str">
        <f>Preencher!$B$3&amp;U313&amp;V313&amp;A313&amp;$W$6</f>
        <v>JARINU-FRG729884MQ.TUNEL DE CG (CONTINUO)</v>
      </c>
      <c r="X313" s="7" t="str">
        <f>Preencher!$B$3&amp;U313&amp;V313&amp;A313&amp;$X$6</f>
        <v>JARINU-FRG729884MQ.TUNEL DE CG (CONTINUO) (1)</v>
      </c>
      <c r="Y313" s="7" t="str">
        <f>Preencher!$B$3&amp;U313&amp;V313&amp;A313&amp;$Y$6</f>
        <v>JARINU-FRG729884MQ.TUNEL DE CG (CONTINUO) (2)</v>
      </c>
      <c r="Z313" s="7" t="str">
        <f>Preencher!$B$3&amp;U313&amp;V313&amp;A313&amp;$Z$6</f>
        <v>JARINU-FRG729884MQ.TUNEL DE CG (CONTINUO) (3)</v>
      </c>
      <c r="AA313" s="7" t="str">
        <f>Preencher!$B$3&amp;U313&amp;V313&amp;A313&amp;$AA$6</f>
        <v>JARINU-FRG729884MQ.TUNEL DE CG (ESTATICO)</v>
      </c>
      <c r="AB313" s="7" t="str">
        <f>Preencher!$B$3&amp;U313&amp;V313&amp;A313&amp;$AB$6</f>
        <v>JARINU-FRG729884MQ.TUNEL DE CG (ESTATICO) (1)</v>
      </c>
      <c r="AC313" s="7" t="str">
        <f>Preencher!$B$3&amp;U313&amp;V313&amp;A313&amp;$AC$6</f>
        <v>JARINU-FRG729884MQ.TUNEL DE CG (ESTATICO) (2)</v>
      </c>
      <c r="AD313" s="327">
        <f>IFERROR(SUMIF('BD Otimix'!A:A,'BD VOLUME'!X313,'BD Otimix'!O:O)+SUMIF('BD Otimix'!A:A,'BD VOLUME'!Y313,'BD Otimix'!O:O)+SUMIF('BD Otimix'!A:A,'BD VOLUME'!Z313,'BD Otimix'!O:O)+SUMIF('BD Otimix'!A:A,'BD VOLUME'!AA313,'BD Otimix'!O:O)+SUMIF('BD Otimix'!A:A,'BD VOLUME'!AB313,'BD Otimix'!O:O)+SUMIF('BD Otimix'!A:A,'BD VOLUME'!AC313,'BD Otimix'!O:O)+SUMIF('BD Otimix'!A:A,'BD VOLUME'!W313,'BD Otimix'!O:O),0)</f>
        <v>0</v>
      </c>
      <c r="AE313" s="327">
        <f t="shared" si="74"/>
        <v>0</v>
      </c>
      <c r="AF313" s="7" t="str">
        <f>Preencher!$B$3&amp;$U$8&amp;$V$8&amp;A313&amp;$AF$6</f>
        <v>JARINU-FRG729884MQ.GIROFREEZER</v>
      </c>
      <c r="AG313" s="7" t="str">
        <f>Preencher!$B$3&amp;$U$8&amp;$V$8&amp;A313&amp;$AG$6</f>
        <v>JARINU-FRG729884MQ.GIROFREEZER (1)</v>
      </c>
      <c r="AH313" s="7" t="str">
        <f>Preencher!$B$3&amp;$U$8&amp;$V$8&amp;A313&amp;$AH$6</f>
        <v>JARINU-FRG729884MQ.GIROFREEZER (2)</v>
      </c>
      <c r="AI313" s="7" t="str">
        <f>Preencher!$B$3&amp;$U$8&amp;$V$8&amp;A313&amp;$AI$6</f>
        <v>JARINU-FRG729884MQ.GIROFREEZER REV04</v>
      </c>
      <c r="AJ313" s="7" t="str">
        <f>Preencher!$B$3&amp;$U$8&amp;$V$8&amp;A313&amp;$AJ$6</f>
        <v>JARINU-FRG729884MQ.GIROFREEZER (3)</v>
      </c>
      <c r="AK313" s="327">
        <f>IFERROR(SUMIF('BD Otimix'!A:A,'BD VOLUME'!AG313,'BD Otimix'!O:O)+SUMIF('BD Otimix'!A:A,'BD VOLUME'!AH313,'BD Otimix'!O:O)+SUMIF('BD Otimix'!A:A,'BD VOLUME'!AI313,'BD Otimix'!O:O)+SUMIF('BD Otimix'!A:A,'BD VOLUME'!AJ313,'BD Otimix'!O:O)+SUMIF('BD Otimix'!A:A,'BD VOLUME'!AF313,'BD Otimix'!O:O),0)</f>
        <v>0</v>
      </c>
      <c r="AL313" s="7">
        <f t="shared" si="75"/>
        <v>0</v>
      </c>
    </row>
    <row r="314" spans="1:38" s="4" customFormat="1" ht="14.25">
      <c r="A314" s="644">
        <v>729892</v>
      </c>
      <c r="B314" s="644" t="s">
        <v>2316</v>
      </c>
      <c r="C314" s="5" t="s">
        <v>2266</v>
      </c>
      <c r="D314" s="5" t="s">
        <v>867</v>
      </c>
      <c r="E314" s="5" t="s">
        <v>2384</v>
      </c>
      <c r="F314" s="132">
        <f>SUMIF('COLAR PLANO'!$A:$A,A314,'COLAR PLANO'!$D:$D)</f>
        <v>0</v>
      </c>
      <c r="G314" s="131">
        <f t="shared" si="69"/>
        <v>0</v>
      </c>
      <c r="H314" s="6">
        <v>7.2280701754385959E-2</v>
      </c>
      <c r="I314" s="7">
        <f t="shared" si="70"/>
        <v>0</v>
      </c>
      <c r="J314" s="130">
        <f t="shared" si="71"/>
        <v>0</v>
      </c>
      <c r="K314" s="122">
        <v>0.65</v>
      </c>
      <c r="L314" s="122">
        <v>10</v>
      </c>
      <c r="M314" s="122">
        <v>6.5</v>
      </c>
      <c r="N314" s="311">
        <f t="shared" si="72"/>
        <v>0</v>
      </c>
      <c r="O314" s="311">
        <f t="shared" si="73"/>
        <v>0</v>
      </c>
      <c r="P314" s="311"/>
      <c r="Q314" s="311"/>
      <c r="R314" s="311"/>
      <c r="S314" s="7"/>
      <c r="T314" s="7"/>
      <c r="U314" s="7" t="s">
        <v>2288</v>
      </c>
      <c r="V314" s="7" t="s">
        <v>2289</v>
      </c>
      <c r="W314" s="7" t="str">
        <f>Preencher!$B$3&amp;U314&amp;V314&amp;A314&amp;$W$6</f>
        <v>JARINU-FRG729892MQ.TUNEL DE CG (CONTINUO)</v>
      </c>
      <c r="X314" s="7" t="str">
        <f>Preencher!$B$3&amp;U314&amp;V314&amp;A314&amp;$X$6</f>
        <v>JARINU-FRG729892MQ.TUNEL DE CG (CONTINUO) (1)</v>
      </c>
      <c r="Y314" s="7" t="str">
        <f>Preencher!$B$3&amp;U314&amp;V314&amp;A314&amp;$Y$6</f>
        <v>JARINU-FRG729892MQ.TUNEL DE CG (CONTINUO) (2)</v>
      </c>
      <c r="Z314" s="7" t="str">
        <f>Preencher!$B$3&amp;U314&amp;V314&amp;A314&amp;$Z$6</f>
        <v>JARINU-FRG729892MQ.TUNEL DE CG (CONTINUO) (3)</v>
      </c>
      <c r="AA314" s="7" t="str">
        <f>Preencher!$B$3&amp;U314&amp;V314&amp;A314&amp;$AA$6</f>
        <v>JARINU-FRG729892MQ.TUNEL DE CG (ESTATICO)</v>
      </c>
      <c r="AB314" s="7" t="str">
        <f>Preencher!$B$3&amp;U314&amp;V314&amp;A314&amp;$AB$6</f>
        <v>JARINU-FRG729892MQ.TUNEL DE CG (ESTATICO) (1)</v>
      </c>
      <c r="AC314" s="7" t="str">
        <f>Preencher!$B$3&amp;U314&amp;V314&amp;A314&amp;$AC$6</f>
        <v>JARINU-FRG729892MQ.TUNEL DE CG (ESTATICO) (2)</v>
      </c>
      <c r="AD314" s="327">
        <f>IFERROR(SUMIF('BD Otimix'!A:A,'BD VOLUME'!X314,'BD Otimix'!O:O)+SUMIF('BD Otimix'!A:A,'BD VOLUME'!Y314,'BD Otimix'!O:O)+SUMIF('BD Otimix'!A:A,'BD VOLUME'!Z314,'BD Otimix'!O:O)+SUMIF('BD Otimix'!A:A,'BD VOLUME'!AA314,'BD Otimix'!O:O)+SUMIF('BD Otimix'!A:A,'BD VOLUME'!AB314,'BD Otimix'!O:O)+SUMIF('BD Otimix'!A:A,'BD VOLUME'!AC314,'BD Otimix'!O:O)+SUMIF('BD Otimix'!A:A,'BD VOLUME'!W314,'BD Otimix'!O:O),0)</f>
        <v>0</v>
      </c>
      <c r="AE314" s="327">
        <f t="shared" si="74"/>
        <v>0</v>
      </c>
      <c r="AF314" s="7" t="str">
        <f>Preencher!$B$3&amp;$U$8&amp;$V$8&amp;A314&amp;$AF$6</f>
        <v>JARINU-FRG729892MQ.GIROFREEZER</v>
      </c>
      <c r="AG314" s="7" t="str">
        <f>Preencher!$B$3&amp;$U$8&amp;$V$8&amp;A314&amp;$AG$6</f>
        <v>JARINU-FRG729892MQ.GIROFREEZER (1)</v>
      </c>
      <c r="AH314" s="7" t="str">
        <f>Preencher!$B$3&amp;$U$8&amp;$V$8&amp;A314&amp;$AH$6</f>
        <v>JARINU-FRG729892MQ.GIROFREEZER (2)</v>
      </c>
      <c r="AI314" s="7" t="str">
        <f>Preencher!$B$3&amp;$U$8&amp;$V$8&amp;A314&amp;$AI$6</f>
        <v>JARINU-FRG729892MQ.GIROFREEZER REV04</v>
      </c>
      <c r="AJ314" s="7" t="str">
        <f>Preencher!$B$3&amp;$U$8&amp;$V$8&amp;A314&amp;$AJ$6</f>
        <v>JARINU-FRG729892MQ.GIROFREEZER (3)</v>
      </c>
      <c r="AK314" s="327">
        <f>IFERROR(SUMIF('BD Otimix'!A:A,'BD VOLUME'!AG314,'BD Otimix'!O:O)+SUMIF('BD Otimix'!A:A,'BD VOLUME'!AH314,'BD Otimix'!O:O)+SUMIF('BD Otimix'!A:A,'BD VOLUME'!AI314,'BD Otimix'!O:O)+SUMIF('BD Otimix'!A:A,'BD VOLUME'!AJ314,'BD Otimix'!O:O)+SUMIF('BD Otimix'!A:A,'BD VOLUME'!AF314,'BD Otimix'!O:O),0)</f>
        <v>0</v>
      </c>
      <c r="AL314" s="7">
        <f t="shared" si="75"/>
        <v>0</v>
      </c>
    </row>
    <row r="315" spans="1:38" s="4" customFormat="1" ht="14.25">
      <c r="A315" s="27">
        <v>792306</v>
      </c>
      <c r="B315" s="27" t="s">
        <v>1472</v>
      </c>
      <c r="C315" s="75" t="s">
        <v>1473</v>
      </c>
      <c r="D315" s="75" t="s">
        <v>867</v>
      </c>
      <c r="E315" s="5" t="s">
        <v>934</v>
      </c>
      <c r="F315" s="132">
        <f>SUMIF('COLAR PLANO'!$A:$A,A315,'COLAR PLANO'!$D:$D)</f>
        <v>0</v>
      </c>
      <c r="G315" s="131">
        <f t="shared" si="69"/>
        <v>0</v>
      </c>
      <c r="H315" s="6">
        <v>0.21989999999999998</v>
      </c>
      <c r="I315" s="7">
        <f t="shared" si="70"/>
        <v>0</v>
      </c>
      <c r="J315" s="130">
        <f t="shared" ref="J315:J349" si="76">IFERROR(I315/$B$306,0)</f>
        <v>0</v>
      </c>
      <c r="K315" s="122">
        <v>1</v>
      </c>
      <c r="L315" s="122">
        <v>12</v>
      </c>
      <c r="M315" s="122">
        <v>12</v>
      </c>
      <c r="N315" s="311">
        <f t="shared" ref="N315:N375" si="77">IFERROR(G315/K315,"-")</f>
        <v>0</v>
      </c>
      <c r="O315" s="311">
        <f t="shared" si="73"/>
        <v>0</v>
      </c>
      <c r="P315" s="311"/>
      <c r="Q315" s="311"/>
      <c r="R315" s="311"/>
      <c r="S315" s="111"/>
      <c r="T315" s="111"/>
      <c r="U315" s="7" t="s">
        <v>2288</v>
      </c>
      <c r="V315" s="7" t="s">
        <v>2289</v>
      </c>
      <c r="W315" s="7" t="str">
        <f>Preencher!$B$3&amp;U315&amp;V315&amp;A315&amp;$W$6</f>
        <v>JARINU-FRG792306MQ.TUNEL DE CG (CONTINUO)</v>
      </c>
      <c r="X315" s="7" t="str">
        <f>Preencher!$B$3&amp;U315&amp;V315&amp;A315&amp;$X$6</f>
        <v>JARINU-FRG792306MQ.TUNEL DE CG (CONTINUO) (1)</v>
      </c>
      <c r="Y315" s="7" t="str">
        <f>Preencher!$B$3&amp;U315&amp;V315&amp;A315&amp;$Y$6</f>
        <v>JARINU-FRG792306MQ.TUNEL DE CG (CONTINUO) (2)</v>
      </c>
      <c r="Z315" s="7" t="str">
        <f>Preencher!$B$3&amp;U315&amp;V315&amp;A315&amp;$Z$6</f>
        <v>JARINU-FRG792306MQ.TUNEL DE CG (CONTINUO) (3)</v>
      </c>
      <c r="AA315" s="7" t="str">
        <f>Preencher!$B$3&amp;U315&amp;V315&amp;A315&amp;$AA$6</f>
        <v>JARINU-FRG792306MQ.TUNEL DE CG (ESTATICO)</v>
      </c>
      <c r="AB315" s="7" t="str">
        <f>Preencher!$B$3&amp;U315&amp;V315&amp;A315&amp;$AB$6</f>
        <v>JARINU-FRG792306MQ.TUNEL DE CG (ESTATICO) (1)</v>
      </c>
      <c r="AC315" s="7" t="str">
        <f>Preencher!$B$3&amp;U315&amp;V315&amp;A315&amp;$AC$6</f>
        <v>JARINU-FRG792306MQ.TUNEL DE CG (ESTATICO) (2)</v>
      </c>
      <c r="AD315" s="327">
        <f>IFERROR(SUMIF('BD Otimix'!A:A,'BD VOLUME'!X315,'BD Otimix'!O:O)+SUMIF('BD Otimix'!A:A,'BD VOLUME'!Y315,'BD Otimix'!O:O)+SUMIF('BD Otimix'!A:A,'BD VOLUME'!Z315,'BD Otimix'!O:O)+SUMIF('BD Otimix'!A:A,'BD VOLUME'!AA315,'BD Otimix'!O:O)+SUMIF('BD Otimix'!A:A,'BD VOLUME'!AB315,'BD Otimix'!O:O)+SUMIF('BD Otimix'!A:A,'BD VOLUME'!AC315,'BD Otimix'!O:O)+SUMIF('BD Otimix'!A:A,'BD VOLUME'!W315,'BD Otimix'!O:O),0)</f>
        <v>0</v>
      </c>
      <c r="AE315" s="327">
        <f t="shared" si="74"/>
        <v>0</v>
      </c>
      <c r="AF315" s="7" t="str">
        <f>Preencher!$B$3&amp;$U$8&amp;$V$8&amp;A315&amp;$AF$6</f>
        <v>JARINU-FRG792306MQ.GIROFREEZER</v>
      </c>
      <c r="AG315" s="7" t="str">
        <f>Preencher!$B$3&amp;$U$8&amp;$V$8&amp;A315&amp;$AG$6</f>
        <v>JARINU-FRG792306MQ.GIROFREEZER (1)</v>
      </c>
      <c r="AH315" s="7" t="str">
        <f>Preencher!$B$3&amp;$U$8&amp;$V$8&amp;A315&amp;$AH$6</f>
        <v>JARINU-FRG792306MQ.GIROFREEZER (2)</v>
      </c>
      <c r="AI315" s="7" t="str">
        <f>Preencher!$B$3&amp;$U$8&amp;$V$8&amp;A315&amp;$AI$6</f>
        <v>JARINU-FRG792306MQ.GIROFREEZER REV04</v>
      </c>
      <c r="AJ315" s="7" t="str">
        <f>Preencher!$B$3&amp;$U$8&amp;$V$8&amp;A315&amp;$AJ$6</f>
        <v>JARINU-FRG792306MQ.GIROFREEZER (3)</v>
      </c>
      <c r="AK315" s="327">
        <f>IFERROR(SUMIF('BD Otimix'!A:A,'BD VOLUME'!AG315,'BD Otimix'!O:O)+SUMIF('BD Otimix'!A:A,'BD VOLUME'!AH315,'BD Otimix'!O:O)+SUMIF('BD Otimix'!A:A,'BD VOLUME'!AI315,'BD Otimix'!O:O)+SUMIF('BD Otimix'!A:A,'BD VOLUME'!AJ315,'BD Otimix'!O:O)+SUMIF('BD Otimix'!A:A,'BD VOLUME'!AF315,'BD Otimix'!O:O),0)</f>
        <v>0</v>
      </c>
      <c r="AL315" s="7">
        <f t="shared" si="75"/>
        <v>0</v>
      </c>
    </row>
    <row r="316" spans="1:38" s="4" customFormat="1" ht="14.25">
      <c r="A316" s="27">
        <v>685690</v>
      </c>
      <c r="B316" s="27" t="s">
        <v>2318</v>
      </c>
      <c r="C316" s="75" t="s">
        <v>2258</v>
      </c>
      <c r="D316" s="75" t="s">
        <v>867</v>
      </c>
      <c r="E316" s="5" t="s">
        <v>934</v>
      </c>
      <c r="F316" s="132">
        <f>SUMIF('COLAR PLANO'!$A:$A,A316,'COLAR PLANO'!$D:$D)</f>
        <v>0</v>
      </c>
      <c r="G316" s="131">
        <f t="shared" si="69"/>
        <v>0</v>
      </c>
      <c r="H316" s="6">
        <v>0.21989999999999998</v>
      </c>
      <c r="I316" s="7">
        <f t="shared" si="70"/>
        <v>0</v>
      </c>
      <c r="J316" s="130">
        <f t="shared" si="76"/>
        <v>0</v>
      </c>
      <c r="K316" s="122">
        <v>1</v>
      </c>
      <c r="L316" s="122">
        <v>12</v>
      </c>
      <c r="M316" s="122">
        <v>12</v>
      </c>
      <c r="N316" s="311">
        <f t="shared" ref="N316:N324" si="78">IFERROR(G316/K316,"-")</f>
        <v>0</v>
      </c>
      <c r="O316" s="311">
        <f t="shared" si="73"/>
        <v>0</v>
      </c>
      <c r="P316" s="311"/>
      <c r="Q316" s="311"/>
      <c r="R316" s="311"/>
      <c r="S316" s="111"/>
      <c r="T316" s="111"/>
      <c r="U316" s="7" t="s">
        <v>2288</v>
      </c>
      <c r="V316" s="7" t="s">
        <v>2289</v>
      </c>
      <c r="W316" s="7" t="str">
        <f>Preencher!$B$3&amp;U316&amp;V316&amp;A316&amp;$W$6</f>
        <v>JARINU-FRG685690MQ.TUNEL DE CG (CONTINUO)</v>
      </c>
      <c r="X316" s="7" t="str">
        <f>Preencher!$B$3&amp;U316&amp;V316&amp;A316&amp;$X$6</f>
        <v>JARINU-FRG685690MQ.TUNEL DE CG (CONTINUO) (1)</v>
      </c>
      <c r="Y316" s="7" t="str">
        <f>Preencher!$B$3&amp;U316&amp;V316&amp;A316&amp;$Y$6</f>
        <v>JARINU-FRG685690MQ.TUNEL DE CG (CONTINUO) (2)</v>
      </c>
      <c r="Z316" s="7" t="str">
        <f>Preencher!$B$3&amp;U316&amp;V316&amp;A316&amp;$Z$6</f>
        <v>JARINU-FRG685690MQ.TUNEL DE CG (CONTINUO) (3)</v>
      </c>
      <c r="AA316" s="7" t="str">
        <f>Preencher!$B$3&amp;U316&amp;V316&amp;A316&amp;$AA$6</f>
        <v>JARINU-FRG685690MQ.TUNEL DE CG (ESTATICO)</v>
      </c>
      <c r="AB316" s="7" t="str">
        <f>Preencher!$B$3&amp;U316&amp;V316&amp;A316&amp;$AB$6</f>
        <v>JARINU-FRG685690MQ.TUNEL DE CG (ESTATICO) (1)</v>
      </c>
      <c r="AC316" s="7" t="str">
        <f>Preencher!$B$3&amp;U316&amp;V316&amp;A316&amp;$AC$6</f>
        <v>JARINU-FRG685690MQ.TUNEL DE CG (ESTATICO) (2)</v>
      </c>
      <c r="AD316" s="327">
        <f>IFERROR(SUMIF('BD Otimix'!A:A,'BD VOLUME'!X316,'BD Otimix'!O:O)+SUMIF('BD Otimix'!A:A,'BD VOLUME'!Y316,'BD Otimix'!O:O)+SUMIF('BD Otimix'!A:A,'BD VOLUME'!Z316,'BD Otimix'!O:O)+SUMIF('BD Otimix'!A:A,'BD VOLUME'!AA316,'BD Otimix'!O:O)+SUMIF('BD Otimix'!A:A,'BD VOLUME'!AB316,'BD Otimix'!O:O)+SUMIF('BD Otimix'!A:A,'BD VOLUME'!AC316,'BD Otimix'!O:O)+SUMIF('BD Otimix'!A:A,'BD VOLUME'!W316,'BD Otimix'!O:O),0)</f>
        <v>0</v>
      </c>
      <c r="AE316" s="327">
        <f t="shared" si="74"/>
        <v>0</v>
      </c>
      <c r="AF316" s="7" t="str">
        <f>Preencher!$B$3&amp;$U$8&amp;$V$8&amp;A316&amp;$AF$6</f>
        <v>JARINU-FRG685690MQ.GIROFREEZER</v>
      </c>
      <c r="AG316" s="7" t="str">
        <f>Preencher!$B$3&amp;$U$8&amp;$V$8&amp;A316&amp;$AG$6</f>
        <v>JARINU-FRG685690MQ.GIROFREEZER (1)</v>
      </c>
      <c r="AH316" s="7" t="str">
        <f>Preencher!$B$3&amp;$U$8&amp;$V$8&amp;A316&amp;$AH$6</f>
        <v>JARINU-FRG685690MQ.GIROFREEZER (2)</v>
      </c>
      <c r="AI316" s="7" t="str">
        <f>Preencher!$B$3&amp;$U$8&amp;$V$8&amp;A316&amp;$AI$6</f>
        <v>JARINU-FRG685690MQ.GIROFREEZER REV04</v>
      </c>
      <c r="AJ316" s="7" t="str">
        <f>Preencher!$B$3&amp;$U$8&amp;$V$8&amp;A316&amp;$AJ$6</f>
        <v>JARINU-FRG685690MQ.GIROFREEZER (3)</v>
      </c>
      <c r="AK316" s="327">
        <f>IFERROR(SUMIF('BD Otimix'!A:A,'BD VOLUME'!AG316,'BD Otimix'!O:O)+SUMIF('BD Otimix'!A:A,'BD VOLUME'!AH316,'BD Otimix'!O:O)+SUMIF('BD Otimix'!A:A,'BD VOLUME'!AI316,'BD Otimix'!O:O)+SUMIF('BD Otimix'!A:A,'BD VOLUME'!AJ316,'BD Otimix'!O:O)+SUMIF('BD Otimix'!A:A,'BD VOLUME'!AF316,'BD Otimix'!O:O),0)</f>
        <v>0</v>
      </c>
      <c r="AL316" s="7">
        <f t="shared" si="75"/>
        <v>0</v>
      </c>
    </row>
    <row r="317" spans="1:38" s="4" customFormat="1" ht="14.25">
      <c r="A317" s="27">
        <v>958557</v>
      </c>
      <c r="B317" s="27" t="s">
        <v>2320</v>
      </c>
      <c r="C317" s="75" t="s">
        <v>2272</v>
      </c>
      <c r="D317" s="75" t="s">
        <v>867</v>
      </c>
      <c r="E317" s="5" t="s">
        <v>2882</v>
      </c>
      <c r="F317" s="132">
        <f>SUMIF('COLAR PLANO'!$A:$A,A317,'COLAR PLANO'!$D:$D)</f>
        <v>0</v>
      </c>
      <c r="G317" s="131">
        <f t="shared" si="69"/>
        <v>0</v>
      </c>
      <c r="H317" s="6">
        <v>0.21989999999999998</v>
      </c>
      <c r="I317" s="7">
        <f t="shared" si="70"/>
        <v>0</v>
      </c>
      <c r="J317" s="130">
        <f t="shared" si="76"/>
        <v>0</v>
      </c>
      <c r="K317" s="122">
        <v>1</v>
      </c>
      <c r="L317" s="122">
        <v>12</v>
      </c>
      <c r="M317" s="122">
        <v>12</v>
      </c>
      <c r="N317" s="311">
        <f t="shared" si="78"/>
        <v>0</v>
      </c>
      <c r="O317" s="311">
        <f t="shared" si="73"/>
        <v>0</v>
      </c>
      <c r="P317" s="311"/>
      <c r="Q317" s="311"/>
      <c r="R317" s="311"/>
      <c r="S317" s="111"/>
      <c r="T317" s="111"/>
      <c r="U317" s="7" t="s">
        <v>2288</v>
      </c>
      <c r="V317" s="7" t="s">
        <v>2289</v>
      </c>
      <c r="W317" s="7" t="str">
        <f>Preencher!$B$3&amp;U317&amp;V317&amp;A317&amp;$W$6</f>
        <v>JARINU-FRG958557MQ.TUNEL DE CG (CONTINUO)</v>
      </c>
      <c r="X317" s="7" t="str">
        <f>Preencher!$B$3&amp;U317&amp;V317&amp;A317&amp;$X$6</f>
        <v>JARINU-FRG958557MQ.TUNEL DE CG (CONTINUO) (1)</v>
      </c>
      <c r="Y317" s="7" t="str">
        <f>Preencher!$B$3&amp;U317&amp;V317&amp;A317&amp;$Y$6</f>
        <v>JARINU-FRG958557MQ.TUNEL DE CG (CONTINUO) (2)</v>
      </c>
      <c r="Z317" s="7" t="str">
        <f>Preencher!$B$3&amp;U317&amp;V317&amp;A317&amp;$Z$6</f>
        <v>JARINU-FRG958557MQ.TUNEL DE CG (CONTINUO) (3)</v>
      </c>
      <c r="AA317" s="7" t="str">
        <f>Preencher!$B$3&amp;U317&amp;V317&amp;A317&amp;$AA$6</f>
        <v>JARINU-FRG958557MQ.TUNEL DE CG (ESTATICO)</v>
      </c>
      <c r="AB317" s="7" t="str">
        <f>Preencher!$B$3&amp;U317&amp;V317&amp;A317&amp;$AB$6</f>
        <v>JARINU-FRG958557MQ.TUNEL DE CG (ESTATICO) (1)</v>
      </c>
      <c r="AC317" s="7" t="str">
        <f>Preencher!$B$3&amp;U317&amp;V317&amp;A317&amp;$AC$6</f>
        <v>JARINU-FRG958557MQ.TUNEL DE CG (ESTATICO) (2)</v>
      </c>
      <c r="AD317" s="327">
        <f>IFERROR(SUMIF('BD Otimix'!A:A,'BD VOLUME'!X317,'BD Otimix'!O:O)+SUMIF('BD Otimix'!A:A,'BD VOLUME'!Y317,'BD Otimix'!O:O)+SUMIF('BD Otimix'!A:A,'BD VOLUME'!Z317,'BD Otimix'!O:O)+SUMIF('BD Otimix'!A:A,'BD VOLUME'!AA317,'BD Otimix'!O:O)+SUMIF('BD Otimix'!A:A,'BD VOLUME'!AB317,'BD Otimix'!O:O)+SUMIF('BD Otimix'!A:A,'BD VOLUME'!AC317,'BD Otimix'!O:O)+SUMIF('BD Otimix'!A:A,'BD VOLUME'!W317,'BD Otimix'!O:O),0)</f>
        <v>0</v>
      </c>
      <c r="AE317" s="327">
        <f t="shared" si="74"/>
        <v>0</v>
      </c>
      <c r="AF317" s="7" t="str">
        <f>Preencher!$B$3&amp;$U$8&amp;$V$8&amp;A317&amp;$AF$6</f>
        <v>JARINU-FRG958557MQ.GIROFREEZER</v>
      </c>
      <c r="AG317" s="7" t="str">
        <f>Preencher!$B$3&amp;$U$8&amp;$V$8&amp;A317&amp;$AG$6</f>
        <v>JARINU-FRG958557MQ.GIROFREEZER (1)</v>
      </c>
      <c r="AH317" s="7" t="str">
        <f>Preencher!$B$3&amp;$U$8&amp;$V$8&amp;A317&amp;$AH$6</f>
        <v>JARINU-FRG958557MQ.GIROFREEZER (2)</v>
      </c>
      <c r="AI317" s="7" t="str">
        <f>Preencher!$B$3&amp;$U$8&amp;$V$8&amp;A317&amp;$AI$6</f>
        <v>JARINU-FRG958557MQ.GIROFREEZER REV04</v>
      </c>
      <c r="AJ317" s="7" t="str">
        <f>Preencher!$B$3&amp;$U$8&amp;$V$8&amp;A317&amp;$AJ$6</f>
        <v>JARINU-FRG958557MQ.GIROFREEZER (3)</v>
      </c>
      <c r="AK317" s="327">
        <f>IFERROR(SUMIF('BD Otimix'!A:A,'BD VOLUME'!AG317,'BD Otimix'!O:O)+SUMIF('BD Otimix'!A:A,'BD VOLUME'!AH317,'BD Otimix'!O:O)+SUMIF('BD Otimix'!A:A,'BD VOLUME'!AI317,'BD Otimix'!O:O)+SUMIF('BD Otimix'!A:A,'BD VOLUME'!AJ317,'BD Otimix'!O:O)+SUMIF('BD Otimix'!A:A,'BD VOLUME'!AF317,'BD Otimix'!O:O),0)</f>
        <v>0</v>
      </c>
      <c r="AL317" s="7">
        <f t="shared" si="75"/>
        <v>0</v>
      </c>
    </row>
    <row r="318" spans="1:38" s="4" customFormat="1" ht="14.25">
      <c r="A318" s="27">
        <v>209049</v>
      </c>
      <c r="B318" s="27"/>
      <c r="C318" s="75" t="s">
        <v>3112</v>
      </c>
      <c r="D318" s="75" t="s">
        <v>867</v>
      </c>
      <c r="E318" s="5" t="s">
        <v>2882</v>
      </c>
      <c r="F318" s="132">
        <f>SUMIF('COLAR PLANO'!$A:$A,A318,'COLAR PLANO'!$D:$D)</f>
        <v>0</v>
      </c>
      <c r="G318" s="131">
        <f>IFERROR(F318/($E$3*$C$3),0)</f>
        <v>0</v>
      </c>
      <c r="H318" s="6">
        <v>0.21989999999999998</v>
      </c>
      <c r="I318" s="7">
        <f>IFERROR(G318/$D$3/H318,0)</f>
        <v>0</v>
      </c>
      <c r="J318" s="130">
        <f>IFERROR(I318/$B$306,0)</f>
        <v>0</v>
      </c>
      <c r="K318" s="122">
        <v>1</v>
      </c>
      <c r="L318" s="122">
        <v>12</v>
      </c>
      <c r="M318" s="122">
        <v>12</v>
      </c>
      <c r="N318" s="311">
        <f>IFERROR(G318/K318,"-")</f>
        <v>0</v>
      </c>
      <c r="O318" s="311">
        <f>IFERROR(G318/M318,"-")</f>
        <v>0</v>
      </c>
      <c r="P318" s="311"/>
      <c r="Q318" s="311"/>
      <c r="R318" s="311"/>
      <c r="S318" s="111"/>
      <c r="T318" s="111"/>
      <c r="U318" s="7" t="s">
        <v>2288</v>
      </c>
      <c r="V318" s="7" t="s">
        <v>2289</v>
      </c>
      <c r="W318" s="7" t="str">
        <f>Preencher!$B$3&amp;U318&amp;V318&amp;A318&amp;$W$6</f>
        <v>JARINU-FRG209049MQ.TUNEL DE CG (CONTINUO)</v>
      </c>
      <c r="X318" s="7" t="str">
        <f>Preencher!$B$3&amp;U318&amp;V318&amp;A318&amp;$X$6</f>
        <v>JARINU-FRG209049MQ.TUNEL DE CG (CONTINUO) (1)</v>
      </c>
      <c r="Y318" s="7" t="str">
        <f>Preencher!$B$3&amp;U318&amp;V318&amp;A318&amp;$Y$6</f>
        <v>JARINU-FRG209049MQ.TUNEL DE CG (CONTINUO) (2)</v>
      </c>
      <c r="Z318" s="7" t="str">
        <f>Preencher!$B$3&amp;U318&amp;V318&amp;A318&amp;$Z$6</f>
        <v>JARINU-FRG209049MQ.TUNEL DE CG (CONTINUO) (3)</v>
      </c>
      <c r="AA318" s="7" t="str">
        <f>Preencher!$B$3&amp;U318&amp;V318&amp;A318&amp;$AA$6</f>
        <v>JARINU-FRG209049MQ.TUNEL DE CG (ESTATICO)</v>
      </c>
      <c r="AB318" s="7" t="str">
        <f>Preencher!$B$3&amp;U318&amp;V318&amp;A318&amp;$AB$6</f>
        <v>JARINU-FRG209049MQ.TUNEL DE CG (ESTATICO) (1)</v>
      </c>
      <c r="AC318" s="7" t="str">
        <f>Preencher!$B$3&amp;U318&amp;V318&amp;A318&amp;$AC$6</f>
        <v>JARINU-FRG209049MQ.TUNEL DE CG (ESTATICO) (2)</v>
      </c>
      <c r="AD318" s="327">
        <f>IFERROR(SUMIF('BD Otimix'!A:A,'BD VOLUME'!X318,'BD Otimix'!O:O)+SUMIF('BD Otimix'!A:A,'BD VOLUME'!Y318,'BD Otimix'!O:O)+SUMIF('BD Otimix'!A:A,'BD VOLUME'!Z318,'BD Otimix'!O:O)+SUMIF('BD Otimix'!A:A,'BD VOLUME'!AA318,'BD Otimix'!O:O)+SUMIF('BD Otimix'!A:A,'BD VOLUME'!AB318,'BD Otimix'!O:O)+SUMIF('BD Otimix'!A:A,'BD VOLUME'!AC318,'BD Otimix'!O:O)+SUMIF('BD Otimix'!A:A,'BD VOLUME'!W318,'BD Otimix'!O:O),0)</f>
        <v>0</v>
      </c>
      <c r="AE318" s="327">
        <f>IFERROR(F318/$E$3/1000/AD318,0)</f>
        <v>0</v>
      </c>
      <c r="AF318" s="7" t="str">
        <f>Preencher!$B$3&amp;$U$8&amp;$V$8&amp;A318&amp;$AF$6</f>
        <v>JARINU-FRG209049MQ.GIROFREEZER</v>
      </c>
      <c r="AG318" s="7" t="str">
        <f>Preencher!$B$3&amp;$U$8&amp;$V$8&amp;A318&amp;$AG$6</f>
        <v>JARINU-FRG209049MQ.GIROFREEZER (1)</v>
      </c>
      <c r="AH318" s="7" t="str">
        <f>Preencher!$B$3&amp;$U$8&amp;$V$8&amp;A318&amp;$AH$6</f>
        <v>JARINU-FRG209049MQ.GIROFREEZER (2)</v>
      </c>
      <c r="AI318" s="7" t="str">
        <f>Preencher!$B$3&amp;$U$8&amp;$V$8&amp;A318&amp;$AI$6</f>
        <v>JARINU-FRG209049MQ.GIROFREEZER REV04</v>
      </c>
      <c r="AJ318" s="7" t="str">
        <f>Preencher!$B$3&amp;$U$8&amp;$V$8&amp;A318&amp;$AJ$6</f>
        <v>JARINU-FRG209049MQ.GIROFREEZER (3)</v>
      </c>
      <c r="AK318" s="327">
        <f>IFERROR(SUMIF('BD Otimix'!A:A,'BD VOLUME'!AG318,'BD Otimix'!O:O)+SUMIF('BD Otimix'!A:A,'BD VOLUME'!AH318,'BD Otimix'!O:O)+SUMIF('BD Otimix'!A:A,'BD VOLUME'!AI318,'BD Otimix'!O:O)+SUMIF('BD Otimix'!A:A,'BD VOLUME'!AJ318,'BD Otimix'!O:O)+SUMIF('BD Otimix'!A:A,'BD VOLUME'!AF318,'BD Otimix'!O:O),0)</f>
        <v>0</v>
      </c>
      <c r="AL318" s="7">
        <f>IFERROR(F318/$E$3/1000/AK318,0)</f>
        <v>0</v>
      </c>
    </row>
    <row r="319" spans="1:38" s="4" customFormat="1" ht="14.25">
      <c r="A319" s="27">
        <v>958565</v>
      </c>
      <c r="B319" s="27" t="s">
        <v>2321</v>
      </c>
      <c r="C319" s="75" t="s">
        <v>2273</v>
      </c>
      <c r="D319" s="75" t="s">
        <v>867</v>
      </c>
      <c r="E319" s="5" t="s">
        <v>3037</v>
      </c>
      <c r="F319" s="132">
        <f>SUMIF('COLAR PLANO'!$A:$A,A319,'COLAR PLANO'!$D:$D)</f>
        <v>0</v>
      </c>
      <c r="G319" s="131">
        <f t="shared" si="69"/>
        <v>0</v>
      </c>
      <c r="H319" s="6">
        <v>0.21989999999999998</v>
      </c>
      <c r="I319" s="7">
        <f t="shared" si="70"/>
        <v>0</v>
      </c>
      <c r="J319" s="130">
        <f t="shared" si="76"/>
        <v>0</v>
      </c>
      <c r="K319" s="122">
        <v>1</v>
      </c>
      <c r="L319" s="122">
        <v>12</v>
      </c>
      <c r="M319" s="122">
        <v>12</v>
      </c>
      <c r="N319" s="311">
        <f t="shared" si="78"/>
        <v>0</v>
      </c>
      <c r="O319" s="311">
        <f t="shared" si="73"/>
        <v>0</v>
      </c>
      <c r="P319" s="311"/>
      <c r="Q319" s="311"/>
      <c r="R319" s="311"/>
      <c r="S319" s="111"/>
      <c r="T319" s="111"/>
      <c r="U319" s="7" t="s">
        <v>2288</v>
      </c>
      <c r="V319" s="7" t="s">
        <v>2289</v>
      </c>
      <c r="W319" s="7" t="str">
        <f>Preencher!$B$3&amp;U319&amp;V319&amp;A319&amp;$W$6</f>
        <v>JARINU-FRG958565MQ.TUNEL DE CG (CONTINUO)</v>
      </c>
      <c r="X319" s="7" t="str">
        <f>Preencher!$B$3&amp;U319&amp;V319&amp;A319&amp;$X$6</f>
        <v>JARINU-FRG958565MQ.TUNEL DE CG (CONTINUO) (1)</v>
      </c>
      <c r="Y319" s="7" t="str">
        <f>Preencher!$B$3&amp;U319&amp;V319&amp;A319&amp;$Y$6</f>
        <v>JARINU-FRG958565MQ.TUNEL DE CG (CONTINUO) (2)</v>
      </c>
      <c r="Z319" s="7" t="str">
        <f>Preencher!$B$3&amp;U319&amp;V319&amp;A319&amp;$Z$6</f>
        <v>JARINU-FRG958565MQ.TUNEL DE CG (CONTINUO) (3)</v>
      </c>
      <c r="AA319" s="7" t="str">
        <f>Preencher!$B$3&amp;U319&amp;V319&amp;A319&amp;$AA$6</f>
        <v>JARINU-FRG958565MQ.TUNEL DE CG (ESTATICO)</v>
      </c>
      <c r="AB319" s="7" t="str">
        <f>Preencher!$B$3&amp;U319&amp;V319&amp;A319&amp;$AB$6</f>
        <v>JARINU-FRG958565MQ.TUNEL DE CG (ESTATICO) (1)</v>
      </c>
      <c r="AC319" s="7" t="str">
        <f>Preencher!$B$3&amp;U319&amp;V319&amp;A319&amp;$AC$6</f>
        <v>JARINU-FRG958565MQ.TUNEL DE CG (ESTATICO) (2)</v>
      </c>
      <c r="AD319" s="327">
        <f>IFERROR(SUMIF('BD Otimix'!A:A,'BD VOLUME'!X319,'BD Otimix'!O:O)+SUMIF('BD Otimix'!A:A,'BD VOLUME'!Y319,'BD Otimix'!O:O)+SUMIF('BD Otimix'!A:A,'BD VOLUME'!Z319,'BD Otimix'!O:O)+SUMIF('BD Otimix'!A:A,'BD VOLUME'!AA319,'BD Otimix'!O:O)+SUMIF('BD Otimix'!A:A,'BD VOLUME'!AB319,'BD Otimix'!O:O)+SUMIF('BD Otimix'!A:A,'BD VOLUME'!AC319,'BD Otimix'!O:O)+SUMIF('BD Otimix'!A:A,'BD VOLUME'!W319,'BD Otimix'!O:O),0)</f>
        <v>0</v>
      </c>
      <c r="AE319" s="327">
        <f t="shared" si="74"/>
        <v>0</v>
      </c>
      <c r="AF319" s="7" t="str">
        <f>Preencher!$B$3&amp;$U$8&amp;$V$8&amp;A319&amp;$AF$6</f>
        <v>JARINU-FRG958565MQ.GIROFREEZER</v>
      </c>
      <c r="AG319" s="7" t="str">
        <f>Preencher!$B$3&amp;$U$8&amp;$V$8&amp;A319&amp;$AG$6</f>
        <v>JARINU-FRG958565MQ.GIROFREEZER (1)</v>
      </c>
      <c r="AH319" s="7" t="str">
        <f>Preencher!$B$3&amp;$U$8&amp;$V$8&amp;A319&amp;$AH$6</f>
        <v>JARINU-FRG958565MQ.GIROFREEZER (2)</v>
      </c>
      <c r="AI319" s="7" t="str">
        <f>Preencher!$B$3&amp;$U$8&amp;$V$8&amp;A319&amp;$AI$6</f>
        <v>JARINU-FRG958565MQ.GIROFREEZER REV04</v>
      </c>
      <c r="AJ319" s="7" t="str">
        <f>Preencher!$B$3&amp;$U$8&amp;$V$8&amp;A319&amp;$AJ$6</f>
        <v>JARINU-FRG958565MQ.GIROFREEZER (3)</v>
      </c>
      <c r="AK319" s="327">
        <f>IFERROR(SUMIF('BD Otimix'!A:A,'BD VOLUME'!AG319,'BD Otimix'!O:O)+SUMIF('BD Otimix'!A:A,'BD VOLUME'!AH319,'BD Otimix'!O:O)+SUMIF('BD Otimix'!A:A,'BD VOLUME'!AI319,'BD Otimix'!O:O)+SUMIF('BD Otimix'!A:A,'BD VOLUME'!AJ319,'BD Otimix'!O:O)+SUMIF('BD Otimix'!A:A,'BD VOLUME'!AF319,'BD Otimix'!O:O),0)</f>
        <v>0</v>
      </c>
      <c r="AL319" s="7">
        <f t="shared" si="75"/>
        <v>0</v>
      </c>
    </row>
    <row r="320" spans="1:38" s="4" customFormat="1" ht="14.25">
      <c r="A320" s="27">
        <v>958573</v>
      </c>
      <c r="B320" s="27" t="s">
        <v>2322</v>
      </c>
      <c r="C320" s="75" t="s">
        <v>2247</v>
      </c>
      <c r="D320" s="75" t="s">
        <v>867</v>
      </c>
      <c r="E320" s="5" t="s">
        <v>2390</v>
      </c>
      <c r="F320" s="132">
        <f>SUMIF('COLAR PLANO'!$A:$A,A320,'COLAR PLANO'!$D:$D)</f>
        <v>0</v>
      </c>
      <c r="G320" s="131">
        <f t="shared" si="69"/>
        <v>0</v>
      </c>
      <c r="H320" s="6">
        <v>0.21989999999999998</v>
      </c>
      <c r="I320" s="7">
        <f t="shared" si="70"/>
        <v>0</v>
      </c>
      <c r="J320" s="130">
        <f t="shared" si="76"/>
        <v>0</v>
      </c>
      <c r="K320" s="122">
        <v>1</v>
      </c>
      <c r="L320" s="122">
        <v>12</v>
      </c>
      <c r="M320" s="122">
        <v>12</v>
      </c>
      <c r="N320" s="311">
        <f t="shared" si="78"/>
        <v>0</v>
      </c>
      <c r="O320" s="311">
        <f t="shared" si="73"/>
        <v>0</v>
      </c>
      <c r="P320" s="311"/>
      <c r="Q320" s="311"/>
      <c r="R320" s="311"/>
      <c r="S320" s="111"/>
      <c r="T320" s="111"/>
      <c r="U320" s="7" t="s">
        <v>2288</v>
      </c>
      <c r="V320" s="7" t="s">
        <v>2289</v>
      </c>
      <c r="W320" s="7" t="str">
        <f>Preencher!$B$3&amp;U320&amp;V320&amp;A320&amp;$W$6</f>
        <v>JARINU-FRG958573MQ.TUNEL DE CG (CONTINUO)</v>
      </c>
      <c r="X320" s="7" t="str">
        <f>Preencher!$B$3&amp;U320&amp;V320&amp;A320&amp;$X$6</f>
        <v>JARINU-FRG958573MQ.TUNEL DE CG (CONTINUO) (1)</v>
      </c>
      <c r="Y320" s="7" t="str">
        <f>Preencher!$B$3&amp;U320&amp;V320&amp;A320&amp;$Y$6</f>
        <v>JARINU-FRG958573MQ.TUNEL DE CG (CONTINUO) (2)</v>
      </c>
      <c r="Z320" s="7" t="str">
        <f>Preencher!$B$3&amp;U320&amp;V320&amp;A320&amp;$Z$6</f>
        <v>JARINU-FRG958573MQ.TUNEL DE CG (CONTINUO) (3)</v>
      </c>
      <c r="AA320" s="7" t="str">
        <f>Preencher!$B$3&amp;U320&amp;V320&amp;A320&amp;$AA$6</f>
        <v>JARINU-FRG958573MQ.TUNEL DE CG (ESTATICO)</v>
      </c>
      <c r="AB320" s="7" t="str">
        <f>Preencher!$B$3&amp;U320&amp;V320&amp;A320&amp;$AB$6</f>
        <v>JARINU-FRG958573MQ.TUNEL DE CG (ESTATICO) (1)</v>
      </c>
      <c r="AC320" s="7" t="str">
        <f>Preencher!$B$3&amp;U320&amp;V320&amp;A320&amp;$AC$6</f>
        <v>JARINU-FRG958573MQ.TUNEL DE CG (ESTATICO) (2)</v>
      </c>
      <c r="AD320" s="327">
        <f>IFERROR(SUMIF('BD Otimix'!A:A,'BD VOLUME'!X320,'BD Otimix'!O:O)+SUMIF('BD Otimix'!A:A,'BD VOLUME'!Y320,'BD Otimix'!O:O)+SUMIF('BD Otimix'!A:A,'BD VOLUME'!Z320,'BD Otimix'!O:O)+SUMIF('BD Otimix'!A:A,'BD VOLUME'!AA320,'BD Otimix'!O:O)+SUMIF('BD Otimix'!A:A,'BD VOLUME'!AB320,'BD Otimix'!O:O)+SUMIF('BD Otimix'!A:A,'BD VOLUME'!AC320,'BD Otimix'!O:O)+SUMIF('BD Otimix'!A:A,'BD VOLUME'!W320,'BD Otimix'!O:O),0)</f>
        <v>0</v>
      </c>
      <c r="AE320" s="327">
        <f t="shared" si="74"/>
        <v>0</v>
      </c>
      <c r="AF320" s="7" t="str">
        <f>Preencher!$B$3&amp;$U$8&amp;$V$8&amp;A320&amp;$AF$6</f>
        <v>JARINU-FRG958573MQ.GIROFREEZER</v>
      </c>
      <c r="AG320" s="7" t="str">
        <f>Preencher!$B$3&amp;$U$8&amp;$V$8&amp;A320&amp;$AG$6</f>
        <v>JARINU-FRG958573MQ.GIROFREEZER (1)</v>
      </c>
      <c r="AH320" s="7" t="str">
        <f>Preencher!$B$3&amp;$U$8&amp;$V$8&amp;A320&amp;$AH$6</f>
        <v>JARINU-FRG958573MQ.GIROFREEZER (2)</v>
      </c>
      <c r="AI320" s="7" t="str">
        <f>Preencher!$B$3&amp;$U$8&amp;$V$8&amp;A320&amp;$AI$6</f>
        <v>JARINU-FRG958573MQ.GIROFREEZER REV04</v>
      </c>
      <c r="AJ320" s="7" t="str">
        <f>Preencher!$B$3&amp;$U$8&amp;$V$8&amp;A320&amp;$AJ$6</f>
        <v>JARINU-FRG958573MQ.GIROFREEZER (3)</v>
      </c>
      <c r="AK320" s="327">
        <f>IFERROR(SUMIF('BD Otimix'!A:A,'BD VOLUME'!AG320,'BD Otimix'!O:O)+SUMIF('BD Otimix'!A:A,'BD VOLUME'!AH320,'BD Otimix'!O:O)+SUMIF('BD Otimix'!A:A,'BD VOLUME'!AI320,'BD Otimix'!O:O)+SUMIF('BD Otimix'!A:A,'BD VOLUME'!AJ320,'BD Otimix'!O:O)+SUMIF('BD Otimix'!A:A,'BD VOLUME'!AF320,'BD Otimix'!O:O),0)</f>
        <v>0</v>
      </c>
      <c r="AL320" s="7">
        <f t="shared" si="75"/>
        <v>0</v>
      </c>
    </row>
    <row r="321" spans="1:38" s="4" customFormat="1" ht="14.25">
      <c r="A321" s="27">
        <v>205108</v>
      </c>
      <c r="B321" s="27" t="s">
        <v>1022</v>
      </c>
      <c r="C321" s="75" t="s">
        <v>2323</v>
      </c>
      <c r="D321" s="75" t="s">
        <v>867</v>
      </c>
      <c r="E321" s="5" t="s">
        <v>2390</v>
      </c>
      <c r="F321" s="132">
        <f>SUMIF('COLAR PLANO'!$A:$A,A321,'COLAR PLANO'!$D:$D)</f>
        <v>0</v>
      </c>
      <c r="G321" s="131">
        <f t="shared" si="69"/>
        <v>0</v>
      </c>
      <c r="H321" s="6">
        <v>0.21989999999999998</v>
      </c>
      <c r="I321" s="7">
        <f t="shared" si="70"/>
        <v>0</v>
      </c>
      <c r="J321" s="130">
        <f t="shared" si="76"/>
        <v>0</v>
      </c>
      <c r="K321" s="648">
        <v>0.60000000000000009</v>
      </c>
      <c r="L321" s="122">
        <v>18</v>
      </c>
      <c r="M321" s="122">
        <v>10.8</v>
      </c>
      <c r="N321" s="311">
        <f t="shared" si="78"/>
        <v>0</v>
      </c>
      <c r="O321" s="311">
        <f t="shared" si="73"/>
        <v>0</v>
      </c>
      <c r="P321" s="311"/>
      <c r="Q321" s="311"/>
      <c r="R321" s="311"/>
      <c r="S321" s="111"/>
      <c r="T321" s="111"/>
      <c r="U321" s="7" t="s">
        <v>2288</v>
      </c>
      <c r="V321" s="7" t="s">
        <v>2289</v>
      </c>
      <c r="W321" s="7" t="str">
        <f>Preencher!$B$3&amp;U321&amp;V321&amp;A321&amp;$W$6</f>
        <v>JARINU-FRG205108MQ.TUNEL DE CG (CONTINUO)</v>
      </c>
      <c r="X321" s="7" t="str">
        <f>Preencher!$B$3&amp;U321&amp;V321&amp;A321&amp;$X$6</f>
        <v>JARINU-FRG205108MQ.TUNEL DE CG (CONTINUO) (1)</v>
      </c>
      <c r="Y321" s="7" t="str">
        <f>Preencher!$B$3&amp;U321&amp;V321&amp;A321&amp;$Y$6</f>
        <v>JARINU-FRG205108MQ.TUNEL DE CG (CONTINUO) (2)</v>
      </c>
      <c r="Z321" s="7" t="str">
        <f>Preencher!$B$3&amp;U321&amp;V321&amp;A321&amp;$Z$6</f>
        <v>JARINU-FRG205108MQ.TUNEL DE CG (CONTINUO) (3)</v>
      </c>
      <c r="AA321" s="7" t="str">
        <f>Preencher!$B$3&amp;U321&amp;V321&amp;A321&amp;$AA$6</f>
        <v>JARINU-FRG205108MQ.TUNEL DE CG (ESTATICO)</v>
      </c>
      <c r="AB321" s="7" t="str">
        <f>Preencher!$B$3&amp;U321&amp;V321&amp;A321&amp;$AB$6</f>
        <v>JARINU-FRG205108MQ.TUNEL DE CG (ESTATICO) (1)</v>
      </c>
      <c r="AC321" s="7" t="str">
        <f>Preencher!$B$3&amp;U321&amp;V321&amp;A321&amp;$AC$6</f>
        <v>JARINU-FRG205108MQ.TUNEL DE CG (ESTATICO) (2)</v>
      </c>
      <c r="AD321" s="327">
        <f>IFERROR(SUMIF('BD Otimix'!A:A,'BD VOLUME'!X321,'BD Otimix'!O:O)+SUMIF('BD Otimix'!A:A,'BD VOLUME'!Y321,'BD Otimix'!O:O)+SUMIF('BD Otimix'!A:A,'BD VOLUME'!Z321,'BD Otimix'!O:O)+SUMIF('BD Otimix'!A:A,'BD VOLUME'!AA321,'BD Otimix'!O:O)+SUMIF('BD Otimix'!A:A,'BD VOLUME'!AB321,'BD Otimix'!O:O)+SUMIF('BD Otimix'!A:A,'BD VOLUME'!AC321,'BD Otimix'!O:O)+SUMIF('BD Otimix'!A:A,'BD VOLUME'!W321,'BD Otimix'!O:O),0)</f>
        <v>0</v>
      </c>
      <c r="AE321" s="327">
        <f t="shared" si="74"/>
        <v>0</v>
      </c>
      <c r="AF321" s="7" t="str">
        <f>Preencher!$B$3&amp;$U$8&amp;$V$8&amp;A321&amp;$AF$6</f>
        <v>JARINU-FRG205108MQ.GIROFREEZER</v>
      </c>
      <c r="AG321" s="7" t="str">
        <f>Preencher!$B$3&amp;$U$8&amp;$V$8&amp;A321&amp;$AG$6</f>
        <v>JARINU-FRG205108MQ.GIROFREEZER (1)</v>
      </c>
      <c r="AH321" s="7" t="str">
        <f>Preencher!$B$3&amp;$U$8&amp;$V$8&amp;A321&amp;$AH$6</f>
        <v>JARINU-FRG205108MQ.GIROFREEZER (2)</v>
      </c>
      <c r="AI321" s="7" t="str">
        <f>Preencher!$B$3&amp;$U$8&amp;$V$8&amp;A321&amp;$AI$6</f>
        <v>JARINU-FRG205108MQ.GIROFREEZER REV04</v>
      </c>
      <c r="AJ321" s="7" t="str">
        <f>Preencher!$B$3&amp;$U$8&amp;$V$8&amp;A321&amp;$AJ$6</f>
        <v>JARINU-FRG205108MQ.GIROFREEZER (3)</v>
      </c>
      <c r="AK321" s="327">
        <f>IFERROR(SUMIF('BD Otimix'!A:A,'BD VOLUME'!AG321,'BD Otimix'!O:O)+SUMIF('BD Otimix'!A:A,'BD VOLUME'!AH321,'BD Otimix'!O:O)+SUMIF('BD Otimix'!A:A,'BD VOLUME'!AI321,'BD Otimix'!O:O)+SUMIF('BD Otimix'!A:A,'BD VOLUME'!AJ321,'BD Otimix'!O:O)+SUMIF('BD Otimix'!A:A,'BD VOLUME'!AF321,'BD Otimix'!O:O),0)</f>
        <v>0</v>
      </c>
      <c r="AL321" s="7">
        <f t="shared" si="75"/>
        <v>0</v>
      </c>
    </row>
    <row r="322" spans="1:38" s="4" customFormat="1" ht="14.25">
      <c r="A322" s="27">
        <v>205669</v>
      </c>
      <c r="B322" s="27"/>
      <c r="C322" s="75" t="s">
        <v>2324</v>
      </c>
      <c r="D322" s="75" t="s">
        <v>867</v>
      </c>
      <c r="E322" s="5" t="s">
        <v>2390</v>
      </c>
      <c r="F322" s="132">
        <f>SUMIF('COLAR PLANO'!$A:$A,A322,'COLAR PLANO'!$D:$D)</f>
        <v>0</v>
      </c>
      <c r="G322" s="131">
        <f t="shared" si="69"/>
        <v>0</v>
      </c>
      <c r="H322" s="6">
        <v>0.21989999999999998</v>
      </c>
      <c r="I322" s="7">
        <f t="shared" si="70"/>
        <v>0</v>
      </c>
      <c r="J322" s="130">
        <f t="shared" si="76"/>
        <v>0</v>
      </c>
      <c r="K322" s="648">
        <v>2</v>
      </c>
      <c r="L322" s="122">
        <v>6</v>
      </c>
      <c r="M322" s="122">
        <v>12</v>
      </c>
      <c r="N322" s="311">
        <f t="shared" si="78"/>
        <v>0</v>
      </c>
      <c r="O322" s="311">
        <f t="shared" si="73"/>
        <v>0</v>
      </c>
      <c r="P322" s="311"/>
      <c r="Q322" s="311"/>
      <c r="R322" s="311"/>
      <c r="S322" s="111"/>
      <c r="T322" s="111"/>
      <c r="U322" s="7" t="s">
        <v>2288</v>
      </c>
      <c r="V322" s="7" t="s">
        <v>2289</v>
      </c>
      <c r="W322" s="7" t="str">
        <f>Preencher!$B$3&amp;U322&amp;V322&amp;A322&amp;$W$6</f>
        <v>JARINU-FRG205669MQ.TUNEL DE CG (CONTINUO)</v>
      </c>
      <c r="X322" s="7" t="str">
        <f>Preencher!$B$3&amp;U322&amp;V322&amp;A322&amp;$X$6</f>
        <v>JARINU-FRG205669MQ.TUNEL DE CG (CONTINUO) (1)</v>
      </c>
      <c r="Y322" s="7" t="str">
        <f>Preencher!$B$3&amp;U322&amp;V322&amp;A322&amp;$Y$6</f>
        <v>JARINU-FRG205669MQ.TUNEL DE CG (CONTINUO) (2)</v>
      </c>
      <c r="Z322" s="7" t="str">
        <f>Preencher!$B$3&amp;U322&amp;V322&amp;A322&amp;$Z$6</f>
        <v>JARINU-FRG205669MQ.TUNEL DE CG (CONTINUO) (3)</v>
      </c>
      <c r="AA322" s="7" t="str">
        <f>Preencher!$B$3&amp;U322&amp;V322&amp;A322&amp;$AA$6</f>
        <v>JARINU-FRG205669MQ.TUNEL DE CG (ESTATICO)</v>
      </c>
      <c r="AB322" s="7" t="str">
        <f>Preencher!$B$3&amp;U322&amp;V322&amp;A322&amp;$AB$6</f>
        <v>JARINU-FRG205669MQ.TUNEL DE CG (ESTATICO) (1)</v>
      </c>
      <c r="AC322" s="7" t="str">
        <f>Preencher!$B$3&amp;U322&amp;V322&amp;A322&amp;$AC$6</f>
        <v>JARINU-FRG205669MQ.TUNEL DE CG (ESTATICO) (2)</v>
      </c>
      <c r="AD322" s="327">
        <f>IFERROR(SUMIF('BD Otimix'!A:A,'BD VOLUME'!X322,'BD Otimix'!O:O)+SUMIF('BD Otimix'!A:A,'BD VOLUME'!Y322,'BD Otimix'!O:O)+SUMIF('BD Otimix'!A:A,'BD VOLUME'!Z322,'BD Otimix'!O:O)+SUMIF('BD Otimix'!A:A,'BD VOLUME'!AA322,'BD Otimix'!O:O)+SUMIF('BD Otimix'!A:A,'BD VOLUME'!AB322,'BD Otimix'!O:O)+SUMIF('BD Otimix'!A:A,'BD VOLUME'!AC322,'BD Otimix'!O:O)+SUMIF('BD Otimix'!A:A,'BD VOLUME'!W322,'BD Otimix'!O:O),0)</f>
        <v>0</v>
      </c>
      <c r="AE322" s="327">
        <f t="shared" si="74"/>
        <v>0</v>
      </c>
      <c r="AF322" s="7" t="str">
        <f>Preencher!$B$3&amp;$U$8&amp;$V$8&amp;A322&amp;$AF$6</f>
        <v>JARINU-FRG205669MQ.GIROFREEZER</v>
      </c>
      <c r="AG322" s="7" t="str">
        <f>Preencher!$B$3&amp;$U$8&amp;$V$8&amp;A322&amp;$AG$6</f>
        <v>JARINU-FRG205669MQ.GIROFREEZER (1)</v>
      </c>
      <c r="AH322" s="7" t="str">
        <f>Preencher!$B$3&amp;$U$8&amp;$V$8&amp;A322&amp;$AH$6</f>
        <v>JARINU-FRG205669MQ.GIROFREEZER (2)</v>
      </c>
      <c r="AI322" s="7" t="str">
        <f>Preencher!$B$3&amp;$U$8&amp;$V$8&amp;A322&amp;$AI$6</f>
        <v>JARINU-FRG205669MQ.GIROFREEZER REV04</v>
      </c>
      <c r="AJ322" s="7" t="str">
        <f>Preencher!$B$3&amp;$U$8&amp;$V$8&amp;A322&amp;$AJ$6</f>
        <v>JARINU-FRG205669MQ.GIROFREEZER (3)</v>
      </c>
      <c r="AK322" s="327">
        <f>IFERROR(SUMIF('BD Otimix'!A:A,'BD VOLUME'!AG322,'BD Otimix'!O:O)+SUMIF('BD Otimix'!A:A,'BD VOLUME'!AH322,'BD Otimix'!O:O)+SUMIF('BD Otimix'!A:A,'BD VOLUME'!AI322,'BD Otimix'!O:O)+SUMIF('BD Otimix'!A:A,'BD VOLUME'!AJ322,'BD Otimix'!O:O)+SUMIF('BD Otimix'!A:A,'BD VOLUME'!AF322,'BD Otimix'!O:O),0)</f>
        <v>0</v>
      </c>
      <c r="AL322" s="7">
        <f t="shared" si="75"/>
        <v>0</v>
      </c>
    </row>
    <row r="323" spans="1:38" s="4" customFormat="1" ht="14.25">
      <c r="A323" s="27">
        <v>790095</v>
      </c>
      <c r="B323" s="27" t="s">
        <v>2030</v>
      </c>
      <c r="C323" s="75" t="s">
        <v>2031</v>
      </c>
      <c r="D323" s="75" t="s">
        <v>867</v>
      </c>
      <c r="E323" s="5" t="s">
        <v>2119</v>
      </c>
      <c r="F323" s="132">
        <f>SUMIF('COLAR PLANO'!$A:$A,A323,'COLAR PLANO'!$D:$D)</f>
        <v>0</v>
      </c>
      <c r="G323" s="131">
        <f t="shared" si="69"/>
        <v>0</v>
      </c>
      <c r="H323" s="6">
        <v>0.21989999999999998</v>
      </c>
      <c r="I323" s="7">
        <f t="shared" si="70"/>
        <v>0</v>
      </c>
      <c r="J323" s="130">
        <f t="shared" si="76"/>
        <v>0</v>
      </c>
      <c r="K323" s="122">
        <v>1</v>
      </c>
      <c r="L323" s="122">
        <v>12</v>
      </c>
      <c r="M323" s="122">
        <v>12</v>
      </c>
      <c r="N323" s="311">
        <f t="shared" si="78"/>
        <v>0</v>
      </c>
      <c r="O323" s="311">
        <f t="shared" si="73"/>
        <v>0</v>
      </c>
      <c r="P323" s="311"/>
      <c r="Q323" s="311"/>
      <c r="R323" s="311"/>
      <c r="S323" s="111"/>
      <c r="T323" s="111"/>
      <c r="U323" s="7" t="s">
        <v>2288</v>
      </c>
      <c r="V323" s="7" t="s">
        <v>2289</v>
      </c>
      <c r="W323" s="7" t="str">
        <f>Preencher!$B$3&amp;U323&amp;V323&amp;A323&amp;$W$6</f>
        <v>JARINU-FRG790095MQ.TUNEL DE CG (CONTINUO)</v>
      </c>
      <c r="X323" s="7" t="str">
        <f>Preencher!$B$3&amp;U323&amp;V323&amp;A323&amp;$X$6</f>
        <v>JARINU-FRG790095MQ.TUNEL DE CG (CONTINUO) (1)</v>
      </c>
      <c r="Y323" s="7" t="str">
        <f>Preencher!$B$3&amp;U323&amp;V323&amp;A323&amp;$Y$6</f>
        <v>JARINU-FRG790095MQ.TUNEL DE CG (CONTINUO) (2)</v>
      </c>
      <c r="Z323" s="7" t="str">
        <f>Preencher!$B$3&amp;U323&amp;V323&amp;A323&amp;$Z$6</f>
        <v>JARINU-FRG790095MQ.TUNEL DE CG (CONTINUO) (3)</v>
      </c>
      <c r="AA323" s="7" t="str">
        <f>Preencher!$B$3&amp;U323&amp;V323&amp;A323&amp;$AA$6</f>
        <v>JARINU-FRG790095MQ.TUNEL DE CG (ESTATICO)</v>
      </c>
      <c r="AB323" s="7" t="str">
        <f>Preencher!$B$3&amp;U323&amp;V323&amp;A323&amp;$AB$6</f>
        <v>JARINU-FRG790095MQ.TUNEL DE CG (ESTATICO) (1)</v>
      </c>
      <c r="AC323" s="7" t="str">
        <f>Preencher!$B$3&amp;U323&amp;V323&amp;A323&amp;$AC$6</f>
        <v>JARINU-FRG790095MQ.TUNEL DE CG (ESTATICO) (2)</v>
      </c>
      <c r="AD323" s="327">
        <f>IFERROR(SUMIF('BD Otimix'!A:A,'BD VOLUME'!X323,'BD Otimix'!O:O)+SUMIF('BD Otimix'!A:A,'BD VOLUME'!Y323,'BD Otimix'!O:O)+SUMIF('BD Otimix'!A:A,'BD VOLUME'!Z323,'BD Otimix'!O:O)+SUMIF('BD Otimix'!A:A,'BD VOLUME'!AA323,'BD Otimix'!O:O)+SUMIF('BD Otimix'!A:A,'BD VOLUME'!AB323,'BD Otimix'!O:O)+SUMIF('BD Otimix'!A:A,'BD VOLUME'!AC323,'BD Otimix'!O:O)+SUMIF('BD Otimix'!A:A,'BD VOLUME'!W323,'BD Otimix'!O:O),0)</f>
        <v>0</v>
      </c>
      <c r="AE323" s="327">
        <f t="shared" si="74"/>
        <v>0</v>
      </c>
      <c r="AF323" s="7" t="str">
        <f>Preencher!$B$3&amp;$U$8&amp;$V$8&amp;A323&amp;$AF$6</f>
        <v>JARINU-FRG790095MQ.GIROFREEZER</v>
      </c>
      <c r="AG323" s="7" t="str">
        <f>Preencher!$B$3&amp;$U$8&amp;$V$8&amp;A323&amp;$AG$6</f>
        <v>JARINU-FRG790095MQ.GIROFREEZER (1)</v>
      </c>
      <c r="AH323" s="7" t="str">
        <f>Preencher!$B$3&amp;$U$8&amp;$V$8&amp;A323&amp;$AH$6</f>
        <v>JARINU-FRG790095MQ.GIROFREEZER (2)</v>
      </c>
      <c r="AI323" s="7" t="str">
        <f>Preencher!$B$3&amp;$U$8&amp;$V$8&amp;A323&amp;$AI$6</f>
        <v>JARINU-FRG790095MQ.GIROFREEZER REV04</v>
      </c>
      <c r="AJ323" s="7" t="str">
        <f>Preencher!$B$3&amp;$U$8&amp;$V$8&amp;A323&amp;$AJ$6</f>
        <v>JARINU-FRG790095MQ.GIROFREEZER (3)</v>
      </c>
      <c r="AK323" s="327">
        <f>IFERROR(SUMIF('BD Otimix'!A:A,'BD VOLUME'!AG323,'BD Otimix'!O:O)+SUMIF('BD Otimix'!A:A,'BD VOLUME'!AH323,'BD Otimix'!O:O)+SUMIF('BD Otimix'!A:A,'BD VOLUME'!AI323,'BD Otimix'!O:O)+SUMIF('BD Otimix'!A:A,'BD VOLUME'!AJ323,'BD Otimix'!O:O)+SUMIF('BD Otimix'!A:A,'BD VOLUME'!AF323,'BD Otimix'!O:O),0)</f>
        <v>0</v>
      </c>
      <c r="AL323" s="7">
        <f t="shared" si="75"/>
        <v>0</v>
      </c>
    </row>
    <row r="324" spans="1:38" s="4" customFormat="1" ht="14.25">
      <c r="A324" s="27">
        <v>956368</v>
      </c>
      <c r="B324" s="27" t="s">
        <v>2037</v>
      </c>
      <c r="C324" s="75" t="s">
        <v>2036</v>
      </c>
      <c r="D324" s="75" t="s">
        <v>867</v>
      </c>
      <c r="E324" s="5" t="s">
        <v>2119</v>
      </c>
      <c r="F324" s="132">
        <f>SUMIF('COLAR PLANO'!$A:$A,A324,'COLAR PLANO'!$D:$D)</f>
        <v>0</v>
      </c>
      <c r="G324" s="131">
        <f t="shared" si="69"/>
        <v>0</v>
      </c>
      <c r="H324" s="6">
        <v>0.21989999999999998</v>
      </c>
      <c r="I324" s="7">
        <f t="shared" si="70"/>
        <v>0</v>
      </c>
      <c r="J324" s="130">
        <f t="shared" si="76"/>
        <v>0</v>
      </c>
      <c r="K324" s="122">
        <v>1</v>
      </c>
      <c r="L324" s="122">
        <v>6</v>
      </c>
      <c r="M324" s="122">
        <v>6</v>
      </c>
      <c r="N324" s="311">
        <f t="shared" si="78"/>
        <v>0</v>
      </c>
      <c r="O324" s="311">
        <f t="shared" si="73"/>
        <v>0</v>
      </c>
      <c r="P324" s="311"/>
      <c r="Q324" s="311"/>
      <c r="R324" s="311"/>
      <c r="S324" s="111"/>
      <c r="T324" s="111"/>
      <c r="U324" s="7" t="s">
        <v>2288</v>
      </c>
      <c r="V324" s="7" t="s">
        <v>2289</v>
      </c>
      <c r="W324" s="7" t="str">
        <f>Preencher!$B$3&amp;U324&amp;V324&amp;A324&amp;$W$6</f>
        <v>JARINU-FRG956368MQ.TUNEL DE CG (CONTINUO)</v>
      </c>
      <c r="X324" s="7" t="str">
        <f>Preencher!$B$3&amp;U324&amp;V324&amp;A324&amp;$X$6</f>
        <v>JARINU-FRG956368MQ.TUNEL DE CG (CONTINUO) (1)</v>
      </c>
      <c r="Y324" s="7" t="str">
        <f>Preencher!$B$3&amp;U324&amp;V324&amp;A324&amp;$Y$6</f>
        <v>JARINU-FRG956368MQ.TUNEL DE CG (CONTINUO) (2)</v>
      </c>
      <c r="Z324" s="7" t="str">
        <f>Preencher!$B$3&amp;U324&amp;V324&amp;A324&amp;$Z$6</f>
        <v>JARINU-FRG956368MQ.TUNEL DE CG (CONTINUO) (3)</v>
      </c>
      <c r="AA324" s="7" t="str">
        <f>Preencher!$B$3&amp;U324&amp;V324&amp;A324&amp;$AA$6</f>
        <v>JARINU-FRG956368MQ.TUNEL DE CG (ESTATICO)</v>
      </c>
      <c r="AB324" s="7" t="str">
        <f>Preencher!$B$3&amp;U324&amp;V324&amp;A324&amp;$AB$6</f>
        <v>JARINU-FRG956368MQ.TUNEL DE CG (ESTATICO) (1)</v>
      </c>
      <c r="AC324" s="7" t="str">
        <f>Preencher!$B$3&amp;U324&amp;V324&amp;A324&amp;$AC$6</f>
        <v>JARINU-FRG956368MQ.TUNEL DE CG (ESTATICO) (2)</v>
      </c>
      <c r="AD324" s="327">
        <f>IFERROR(SUMIF('BD Otimix'!A:A,'BD VOLUME'!X324,'BD Otimix'!O:O)+SUMIF('BD Otimix'!A:A,'BD VOLUME'!Y324,'BD Otimix'!O:O)+SUMIF('BD Otimix'!A:A,'BD VOLUME'!Z324,'BD Otimix'!O:O)+SUMIF('BD Otimix'!A:A,'BD VOLUME'!AA324,'BD Otimix'!O:O)+SUMIF('BD Otimix'!A:A,'BD VOLUME'!AB324,'BD Otimix'!O:O)+SUMIF('BD Otimix'!A:A,'BD VOLUME'!AC324,'BD Otimix'!O:O)+SUMIF('BD Otimix'!A:A,'BD VOLUME'!W324,'BD Otimix'!O:O),0)</f>
        <v>0</v>
      </c>
      <c r="AE324" s="327">
        <f t="shared" si="74"/>
        <v>0</v>
      </c>
      <c r="AF324" s="7" t="str">
        <f>Preencher!$B$3&amp;$U$8&amp;$V$8&amp;A324&amp;$AF$6</f>
        <v>JARINU-FRG956368MQ.GIROFREEZER</v>
      </c>
      <c r="AG324" s="7" t="str">
        <f>Preencher!$B$3&amp;$U$8&amp;$V$8&amp;A324&amp;$AG$6</f>
        <v>JARINU-FRG956368MQ.GIROFREEZER (1)</v>
      </c>
      <c r="AH324" s="7" t="str">
        <f>Preencher!$B$3&amp;$U$8&amp;$V$8&amp;A324&amp;$AH$6</f>
        <v>JARINU-FRG956368MQ.GIROFREEZER (2)</v>
      </c>
      <c r="AI324" s="7" t="str">
        <f>Preencher!$B$3&amp;$U$8&amp;$V$8&amp;A324&amp;$AI$6</f>
        <v>JARINU-FRG956368MQ.GIROFREEZER REV04</v>
      </c>
      <c r="AJ324" s="7" t="str">
        <f>Preencher!$B$3&amp;$U$8&amp;$V$8&amp;A324&amp;$AJ$6</f>
        <v>JARINU-FRG956368MQ.GIROFREEZER (3)</v>
      </c>
      <c r="AK324" s="327">
        <f>IFERROR(SUMIF('BD Otimix'!A:A,'BD VOLUME'!AG324,'BD Otimix'!O:O)+SUMIF('BD Otimix'!A:A,'BD VOLUME'!AH324,'BD Otimix'!O:O)+SUMIF('BD Otimix'!A:A,'BD VOLUME'!AI324,'BD Otimix'!O:O)+SUMIF('BD Otimix'!A:A,'BD VOLUME'!AJ324,'BD Otimix'!O:O)+SUMIF('BD Otimix'!A:A,'BD VOLUME'!AF324,'BD Otimix'!O:O),0)</f>
        <v>0</v>
      </c>
      <c r="AL324" s="7">
        <f t="shared" si="75"/>
        <v>0</v>
      </c>
    </row>
    <row r="325" spans="1:38" s="4" customFormat="1" ht="14.25">
      <c r="A325" s="355">
        <v>124299</v>
      </c>
      <c r="B325" s="355" t="s">
        <v>1022</v>
      </c>
      <c r="C325" s="5" t="s">
        <v>1477</v>
      </c>
      <c r="D325" s="75" t="s">
        <v>867</v>
      </c>
      <c r="E325" s="5" t="s">
        <v>1478</v>
      </c>
      <c r="F325" s="132">
        <f>SUMIF('COLAR PLANO'!$A:$A,A325,'COLAR PLANO'!$D:$D)</f>
        <v>0</v>
      </c>
      <c r="G325" s="131">
        <f t="shared" ref="G325:G375" si="79">IFERROR(F325/($E$3*$C$3),0)</f>
        <v>0</v>
      </c>
      <c r="H325" s="6">
        <v>0.21679999999999999</v>
      </c>
      <c r="I325" s="7">
        <f t="shared" ref="I325:I375" si="80">IFERROR(G325/$D$3/H325,0)</f>
        <v>0</v>
      </c>
      <c r="J325" s="130">
        <f t="shared" si="76"/>
        <v>0</v>
      </c>
      <c r="K325" s="122">
        <v>1</v>
      </c>
      <c r="L325" s="122">
        <v>20</v>
      </c>
      <c r="M325" s="122">
        <v>20</v>
      </c>
      <c r="N325" s="311">
        <f t="shared" si="77"/>
        <v>0</v>
      </c>
      <c r="O325" s="311">
        <f t="shared" si="73"/>
        <v>0</v>
      </c>
      <c r="P325" s="311"/>
      <c r="Q325" s="311"/>
      <c r="R325" s="311"/>
      <c r="S325" s="7"/>
      <c r="T325" s="7"/>
      <c r="U325" s="7" t="s">
        <v>2288</v>
      </c>
      <c r="V325" s="7" t="s">
        <v>2289</v>
      </c>
      <c r="W325" s="7" t="str">
        <f>Preencher!$B$3&amp;U325&amp;V325&amp;A325&amp;$W$6</f>
        <v>JARINU-FRG124299MQ.TUNEL DE CG (CONTINUO)</v>
      </c>
      <c r="X325" s="7" t="str">
        <f>Preencher!$B$3&amp;U325&amp;V325&amp;A325&amp;$X$6</f>
        <v>JARINU-FRG124299MQ.TUNEL DE CG (CONTINUO) (1)</v>
      </c>
      <c r="Y325" s="7" t="str">
        <f>Preencher!$B$3&amp;U325&amp;V325&amp;A325&amp;$Y$6</f>
        <v>JARINU-FRG124299MQ.TUNEL DE CG (CONTINUO) (2)</v>
      </c>
      <c r="Z325" s="7" t="str">
        <f>Preencher!$B$3&amp;U325&amp;V325&amp;A325&amp;$Z$6</f>
        <v>JARINU-FRG124299MQ.TUNEL DE CG (CONTINUO) (3)</v>
      </c>
      <c r="AA325" s="7" t="str">
        <f>Preencher!$B$3&amp;U325&amp;V325&amp;A325&amp;$AA$6</f>
        <v>JARINU-FRG124299MQ.TUNEL DE CG (ESTATICO)</v>
      </c>
      <c r="AB325" s="7" t="str">
        <f>Preencher!$B$3&amp;U325&amp;V325&amp;A325&amp;$AB$6</f>
        <v>JARINU-FRG124299MQ.TUNEL DE CG (ESTATICO) (1)</v>
      </c>
      <c r="AC325" s="7" t="str">
        <f>Preencher!$B$3&amp;U325&amp;V325&amp;A325&amp;$AC$6</f>
        <v>JARINU-FRG124299MQ.TUNEL DE CG (ESTATICO) (2)</v>
      </c>
      <c r="AD325" s="327">
        <f>IFERROR(SUMIF('BD Otimix'!A:A,'BD VOLUME'!X325,'BD Otimix'!O:O)+SUMIF('BD Otimix'!A:A,'BD VOLUME'!Y325,'BD Otimix'!O:O)+SUMIF('BD Otimix'!A:A,'BD VOLUME'!Z325,'BD Otimix'!O:O)+SUMIF('BD Otimix'!A:A,'BD VOLUME'!AA325,'BD Otimix'!O:O)+SUMIF('BD Otimix'!A:A,'BD VOLUME'!AB325,'BD Otimix'!O:O)+SUMIF('BD Otimix'!A:A,'BD VOLUME'!AC325,'BD Otimix'!O:O)+SUMIF('BD Otimix'!A:A,'BD VOLUME'!W325,'BD Otimix'!O:O),0)</f>
        <v>0</v>
      </c>
      <c r="AE325" s="327">
        <f t="shared" si="74"/>
        <v>0</v>
      </c>
      <c r="AF325" s="7" t="str">
        <f>Preencher!$B$3&amp;$U$8&amp;$V$8&amp;A325&amp;$AF$6</f>
        <v>JARINU-FRG124299MQ.GIROFREEZER</v>
      </c>
      <c r="AG325" s="7" t="str">
        <f>Preencher!$B$3&amp;$U$8&amp;$V$8&amp;A325&amp;$AG$6</f>
        <v>JARINU-FRG124299MQ.GIROFREEZER (1)</v>
      </c>
      <c r="AH325" s="7" t="str">
        <f>Preencher!$B$3&amp;$U$8&amp;$V$8&amp;A325&amp;$AH$6</f>
        <v>JARINU-FRG124299MQ.GIROFREEZER (2)</v>
      </c>
      <c r="AI325" s="7" t="str">
        <f>Preencher!$B$3&amp;$U$8&amp;$V$8&amp;A325&amp;$AI$6</f>
        <v>JARINU-FRG124299MQ.GIROFREEZER REV04</v>
      </c>
      <c r="AJ325" s="7" t="str">
        <f>Preencher!$B$3&amp;$U$8&amp;$V$8&amp;A325&amp;$AJ$6</f>
        <v>JARINU-FRG124299MQ.GIROFREEZER (3)</v>
      </c>
      <c r="AK325" s="327">
        <f>IFERROR(SUMIF('BD Otimix'!A:A,'BD VOLUME'!AG325,'BD Otimix'!O:O)+SUMIF('BD Otimix'!A:A,'BD VOLUME'!AH325,'BD Otimix'!O:O)+SUMIF('BD Otimix'!A:A,'BD VOLUME'!AI325,'BD Otimix'!O:O)+SUMIF('BD Otimix'!A:A,'BD VOLUME'!AJ325,'BD Otimix'!O:O)+SUMIF('BD Otimix'!A:A,'BD VOLUME'!AF325,'BD Otimix'!O:O),0)</f>
        <v>0</v>
      </c>
      <c r="AL325" s="7">
        <f t="shared" si="75"/>
        <v>0</v>
      </c>
    </row>
    <row r="326" spans="1:38" s="4" customFormat="1" ht="14.25">
      <c r="A326" s="355">
        <v>18406</v>
      </c>
      <c r="B326" s="355" t="s">
        <v>1022</v>
      </c>
      <c r="C326" s="5" t="s">
        <v>1479</v>
      </c>
      <c r="D326" s="75" t="s">
        <v>867</v>
      </c>
      <c r="E326" s="5" t="s">
        <v>994</v>
      </c>
      <c r="F326" s="132">
        <f>SUMIF('COLAR PLANO'!$A:$A,A326,'COLAR PLANO'!$D:$D)</f>
        <v>0</v>
      </c>
      <c r="G326" s="131">
        <f t="shared" si="79"/>
        <v>0</v>
      </c>
      <c r="H326" s="6">
        <v>0.2147</v>
      </c>
      <c r="I326" s="7">
        <f t="shared" si="80"/>
        <v>0</v>
      </c>
      <c r="J326" s="130">
        <f t="shared" si="76"/>
        <v>0</v>
      </c>
      <c r="K326" s="122">
        <v>1</v>
      </c>
      <c r="L326" s="122">
        <v>20</v>
      </c>
      <c r="M326" s="122">
        <v>20</v>
      </c>
      <c r="N326" s="311">
        <f t="shared" si="77"/>
        <v>0</v>
      </c>
      <c r="O326" s="311">
        <f t="shared" si="73"/>
        <v>0</v>
      </c>
      <c r="P326" s="311"/>
      <c r="Q326" s="311"/>
      <c r="R326" s="311"/>
      <c r="S326" s="7"/>
      <c r="T326" s="7"/>
      <c r="U326" s="7" t="s">
        <v>2288</v>
      </c>
      <c r="V326" s="7" t="s">
        <v>2289</v>
      </c>
      <c r="W326" s="7" t="str">
        <f>Preencher!$B$3&amp;U326&amp;V326&amp;A326&amp;$W$6</f>
        <v>JARINU-FRG18406MQ.TUNEL DE CG (CONTINUO)</v>
      </c>
      <c r="X326" s="7" t="str">
        <f>Preencher!$B$3&amp;U326&amp;V326&amp;A326&amp;$X$6</f>
        <v>JARINU-FRG18406MQ.TUNEL DE CG (CONTINUO) (1)</v>
      </c>
      <c r="Y326" s="7" t="str">
        <f>Preencher!$B$3&amp;U326&amp;V326&amp;A326&amp;$Y$6</f>
        <v>JARINU-FRG18406MQ.TUNEL DE CG (CONTINUO) (2)</v>
      </c>
      <c r="Z326" s="7" t="str">
        <f>Preencher!$B$3&amp;U326&amp;V326&amp;A326&amp;$Z$6</f>
        <v>JARINU-FRG18406MQ.TUNEL DE CG (CONTINUO) (3)</v>
      </c>
      <c r="AA326" s="7" t="str">
        <f>Preencher!$B$3&amp;U326&amp;V326&amp;A326&amp;$AA$6</f>
        <v>JARINU-FRG18406MQ.TUNEL DE CG (ESTATICO)</v>
      </c>
      <c r="AB326" s="7" t="str">
        <f>Preencher!$B$3&amp;U326&amp;V326&amp;A326&amp;$AB$6</f>
        <v>JARINU-FRG18406MQ.TUNEL DE CG (ESTATICO) (1)</v>
      </c>
      <c r="AC326" s="7" t="str">
        <f>Preencher!$B$3&amp;U326&amp;V326&amp;A326&amp;$AC$6</f>
        <v>JARINU-FRG18406MQ.TUNEL DE CG (ESTATICO) (2)</v>
      </c>
      <c r="AD326" s="327">
        <f>IFERROR(SUMIF('BD Otimix'!A:A,'BD VOLUME'!X326,'BD Otimix'!O:O)+SUMIF('BD Otimix'!A:A,'BD VOLUME'!Y326,'BD Otimix'!O:O)+SUMIF('BD Otimix'!A:A,'BD VOLUME'!Z326,'BD Otimix'!O:O)+SUMIF('BD Otimix'!A:A,'BD VOLUME'!AA326,'BD Otimix'!O:O)+SUMIF('BD Otimix'!A:A,'BD VOLUME'!AB326,'BD Otimix'!O:O)+SUMIF('BD Otimix'!A:A,'BD VOLUME'!AC326,'BD Otimix'!O:O)+SUMIF('BD Otimix'!A:A,'BD VOLUME'!W326,'BD Otimix'!O:O),0)</f>
        <v>0</v>
      </c>
      <c r="AE326" s="327">
        <f t="shared" si="74"/>
        <v>0</v>
      </c>
      <c r="AF326" s="7" t="str">
        <f>Preencher!$B$3&amp;$U$8&amp;$V$8&amp;A326&amp;$AF$6</f>
        <v>JARINU-FRG18406MQ.GIROFREEZER</v>
      </c>
      <c r="AG326" s="7" t="str">
        <f>Preencher!$B$3&amp;$U$8&amp;$V$8&amp;A326&amp;$AG$6</f>
        <v>JARINU-FRG18406MQ.GIROFREEZER (1)</v>
      </c>
      <c r="AH326" s="7" t="str">
        <f>Preencher!$B$3&amp;$U$8&amp;$V$8&amp;A326&amp;$AH$6</f>
        <v>JARINU-FRG18406MQ.GIROFREEZER (2)</v>
      </c>
      <c r="AI326" s="7" t="str">
        <f>Preencher!$B$3&amp;$U$8&amp;$V$8&amp;A326&amp;$AI$6</f>
        <v>JARINU-FRG18406MQ.GIROFREEZER REV04</v>
      </c>
      <c r="AJ326" s="7" t="str">
        <f>Preencher!$B$3&amp;$U$8&amp;$V$8&amp;A326&amp;$AJ$6</f>
        <v>JARINU-FRG18406MQ.GIROFREEZER (3)</v>
      </c>
      <c r="AK326" s="327">
        <f>IFERROR(SUMIF('BD Otimix'!A:A,'BD VOLUME'!AG326,'BD Otimix'!O:O)+SUMIF('BD Otimix'!A:A,'BD VOLUME'!AH326,'BD Otimix'!O:O)+SUMIF('BD Otimix'!A:A,'BD VOLUME'!AI326,'BD Otimix'!O:O)+SUMIF('BD Otimix'!A:A,'BD VOLUME'!AJ326,'BD Otimix'!O:O)+SUMIF('BD Otimix'!A:A,'BD VOLUME'!AF326,'BD Otimix'!O:O),0)</f>
        <v>0</v>
      </c>
      <c r="AL326" s="7">
        <f t="shared" si="75"/>
        <v>0</v>
      </c>
    </row>
    <row r="327" spans="1:38" s="4" customFormat="1" ht="14.25">
      <c r="A327" s="355">
        <v>52337</v>
      </c>
      <c r="B327" s="355" t="s">
        <v>1480</v>
      </c>
      <c r="C327" s="5" t="s">
        <v>1089</v>
      </c>
      <c r="D327" s="75" t="s">
        <v>867</v>
      </c>
      <c r="E327" s="5" t="s">
        <v>1481</v>
      </c>
      <c r="F327" s="132">
        <f>SUMIF('COLAR PLANO'!$A:$A,A327,'COLAR PLANO'!$D:$D)</f>
        <v>0</v>
      </c>
      <c r="G327" s="131">
        <f t="shared" si="79"/>
        <v>0</v>
      </c>
      <c r="H327" s="6">
        <v>0.2147</v>
      </c>
      <c r="I327" s="7">
        <f t="shared" si="80"/>
        <v>0</v>
      </c>
      <c r="J327" s="130">
        <f t="shared" si="76"/>
        <v>0</v>
      </c>
      <c r="K327" s="122">
        <v>2</v>
      </c>
      <c r="L327" s="122">
        <v>6</v>
      </c>
      <c r="M327" s="122">
        <v>12</v>
      </c>
      <c r="N327" s="311">
        <f t="shared" si="77"/>
        <v>0</v>
      </c>
      <c r="O327" s="311"/>
      <c r="P327" s="311">
        <f t="shared" ref="P327:P340" si="81">IFERROR(G327/M327,"-")</f>
        <v>0</v>
      </c>
      <c r="Q327" s="311"/>
      <c r="R327" s="311"/>
      <c r="S327" s="7"/>
      <c r="T327" s="7"/>
      <c r="U327" s="7" t="s">
        <v>2288</v>
      </c>
      <c r="V327" s="7" t="s">
        <v>2289</v>
      </c>
      <c r="W327" s="7" t="str">
        <f>Preencher!$B$3&amp;U327&amp;V327&amp;A327&amp;$W$6</f>
        <v>JARINU-FRG52337MQ.TUNEL DE CG (CONTINUO)</v>
      </c>
      <c r="X327" s="7" t="str">
        <f>Preencher!$B$3&amp;U327&amp;V327&amp;A327&amp;$X$6</f>
        <v>JARINU-FRG52337MQ.TUNEL DE CG (CONTINUO) (1)</v>
      </c>
      <c r="Y327" s="7" t="str">
        <f>Preencher!$B$3&amp;U327&amp;V327&amp;A327&amp;$Y$6</f>
        <v>JARINU-FRG52337MQ.TUNEL DE CG (CONTINUO) (2)</v>
      </c>
      <c r="Z327" s="7" t="str">
        <f>Preencher!$B$3&amp;U327&amp;V327&amp;A327&amp;$Z$6</f>
        <v>JARINU-FRG52337MQ.TUNEL DE CG (CONTINUO) (3)</v>
      </c>
      <c r="AA327" s="7" t="str">
        <f>Preencher!$B$3&amp;U327&amp;V327&amp;A327&amp;$AA$6</f>
        <v>JARINU-FRG52337MQ.TUNEL DE CG (ESTATICO)</v>
      </c>
      <c r="AB327" s="7" t="str">
        <f>Preencher!$B$3&amp;U327&amp;V327&amp;A327&amp;$AB$6</f>
        <v>JARINU-FRG52337MQ.TUNEL DE CG (ESTATICO) (1)</v>
      </c>
      <c r="AC327" s="7" t="str">
        <f>Preencher!$B$3&amp;U327&amp;V327&amp;A327&amp;$AC$6</f>
        <v>JARINU-FRG52337MQ.TUNEL DE CG (ESTATICO) (2)</v>
      </c>
      <c r="AD327" s="327">
        <f>IFERROR(SUMIF('BD Otimix'!A:A,'BD VOLUME'!X327,'BD Otimix'!O:O)+SUMIF('BD Otimix'!A:A,'BD VOLUME'!Y327,'BD Otimix'!O:O)+SUMIF('BD Otimix'!A:A,'BD VOLUME'!Z327,'BD Otimix'!O:O)+SUMIF('BD Otimix'!A:A,'BD VOLUME'!AA327,'BD Otimix'!O:O)+SUMIF('BD Otimix'!A:A,'BD VOLUME'!AB327,'BD Otimix'!O:O)+SUMIF('BD Otimix'!A:A,'BD VOLUME'!AC327,'BD Otimix'!O:O)+SUMIF('BD Otimix'!A:A,'BD VOLUME'!W327,'BD Otimix'!O:O),0)</f>
        <v>0</v>
      </c>
      <c r="AE327" s="327">
        <f t="shared" si="74"/>
        <v>0</v>
      </c>
      <c r="AF327" s="7" t="str">
        <f>Preencher!$B$3&amp;$U$8&amp;$V$8&amp;A327&amp;$AF$6</f>
        <v>JARINU-FRG52337MQ.GIROFREEZER</v>
      </c>
      <c r="AG327" s="7" t="str">
        <f>Preencher!$B$3&amp;$U$8&amp;$V$8&amp;A327&amp;$AG$6</f>
        <v>JARINU-FRG52337MQ.GIROFREEZER (1)</v>
      </c>
      <c r="AH327" s="7" t="str">
        <f>Preencher!$B$3&amp;$U$8&amp;$V$8&amp;A327&amp;$AH$6</f>
        <v>JARINU-FRG52337MQ.GIROFREEZER (2)</v>
      </c>
      <c r="AI327" s="7" t="str">
        <f>Preencher!$B$3&amp;$U$8&amp;$V$8&amp;A327&amp;$AI$6</f>
        <v>JARINU-FRG52337MQ.GIROFREEZER REV04</v>
      </c>
      <c r="AJ327" s="7" t="str">
        <f>Preencher!$B$3&amp;$U$8&amp;$V$8&amp;A327&amp;$AJ$6</f>
        <v>JARINU-FRG52337MQ.GIROFREEZER (3)</v>
      </c>
      <c r="AK327" s="327">
        <f>IFERROR(SUMIF('BD Otimix'!A:A,'BD VOLUME'!AG327,'BD Otimix'!O:O)+SUMIF('BD Otimix'!A:A,'BD VOLUME'!AH327,'BD Otimix'!O:O)+SUMIF('BD Otimix'!A:A,'BD VOLUME'!AI327,'BD Otimix'!O:O)+SUMIF('BD Otimix'!A:A,'BD VOLUME'!AJ327,'BD Otimix'!O:O)+SUMIF('BD Otimix'!A:A,'BD VOLUME'!AF327,'BD Otimix'!O:O),0)</f>
        <v>0</v>
      </c>
      <c r="AL327" s="7">
        <f t="shared" si="75"/>
        <v>0</v>
      </c>
    </row>
    <row r="328" spans="1:38" s="4" customFormat="1" ht="14.25">
      <c r="A328" s="644">
        <v>45187</v>
      </c>
      <c r="B328" s="644" t="s">
        <v>2309</v>
      </c>
      <c r="C328" s="5" t="s">
        <v>1089</v>
      </c>
      <c r="D328" s="75" t="s">
        <v>867</v>
      </c>
      <c r="E328" s="5" t="s">
        <v>1481</v>
      </c>
      <c r="F328" s="132">
        <f>SUMIF('COLAR PLANO'!$A:$A,A328,'COLAR PLANO'!$D:$D)</f>
        <v>0</v>
      </c>
      <c r="G328" s="131">
        <f>IFERROR(F328/($E$3*$C$3),0)</f>
        <v>0</v>
      </c>
      <c r="H328" s="6">
        <v>0.2147</v>
      </c>
      <c r="I328" s="7">
        <f>IFERROR(G328/$D$3/H328,0)</f>
        <v>0</v>
      </c>
      <c r="J328" s="130">
        <f t="shared" si="76"/>
        <v>0</v>
      </c>
      <c r="K328" s="122">
        <v>2</v>
      </c>
      <c r="L328" s="122">
        <v>6</v>
      </c>
      <c r="M328" s="122">
        <v>12</v>
      </c>
      <c r="N328" s="311">
        <f>IFERROR(G328/K328,"-")</f>
        <v>0</v>
      </c>
      <c r="O328" s="311"/>
      <c r="P328" s="311">
        <f t="shared" si="81"/>
        <v>0</v>
      </c>
      <c r="Q328" s="311"/>
      <c r="R328" s="311"/>
      <c r="S328" s="7"/>
      <c r="T328" s="7"/>
      <c r="U328" s="7" t="s">
        <v>2288</v>
      </c>
      <c r="V328" s="7" t="s">
        <v>2289</v>
      </c>
      <c r="W328" s="7" t="str">
        <f>Preencher!$B$3&amp;U328&amp;V328&amp;A328&amp;$W$6</f>
        <v>JARINU-FRG45187MQ.TUNEL DE CG (CONTINUO)</v>
      </c>
      <c r="X328" s="7" t="str">
        <f>Preencher!$B$3&amp;U328&amp;V328&amp;A328&amp;$X$6</f>
        <v>JARINU-FRG45187MQ.TUNEL DE CG (CONTINUO) (1)</v>
      </c>
      <c r="Y328" s="7" t="str">
        <f>Preencher!$B$3&amp;U328&amp;V328&amp;A328&amp;$Y$6</f>
        <v>JARINU-FRG45187MQ.TUNEL DE CG (CONTINUO) (2)</v>
      </c>
      <c r="Z328" s="7" t="str">
        <f>Preencher!$B$3&amp;U328&amp;V328&amp;A328&amp;$Z$6</f>
        <v>JARINU-FRG45187MQ.TUNEL DE CG (CONTINUO) (3)</v>
      </c>
      <c r="AA328" s="7" t="str">
        <f>Preencher!$B$3&amp;U328&amp;V328&amp;A328&amp;$AA$6</f>
        <v>JARINU-FRG45187MQ.TUNEL DE CG (ESTATICO)</v>
      </c>
      <c r="AB328" s="7" t="str">
        <f>Preencher!$B$3&amp;U328&amp;V328&amp;A328&amp;$AB$6</f>
        <v>JARINU-FRG45187MQ.TUNEL DE CG (ESTATICO) (1)</v>
      </c>
      <c r="AC328" s="7" t="str">
        <f>Preencher!$B$3&amp;U328&amp;V328&amp;A328&amp;$AC$6</f>
        <v>JARINU-FRG45187MQ.TUNEL DE CG (ESTATICO) (2)</v>
      </c>
      <c r="AD328" s="327">
        <f>IFERROR(SUMIF('BD Otimix'!A:A,'BD VOLUME'!X328,'BD Otimix'!O:O)+SUMIF('BD Otimix'!A:A,'BD VOLUME'!Y328,'BD Otimix'!O:O)+SUMIF('BD Otimix'!A:A,'BD VOLUME'!Z328,'BD Otimix'!O:O)+SUMIF('BD Otimix'!A:A,'BD VOLUME'!AA328,'BD Otimix'!O:O)+SUMIF('BD Otimix'!A:A,'BD VOLUME'!AB328,'BD Otimix'!O:O)+SUMIF('BD Otimix'!A:A,'BD VOLUME'!AC328,'BD Otimix'!O:O)+SUMIF('BD Otimix'!A:A,'BD VOLUME'!W328,'BD Otimix'!O:O),0)</f>
        <v>0</v>
      </c>
      <c r="AE328" s="327">
        <f t="shared" si="74"/>
        <v>0</v>
      </c>
      <c r="AF328" s="7" t="str">
        <f>Preencher!$B$3&amp;$U$8&amp;$V$8&amp;A328&amp;$AF$6</f>
        <v>JARINU-FRG45187MQ.GIROFREEZER</v>
      </c>
      <c r="AG328" s="7" t="str">
        <f>Preencher!$B$3&amp;$U$8&amp;$V$8&amp;A328&amp;$AG$6</f>
        <v>JARINU-FRG45187MQ.GIROFREEZER (1)</v>
      </c>
      <c r="AH328" s="7" t="str">
        <f>Preencher!$B$3&amp;$U$8&amp;$V$8&amp;A328&amp;$AH$6</f>
        <v>JARINU-FRG45187MQ.GIROFREEZER (2)</v>
      </c>
      <c r="AI328" s="7" t="str">
        <f>Preencher!$B$3&amp;$U$8&amp;$V$8&amp;A328&amp;$AI$6</f>
        <v>JARINU-FRG45187MQ.GIROFREEZER REV04</v>
      </c>
      <c r="AJ328" s="7" t="str">
        <f>Preencher!$B$3&amp;$U$8&amp;$V$8&amp;A328&amp;$AJ$6</f>
        <v>JARINU-FRG45187MQ.GIROFREEZER (3)</v>
      </c>
      <c r="AK328" s="327">
        <f>IFERROR(SUMIF('BD Otimix'!A:A,'BD VOLUME'!AG328,'BD Otimix'!O:O)+SUMIF('BD Otimix'!A:A,'BD VOLUME'!AH328,'BD Otimix'!O:O)+SUMIF('BD Otimix'!A:A,'BD VOLUME'!AI328,'BD Otimix'!O:O)+SUMIF('BD Otimix'!A:A,'BD VOLUME'!AJ328,'BD Otimix'!O:O)+SUMIF('BD Otimix'!A:A,'BD VOLUME'!AF328,'BD Otimix'!O:O),0)</f>
        <v>0</v>
      </c>
      <c r="AL328" s="7">
        <f t="shared" si="75"/>
        <v>0</v>
      </c>
    </row>
    <row r="329" spans="1:38" s="4" customFormat="1" ht="14.25">
      <c r="A329" s="580">
        <v>926922</v>
      </c>
      <c r="B329" s="580" t="s">
        <v>2025</v>
      </c>
      <c r="C329" s="5" t="s">
        <v>2026</v>
      </c>
      <c r="D329" s="75" t="s">
        <v>867</v>
      </c>
      <c r="E329" s="5" t="s">
        <v>1481</v>
      </c>
      <c r="F329" s="132">
        <f>SUMIF('COLAR PLANO'!$A:$A,A329,'COLAR PLANO'!$D:$D)</f>
        <v>0</v>
      </c>
      <c r="G329" s="131">
        <f>IFERROR(F329/($E$3*$C$3),0)</f>
        <v>0</v>
      </c>
      <c r="H329" s="6">
        <v>0.2147</v>
      </c>
      <c r="I329" s="7">
        <f>IFERROR(G329/$D$3/H329,0)</f>
        <v>0</v>
      </c>
      <c r="J329" s="130">
        <f t="shared" si="76"/>
        <v>0</v>
      </c>
      <c r="K329" s="122">
        <v>2</v>
      </c>
      <c r="L329" s="122">
        <v>6</v>
      </c>
      <c r="M329" s="122">
        <v>12</v>
      </c>
      <c r="N329" s="311">
        <f>IFERROR(G329/K329,"-")</f>
        <v>0</v>
      </c>
      <c r="O329" s="311"/>
      <c r="P329" s="311">
        <f t="shared" si="81"/>
        <v>0</v>
      </c>
      <c r="Q329" s="311"/>
      <c r="R329" s="311"/>
      <c r="S329" s="7"/>
      <c r="T329" s="7"/>
      <c r="U329" s="7" t="s">
        <v>2288</v>
      </c>
      <c r="V329" s="7" t="s">
        <v>2289</v>
      </c>
      <c r="W329" s="7" t="str">
        <f>Preencher!$B$3&amp;U329&amp;V329&amp;A329&amp;$W$6</f>
        <v>JARINU-FRG926922MQ.TUNEL DE CG (CONTINUO)</v>
      </c>
      <c r="X329" s="7" t="str">
        <f>Preencher!$B$3&amp;U329&amp;V329&amp;A329&amp;$X$6</f>
        <v>JARINU-FRG926922MQ.TUNEL DE CG (CONTINUO) (1)</v>
      </c>
      <c r="Y329" s="7" t="str">
        <f>Preencher!$B$3&amp;U329&amp;V329&amp;A329&amp;$Y$6</f>
        <v>JARINU-FRG926922MQ.TUNEL DE CG (CONTINUO) (2)</v>
      </c>
      <c r="Z329" s="7" t="str">
        <f>Preencher!$B$3&amp;U329&amp;V329&amp;A329&amp;$Z$6</f>
        <v>JARINU-FRG926922MQ.TUNEL DE CG (CONTINUO) (3)</v>
      </c>
      <c r="AA329" s="7" t="str">
        <f>Preencher!$B$3&amp;U329&amp;V329&amp;A329&amp;$AA$6</f>
        <v>JARINU-FRG926922MQ.TUNEL DE CG (ESTATICO)</v>
      </c>
      <c r="AB329" s="7" t="str">
        <f>Preencher!$B$3&amp;U329&amp;V329&amp;A329&amp;$AB$6</f>
        <v>JARINU-FRG926922MQ.TUNEL DE CG (ESTATICO) (1)</v>
      </c>
      <c r="AC329" s="7" t="str">
        <f>Preencher!$B$3&amp;U329&amp;V329&amp;A329&amp;$AC$6</f>
        <v>JARINU-FRG926922MQ.TUNEL DE CG (ESTATICO) (2)</v>
      </c>
      <c r="AD329" s="327">
        <f>IFERROR(SUMIF('BD Otimix'!A:A,'BD VOLUME'!X329,'BD Otimix'!O:O)+SUMIF('BD Otimix'!A:A,'BD VOLUME'!Y329,'BD Otimix'!O:O)+SUMIF('BD Otimix'!A:A,'BD VOLUME'!Z329,'BD Otimix'!O:O)+SUMIF('BD Otimix'!A:A,'BD VOLUME'!AA329,'BD Otimix'!O:O)+SUMIF('BD Otimix'!A:A,'BD VOLUME'!AB329,'BD Otimix'!O:O)+SUMIF('BD Otimix'!A:A,'BD VOLUME'!AC329,'BD Otimix'!O:O)+SUMIF('BD Otimix'!A:A,'BD VOLUME'!W329,'BD Otimix'!O:O),0)</f>
        <v>0</v>
      </c>
      <c r="AE329" s="327">
        <f t="shared" si="74"/>
        <v>0</v>
      </c>
      <c r="AF329" s="7" t="str">
        <f>Preencher!$B$3&amp;$U$8&amp;$V$8&amp;A329&amp;$AF$6</f>
        <v>JARINU-FRG926922MQ.GIROFREEZER</v>
      </c>
      <c r="AG329" s="7" t="str">
        <f>Preencher!$B$3&amp;$U$8&amp;$V$8&amp;A329&amp;$AG$6</f>
        <v>JARINU-FRG926922MQ.GIROFREEZER (1)</v>
      </c>
      <c r="AH329" s="7" t="str">
        <f>Preencher!$B$3&amp;$U$8&amp;$V$8&amp;A329&amp;$AH$6</f>
        <v>JARINU-FRG926922MQ.GIROFREEZER (2)</v>
      </c>
      <c r="AI329" s="7" t="str">
        <f>Preencher!$B$3&amp;$U$8&amp;$V$8&amp;A329&amp;$AI$6</f>
        <v>JARINU-FRG926922MQ.GIROFREEZER REV04</v>
      </c>
      <c r="AJ329" s="7" t="str">
        <f>Preencher!$B$3&amp;$U$8&amp;$V$8&amp;A329&amp;$AJ$6</f>
        <v>JARINU-FRG926922MQ.GIROFREEZER (3)</v>
      </c>
      <c r="AK329" s="327">
        <f>IFERROR(SUMIF('BD Otimix'!A:A,'BD VOLUME'!AG329,'BD Otimix'!O:O)+SUMIF('BD Otimix'!A:A,'BD VOLUME'!AH329,'BD Otimix'!O:O)+SUMIF('BD Otimix'!A:A,'BD VOLUME'!AI329,'BD Otimix'!O:O)+SUMIF('BD Otimix'!A:A,'BD VOLUME'!AJ329,'BD Otimix'!O:O)+SUMIF('BD Otimix'!A:A,'BD VOLUME'!AF329,'BD Otimix'!O:O),0)</f>
        <v>0</v>
      </c>
      <c r="AL329" s="7">
        <f t="shared" si="75"/>
        <v>0</v>
      </c>
    </row>
    <row r="330" spans="1:38" s="4" customFormat="1" ht="14.25">
      <c r="A330" s="644">
        <v>50725</v>
      </c>
      <c r="B330" s="644" t="s">
        <v>2311</v>
      </c>
      <c r="C330" s="5" t="s">
        <v>2312</v>
      </c>
      <c r="D330" s="75" t="s">
        <v>867</v>
      </c>
      <c r="E330" s="5" t="s">
        <v>1481</v>
      </c>
      <c r="F330" s="132">
        <f>SUMIF('COLAR PLANO'!$A:$A,A330,'COLAR PLANO'!$D:$D)</f>
        <v>0</v>
      </c>
      <c r="G330" s="131">
        <f>IFERROR(F330/($E$3*$C$3),0)</f>
        <v>0</v>
      </c>
      <c r="H330" s="6">
        <v>0.2147</v>
      </c>
      <c r="I330" s="7">
        <f>IFERROR(G330/$D$3/H330,0)</f>
        <v>0</v>
      </c>
      <c r="J330" s="130">
        <f t="shared" si="76"/>
        <v>0</v>
      </c>
      <c r="K330" s="122">
        <v>2</v>
      </c>
      <c r="L330" s="122">
        <v>6</v>
      </c>
      <c r="M330" s="122">
        <v>12</v>
      </c>
      <c r="N330" s="311">
        <f>IFERROR(G330/K330,"-")</f>
        <v>0</v>
      </c>
      <c r="O330" s="311"/>
      <c r="P330" s="311">
        <f t="shared" si="81"/>
        <v>0</v>
      </c>
      <c r="Q330" s="311"/>
      <c r="R330" s="311"/>
      <c r="S330" s="7"/>
      <c r="T330" s="7"/>
      <c r="U330" s="7" t="s">
        <v>2288</v>
      </c>
      <c r="V330" s="7" t="s">
        <v>2289</v>
      </c>
      <c r="W330" s="7" t="str">
        <f>Preencher!$B$3&amp;U330&amp;V330&amp;A330&amp;$W$6</f>
        <v>JARINU-FRG50725MQ.TUNEL DE CG (CONTINUO)</v>
      </c>
      <c r="X330" s="7" t="str">
        <f>Preencher!$B$3&amp;U330&amp;V330&amp;A330&amp;$X$6</f>
        <v>JARINU-FRG50725MQ.TUNEL DE CG (CONTINUO) (1)</v>
      </c>
      <c r="Y330" s="7" t="str">
        <f>Preencher!$B$3&amp;U330&amp;V330&amp;A330&amp;$Y$6</f>
        <v>JARINU-FRG50725MQ.TUNEL DE CG (CONTINUO) (2)</v>
      </c>
      <c r="Z330" s="7" t="str">
        <f>Preencher!$B$3&amp;U330&amp;V330&amp;A330&amp;$Z$6</f>
        <v>JARINU-FRG50725MQ.TUNEL DE CG (CONTINUO) (3)</v>
      </c>
      <c r="AA330" s="7" t="str">
        <f>Preencher!$B$3&amp;U330&amp;V330&amp;A330&amp;$AA$6</f>
        <v>JARINU-FRG50725MQ.TUNEL DE CG (ESTATICO)</v>
      </c>
      <c r="AB330" s="7" t="str">
        <f>Preencher!$B$3&amp;U330&amp;V330&amp;A330&amp;$AB$6</f>
        <v>JARINU-FRG50725MQ.TUNEL DE CG (ESTATICO) (1)</v>
      </c>
      <c r="AC330" s="7" t="str">
        <f>Preencher!$B$3&amp;U330&amp;V330&amp;A330&amp;$AC$6</f>
        <v>JARINU-FRG50725MQ.TUNEL DE CG (ESTATICO) (2)</v>
      </c>
      <c r="AD330" s="327">
        <f>IFERROR(SUMIF('BD Otimix'!A:A,'BD VOLUME'!X330,'BD Otimix'!O:O)+SUMIF('BD Otimix'!A:A,'BD VOLUME'!Y330,'BD Otimix'!O:O)+SUMIF('BD Otimix'!A:A,'BD VOLUME'!Z330,'BD Otimix'!O:O)+SUMIF('BD Otimix'!A:A,'BD VOLUME'!AA330,'BD Otimix'!O:O)+SUMIF('BD Otimix'!A:A,'BD VOLUME'!AB330,'BD Otimix'!O:O)+SUMIF('BD Otimix'!A:A,'BD VOLUME'!AC330,'BD Otimix'!O:O)+SUMIF('BD Otimix'!A:A,'BD VOLUME'!W330,'BD Otimix'!O:O),0)</f>
        <v>0</v>
      </c>
      <c r="AE330" s="327">
        <f t="shared" si="74"/>
        <v>0</v>
      </c>
      <c r="AF330" s="7" t="str">
        <f>Preencher!$B$3&amp;$U$8&amp;$V$8&amp;A330&amp;$AF$6</f>
        <v>JARINU-FRG50725MQ.GIROFREEZER</v>
      </c>
      <c r="AG330" s="7" t="str">
        <f>Preencher!$B$3&amp;$U$8&amp;$V$8&amp;A330&amp;$AG$6</f>
        <v>JARINU-FRG50725MQ.GIROFREEZER (1)</v>
      </c>
      <c r="AH330" s="7" t="str">
        <f>Preencher!$B$3&amp;$U$8&amp;$V$8&amp;A330&amp;$AH$6</f>
        <v>JARINU-FRG50725MQ.GIROFREEZER (2)</v>
      </c>
      <c r="AI330" s="7" t="str">
        <f>Preencher!$B$3&amp;$U$8&amp;$V$8&amp;A330&amp;$AI$6</f>
        <v>JARINU-FRG50725MQ.GIROFREEZER REV04</v>
      </c>
      <c r="AJ330" s="7" t="str">
        <f>Preencher!$B$3&amp;$U$8&amp;$V$8&amp;A330&amp;$AJ$6</f>
        <v>JARINU-FRG50725MQ.GIROFREEZER (3)</v>
      </c>
      <c r="AK330" s="327">
        <f>IFERROR(SUMIF('BD Otimix'!A:A,'BD VOLUME'!AG330,'BD Otimix'!O:O)+SUMIF('BD Otimix'!A:A,'BD VOLUME'!AH330,'BD Otimix'!O:O)+SUMIF('BD Otimix'!A:A,'BD VOLUME'!AI330,'BD Otimix'!O:O)+SUMIF('BD Otimix'!A:A,'BD VOLUME'!AJ330,'BD Otimix'!O:O)+SUMIF('BD Otimix'!A:A,'BD VOLUME'!AF330,'BD Otimix'!O:O),0)</f>
        <v>0</v>
      </c>
      <c r="AL330" s="7">
        <f t="shared" si="75"/>
        <v>0</v>
      </c>
    </row>
    <row r="331" spans="1:38" s="4" customFormat="1" ht="14.25">
      <c r="A331" s="644">
        <v>925497</v>
      </c>
      <c r="B331" s="644" t="s">
        <v>2313</v>
      </c>
      <c r="C331" s="5" t="s">
        <v>1089</v>
      </c>
      <c r="D331" s="75" t="s">
        <v>867</v>
      </c>
      <c r="E331" s="5" t="s">
        <v>1481</v>
      </c>
      <c r="F331" s="132">
        <f>SUMIF('COLAR PLANO'!$A:$A,A331,'COLAR PLANO'!$D:$D)</f>
        <v>0</v>
      </c>
      <c r="G331" s="131">
        <f>IFERROR(F331/($E$3*$C$3),0)</f>
        <v>0</v>
      </c>
      <c r="H331" s="6">
        <v>0.2147</v>
      </c>
      <c r="I331" s="7">
        <f>IFERROR(G331/$D$3/H331,0)</f>
        <v>0</v>
      </c>
      <c r="J331" s="130">
        <f t="shared" si="76"/>
        <v>0</v>
      </c>
      <c r="K331" s="122">
        <v>2</v>
      </c>
      <c r="L331" s="122">
        <v>6</v>
      </c>
      <c r="M331" s="122">
        <v>12</v>
      </c>
      <c r="N331" s="311">
        <f>IFERROR(G331/K331,"-")</f>
        <v>0</v>
      </c>
      <c r="O331" s="311"/>
      <c r="P331" s="311">
        <f t="shared" si="81"/>
        <v>0</v>
      </c>
      <c r="Q331" s="311"/>
      <c r="R331" s="311"/>
      <c r="S331" s="7"/>
      <c r="T331" s="7"/>
      <c r="U331" s="7" t="s">
        <v>2288</v>
      </c>
      <c r="V331" s="7" t="s">
        <v>2289</v>
      </c>
      <c r="W331" s="7" t="str">
        <f>Preencher!$B$3&amp;U331&amp;V331&amp;A331&amp;$W$6</f>
        <v>JARINU-FRG925497MQ.TUNEL DE CG (CONTINUO)</v>
      </c>
      <c r="X331" s="7" t="str">
        <f>Preencher!$B$3&amp;U331&amp;V331&amp;A331&amp;$X$6</f>
        <v>JARINU-FRG925497MQ.TUNEL DE CG (CONTINUO) (1)</v>
      </c>
      <c r="Y331" s="7" t="str">
        <f>Preencher!$B$3&amp;U331&amp;V331&amp;A331&amp;$Y$6</f>
        <v>JARINU-FRG925497MQ.TUNEL DE CG (CONTINUO) (2)</v>
      </c>
      <c r="Z331" s="7" t="str">
        <f>Preencher!$B$3&amp;U331&amp;V331&amp;A331&amp;$Z$6</f>
        <v>JARINU-FRG925497MQ.TUNEL DE CG (CONTINUO) (3)</v>
      </c>
      <c r="AA331" s="7" t="str">
        <f>Preencher!$B$3&amp;U331&amp;V331&amp;A331&amp;$AA$6</f>
        <v>JARINU-FRG925497MQ.TUNEL DE CG (ESTATICO)</v>
      </c>
      <c r="AB331" s="7" t="str">
        <f>Preencher!$B$3&amp;U331&amp;V331&amp;A331&amp;$AB$6</f>
        <v>JARINU-FRG925497MQ.TUNEL DE CG (ESTATICO) (1)</v>
      </c>
      <c r="AC331" s="7" t="str">
        <f>Preencher!$B$3&amp;U331&amp;V331&amp;A331&amp;$AC$6</f>
        <v>JARINU-FRG925497MQ.TUNEL DE CG (ESTATICO) (2)</v>
      </c>
      <c r="AD331" s="327">
        <f>IFERROR(SUMIF('BD Otimix'!A:A,'BD VOLUME'!X331,'BD Otimix'!O:O)+SUMIF('BD Otimix'!A:A,'BD VOLUME'!Y331,'BD Otimix'!O:O)+SUMIF('BD Otimix'!A:A,'BD VOLUME'!Z331,'BD Otimix'!O:O)+SUMIF('BD Otimix'!A:A,'BD VOLUME'!AA331,'BD Otimix'!O:O)+SUMIF('BD Otimix'!A:A,'BD VOLUME'!AB331,'BD Otimix'!O:O)+SUMIF('BD Otimix'!A:A,'BD VOLUME'!AC331,'BD Otimix'!O:O)+SUMIF('BD Otimix'!A:A,'BD VOLUME'!W331,'BD Otimix'!O:O),0)</f>
        <v>0</v>
      </c>
      <c r="AE331" s="327">
        <f t="shared" si="74"/>
        <v>0</v>
      </c>
      <c r="AF331" s="7" t="str">
        <f>Preencher!$B$3&amp;$U$8&amp;$V$8&amp;A331&amp;$AF$6</f>
        <v>JARINU-FRG925497MQ.GIROFREEZER</v>
      </c>
      <c r="AG331" s="7" t="str">
        <f>Preencher!$B$3&amp;$U$8&amp;$V$8&amp;A331&amp;$AG$6</f>
        <v>JARINU-FRG925497MQ.GIROFREEZER (1)</v>
      </c>
      <c r="AH331" s="7" t="str">
        <f>Preencher!$B$3&amp;$U$8&amp;$V$8&amp;A331&amp;$AH$6</f>
        <v>JARINU-FRG925497MQ.GIROFREEZER (2)</v>
      </c>
      <c r="AI331" s="7" t="str">
        <f>Preencher!$B$3&amp;$U$8&amp;$V$8&amp;A331&amp;$AI$6</f>
        <v>JARINU-FRG925497MQ.GIROFREEZER REV04</v>
      </c>
      <c r="AJ331" s="7" t="str">
        <f>Preencher!$B$3&amp;$U$8&amp;$V$8&amp;A331&amp;$AJ$6</f>
        <v>JARINU-FRG925497MQ.GIROFREEZER (3)</v>
      </c>
      <c r="AK331" s="327">
        <f>IFERROR(SUMIF('BD Otimix'!A:A,'BD VOLUME'!AG331,'BD Otimix'!O:O)+SUMIF('BD Otimix'!A:A,'BD VOLUME'!AH331,'BD Otimix'!O:O)+SUMIF('BD Otimix'!A:A,'BD VOLUME'!AI331,'BD Otimix'!O:O)+SUMIF('BD Otimix'!A:A,'BD VOLUME'!AJ331,'BD Otimix'!O:O)+SUMIF('BD Otimix'!A:A,'BD VOLUME'!AF331,'BD Otimix'!O:O),0)</f>
        <v>0</v>
      </c>
      <c r="AL331" s="7">
        <f t="shared" si="75"/>
        <v>0</v>
      </c>
    </row>
    <row r="332" spans="1:38" s="4" customFormat="1" ht="14.25">
      <c r="A332" s="355">
        <v>241749</v>
      </c>
      <c r="B332" s="355"/>
      <c r="C332" s="5" t="s">
        <v>3097</v>
      </c>
      <c r="D332" s="75" t="s">
        <v>867</v>
      </c>
      <c r="E332" s="5" t="s">
        <v>1482</v>
      </c>
      <c r="F332" s="132">
        <f>SUMIF('COLAR PLANO'!$A:$A,A332,'COLAR PLANO'!$D:$D)</f>
        <v>0</v>
      </c>
      <c r="G332" s="131">
        <f t="shared" si="79"/>
        <v>0</v>
      </c>
      <c r="H332" s="6">
        <v>0.21989999999999998</v>
      </c>
      <c r="I332" s="7">
        <f t="shared" si="80"/>
        <v>0</v>
      </c>
      <c r="J332" s="130">
        <f t="shared" si="76"/>
        <v>0</v>
      </c>
      <c r="K332" s="122">
        <v>2.5</v>
      </c>
      <c r="L332" s="122">
        <v>4</v>
      </c>
      <c r="M332" s="122">
        <v>10</v>
      </c>
      <c r="N332" s="311">
        <f t="shared" si="77"/>
        <v>0</v>
      </c>
      <c r="O332" s="311"/>
      <c r="P332" s="311">
        <f t="shared" si="81"/>
        <v>0</v>
      </c>
      <c r="Q332" s="311"/>
      <c r="R332" s="311"/>
      <c r="S332" s="7"/>
      <c r="T332" s="7"/>
      <c r="U332" s="7" t="s">
        <v>2288</v>
      </c>
      <c r="V332" s="7" t="s">
        <v>2289</v>
      </c>
      <c r="W332" s="7" t="str">
        <f>Preencher!$B$3&amp;U332&amp;V332&amp;A332&amp;$W$6</f>
        <v>JARINU-FRG241749MQ.TUNEL DE CG (CONTINUO)</v>
      </c>
      <c r="X332" s="7" t="str">
        <f>Preencher!$B$3&amp;U332&amp;V332&amp;A332&amp;$X$6</f>
        <v>JARINU-FRG241749MQ.TUNEL DE CG (CONTINUO) (1)</v>
      </c>
      <c r="Y332" s="7" t="str">
        <f>Preencher!$B$3&amp;U332&amp;V332&amp;A332&amp;$Y$6</f>
        <v>JARINU-FRG241749MQ.TUNEL DE CG (CONTINUO) (2)</v>
      </c>
      <c r="Z332" s="7" t="str">
        <f>Preencher!$B$3&amp;U332&amp;V332&amp;A332&amp;$Z$6</f>
        <v>JARINU-FRG241749MQ.TUNEL DE CG (CONTINUO) (3)</v>
      </c>
      <c r="AA332" s="7" t="str">
        <f>Preencher!$B$3&amp;U332&amp;V332&amp;A332&amp;$AA$6</f>
        <v>JARINU-FRG241749MQ.TUNEL DE CG (ESTATICO)</v>
      </c>
      <c r="AB332" s="7" t="str">
        <f>Preencher!$B$3&amp;U332&amp;V332&amp;A332&amp;$AB$6</f>
        <v>JARINU-FRG241749MQ.TUNEL DE CG (ESTATICO) (1)</v>
      </c>
      <c r="AC332" s="7" t="str">
        <f>Preencher!$B$3&amp;U332&amp;V332&amp;A332&amp;$AC$6</f>
        <v>JARINU-FRG241749MQ.TUNEL DE CG (ESTATICO) (2)</v>
      </c>
      <c r="AD332" s="327">
        <f>IFERROR(SUMIF('BD Otimix'!A:A,'BD VOLUME'!X332,'BD Otimix'!O:O)+SUMIF('BD Otimix'!A:A,'BD VOLUME'!Y332,'BD Otimix'!O:O)+SUMIF('BD Otimix'!A:A,'BD VOLUME'!Z332,'BD Otimix'!O:O)+SUMIF('BD Otimix'!A:A,'BD VOLUME'!AA332,'BD Otimix'!O:O)+SUMIF('BD Otimix'!A:A,'BD VOLUME'!AB332,'BD Otimix'!O:O)+SUMIF('BD Otimix'!A:A,'BD VOLUME'!AC332,'BD Otimix'!O:O)+SUMIF('BD Otimix'!A:A,'BD VOLUME'!W332,'BD Otimix'!O:O),0)</f>
        <v>0</v>
      </c>
      <c r="AE332" s="327">
        <f t="shared" si="74"/>
        <v>0</v>
      </c>
      <c r="AF332" s="7" t="str">
        <f>Preencher!$B$3&amp;$U$8&amp;$V$8&amp;A332&amp;$AF$6</f>
        <v>JARINU-FRG241749MQ.GIROFREEZER</v>
      </c>
      <c r="AG332" s="7" t="str">
        <f>Preencher!$B$3&amp;$U$8&amp;$V$8&amp;A332&amp;$AG$6</f>
        <v>JARINU-FRG241749MQ.GIROFREEZER (1)</v>
      </c>
      <c r="AH332" s="7" t="str">
        <f>Preencher!$B$3&amp;$U$8&amp;$V$8&amp;A332&amp;$AH$6</f>
        <v>JARINU-FRG241749MQ.GIROFREEZER (2)</v>
      </c>
      <c r="AI332" s="7" t="str">
        <f>Preencher!$B$3&amp;$U$8&amp;$V$8&amp;A332&amp;$AI$6</f>
        <v>JARINU-FRG241749MQ.GIROFREEZER REV04</v>
      </c>
      <c r="AJ332" s="7" t="str">
        <f>Preencher!$B$3&amp;$U$8&amp;$V$8&amp;A332&amp;$AJ$6</f>
        <v>JARINU-FRG241749MQ.GIROFREEZER (3)</v>
      </c>
      <c r="AK332" s="327">
        <f>IFERROR(SUMIF('BD Otimix'!A:A,'BD VOLUME'!AG332,'BD Otimix'!O:O)+SUMIF('BD Otimix'!A:A,'BD VOLUME'!AH332,'BD Otimix'!O:O)+SUMIF('BD Otimix'!A:A,'BD VOLUME'!AI332,'BD Otimix'!O:O)+SUMIF('BD Otimix'!A:A,'BD VOLUME'!AJ332,'BD Otimix'!O:O)+SUMIF('BD Otimix'!A:A,'BD VOLUME'!AF332,'BD Otimix'!O:O),0)</f>
        <v>0</v>
      </c>
      <c r="AL332" s="7">
        <f t="shared" si="75"/>
        <v>0</v>
      </c>
    </row>
    <row r="333" spans="1:38" s="4" customFormat="1" ht="14.25">
      <c r="A333" s="355">
        <v>228339</v>
      </c>
      <c r="B333" s="355"/>
      <c r="C333" s="5" t="s">
        <v>3097</v>
      </c>
      <c r="D333" s="75" t="s">
        <v>867</v>
      </c>
      <c r="E333" s="5" t="s">
        <v>1482</v>
      </c>
      <c r="F333" s="132">
        <f>SUMIF('COLAR PLANO'!$A:$A,A333,'COLAR PLANO'!$D:$D)</f>
        <v>0</v>
      </c>
      <c r="G333" s="131">
        <f t="shared" si="79"/>
        <v>0</v>
      </c>
      <c r="H333" s="6">
        <v>0.21679999999999999</v>
      </c>
      <c r="I333" s="7">
        <f t="shared" si="80"/>
        <v>0</v>
      </c>
      <c r="J333" s="130">
        <f t="shared" si="76"/>
        <v>0</v>
      </c>
      <c r="K333" s="122">
        <v>2.5</v>
      </c>
      <c r="L333" s="122">
        <v>4</v>
      </c>
      <c r="M333" s="122">
        <v>10</v>
      </c>
      <c r="N333" s="311">
        <f t="shared" si="77"/>
        <v>0</v>
      </c>
      <c r="O333" s="311"/>
      <c r="P333" s="311">
        <f t="shared" si="81"/>
        <v>0</v>
      </c>
      <c r="Q333" s="311"/>
      <c r="R333" s="311"/>
      <c r="S333" s="7"/>
      <c r="T333" s="7"/>
      <c r="U333" s="7" t="s">
        <v>2288</v>
      </c>
      <c r="V333" s="7" t="s">
        <v>2289</v>
      </c>
      <c r="W333" s="7" t="str">
        <f>Preencher!$B$3&amp;U333&amp;V333&amp;A333&amp;$W$6</f>
        <v>JARINU-FRG228339MQ.TUNEL DE CG (CONTINUO)</v>
      </c>
      <c r="X333" s="7" t="str">
        <f>Preencher!$B$3&amp;U333&amp;V333&amp;A333&amp;$X$6</f>
        <v>JARINU-FRG228339MQ.TUNEL DE CG (CONTINUO) (1)</v>
      </c>
      <c r="Y333" s="7" t="str">
        <f>Preencher!$B$3&amp;U333&amp;V333&amp;A333&amp;$Y$6</f>
        <v>JARINU-FRG228339MQ.TUNEL DE CG (CONTINUO) (2)</v>
      </c>
      <c r="Z333" s="7" t="str">
        <f>Preencher!$B$3&amp;U333&amp;V333&amp;A333&amp;$Z$6</f>
        <v>JARINU-FRG228339MQ.TUNEL DE CG (CONTINUO) (3)</v>
      </c>
      <c r="AA333" s="7" t="str">
        <f>Preencher!$B$3&amp;U333&amp;V333&amp;A333&amp;$AA$6</f>
        <v>JARINU-FRG228339MQ.TUNEL DE CG (ESTATICO)</v>
      </c>
      <c r="AB333" s="7" t="str">
        <f>Preencher!$B$3&amp;U333&amp;V333&amp;A333&amp;$AB$6</f>
        <v>JARINU-FRG228339MQ.TUNEL DE CG (ESTATICO) (1)</v>
      </c>
      <c r="AC333" s="7" t="str">
        <f>Preencher!$B$3&amp;U333&amp;V333&amp;A333&amp;$AC$6</f>
        <v>JARINU-FRG228339MQ.TUNEL DE CG (ESTATICO) (2)</v>
      </c>
      <c r="AD333" s="327">
        <f>IFERROR(SUMIF('BD Otimix'!A:A,'BD VOLUME'!X333,'BD Otimix'!O:O)+SUMIF('BD Otimix'!A:A,'BD VOLUME'!Y333,'BD Otimix'!O:O)+SUMIF('BD Otimix'!A:A,'BD VOLUME'!Z333,'BD Otimix'!O:O)+SUMIF('BD Otimix'!A:A,'BD VOLUME'!AA333,'BD Otimix'!O:O)+SUMIF('BD Otimix'!A:A,'BD VOLUME'!AB333,'BD Otimix'!O:O)+SUMIF('BD Otimix'!A:A,'BD VOLUME'!AC333,'BD Otimix'!O:O)+SUMIF('BD Otimix'!A:A,'BD VOLUME'!W333,'BD Otimix'!O:O),0)</f>
        <v>0</v>
      </c>
      <c r="AE333" s="327">
        <f t="shared" si="74"/>
        <v>0</v>
      </c>
      <c r="AF333" s="7" t="str">
        <f>Preencher!$B$3&amp;$U$8&amp;$V$8&amp;A333&amp;$AF$6</f>
        <v>JARINU-FRG228339MQ.GIROFREEZER</v>
      </c>
      <c r="AG333" s="7" t="str">
        <f>Preencher!$B$3&amp;$U$8&amp;$V$8&amp;A333&amp;$AG$6</f>
        <v>JARINU-FRG228339MQ.GIROFREEZER (1)</v>
      </c>
      <c r="AH333" s="7" t="str">
        <f>Preencher!$B$3&amp;$U$8&amp;$V$8&amp;A333&amp;$AH$6</f>
        <v>JARINU-FRG228339MQ.GIROFREEZER (2)</v>
      </c>
      <c r="AI333" s="7" t="str">
        <f>Preencher!$B$3&amp;$U$8&amp;$V$8&amp;A333&amp;$AI$6</f>
        <v>JARINU-FRG228339MQ.GIROFREEZER REV04</v>
      </c>
      <c r="AJ333" s="7" t="str">
        <f>Preencher!$B$3&amp;$U$8&amp;$V$8&amp;A333&amp;$AJ$6</f>
        <v>JARINU-FRG228339MQ.GIROFREEZER (3)</v>
      </c>
      <c r="AK333" s="327">
        <f>IFERROR(SUMIF('BD Otimix'!A:A,'BD VOLUME'!AG333,'BD Otimix'!O:O)+SUMIF('BD Otimix'!A:A,'BD VOLUME'!AH333,'BD Otimix'!O:O)+SUMIF('BD Otimix'!A:A,'BD VOLUME'!AI333,'BD Otimix'!O:O)+SUMIF('BD Otimix'!A:A,'BD VOLUME'!AJ333,'BD Otimix'!O:O)+SUMIF('BD Otimix'!A:A,'BD VOLUME'!AF333,'BD Otimix'!O:O),0)</f>
        <v>0</v>
      </c>
      <c r="AL333" s="7">
        <f t="shared" si="75"/>
        <v>0</v>
      </c>
    </row>
    <row r="334" spans="1:38" s="4" customFormat="1" ht="14.25">
      <c r="A334" s="580">
        <v>790532</v>
      </c>
      <c r="B334" s="580" t="s">
        <v>2019</v>
      </c>
      <c r="C334" s="5" t="s">
        <v>1089</v>
      </c>
      <c r="D334" s="75" t="s">
        <v>867</v>
      </c>
      <c r="E334" s="5" t="s">
        <v>1482</v>
      </c>
      <c r="F334" s="132">
        <f>SUMIF('COLAR PLANO'!$A:$A,A334,'COLAR PLANO'!$D:$D)</f>
        <v>0</v>
      </c>
      <c r="G334" s="131">
        <f>IFERROR(F334/($E$3*$C$3),0)</f>
        <v>0</v>
      </c>
      <c r="H334" s="6">
        <v>0.21679999999999999</v>
      </c>
      <c r="I334" s="7">
        <f>IFERROR(G334/$D$3/H334,0)</f>
        <v>0</v>
      </c>
      <c r="J334" s="130">
        <f t="shared" si="76"/>
        <v>0</v>
      </c>
      <c r="K334" s="122">
        <v>2.5</v>
      </c>
      <c r="L334" s="122">
        <v>4</v>
      </c>
      <c r="M334" s="122">
        <v>10</v>
      </c>
      <c r="N334" s="311">
        <f>IFERROR(G334/K334,"-")</f>
        <v>0</v>
      </c>
      <c r="O334" s="311"/>
      <c r="P334" s="311">
        <f t="shared" si="81"/>
        <v>0</v>
      </c>
      <c r="Q334" s="311"/>
      <c r="R334" s="311"/>
      <c r="S334" s="7"/>
      <c r="T334" s="7"/>
      <c r="U334" s="7" t="s">
        <v>2288</v>
      </c>
      <c r="V334" s="7" t="s">
        <v>2289</v>
      </c>
      <c r="W334" s="7" t="str">
        <f>Preencher!$B$3&amp;U334&amp;V334&amp;A334&amp;$W$6</f>
        <v>JARINU-FRG790532MQ.TUNEL DE CG (CONTINUO)</v>
      </c>
      <c r="X334" s="7" t="str">
        <f>Preencher!$B$3&amp;U334&amp;V334&amp;A334&amp;$X$6</f>
        <v>JARINU-FRG790532MQ.TUNEL DE CG (CONTINUO) (1)</v>
      </c>
      <c r="Y334" s="7" t="str">
        <f>Preencher!$B$3&amp;U334&amp;V334&amp;A334&amp;$Y$6</f>
        <v>JARINU-FRG790532MQ.TUNEL DE CG (CONTINUO) (2)</v>
      </c>
      <c r="Z334" s="7" t="str">
        <f>Preencher!$B$3&amp;U334&amp;V334&amp;A334&amp;$Z$6</f>
        <v>JARINU-FRG790532MQ.TUNEL DE CG (CONTINUO) (3)</v>
      </c>
      <c r="AA334" s="7" t="str">
        <f>Preencher!$B$3&amp;U334&amp;V334&amp;A334&amp;$AA$6</f>
        <v>JARINU-FRG790532MQ.TUNEL DE CG (ESTATICO)</v>
      </c>
      <c r="AB334" s="7" t="str">
        <f>Preencher!$B$3&amp;U334&amp;V334&amp;A334&amp;$AB$6</f>
        <v>JARINU-FRG790532MQ.TUNEL DE CG (ESTATICO) (1)</v>
      </c>
      <c r="AC334" s="7" t="str">
        <f>Preencher!$B$3&amp;U334&amp;V334&amp;A334&amp;$AC$6</f>
        <v>JARINU-FRG790532MQ.TUNEL DE CG (ESTATICO) (2)</v>
      </c>
      <c r="AD334" s="327">
        <f>IFERROR(SUMIF('BD Otimix'!A:A,'BD VOLUME'!X334,'BD Otimix'!O:O)+SUMIF('BD Otimix'!A:A,'BD VOLUME'!Y334,'BD Otimix'!O:O)+SUMIF('BD Otimix'!A:A,'BD VOLUME'!Z334,'BD Otimix'!O:O)+SUMIF('BD Otimix'!A:A,'BD VOLUME'!AA334,'BD Otimix'!O:O)+SUMIF('BD Otimix'!A:A,'BD VOLUME'!AB334,'BD Otimix'!O:O)+SUMIF('BD Otimix'!A:A,'BD VOLUME'!AC334,'BD Otimix'!O:O)+SUMIF('BD Otimix'!A:A,'BD VOLUME'!W334,'BD Otimix'!O:O),0)</f>
        <v>0</v>
      </c>
      <c r="AE334" s="327">
        <f t="shared" si="74"/>
        <v>0</v>
      </c>
      <c r="AF334" s="7" t="str">
        <f>Preencher!$B$3&amp;$U$8&amp;$V$8&amp;A334&amp;$AF$6</f>
        <v>JARINU-FRG790532MQ.GIROFREEZER</v>
      </c>
      <c r="AG334" s="7" t="str">
        <f>Preencher!$B$3&amp;$U$8&amp;$V$8&amp;A334&amp;$AG$6</f>
        <v>JARINU-FRG790532MQ.GIROFREEZER (1)</v>
      </c>
      <c r="AH334" s="7" t="str">
        <f>Preencher!$B$3&amp;$U$8&amp;$V$8&amp;A334&amp;$AH$6</f>
        <v>JARINU-FRG790532MQ.GIROFREEZER (2)</v>
      </c>
      <c r="AI334" s="7" t="str">
        <f>Preencher!$B$3&amp;$U$8&amp;$V$8&amp;A334&amp;$AI$6</f>
        <v>JARINU-FRG790532MQ.GIROFREEZER REV04</v>
      </c>
      <c r="AJ334" s="7" t="str">
        <f>Preencher!$B$3&amp;$U$8&amp;$V$8&amp;A334&amp;$AJ$6</f>
        <v>JARINU-FRG790532MQ.GIROFREEZER (3)</v>
      </c>
      <c r="AK334" s="327">
        <f>IFERROR(SUMIF('BD Otimix'!A:A,'BD VOLUME'!AG334,'BD Otimix'!O:O)+SUMIF('BD Otimix'!A:A,'BD VOLUME'!AH334,'BD Otimix'!O:O)+SUMIF('BD Otimix'!A:A,'BD VOLUME'!AI334,'BD Otimix'!O:O)+SUMIF('BD Otimix'!A:A,'BD VOLUME'!AJ334,'BD Otimix'!O:O)+SUMIF('BD Otimix'!A:A,'BD VOLUME'!AF334,'BD Otimix'!O:O),0)</f>
        <v>0</v>
      </c>
      <c r="AL334" s="7">
        <f t="shared" si="75"/>
        <v>0</v>
      </c>
    </row>
    <row r="335" spans="1:38" s="4" customFormat="1" ht="14.25">
      <c r="A335" s="644">
        <v>998095</v>
      </c>
      <c r="B335" s="644" t="s">
        <v>2310</v>
      </c>
      <c r="C335" s="5" t="s">
        <v>2235</v>
      </c>
      <c r="D335" s="75" t="s">
        <v>867</v>
      </c>
      <c r="E335" s="5" t="s">
        <v>1482</v>
      </c>
      <c r="F335" s="132">
        <f>SUMIF('COLAR PLANO'!$A:$A,A335,'COLAR PLANO'!$D:$D)</f>
        <v>0</v>
      </c>
      <c r="G335" s="131">
        <f>IFERROR(F335/($E$3*$C$3),0)</f>
        <v>0</v>
      </c>
      <c r="H335" s="6">
        <v>0.21679999999999999</v>
      </c>
      <c r="I335" s="7">
        <f>IFERROR(G335/$D$3/H335,0)</f>
        <v>0</v>
      </c>
      <c r="J335" s="130">
        <f t="shared" si="76"/>
        <v>0</v>
      </c>
      <c r="K335" s="122">
        <v>2.5</v>
      </c>
      <c r="L335" s="122">
        <v>4</v>
      </c>
      <c r="M335" s="122">
        <v>10</v>
      </c>
      <c r="N335" s="311">
        <f>IFERROR(G335/K335,"-")</f>
        <v>0</v>
      </c>
      <c r="O335" s="311"/>
      <c r="P335" s="311">
        <f t="shared" si="81"/>
        <v>0</v>
      </c>
      <c r="Q335" s="311"/>
      <c r="R335" s="311"/>
      <c r="S335" s="7"/>
      <c r="T335" s="7"/>
      <c r="U335" s="7" t="s">
        <v>2288</v>
      </c>
      <c r="V335" s="7" t="s">
        <v>2289</v>
      </c>
      <c r="W335" s="7" t="str">
        <f>Preencher!$B$3&amp;U335&amp;V335&amp;A335&amp;$W$6</f>
        <v>JARINU-FRG998095MQ.TUNEL DE CG (CONTINUO)</v>
      </c>
      <c r="X335" s="7" t="str">
        <f>Preencher!$B$3&amp;U335&amp;V335&amp;A335&amp;$X$6</f>
        <v>JARINU-FRG998095MQ.TUNEL DE CG (CONTINUO) (1)</v>
      </c>
      <c r="Y335" s="7" t="str">
        <f>Preencher!$B$3&amp;U335&amp;V335&amp;A335&amp;$Y$6</f>
        <v>JARINU-FRG998095MQ.TUNEL DE CG (CONTINUO) (2)</v>
      </c>
      <c r="Z335" s="7" t="str">
        <f>Preencher!$B$3&amp;U335&amp;V335&amp;A335&amp;$Z$6</f>
        <v>JARINU-FRG998095MQ.TUNEL DE CG (CONTINUO) (3)</v>
      </c>
      <c r="AA335" s="7" t="str">
        <f>Preencher!$B$3&amp;U335&amp;V335&amp;A335&amp;$AA$6</f>
        <v>JARINU-FRG998095MQ.TUNEL DE CG (ESTATICO)</v>
      </c>
      <c r="AB335" s="7" t="str">
        <f>Preencher!$B$3&amp;U335&amp;V335&amp;A335&amp;$AB$6</f>
        <v>JARINU-FRG998095MQ.TUNEL DE CG (ESTATICO) (1)</v>
      </c>
      <c r="AC335" s="7" t="str">
        <f>Preencher!$B$3&amp;U335&amp;V335&amp;A335&amp;$AC$6</f>
        <v>JARINU-FRG998095MQ.TUNEL DE CG (ESTATICO) (2)</v>
      </c>
      <c r="AD335" s="327">
        <f>IFERROR(SUMIF('BD Otimix'!A:A,'BD VOLUME'!X335,'BD Otimix'!O:O)+SUMIF('BD Otimix'!A:A,'BD VOLUME'!Y335,'BD Otimix'!O:O)+SUMIF('BD Otimix'!A:A,'BD VOLUME'!Z335,'BD Otimix'!O:O)+SUMIF('BD Otimix'!A:A,'BD VOLUME'!AA335,'BD Otimix'!O:O)+SUMIF('BD Otimix'!A:A,'BD VOLUME'!AB335,'BD Otimix'!O:O)+SUMIF('BD Otimix'!A:A,'BD VOLUME'!AC335,'BD Otimix'!O:O)+SUMIF('BD Otimix'!A:A,'BD VOLUME'!W335,'BD Otimix'!O:O),0)</f>
        <v>0</v>
      </c>
      <c r="AE335" s="327">
        <f t="shared" si="74"/>
        <v>0</v>
      </c>
      <c r="AF335" s="7" t="str">
        <f>Preencher!$B$3&amp;$U$8&amp;$V$8&amp;A335&amp;$AF$6</f>
        <v>JARINU-FRG998095MQ.GIROFREEZER</v>
      </c>
      <c r="AG335" s="7" t="str">
        <f>Preencher!$B$3&amp;$U$8&amp;$V$8&amp;A335&amp;$AG$6</f>
        <v>JARINU-FRG998095MQ.GIROFREEZER (1)</v>
      </c>
      <c r="AH335" s="7" t="str">
        <f>Preencher!$B$3&amp;$U$8&amp;$V$8&amp;A335&amp;$AH$6</f>
        <v>JARINU-FRG998095MQ.GIROFREEZER (2)</v>
      </c>
      <c r="AI335" s="7" t="str">
        <f>Preencher!$B$3&amp;$U$8&amp;$V$8&amp;A335&amp;$AI$6</f>
        <v>JARINU-FRG998095MQ.GIROFREEZER REV04</v>
      </c>
      <c r="AJ335" s="7" t="str">
        <f>Preencher!$B$3&amp;$U$8&amp;$V$8&amp;A335&amp;$AJ$6</f>
        <v>JARINU-FRG998095MQ.GIROFREEZER (3)</v>
      </c>
      <c r="AK335" s="327">
        <f>IFERROR(SUMIF('BD Otimix'!A:A,'BD VOLUME'!AG335,'BD Otimix'!O:O)+SUMIF('BD Otimix'!A:A,'BD VOLUME'!AH335,'BD Otimix'!O:O)+SUMIF('BD Otimix'!A:A,'BD VOLUME'!AI335,'BD Otimix'!O:O)+SUMIF('BD Otimix'!A:A,'BD VOLUME'!AJ335,'BD Otimix'!O:O)+SUMIF('BD Otimix'!A:A,'BD VOLUME'!AF335,'BD Otimix'!O:O),0)</f>
        <v>0</v>
      </c>
      <c r="AL335" s="7">
        <f t="shared" si="75"/>
        <v>0</v>
      </c>
    </row>
    <row r="336" spans="1:38" s="4" customFormat="1" ht="14.25">
      <c r="A336" s="580">
        <v>955857</v>
      </c>
      <c r="B336" s="580" t="s">
        <v>2020</v>
      </c>
      <c r="C336" s="5" t="s">
        <v>1089</v>
      </c>
      <c r="D336" s="75" t="s">
        <v>867</v>
      </c>
      <c r="E336" s="5" t="s">
        <v>1482</v>
      </c>
      <c r="F336" s="132">
        <f>SUMIF('COLAR PLANO'!$A:$A,A336,'COLAR PLANO'!$D:$D)</f>
        <v>0</v>
      </c>
      <c r="G336" s="131">
        <f>IFERROR(F336/($E$3*$C$3),0)</f>
        <v>0</v>
      </c>
      <c r="H336" s="6">
        <v>0.21679999999999999</v>
      </c>
      <c r="I336" s="7">
        <f>IFERROR(G336/$D$3/H336,0)</f>
        <v>0</v>
      </c>
      <c r="J336" s="130">
        <f t="shared" si="76"/>
        <v>0</v>
      </c>
      <c r="K336" s="122">
        <v>2.5</v>
      </c>
      <c r="L336" s="122">
        <v>4</v>
      </c>
      <c r="M336" s="122">
        <v>10</v>
      </c>
      <c r="N336" s="311">
        <f>IFERROR(G336/K336,"-")</f>
        <v>0</v>
      </c>
      <c r="O336" s="311"/>
      <c r="P336" s="311">
        <f t="shared" si="81"/>
        <v>0</v>
      </c>
      <c r="Q336" s="311"/>
      <c r="R336" s="311"/>
      <c r="S336" s="7"/>
      <c r="T336" s="7"/>
      <c r="U336" s="7" t="s">
        <v>2288</v>
      </c>
      <c r="V336" s="7" t="s">
        <v>2289</v>
      </c>
      <c r="W336" s="7" t="str">
        <f>Preencher!$B$3&amp;U336&amp;V336&amp;A336&amp;$W$6</f>
        <v>JARINU-FRG955857MQ.TUNEL DE CG (CONTINUO)</v>
      </c>
      <c r="X336" s="7" t="str">
        <f>Preencher!$B$3&amp;U336&amp;V336&amp;A336&amp;$X$6</f>
        <v>JARINU-FRG955857MQ.TUNEL DE CG (CONTINUO) (1)</v>
      </c>
      <c r="Y336" s="7" t="str">
        <f>Preencher!$B$3&amp;U336&amp;V336&amp;A336&amp;$Y$6</f>
        <v>JARINU-FRG955857MQ.TUNEL DE CG (CONTINUO) (2)</v>
      </c>
      <c r="Z336" s="7" t="str">
        <f>Preencher!$B$3&amp;U336&amp;V336&amp;A336&amp;$Z$6</f>
        <v>JARINU-FRG955857MQ.TUNEL DE CG (CONTINUO) (3)</v>
      </c>
      <c r="AA336" s="7" t="str">
        <f>Preencher!$B$3&amp;U336&amp;V336&amp;A336&amp;$AA$6</f>
        <v>JARINU-FRG955857MQ.TUNEL DE CG (ESTATICO)</v>
      </c>
      <c r="AB336" s="7" t="str">
        <f>Preencher!$B$3&amp;U336&amp;V336&amp;A336&amp;$AB$6</f>
        <v>JARINU-FRG955857MQ.TUNEL DE CG (ESTATICO) (1)</v>
      </c>
      <c r="AC336" s="7" t="str">
        <f>Preencher!$B$3&amp;U336&amp;V336&amp;A336&amp;$AC$6</f>
        <v>JARINU-FRG955857MQ.TUNEL DE CG (ESTATICO) (2)</v>
      </c>
      <c r="AD336" s="327">
        <f>IFERROR(SUMIF('BD Otimix'!A:A,'BD VOLUME'!X336,'BD Otimix'!O:O)+SUMIF('BD Otimix'!A:A,'BD VOLUME'!Y336,'BD Otimix'!O:O)+SUMIF('BD Otimix'!A:A,'BD VOLUME'!Z336,'BD Otimix'!O:O)+SUMIF('BD Otimix'!A:A,'BD VOLUME'!AA336,'BD Otimix'!O:O)+SUMIF('BD Otimix'!A:A,'BD VOLUME'!AB336,'BD Otimix'!O:O)+SUMIF('BD Otimix'!A:A,'BD VOLUME'!AC336,'BD Otimix'!O:O)+SUMIF('BD Otimix'!A:A,'BD VOLUME'!W336,'BD Otimix'!O:O),0)</f>
        <v>0</v>
      </c>
      <c r="AE336" s="327">
        <f t="shared" si="74"/>
        <v>0</v>
      </c>
      <c r="AF336" s="7" t="str">
        <f>Preencher!$B$3&amp;$U$8&amp;$V$8&amp;A336&amp;$AF$6</f>
        <v>JARINU-FRG955857MQ.GIROFREEZER</v>
      </c>
      <c r="AG336" s="7" t="str">
        <f>Preencher!$B$3&amp;$U$8&amp;$V$8&amp;A336&amp;$AG$6</f>
        <v>JARINU-FRG955857MQ.GIROFREEZER (1)</v>
      </c>
      <c r="AH336" s="7" t="str">
        <f>Preencher!$B$3&amp;$U$8&amp;$V$8&amp;A336&amp;$AH$6</f>
        <v>JARINU-FRG955857MQ.GIROFREEZER (2)</v>
      </c>
      <c r="AI336" s="7" t="str">
        <f>Preencher!$B$3&amp;$U$8&amp;$V$8&amp;A336&amp;$AI$6</f>
        <v>JARINU-FRG955857MQ.GIROFREEZER REV04</v>
      </c>
      <c r="AJ336" s="7" t="str">
        <f>Preencher!$B$3&amp;$U$8&amp;$V$8&amp;A336&amp;$AJ$6</f>
        <v>JARINU-FRG955857MQ.GIROFREEZER (3)</v>
      </c>
      <c r="AK336" s="327">
        <f>IFERROR(SUMIF('BD Otimix'!A:A,'BD VOLUME'!AG336,'BD Otimix'!O:O)+SUMIF('BD Otimix'!A:A,'BD VOLUME'!AH336,'BD Otimix'!O:O)+SUMIF('BD Otimix'!A:A,'BD VOLUME'!AI336,'BD Otimix'!O:O)+SUMIF('BD Otimix'!A:A,'BD VOLUME'!AJ336,'BD Otimix'!O:O)+SUMIF('BD Otimix'!A:A,'BD VOLUME'!AF336,'BD Otimix'!O:O),0)</f>
        <v>0</v>
      </c>
      <c r="AL336" s="7">
        <f t="shared" si="75"/>
        <v>0</v>
      </c>
    </row>
    <row r="337" spans="1:38" s="4" customFormat="1" ht="14.25">
      <c r="A337" s="355">
        <v>241719</v>
      </c>
      <c r="B337" s="355"/>
      <c r="C337" s="5" t="s">
        <v>3039</v>
      </c>
      <c r="D337" s="75" t="s">
        <v>867</v>
      </c>
      <c r="E337" s="5" t="s">
        <v>1482</v>
      </c>
      <c r="F337" s="132">
        <f>SUMIF('COLAR PLANO'!$A:$A,A337,'COLAR PLANO'!$D:$D)</f>
        <v>0</v>
      </c>
      <c r="G337" s="131">
        <f t="shared" si="79"/>
        <v>0</v>
      </c>
      <c r="H337" s="6">
        <v>0.2238</v>
      </c>
      <c r="I337" s="7">
        <f t="shared" si="80"/>
        <v>0</v>
      </c>
      <c r="J337" s="130">
        <f t="shared" si="76"/>
        <v>0</v>
      </c>
      <c r="K337" s="122">
        <v>7.5</v>
      </c>
      <c r="L337" s="122">
        <v>2</v>
      </c>
      <c r="M337" s="122">
        <v>15</v>
      </c>
      <c r="N337" s="311">
        <f t="shared" si="77"/>
        <v>0</v>
      </c>
      <c r="O337" s="311"/>
      <c r="P337" s="311">
        <f t="shared" si="81"/>
        <v>0</v>
      </c>
      <c r="Q337" s="311"/>
      <c r="R337" s="311"/>
      <c r="S337" s="7"/>
      <c r="T337" s="7"/>
      <c r="U337" s="7" t="s">
        <v>2288</v>
      </c>
      <c r="V337" s="7" t="s">
        <v>2289</v>
      </c>
      <c r="W337" s="7" t="str">
        <f>Preencher!$B$3&amp;U337&amp;V337&amp;A337&amp;$W$6</f>
        <v>JARINU-FRG241719MQ.TUNEL DE CG (CONTINUO)</v>
      </c>
      <c r="X337" s="7" t="str">
        <f>Preencher!$B$3&amp;U337&amp;V337&amp;A337&amp;$X$6</f>
        <v>JARINU-FRG241719MQ.TUNEL DE CG (CONTINUO) (1)</v>
      </c>
      <c r="Y337" s="7" t="str">
        <f>Preencher!$B$3&amp;U337&amp;V337&amp;A337&amp;$Y$6</f>
        <v>JARINU-FRG241719MQ.TUNEL DE CG (CONTINUO) (2)</v>
      </c>
      <c r="Z337" s="7" t="str">
        <f>Preencher!$B$3&amp;U337&amp;V337&amp;A337&amp;$Z$6</f>
        <v>JARINU-FRG241719MQ.TUNEL DE CG (CONTINUO) (3)</v>
      </c>
      <c r="AA337" s="7" t="str">
        <f>Preencher!$B$3&amp;U337&amp;V337&amp;A337&amp;$AA$6</f>
        <v>JARINU-FRG241719MQ.TUNEL DE CG (ESTATICO)</v>
      </c>
      <c r="AB337" s="7" t="str">
        <f>Preencher!$B$3&amp;U337&amp;V337&amp;A337&amp;$AB$6</f>
        <v>JARINU-FRG241719MQ.TUNEL DE CG (ESTATICO) (1)</v>
      </c>
      <c r="AC337" s="7" t="str">
        <f>Preencher!$B$3&amp;U337&amp;V337&amp;A337&amp;$AC$6</f>
        <v>JARINU-FRG241719MQ.TUNEL DE CG (ESTATICO) (2)</v>
      </c>
      <c r="AD337" s="327">
        <f>IFERROR(SUMIF('BD Otimix'!A:A,'BD VOLUME'!X337,'BD Otimix'!O:O)+SUMIF('BD Otimix'!A:A,'BD VOLUME'!Y337,'BD Otimix'!O:O)+SUMIF('BD Otimix'!A:A,'BD VOLUME'!Z337,'BD Otimix'!O:O)+SUMIF('BD Otimix'!A:A,'BD VOLUME'!AA337,'BD Otimix'!O:O)+SUMIF('BD Otimix'!A:A,'BD VOLUME'!AB337,'BD Otimix'!O:O)+SUMIF('BD Otimix'!A:A,'BD VOLUME'!AC337,'BD Otimix'!O:O)+SUMIF('BD Otimix'!A:A,'BD VOLUME'!W337,'BD Otimix'!O:O),0)</f>
        <v>0</v>
      </c>
      <c r="AE337" s="327">
        <f t="shared" si="74"/>
        <v>0</v>
      </c>
      <c r="AF337" s="7" t="str">
        <f>Preencher!$B$3&amp;$U$8&amp;$V$8&amp;A337&amp;$AF$6</f>
        <v>JARINU-FRG241719MQ.GIROFREEZER</v>
      </c>
      <c r="AG337" s="7" t="str">
        <f>Preencher!$B$3&amp;$U$8&amp;$V$8&amp;A337&amp;$AG$6</f>
        <v>JARINU-FRG241719MQ.GIROFREEZER (1)</v>
      </c>
      <c r="AH337" s="7" t="str">
        <f>Preencher!$B$3&amp;$U$8&amp;$V$8&amp;A337&amp;$AH$6</f>
        <v>JARINU-FRG241719MQ.GIROFREEZER (2)</v>
      </c>
      <c r="AI337" s="7" t="str">
        <f>Preencher!$B$3&amp;$U$8&amp;$V$8&amp;A337&amp;$AI$6</f>
        <v>JARINU-FRG241719MQ.GIROFREEZER REV04</v>
      </c>
      <c r="AJ337" s="7" t="str">
        <f>Preencher!$B$3&amp;$U$8&amp;$V$8&amp;A337&amp;$AJ$6</f>
        <v>JARINU-FRG241719MQ.GIROFREEZER (3)</v>
      </c>
      <c r="AK337" s="327">
        <f>IFERROR(SUMIF('BD Otimix'!A:A,'BD VOLUME'!AG337,'BD Otimix'!O:O)+SUMIF('BD Otimix'!A:A,'BD VOLUME'!AH337,'BD Otimix'!O:O)+SUMIF('BD Otimix'!A:A,'BD VOLUME'!AI337,'BD Otimix'!O:O)+SUMIF('BD Otimix'!A:A,'BD VOLUME'!AJ337,'BD Otimix'!O:O)+SUMIF('BD Otimix'!A:A,'BD VOLUME'!AF337,'BD Otimix'!O:O),0)</f>
        <v>0</v>
      </c>
      <c r="AL337" s="7">
        <f t="shared" si="75"/>
        <v>0</v>
      </c>
    </row>
    <row r="338" spans="1:38" s="4" customFormat="1" ht="14.25">
      <c r="A338" s="355">
        <v>241739</v>
      </c>
      <c r="B338" s="355"/>
      <c r="C338" s="5" t="s">
        <v>3039</v>
      </c>
      <c r="D338" s="75" t="s">
        <v>867</v>
      </c>
      <c r="E338" s="5" t="s">
        <v>1482</v>
      </c>
      <c r="F338" s="132">
        <f>SUMIF('COLAR PLANO'!$A:$A,A338,'COLAR PLANO'!$D:$D)</f>
        <v>0</v>
      </c>
      <c r="G338" s="131">
        <f t="shared" si="79"/>
        <v>0</v>
      </c>
      <c r="H338" s="6">
        <v>0.217</v>
      </c>
      <c r="I338" s="7">
        <f t="shared" si="80"/>
        <v>0</v>
      </c>
      <c r="J338" s="130">
        <f t="shared" si="76"/>
        <v>0</v>
      </c>
      <c r="K338" s="122">
        <v>7.5</v>
      </c>
      <c r="L338" s="122">
        <v>2</v>
      </c>
      <c r="M338" s="122">
        <v>15</v>
      </c>
      <c r="N338" s="311">
        <f t="shared" si="77"/>
        <v>0</v>
      </c>
      <c r="O338" s="311"/>
      <c r="P338" s="311">
        <f t="shared" si="81"/>
        <v>0</v>
      </c>
      <c r="Q338" s="311"/>
      <c r="R338" s="311"/>
      <c r="S338" s="7"/>
      <c r="T338" s="7"/>
      <c r="U338" s="7" t="s">
        <v>2288</v>
      </c>
      <c r="V338" s="7" t="s">
        <v>2289</v>
      </c>
      <c r="W338" s="7" t="str">
        <f>Preencher!$B$3&amp;U338&amp;V338&amp;A338&amp;$W$6</f>
        <v>JARINU-FRG241739MQ.TUNEL DE CG (CONTINUO)</v>
      </c>
      <c r="X338" s="7" t="str">
        <f>Preencher!$B$3&amp;U338&amp;V338&amp;A338&amp;$X$6</f>
        <v>JARINU-FRG241739MQ.TUNEL DE CG (CONTINUO) (1)</v>
      </c>
      <c r="Y338" s="7" t="str">
        <f>Preencher!$B$3&amp;U338&amp;V338&amp;A338&amp;$Y$6</f>
        <v>JARINU-FRG241739MQ.TUNEL DE CG (CONTINUO) (2)</v>
      </c>
      <c r="Z338" s="7" t="str">
        <f>Preencher!$B$3&amp;U338&amp;V338&amp;A338&amp;$Z$6</f>
        <v>JARINU-FRG241739MQ.TUNEL DE CG (CONTINUO) (3)</v>
      </c>
      <c r="AA338" s="7" t="str">
        <f>Preencher!$B$3&amp;U338&amp;V338&amp;A338&amp;$AA$6</f>
        <v>JARINU-FRG241739MQ.TUNEL DE CG (ESTATICO)</v>
      </c>
      <c r="AB338" s="7" t="str">
        <f>Preencher!$B$3&amp;U338&amp;V338&amp;A338&amp;$AB$6</f>
        <v>JARINU-FRG241739MQ.TUNEL DE CG (ESTATICO) (1)</v>
      </c>
      <c r="AC338" s="7" t="str">
        <f>Preencher!$B$3&amp;U338&amp;V338&amp;A338&amp;$AC$6</f>
        <v>JARINU-FRG241739MQ.TUNEL DE CG (ESTATICO) (2)</v>
      </c>
      <c r="AD338" s="327">
        <f>IFERROR(SUMIF('BD Otimix'!A:A,'BD VOLUME'!X338,'BD Otimix'!O:O)+SUMIF('BD Otimix'!A:A,'BD VOLUME'!Y338,'BD Otimix'!O:O)+SUMIF('BD Otimix'!A:A,'BD VOLUME'!Z338,'BD Otimix'!O:O)+SUMIF('BD Otimix'!A:A,'BD VOLUME'!AA338,'BD Otimix'!O:O)+SUMIF('BD Otimix'!A:A,'BD VOLUME'!AB338,'BD Otimix'!O:O)+SUMIF('BD Otimix'!A:A,'BD VOLUME'!AC338,'BD Otimix'!O:O)+SUMIF('BD Otimix'!A:A,'BD VOLUME'!W338,'BD Otimix'!O:O),0)</f>
        <v>0</v>
      </c>
      <c r="AE338" s="327">
        <f t="shared" si="74"/>
        <v>0</v>
      </c>
      <c r="AF338" s="7" t="str">
        <f>Preencher!$B$3&amp;$U$8&amp;$V$8&amp;A338&amp;$AF$6</f>
        <v>JARINU-FRG241739MQ.GIROFREEZER</v>
      </c>
      <c r="AG338" s="7" t="str">
        <f>Preencher!$B$3&amp;$U$8&amp;$V$8&amp;A338&amp;$AG$6</f>
        <v>JARINU-FRG241739MQ.GIROFREEZER (1)</v>
      </c>
      <c r="AH338" s="7" t="str">
        <f>Preencher!$B$3&amp;$U$8&amp;$V$8&amp;A338&amp;$AH$6</f>
        <v>JARINU-FRG241739MQ.GIROFREEZER (2)</v>
      </c>
      <c r="AI338" s="7" t="str">
        <f>Preencher!$B$3&amp;$U$8&amp;$V$8&amp;A338&amp;$AI$6</f>
        <v>JARINU-FRG241739MQ.GIROFREEZER REV04</v>
      </c>
      <c r="AJ338" s="7" t="str">
        <f>Preencher!$B$3&amp;$U$8&amp;$V$8&amp;A338&amp;$AJ$6</f>
        <v>JARINU-FRG241739MQ.GIROFREEZER (3)</v>
      </c>
      <c r="AK338" s="327">
        <f>IFERROR(SUMIF('BD Otimix'!A:A,'BD VOLUME'!AG338,'BD Otimix'!O:O)+SUMIF('BD Otimix'!A:A,'BD VOLUME'!AH338,'BD Otimix'!O:O)+SUMIF('BD Otimix'!A:A,'BD VOLUME'!AI338,'BD Otimix'!O:O)+SUMIF('BD Otimix'!A:A,'BD VOLUME'!AJ338,'BD Otimix'!O:O)+SUMIF('BD Otimix'!A:A,'BD VOLUME'!AF338,'BD Otimix'!O:O),0)</f>
        <v>0</v>
      </c>
      <c r="AL338" s="7">
        <f t="shared" si="75"/>
        <v>0</v>
      </c>
    </row>
    <row r="339" spans="1:38" s="4" customFormat="1" ht="14.25">
      <c r="A339" s="644">
        <v>228329</v>
      </c>
      <c r="B339" s="644"/>
      <c r="C339" s="5" t="s">
        <v>3039</v>
      </c>
      <c r="D339" s="75" t="s">
        <v>867</v>
      </c>
      <c r="E339" s="5" t="s">
        <v>1484</v>
      </c>
      <c r="F339" s="132">
        <f>SUMIF('COLAR PLANO'!$A:$A,A339,'COLAR PLANO'!$D:$D)</f>
        <v>0</v>
      </c>
      <c r="G339" s="131">
        <f>IFERROR(F339/($E$3*$C$3),0)</f>
        <v>0</v>
      </c>
      <c r="H339" s="6">
        <v>0.217</v>
      </c>
      <c r="I339" s="7">
        <f>IFERROR(G339/$D$3/H339,0)</f>
        <v>0</v>
      </c>
      <c r="J339" s="130">
        <f t="shared" si="76"/>
        <v>0</v>
      </c>
      <c r="K339" s="122">
        <v>7.5</v>
      </c>
      <c r="L339" s="122">
        <v>2</v>
      </c>
      <c r="M339" s="122">
        <v>15</v>
      </c>
      <c r="N339" s="311">
        <f>IFERROR(G339/K339,"-")</f>
        <v>0</v>
      </c>
      <c r="O339" s="311"/>
      <c r="P339" s="311">
        <f t="shared" si="81"/>
        <v>0</v>
      </c>
      <c r="Q339" s="311"/>
      <c r="R339" s="311"/>
      <c r="S339" s="7"/>
      <c r="T339" s="7"/>
      <c r="U339" s="7" t="s">
        <v>2288</v>
      </c>
      <c r="V339" s="7" t="s">
        <v>2289</v>
      </c>
      <c r="W339" s="7" t="str">
        <f>Preencher!$B$3&amp;U339&amp;V339&amp;A339&amp;$W$6</f>
        <v>JARINU-FRG228329MQ.TUNEL DE CG (CONTINUO)</v>
      </c>
      <c r="X339" s="7" t="str">
        <f>Preencher!$B$3&amp;U339&amp;V339&amp;A339&amp;$X$6</f>
        <v>JARINU-FRG228329MQ.TUNEL DE CG (CONTINUO) (1)</v>
      </c>
      <c r="Y339" s="7" t="str">
        <f>Preencher!$B$3&amp;U339&amp;V339&amp;A339&amp;$Y$6</f>
        <v>JARINU-FRG228329MQ.TUNEL DE CG (CONTINUO) (2)</v>
      </c>
      <c r="Z339" s="7" t="str">
        <f>Preencher!$B$3&amp;U339&amp;V339&amp;A339&amp;$Z$6</f>
        <v>JARINU-FRG228329MQ.TUNEL DE CG (CONTINUO) (3)</v>
      </c>
      <c r="AA339" s="7" t="str">
        <f>Preencher!$B$3&amp;U339&amp;V339&amp;A339&amp;$AA$6</f>
        <v>JARINU-FRG228329MQ.TUNEL DE CG (ESTATICO)</v>
      </c>
      <c r="AB339" s="7" t="str">
        <f>Preencher!$B$3&amp;U339&amp;V339&amp;A339&amp;$AB$6</f>
        <v>JARINU-FRG228329MQ.TUNEL DE CG (ESTATICO) (1)</v>
      </c>
      <c r="AC339" s="7" t="str">
        <f>Preencher!$B$3&amp;U339&amp;V339&amp;A339&amp;$AC$6</f>
        <v>JARINU-FRG228329MQ.TUNEL DE CG (ESTATICO) (2)</v>
      </c>
      <c r="AD339" s="327">
        <f>IFERROR(SUMIF('BD Otimix'!A:A,'BD VOLUME'!X339,'BD Otimix'!O:O)+SUMIF('BD Otimix'!A:A,'BD VOLUME'!Y339,'BD Otimix'!O:O)+SUMIF('BD Otimix'!A:A,'BD VOLUME'!Z339,'BD Otimix'!O:O)+SUMIF('BD Otimix'!A:A,'BD VOLUME'!AA339,'BD Otimix'!O:O)+SUMIF('BD Otimix'!A:A,'BD VOLUME'!AB339,'BD Otimix'!O:O)+SUMIF('BD Otimix'!A:A,'BD VOLUME'!AC339,'BD Otimix'!O:O)+SUMIF('BD Otimix'!A:A,'BD VOLUME'!W339,'BD Otimix'!O:O),0)</f>
        <v>0</v>
      </c>
      <c r="AE339" s="327">
        <f t="shared" si="74"/>
        <v>0</v>
      </c>
      <c r="AF339" s="7" t="str">
        <f>Preencher!$B$3&amp;$U$8&amp;$V$8&amp;A339&amp;$AF$6</f>
        <v>JARINU-FRG228329MQ.GIROFREEZER</v>
      </c>
      <c r="AG339" s="7" t="str">
        <f>Preencher!$B$3&amp;$U$8&amp;$V$8&amp;A339&amp;$AG$6</f>
        <v>JARINU-FRG228329MQ.GIROFREEZER (1)</v>
      </c>
      <c r="AH339" s="7" t="str">
        <f>Preencher!$B$3&amp;$U$8&amp;$V$8&amp;A339&amp;$AH$6</f>
        <v>JARINU-FRG228329MQ.GIROFREEZER (2)</v>
      </c>
      <c r="AI339" s="7" t="str">
        <f>Preencher!$B$3&amp;$U$8&amp;$V$8&amp;A339&amp;$AI$6</f>
        <v>JARINU-FRG228329MQ.GIROFREEZER REV04</v>
      </c>
      <c r="AJ339" s="7" t="str">
        <f>Preencher!$B$3&amp;$U$8&amp;$V$8&amp;A339&amp;$AJ$6</f>
        <v>JARINU-FRG228329MQ.GIROFREEZER (3)</v>
      </c>
      <c r="AK339" s="327">
        <f>IFERROR(SUMIF('BD Otimix'!A:A,'BD VOLUME'!AG339,'BD Otimix'!O:O)+SUMIF('BD Otimix'!A:A,'BD VOLUME'!AH339,'BD Otimix'!O:O)+SUMIF('BD Otimix'!A:A,'BD VOLUME'!AI339,'BD Otimix'!O:O)+SUMIF('BD Otimix'!A:A,'BD VOLUME'!AJ339,'BD Otimix'!O:O)+SUMIF('BD Otimix'!A:A,'BD VOLUME'!AF339,'BD Otimix'!O:O),0)</f>
        <v>0</v>
      </c>
      <c r="AL339" s="7">
        <f t="shared" si="75"/>
        <v>0</v>
      </c>
    </row>
    <row r="340" spans="1:38" s="4" customFormat="1" ht="14.25">
      <c r="A340" s="355">
        <v>57800</v>
      </c>
      <c r="B340" s="355" t="s">
        <v>1403</v>
      </c>
      <c r="C340" s="5" t="s">
        <v>1485</v>
      </c>
      <c r="D340" s="75" t="s">
        <v>867</v>
      </c>
      <c r="E340" s="5" t="s">
        <v>1484</v>
      </c>
      <c r="F340" s="132">
        <f>SUMIF('COLAR PLANO'!$A:$A,A340,'COLAR PLANO'!$D:$D)</f>
        <v>0</v>
      </c>
      <c r="G340" s="131">
        <f t="shared" si="79"/>
        <v>0</v>
      </c>
      <c r="H340" s="6">
        <v>0.217</v>
      </c>
      <c r="I340" s="7">
        <f t="shared" si="80"/>
        <v>0</v>
      </c>
      <c r="J340" s="130">
        <f t="shared" si="76"/>
        <v>0</v>
      </c>
      <c r="K340" s="122">
        <v>7.5</v>
      </c>
      <c r="L340" s="122">
        <v>2</v>
      </c>
      <c r="M340" s="122">
        <v>15</v>
      </c>
      <c r="N340" s="311">
        <f t="shared" si="77"/>
        <v>0</v>
      </c>
      <c r="O340" s="311"/>
      <c r="P340" s="311">
        <f t="shared" si="81"/>
        <v>0</v>
      </c>
      <c r="Q340" s="311"/>
      <c r="R340" s="311"/>
      <c r="S340" s="7"/>
      <c r="T340" s="7"/>
      <c r="U340" s="7" t="s">
        <v>2288</v>
      </c>
      <c r="V340" s="7" t="s">
        <v>2289</v>
      </c>
      <c r="W340" s="7" t="str">
        <f>Preencher!$B$3&amp;U340&amp;V340&amp;A340&amp;$W$6</f>
        <v>JARINU-FRG57800MQ.TUNEL DE CG (CONTINUO)</v>
      </c>
      <c r="X340" s="7" t="str">
        <f>Preencher!$B$3&amp;U340&amp;V340&amp;A340&amp;$X$6</f>
        <v>JARINU-FRG57800MQ.TUNEL DE CG (CONTINUO) (1)</v>
      </c>
      <c r="Y340" s="7" t="str">
        <f>Preencher!$B$3&amp;U340&amp;V340&amp;A340&amp;$Y$6</f>
        <v>JARINU-FRG57800MQ.TUNEL DE CG (CONTINUO) (2)</v>
      </c>
      <c r="Z340" s="7" t="str">
        <f>Preencher!$B$3&amp;U340&amp;V340&amp;A340&amp;$Z$6</f>
        <v>JARINU-FRG57800MQ.TUNEL DE CG (CONTINUO) (3)</v>
      </c>
      <c r="AA340" s="7" t="str">
        <f>Preencher!$B$3&amp;U340&amp;V340&amp;A340&amp;$AA$6</f>
        <v>JARINU-FRG57800MQ.TUNEL DE CG (ESTATICO)</v>
      </c>
      <c r="AB340" s="7" t="str">
        <f>Preencher!$B$3&amp;U340&amp;V340&amp;A340&amp;$AB$6</f>
        <v>JARINU-FRG57800MQ.TUNEL DE CG (ESTATICO) (1)</v>
      </c>
      <c r="AC340" s="7" t="str">
        <f>Preencher!$B$3&amp;U340&amp;V340&amp;A340&amp;$AC$6</f>
        <v>JARINU-FRG57800MQ.TUNEL DE CG (ESTATICO) (2)</v>
      </c>
      <c r="AD340" s="327">
        <f>IFERROR(SUMIF('BD Otimix'!A:A,'BD VOLUME'!X340,'BD Otimix'!O:O)+SUMIF('BD Otimix'!A:A,'BD VOLUME'!Y340,'BD Otimix'!O:O)+SUMIF('BD Otimix'!A:A,'BD VOLUME'!Z340,'BD Otimix'!O:O)+SUMIF('BD Otimix'!A:A,'BD VOLUME'!AA340,'BD Otimix'!O:O)+SUMIF('BD Otimix'!A:A,'BD VOLUME'!AB340,'BD Otimix'!O:O)+SUMIF('BD Otimix'!A:A,'BD VOLUME'!AC340,'BD Otimix'!O:O)+SUMIF('BD Otimix'!A:A,'BD VOLUME'!W340,'BD Otimix'!O:O),0)</f>
        <v>0</v>
      </c>
      <c r="AE340" s="327">
        <f t="shared" si="74"/>
        <v>0</v>
      </c>
      <c r="AF340" s="7" t="str">
        <f>Preencher!$B$3&amp;$U$8&amp;$V$8&amp;A340&amp;$AF$6</f>
        <v>JARINU-FRG57800MQ.GIROFREEZER</v>
      </c>
      <c r="AG340" s="7" t="str">
        <f>Preencher!$B$3&amp;$U$8&amp;$V$8&amp;A340&amp;$AG$6</f>
        <v>JARINU-FRG57800MQ.GIROFREEZER (1)</v>
      </c>
      <c r="AH340" s="7" t="str">
        <f>Preencher!$B$3&amp;$U$8&amp;$V$8&amp;A340&amp;$AH$6</f>
        <v>JARINU-FRG57800MQ.GIROFREEZER (2)</v>
      </c>
      <c r="AI340" s="7" t="str">
        <f>Preencher!$B$3&amp;$U$8&amp;$V$8&amp;A340&amp;$AI$6</f>
        <v>JARINU-FRG57800MQ.GIROFREEZER REV04</v>
      </c>
      <c r="AJ340" s="7" t="str">
        <f>Preencher!$B$3&amp;$U$8&amp;$V$8&amp;A340&amp;$AJ$6</f>
        <v>JARINU-FRG57800MQ.GIROFREEZER (3)</v>
      </c>
      <c r="AK340" s="327">
        <f>IFERROR(SUMIF('BD Otimix'!A:A,'BD VOLUME'!AG340,'BD Otimix'!O:O)+SUMIF('BD Otimix'!A:A,'BD VOLUME'!AH340,'BD Otimix'!O:O)+SUMIF('BD Otimix'!A:A,'BD VOLUME'!AI340,'BD Otimix'!O:O)+SUMIF('BD Otimix'!A:A,'BD VOLUME'!AJ340,'BD Otimix'!O:O)+SUMIF('BD Otimix'!A:A,'BD VOLUME'!AF340,'BD Otimix'!O:O),0)</f>
        <v>0</v>
      </c>
      <c r="AL340" s="7">
        <f t="shared" si="75"/>
        <v>0</v>
      </c>
    </row>
    <row r="341" spans="1:38" s="4" customFormat="1" ht="14.25">
      <c r="A341" s="355">
        <v>928380</v>
      </c>
      <c r="B341" s="355" t="s">
        <v>1022</v>
      </c>
      <c r="C341" s="5" t="s">
        <v>1486</v>
      </c>
      <c r="D341" s="75" t="s">
        <v>867</v>
      </c>
      <c r="E341" s="5" t="s">
        <v>1487</v>
      </c>
      <c r="F341" s="132">
        <f>SUMIF('COLAR PLANO'!$A:$A,A341,'COLAR PLANO'!$D:$D)</f>
        <v>0</v>
      </c>
      <c r="G341" s="131">
        <f t="shared" si="79"/>
        <v>0</v>
      </c>
      <c r="H341" s="6">
        <v>0.217</v>
      </c>
      <c r="I341" s="7">
        <f t="shared" si="80"/>
        <v>0</v>
      </c>
      <c r="J341" s="130">
        <f t="shared" si="76"/>
        <v>0</v>
      </c>
      <c r="K341" s="122">
        <v>10</v>
      </c>
      <c r="L341" s="122">
        <v>1</v>
      </c>
      <c r="M341" s="122">
        <v>10</v>
      </c>
      <c r="N341" s="311">
        <f t="shared" si="77"/>
        <v>0</v>
      </c>
      <c r="O341" s="311"/>
      <c r="P341" s="311"/>
      <c r="Q341" s="311">
        <f>IFERROR(G341/M341,"-")</f>
        <v>0</v>
      </c>
      <c r="R341" s="311"/>
      <c r="S341" s="7"/>
      <c r="T341" s="7"/>
      <c r="U341" s="7" t="s">
        <v>2288</v>
      </c>
      <c r="V341" s="7" t="s">
        <v>2289</v>
      </c>
      <c r="W341" s="7" t="str">
        <f>Preencher!$B$3&amp;U341&amp;V341&amp;A341&amp;$W$6</f>
        <v>JARINU-FRG928380MQ.TUNEL DE CG (CONTINUO)</v>
      </c>
      <c r="X341" s="7" t="str">
        <f>Preencher!$B$3&amp;U341&amp;V341&amp;A341&amp;$X$6</f>
        <v>JARINU-FRG928380MQ.TUNEL DE CG (CONTINUO) (1)</v>
      </c>
      <c r="Y341" s="7" t="str">
        <f>Preencher!$B$3&amp;U341&amp;V341&amp;A341&amp;$Y$6</f>
        <v>JARINU-FRG928380MQ.TUNEL DE CG (CONTINUO) (2)</v>
      </c>
      <c r="Z341" s="7" t="str">
        <f>Preencher!$B$3&amp;U341&amp;V341&amp;A341&amp;$Z$6</f>
        <v>JARINU-FRG928380MQ.TUNEL DE CG (CONTINUO) (3)</v>
      </c>
      <c r="AA341" s="7" t="str">
        <f>Preencher!$B$3&amp;U341&amp;V341&amp;A341&amp;$AA$6</f>
        <v>JARINU-FRG928380MQ.TUNEL DE CG (ESTATICO)</v>
      </c>
      <c r="AB341" s="7" t="str">
        <f>Preencher!$B$3&amp;U341&amp;V341&amp;A341&amp;$AB$6</f>
        <v>JARINU-FRG928380MQ.TUNEL DE CG (ESTATICO) (1)</v>
      </c>
      <c r="AC341" s="7" t="str">
        <f>Preencher!$B$3&amp;U341&amp;V341&amp;A341&amp;$AC$6</f>
        <v>JARINU-FRG928380MQ.TUNEL DE CG (ESTATICO) (2)</v>
      </c>
      <c r="AD341" s="327">
        <f>IFERROR(SUMIF('BD Otimix'!A:A,'BD VOLUME'!X341,'BD Otimix'!O:O)+SUMIF('BD Otimix'!A:A,'BD VOLUME'!Y341,'BD Otimix'!O:O)+SUMIF('BD Otimix'!A:A,'BD VOLUME'!Z341,'BD Otimix'!O:O)+SUMIF('BD Otimix'!A:A,'BD VOLUME'!AA341,'BD Otimix'!O:O)+SUMIF('BD Otimix'!A:A,'BD VOLUME'!AB341,'BD Otimix'!O:O)+SUMIF('BD Otimix'!A:A,'BD VOLUME'!AC341,'BD Otimix'!O:O)+SUMIF('BD Otimix'!A:A,'BD VOLUME'!W341,'BD Otimix'!O:O),0)</f>
        <v>0</v>
      </c>
      <c r="AE341" s="327">
        <f t="shared" si="74"/>
        <v>0</v>
      </c>
      <c r="AF341" s="7" t="str">
        <f>Preencher!$B$3&amp;$U$8&amp;$V$8&amp;A341&amp;$AF$6</f>
        <v>JARINU-FRG928380MQ.GIROFREEZER</v>
      </c>
      <c r="AG341" s="7" t="str">
        <f>Preencher!$B$3&amp;$U$8&amp;$V$8&amp;A341&amp;$AG$6</f>
        <v>JARINU-FRG928380MQ.GIROFREEZER (1)</v>
      </c>
      <c r="AH341" s="7" t="str">
        <f>Preencher!$B$3&amp;$U$8&amp;$V$8&amp;A341&amp;$AH$6</f>
        <v>JARINU-FRG928380MQ.GIROFREEZER (2)</v>
      </c>
      <c r="AI341" s="7" t="str">
        <f>Preencher!$B$3&amp;$U$8&amp;$V$8&amp;A341&amp;$AI$6</f>
        <v>JARINU-FRG928380MQ.GIROFREEZER REV04</v>
      </c>
      <c r="AJ341" s="7" t="str">
        <f>Preencher!$B$3&amp;$U$8&amp;$V$8&amp;A341&amp;$AJ$6</f>
        <v>JARINU-FRG928380MQ.GIROFREEZER (3)</v>
      </c>
      <c r="AK341" s="327">
        <f>IFERROR(SUMIF('BD Otimix'!A:A,'BD VOLUME'!AG341,'BD Otimix'!O:O)+SUMIF('BD Otimix'!A:A,'BD VOLUME'!AH341,'BD Otimix'!O:O)+SUMIF('BD Otimix'!A:A,'BD VOLUME'!AI341,'BD Otimix'!O:O)+SUMIF('BD Otimix'!A:A,'BD VOLUME'!AJ341,'BD Otimix'!O:O)+SUMIF('BD Otimix'!A:A,'BD VOLUME'!AF341,'BD Otimix'!O:O),0)</f>
        <v>0</v>
      </c>
      <c r="AL341" s="7">
        <f t="shared" si="75"/>
        <v>0</v>
      </c>
    </row>
    <row r="342" spans="1:38" s="4" customFormat="1" ht="14.25">
      <c r="A342" s="720">
        <v>124504</v>
      </c>
      <c r="B342" s="720" t="s">
        <v>2765</v>
      </c>
      <c r="C342" s="5" t="s">
        <v>2766</v>
      </c>
      <c r="D342" s="75" t="s">
        <v>867</v>
      </c>
      <c r="E342" s="5" t="s">
        <v>1481</v>
      </c>
      <c r="F342" s="132">
        <f>SUMIF('COLAR PLANO'!$A:$A,A342,'COLAR PLANO'!$D:$D)</f>
        <v>0</v>
      </c>
      <c r="G342" s="131">
        <f>IFERROR(F342/($E$3*$C$3),0)</f>
        <v>0</v>
      </c>
      <c r="H342" s="6">
        <v>0.2147</v>
      </c>
      <c r="I342" s="7">
        <f>IFERROR(G342/$D$3/H342,0)</f>
        <v>0</v>
      </c>
      <c r="J342" s="130">
        <f>IFERROR(I342/$B$306,0)</f>
        <v>0</v>
      </c>
      <c r="K342" s="122">
        <v>2</v>
      </c>
      <c r="L342" s="122">
        <v>6</v>
      </c>
      <c r="M342" s="122">
        <v>12</v>
      </c>
      <c r="N342" s="311">
        <f>IFERROR(G342/K342,"-")</f>
        <v>0</v>
      </c>
      <c r="O342" s="311"/>
      <c r="P342" s="311">
        <f>IFERROR(G342/M342,"-")</f>
        <v>0</v>
      </c>
      <c r="Q342" s="311"/>
      <c r="R342" s="311"/>
      <c r="S342" s="7"/>
      <c r="T342" s="7"/>
      <c r="U342" s="7" t="s">
        <v>2288</v>
      </c>
      <c r="V342" s="7" t="s">
        <v>2289</v>
      </c>
      <c r="W342" s="7" t="str">
        <f>Preencher!$B$3&amp;U342&amp;V342&amp;A342&amp;$W$6</f>
        <v>JARINU-FRG124504MQ.TUNEL DE CG (CONTINUO)</v>
      </c>
      <c r="X342" s="7" t="str">
        <f>Preencher!$B$3&amp;U342&amp;V342&amp;A342&amp;$X$6</f>
        <v>JARINU-FRG124504MQ.TUNEL DE CG (CONTINUO) (1)</v>
      </c>
      <c r="Y342" s="7" t="str">
        <f>Preencher!$B$3&amp;U342&amp;V342&amp;A342&amp;$Y$6</f>
        <v>JARINU-FRG124504MQ.TUNEL DE CG (CONTINUO) (2)</v>
      </c>
      <c r="Z342" s="7" t="str">
        <f>Preencher!$B$3&amp;U342&amp;V342&amp;A342&amp;$Z$6</f>
        <v>JARINU-FRG124504MQ.TUNEL DE CG (CONTINUO) (3)</v>
      </c>
      <c r="AA342" s="7" t="str">
        <f>Preencher!$B$3&amp;U342&amp;V342&amp;A342&amp;$AA$6</f>
        <v>JARINU-FRG124504MQ.TUNEL DE CG (ESTATICO)</v>
      </c>
      <c r="AB342" s="7" t="str">
        <f>Preencher!$B$3&amp;U342&amp;V342&amp;A342&amp;$AB$6</f>
        <v>JARINU-FRG124504MQ.TUNEL DE CG (ESTATICO) (1)</v>
      </c>
      <c r="AC342" s="7" t="str">
        <f>Preencher!$B$3&amp;U342&amp;V342&amp;A342&amp;$AC$6</f>
        <v>JARINU-FRG124504MQ.TUNEL DE CG (ESTATICO) (2)</v>
      </c>
      <c r="AD342" s="327">
        <f>IFERROR(SUMIF('BD Otimix'!A:A,'BD VOLUME'!X342,'BD Otimix'!O:O)+SUMIF('BD Otimix'!A:A,'BD VOLUME'!Y342,'BD Otimix'!O:O)+SUMIF('BD Otimix'!A:A,'BD VOLUME'!Z342,'BD Otimix'!O:O)+SUMIF('BD Otimix'!A:A,'BD VOLUME'!AA342,'BD Otimix'!O:O)+SUMIF('BD Otimix'!A:A,'BD VOLUME'!AB342,'BD Otimix'!O:O)+SUMIF('BD Otimix'!A:A,'BD VOLUME'!AC342,'BD Otimix'!O:O)+SUMIF('BD Otimix'!A:A,'BD VOLUME'!W342,'BD Otimix'!O:O),0)</f>
        <v>0</v>
      </c>
      <c r="AE342" s="327">
        <f>IFERROR(F342/$E$3/1000/AD342,0)</f>
        <v>0</v>
      </c>
      <c r="AF342" s="7" t="str">
        <f>Preencher!$B$3&amp;$U$8&amp;$V$8&amp;A342&amp;$AF$6</f>
        <v>JARINU-FRG124504MQ.GIROFREEZER</v>
      </c>
      <c r="AG342" s="7" t="str">
        <f>Preencher!$B$3&amp;$U$8&amp;$V$8&amp;A342&amp;$AG$6</f>
        <v>JARINU-FRG124504MQ.GIROFREEZER (1)</v>
      </c>
      <c r="AH342" s="7" t="str">
        <f>Preencher!$B$3&amp;$U$8&amp;$V$8&amp;A342&amp;$AH$6</f>
        <v>JARINU-FRG124504MQ.GIROFREEZER (2)</v>
      </c>
      <c r="AI342" s="7" t="str">
        <f>Preencher!$B$3&amp;$U$8&amp;$V$8&amp;A342&amp;$AI$6</f>
        <v>JARINU-FRG124504MQ.GIROFREEZER REV04</v>
      </c>
      <c r="AJ342" s="7" t="str">
        <f>Preencher!$B$3&amp;$U$8&amp;$V$8&amp;A342&amp;$AJ$6</f>
        <v>JARINU-FRG124504MQ.GIROFREEZER (3)</v>
      </c>
      <c r="AK342" s="327">
        <f>IFERROR(SUMIF('BD Otimix'!A:A,'BD VOLUME'!AG342,'BD Otimix'!O:O)+SUMIF('BD Otimix'!A:A,'BD VOLUME'!AH342,'BD Otimix'!O:O)+SUMIF('BD Otimix'!A:A,'BD VOLUME'!AI342,'BD Otimix'!O:O)+SUMIF('BD Otimix'!A:A,'BD VOLUME'!AJ342,'BD Otimix'!O:O)+SUMIF('BD Otimix'!A:A,'BD VOLUME'!AF342,'BD Otimix'!O:O),0)</f>
        <v>0</v>
      </c>
      <c r="AL342" s="7">
        <f>IFERROR(F342/$E$3/1000/AK342,0)</f>
        <v>0</v>
      </c>
    </row>
    <row r="343" spans="1:38" s="4" customFormat="1" ht="14.25">
      <c r="A343" s="720"/>
      <c r="B343" s="720"/>
      <c r="C343" s="5"/>
      <c r="D343" s="75"/>
      <c r="E343" s="5"/>
      <c r="F343" s="132"/>
      <c r="G343" s="131"/>
      <c r="H343" s="6"/>
      <c r="I343" s="7"/>
      <c r="J343" s="130"/>
      <c r="K343" s="122"/>
      <c r="L343" s="122"/>
      <c r="M343" s="122"/>
      <c r="N343" s="311"/>
      <c r="O343" s="311"/>
      <c r="P343" s="311"/>
      <c r="Q343" s="311"/>
      <c r="R343" s="311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327"/>
      <c r="AE343" s="327"/>
      <c r="AF343" s="7"/>
      <c r="AG343" s="7"/>
      <c r="AH343" s="7"/>
      <c r="AI343" s="7"/>
      <c r="AJ343" s="7"/>
      <c r="AK343" s="327"/>
      <c r="AL343" s="7"/>
    </row>
    <row r="344" spans="1:38" s="4" customFormat="1" ht="14.25">
      <c r="A344" s="355">
        <v>242129</v>
      </c>
      <c r="B344" s="355"/>
      <c r="C344" s="5" t="s">
        <v>3040</v>
      </c>
      <c r="D344" s="75" t="s">
        <v>867</v>
      </c>
      <c r="E344" s="5" t="s">
        <v>3046</v>
      </c>
      <c r="F344" s="132">
        <f>SUMIF('COLAR PLANO'!$A:$A,A344,'COLAR PLANO'!$D:$D)</f>
        <v>0</v>
      </c>
      <c r="G344" s="131">
        <f t="shared" si="79"/>
        <v>0</v>
      </c>
      <c r="H344" s="6">
        <v>0.18</v>
      </c>
      <c r="I344" s="7">
        <f t="shared" si="80"/>
        <v>0</v>
      </c>
      <c r="J344" s="130">
        <f t="shared" si="76"/>
        <v>0</v>
      </c>
      <c r="K344" s="122">
        <v>15</v>
      </c>
      <c r="L344" s="122">
        <v>1</v>
      </c>
      <c r="M344" s="122">
        <v>15</v>
      </c>
      <c r="N344" s="311">
        <f t="shared" si="77"/>
        <v>0</v>
      </c>
      <c r="O344" s="311"/>
      <c r="P344" s="311"/>
      <c r="Q344" s="311">
        <f t="shared" ref="Q344:Q357" si="82">IFERROR(G344/M344,"-")</f>
        <v>0</v>
      </c>
      <c r="R344" s="311"/>
      <c r="S344" s="7"/>
      <c r="T344" s="7"/>
      <c r="U344" s="7" t="s">
        <v>2288</v>
      </c>
      <c r="V344" s="7" t="s">
        <v>2289</v>
      </c>
      <c r="W344" s="7" t="str">
        <f>Preencher!$B$3&amp;U344&amp;V344&amp;A344&amp;$W$6</f>
        <v>JARINU-FRG242129MQ.TUNEL DE CG (CONTINUO)</v>
      </c>
      <c r="X344" s="7" t="str">
        <f>Preencher!$B$3&amp;U344&amp;V344&amp;A344&amp;$X$6</f>
        <v>JARINU-FRG242129MQ.TUNEL DE CG (CONTINUO) (1)</v>
      </c>
      <c r="Y344" s="7" t="str">
        <f>Preencher!$B$3&amp;U344&amp;V344&amp;A344&amp;$Y$6</f>
        <v>JARINU-FRG242129MQ.TUNEL DE CG (CONTINUO) (2)</v>
      </c>
      <c r="Z344" s="7" t="str">
        <f>Preencher!$B$3&amp;U344&amp;V344&amp;A344&amp;$Z$6</f>
        <v>JARINU-FRG242129MQ.TUNEL DE CG (CONTINUO) (3)</v>
      </c>
      <c r="AA344" s="7" t="str">
        <f>Preencher!$B$3&amp;U344&amp;V344&amp;A344&amp;$AA$6</f>
        <v>JARINU-FRG242129MQ.TUNEL DE CG (ESTATICO)</v>
      </c>
      <c r="AB344" s="7" t="str">
        <f>Preencher!$B$3&amp;U344&amp;V344&amp;A344&amp;$AB$6</f>
        <v>JARINU-FRG242129MQ.TUNEL DE CG (ESTATICO) (1)</v>
      </c>
      <c r="AC344" s="7" t="str">
        <f>Preencher!$B$3&amp;U344&amp;V344&amp;A344&amp;$AC$6</f>
        <v>JARINU-FRG242129MQ.TUNEL DE CG (ESTATICO) (2)</v>
      </c>
      <c r="AD344" s="327">
        <f>IFERROR(SUMIF('BD Otimix'!A:A,'BD VOLUME'!X344,'BD Otimix'!O:O)+SUMIF('BD Otimix'!A:A,'BD VOLUME'!Y344,'BD Otimix'!O:O)+SUMIF('BD Otimix'!A:A,'BD VOLUME'!Z344,'BD Otimix'!O:O)+SUMIF('BD Otimix'!A:A,'BD VOLUME'!AA344,'BD Otimix'!O:O)+SUMIF('BD Otimix'!A:A,'BD VOLUME'!AB344,'BD Otimix'!O:O)+SUMIF('BD Otimix'!A:A,'BD VOLUME'!AC344,'BD Otimix'!O:O)+SUMIF('BD Otimix'!A:A,'BD VOLUME'!W344,'BD Otimix'!O:O),0)</f>
        <v>0</v>
      </c>
      <c r="AE344" s="327">
        <f t="shared" si="74"/>
        <v>0</v>
      </c>
      <c r="AF344" s="7" t="str">
        <f>Preencher!$B$3&amp;$U$8&amp;$V$8&amp;A344&amp;$AF$6</f>
        <v>JARINU-FRG242129MQ.GIROFREEZER</v>
      </c>
      <c r="AG344" s="7" t="str">
        <f>Preencher!$B$3&amp;$U$8&amp;$V$8&amp;A344&amp;$AG$6</f>
        <v>JARINU-FRG242129MQ.GIROFREEZER (1)</v>
      </c>
      <c r="AH344" s="7" t="str">
        <f>Preencher!$B$3&amp;$U$8&amp;$V$8&amp;A344&amp;$AH$6</f>
        <v>JARINU-FRG242129MQ.GIROFREEZER (2)</v>
      </c>
      <c r="AI344" s="7" t="str">
        <f>Preencher!$B$3&amp;$U$8&amp;$V$8&amp;A344&amp;$AI$6</f>
        <v>JARINU-FRG242129MQ.GIROFREEZER REV04</v>
      </c>
      <c r="AJ344" s="7" t="str">
        <f>Preencher!$B$3&amp;$U$8&amp;$V$8&amp;A344&amp;$AJ$6</f>
        <v>JARINU-FRG242129MQ.GIROFREEZER (3)</v>
      </c>
      <c r="AK344" s="327">
        <f>IFERROR(SUMIF('BD Otimix'!A:A,'BD VOLUME'!AG344,'BD Otimix'!O:O)+SUMIF('BD Otimix'!A:A,'BD VOLUME'!AH344,'BD Otimix'!O:O)+SUMIF('BD Otimix'!A:A,'BD VOLUME'!AI344,'BD Otimix'!O:O)+SUMIF('BD Otimix'!A:A,'BD VOLUME'!AJ344,'BD Otimix'!O:O)+SUMIF('BD Otimix'!A:A,'BD VOLUME'!AF344,'BD Otimix'!O:O),0)</f>
        <v>0</v>
      </c>
      <c r="AL344" s="7">
        <f t="shared" si="75"/>
        <v>0</v>
      </c>
    </row>
    <row r="345" spans="1:38" s="4" customFormat="1" ht="14.25">
      <c r="A345" s="644">
        <v>55364</v>
      </c>
      <c r="B345" s="644"/>
      <c r="C345" s="5" t="s">
        <v>3103</v>
      </c>
      <c r="D345" s="75" t="s">
        <v>867</v>
      </c>
      <c r="E345" s="5" t="s">
        <v>1488</v>
      </c>
      <c r="F345" s="132">
        <f>SUMIF('COLAR PLANO'!$A:$A,A345,'COLAR PLANO'!$D:$D)</f>
        <v>11232</v>
      </c>
      <c r="G345" s="131">
        <f>IFERROR(F345/($E$3*$C$3),0)</f>
        <v>53.320674103963924</v>
      </c>
      <c r="H345" s="6">
        <v>0.217</v>
      </c>
      <c r="I345" s="7">
        <f>IFERROR(G345/$D$3/H345,0)</f>
        <v>81.905797394721844</v>
      </c>
      <c r="J345" s="130">
        <f t="shared" si="76"/>
        <v>1.7427733556765811E-2</v>
      </c>
      <c r="K345" s="122">
        <v>15</v>
      </c>
      <c r="L345" s="122">
        <v>1</v>
      </c>
      <c r="M345" s="122">
        <v>15</v>
      </c>
      <c r="N345" s="311">
        <f>IFERROR(G345/K345,"-")</f>
        <v>3.5547116069309284</v>
      </c>
      <c r="O345" s="311"/>
      <c r="P345" s="311"/>
      <c r="Q345" s="311">
        <f>IFERROR(G345/M345,"-")</f>
        <v>3.5547116069309284</v>
      </c>
      <c r="R345" s="311"/>
      <c r="S345" s="7"/>
      <c r="T345" s="7"/>
      <c r="U345" s="7" t="s">
        <v>2288</v>
      </c>
      <c r="V345" s="7" t="s">
        <v>2289</v>
      </c>
      <c r="W345" s="7" t="str">
        <f>Preencher!$B$3&amp;U345&amp;V345&amp;A345&amp;$W$6</f>
        <v>JARINU-FRG55364MQ.TUNEL DE CG (CONTINUO)</v>
      </c>
      <c r="X345" s="7" t="str">
        <f>Preencher!$B$3&amp;U345&amp;V345&amp;A345&amp;$X$6</f>
        <v>JARINU-FRG55364MQ.TUNEL DE CG (CONTINUO) (1)</v>
      </c>
      <c r="Y345" s="7" t="str">
        <f>Preencher!$B$3&amp;U345&amp;V345&amp;A345&amp;$Y$6</f>
        <v>JARINU-FRG55364MQ.TUNEL DE CG (CONTINUO) (2)</v>
      </c>
      <c r="Z345" s="7" t="str">
        <f>Preencher!$B$3&amp;U345&amp;V345&amp;A345&amp;$Z$6</f>
        <v>JARINU-FRG55364MQ.TUNEL DE CG (CONTINUO) (3)</v>
      </c>
      <c r="AA345" s="7" t="str">
        <f>Preencher!$B$3&amp;U345&amp;V345&amp;A345&amp;$AA$6</f>
        <v>JARINU-FRG55364MQ.TUNEL DE CG (ESTATICO)</v>
      </c>
      <c r="AB345" s="7" t="str">
        <f>Preencher!$B$3&amp;U345&amp;V345&amp;A345&amp;$AB$6</f>
        <v>JARINU-FRG55364MQ.TUNEL DE CG (ESTATICO) (1)</v>
      </c>
      <c r="AC345" s="7" t="str">
        <f>Preencher!$B$3&amp;U345&amp;V345&amp;A345&amp;$AC$6</f>
        <v>JARINU-FRG55364MQ.TUNEL DE CG (ESTATICO) (2)</v>
      </c>
      <c r="AD345" s="327">
        <f>IFERROR(SUMIF('BD Otimix'!A:A,'BD VOLUME'!X345,'BD Otimix'!O:O)+SUMIF('BD Otimix'!A:A,'BD VOLUME'!Y345,'BD Otimix'!O:O)+SUMIF('BD Otimix'!A:A,'BD VOLUME'!Z345,'BD Otimix'!O:O)+SUMIF('BD Otimix'!A:A,'BD VOLUME'!AA345,'BD Otimix'!O:O)+SUMIF('BD Otimix'!A:A,'BD VOLUME'!AB345,'BD Otimix'!O:O)+SUMIF('BD Otimix'!A:A,'BD VOLUME'!AC345,'BD Otimix'!O:O)+SUMIF('BD Otimix'!A:A,'BD VOLUME'!W345,'BD Otimix'!O:O),0)</f>
        <v>0</v>
      </c>
      <c r="AE345" s="327">
        <f t="shared" si="74"/>
        <v>0</v>
      </c>
      <c r="AF345" s="7" t="str">
        <f>Preencher!$B$3&amp;$U$8&amp;$V$8&amp;A345&amp;$AF$6</f>
        <v>JARINU-FRG55364MQ.GIROFREEZER</v>
      </c>
      <c r="AG345" s="7" t="str">
        <f>Preencher!$B$3&amp;$U$8&amp;$V$8&amp;A345&amp;$AG$6</f>
        <v>JARINU-FRG55364MQ.GIROFREEZER (1)</v>
      </c>
      <c r="AH345" s="7" t="str">
        <f>Preencher!$B$3&amp;$U$8&amp;$V$8&amp;A345&amp;$AH$6</f>
        <v>JARINU-FRG55364MQ.GIROFREEZER (2)</v>
      </c>
      <c r="AI345" s="7" t="str">
        <f>Preencher!$B$3&amp;$U$8&amp;$V$8&amp;A345&amp;$AI$6</f>
        <v>JARINU-FRG55364MQ.GIROFREEZER REV04</v>
      </c>
      <c r="AJ345" s="7" t="str">
        <f>Preencher!$B$3&amp;$U$8&amp;$V$8&amp;A345&amp;$AJ$6</f>
        <v>JARINU-FRG55364MQ.GIROFREEZER (3)</v>
      </c>
      <c r="AK345" s="327">
        <f>IFERROR(SUMIF('BD Otimix'!A:A,'BD VOLUME'!AG345,'BD Otimix'!O:O)+SUMIF('BD Otimix'!A:A,'BD VOLUME'!AH345,'BD Otimix'!O:O)+SUMIF('BD Otimix'!A:A,'BD VOLUME'!AI345,'BD Otimix'!O:O)+SUMIF('BD Otimix'!A:A,'BD VOLUME'!AJ345,'BD Otimix'!O:O)+SUMIF('BD Otimix'!A:A,'BD VOLUME'!AF345,'BD Otimix'!O:O),0)</f>
        <v>0</v>
      </c>
      <c r="AL345" s="7">
        <f t="shared" si="75"/>
        <v>0</v>
      </c>
    </row>
    <row r="346" spans="1:38" s="4" customFormat="1" ht="14.25">
      <c r="A346" s="645">
        <v>997785</v>
      </c>
      <c r="B346" s="645"/>
      <c r="C346" s="5" t="s">
        <v>3040</v>
      </c>
      <c r="D346" s="5" t="s">
        <v>867</v>
      </c>
      <c r="E346" s="5" t="s">
        <v>1488</v>
      </c>
      <c r="F346" s="132">
        <f>SUMIF('COLAR PLANO'!$A:$A,A346,'COLAR PLANO'!$D:$D)</f>
        <v>0</v>
      </c>
      <c r="G346" s="131">
        <f>IFERROR(F346/($E$3*$C$3),0)</f>
        <v>0</v>
      </c>
      <c r="H346" s="6">
        <v>0.217</v>
      </c>
      <c r="I346" s="7">
        <f>IFERROR(G346/$D$3/H346,0)</f>
        <v>0</v>
      </c>
      <c r="J346" s="130">
        <f>IFERROR(I346/$B$306,0)</f>
        <v>0</v>
      </c>
      <c r="K346" s="122">
        <v>15</v>
      </c>
      <c r="L346" s="122">
        <v>1</v>
      </c>
      <c r="M346" s="122">
        <v>15</v>
      </c>
      <c r="N346" s="311">
        <f>IFERROR(G346/K346,"-")</f>
        <v>0</v>
      </c>
      <c r="O346" s="311"/>
      <c r="P346" s="311"/>
      <c r="Q346" s="311">
        <f>IFERROR(G346/M346,"-")</f>
        <v>0</v>
      </c>
      <c r="R346" s="311"/>
      <c r="S346" s="7"/>
      <c r="T346" s="7"/>
      <c r="U346" s="7" t="s">
        <v>2288</v>
      </c>
      <c r="V346" s="7" t="s">
        <v>2289</v>
      </c>
      <c r="W346" s="7" t="str">
        <f>Preencher!$B$3&amp;U346&amp;V346&amp;A346&amp;$W$6</f>
        <v>JARINU-FRG997785MQ.TUNEL DE CG (CONTINUO)</v>
      </c>
      <c r="X346" s="7" t="str">
        <f>Preencher!$B$3&amp;U346&amp;V346&amp;A346&amp;$X$6</f>
        <v>JARINU-FRG997785MQ.TUNEL DE CG (CONTINUO) (1)</v>
      </c>
      <c r="Y346" s="7" t="str">
        <f>Preencher!$B$3&amp;U346&amp;V346&amp;A346&amp;$Y$6</f>
        <v>JARINU-FRG997785MQ.TUNEL DE CG (CONTINUO) (2)</v>
      </c>
      <c r="Z346" s="7" t="str">
        <f>Preencher!$B$3&amp;U346&amp;V346&amp;A346&amp;$Z$6</f>
        <v>JARINU-FRG997785MQ.TUNEL DE CG (CONTINUO) (3)</v>
      </c>
      <c r="AA346" s="7" t="str">
        <f>Preencher!$B$3&amp;U346&amp;V346&amp;A346&amp;$AA$6</f>
        <v>JARINU-FRG997785MQ.TUNEL DE CG (ESTATICO)</v>
      </c>
      <c r="AB346" s="7" t="str">
        <f>Preencher!$B$3&amp;U346&amp;V346&amp;A346&amp;$AB$6</f>
        <v>JARINU-FRG997785MQ.TUNEL DE CG (ESTATICO) (1)</v>
      </c>
      <c r="AC346" s="7" t="str">
        <f>Preencher!$B$3&amp;U346&amp;V346&amp;A346&amp;$AC$6</f>
        <v>JARINU-FRG997785MQ.TUNEL DE CG (ESTATICO) (2)</v>
      </c>
      <c r="AD346" s="327">
        <f>IFERROR(SUMIF('BD Otimix'!A:A,'BD VOLUME'!X346,'BD Otimix'!O:O)+SUMIF('BD Otimix'!A:A,'BD VOLUME'!Y346,'BD Otimix'!O:O)+SUMIF('BD Otimix'!A:A,'BD VOLUME'!Z346,'BD Otimix'!O:O)+SUMIF('BD Otimix'!A:A,'BD VOLUME'!AA346,'BD Otimix'!O:O)+SUMIF('BD Otimix'!A:A,'BD VOLUME'!AB346,'BD Otimix'!O:O)+SUMIF('BD Otimix'!A:A,'BD VOLUME'!AC346,'BD Otimix'!O:O)+SUMIF('BD Otimix'!A:A,'BD VOLUME'!W346,'BD Otimix'!O:O),0)</f>
        <v>0</v>
      </c>
      <c r="AE346" s="327">
        <f t="shared" si="74"/>
        <v>0</v>
      </c>
      <c r="AF346" s="7" t="str">
        <f>Preencher!$B$3&amp;$U$8&amp;$V$8&amp;A346&amp;$AF$6</f>
        <v>JARINU-FRG997785MQ.GIROFREEZER</v>
      </c>
      <c r="AG346" s="7" t="str">
        <f>Preencher!$B$3&amp;$U$8&amp;$V$8&amp;A346&amp;$AG$6</f>
        <v>JARINU-FRG997785MQ.GIROFREEZER (1)</v>
      </c>
      <c r="AH346" s="7" t="str">
        <f>Preencher!$B$3&amp;$U$8&amp;$V$8&amp;A346&amp;$AH$6</f>
        <v>JARINU-FRG997785MQ.GIROFREEZER (2)</v>
      </c>
      <c r="AI346" s="7" t="str">
        <f>Preencher!$B$3&amp;$U$8&amp;$V$8&amp;A346&amp;$AI$6</f>
        <v>JARINU-FRG997785MQ.GIROFREEZER REV04</v>
      </c>
      <c r="AJ346" s="7" t="str">
        <f>Preencher!$B$3&amp;$U$8&amp;$V$8&amp;A346&amp;$AJ$6</f>
        <v>JARINU-FRG997785MQ.GIROFREEZER (3)</v>
      </c>
      <c r="AK346" s="327">
        <f>IFERROR(SUMIF('BD Otimix'!A:A,'BD VOLUME'!AG346,'BD Otimix'!O:O)+SUMIF('BD Otimix'!A:A,'BD VOLUME'!AH346,'BD Otimix'!O:O)+SUMIF('BD Otimix'!A:A,'BD VOLUME'!AI346,'BD Otimix'!O:O)+SUMIF('BD Otimix'!A:A,'BD VOLUME'!AJ346,'BD Otimix'!O:O)+SUMIF('BD Otimix'!A:A,'BD VOLUME'!AF346,'BD Otimix'!O:O),0)</f>
        <v>0</v>
      </c>
      <c r="AL346" s="7">
        <f t="shared" si="75"/>
        <v>0</v>
      </c>
    </row>
    <row r="347" spans="1:38" s="4" customFormat="1" ht="14.25">
      <c r="A347" s="645">
        <v>999466</v>
      </c>
      <c r="B347" s="645"/>
      <c r="C347" s="5" t="s">
        <v>1462</v>
      </c>
      <c r="D347" s="5" t="s">
        <v>867</v>
      </c>
      <c r="E347" s="5" t="s">
        <v>2389</v>
      </c>
      <c r="F347" s="132">
        <f>SUMIF('COLAR PLANO'!$A:$A,A347,'COLAR PLANO'!$D:$D)</f>
        <v>0</v>
      </c>
      <c r="G347" s="131">
        <f>IFERROR(F347/($E$3*$C$3),0)</f>
        <v>0</v>
      </c>
      <c r="H347" s="6">
        <v>0.217</v>
      </c>
      <c r="I347" s="7">
        <f>IFERROR(G347/$D$3/H347,0)</f>
        <v>0</v>
      </c>
      <c r="J347" s="130">
        <f t="shared" si="76"/>
        <v>0</v>
      </c>
      <c r="K347" s="122">
        <v>20</v>
      </c>
      <c r="L347" s="122">
        <v>1</v>
      </c>
      <c r="M347" s="122">
        <v>20</v>
      </c>
      <c r="N347" s="311">
        <f>IFERROR(G347/K347,"-")</f>
        <v>0</v>
      </c>
      <c r="O347" s="311"/>
      <c r="P347" s="311"/>
      <c r="Q347" s="311"/>
      <c r="R347" s="311"/>
      <c r="S347" s="311">
        <f>IFERROR(G347/M347,"-")</f>
        <v>0</v>
      </c>
      <c r="T347" s="7"/>
      <c r="U347" s="7" t="s">
        <v>2288</v>
      </c>
      <c r="V347" s="7" t="s">
        <v>2289</v>
      </c>
      <c r="W347" s="7" t="str">
        <f>Preencher!$B$3&amp;U347&amp;V347&amp;A347&amp;$W$6</f>
        <v>JARINU-FRG999466MQ.TUNEL DE CG (CONTINUO)</v>
      </c>
      <c r="X347" s="7" t="str">
        <f>Preencher!$B$3&amp;U347&amp;V347&amp;A347&amp;$X$6</f>
        <v>JARINU-FRG999466MQ.TUNEL DE CG (CONTINUO) (1)</v>
      </c>
      <c r="Y347" s="7" t="str">
        <f>Preencher!$B$3&amp;U347&amp;V347&amp;A347&amp;$Y$6</f>
        <v>JARINU-FRG999466MQ.TUNEL DE CG (CONTINUO) (2)</v>
      </c>
      <c r="Z347" s="7" t="str">
        <f>Preencher!$B$3&amp;U347&amp;V347&amp;A347&amp;$Z$6</f>
        <v>JARINU-FRG999466MQ.TUNEL DE CG (CONTINUO) (3)</v>
      </c>
      <c r="AA347" s="7" t="str">
        <f>Preencher!$B$3&amp;U347&amp;V347&amp;A347&amp;$AA$6</f>
        <v>JARINU-FRG999466MQ.TUNEL DE CG (ESTATICO)</v>
      </c>
      <c r="AB347" s="7" t="str">
        <f>Preencher!$B$3&amp;U347&amp;V347&amp;A347&amp;$AB$6</f>
        <v>JARINU-FRG999466MQ.TUNEL DE CG (ESTATICO) (1)</v>
      </c>
      <c r="AC347" s="7" t="str">
        <f>Preencher!$B$3&amp;U347&amp;V347&amp;A347&amp;$AC$6</f>
        <v>JARINU-FRG999466MQ.TUNEL DE CG (ESTATICO) (2)</v>
      </c>
      <c r="AD347" s="327">
        <f>IFERROR(SUMIF('BD Otimix'!A:A,'BD VOLUME'!X347,'BD Otimix'!O:O)+SUMIF('BD Otimix'!A:A,'BD VOLUME'!Y347,'BD Otimix'!O:O)+SUMIF('BD Otimix'!A:A,'BD VOLUME'!Z347,'BD Otimix'!O:O)+SUMIF('BD Otimix'!A:A,'BD VOLUME'!AA347,'BD Otimix'!O:O)+SUMIF('BD Otimix'!A:A,'BD VOLUME'!AB347,'BD Otimix'!O:O)+SUMIF('BD Otimix'!A:A,'BD VOLUME'!AC347,'BD Otimix'!O:O)+SUMIF('BD Otimix'!A:A,'BD VOLUME'!W347,'BD Otimix'!O:O),0)</f>
        <v>0</v>
      </c>
      <c r="AE347" s="327">
        <f t="shared" si="74"/>
        <v>0</v>
      </c>
      <c r="AF347" s="7" t="str">
        <f>Preencher!$B$3&amp;$U$8&amp;$V$8&amp;A347&amp;$AF$6</f>
        <v>JARINU-FRG999466MQ.GIROFREEZER</v>
      </c>
      <c r="AG347" s="7" t="str">
        <f>Preencher!$B$3&amp;$U$8&amp;$V$8&amp;A347&amp;$AG$6</f>
        <v>JARINU-FRG999466MQ.GIROFREEZER (1)</v>
      </c>
      <c r="AH347" s="7" t="str">
        <f>Preencher!$B$3&amp;$U$8&amp;$V$8&amp;A347&amp;$AH$6</f>
        <v>JARINU-FRG999466MQ.GIROFREEZER (2)</v>
      </c>
      <c r="AI347" s="7" t="str">
        <f>Preencher!$B$3&amp;$U$8&amp;$V$8&amp;A347&amp;$AI$6</f>
        <v>JARINU-FRG999466MQ.GIROFREEZER REV04</v>
      </c>
      <c r="AJ347" s="7" t="str">
        <f>Preencher!$B$3&amp;$U$8&amp;$V$8&amp;A347&amp;$AJ$6</f>
        <v>JARINU-FRG999466MQ.GIROFREEZER (3)</v>
      </c>
      <c r="AK347" s="327">
        <f>IFERROR(SUMIF('BD Otimix'!A:A,'BD VOLUME'!AG347,'BD Otimix'!O:O)+SUMIF('BD Otimix'!A:A,'BD VOLUME'!AH347,'BD Otimix'!O:O)+SUMIF('BD Otimix'!A:A,'BD VOLUME'!AI347,'BD Otimix'!O:O)+SUMIF('BD Otimix'!A:A,'BD VOLUME'!AJ347,'BD Otimix'!O:O)+SUMIF('BD Otimix'!A:A,'BD VOLUME'!AF347,'BD Otimix'!O:O),0)</f>
        <v>0</v>
      </c>
      <c r="AL347" s="7">
        <f t="shared" si="75"/>
        <v>0</v>
      </c>
    </row>
    <row r="348" spans="1:38" s="4" customFormat="1" ht="14.25">
      <c r="A348" s="644">
        <v>75574</v>
      </c>
      <c r="B348" s="644" t="s">
        <v>2317</v>
      </c>
      <c r="C348" s="5" t="s">
        <v>2251</v>
      </c>
      <c r="D348" s="75" t="s">
        <v>867</v>
      </c>
      <c r="E348" s="5" t="s">
        <v>2385</v>
      </c>
      <c r="F348" s="132">
        <f>SUMIF('COLAR PLANO'!$A:$A,A348,'COLAR PLANO'!$D:$D)</f>
        <v>0</v>
      </c>
      <c r="G348" s="131">
        <f>IFERROR(F348/($E$3*$C$3),0)</f>
        <v>0</v>
      </c>
      <c r="H348" s="6">
        <v>0.217</v>
      </c>
      <c r="I348" s="7">
        <f>IFERROR(G348/$D$3/H348,0)</f>
        <v>0</v>
      </c>
      <c r="J348" s="130">
        <f t="shared" si="76"/>
        <v>0</v>
      </c>
      <c r="K348" s="122">
        <v>15</v>
      </c>
      <c r="L348" s="122">
        <v>1</v>
      </c>
      <c r="M348" s="122">
        <v>15</v>
      </c>
      <c r="N348" s="311">
        <f>IFERROR(G348/K348,"-")</f>
        <v>0</v>
      </c>
      <c r="O348" s="311"/>
      <c r="P348" s="311"/>
      <c r="Q348" s="311">
        <f>IFERROR(G348/M348,"-")</f>
        <v>0</v>
      </c>
      <c r="R348" s="311"/>
      <c r="S348" s="7"/>
      <c r="T348" s="7"/>
      <c r="U348" s="7" t="s">
        <v>2288</v>
      </c>
      <c r="V348" s="7" t="s">
        <v>2289</v>
      </c>
      <c r="W348" s="7" t="str">
        <f>Preencher!$B$3&amp;U348&amp;V348&amp;A348&amp;$W$6</f>
        <v>JARINU-FRG75574MQ.TUNEL DE CG (CONTINUO)</v>
      </c>
      <c r="X348" s="7" t="str">
        <f>Preencher!$B$3&amp;U348&amp;V348&amp;A348&amp;$X$6</f>
        <v>JARINU-FRG75574MQ.TUNEL DE CG (CONTINUO) (1)</v>
      </c>
      <c r="Y348" s="7" t="str">
        <f>Preencher!$B$3&amp;U348&amp;V348&amp;A348&amp;$Y$6</f>
        <v>JARINU-FRG75574MQ.TUNEL DE CG (CONTINUO) (2)</v>
      </c>
      <c r="Z348" s="7" t="str">
        <f>Preencher!$B$3&amp;U348&amp;V348&amp;A348&amp;$Z$6</f>
        <v>JARINU-FRG75574MQ.TUNEL DE CG (CONTINUO) (3)</v>
      </c>
      <c r="AA348" s="7" t="str">
        <f>Preencher!$B$3&amp;U348&amp;V348&amp;A348&amp;$AA$6</f>
        <v>JARINU-FRG75574MQ.TUNEL DE CG (ESTATICO)</v>
      </c>
      <c r="AB348" s="7" t="str">
        <f>Preencher!$B$3&amp;U348&amp;V348&amp;A348&amp;$AB$6</f>
        <v>JARINU-FRG75574MQ.TUNEL DE CG (ESTATICO) (1)</v>
      </c>
      <c r="AC348" s="7" t="str">
        <f>Preencher!$B$3&amp;U348&amp;V348&amp;A348&amp;$AC$6</f>
        <v>JARINU-FRG75574MQ.TUNEL DE CG (ESTATICO) (2)</v>
      </c>
      <c r="AD348" s="327">
        <f>IFERROR(SUMIF('BD Otimix'!A:A,'BD VOLUME'!X348,'BD Otimix'!O:O)+SUMIF('BD Otimix'!A:A,'BD VOLUME'!Y348,'BD Otimix'!O:O)+SUMIF('BD Otimix'!A:A,'BD VOLUME'!Z348,'BD Otimix'!O:O)+SUMIF('BD Otimix'!A:A,'BD VOLUME'!AA348,'BD Otimix'!O:O)+SUMIF('BD Otimix'!A:A,'BD VOLUME'!AB348,'BD Otimix'!O:O)+SUMIF('BD Otimix'!A:A,'BD VOLUME'!AC348,'BD Otimix'!O:O)+SUMIF('BD Otimix'!A:A,'BD VOLUME'!W348,'BD Otimix'!O:O),0)</f>
        <v>0</v>
      </c>
      <c r="AE348" s="327">
        <f t="shared" si="74"/>
        <v>0</v>
      </c>
      <c r="AF348" s="7" t="str">
        <f>Preencher!$B$3&amp;$U$8&amp;$V$8&amp;A348&amp;$AF$6</f>
        <v>JARINU-FRG75574MQ.GIROFREEZER</v>
      </c>
      <c r="AG348" s="7" t="str">
        <f>Preencher!$B$3&amp;$U$8&amp;$V$8&amp;A348&amp;$AG$6</f>
        <v>JARINU-FRG75574MQ.GIROFREEZER (1)</v>
      </c>
      <c r="AH348" s="7" t="str">
        <f>Preencher!$B$3&amp;$U$8&amp;$V$8&amp;A348&amp;$AH$6</f>
        <v>JARINU-FRG75574MQ.GIROFREEZER (2)</v>
      </c>
      <c r="AI348" s="7" t="str">
        <f>Preencher!$B$3&amp;$U$8&amp;$V$8&amp;A348&amp;$AI$6</f>
        <v>JARINU-FRG75574MQ.GIROFREEZER REV04</v>
      </c>
      <c r="AJ348" s="7" t="str">
        <f>Preencher!$B$3&amp;$U$8&amp;$V$8&amp;A348&amp;$AJ$6</f>
        <v>JARINU-FRG75574MQ.GIROFREEZER (3)</v>
      </c>
      <c r="AK348" s="327">
        <f>IFERROR(SUMIF('BD Otimix'!A:A,'BD VOLUME'!AG348,'BD Otimix'!O:O)+SUMIF('BD Otimix'!A:A,'BD VOLUME'!AH348,'BD Otimix'!O:O)+SUMIF('BD Otimix'!A:A,'BD VOLUME'!AI348,'BD Otimix'!O:O)+SUMIF('BD Otimix'!A:A,'BD VOLUME'!AJ348,'BD Otimix'!O:O)+SUMIF('BD Otimix'!A:A,'BD VOLUME'!AF348,'BD Otimix'!O:O),0)</f>
        <v>0</v>
      </c>
      <c r="AL348" s="7">
        <f t="shared" si="75"/>
        <v>0</v>
      </c>
    </row>
    <row r="349" spans="1:38" s="4" customFormat="1" ht="14.25">
      <c r="A349" s="644">
        <v>75566</v>
      </c>
      <c r="B349" s="644" t="s">
        <v>2319</v>
      </c>
      <c r="C349" s="5" t="s">
        <v>2250</v>
      </c>
      <c r="D349" s="75" t="s">
        <v>867</v>
      </c>
      <c r="E349" s="5" t="s">
        <v>2385</v>
      </c>
      <c r="F349" s="132">
        <f>SUMIF('COLAR PLANO'!$A:$A,A349,'COLAR PLANO'!$D:$D)</f>
        <v>0</v>
      </c>
      <c r="G349" s="131">
        <f>IFERROR(F349/($E$3*$C$3),0)</f>
        <v>0</v>
      </c>
      <c r="H349" s="6">
        <v>0.217</v>
      </c>
      <c r="I349" s="7">
        <f>IFERROR(G349/$D$3/H349,0)</f>
        <v>0</v>
      </c>
      <c r="J349" s="130">
        <f t="shared" si="76"/>
        <v>0</v>
      </c>
      <c r="K349" s="122">
        <v>15</v>
      </c>
      <c r="L349" s="122">
        <v>1</v>
      </c>
      <c r="M349" s="122">
        <v>15</v>
      </c>
      <c r="N349" s="311">
        <f>IFERROR(G349/K349,"-")</f>
        <v>0</v>
      </c>
      <c r="O349" s="311"/>
      <c r="P349" s="311"/>
      <c r="Q349" s="311">
        <f>IFERROR(G349/M349,"-")</f>
        <v>0</v>
      </c>
      <c r="R349" s="311"/>
      <c r="S349" s="7"/>
      <c r="T349" s="7"/>
      <c r="U349" s="7" t="s">
        <v>2288</v>
      </c>
      <c r="V349" s="7" t="s">
        <v>2289</v>
      </c>
      <c r="W349" s="7" t="str">
        <f>Preencher!$B$3&amp;U349&amp;V349&amp;A349&amp;$W$6</f>
        <v>JARINU-FRG75566MQ.TUNEL DE CG (CONTINUO)</v>
      </c>
      <c r="X349" s="7" t="str">
        <f>Preencher!$B$3&amp;U349&amp;V349&amp;A349&amp;$X$6</f>
        <v>JARINU-FRG75566MQ.TUNEL DE CG (CONTINUO) (1)</v>
      </c>
      <c r="Y349" s="7" t="str">
        <f>Preencher!$B$3&amp;U349&amp;V349&amp;A349&amp;$Y$6</f>
        <v>JARINU-FRG75566MQ.TUNEL DE CG (CONTINUO) (2)</v>
      </c>
      <c r="Z349" s="7" t="str">
        <f>Preencher!$B$3&amp;U349&amp;V349&amp;A349&amp;$Z$6</f>
        <v>JARINU-FRG75566MQ.TUNEL DE CG (CONTINUO) (3)</v>
      </c>
      <c r="AA349" s="7" t="str">
        <f>Preencher!$B$3&amp;U349&amp;V349&amp;A349&amp;$AA$6</f>
        <v>JARINU-FRG75566MQ.TUNEL DE CG (ESTATICO)</v>
      </c>
      <c r="AB349" s="7" t="str">
        <f>Preencher!$B$3&amp;U349&amp;V349&amp;A349&amp;$AB$6</f>
        <v>JARINU-FRG75566MQ.TUNEL DE CG (ESTATICO) (1)</v>
      </c>
      <c r="AC349" s="7" t="str">
        <f>Preencher!$B$3&amp;U349&amp;V349&amp;A349&amp;$AC$6</f>
        <v>JARINU-FRG75566MQ.TUNEL DE CG (ESTATICO) (2)</v>
      </c>
      <c r="AD349" s="327">
        <f>IFERROR(SUMIF('BD Otimix'!A:A,'BD VOLUME'!X349,'BD Otimix'!O:O)+SUMIF('BD Otimix'!A:A,'BD VOLUME'!Y349,'BD Otimix'!O:O)+SUMIF('BD Otimix'!A:A,'BD VOLUME'!Z349,'BD Otimix'!O:O)+SUMIF('BD Otimix'!A:A,'BD VOLUME'!AA349,'BD Otimix'!O:O)+SUMIF('BD Otimix'!A:A,'BD VOLUME'!AB349,'BD Otimix'!O:O)+SUMIF('BD Otimix'!A:A,'BD VOLUME'!AC349,'BD Otimix'!O:O)+SUMIF('BD Otimix'!A:A,'BD VOLUME'!W349,'BD Otimix'!O:O),0)</f>
        <v>0</v>
      </c>
      <c r="AE349" s="327">
        <f t="shared" si="74"/>
        <v>0</v>
      </c>
      <c r="AF349" s="7" t="str">
        <f>Preencher!$B$3&amp;$U$8&amp;$V$8&amp;A349&amp;$AF$6</f>
        <v>JARINU-FRG75566MQ.GIROFREEZER</v>
      </c>
      <c r="AG349" s="7" t="str">
        <f>Preencher!$B$3&amp;$U$8&amp;$V$8&amp;A349&amp;$AG$6</f>
        <v>JARINU-FRG75566MQ.GIROFREEZER (1)</v>
      </c>
      <c r="AH349" s="7" t="str">
        <f>Preencher!$B$3&amp;$U$8&amp;$V$8&amp;A349&amp;$AH$6</f>
        <v>JARINU-FRG75566MQ.GIROFREEZER (2)</v>
      </c>
      <c r="AI349" s="7" t="str">
        <f>Preencher!$B$3&amp;$U$8&amp;$V$8&amp;A349&amp;$AI$6</f>
        <v>JARINU-FRG75566MQ.GIROFREEZER REV04</v>
      </c>
      <c r="AJ349" s="7" t="str">
        <f>Preencher!$B$3&amp;$U$8&amp;$V$8&amp;A349&amp;$AJ$6</f>
        <v>JARINU-FRG75566MQ.GIROFREEZER (3)</v>
      </c>
      <c r="AK349" s="327">
        <f>IFERROR(SUMIF('BD Otimix'!A:A,'BD VOLUME'!AG349,'BD Otimix'!O:O)+SUMIF('BD Otimix'!A:A,'BD VOLUME'!AH349,'BD Otimix'!O:O)+SUMIF('BD Otimix'!A:A,'BD VOLUME'!AI349,'BD Otimix'!O:O)+SUMIF('BD Otimix'!A:A,'BD VOLUME'!AJ349,'BD Otimix'!O:O)+SUMIF('BD Otimix'!A:A,'BD VOLUME'!AF349,'BD Otimix'!O:O),0)</f>
        <v>0</v>
      </c>
      <c r="AL349" s="7">
        <f t="shared" si="75"/>
        <v>0</v>
      </c>
    </row>
    <row r="350" spans="1:38" s="4" customFormat="1" ht="14.25">
      <c r="A350" s="355">
        <v>55859</v>
      </c>
      <c r="B350" s="355" t="s">
        <v>1022</v>
      </c>
      <c r="C350" s="5" t="s">
        <v>999</v>
      </c>
      <c r="D350" s="75" t="s">
        <v>867</v>
      </c>
      <c r="E350" s="5" t="s">
        <v>1489</v>
      </c>
      <c r="F350" s="132">
        <f>SUMIF('COLAR PLANO'!$A:$A,A350,'COLAR PLANO'!$D:$D)</f>
        <v>0</v>
      </c>
      <c r="G350" s="131">
        <f t="shared" si="79"/>
        <v>0</v>
      </c>
      <c r="H350" s="6">
        <v>0.217</v>
      </c>
      <c r="I350" s="7">
        <f t="shared" si="80"/>
        <v>0</v>
      </c>
      <c r="J350" s="130">
        <f t="shared" ref="J350:J381" si="83">IFERROR(I350/$B$306,0)</f>
        <v>0</v>
      </c>
      <c r="K350" s="122">
        <v>7.5</v>
      </c>
      <c r="L350" s="122">
        <v>2</v>
      </c>
      <c r="M350" s="122">
        <v>15</v>
      </c>
      <c r="N350" s="311">
        <f t="shared" si="77"/>
        <v>0</v>
      </c>
      <c r="O350" s="311"/>
      <c r="P350" s="311"/>
      <c r="Q350" s="311">
        <f t="shared" si="82"/>
        <v>0</v>
      </c>
      <c r="R350" s="311"/>
      <c r="S350" s="7"/>
      <c r="T350" s="7"/>
      <c r="U350" s="7" t="s">
        <v>2288</v>
      </c>
      <c r="V350" s="7" t="s">
        <v>2289</v>
      </c>
      <c r="W350" s="7" t="str">
        <f>Preencher!$B$3&amp;U350&amp;V350&amp;A350&amp;$W$6</f>
        <v>JARINU-FRG55859MQ.TUNEL DE CG (CONTINUO)</v>
      </c>
      <c r="X350" s="7" t="str">
        <f>Preencher!$B$3&amp;U350&amp;V350&amp;A350&amp;$X$6</f>
        <v>JARINU-FRG55859MQ.TUNEL DE CG (CONTINUO) (1)</v>
      </c>
      <c r="Y350" s="7" t="str">
        <f>Preencher!$B$3&amp;U350&amp;V350&amp;A350&amp;$Y$6</f>
        <v>JARINU-FRG55859MQ.TUNEL DE CG (CONTINUO) (2)</v>
      </c>
      <c r="Z350" s="7" t="str">
        <f>Preencher!$B$3&amp;U350&amp;V350&amp;A350&amp;$Z$6</f>
        <v>JARINU-FRG55859MQ.TUNEL DE CG (CONTINUO) (3)</v>
      </c>
      <c r="AA350" s="7" t="str">
        <f>Preencher!$B$3&amp;U350&amp;V350&amp;A350&amp;$AA$6</f>
        <v>JARINU-FRG55859MQ.TUNEL DE CG (ESTATICO)</v>
      </c>
      <c r="AB350" s="7" t="str">
        <f>Preencher!$B$3&amp;U350&amp;V350&amp;A350&amp;$AB$6</f>
        <v>JARINU-FRG55859MQ.TUNEL DE CG (ESTATICO) (1)</v>
      </c>
      <c r="AC350" s="7" t="str">
        <f>Preencher!$B$3&amp;U350&amp;V350&amp;A350&amp;$AC$6</f>
        <v>JARINU-FRG55859MQ.TUNEL DE CG (ESTATICO) (2)</v>
      </c>
      <c r="AD350" s="327">
        <f>IFERROR(SUMIF('BD Otimix'!A:A,'BD VOLUME'!X350,'BD Otimix'!O:O)+SUMIF('BD Otimix'!A:A,'BD VOLUME'!Y350,'BD Otimix'!O:O)+SUMIF('BD Otimix'!A:A,'BD VOLUME'!Z350,'BD Otimix'!O:O)+SUMIF('BD Otimix'!A:A,'BD VOLUME'!AA350,'BD Otimix'!O:O)+SUMIF('BD Otimix'!A:A,'BD VOLUME'!AB350,'BD Otimix'!O:O)+SUMIF('BD Otimix'!A:A,'BD VOLUME'!AC350,'BD Otimix'!O:O)+SUMIF('BD Otimix'!A:A,'BD VOLUME'!W350,'BD Otimix'!O:O),0)</f>
        <v>0</v>
      </c>
      <c r="AE350" s="327">
        <f t="shared" si="74"/>
        <v>0</v>
      </c>
      <c r="AF350" s="7" t="str">
        <f>Preencher!$B$3&amp;$U$8&amp;$V$8&amp;A350&amp;$AF$6</f>
        <v>JARINU-FRG55859MQ.GIROFREEZER</v>
      </c>
      <c r="AG350" s="7" t="str">
        <f>Preencher!$B$3&amp;$U$8&amp;$V$8&amp;A350&amp;$AG$6</f>
        <v>JARINU-FRG55859MQ.GIROFREEZER (1)</v>
      </c>
      <c r="AH350" s="7" t="str">
        <f>Preencher!$B$3&amp;$U$8&amp;$V$8&amp;A350&amp;$AH$6</f>
        <v>JARINU-FRG55859MQ.GIROFREEZER (2)</v>
      </c>
      <c r="AI350" s="7" t="str">
        <f>Preencher!$B$3&amp;$U$8&amp;$V$8&amp;A350&amp;$AI$6</f>
        <v>JARINU-FRG55859MQ.GIROFREEZER REV04</v>
      </c>
      <c r="AJ350" s="7" t="str">
        <f>Preencher!$B$3&amp;$U$8&amp;$V$8&amp;A350&amp;$AJ$6</f>
        <v>JARINU-FRG55859MQ.GIROFREEZER (3)</v>
      </c>
      <c r="AK350" s="327">
        <f>IFERROR(SUMIF('BD Otimix'!A:A,'BD VOLUME'!AG350,'BD Otimix'!O:O)+SUMIF('BD Otimix'!A:A,'BD VOLUME'!AH350,'BD Otimix'!O:O)+SUMIF('BD Otimix'!A:A,'BD VOLUME'!AI350,'BD Otimix'!O:O)+SUMIF('BD Otimix'!A:A,'BD VOLUME'!AJ350,'BD Otimix'!O:O)+SUMIF('BD Otimix'!A:A,'BD VOLUME'!AF350,'BD Otimix'!O:O),0)</f>
        <v>0</v>
      </c>
      <c r="AL350" s="7">
        <f t="shared" si="75"/>
        <v>0</v>
      </c>
    </row>
    <row r="351" spans="1:38" s="4" customFormat="1" ht="14.25">
      <c r="A351" s="355">
        <v>956171</v>
      </c>
      <c r="B351" s="355"/>
      <c r="C351" s="5" t="s">
        <v>1490</v>
      </c>
      <c r="D351" s="75" t="s">
        <v>867</v>
      </c>
      <c r="E351" s="5" t="s">
        <v>1489</v>
      </c>
      <c r="F351" s="132">
        <f>SUMIF('COLAR PLANO'!$A:$A,A351,'COLAR PLANO'!$D:$D)</f>
        <v>0</v>
      </c>
      <c r="G351" s="131">
        <f t="shared" si="79"/>
        <v>0</v>
      </c>
      <c r="H351" s="6">
        <v>0.217</v>
      </c>
      <c r="I351" s="7">
        <f t="shared" si="80"/>
        <v>0</v>
      </c>
      <c r="J351" s="130">
        <f t="shared" si="83"/>
        <v>0</v>
      </c>
      <c r="K351" s="122">
        <v>7.5</v>
      </c>
      <c r="L351" s="122">
        <v>2</v>
      </c>
      <c r="M351" s="122">
        <v>15</v>
      </c>
      <c r="N351" s="311">
        <f t="shared" si="77"/>
        <v>0</v>
      </c>
      <c r="O351" s="311"/>
      <c r="P351" s="311"/>
      <c r="Q351" s="311">
        <f t="shared" si="82"/>
        <v>0</v>
      </c>
      <c r="R351" s="311"/>
      <c r="S351" s="7"/>
      <c r="T351" s="7"/>
      <c r="U351" s="7" t="s">
        <v>2288</v>
      </c>
      <c r="V351" s="7" t="s">
        <v>2289</v>
      </c>
      <c r="W351" s="7" t="str">
        <f>Preencher!$B$3&amp;U351&amp;V351&amp;A351&amp;$W$6</f>
        <v>JARINU-FRG956171MQ.TUNEL DE CG (CONTINUO)</v>
      </c>
      <c r="X351" s="7" t="str">
        <f>Preencher!$B$3&amp;U351&amp;V351&amp;A351&amp;$X$6</f>
        <v>JARINU-FRG956171MQ.TUNEL DE CG (CONTINUO) (1)</v>
      </c>
      <c r="Y351" s="7" t="str">
        <f>Preencher!$B$3&amp;U351&amp;V351&amp;A351&amp;$Y$6</f>
        <v>JARINU-FRG956171MQ.TUNEL DE CG (CONTINUO) (2)</v>
      </c>
      <c r="Z351" s="7" t="str">
        <f>Preencher!$B$3&amp;U351&amp;V351&amp;A351&amp;$Z$6</f>
        <v>JARINU-FRG956171MQ.TUNEL DE CG (CONTINUO) (3)</v>
      </c>
      <c r="AA351" s="7" t="str">
        <f>Preencher!$B$3&amp;U351&amp;V351&amp;A351&amp;$AA$6</f>
        <v>JARINU-FRG956171MQ.TUNEL DE CG (ESTATICO)</v>
      </c>
      <c r="AB351" s="7" t="str">
        <f>Preencher!$B$3&amp;U351&amp;V351&amp;A351&amp;$AB$6</f>
        <v>JARINU-FRG956171MQ.TUNEL DE CG (ESTATICO) (1)</v>
      </c>
      <c r="AC351" s="7" t="str">
        <f>Preencher!$B$3&amp;U351&amp;V351&amp;A351&amp;$AC$6</f>
        <v>JARINU-FRG956171MQ.TUNEL DE CG (ESTATICO) (2)</v>
      </c>
      <c r="AD351" s="327">
        <f>IFERROR(SUMIF('BD Otimix'!A:A,'BD VOLUME'!X351,'BD Otimix'!O:O)+SUMIF('BD Otimix'!A:A,'BD VOLUME'!Y351,'BD Otimix'!O:O)+SUMIF('BD Otimix'!A:A,'BD VOLUME'!Z351,'BD Otimix'!O:O)+SUMIF('BD Otimix'!A:A,'BD VOLUME'!AA351,'BD Otimix'!O:O)+SUMIF('BD Otimix'!A:A,'BD VOLUME'!AB351,'BD Otimix'!O:O)+SUMIF('BD Otimix'!A:A,'BD VOLUME'!AC351,'BD Otimix'!O:O)+SUMIF('BD Otimix'!A:A,'BD VOLUME'!W351,'BD Otimix'!O:O),0)</f>
        <v>0</v>
      </c>
      <c r="AE351" s="327">
        <f t="shared" si="74"/>
        <v>0</v>
      </c>
      <c r="AF351" s="7" t="str">
        <f>Preencher!$B$3&amp;$U$8&amp;$V$8&amp;A351&amp;$AF$6</f>
        <v>JARINU-FRG956171MQ.GIROFREEZER</v>
      </c>
      <c r="AG351" s="7" t="str">
        <f>Preencher!$B$3&amp;$U$8&amp;$V$8&amp;A351&amp;$AG$6</f>
        <v>JARINU-FRG956171MQ.GIROFREEZER (1)</v>
      </c>
      <c r="AH351" s="7" t="str">
        <f>Preencher!$B$3&amp;$U$8&amp;$V$8&amp;A351&amp;$AH$6</f>
        <v>JARINU-FRG956171MQ.GIROFREEZER (2)</v>
      </c>
      <c r="AI351" s="7" t="str">
        <f>Preencher!$B$3&amp;$U$8&amp;$V$8&amp;A351&amp;$AI$6</f>
        <v>JARINU-FRG956171MQ.GIROFREEZER REV04</v>
      </c>
      <c r="AJ351" s="7" t="str">
        <f>Preencher!$B$3&amp;$U$8&amp;$V$8&amp;A351&amp;$AJ$6</f>
        <v>JARINU-FRG956171MQ.GIROFREEZER (3)</v>
      </c>
      <c r="AK351" s="327">
        <f>IFERROR(SUMIF('BD Otimix'!A:A,'BD VOLUME'!AG351,'BD Otimix'!O:O)+SUMIF('BD Otimix'!A:A,'BD VOLUME'!AH351,'BD Otimix'!O:O)+SUMIF('BD Otimix'!A:A,'BD VOLUME'!AI351,'BD Otimix'!O:O)+SUMIF('BD Otimix'!A:A,'BD VOLUME'!AJ351,'BD Otimix'!O:O)+SUMIF('BD Otimix'!A:A,'BD VOLUME'!AF351,'BD Otimix'!O:O),0)</f>
        <v>0</v>
      </c>
      <c r="AL351" s="7">
        <f t="shared" si="75"/>
        <v>0</v>
      </c>
    </row>
    <row r="352" spans="1:38" s="4" customFormat="1" ht="14.25">
      <c r="A352" s="355">
        <v>57894</v>
      </c>
      <c r="B352" s="355" t="s">
        <v>1470</v>
      </c>
      <c r="C352" s="5" t="s">
        <v>1471</v>
      </c>
      <c r="D352" s="75" t="s">
        <v>867</v>
      </c>
      <c r="E352" s="5" t="s">
        <v>1489</v>
      </c>
      <c r="F352" s="132">
        <f>SUMIF('COLAR PLANO'!$A:$A,A352,'COLAR PLANO'!$D:$D)</f>
        <v>0</v>
      </c>
      <c r="G352" s="131">
        <f t="shared" si="79"/>
        <v>0</v>
      </c>
      <c r="H352" s="6">
        <v>0.217</v>
      </c>
      <c r="I352" s="7">
        <f t="shared" si="80"/>
        <v>0</v>
      </c>
      <c r="J352" s="130">
        <f t="shared" si="83"/>
        <v>0</v>
      </c>
      <c r="K352" s="122">
        <v>7.5</v>
      </c>
      <c r="L352" s="122">
        <v>2</v>
      </c>
      <c r="M352" s="122">
        <v>15</v>
      </c>
      <c r="N352" s="311">
        <f t="shared" si="77"/>
        <v>0</v>
      </c>
      <c r="O352" s="311"/>
      <c r="P352" s="311"/>
      <c r="Q352" s="311">
        <f t="shared" si="82"/>
        <v>0</v>
      </c>
      <c r="R352" s="311"/>
      <c r="S352" s="7"/>
      <c r="T352" s="7"/>
      <c r="U352" s="7" t="s">
        <v>2288</v>
      </c>
      <c r="V352" s="7" t="s">
        <v>2289</v>
      </c>
      <c r="W352" s="7" t="str">
        <f>Preencher!$B$3&amp;U352&amp;V352&amp;A352&amp;$W$6</f>
        <v>JARINU-FRG57894MQ.TUNEL DE CG (CONTINUO)</v>
      </c>
      <c r="X352" s="7" t="str">
        <f>Preencher!$B$3&amp;U352&amp;V352&amp;A352&amp;$X$6</f>
        <v>JARINU-FRG57894MQ.TUNEL DE CG (CONTINUO) (1)</v>
      </c>
      <c r="Y352" s="7" t="str">
        <f>Preencher!$B$3&amp;U352&amp;V352&amp;A352&amp;$Y$6</f>
        <v>JARINU-FRG57894MQ.TUNEL DE CG (CONTINUO) (2)</v>
      </c>
      <c r="Z352" s="7" t="str">
        <f>Preencher!$B$3&amp;U352&amp;V352&amp;A352&amp;$Z$6</f>
        <v>JARINU-FRG57894MQ.TUNEL DE CG (CONTINUO) (3)</v>
      </c>
      <c r="AA352" s="7" t="str">
        <f>Preencher!$B$3&amp;U352&amp;V352&amp;A352&amp;$AA$6</f>
        <v>JARINU-FRG57894MQ.TUNEL DE CG (ESTATICO)</v>
      </c>
      <c r="AB352" s="7" t="str">
        <f>Preencher!$B$3&amp;U352&amp;V352&amp;A352&amp;$AB$6</f>
        <v>JARINU-FRG57894MQ.TUNEL DE CG (ESTATICO) (1)</v>
      </c>
      <c r="AC352" s="7" t="str">
        <f>Preencher!$B$3&amp;U352&amp;V352&amp;A352&amp;$AC$6</f>
        <v>JARINU-FRG57894MQ.TUNEL DE CG (ESTATICO) (2)</v>
      </c>
      <c r="AD352" s="327">
        <f>IFERROR(SUMIF('BD Otimix'!A:A,'BD VOLUME'!X352,'BD Otimix'!O:O)+SUMIF('BD Otimix'!A:A,'BD VOLUME'!Y352,'BD Otimix'!O:O)+SUMIF('BD Otimix'!A:A,'BD VOLUME'!Z352,'BD Otimix'!O:O)+SUMIF('BD Otimix'!A:A,'BD VOLUME'!AA352,'BD Otimix'!O:O)+SUMIF('BD Otimix'!A:A,'BD VOLUME'!AB352,'BD Otimix'!O:O)+SUMIF('BD Otimix'!A:A,'BD VOLUME'!AC352,'BD Otimix'!O:O)+SUMIF('BD Otimix'!A:A,'BD VOLUME'!W352,'BD Otimix'!O:O),0)</f>
        <v>0</v>
      </c>
      <c r="AE352" s="327">
        <f t="shared" si="74"/>
        <v>0</v>
      </c>
      <c r="AF352" s="7" t="str">
        <f>Preencher!$B$3&amp;$U$8&amp;$V$8&amp;A352&amp;$AF$6</f>
        <v>JARINU-FRG57894MQ.GIROFREEZER</v>
      </c>
      <c r="AG352" s="7" t="str">
        <f>Preencher!$B$3&amp;$U$8&amp;$V$8&amp;A352&amp;$AG$6</f>
        <v>JARINU-FRG57894MQ.GIROFREEZER (1)</v>
      </c>
      <c r="AH352" s="7" t="str">
        <f>Preencher!$B$3&amp;$U$8&amp;$V$8&amp;A352&amp;$AH$6</f>
        <v>JARINU-FRG57894MQ.GIROFREEZER (2)</v>
      </c>
      <c r="AI352" s="7" t="str">
        <f>Preencher!$B$3&amp;$U$8&amp;$V$8&amp;A352&amp;$AI$6</f>
        <v>JARINU-FRG57894MQ.GIROFREEZER REV04</v>
      </c>
      <c r="AJ352" s="7" t="str">
        <f>Preencher!$B$3&amp;$U$8&amp;$V$8&amp;A352&amp;$AJ$6</f>
        <v>JARINU-FRG57894MQ.GIROFREEZER (3)</v>
      </c>
      <c r="AK352" s="327">
        <f>IFERROR(SUMIF('BD Otimix'!A:A,'BD VOLUME'!AG352,'BD Otimix'!O:O)+SUMIF('BD Otimix'!A:A,'BD VOLUME'!AH352,'BD Otimix'!O:O)+SUMIF('BD Otimix'!A:A,'BD VOLUME'!AI352,'BD Otimix'!O:O)+SUMIF('BD Otimix'!A:A,'BD VOLUME'!AJ352,'BD Otimix'!O:O)+SUMIF('BD Otimix'!A:A,'BD VOLUME'!AF352,'BD Otimix'!O:O),0)</f>
        <v>0</v>
      </c>
      <c r="AL352" s="7">
        <f t="shared" si="75"/>
        <v>0</v>
      </c>
    </row>
    <row r="353" spans="1:38" s="4" customFormat="1" ht="14.25">
      <c r="A353" s="580">
        <v>797413</v>
      </c>
      <c r="B353" s="580" t="s">
        <v>2034</v>
      </c>
      <c r="C353" s="5" t="s">
        <v>2033</v>
      </c>
      <c r="D353" s="75" t="s">
        <v>867</v>
      </c>
      <c r="E353" s="5" t="s">
        <v>1489</v>
      </c>
      <c r="F353" s="132">
        <f>SUMIF('COLAR PLANO'!$A:$A,A353,'COLAR PLANO'!$D:$D)</f>
        <v>0</v>
      </c>
      <c r="G353" s="131">
        <f>IFERROR(F353/($E$3*$C$3),0)</f>
        <v>0</v>
      </c>
      <c r="H353" s="6">
        <v>0.217</v>
      </c>
      <c r="I353" s="7">
        <f>IFERROR(G353/$D$3/H353,0)</f>
        <v>0</v>
      </c>
      <c r="J353" s="130">
        <f t="shared" si="83"/>
        <v>0</v>
      </c>
      <c r="K353" s="122">
        <v>7.5</v>
      </c>
      <c r="L353" s="122">
        <v>2</v>
      </c>
      <c r="M353" s="122">
        <v>15</v>
      </c>
      <c r="N353" s="311">
        <f>IFERROR(G353/K353,"-")</f>
        <v>0</v>
      </c>
      <c r="O353" s="311"/>
      <c r="P353" s="311"/>
      <c r="Q353" s="311">
        <f>IFERROR(G353/M353,"-")</f>
        <v>0</v>
      </c>
      <c r="R353" s="311"/>
      <c r="S353" s="7"/>
      <c r="T353" s="7"/>
      <c r="U353" s="7" t="s">
        <v>2288</v>
      </c>
      <c r="V353" s="7" t="s">
        <v>2289</v>
      </c>
      <c r="W353" s="7" t="str">
        <f>Preencher!$B$3&amp;U353&amp;V353&amp;A353&amp;$W$6</f>
        <v>JARINU-FRG797413MQ.TUNEL DE CG (CONTINUO)</v>
      </c>
      <c r="X353" s="7" t="str">
        <f>Preencher!$B$3&amp;U353&amp;V353&amp;A353&amp;$X$6</f>
        <v>JARINU-FRG797413MQ.TUNEL DE CG (CONTINUO) (1)</v>
      </c>
      <c r="Y353" s="7" t="str">
        <f>Preencher!$B$3&amp;U353&amp;V353&amp;A353&amp;$Y$6</f>
        <v>JARINU-FRG797413MQ.TUNEL DE CG (CONTINUO) (2)</v>
      </c>
      <c r="Z353" s="7" t="str">
        <f>Preencher!$B$3&amp;U353&amp;V353&amp;A353&amp;$Z$6</f>
        <v>JARINU-FRG797413MQ.TUNEL DE CG (CONTINUO) (3)</v>
      </c>
      <c r="AA353" s="7" t="str">
        <f>Preencher!$B$3&amp;U353&amp;V353&amp;A353&amp;$AA$6</f>
        <v>JARINU-FRG797413MQ.TUNEL DE CG (ESTATICO)</v>
      </c>
      <c r="AB353" s="7" t="str">
        <f>Preencher!$B$3&amp;U353&amp;V353&amp;A353&amp;$AB$6</f>
        <v>JARINU-FRG797413MQ.TUNEL DE CG (ESTATICO) (1)</v>
      </c>
      <c r="AC353" s="7" t="str">
        <f>Preencher!$B$3&amp;U353&amp;V353&amp;A353&amp;$AC$6</f>
        <v>JARINU-FRG797413MQ.TUNEL DE CG (ESTATICO) (2)</v>
      </c>
      <c r="AD353" s="327">
        <f>IFERROR(SUMIF('BD Otimix'!A:A,'BD VOLUME'!X353,'BD Otimix'!O:O)+SUMIF('BD Otimix'!A:A,'BD VOLUME'!Y353,'BD Otimix'!O:O)+SUMIF('BD Otimix'!A:A,'BD VOLUME'!Z353,'BD Otimix'!O:O)+SUMIF('BD Otimix'!A:A,'BD VOLUME'!AA353,'BD Otimix'!O:O)+SUMIF('BD Otimix'!A:A,'BD VOLUME'!AB353,'BD Otimix'!O:O)+SUMIF('BD Otimix'!A:A,'BD VOLUME'!AC353,'BD Otimix'!O:O)+SUMIF('BD Otimix'!A:A,'BD VOLUME'!W353,'BD Otimix'!O:O),0)</f>
        <v>0</v>
      </c>
      <c r="AE353" s="327">
        <f t="shared" si="74"/>
        <v>0</v>
      </c>
      <c r="AF353" s="7" t="str">
        <f>Preencher!$B$3&amp;$U$8&amp;$V$8&amp;A353&amp;$AF$6</f>
        <v>JARINU-FRG797413MQ.GIROFREEZER</v>
      </c>
      <c r="AG353" s="7" t="str">
        <f>Preencher!$B$3&amp;$U$8&amp;$V$8&amp;A353&amp;$AG$6</f>
        <v>JARINU-FRG797413MQ.GIROFREEZER (1)</v>
      </c>
      <c r="AH353" s="7" t="str">
        <f>Preencher!$B$3&amp;$U$8&amp;$V$8&amp;A353&amp;$AH$6</f>
        <v>JARINU-FRG797413MQ.GIROFREEZER (2)</v>
      </c>
      <c r="AI353" s="7" t="str">
        <f>Preencher!$B$3&amp;$U$8&amp;$V$8&amp;A353&amp;$AI$6</f>
        <v>JARINU-FRG797413MQ.GIROFREEZER REV04</v>
      </c>
      <c r="AJ353" s="7" t="str">
        <f>Preencher!$B$3&amp;$U$8&amp;$V$8&amp;A353&amp;$AJ$6</f>
        <v>JARINU-FRG797413MQ.GIROFREEZER (3)</v>
      </c>
      <c r="AK353" s="327">
        <f>IFERROR(SUMIF('BD Otimix'!A:A,'BD VOLUME'!AG353,'BD Otimix'!O:O)+SUMIF('BD Otimix'!A:A,'BD VOLUME'!AH353,'BD Otimix'!O:O)+SUMIF('BD Otimix'!A:A,'BD VOLUME'!AI353,'BD Otimix'!O:O)+SUMIF('BD Otimix'!A:A,'BD VOLUME'!AJ353,'BD Otimix'!O:O)+SUMIF('BD Otimix'!A:A,'BD VOLUME'!AF353,'BD Otimix'!O:O),0)</f>
        <v>0</v>
      </c>
      <c r="AL353" s="7">
        <f t="shared" si="75"/>
        <v>0</v>
      </c>
    </row>
    <row r="354" spans="1:38" s="4" customFormat="1" ht="14.25">
      <c r="A354" s="355">
        <v>961841</v>
      </c>
      <c r="B354" s="355" t="s">
        <v>1022</v>
      </c>
      <c r="C354" s="5" t="s">
        <v>1491</v>
      </c>
      <c r="D354" s="75" t="s">
        <v>867</v>
      </c>
      <c r="E354" s="5" t="s">
        <v>1492</v>
      </c>
      <c r="F354" s="132">
        <f>SUMIF('COLAR PLANO'!$A:$A,A354,'COLAR PLANO'!$D:$D)</f>
        <v>0</v>
      </c>
      <c r="G354" s="131">
        <f t="shared" si="79"/>
        <v>0</v>
      </c>
      <c r="H354" s="6">
        <v>0.217</v>
      </c>
      <c r="I354" s="7">
        <f t="shared" si="80"/>
        <v>0</v>
      </c>
      <c r="J354" s="130">
        <f t="shared" si="83"/>
        <v>0</v>
      </c>
      <c r="K354" s="122">
        <v>10</v>
      </c>
      <c r="L354" s="122">
        <v>1</v>
      </c>
      <c r="M354" s="122">
        <v>10</v>
      </c>
      <c r="N354" s="311">
        <f t="shared" si="77"/>
        <v>0</v>
      </c>
      <c r="O354" s="311"/>
      <c r="P354" s="311"/>
      <c r="Q354" s="311">
        <f t="shared" si="82"/>
        <v>0</v>
      </c>
      <c r="R354" s="311"/>
      <c r="S354" s="7"/>
      <c r="T354" s="7"/>
      <c r="U354" s="7" t="s">
        <v>2288</v>
      </c>
      <c r="V354" s="7" t="s">
        <v>2289</v>
      </c>
      <c r="W354" s="7" t="str">
        <f>Preencher!$B$3&amp;U354&amp;V354&amp;A354&amp;$W$6</f>
        <v>JARINU-FRG961841MQ.TUNEL DE CG (CONTINUO)</v>
      </c>
      <c r="X354" s="7" t="str">
        <f>Preencher!$B$3&amp;U354&amp;V354&amp;A354&amp;$X$6</f>
        <v>JARINU-FRG961841MQ.TUNEL DE CG (CONTINUO) (1)</v>
      </c>
      <c r="Y354" s="7" t="str">
        <f>Preencher!$B$3&amp;U354&amp;V354&amp;A354&amp;$Y$6</f>
        <v>JARINU-FRG961841MQ.TUNEL DE CG (CONTINUO) (2)</v>
      </c>
      <c r="Z354" s="7" t="str">
        <f>Preencher!$B$3&amp;U354&amp;V354&amp;A354&amp;$Z$6</f>
        <v>JARINU-FRG961841MQ.TUNEL DE CG (CONTINUO) (3)</v>
      </c>
      <c r="AA354" s="7" t="str">
        <f>Preencher!$B$3&amp;U354&amp;V354&amp;A354&amp;$AA$6</f>
        <v>JARINU-FRG961841MQ.TUNEL DE CG (ESTATICO)</v>
      </c>
      <c r="AB354" s="7" t="str">
        <f>Preencher!$B$3&amp;U354&amp;V354&amp;A354&amp;$AB$6</f>
        <v>JARINU-FRG961841MQ.TUNEL DE CG (ESTATICO) (1)</v>
      </c>
      <c r="AC354" s="7" t="str">
        <f>Preencher!$B$3&amp;U354&amp;V354&amp;A354&amp;$AC$6</f>
        <v>JARINU-FRG961841MQ.TUNEL DE CG (ESTATICO) (2)</v>
      </c>
      <c r="AD354" s="327">
        <f>IFERROR(SUMIF('BD Otimix'!A:A,'BD VOLUME'!X354,'BD Otimix'!O:O)+SUMIF('BD Otimix'!A:A,'BD VOLUME'!Y354,'BD Otimix'!O:O)+SUMIF('BD Otimix'!A:A,'BD VOLUME'!Z354,'BD Otimix'!O:O)+SUMIF('BD Otimix'!A:A,'BD VOLUME'!AA354,'BD Otimix'!O:O)+SUMIF('BD Otimix'!A:A,'BD VOLUME'!AB354,'BD Otimix'!O:O)+SUMIF('BD Otimix'!A:A,'BD VOLUME'!AC354,'BD Otimix'!O:O)+SUMIF('BD Otimix'!A:A,'BD VOLUME'!W354,'BD Otimix'!O:O),0)</f>
        <v>0</v>
      </c>
      <c r="AE354" s="327">
        <f t="shared" si="74"/>
        <v>0</v>
      </c>
      <c r="AF354" s="7" t="str">
        <f>Preencher!$B$3&amp;$U$8&amp;$V$8&amp;A354&amp;$AF$6</f>
        <v>JARINU-FRG961841MQ.GIROFREEZER</v>
      </c>
      <c r="AG354" s="7" t="str">
        <f>Preencher!$B$3&amp;$U$8&amp;$V$8&amp;A354&amp;$AG$6</f>
        <v>JARINU-FRG961841MQ.GIROFREEZER (1)</v>
      </c>
      <c r="AH354" s="7" t="str">
        <f>Preencher!$B$3&amp;$U$8&amp;$V$8&amp;A354&amp;$AH$6</f>
        <v>JARINU-FRG961841MQ.GIROFREEZER (2)</v>
      </c>
      <c r="AI354" s="7" t="str">
        <f>Preencher!$B$3&amp;$U$8&amp;$V$8&amp;A354&amp;$AI$6</f>
        <v>JARINU-FRG961841MQ.GIROFREEZER REV04</v>
      </c>
      <c r="AJ354" s="7" t="str">
        <f>Preencher!$B$3&amp;$U$8&amp;$V$8&amp;A354&amp;$AJ$6</f>
        <v>JARINU-FRG961841MQ.GIROFREEZER (3)</v>
      </c>
      <c r="AK354" s="327">
        <f>IFERROR(SUMIF('BD Otimix'!A:A,'BD VOLUME'!AG354,'BD Otimix'!O:O)+SUMIF('BD Otimix'!A:A,'BD VOLUME'!AH354,'BD Otimix'!O:O)+SUMIF('BD Otimix'!A:A,'BD VOLUME'!AI354,'BD Otimix'!O:O)+SUMIF('BD Otimix'!A:A,'BD VOLUME'!AJ354,'BD Otimix'!O:O)+SUMIF('BD Otimix'!A:A,'BD VOLUME'!AF354,'BD Otimix'!O:O),0)</f>
        <v>0</v>
      </c>
      <c r="AL354" s="7">
        <f t="shared" si="75"/>
        <v>0</v>
      </c>
    </row>
    <row r="355" spans="1:38" s="4" customFormat="1" ht="14.25">
      <c r="A355" s="355">
        <v>961868</v>
      </c>
      <c r="B355" s="355"/>
      <c r="C355" s="5" t="s">
        <v>1454</v>
      </c>
      <c r="D355" s="75" t="s">
        <v>867</v>
      </c>
      <c r="E355" s="5" t="s">
        <v>1492</v>
      </c>
      <c r="F355" s="132">
        <f>SUMIF('COLAR PLANO'!$A:$A,A355,'COLAR PLANO'!$D:$D)</f>
        <v>0</v>
      </c>
      <c r="G355" s="131">
        <f t="shared" si="79"/>
        <v>0</v>
      </c>
      <c r="H355" s="6">
        <v>0.217</v>
      </c>
      <c r="I355" s="7">
        <f t="shared" si="80"/>
        <v>0</v>
      </c>
      <c r="J355" s="130">
        <f t="shared" si="83"/>
        <v>0</v>
      </c>
      <c r="K355" s="122">
        <v>10</v>
      </c>
      <c r="L355" s="122">
        <v>1</v>
      </c>
      <c r="M355" s="122">
        <v>10</v>
      </c>
      <c r="N355" s="311">
        <f t="shared" si="77"/>
        <v>0</v>
      </c>
      <c r="O355" s="311"/>
      <c r="P355" s="311"/>
      <c r="Q355" s="311">
        <f t="shared" si="82"/>
        <v>0</v>
      </c>
      <c r="R355" s="311"/>
      <c r="S355" s="7"/>
      <c r="T355" s="7"/>
      <c r="U355" s="7" t="s">
        <v>2288</v>
      </c>
      <c r="V355" s="7" t="s">
        <v>2289</v>
      </c>
      <c r="W355" s="7" t="str">
        <f>Preencher!$B$3&amp;U355&amp;V355&amp;A355&amp;$W$6</f>
        <v>JARINU-FRG961868MQ.TUNEL DE CG (CONTINUO)</v>
      </c>
      <c r="X355" s="7" t="str">
        <f>Preencher!$B$3&amp;U355&amp;V355&amp;A355&amp;$X$6</f>
        <v>JARINU-FRG961868MQ.TUNEL DE CG (CONTINUO) (1)</v>
      </c>
      <c r="Y355" s="7" t="str">
        <f>Preencher!$B$3&amp;U355&amp;V355&amp;A355&amp;$Y$6</f>
        <v>JARINU-FRG961868MQ.TUNEL DE CG (CONTINUO) (2)</v>
      </c>
      <c r="Z355" s="7" t="str">
        <f>Preencher!$B$3&amp;U355&amp;V355&amp;A355&amp;$Z$6</f>
        <v>JARINU-FRG961868MQ.TUNEL DE CG (CONTINUO) (3)</v>
      </c>
      <c r="AA355" s="7" t="str">
        <f>Preencher!$B$3&amp;U355&amp;V355&amp;A355&amp;$AA$6</f>
        <v>JARINU-FRG961868MQ.TUNEL DE CG (ESTATICO)</v>
      </c>
      <c r="AB355" s="7" t="str">
        <f>Preencher!$B$3&amp;U355&amp;V355&amp;A355&amp;$AB$6</f>
        <v>JARINU-FRG961868MQ.TUNEL DE CG (ESTATICO) (1)</v>
      </c>
      <c r="AC355" s="7" t="str">
        <f>Preencher!$B$3&amp;U355&amp;V355&amp;A355&amp;$AC$6</f>
        <v>JARINU-FRG961868MQ.TUNEL DE CG (ESTATICO) (2)</v>
      </c>
      <c r="AD355" s="327">
        <f>IFERROR(SUMIF('BD Otimix'!A:A,'BD VOLUME'!X355,'BD Otimix'!O:O)+SUMIF('BD Otimix'!A:A,'BD VOLUME'!Y355,'BD Otimix'!O:O)+SUMIF('BD Otimix'!A:A,'BD VOLUME'!Z355,'BD Otimix'!O:O)+SUMIF('BD Otimix'!A:A,'BD VOLUME'!AA355,'BD Otimix'!O:O)+SUMIF('BD Otimix'!A:A,'BD VOLUME'!AB355,'BD Otimix'!O:O)+SUMIF('BD Otimix'!A:A,'BD VOLUME'!AC355,'BD Otimix'!O:O)+SUMIF('BD Otimix'!A:A,'BD VOLUME'!W355,'BD Otimix'!O:O),0)</f>
        <v>0</v>
      </c>
      <c r="AE355" s="327">
        <f t="shared" si="74"/>
        <v>0</v>
      </c>
      <c r="AF355" s="7" t="str">
        <f>Preencher!$B$3&amp;$U$8&amp;$V$8&amp;A355&amp;$AF$6</f>
        <v>JARINU-FRG961868MQ.GIROFREEZER</v>
      </c>
      <c r="AG355" s="7" t="str">
        <f>Preencher!$B$3&amp;$U$8&amp;$V$8&amp;A355&amp;$AG$6</f>
        <v>JARINU-FRG961868MQ.GIROFREEZER (1)</v>
      </c>
      <c r="AH355" s="7" t="str">
        <f>Preencher!$B$3&amp;$U$8&amp;$V$8&amp;A355&amp;$AH$6</f>
        <v>JARINU-FRG961868MQ.GIROFREEZER (2)</v>
      </c>
      <c r="AI355" s="7" t="str">
        <f>Preencher!$B$3&amp;$U$8&amp;$V$8&amp;A355&amp;$AI$6</f>
        <v>JARINU-FRG961868MQ.GIROFREEZER REV04</v>
      </c>
      <c r="AJ355" s="7" t="str">
        <f>Preencher!$B$3&amp;$U$8&amp;$V$8&amp;A355&amp;$AJ$6</f>
        <v>JARINU-FRG961868MQ.GIROFREEZER (3)</v>
      </c>
      <c r="AK355" s="327">
        <f>IFERROR(SUMIF('BD Otimix'!A:A,'BD VOLUME'!AG355,'BD Otimix'!O:O)+SUMIF('BD Otimix'!A:A,'BD VOLUME'!AH355,'BD Otimix'!O:O)+SUMIF('BD Otimix'!A:A,'BD VOLUME'!AI355,'BD Otimix'!O:O)+SUMIF('BD Otimix'!A:A,'BD VOLUME'!AJ355,'BD Otimix'!O:O)+SUMIF('BD Otimix'!A:A,'BD VOLUME'!AF355,'BD Otimix'!O:O),0)</f>
        <v>0</v>
      </c>
      <c r="AL355" s="7">
        <f t="shared" si="75"/>
        <v>0</v>
      </c>
    </row>
    <row r="356" spans="1:38" s="4" customFormat="1" ht="14.25">
      <c r="A356" s="355">
        <v>55956</v>
      </c>
      <c r="B356" s="355"/>
      <c r="C356" s="5" t="s">
        <v>1491</v>
      </c>
      <c r="D356" s="75" t="s">
        <v>867</v>
      </c>
      <c r="E356" s="5" t="s">
        <v>1492</v>
      </c>
      <c r="F356" s="132">
        <f>SUMIF('COLAR PLANO'!$A:$A,A356,'COLAR PLANO'!$D:$D)</f>
        <v>0</v>
      </c>
      <c r="G356" s="131">
        <f t="shared" si="79"/>
        <v>0</v>
      </c>
      <c r="H356" s="6">
        <v>0.217</v>
      </c>
      <c r="I356" s="7">
        <f t="shared" si="80"/>
        <v>0</v>
      </c>
      <c r="J356" s="130">
        <f t="shared" si="83"/>
        <v>0</v>
      </c>
      <c r="K356" s="122">
        <v>10</v>
      </c>
      <c r="L356" s="122">
        <v>1</v>
      </c>
      <c r="M356" s="122">
        <v>10</v>
      </c>
      <c r="N356" s="311">
        <f t="shared" si="77"/>
        <v>0</v>
      </c>
      <c r="O356" s="311"/>
      <c r="P356" s="311"/>
      <c r="Q356" s="311">
        <f t="shared" si="82"/>
        <v>0</v>
      </c>
      <c r="R356" s="311"/>
      <c r="S356" s="7"/>
      <c r="T356" s="7"/>
      <c r="U356" s="7" t="s">
        <v>2288</v>
      </c>
      <c r="V356" s="7" t="s">
        <v>2289</v>
      </c>
      <c r="W356" s="7" t="str">
        <f>Preencher!$B$3&amp;U356&amp;V356&amp;A356&amp;$W$6</f>
        <v>JARINU-FRG55956MQ.TUNEL DE CG (CONTINUO)</v>
      </c>
      <c r="X356" s="7" t="str">
        <f>Preencher!$B$3&amp;U356&amp;V356&amp;A356&amp;$X$6</f>
        <v>JARINU-FRG55956MQ.TUNEL DE CG (CONTINUO) (1)</v>
      </c>
      <c r="Y356" s="7" t="str">
        <f>Preencher!$B$3&amp;U356&amp;V356&amp;A356&amp;$Y$6</f>
        <v>JARINU-FRG55956MQ.TUNEL DE CG (CONTINUO) (2)</v>
      </c>
      <c r="Z356" s="7" t="str">
        <f>Preencher!$B$3&amp;U356&amp;V356&amp;A356&amp;$Z$6</f>
        <v>JARINU-FRG55956MQ.TUNEL DE CG (CONTINUO) (3)</v>
      </c>
      <c r="AA356" s="7" t="str">
        <f>Preencher!$B$3&amp;U356&amp;V356&amp;A356&amp;$AA$6</f>
        <v>JARINU-FRG55956MQ.TUNEL DE CG (ESTATICO)</v>
      </c>
      <c r="AB356" s="7" t="str">
        <f>Preencher!$B$3&amp;U356&amp;V356&amp;A356&amp;$AB$6</f>
        <v>JARINU-FRG55956MQ.TUNEL DE CG (ESTATICO) (1)</v>
      </c>
      <c r="AC356" s="7" t="str">
        <f>Preencher!$B$3&amp;U356&amp;V356&amp;A356&amp;$AC$6</f>
        <v>JARINU-FRG55956MQ.TUNEL DE CG (ESTATICO) (2)</v>
      </c>
      <c r="AD356" s="327">
        <f>IFERROR(SUMIF('BD Otimix'!A:A,'BD VOLUME'!X356,'BD Otimix'!O:O)+SUMIF('BD Otimix'!A:A,'BD VOLUME'!Y356,'BD Otimix'!O:O)+SUMIF('BD Otimix'!A:A,'BD VOLUME'!Z356,'BD Otimix'!O:O)+SUMIF('BD Otimix'!A:A,'BD VOLUME'!AA356,'BD Otimix'!O:O)+SUMIF('BD Otimix'!A:A,'BD VOLUME'!AB356,'BD Otimix'!O:O)+SUMIF('BD Otimix'!A:A,'BD VOLUME'!AC356,'BD Otimix'!O:O)+SUMIF('BD Otimix'!A:A,'BD VOLUME'!W356,'BD Otimix'!O:O),0)</f>
        <v>0</v>
      </c>
      <c r="AE356" s="327">
        <f t="shared" si="74"/>
        <v>0</v>
      </c>
      <c r="AF356" s="7" t="str">
        <f>Preencher!$B$3&amp;$U$8&amp;$V$8&amp;A356&amp;$AF$6</f>
        <v>JARINU-FRG55956MQ.GIROFREEZER</v>
      </c>
      <c r="AG356" s="7" t="str">
        <f>Preencher!$B$3&amp;$U$8&amp;$V$8&amp;A356&amp;$AG$6</f>
        <v>JARINU-FRG55956MQ.GIROFREEZER (1)</v>
      </c>
      <c r="AH356" s="7" t="str">
        <f>Preencher!$B$3&amp;$U$8&amp;$V$8&amp;A356&amp;$AH$6</f>
        <v>JARINU-FRG55956MQ.GIROFREEZER (2)</v>
      </c>
      <c r="AI356" s="7" t="str">
        <f>Preencher!$B$3&amp;$U$8&amp;$V$8&amp;A356&amp;$AI$6</f>
        <v>JARINU-FRG55956MQ.GIROFREEZER REV04</v>
      </c>
      <c r="AJ356" s="7" t="str">
        <f>Preencher!$B$3&amp;$U$8&amp;$V$8&amp;A356&amp;$AJ$6</f>
        <v>JARINU-FRG55956MQ.GIROFREEZER (3)</v>
      </c>
      <c r="AK356" s="327">
        <f>IFERROR(SUMIF('BD Otimix'!A:A,'BD VOLUME'!AG356,'BD Otimix'!O:O)+SUMIF('BD Otimix'!A:A,'BD VOLUME'!AH356,'BD Otimix'!O:O)+SUMIF('BD Otimix'!A:A,'BD VOLUME'!AI356,'BD Otimix'!O:O)+SUMIF('BD Otimix'!A:A,'BD VOLUME'!AJ356,'BD Otimix'!O:O)+SUMIF('BD Otimix'!A:A,'BD VOLUME'!AF356,'BD Otimix'!O:O),0)</f>
        <v>0</v>
      </c>
      <c r="AL356" s="7">
        <f t="shared" si="75"/>
        <v>0</v>
      </c>
    </row>
    <row r="357" spans="1:38" s="4" customFormat="1" ht="14.25">
      <c r="A357" s="355">
        <v>19666</v>
      </c>
      <c r="B357" s="355" t="s">
        <v>1455</v>
      </c>
      <c r="C357" s="5" t="s">
        <v>1456</v>
      </c>
      <c r="D357" s="75" t="s">
        <v>867</v>
      </c>
      <c r="E357" s="5" t="s">
        <v>1492</v>
      </c>
      <c r="F357" s="132">
        <f>SUMIF('COLAR PLANO'!$A:$A,A357,'COLAR PLANO'!$D:$D)</f>
        <v>0</v>
      </c>
      <c r="G357" s="131">
        <f t="shared" si="79"/>
        <v>0</v>
      </c>
      <c r="H357" s="6">
        <v>0.217</v>
      </c>
      <c r="I357" s="7">
        <f t="shared" si="80"/>
        <v>0</v>
      </c>
      <c r="J357" s="130">
        <f t="shared" si="83"/>
        <v>0</v>
      </c>
      <c r="K357" s="122">
        <v>10</v>
      </c>
      <c r="L357" s="122">
        <v>1</v>
      </c>
      <c r="M357" s="122">
        <v>10</v>
      </c>
      <c r="N357" s="311">
        <f t="shared" si="77"/>
        <v>0</v>
      </c>
      <c r="O357" s="311"/>
      <c r="P357" s="311"/>
      <c r="Q357" s="311">
        <f t="shared" si="82"/>
        <v>0</v>
      </c>
      <c r="R357" s="311"/>
      <c r="S357" s="7"/>
      <c r="T357" s="7"/>
      <c r="U357" s="7" t="s">
        <v>2288</v>
      </c>
      <c r="V357" s="7" t="s">
        <v>2289</v>
      </c>
      <c r="W357" s="7" t="str">
        <f>Preencher!$B$3&amp;U357&amp;V357&amp;A357&amp;$W$6</f>
        <v>JARINU-FRG19666MQ.TUNEL DE CG (CONTINUO)</v>
      </c>
      <c r="X357" s="7" t="str">
        <f>Preencher!$B$3&amp;U357&amp;V357&amp;A357&amp;$X$6</f>
        <v>JARINU-FRG19666MQ.TUNEL DE CG (CONTINUO) (1)</v>
      </c>
      <c r="Y357" s="7" t="str">
        <f>Preencher!$B$3&amp;U357&amp;V357&amp;A357&amp;$Y$6</f>
        <v>JARINU-FRG19666MQ.TUNEL DE CG (CONTINUO) (2)</v>
      </c>
      <c r="Z357" s="7" t="str">
        <f>Preencher!$B$3&amp;U357&amp;V357&amp;A357&amp;$Z$6</f>
        <v>JARINU-FRG19666MQ.TUNEL DE CG (CONTINUO) (3)</v>
      </c>
      <c r="AA357" s="7" t="str">
        <f>Preencher!$B$3&amp;U357&amp;V357&amp;A357&amp;$AA$6</f>
        <v>JARINU-FRG19666MQ.TUNEL DE CG (ESTATICO)</v>
      </c>
      <c r="AB357" s="7" t="str">
        <f>Preencher!$B$3&amp;U357&amp;V357&amp;A357&amp;$AB$6</f>
        <v>JARINU-FRG19666MQ.TUNEL DE CG (ESTATICO) (1)</v>
      </c>
      <c r="AC357" s="7" t="str">
        <f>Preencher!$B$3&amp;U357&amp;V357&amp;A357&amp;$AC$6</f>
        <v>JARINU-FRG19666MQ.TUNEL DE CG (ESTATICO) (2)</v>
      </c>
      <c r="AD357" s="327">
        <f>IFERROR(SUMIF('BD Otimix'!A:A,'BD VOLUME'!X357,'BD Otimix'!O:O)+SUMIF('BD Otimix'!A:A,'BD VOLUME'!Y357,'BD Otimix'!O:O)+SUMIF('BD Otimix'!A:A,'BD VOLUME'!Z357,'BD Otimix'!O:O)+SUMIF('BD Otimix'!A:A,'BD VOLUME'!AA357,'BD Otimix'!O:O)+SUMIF('BD Otimix'!A:A,'BD VOLUME'!AB357,'BD Otimix'!O:O)+SUMIF('BD Otimix'!A:A,'BD VOLUME'!AC357,'BD Otimix'!O:O)+SUMIF('BD Otimix'!A:A,'BD VOLUME'!W357,'BD Otimix'!O:O),0)</f>
        <v>0</v>
      </c>
      <c r="AE357" s="327">
        <f t="shared" si="74"/>
        <v>0</v>
      </c>
      <c r="AF357" s="7" t="str">
        <f>Preencher!$B$3&amp;$U$8&amp;$V$8&amp;A357&amp;$AF$6</f>
        <v>JARINU-FRG19666MQ.GIROFREEZER</v>
      </c>
      <c r="AG357" s="7" t="str">
        <f>Preencher!$B$3&amp;$U$8&amp;$V$8&amp;A357&amp;$AG$6</f>
        <v>JARINU-FRG19666MQ.GIROFREEZER (1)</v>
      </c>
      <c r="AH357" s="7" t="str">
        <f>Preencher!$B$3&amp;$U$8&amp;$V$8&amp;A357&amp;$AH$6</f>
        <v>JARINU-FRG19666MQ.GIROFREEZER (2)</v>
      </c>
      <c r="AI357" s="7" t="str">
        <f>Preencher!$B$3&amp;$U$8&amp;$V$8&amp;A357&amp;$AI$6</f>
        <v>JARINU-FRG19666MQ.GIROFREEZER REV04</v>
      </c>
      <c r="AJ357" s="7" t="str">
        <f>Preencher!$B$3&amp;$U$8&amp;$V$8&amp;A357&amp;$AJ$6</f>
        <v>JARINU-FRG19666MQ.GIROFREEZER (3)</v>
      </c>
      <c r="AK357" s="327">
        <f>IFERROR(SUMIF('BD Otimix'!A:A,'BD VOLUME'!AG357,'BD Otimix'!O:O)+SUMIF('BD Otimix'!A:A,'BD VOLUME'!AH357,'BD Otimix'!O:O)+SUMIF('BD Otimix'!A:A,'BD VOLUME'!AI357,'BD Otimix'!O:O)+SUMIF('BD Otimix'!A:A,'BD VOLUME'!AJ357,'BD Otimix'!O:O)+SUMIF('BD Otimix'!A:A,'BD VOLUME'!AF357,'BD Otimix'!O:O),0)</f>
        <v>0</v>
      </c>
      <c r="AL357" s="7">
        <f t="shared" si="75"/>
        <v>0</v>
      </c>
    </row>
    <row r="358" spans="1:38" s="4" customFormat="1" ht="14.25">
      <c r="A358" s="580">
        <v>58050</v>
      </c>
      <c r="B358" s="580" t="s">
        <v>2032</v>
      </c>
      <c r="C358" s="5" t="s">
        <v>2033</v>
      </c>
      <c r="D358" s="75" t="s">
        <v>867</v>
      </c>
      <c r="E358" s="5" t="s">
        <v>2121</v>
      </c>
      <c r="F358" s="132">
        <f>SUMIF('COLAR PLANO'!$A:$A,A358,'COLAR PLANO'!$D:$D)</f>
        <v>0</v>
      </c>
      <c r="G358" s="131">
        <f>IFERROR(F358/($E$3*$C$3),0)</f>
        <v>0</v>
      </c>
      <c r="H358" s="6">
        <v>0.217</v>
      </c>
      <c r="I358" s="7">
        <f>IFERROR(G358/$D$3/H358,0)</f>
        <v>0</v>
      </c>
      <c r="J358" s="130">
        <f t="shared" si="83"/>
        <v>0</v>
      </c>
      <c r="K358" s="122">
        <v>15</v>
      </c>
      <c r="L358" s="122">
        <v>1</v>
      </c>
      <c r="M358" s="122">
        <v>15</v>
      </c>
      <c r="N358" s="311">
        <f>IFERROR(G358/K358,"-")</f>
        <v>0</v>
      </c>
      <c r="O358" s="311"/>
      <c r="P358" s="311"/>
      <c r="Q358" s="311">
        <f>IFERROR(G358/M358,"-")</f>
        <v>0</v>
      </c>
      <c r="R358" s="311"/>
      <c r="S358" s="7"/>
      <c r="T358" s="7"/>
      <c r="U358" s="7" t="s">
        <v>2288</v>
      </c>
      <c r="V358" s="7" t="s">
        <v>2289</v>
      </c>
      <c r="W358" s="7" t="str">
        <f>Preencher!$B$3&amp;U358&amp;V358&amp;A358&amp;$W$6</f>
        <v>JARINU-FRG58050MQ.TUNEL DE CG (CONTINUO)</v>
      </c>
      <c r="X358" s="7" t="str">
        <f>Preencher!$B$3&amp;U358&amp;V358&amp;A358&amp;$X$6</f>
        <v>JARINU-FRG58050MQ.TUNEL DE CG (CONTINUO) (1)</v>
      </c>
      <c r="Y358" s="7" t="str">
        <f>Preencher!$B$3&amp;U358&amp;V358&amp;A358&amp;$Y$6</f>
        <v>JARINU-FRG58050MQ.TUNEL DE CG (CONTINUO) (2)</v>
      </c>
      <c r="Z358" s="7" t="str">
        <f>Preencher!$B$3&amp;U358&amp;V358&amp;A358&amp;$Z$6</f>
        <v>JARINU-FRG58050MQ.TUNEL DE CG (CONTINUO) (3)</v>
      </c>
      <c r="AA358" s="7" t="str">
        <f>Preencher!$B$3&amp;U358&amp;V358&amp;A358&amp;$AA$6</f>
        <v>JARINU-FRG58050MQ.TUNEL DE CG (ESTATICO)</v>
      </c>
      <c r="AB358" s="7" t="str">
        <f>Preencher!$B$3&amp;U358&amp;V358&amp;A358&amp;$AB$6</f>
        <v>JARINU-FRG58050MQ.TUNEL DE CG (ESTATICO) (1)</v>
      </c>
      <c r="AC358" s="7" t="str">
        <f>Preencher!$B$3&amp;U358&amp;V358&amp;A358&amp;$AC$6</f>
        <v>JARINU-FRG58050MQ.TUNEL DE CG (ESTATICO) (2)</v>
      </c>
      <c r="AD358" s="327">
        <f>IFERROR(SUMIF('BD Otimix'!A:A,'BD VOLUME'!X358,'BD Otimix'!O:O)+SUMIF('BD Otimix'!A:A,'BD VOLUME'!Y358,'BD Otimix'!O:O)+SUMIF('BD Otimix'!A:A,'BD VOLUME'!Z358,'BD Otimix'!O:O)+SUMIF('BD Otimix'!A:A,'BD VOLUME'!AA358,'BD Otimix'!O:O)+SUMIF('BD Otimix'!A:A,'BD VOLUME'!AB358,'BD Otimix'!O:O)+SUMIF('BD Otimix'!A:A,'BD VOLUME'!AC358,'BD Otimix'!O:O)+SUMIF('BD Otimix'!A:A,'BD VOLUME'!W358,'BD Otimix'!O:O),0)</f>
        <v>0</v>
      </c>
      <c r="AE358" s="327">
        <f t="shared" si="74"/>
        <v>0</v>
      </c>
      <c r="AF358" s="7" t="str">
        <f>Preencher!$B$3&amp;$U$8&amp;$V$8&amp;A358&amp;$AF$6</f>
        <v>JARINU-FRG58050MQ.GIROFREEZER</v>
      </c>
      <c r="AG358" s="7" t="str">
        <f>Preencher!$B$3&amp;$U$8&amp;$V$8&amp;A358&amp;$AG$6</f>
        <v>JARINU-FRG58050MQ.GIROFREEZER (1)</v>
      </c>
      <c r="AH358" s="7" t="str">
        <f>Preencher!$B$3&amp;$U$8&amp;$V$8&amp;A358&amp;$AH$6</f>
        <v>JARINU-FRG58050MQ.GIROFREEZER (2)</v>
      </c>
      <c r="AI358" s="7" t="str">
        <f>Preencher!$B$3&amp;$U$8&amp;$V$8&amp;A358&amp;$AI$6</f>
        <v>JARINU-FRG58050MQ.GIROFREEZER REV04</v>
      </c>
      <c r="AJ358" s="7" t="str">
        <f>Preencher!$B$3&amp;$U$8&amp;$V$8&amp;A358&amp;$AJ$6</f>
        <v>JARINU-FRG58050MQ.GIROFREEZER (3)</v>
      </c>
      <c r="AK358" s="327">
        <f>IFERROR(SUMIF('BD Otimix'!A:A,'BD VOLUME'!AG358,'BD Otimix'!O:O)+SUMIF('BD Otimix'!A:A,'BD VOLUME'!AH358,'BD Otimix'!O:O)+SUMIF('BD Otimix'!A:A,'BD VOLUME'!AI358,'BD Otimix'!O:O)+SUMIF('BD Otimix'!A:A,'BD VOLUME'!AJ358,'BD Otimix'!O:O)+SUMIF('BD Otimix'!A:A,'BD VOLUME'!AF358,'BD Otimix'!O:O),0)</f>
        <v>0</v>
      </c>
      <c r="AL358" s="7">
        <f t="shared" si="75"/>
        <v>0</v>
      </c>
    </row>
    <row r="359" spans="1:38" s="4" customFormat="1" ht="14.25">
      <c r="A359" s="355">
        <v>10545</v>
      </c>
      <c r="B359" s="355" t="s">
        <v>1022</v>
      </c>
      <c r="C359" s="5" t="s">
        <v>1460</v>
      </c>
      <c r="D359" s="75" t="s">
        <v>867</v>
      </c>
      <c r="E359" s="5" t="s">
        <v>1493</v>
      </c>
      <c r="F359" s="132">
        <f>SUMIF('COLAR PLANO'!$A:$A,A359,'COLAR PLANO'!$D:$D)</f>
        <v>0</v>
      </c>
      <c r="G359" s="131">
        <f t="shared" si="79"/>
        <v>0</v>
      </c>
      <c r="H359" s="6">
        <v>0.217</v>
      </c>
      <c r="I359" s="7">
        <f t="shared" si="80"/>
        <v>0</v>
      </c>
      <c r="J359" s="130">
        <f t="shared" si="83"/>
        <v>0</v>
      </c>
      <c r="K359" s="122">
        <v>15</v>
      </c>
      <c r="L359" s="122">
        <v>1</v>
      </c>
      <c r="M359" s="122">
        <v>15</v>
      </c>
      <c r="N359" s="311">
        <f t="shared" si="77"/>
        <v>0</v>
      </c>
      <c r="O359" s="311"/>
      <c r="P359" s="311"/>
      <c r="Q359" s="311"/>
      <c r="R359" s="311"/>
      <c r="S359" s="311">
        <f>IFERROR(G359/M359,"-")</f>
        <v>0</v>
      </c>
      <c r="T359" s="7"/>
      <c r="U359" s="7" t="s">
        <v>2288</v>
      </c>
      <c r="V359" s="7" t="s">
        <v>2289</v>
      </c>
      <c r="W359" s="7" t="str">
        <f>Preencher!$B$3&amp;U359&amp;V359&amp;A359&amp;$W$6</f>
        <v>JARINU-FRG10545MQ.TUNEL DE CG (CONTINUO)</v>
      </c>
      <c r="X359" s="7" t="str">
        <f>Preencher!$B$3&amp;U359&amp;V359&amp;A359&amp;$X$6</f>
        <v>JARINU-FRG10545MQ.TUNEL DE CG (CONTINUO) (1)</v>
      </c>
      <c r="Y359" s="7" t="str">
        <f>Preencher!$B$3&amp;U359&amp;V359&amp;A359&amp;$Y$6</f>
        <v>JARINU-FRG10545MQ.TUNEL DE CG (CONTINUO) (2)</v>
      </c>
      <c r="Z359" s="7" t="str">
        <f>Preencher!$B$3&amp;U359&amp;V359&amp;A359&amp;$Z$6</f>
        <v>JARINU-FRG10545MQ.TUNEL DE CG (CONTINUO) (3)</v>
      </c>
      <c r="AA359" s="7" t="str">
        <f>Preencher!$B$3&amp;U359&amp;V359&amp;A359&amp;$AA$6</f>
        <v>JARINU-FRG10545MQ.TUNEL DE CG (ESTATICO)</v>
      </c>
      <c r="AB359" s="7" t="str">
        <f>Preencher!$B$3&amp;U359&amp;V359&amp;A359&amp;$AB$6</f>
        <v>JARINU-FRG10545MQ.TUNEL DE CG (ESTATICO) (1)</v>
      </c>
      <c r="AC359" s="7" t="str">
        <f>Preencher!$B$3&amp;U359&amp;V359&amp;A359&amp;$AC$6</f>
        <v>JARINU-FRG10545MQ.TUNEL DE CG (ESTATICO) (2)</v>
      </c>
      <c r="AD359" s="327">
        <f>IFERROR(SUMIF('BD Otimix'!A:A,'BD VOLUME'!X359,'BD Otimix'!O:O)+SUMIF('BD Otimix'!A:A,'BD VOLUME'!Y359,'BD Otimix'!O:O)+SUMIF('BD Otimix'!A:A,'BD VOLUME'!Z359,'BD Otimix'!O:O)+SUMIF('BD Otimix'!A:A,'BD VOLUME'!AA359,'BD Otimix'!O:O)+SUMIF('BD Otimix'!A:A,'BD VOLUME'!AB359,'BD Otimix'!O:O)+SUMIF('BD Otimix'!A:A,'BD VOLUME'!AC359,'BD Otimix'!O:O)+SUMIF('BD Otimix'!A:A,'BD VOLUME'!W359,'BD Otimix'!O:O),0)</f>
        <v>0</v>
      </c>
      <c r="AE359" s="327">
        <f t="shared" si="74"/>
        <v>0</v>
      </c>
      <c r="AF359" s="7" t="str">
        <f>Preencher!$B$3&amp;$U$8&amp;$V$8&amp;A359&amp;$AF$6</f>
        <v>JARINU-FRG10545MQ.GIROFREEZER</v>
      </c>
      <c r="AG359" s="7" t="str">
        <f>Preencher!$B$3&amp;$U$8&amp;$V$8&amp;A359&amp;$AG$6</f>
        <v>JARINU-FRG10545MQ.GIROFREEZER (1)</v>
      </c>
      <c r="AH359" s="7" t="str">
        <f>Preencher!$B$3&amp;$U$8&amp;$V$8&amp;A359&amp;$AH$6</f>
        <v>JARINU-FRG10545MQ.GIROFREEZER (2)</v>
      </c>
      <c r="AI359" s="7" t="str">
        <f>Preencher!$B$3&amp;$U$8&amp;$V$8&amp;A359&amp;$AI$6</f>
        <v>JARINU-FRG10545MQ.GIROFREEZER REV04</v>
      </c>
      <c r="AJ359" s="7" t="str">
        <f>Preencher!$B$3&amp;$U$8&amp;$V$8&amp;A359&amp;$AJ$6</f>
        <v>JARINU-FRG10545MQ.GIROFREEZER (3)</v>
      </c>
      <c r="AK359" s="327">
        <f>IFERROR(SUMIF('BD Otimix'!A:A,'BD VOLUME'!AG359,'BD Otimix'!O:O)+SUMIF('BD Otimix'!A:A,'BD VOLUME'!AH359,'BD Otimix'!O:O)+SUMIF('BD Otimix'!A:A,'BD VOLUME'!AI359,'BD Otimix'!O:O)+SUMIF('BD Otimix'!A:A,'BD VOLUME'!AJ359,'BD Otimix'!O:O)+SUMIF('BD Otimix'!A:A,'BD VOLUME'!AF359,'BD Otimix'!O:O),0)</f>
        <v>0</v>
      </c>
      <c r="AL359" s="7">
        <f t="shared" si="75"/>
        <v>0</v>
      </c>
    </row>
    <row r="360" spans="1:38" s="4" customFormat="1" ht="14.25">
      <c r="A360" s="355">
        <v>99759</v>
      </c>
      <c r="B360" s="355"/>
      <c r="C360" s="5" t="s">
        <v>1494</v>
      </c>
      <c r="D360" s="75" t="s">
        <v>867</v>
      </c>
      <c r="E360" s="5" t="s">
        <v>1493</v>
      </c>
      <c r="F360" s="132">
        <f>SUMIF('COLAR PLANO'!$A:$A,A360,'COLAR PLANO'!$D:$D)</f>
        <v>0</v>
      </c>
      <c r="G360" s="131">
        <f t="shared" si="79"/>
        <v>0</v>
      </c>
      <c r="H360" s="6">
        <v>0.217</v>
      </c>
      <c r="I360" s="7">
        <f t="shared" si="80"/>
        <v>0</v>
      </c>
      <c r="J360" s="130">
        <f t="shared" si="83"/>
        <v>0</v>
      </c>
      <c r="K360" s="122">
        <v>15</v>
      </c>
      <c r="L360" s="122">
        <v>1</v>
      </c>
      <c r="M360" s="122">
        <v>15</v>
      </c>
      <c r="N360" s="311">
        <f t="shared" si="77"/>
        <v>0</v>
      </c>
      <c r="O360" s="311"/>
      <c r="P360" s="311"/>
      <c r="Q360" s="311"/>
      <c r="R360" s="311"/>
      <c r="S360" s="311">
        <f t="shared" ref="S360:S371" si="84">IFERROR(G360/M360,"-")</f>
        <v>0</v>
      </c>
      <c r="T360" s="7"/>
      <c r="U360" s="7" t="s">
        <v>2288</v>
      </c>
      <c r="V360" s="7" t="s">
        <v>2289</v>
      </c>
      <c r="W360" s="7" t="str">
        <f>Preencher!$B$3&amp;U360&amp;V360&amp;A360&amp;$W$6</f>
        <v>JARINU-FRG99759MQ.TUNEL DE CG (CONTINUO)</v>
      </c>
      <c r="X360" s="7" t="str">
        <f>Preencher!$B$3&amp;U360&amp;V360&amp;A360&amp;$X$6</f>
        <v>JARINU-FRG99759MQ.TUNEL DE CG (CONTINUO) (1)</v>
      </c>
      <c r="Y360" s="7" t="str">
        <f>Preencher!$B$3&amp;U360&amp;V360&amp;A360&amp;$Y$6</f>
        <v>JARINU-FRG99759MQ.TUNEL DE CG (CONTINUO) (2)</v>
      </c>
      <c r="Z360" s="7" t="str">
        <f>Preencher!$B$3&amp;U360&amp;V360&amp;A360&amp;$Z$6</f>
        <v>JARINU-FRG99759MQ.TUNEL DE CG (CONTINUO) (3)</v>
      </c>
      <c r="AA360" s="7" t="str">
        <f>Preencher!$B$3&amp;U360&amp;V360&amp;A360&amp;$AA$6</f>
        <v>JARINU-FRG99759MQ.TUNEL DE CG (ESTATICO)</v>
      </c>
      <c r="AB360" s="7" t="str">
        <f>Preencher!$B$3&amp;U360&amp;V360&amp;A360&amp;$AB$6</f>
        <v>JARINU-FRG99759MQ.TUNEL DE CG (ESTATICO) (1)</v>
      </c>
      <c r="AC360" s="7" t="str">
        <f>Preencher!$B$3&amp;U360&amp;V360&amp;A360&amp;$AC$6</f>
        <v>JARINU-FRG99759MQ.TUNEL DE CG (ESTATICO) (2)</v>
      </c>
      <c r="AD360" s="327">
        <f>IFERROR(SUMIF('BD Otimix'!A:A,'BD VOLUME'!X360,'BD Otimix'!O:O)+SUMIF('BD Otimix'!A:A,'BD VOLUME'!Y360,'BD Otimix'!O:O)+SUMIF('BD Otimix'!A:A,'BD VOLUME'!Z360,'BD Otimix'!O:O)+SUMIF('BD Otimix'!A:A,'BD VOLUME'!AA360,'BD Otimix'!O:O)+SUMIF('BD Otimix'!A:A,'BD VOLUME'!AB360,'BD Otimix'!O:O)+SUMIF('BD Otimix'!A:A,'BD VOLUME'!AC360,'BD Otimix'!O:O)+SUMIF('BD Otimix'!A:A,'BD VOLUME'!W360,'BD Otimix'!O:O),0)</f>
        <v>0</v>
      </c>
      <c r="AE360" s="327">
        <f t="shared" si="74"/>
        <v>0</v>
      </c>
      <c r="AF360" s="7" t="str">
        <f>Preencher!$B$3&amp;$U$8&amp;$V$8&amp;A360&amp;$AF$6</f>
        <v>JARINU-FRG99759MQ.GIROFREEZER</v>
      </c>
      <c r="AG360" s="7" t="str">
        <f>Preencher!$B$3&amp;$U$8&amp;$V$8&amp;A360&amp;$AG$6</f>
        <v>JARINU-FRG99759MQ.GIROFREEZER (1)</v>
      </c>
      <c r="AH360" s="7" t="str">
        <f>Preencher!$B$3&amp;$U$8&amp;$V$8&amp;A360&amp;$AH$6</f>
        <v>JARINU-FRG99759MQ.GIROFREEZER (2)</v>
      </c>
      <c r="AI360" s="7" t="str">
        <f>Preencher!$B$3&amp;$U$8&amp;$V$8&amp;A360&amp;$AI$6</f>
        <v>JARINU-FRG99759MQ.GIROFREEZER REV04</v>
      </c>
      <c r="AJ360" s="7" t="str">
        <f>Preencher!$B$3&amp;$U$8&amp;$V$8&amp;A360&amp;$AJ$6</f>
        <v>JARINU-FRG99759MQ.GIROFREEZER (3)</v>
      </c>
      <c r="AK360" s="327">
        <f>IFERROR(SUMIF('BD Otimix'!A:A,'BD VOLUME'!AG360,'BD Otimix'!O:O)+SUMIF('BD Otimix'!A:A,'BD VOLUME'!AH360,'BD Otimix'!O:O)+SUMIF('BD Otimix'!A:A,'BD VOLUME'!AI360,'BD Otimix'!O:O)+SUMIF('BD Otimix'!A:A,'BD VOLUME'!AJ360,'BD Otimix'!O:O)+SUMIF('BD Otimix'!A:A,'BD VOLUME'!AF360,'BD Otimix'!O:O),0)</f>
        <v>0</v>
      </c>
      <c r="AL360" s="7">
        <f t="shared" si="75"/>
        <v>0</v>
      </c>
    </row>
    <row r="361" spans="1:38" s="4" customFormat="1" ht="14.25">
      <c r="A361" s="209">
        <v>99864</v>
      </c>
      <c r="B361" s="209"/>
      <c r="C361" s="5" t="s">
        <v>1467</v>
      </c>
      <c r="D361" s="5" t="s">
        <v>867</v>
      </c>
      <c r="E361" s="5" t="s">
        <v>1493</v>
      </c>
      <c r="F361" s="132">
        <f>SUMIF('COLAR PLANO'!$A:$A,A361,'COLAR PLANO'!$D:$D)</f>
        <v>0</v>
      </c>
      <c r="G361" s="131">
        <f t="shared" si="79"/>
        <v>0</v>
      </c>
      <c r="H361" s="6">
        <v>0.217</v>
      </c>
      <c r="I361" s="7">
        <f t="shared" si="80"/>
        <v>0</v>
      </c>
      <c r="J361" s="130">
        <f t="shared" si="83"/>
        <v>0</v>
      </c>
      <c r="K361" s="122">
        <v>15</v>
      </c>
      <c r="L361" s="122">
        <v>1</v>
      </c>
      <c r="M361" s="122">
        <v>15</v>
      </c>
      <c r="N361" s="311">
        <f t="shared" si="77"/>
        <v>0</v>
      </c>
      <c r="O361" s="311"/>
      <c r="P361" s="311"/>
      <c r="Q361" s="311"/>
      <c r="R361" s="311"/>
      <c r="S361" s="311">
        <f t="shared" si="84"/>
        <v>0</v>
      </c>
      <c r="T361" s="7"/>
      <c r="U361" s="7" t="s">
        <v>2288</v>
      </c>
      <c r="V361" s="7" t="s">
        <v>2289</v>
      </c>
      <c r="W361" s="7" t="str">
        <f>Preencher!$B$3&amp;U361&amp;V361&amp;A361&amp;$W$6</f>
        <v>JARINU-FRG99864MQ.TUNEL DE CG (CONTINUO)</v>
      </c>
      <c r="X361" s="7" t="str">
        <f>Preencher!$B$3&amp;U361&amp;V361&amp;A361&amp;$X$6</f>
        <v>JARINU-FRG99864MQ.TUNEL DE CG (CONTINUO) (1)</v>
      </c>
      <c r="Y361" s="7" t="str">
        <f>Preencher!$B$3&amp;U361&amp;V361&amp;A361&amp;$Y$6</f>
        <v>JARINU-FRG99864MQ.TUNEL DE CG (CONTINUO) (2)</v>
      </c>
      <c r="Z361" s="7" t="str">
        <f>Preencher!$B$3&amp;U361&amp;V361&amp;A361&amp;$Z$6</f>
        <v>JARINU-FRG99864MQ.TUNEL DE CG (CONTINUO) (3)</v>
      </c>
      <c r="AA361" s="7" t="str">
        <f>Preencher!$B$3&amp;U361&amp;V361&amp;A361&amp;$AA$6</f>
        <v>JARINU-FRG99864MQ.TUNEL DE CG (ESTATICO)</v>
      </c>
      <c r="AB361" s="7" t="str">
        <f>Preencher!$B$3&amp;U361&amp;V361&amp;A361&amp;$AB$6</f>
        <v>JARINU-FRG99864MQ.TUNEL DE CG (ESTATICO) (1)</v>
      </c>
      <c r="AC361" s="7" t="str">
        <f>Preencher!$B$3&amp;U361&amp;V361&amp;A361&amp;$AC$6</f>
        <v>JARINU-FRG99864MQ.TUNEL DE CG (ESTATICO) (2)</v>
      </c>
      <c r="AD361" s="327">
        <f>IFERROR(SUMIF('BD Otimix'!A:A,'BD VOLUME'!X361,'BD Otimix'!O:O)+SUMIF('BD Otimix'!A:A,'BD VOLUME'!Y361,'BD Otimix'!O:O)+SUMIF('BD Otimix'!A:A,'BD VOLUME'!Z361,'BD Otimix'!O:O)+SUMIF('BD Otimix'!A:A,'BD VOLUME'!AA361,'BD Otimix'!O:O)+SUMIF('BD Otimix'!A:A,'BD VOLUME'!AB361,'BD Otimix'!O:O)+SUMIF('BD Otimix'!A:A,'BD VOLUME'!AC361,'BD Otimix'!O:O)+SUMIF('BD Otimix'!A:A,'BD VOLUME'!W361,'BD Otimix'!O:O),0)</f>
        <v>0</v>
      </c>
      <c r="AE361" s="327">
        <f t="shared" si="74"/>
        <v>0</v>
      </c>
      <c r="AF361" s="7" t="str">
        <f>Preencher!$B$3&amp;$U$8&amp;$V$8&amp;A361&amp;$AF$6</f>
        <v>JARINU-FRG99864MQ.GIROFREEZER</v>
      </c>
      <c r="AG361" s="7" t="str">
        <f>Preencher!$B$3&amp;$U$8&amp;$V$8&amp;A361&amp;$AG$6</f>
        <v>JARINU-FRG99864MQ.GIROFREEZER (1)</v>
      </c>
      <c r="AH361" s="7" t="str">
        <f>Preencher!$B$3&amp;$U$8&amp;$V$8&amp;A361&amp;$AH$6</f>
        <v>JARINU-FRG99864MQ.GIROFREEZER (2)</v>
      </c>
      <c r="AI361" s="7" t="str">
        <f>Preencher!$B$3&amp;$U$8&amp;$V$8&amp;A361&amp;$AI$6</f>
        <v>JARINU-FRG99864MQ.GIROFREEZER REV04</v>
      </c>
      <c r="AJ361" s="7" t="str">
        <f>Preencher!$B$3&amp;$U$8&amp;$V$8&amp;A361&amp;$AJ$6</f>
        <v>JARINU-FRG99864MQ.GIROFREEZER (3)</v>
      </c>
      <c r="AK361" s="327">
        <f>IFERROR(SUMIF('BD Otimix'!A:A,'BD VOLUME'!AG361,'BD Otimix'!O:O)+SUMIF('BD Otimix'!A:A,'BD VOLUME'!AH361,'BD Otimix'!O:O)+SUMIF('BD Otimix'!A:A,'BD VOLUME'!AI361,'BD Otimix'!O:O)+SUMIF('BD Otimix'!A:A,'BD VOLUME'!AJ361,'BD Otimix'!O:O)+SUMIF('BD Otimix'!A:A,'BD VOLUME'!AF361,'BD Otimix'!O:O),0)</f>
        <v>0</v>
      </c>
      <c r="AL361" s="7">
        <f t="shared" si="75"/>
        <v>0</v>
      </c>
    </row>
    <row r="362" spans="1:38" s="4" customFormat="1" ht="14.25">
      <c r="A362" s="209">
        <v>999229</v>
      </c>
      <c r="B362" s="209" t="s">
        <v>1022</v>
      </c>
      <c r="C362" s="5" t="s">
        <v>1460</v>
      </c>
      <c r="D362" s="5" t="s">
        <v>867</v>
      </c>
      <c r="E362" s="5" t="s">
        <v>1493</v>
      </c>
      <c r="F362" s="132">
        <f>SUMIF('COLAR PLANO'!$A:$A,A362,'COLAR PLANO'!$D:$D)</f>
        <v>0</v>
      </c>
      <c r="G362" s="131">
        <f t="shared" si="79"/>
        <v>0</v>
      </c>
      <c r="H362" s="6">
        <v>0.21870000000000001</v>
      </c>
      <c r="I362" s="7">
        <f t="shared" si="80"/>
        <v>0</v>
      </c>
      <c r="J362" s="130">
        <f t="shared" si="83"/>
        <v>0</v>
      </c>
      <c r="K362" s="122">
        <v>15</v>
      </c>
      <c r="L362" s="122">
        <v>1</v>
      </c>
      <c r="M362" s="122">
        <v>15</v>
      </c>
      <c r="N362" s="311">
        <f t="shared" si="77"/>
        <v>0</v>
      </c>
      <c r="O362" s="311"/>
      <c r="P362" s="311"/>
      <c r="Q362" s="311"/>
      <c r="R362" s="311"/>
      <c r="S362" s="311">
        <f t="shared" si="84"/>
        <v>0</v>
      </c>
      <c r="T362" s="7"/>
      <c r="U362" s="7" t="s">
        <v>2288</v>
      </c>
      <c r="V362" s="7" t="s">
        <v>2289</v>
      </c>
      <c r="W362" s="7" t="str">
        <f>Preencher!$B$3&amp;U362&amp;V362&amp;A362&amp;$W$6</f>
        <v>JARINU-FRG999229MQ.TUNEL DE CG (CONTINUO)</v>
      </c>
      <c r="X362" s="7" t="str">
        <f>Preencher!$B$3&amp;U362&amp;V362&amp;A362&amp;$X$6</f>
        <v>JARINU-FRG999229MQ.TUNEL DE CG (CONTINUO) (1)</v>
      </c>
      <c r="Y362" s="7" t="str">
        <f>Preencher!$B$3&amp;U362&amp;V362&amp;A362&amp;$Y$6</f>
        <v>JARINU-FRG999229MQ.TUNEL DE CG (CONTINUO) (2)</v>
      </c>
      <c r="Z362" s="7" t="str">
        <f>Preencher!$B$3&amp;U362&amp;V362&amp;A362&amp;$Z$6</f>
        <v>JARINU-FRG999229MQ.TUNEL DE CG (CONTINUO) (3)</v>
      </c>
      <c r="AA362" s="7" t="str">
        <f>Preencher!$B$3&amp;U362&amp;V362&amp;A362&amp;$AA$6</f>
        <v>JARINU-FRG999229MQ.TUNEL DE CG (ESTATICO)</v>
      </c>
      <c r="AB362" s="7" t="str">
        <f>Preencher!$B$3&amp;U362&amp;V362&amp;A362&amp;$AB$6</f>
        <v>JARINU-FRG999229MQ.TUNEL DE CG (ESTATICO) (1)</v>
      </c>
      <c r="AC362" s="7" t="str">
        <f>Preencher!$B$3&amp;U362&amp;V362&amp;A362&amp;$AC$6</f>
        <v>JARINU-FRG999229MQ.TUNEL DE CG (ESTATICO) (2)</v>
      </c>
      <c r="AD362" s="327">
        <f>IFERROR(SUMIF('BD Otimix'!A:A,'BD VOLUME'!X362,'BD Otimix'!O:O)+SUMIF('BD Otimix'!A:A,'BD VOLUME'!Y362,'BD Otimix'!O:O)+SUMIF('BD Otimix'!A:A,'BD VOLUME'!Z362,'BD Otimix'!O:O)+SUMIF('BD Otimix'!A:A,'BD VOLUME'!AA362,'BD Otimix'!O:O)+SUMIF('BD Otimix'!A:A,'BD VOLUME'!AB362,'BD Otimix'!O:O)+SUMIF('BD Otimix'!A:A,'BD VOLUME'!AC362,'BD Otimix'!O:O)+SUMIF('BD Otimix'!A:A,'BD VOLUME'!W362,'BD Otimix'!O:O),0)</f>
        <v>0</v>
      </c>
      <c r="AE362" s="327">
        <f t="shared" si="74"/>
        <v>0</v>
      </c>
      <c r="AF362" s="7" t="str">
        <f>Preencher!$B$3&amp;$U$8&amp;$V$8&amp;A362&amp;$AF$6</f>
        <v>JARINU-FRG999229MQ.GIROFREEZER</v>
      </c>
      <c r="AG362" s="7" t="str">
        <f>Preencher!$B$3&amp;$U$8&amp;$V$8&amp;A362&amp;$AG$6</f>
        <v>JARINU-FRG999229MQ.GIROFREEZER (1)</v>
      </c>
      <c r="AH362" s="7" t="str">
        <f>Preencher!$B$3&amp;$U$8&amp;$V$8&amp;A362&amp;$AH$6</f>
        <v>JARINU-FRG999229MQ.GIROFREEZER (2)</v>
      </c>
      <c r="AI362" s="7" t="str">
        <f>Preencher!$B$3&amp;$U$8&amp;$V$8&amp;A362&amp;$AI$6</f>
        <v>JARINU-FRG999229MQ.GIROFREEZER REV04</v>
      </c>
      <c r="AJ362" s="7" t="str">
        <f>Preencher!$B$3&amp;$U$8&amp;$V$8&amp;A362&amp;$AJ$6</f>
        <v>JARINU-FRG999229MQ.GIROFREEZER (3)</v>
      </c>
      <c r="AK362" s="327">
        <f>IFERROR(SUMIF('BD Otimix'!A:A,'BD VOLUME'!AG362,'BD Otimix'!O:O)+SUMIF('BD Otimix'!A:A,'BD VOLUME'!AH362,'BD Otimix'!O:O)+SUMIF('BD Otimix'!A:A,'BD VOLUME'!AI362,'BD Otimix'!O:O)+SUMIF('BD Otimix'!A:A,'BD VOLUME'!AJ362,'BD Otimix'!O:O)+SUMIF('BD Otimix'!A:A,'BD VOLUME'!AF362,'BD Otimix'!O:O),0)</f>
        <v>0</v>
      </c>
      <c r="AL362" s="7">
        <f t="shared" si="75"/>
        <v>0</v>
      </c>
    </row>
    <row r="363" spans="1:38" s="4" customFormat="1" ht="14.25">
      <c r="A363" s="209">
        <v>98558</v>
      </c>
      <c r="B363" s="209" t="s">
        <v>1022</v>
      </c>
      <c r="C363" s="5" t="s">
        <v>1465</v>
      </c>
      <c r="D363" s="5" t="s">
        <v>867</v>
      </c>
      <c r="E363" s="5" t="s">
        <v>1493</v>
      </c>
      <c r="F363" s="132">
        <f>SUMIF('COLAR PLANO'!$A:$A,A363,'COLAR PLANO'!$D:$D)</f>
        <v>0</v>
      </c>
      <c r="G363" s="131">
        <f t="shared" si="79"/>
        <v>0</v>
      </c>
      <c r="H363" s="6">
        <v>0.217</v>
      </c>
      <c r="I363" s="7">
        <f t="shared" si="80"/>
        <v>0</v>
      </c>
      <c r="J363" s="130">
        <f t="shared" si="83"/>
        <v>0</v>
      </c>
      <c r="K363" s="122">
        <v>20</v>
      </c>
      <c r="L363" s="122">
        <v>1</v>
      </c>
      <c r="M363" s="122">
        <v>20</v>
      </c>
      <c r="N363" s="311">
        <f t="shared" si="77"/>
        <v>0</v>
      </c>
      <c r="O363" s="311"/>
      <c r="P363" s="311"/>
      <c r="Q363" s="311"/>
      <c r="R363" s="311"/>
      <c r="S363" s="311">
        <f t="shared" si="84"/>
        <v>0</v>
      </c>
      <c r="T363" s="7"/>
      <c r="U363" s="7" t="s">
        <v>2288</v>
      </c>
      <c r="V363" s="7" t="s">
        <v>2289</v>
      </c>
      <c r="W363" s="7" t="str">
        <f>Preencher!$B$3&amp;U363&amp;V363&amp;A363&amp;$W$6</f>
        <v>JARINU-FRG98558MQ.TUNEL DE CG (CONTINUO)</v>
      </c>
      <c r="X363" s="7" t="str">
        <f>Preencher!$B$3&amp;U363&amp;V363&amp;A363&amp;$X$6</f>
        <v>JARINU-FRG98558MQ.TUNEL DE CG (CONTINUO) (1)</v>
      </c>
      <c r="Y363" s="7" t="str">
        <f>Preencher!$B$3&amp;U363&amp;V363&amp;A363&amp;$Y$6</f>
        <v>JARINU-FRG98558MQ.TUNEL DE CG (CONTINUO) (2)</v>
      </c>
      <c r="Z363" s="7" t="str">
        <f>Preencher!$B$3&amp;U363&amp;V363&amp;A363&amp;$Z$6</f>
        <v>JARINU-FRG98558MQ.TUNEL DE CG (CONTINUO) (3)</v>
      </c>
      <c r="AA363" s="7" t="str">
        <f>Preencher!$B$3&amp;U363&amp;V363&amp;A363&amp;$AA$6</f>
        <v>JARINU-FRG98558MQ.TUNEL DE CG (ESTATICO)</v>
      </c>
      <c r="AB363" s="7" t="str">
        <f>Preencher!$B$3&amp;U363&amp;V363&amp;A363&amp;$AB$6</f>
        <v>JARINU-FRG98558MQ.TUNEL DE CG (ESTATICO) (1)</v>
      </c>
      <c r="AC363" s="7" t="str">
        <f>Preencher!$B$3&amp;U363&amp;V363&amp;A363&amp;$AC$6</f>
        <v>JARINU-FRG98558MQ.TUNEL DE CG (ESTATICO) (2)</v>
      </c>
      <c r="AD363" s="327">
        <f>IFERROR(SUMIF('BD Otimix'!A:A,'BD VOLUME'!X363,'BD Otimix'!O:O)+SUMIF('BD Otimix'!A:A,'BD VOLUME'!Y363,'BD Otimix'!O:O)+SUMIF('BD Otimix'!A:A,'BD VOLUME'!Z363,'BD Otimix'!O:O)+SUMIF('BD Otimix'!A:A,'BD VOLUME'!AA363,'BD Otimix'!O:O)+SUMIF('BD Otimix'!A:A,'BD VOLUME'!AB363,'BD Otimix'!O:O)+SUMIF('BD Otimix'!A:A,'BD VOLUME'!AC363,'BD Otimix'!O:O)+SUMIF('BD Otimix'!A:A,'BD VOLUME'!W363,'BD Otimix'!O:O),0)</f>
        <v>0</v>
      </c>
      <c r="AE363" s="327">
        <f t="shared" si="74"/>
        <v>0</v>
      </c>
      <c r="AF363" s="7" t="str">
        <f>Preencher!$B$3&amp;$U$8&amp;$V$8&amp;A363&amp;$AF$6</f>
        <v>JARINU-FRG98558MQ.GIROFREEZER</v>
      </c>
      <c r="AG363" s="7" t="str">
        <f>Preencher!$B$3&amp;$U$8&amp;$V$8&amp;A363&amp;$AG$6</f>
        <v>JARINU-FRG98558MQ.GIROFREEZER (1)</v>
      </c>
      <c r="AH363" s="7" t="str">
        <f>Preencher!$B$3&amp;$U$8&amp;$V$8&amp;A363&amp;$AH$6</f>
        <v>JARINU-FRG98558MQ.GIROFREEZER (2)</v>
      </c>
      <c r="AI363" s="7" t="str">
        <f>Preencher!$B$3&amp;$U$8&amp;$V$8&amp;A363&amp;$AI$6</f>
        <v>JARINU-FRG98558MQ.GIROFREEZER REV04</v>
      </c>
      <c r="AJ363" s="7" t="str">
        <f>Preencher!$B$3&amp;$U$8&amp;$V$8&amp;A363&amp;$AJ$6</f>
        <v>JARINU-FRG98558MQ.GIROFREEZER (3)</v>
      </c>
      <c r="AK363" s="327">
        <f>IFERROR(SUMIF('BD Otimix'!A:A,'BD VOLUME'!AG363,'BD Otimix'!O:O)+SUMIF('BD Otimix'!A:A,'BD VOLUME'!AH363,'BD Otimix'!O:O)+SUMIF('BD Otimix'!A:A,'BD VOLUME'!AI363,'BD Otimix'!O:O)+SUMIF('BD Otimix'!A:A,'BD VOLUME'!AJ363,'BD Otimix'!O:O)+SUMIF('BD Otimix'!A:A,'BD VOLUME'!AF363,'BD Otimix'!O:O),0)</f>
        <v>0</v>
      </c>
      <c r="AL363" s="7">
        <f t="shared" si="75"/>
        <v>0</v>
      </c>
    </row>
    <row r="364" spans="1:38" s="4" customFormat="1" ht="14.25">
      <c r="A364" s="209">
        <v>961167</v>
      </c>
      <c r="B364" s="209"/>
      <c r="C364" s="5" t="s">
        <v>1468</v>
      </c>
      <c r="D364" s="5" t="s">
        <v>867</v>
      </c>
      <c r="E364" s="5" t="s">
        <v>1493</v>
      </c>
      <c r="F364" s="132">
        <f>SUMIF('COLAR PLANO'!$A:$A,A364,'COLAR PLANO'!$D:$D)</f>
        <v>0</v>
      </c>
      <c r="G364" s="131">
        <f t="shared" si="79"/>
        <v>0</v>
      </c>
      <c r="H364" s="6">
        <v>0.217</v>
      </c>
      <c r="I364" s="7">
        <f t="shared" si="80"/>
        <v>0</v>
      </c>
      <c r="J364" s="130">
        <f t="shared" si="83"/>
        <v>0</v>
      </c>
      <c r="K364" s="122">
        <v>20</v>
      </c>
      <c r="L364" s="122">
        <v>1</v>
      </c>
      <c r="M364" s="122">
        <v>20</v>
      </c>
      <c r="N364" s="311">
        <f t="shared" si="77"/>
        <v>0</v>
      </c>
      <c r="O364" s="311"/>
      <c r="P364" s="311"/>
      <c r="Q364" s="311"/>
      <c r="R364" s="311"/>
      <c r="S364" s="311">
        <f t="shared" si="84"/>
        <v>0</v>
      </c>
      <c r="T364" s="7"/>
      <c r="U364" s="7" t="s">
        <v>2288</v>
      </c>
      <c r="V364" s="7" t="s">
        <v>2289</v>
      </c>
      <c r="W364" s="7" t="str">
        <f>Preencher!$B$3&amp;U364&amp;V364&amp;A364&amp;$W$6</f>
        <v>JARINU-FRG961167MQ.TUNEL DE CG (CONTINUO)</v>
      </c>
      <c r="X364" s="7" t="str">
        <f>Preencher!$B$3&amp;U364&amp;V364&amp;A364&amp;$X$6</f>
        <v>JARINU-FRG961167MQ.TUNEL DE CG (CONTINUO) (1)</v>
      </c>
      <c r="Y364" s="7" t="str">
        <f>Preencher!$B$3&amp;U364&amp;V364&amp;A364&amp;$Y$6</f>
        <v>JARINU-FRG961167MQ.TUNEL DE CG (CONTINUO) (2)</v>
      </c>
      <c r="Z364" s="7" t="str">
        <f>Preencher!$B$3&amp;U364&amp;V364&amp;A364&amp;$Z$6</f>
        <v>JARINU-FRG961167MQ.TUNEL DE CG (CONTINUO) (3)</v>
      </c>
      <c r="AA364" s="7" t="str">
        <f>Preencher!$B$3&amp;U364&amp;V364&amp;A364&amp;$AA$6</f>
        <v>JARINU-FRG961167MQ.TUNEL DE CG (ESTATICO)</v>
      </c>
      <c r="AB364" s="7" t="str">
        <f>Preencher!$B$3&amp;U364&amp;V364&amp;A364&amp;$AB$6</f>
        <v>JARINU-FRG961167MQ.TUNEL DE CG (ESTATICO) (1)</v>
      </c>
      <c r="AC364" s="7" t="str">
        <f>Preencher!$B$3&amp;U364&amp;V364&amp;A364&amp;$AC$6</f>
        <v>JARINU-FRG961167MQ.TUNEL DE CG (ESTATICO) (2)</v>
      </c>
      <c r="AD364" s="327">
        <f>IFERROR(SUMIF('BD Otimix'!A:A,'BD VOLUME'!X364,'BD Otimix'!O:O)+SUMIF('BD Otimix'!A:A,'BD VOLUME'!Y364,'BD Otimix'!O:O)+SUMIF('BD Otimix'!A:A,'BD VOLUME'!Z364,'BD Otimix'!O:O)+SUMIF('BD Otimix'!A:A,'BD VOLUME'!AA364,'BD Otimix'!O:O)+SUMIF('BD Otimix'!A:A,'BD VOLUME'!AB364,'BD Otimix'!O:O)+SUMIF('BD Otimix'!A:A,'BD VOLUME'!AC364,'BD Otimix'!O:O)+SUMIF('BD Otimix'!A:A,'BD VOLUME'!W364,'BD Otimix'!O:O),0)</f>
        <v>0</v>
      </c>
      <c r="AE364" s="327">
        <f t="shared" si="74"/>
        <v>0</v>
      </c>
      <c r="AF364" s="7" t="str">
        <f>Preencher!$B$3&amp;$U$8&amp;$V$8&amp;A364&amp;$AF$6</f>
        <v>JARINU-FRG961167MQ.GIROFREEZER</v>
      </c>
      <c r="AG364" s="7" t="str">
        <f>Preencher!$B$3&amp;$U$8&amp;$V$8&amp;A364&amp;$AG$6</f>
        <v>JARINU-FRG961167MQ.GIROFREEZER (1)</v>
      </c>
      <c r="AH364" s="7" t="str">
        <f>Preencher!$B$3&amp;$U$8&amp;$V$8&amp;A364&amp;$AH$6</f>
        <v>JARINU-FRG961167MQ.GIROFREEZER (2)</v>
      </c>
      <c r="AI364" s="7" t="str">
        <f>Preencher!$B$3&amp;$U$8&amp;$V$8&amp;A364&amp;$AI$6</f>
        <v>JARINU-FRG961167MQ.GIROFREEZER REV04</v>
      </c>
      <c r="AJ364" s="7" t="str">
        <f>Preencher!$B$3&amp;$U$8&amp;$V$8&amp;A364&amp;$AJ$6</f>
        <v>JARINU-FRG961167MQ.GIROFREEZER (3)</v>
      </c>
      <c r="AK364" s="327">
        <f>IFERROR(SUMIF('BD Otimix'!A:A,'BD VOLUME'!AG364,'BD Otimix'!O:O)+SUMIF('BD Otimix'!A:A,'BD VOLUME'!AH364,'BD Otimix'!O:O)+SUMIF('BD Otimix'!A:A,'BD VOLUME'!AI364,'BD Otimix'!O:O)+SUMIF('BD Otimix'!A:A,'BD VOLUME'!AJ364,'BD Otimix'!O:O)+SUMIF('BD Otimix'!A:A,'BD VOLUME'!AF364,'BD Otimix'!O:O),0)</f>
        <v>0</v>
      </c>
      <c r="AL364" s="7">
        <f t="shared" si="75"/>
        <v>0</v>
      </c>
    </row>
    <row r="365" spans="1:38" s="4" customFormat="1" ht="14.25">
      <c r="A365" s="209">
        <v>15342</v>
      </c>
      <c r="B365" s="209" t="s">
        <v>1022</v>
      </c>
      <c r="C365" s="5" t="s">
        <v>1462</v>
      </c>
      <c r="D365" s="5" t="s">
        <v>867</v>
      </c>
      <c r="E365" s="5" t="s">
        <v>1495</v>
      </c>
      <c r="F365" s="132">
        <f>SUMIF('COLAR PLANO'!$A:$A,A365,'COLAR PLANO'!$D:$D)</f>
        <v>0</v>
      </c>
      <c r="G365" s="131">
        <f t="shared" si="79"/>
        <v>0</v>
      </c>
      <c r="H365" s="6">
        <v>0.217</v>
      </c>
      <c r="I365" s="7">
        <f t="shared" si="80"/>
        <v>0</v>
      </c>
      <c r="J365" s="130">
        <f t="shared" si="83"/>
        <v>0</v>
      </c>
      <c r="K365" s="122">
        <v>20</v>
      </c>
      <c r="L365" s="122">
        <v>1</v>
      </c>
      <c r="M365" s="122">
        <v>20</v>
      </c>
      <c r="N365" s="311">
        <f t="shared" si="77"/>
        <v>0</v>
      </c>
      <c r="O365" s="311"/>
      <c r="P365" s="311"/>
      <c r="Q365" s="311"/>
      <c r="R365" s="311"/>
      <c r="S365" s="311">
        <f t="shared" si="84"/>
        <v>0</v>
      </c>
      <c r="T365" s="7"/>
      <c r="U365" s="7" t="s">
        <v>2288</v>
      </c>
      <c r="V365" s="7" t="s">
        <v>2289</v>
      </c>
      <c r="W365" s="7" t="str">
        <f>Preencher!$B$3&amp;U365&amp;V365&amp;A365&amp;$W$6</f>
        <v>JARINU-FRG15342MQ.TUNEL DE CG (CONTINUO)</v>
      </c>
      <c r="X365" s="7" t="str">
        <f>Preencher!$B$3&amp;U365&amp;V365&amp;A365&amp;$X$6</f>
        <v>JARINU-FRG15342MQ.TUNEL DE CG (CONTINUO) (1)</v>
      </c>
      <c r="Y365" s="7" t="str">
        <f>Preencher!$B$3&amp;U365&amp;V365&amp;A365&amp;$Y$6</f>
        <v>JARINU-FRG15342MQ.TUNEL DE CG (CONTINUO) (2)</v>
      </c>
      <c r="Z365" s="7" t="str">
        <f>Preencher!$B$3&amp;U365&amp;V365&amp;A365&amp;$Z$6</f>
        <v>JARINU-FRG15342MQ.TUNEL DE CG (CONTINUO) (3)</v>
      </c>
      <c r="AA365" s="7" t="str">
        <f>Preencher!$B$3&amp;U365&amp;V365&amp;A365&amp;$AA$6</f>
        <v>JARINU-FRG15342MQ.TUNEL DE CG (ESTATICO)</v>
      </c>
      <c r="AB365" s="7" t="str">
        <f>Preencher!$B$3&amp;U365&amp;V365&amp;A365&amp;$AB$6</f>
        <v>JARINU-FRG15342MQ.TUNEL DE CG (ESTATICO) (1)</v>
      </c>
      <c r="AC365" s="7" t="str">
        <f>Preencher!$B$3&amp;U365&amp;V365&amp;A365&amp;$AC$6</f>
        <v>JARINU-FRG15342MQ.TUNEL DE CG (ESTATICO) (2)</v>
      </c>
      <c r="AD365" s="327">
        <f>IFERROR(SUMIF('BD Otimix'!A:A,'BD VOLUME'!X365,'BD Otimix'!O:O)+SUMIF('BD Otimix'!A:A,'BD VOLUME'!Y365,'BD Otimix'!O:O)+SUMIF('BD Otimix'!A:A,'BD VOLUME'!Z365,'BD Otimix'!O:O)+SUMIF('BD Otimix'!A:A,'BD VOLUME'!AA365,'BD Otimix'!O:O)+SUMIF('BD Otimix'!A:A,'BD VOLUME'!AB365,'BD Otimix'!O:O)+SUMIF('BD Otimix'!A:A,'BD VOLUME'!AC365,'BD Otimix'!O:O)+SUMIF('BD Otimix'!A:A,'BD VOLUME'!W365,'BD Otimix'!O:O),0)</f>
        <v>0</v>
      </c>
      <c r="AE365" s="327">
        <f t="shared" si="74"/>
        <v>0</v>
      </c>
      <c r="AF365" s="7" t="str">
        <f>Preencher!$B$3&amp;$U$8&amp;$V$8&amp;A365&amp;$AF$6</f>
        <v>JARINU-FRG15342MQ.GIROFREEZER</v>
      </c>
      <c r="AG365" s="7" t="str">
        <f>Preencher!$B$3&amp;$U$8&amp;$V$8&amp;A365&amp;$AG$6</f>
        <v>JARINU-FRG15342MQ.GIROFREEZER (1)</v>
      </c>
      <c r="AH365" s="7" t="str">
        <f>Preencher!$B$3&amp;$U$8&amp;$V$8&amp;A365&amp;$AH$6</f>
        <v>JARINU-FRG15342MQ.GIROFREEZER (2)</v>
      </c>
      <c r="AI365" s="7" t="str">
        <f>Preencher!$B$3&amp;$U$8&amp;$V$8&amp;A365&amp;$AI$6</f>
        <v>JARINU-FRG15342MQ.GIROFREEZER REV04</v>
      </c>
      <c r="AJ365" s="7" t="str">
        <f>Preencher!$B$3&amp;$U$8&amp;$V$8&amp;A365&amp;$AJ$6</f>
        <v>JARINU-FRG15342MQ.GIROFREEZER (3)</v>
      </c>
      <c r="AK365" s="327">
        <f>IFERROR(SUMIF('BD Otimix'!A:A,'BD VOLUME'!AG365,'BD Otimix'!O:O)+SUMIF('BD Otimix'!A:A,'BD VOLUME'!AH365,'BD Otimix'!O:O)+SUMIF('BD Otimix'!A:A,'BD VOLUME'!AI365,'BD Otimix'!O:O)+SUMIF('BD Otimix'!A:A,'BD VOLUME'!AJ365,'BD Otimix'!O:O)+SUMIF('BD Otimix'!A:A,'BD VOLUME'!AF365,'BD Otimix'!O:O),0)</f>
        <v>0</v>
      </c>
      <c r="AL365" s="7">
        <f t="shared" si="75"/>
        <v>0</v>
      </c>
    </row>
    <row r="366" spans="1:38" s="4" customFormat="1" ht="14.25">
      <c r="A366" s="209">
        <v>15636</v>
      </c>
      <c r="B366" s="209"/>
      <c r="C366" s="5" t="s">
        <v>1463</v>
      </c>
      <c r="D366" s="5" t="s">
        <v>867</v>
      </c>
      <c r="E366" s="5" t="s">
        <v>1495</v>
      </c>
      <c r="F366" s="132">
        <f>SUMIF('COLAR PLANO'!$A:$A,A366,'COLAR PLANO'!$D:$D)</f>
        <v>0</v>
      </c>
      <c r="G366" s="131">
        <f t="shared" si="79"/>
        <v>0</v>
      </c>
      <c r="H366" s="6">
        <v>0.217</v>
      </c>
      <c r="I366" s="7">
        <f t="shared" si="80"/>
        <v>0</v>
      </c>
      <c r="J366" s="130">
        <f t="shared" si="83"/>
        <v>0</v>
      </c>
      <c r="K366" s="122">
        <v>20</v>
      </c>
      <c r="L366" s="122">
        <v>1</v>
      </c>
      <c r="M366" s="122">
        <v>20</v>
      </c>
      <c r="N366" s="311">
        <f t="shared" si="77"/>
        <v>0</v>
      </c>
      <c r="O366" s="311"/>
      <c r="P366" s="311"/>
      <c r="Q366" s="311"/>
      <c r="R366" s="311"/>
      <c r="S366" s="311">
        <f t="shared" si="84"/>
        <v>0</v>
      </c>
      <c r="T366" s="7"/>
      <c r="U366" s="7" t="s">
        <v>2288</v>
      </c>
      <c r="V366" s="7" t="s">
        <v>2289</v>
      </c>
      <c r="W366" s="7" t="str">
        <f>Preencher!$B$3&amp;U366&amp;V366&amp;A366&amp;$W$6</f>
        <v>JARINU-FRG15636MQ.TUNEL DE CG (CONTINUO)</v>
      </c>
      <c r="X366" s="7" t="str">
        <f>Preencher!$B$3&amp;U366&amp;V366&amp;A366&amp;$X$6</f>
        <v>JARINU-FRG15636MQ.TUNEL DE CG (CONTINUO) (1)</v>
      </c>
      <c r="Y366" s="7" t="str">
        <f>Preencher!$B$3&amp;U366&amp;V366&amp;A366&amp;$Y$6</f>
        <v>JARINU-FRG15636MQ.TUNEL DE CG (CONTINUO) (2)</v>
      </c>
      <c r="Z366" s="7" t="str">
        <f>Preencher!$B$3&amp;U366&amp;V366&amp;A366&amp;$Z$6</f>
        <v>JARINU-FRG15636MQ.TUNEL DE CG (CONTINUO) (3)</v>
      </c>
      <c r="AA366" s="7" t="str">
        <f>Preencher!$B$3&amp;U366&amp;V366&amp;A366&amp;$AA$6</f>
        <v>JARINU-FRG15636MQ.TUNEL DE CG (ESTATICO)</v>
      </c>
      <c r="AB366" s="7" t="str">
        <f>Preencher!$B$3&amp;U366&amp;V366&amp;A366&amp;$AB$6</f>
        <v>JARINU-FRG15636MQ.TUNEL DE CG (ESTATICO) (1)</v>
      </c>
      <c r="AC366" s="7" t="str">
        <f>Preencher!$B$3&amp;U366&amp;V366&amp;A366&amp;$AC$6</f>
        <v>JARINU-FRG15636MQ.TUNEL DE CG (ESTATICO) (2)</v>
      </c>
      <c r="AD366" s="327">
        <f>IFERROR(SUMIF('BD Otimix'!A:A,'BD VOLUME'!X366,'BD Otimix'!O:O)+SUMIF('BD Otimix'!A:A,'BD VOLUME'!Y366,'BD Otimix'!O:O)+SUMIF('BD Otimix'!A:A,'BD VOLUME'!Z366,'BD Otimix'!O:O)+SUMIF('BD Otimix'!A:A,'BD VOLUME'!AA366,'BD Otimix'!O:O)+SUMIF('BD Otimix'!A:A,'BD VOLUME'!AB366,'BD Otimix'!O:O)+SUMIF('BD Otimix'!A:A,'BD VOLUME'!AC366,'BD Otimix'!O:O)+SUMIF('BD Otimix'!A:A,'BD VOLUME'!W366,'BD Otimix'!O:O),0)</f>
        <v>0</v>
      </c>
      <c r="AE366" s="327">
        <f t="shared" si="74"/>
        <v>0</v>
      </c>
      <c r="AF366" s="7" t="str">
        <f>Preencher!$B$3&amp;$U$8&amp;$V$8&amp;A366&amp;$AF$6</f>
        <v>JARINU-FRG15636MQ.GIROFREEZER</v>
      </c>
      <c r="AG366" s="7" t="str">
        <f>Preencher!$B$3&amp;$U$8&amp;$V$8&amp;A366&amp;$AG$6</f>
        <v>JARINU-FRG15636MQ.GIROFREEZER (1)</v>
      </c>
      <c r="AH366" s="7" t="str">
        <f>Preencher!$B$3&amp;$U$8&amp;$V$8&amp;A366&amp;$AH$6</f>
        <v>JARINU-FRG15636MQ.GIROFREEZER (2)</v>
      </c>
      <c r="AI366" s="7" t="str">
        <f>Preencher!$B$3&amp;$U$8&amp;$V$8&amp;A366&amp;$AI$6</f>
        <v>JARINU-FRG15636MQ.GIROFREEZER REV04</v>
      </c>
      <c r="AJ366" s="7" t="str">
        <f>Preencher!$B$3&amp;$U$8&amp;$V$8&amp;A366&amp;$AJ$6</f>
        <v>JARINU-FRG15636MQ.GIROFREEZER (3)</v>
      </c>
      <c r="AK366" s="327">
        <f>IFERROR(SUMIF('BD Otimix'!A:A,'BD VOLUME'!AG366,'BD Otimix'!O:O)+SUMIF('BD Otimix'!A:A,'BD VOLUME'!AH366,'BD Otimix'!O:O)+SUMIF('BD Otimix'!A:A,'BD VOLUME'!AI366,'BD Otimix'!O:O)+SUMIF('BD Otimix'!A:A,'BD VOLUME'!AJ366,'BD Otimix'!O:O)+SUMIF('BD Otimix'!A:A,'BD VOLUME'!AF366,'BD Otimix'!O:O),0)</f>
        <v>0</v>
      </c>
      <c r="AL366" s="7">
        <f t="shared" si="75"/>
        <v>0</v>
      </c>
    </row>
    <row r="367" spans="1:38" s="4" customFormat="1" ht="14.25">
      <c r="A367" s="209">
        <v>94854</v>
      </c>
      <c r="B367" s="209"/>
      <c r="C367" s="5" t="s">
        <v>1464</v>
      </c>
      <c r="D367" s="5" t="s">
        <v>867</v>
      </c>
      <c r="E367" s="5" t="s">
        <v>1495</v>
      </c>
      <c r="F367" s="132">
        <f>SUMIF('COLAR PLANO'!$A:$A,A367,'COLAR PLANO'!$D:$D)</f>
        <v>0</v>
      </c>
      <c r="G367" s="131">
        <f t="shared" si="79"/>
        <v>0</v>
      </c>
      <c r="H367" s="6">
        <v>0.217</v>
      </c>
      <c r="I367" s="7">
        <f t="shared" si="80"/>
        <v>0</v>
      </c>
      <c r="J367" s="130">
        <f t="shared" si="83"/>
        <v>0</v>
      </c>
      <c r="K367" s="122">
        <v>20</v>
      </c>
      <c r="L367" s="122">
        <v>1</v>
      </c>
      <c r="M367" s="122">
        <v>20</v>
      </c>
      <c r="N367" s="311">
        <f t="shared" si="77"/>
        <v>0</v>
      </c>
      <c r="O367" s="311"/>
      <c r="P367" s="311"/>
      <c r="Q367" s="311"/>
      <c r="R367" s="311"/>
      <c r="S367" s="311">
        <f t="shared" si="84"/>
        <v>0</v>
      </c>
      <c r="T367" s="7"/>
      <c r="U367" s="7" t="s">
        <v>2288</v>
      </c>
      <c r="V367" s="7" t="s">
        <v>2289</v>
      </c>
      <c r="W367" s="7" t="str">
        <f>Preencher!$B$3&amp;U367&amp;V367&amp;A367&amp;$W$6</f>
        <v>JARINU-FRG94854MQ.TUNEL DE CG (CONTINUO)</v>
      </c>
      <c r="X367" s="7" t="str">
        <f>Preencher!$B$3&amp;U367&amp;V367&amp;A367&amp;$X$6</f>
        <v>JARINU-FRG94854MQ.TUNEL DE CG (CONTINUO) (1)</v>
      </c>
      <c r="Y367" s="7" t="str">
        <f>Preencher!$B$3&amp;U367&amp;V367&amp;A367&amp;$Y$6</f>
        <v>JARINU-FRG94854MQ.TUNEL DE CG (CONTINUO) (2)</v>
      </c>
      <c r="Z367" s="7" t="str">
        <f>Preencher!$B$3&amp;U367&amp;V367&amp;A367&amp;$Z$6</f>
        <v>JARINU-FRG94854MQ.TUNEL DE CG (CONTINUO) (3)</v>
      </c>
      <c r="AA367" s="7" t="str">
        <f>Preencher!$B$3&amp;U367&amp;V367&amp;A367&amp;$AA$6</f>
        <v>JARINU-FRG94854MQ.TUNEL DE CG (ESTATICO)</v>
      </c>
      <c r="AB367" s="7" t="str">
        <f>Preencher!$B$3&amp;U367&amp;V367&amp;A367&amp;$AB$6</f>
        <v>JARINU-FRG94854MQ.TUNEL DE CG (ESTATICO) (1)</v>
      </c>
      <c r="AC367" s="7" t="str">
        <f>Preencher!$B$3&amp;U367&amp;V367&amp;A367&amp;$AC$6</f>
        <v>JARINU-FRG94854MQ.TUNEL DE CG (ESTATICO) (2)</v>
      </c>
      <c r="AD367" s="327">
        <f>IFERROR(SUMIF('BD Otimix'!A:A,'BD VOLUME'!X367,'BD Otimix'!O:O)+SUMIF('BD Otimix'!A:A,'BD VOLUME'!Y367,'BD Otimix'!O:O)+SUMIF('BD Otimix'!A:A,'BD VOLUME'!Z367,'BD Otimix'!O:O)+SUMIF('BD Otimix'!A:A,'BD VOLUME'!AA367,'BD Otimix'!O:O)+SUMIF('BD Otimix'!A:A,'BD VOLUME'!AB367,'BD Otimix'!O:O)+SUMIF('BD Otimix'!A:A,'BD VOLUME'!AC367,'BD Otimix'!O:O)+SUMIF('BD Otimix'!A:A,'BD VOLUME'!W367,'BD Otimix'!O:O),0)</f>
        <v>0</v>
      </c>
      <c r="AE367" s="327">
        <f t="shared" si="74"/>
        <v>0</v>
      </c>
      <c r="AF367" s="7" t="str">
        <f>Preencher!$B$3&amp;$U$8&amp;$V$8&amp;A367&amp;$AF$6</f>
        <v>JARINU-FRG94854MQ.GIROFREEZER</v>
      </c>
      <c r="AG367" s="7" t="str">
        <f>Preencher!$B$3&amp;$U$8&amp;$V$8&amp;A367&amp;$AG$6</f>
        <v>JARINU-FRG94854MQ.GIROFREEZER (1)</v>
      </c>
      <c r="AH367" s="7" t="str">
        <f>Preencher!$B$3&amp;$U$8&amp;$V$8&amp;A367&amp;$AH$6</f>
        <v>JARINU-FRG94854MQ.GIROFREEZER (2)</v>
      </c>
      <c r="AI367" s="7" t="str">
        <f>Preencher!$B$3&amp;$U$8&amp;$V$8&amp;A367&amp;$AI$6</f>
        <v>JARINU-FRG94854MQ.GIROFREEZER REV04</v>
      </c>
      <c r="AJ367" s="7" t="str">
        <f>Preencher!$B$3&amp;$U$8&amp;$V$8&amp;A367&amp;$AJ$6</f>
        <v>JARINU-FRG94854MQ.GIROFREEZER (3)</v>
      </c>
      <c r="AK367" s="327">
        <f>IFERROR(SUMIF('BD Otimix'!A:A,'BD VOLUME'!AG367,'BD Otimix'!O:O)+SUMIF('BD Otimix'!A:A,'BD VOLUME'!AH367,'BD Otimix'!O:O)+SUMIF('BD Otimix'!A:A,'BD VOLUME'!AI367,'BD Otimix'!O:O)+SUMIF('BD Otimix'!A:A,'BD VOLUME'!AJ367,'BD Otimix'!O:O)+SUMIF('BD Otimix'!A:A,'BD VOLUME'!AF367,'BD Otimix'!O:O),0)</f>
        <v>0</v>
      </c>
      <c r="AL367" s="7">
        <f t="shared" si="75"/>
        <v>0</v>
      </c>
    </row>
    <row r="368" spans="1:38" s="4" customFormat="1" ht="14.25">
      <c r="A368" s="209">
        <v>650145</v>
      </c>
      <c r="B368" s="209" t="s">
        <v>1022</v>
      </c>
      <c r="C368" s="5" t="s">
        <v>1458</v>
      </c>
      <c r="D368" s="5" t="s">
        <v>867</v>
      </c>
      <c r="E368" s="5" t="s">
        <v>1525</v>
      </c>
      <c r="F368" s="132">
        <f>SUMIF('COLAR PLANO'!$A:$A,A368,'COLAR PLANO'!$D:$D)</f>
        <v>0</v>
      </c>
      <c r="G368" s="131">
        <f t="shared" si="79"/>
        <v>0</v>
      </c>
      <c r="H368" s="6">
        <v>0.14599999999999999</v>
      </c>
      <c r="I368" s="7">
        <f t="shared" si="80"/>
        <v>0</v>
      </c>
      <c r="J368" s="130">
        <f t="shared" si="83"/>
        <v>0</v>
      </c>
      <c r="K368" s="122">
        <v>20</v>
      </c>
      <c r="L368" s="122">
        <v>1</v>
      </c>
      <c r="M368" s="122">
        <v>20</v>
      </c>
      <c r="N368" s="311">
        <f t="shared" si="77"/>
        <v>0</v>
      </c>
      <c r="O368" s="311"/>
      <c r="P368" s="311"/>
      <c r="Q368" s="311"/>
      <c r="R368" s="311"/>
      <c r="S368" s="311">
        <f t="shared" si="84"/>
        <v>0</v>
      </c>
      <c r="T368" s="7"/>
      <c r="U368" s="7" t="s">
        <v>2288</v>
      </c>
      <c r="V368" s="7" t="s">
        <v>2289</v>
      </c>
      <c r="W368" s="7" t="str">
        <f>Preencher!$B$3&amp;U368&amp;V368&amp;A368&amp;$W$6</f>
        <v>JARINU-FRG650145MQ.TUNEL DE CG (CONTINUO)</v>
      </c>
      <c r="X368" s="7" t="str">
        <f>Preencher!$B$3&amp;U368&amp;V368&amp;A368&amp;$X$6</f>
        <v>JARINU-FRG650145MQ.TUNEL DE CG (CONTINUO) (1)</v>
      </c>
      <c r="Y368" s="7" t="str">
        <f>Preencher!$B$3&amp;U368&amp;V368&amp;A368&amp;$Y$6</f>
        <v>JARINU-FRG650145MQ.TUNEL DE CG (CONTINUO) (2)</v>
      </c>
      <c r="Z368" s="7" t="str">
        <f>Preencher!$B$3&amp;U368&amp;V368&amp;A368&amp;$Z$6</f>
        <v>JARINU-FRG650145MQ.TUNEL DE CG (CONTINUO) (3)</v>
      </c>
      <c r="AA368" s="7" t="str">
        <f>Preencher!$B$3&amp;U368&amp;V368&amp;A368&amp;$AA$6</f>
        <v>JARINU-FRG650145MQ.TUNEL DE CG (ESTATICO)</v>
      </c>
      <c r="AB368" s="7" t="str">
        <f>Preencher!$B$3&amp;U368&amp;V368&amp;A368&amp;$AB$6</f>
        <v>JARINU-FRG650145MQ.TUNEL DE CG (ESTATICO) (1)</v>
      </c>
      <c r="AC368" s="7" t="str">
        <f>Preencher!$B$3&amp;U368&amp;V368&amp;A368&amp;$AC$6</f>
        <v>JARINU-FRG650145MQ.TUNEL DE CG (ESTATICO) (2)</v>
      </c>
      <c r="AD368" s="327">
        <f>IFERROR(SUMIF('BD Otimix'!A:A,'BD VOLUME'!X368,'BD Otimix'!O:O)+SUMIF('BD Otimix'!A:A,'BD VOLUME'!Y368,'BD Otimix'!O:O)+SUMIF('BD Otimix'!A:A,'BD VOLUME'!Z368,'BD Otimix'!O:O)+SUMIF('BD Otimix'!A:A,'BD VOLUME'!AA368,'BD Otimix'!O:O)+SUMIF('BD Otimix'!A:A,'BD VOLUME'!AB368,'BD Otimix'!O:O)+SUMIF('BD Otimix'!A:A,'BD VOLUME'!AC368,'BD Otimix'!O:O)+SUMIF('BD Otimix'!A:A,'BD VOLUME'!W368,'BD Otimix'!O:O),0)</f>
        <v>0</v>
      </c>
      <c r="AE368" s="327">
        <f t="shared" si="74"/>
        <v>0</v>
      </c>
      <c r="AF368" s="7" t="str">
        <f>Preencher!$B$3&amp;$U$8&amp;$V$8&amp;A368&amp;$AF$6</f>
        <v>JARINU-FRG650145MQ.GIROFREEZER</v>
      </c>
      <c r="AG368" s="7" t="str">
        <f>Preencher!$B$3&amp;$U$8&amp;$V$8&amp;A368&amp;$AG$6</f>
        <v>JARINU-FRG650145MQ.GIROFREEZER (1)</v>
      </c>
      <c r="AH368" s="7" t="str">
        <f>Preencher!$B$3&amp;$U$8&amp;$V$8&amp;A368&amp;$AH$6</f>
        <v>JARINU-FRG650145MQ.GIROFREEZER (2)</v>
      </c>
      <c r="AI368" s="7" t="str">
        <f>Preencher!$B$3&amp;$U$8&amp;$V$8&amp;A368&amp;$AI$6</f>
        <v>JARINU-FRG650145MQ.GIROFREEZER REV04</v>
      </c>
      <c r="AJ368" s="7" t="str">
        <f>Preencher!$B$3&amp;$U$8&amp;$V$8&amp;A368&amp;$AJ$6</f>
        <v>JARINU-FRG650145MQ.GIROFREEZER (3)</v>
      </c>
      <c r="AK368" s="327">
        <f>IFERROR(SUMIF('BD Otimix'!A:A,'BD VOLUME'!AG368,'BD Otimix'!O:O)+SUMIF('BD Otimix'!A:A,'BD VOLUME'!AH368,'BD Otimix'!O:O)+SUMIF('BD Otimix'!A:A,'BD VOLUME'!AI368,'BD Otimix'!O:O)+SUMIF('BD Otimix'!A:A,'BD VOLUME'!AJ368,'BD Otimix'!O:O)+SUMIF('BD Otimix'!A:A,'BD VOLUME'!AF368,'BD Otimix'!O:O),0)</f>
        <v>0</v>
      </c>
      <c r="AL368" s="7">
        <f t="shared" si="75"/>
        <v>0</v>
      </c>
    </row>
    <row r="369" spans="1:38" s="4" customFormat="1" ht="14.25">
      <c r="A369" s="203">
        <v>47910</v>
      </c>
      <c r="B369" s="203"/>
      <c r="C369" s="5" t="s">
        <v>1496</v>
      </c>
      <c r="D369" s="5" t="s">
        <v>867</v>
      </c>
      <c r="E369" s="5" t="s">
        <v>1524</v>
      </c>
      <c r="F369" s="132">
        <f>SUMIF('COLAR PLANO'!$A:$A,A369,'COLAR PLANO'!$D:$D)</f>
        <v>0</v>
      </c>
      <c r="G369" s="131">
        <f t="shared" si="79"/>
        <v>0</v>
      </c>
      <c r="H369" s="6">
        <v>7.2280701754385959E-2</v>
      </c>
      <c r="I369" s="7">
        <f t="shared" si="80"/>
        <v>0</v>
      </c>
      <c r="J369" s="130">
        <f t="shared" si="83"/>
        <v>0</v>
      </c>
      <c r="K369" s="122">
        <v>10</v>
      </c>
      <c r="L369" s="122">
        <v>1</v>
      </c>
      <c r="M369" s="122">
        <v>10</v>
      </c>
      <c r="N369" s="311">
        <f t="shared" si="77"/>
        <v>0</v>
      </c>
      <c r="O369" s="311"/>
      <c r="P369" s="311"/>
      <c r="Q369" s="311"/>
      <c r="R369" s="311"/>
      <c r="S369" s="311">
        <f t="shared" si="84"/>
        <v>0</v>
      </c>
      <c r="T369" s="7"/>
      <c r="U369" s="7" t="s">
        <v>2288</v>
      </c>
      <c r="V369" s="7" t="s">
        <v>2289</v>
      </c>
      <c r="W369" s="7" t="str">
        <f>Preencher!$B$3&amp;U369&amp;V369&amp;A369&amp;$W$6</f>
        <v>JARINU-FRG47910MQ.TUNEL DE CG (CONTINUO)</v>
      </c>
      <c r="X369" s="7" t="str">
        <f>Preencher!$B$3&amp;U369&amp;V369&amp;A369&amp;$X$6</f>
        <v>JARINU-FRG47910MQ.TUNEL DE CG (CONTINUO) (1)</v>
      </c>
      <c r="Y369" s="7" t="str">
        <f>Preencher!$B$3&amp;U369&amp;V369&amp;A369&amp;$Y$6</f>
        <v>JARINU-FRG47910MQ.TUNEL DE CG (CONTINUO) (2)</v>
      </c>
      <c r="Z369" s="7" t="str">
        <f>Preencher!$B$3&amp;U369&amp;V369&amp;A369&amp;$Z$6</f>
        <v>JARINU-FRG47910MQ.TUNEL DE CG (CONTINUO) (3)</v>
      </c>
      <c r="AA369" s="7" t="str">
        <f>Preencher!$B$3&amp;U369&amp;V369&amp;A369&amp;$AA$6</f>
        <v>JARINU-FRG47910MQ.TUNEL DE CG (ESTATICO)</v>
      </c>
      <c r="AB369" s="7" t="str">
        <f>Preencher!$B$3&amp;U369&amp;V369&amp;A369&amp;$AB$6</f>
        <v>JARINU-FRG47910MQ.TUNEL DE CG (ESTATICO) (1)</v>
      </c>
      <c r="AC369" s="7" t="str">
        <f>Preencher!$B$3&amp;U369&amp;V369&amp;A369&amp;$AC$6</f>
        <v>JARINU-FRG47910MQ.TUNEL DE CG (ESTATICO) (2)</v>
      </c>
      <c r="AD369" s="327">
        <f>IFERROR(SUMIF('BD Otimix'!A:A,'BD VOLUME'!X369,'BD Otimix'!O:O)+SUMIF('BD Otimix'!A:A,'BD VOLUME'!Y369,'BD Otimix'!O:O)+SUMIF('BD Otimix'!A:A,'BD VOLUME'!Z369,'BD Otimix'!O:O)+SUMIF('BD Otimix'!A:A,'BD VOLUME'!AA369,'BD Otimix'!O:O)+SUMIF('BD Otimix'!A:A,'BD VOLUME'!AB369,'BD Otimix'!O:O)+SUMIF('BD Otimix'!A:A,'BD VOLUME'!AC369,'BD Otimix'!O:O)+SUMIF('BD Otimix'!A:A,'BD VOLUME'!W369,'BD Otimix'!O:O),0)</f>
        <v>0</v>
      </c>
      <c r="AE369" s="327">
        <f t="shared" si="74"/>
        <v>0</v>
      </c>
      <c r="AF369" s="7" t="str">
        <f>Preencher!$B$3&amp;$U$8&amp;$V$8&amp;A369&amp;$AF$6</f>
        <v>JARINU-FRG47910MQ.GIROFREEZER</v>
      </c>
      <c r="AG369" s="7" t="str">
        <f>Preencher!$B$3&amp;$U$8&amp;$V$8&amp;A369&amp;$AG$6</f>
        <v>JARINU-FRG47910MQ.GIROFREEZER (1)</v>
      </c>
      <c r="AH369" s="7" t="str">
        <f>Preencher!$B$3&amp;$U$8&amp;$V$8&amp;A369&amp;$AH$6</f>
        <v>JARINU-FRG47910MQ.GIROFREEZER (2)</v>
      </c>
      <c r="AI369" s="7" t="str">
        <f>Preencher!$B$3&amp;$U$8&amp;$V$8&amp;A369&amp;$AI$6</f>
        <v>JARINU-FRG47910MQ.GIROFREEZER REV04</v>
      </c>
      <c r="AJ369" s="7" t="str">
        <f>Preencher!$B$3&amp;$U$8&amp;$V$8&amp;A369&amp;$AJ$6</f>
        <v>JARINU-FRG47910MQ.GIROFREEZER (3)</v>
      </c>
      <c r="AK369" s="327">
        <f>IFERROR(SUMIF('BD Otimix'!A:A,'BD VOLUME'!AG369,'BD Otimix'!O:O)+SUMIF('BD Otimix'!A:A,'BD VOLUME'!AH369,'BD Otimix'!O:O)+SUMIF('BD Otimix'!A:A,'BD VOLUME'!AI369,'BD Otimix'!O:O)+SUMIF('BD Otimix'!A:A,'BD VOLUME'!AJ369,'BD Otimix'!O:O)+SUMIF('BD Otimix'!A:A,'BD VOLUME'!AF369,'BD Otimix'!O:O),0)</f>
        <v>0</v>
      </c>
      <c r="AL369" s="7">
        <f t="shared" si="75"/>
        <v>0</v>
      </c>
    </row>
    <row r="370" spans="1:38" s="4" customFormat="1" ht="14.25">
      <c r="A370" s="203">
        <v>99350</v>
      </c>
      <c r="B370" s="203"/>
      <c r="C370" s="5" t="s">
        <v>1466</v>
      </c>
      <c r="D370" s="5" t="s">
        <v>867</v>
      </c>
      <c r="E370" s="5" t="s">
        <v>1524</v>
      </c>
      <c r="F370" s="132">
        <f>SUMIF('COLAR PLANO'!$A:$A,A370,'COLAR PLANO'!$D:$D)</f>
        <v>0</v>
      </c>
      <c r="G370" s="131">
        <f t="shared" si="79"/>
        <v>0</v>
      </c>
      <c r="H370" s="6">
        <v>7.2280701754385959E-2</v>
      </c>
      <c r="I370" s="7">
        <f t="shared" si="80"/>
        <v>0</v>
      </c>
      <c r="J370" s="130">
        <f t="shared" si="83"/>
        <v>0</v>
      </c>
      <c r="K370" s="122">
        <v>20</v>
      </c>
      <c r="L370" s="122">
        <v>1</v>
      </c>
      <c r="M370" s="122">
        <v>20</v>
      </c>
      <c r="N370" s="311">
        <f t="shared" si="77"/>
        <v>0</v>
      </c>
      <c r="O370" s="311"/>
      <c r="P370" s="311"/>
      <c r="Q370" s="311"/>
      <c r="R370" s="311"/>
      <c r="S370" s="311">
        <f t="shared" si="84"/>
        <v>0</v>
      </c>
      <c r="T370" s="7"/>
      <c r="U370" s="7" t="s">
        <v>2288</v>
      </c>
      <c r="V370" s="7" t="s">
        <v>2289</v>
      </c>
      <c r="W370" s="7" t="str">
        <f>Preencher!$B$3&amp;U370&amp;V370&amp;A370&amp;$W$6</f>
        <v>JARINU-FRG99350MQ.TUNEL DE CG (CONTINUO)</v>
      </c>
      <c r="X370" s="7" t="str">
        <f>Preencher!$B$3&amp;U370&amp;V370&amp;A370&amp;$X$6</f>
        <v>JARINU-FRG99350MQ.TUNEL DE CG (CONTINUO) (1)</v>
      </c>
      <c r="Y370" s="7" t="str">
        <f>Preencher!$B$3&amp;U370&amp;V370&amp;A370&amp;$Y$6</f>
        <v>JARINU-FRG99350MQ.TUNEL DE CG (CONTINUO) (2)</v>
      </c>
      <c r="Z370" s="7" t="str">
        <f>Preencher!$B$3&amp;U370&amp;V370&amp;A370&amp;$Z$6</f>
        <v>JARINU-FRG99350MQ.TUNEL DE CG (CONTINUO) (3)</v>
      </c>
      <c r="AA370" s="7" t="str">
        <f>Preencher!$B$3&amp;U370&amp;V370&amp;A370&amp;$AA$6</f>
        <v>JARINU-FRG99350MQ.TUNEL DE CG (ESTATICO)</v>
      </c>
      <c r="AB370" s="7" t="str">
        <f>Preencher!$B$3&amp;U370&amp;V370&amp;A370&amp;$AB$6</f>
        <v>JARINU-FRG99350MQ.TUNEL DE CG (ESTATICO) (1)</v>
      </c>
      <c r="AC370" s="7" t="str">
        <f>Preencher!$B$3&amp;U370&amp;V370&amp;A370&amp;$AC$6</f>
        <v>JARINU-FRG99350MQ.TUNEL DE CG (ESTATICO) (2)</v>
      </c>
      <c r="AD370" s="327">
        <f>IFERROR(SUMIF('BD Otimix'!A:A,'BD VOLUME'!X370,'BD Otimix'!O:O)+SUMIF('BD Otimix'!A:A,'BD VOLUME'!Y370,'BD Otimix'!O:O)+SUMIF('BD Otimix'!A:A,'BD VOLUME'!Z370,'BD Otimix'!O:O)+SUMIF('BD Otimix'!A:A,'BD VOLUME'!AA370,'BD Otimix'!O:O)+SUMIF('BD Otimix'!A:A,'BD VOLUME'!AB370,'BD Otimix'!O:O)+SUMIF('BD Otimix'!A:A,'BD VOLUME'!AC370,'BD Otimix'!O:O)+SUMIF('BD Otimix'!A:A,'BD VOLUME'!W370,'BD Otimix'!O:O),0)</f>
        <v>0</v>
      </c>
      <c r="AE370" s="327">
        <f t="shared" si="74"/>
        <v>0</v>
      </c>
      <c r="AF370" s="7" t="str">
        <f>Preencher!$B$3&amp;$U$8&amp;$V$8&amp;A370&amp;$AF$6</f>
        <v>JARINU-FRG99350MQ.GIROFREEZER</v>
      </c>
      <c r="AG370" s="7" t="str">
        <f>Preencher!$B$3&amp;$U$8&amp;$V$8&amp;A370&amp;$AG$6</f>
        <v>JARINU-FRG99350MQ.GIROFREEZER (1)</v>
      </c>
      <c r="AH370" s="7" t="str">
        <f>Preencher!$B$3&amp;$U$8&amp;$V$8&amp;A370&amp;$AH$6</f>
        <v>JARINU-FRG99350MQ.GIROFREEZER (2)</v>
      </c>
      <c r="AI370" s="7" t="str">
        <f>Preencher!$B$3&amp;$U$8&amp;$V$8&amp;A370&amp;$AI$6</f>
        <v>JARINU-FRG99350MQ.GIROFREEZER REV04</v>
      </c>
      <c r="AJ370" s="7" t="str">
        <f>Preencher!$B$3&amp;$U$8&amp;$V$8&amp;A370&amp;$AJ$6</f>
        <v>JARINU-FRG99350MQ.GIROFREEZER (3)</v>
      </c>
      <c r="AK370" s="327">
        <f>IFERROR(SUMIF('BD Otimix'!A:A,'BD VOLUME'!AG370,'BD Otimix'!O:O)+SUMIF('BD Otimix'!A:A,'BD VOLUME'!AH370,'BD Otimix'!O:O)+SUMIF('BD Otimix'!A:A,'BD VOLUME'!AI370,'BD Otimix'!O:O)+SUMIF('BD Otimix'!A:A,'BD VOLUME'!AJ370,'BD Otimix'!O:O)+SUMIF('BD Otimix'!A:A,'BD VOLUME'!AF370,'BD Otimix'!O:O),0)</f>
        <v>0</v>
      </c>
      <c r="AL370" s="7">
        <f t="shared" si="75"/>
        <v>0</v>
      </c>
    </row>
    <row r="371" spans="1:38" s="4" customFormat="1" ht="14.25">
      <c r="A371" s="355">
        <v>678228</v>
      </c>
      <c r="B371" s="355"/>
      <c r="C371" s="5" t="s">
        <v>1457</v>
      </c>
      <c r="D371" s="75" t="s">
        <v>867</v>
      </c>
      <c r="E371" s="5" t="s">
        <v>1524</v>
      </c>
      <c r="F371" s="132">
        <f>SUMIF('COLAR PLANO'!$A:$A,A371,'COLAR PLANO'!$D:$D)</f>
        <v>0</v>
      </c>
      <c r="G371" s="131">
        <f t="shared" si="79"/>
        <v>0</v>
      </c>
      <c r="H371" s="6">
        <v>7.2280701754385959E-2</v>
      </c>
      <c r="I371" s="7">
        <f t="shared" si="80"/>
        <v>0</v>
      </c>
      <c r="J371" s="130">
        <f t="shared" si="83"/>
        <v>0</v>
      </c>
      <c r="K371" s="122">
        <v>20</v>
      </c>
      <c r="L371" s="122">
        <v>1</v>
      </c>
      <c r="M371" s="122">
        <v>20</v>
      </c>
      <c r="N371" s="311">
        <f t="shared" si="77"/>
        <v>0</v>
      </c>
      <c r="O371" s="311"/>
      <c r="P371" s="311"/>
      <c r="Q371" s="311"/>
      <c r="R371" s="311"/>
      <c r="S371" s="311">
        <f t="shared" si="84"/>
        <v>0</v>
      </c>
      <c r="T371" s="7"/>
      <c r="U371" s="7" t="s">
        <v>2288</v>
      </c>
      <c r="V371" s="7" t="s">
        <v>2289</v>
      </c>
      <c r="W371" s="7" t="str">
        <f>Preencher!$B$3&amp;U371&amp;V371&amp;A371&amp;$W$6</f>
        <v>JARINU-FRG678228MQ.TUNEL DE CG (CONTINUO)</v>
      </c>
      <c r="X371" s="7" t="str">
        <f>Preencher!$B$3&amp;U371&amp;V371&amp;A371&amp;$X$6</f>
        <v>JARINU-FRG678228MQ.TUNEL DE CG (CONTINUO) (1)</v>
      </c>
      <c r="Y371" s="7" t="str">
        <f>Preencher!$B$3&amp;U371&amp;V371&amp;A371&amp;$Y$6</f>
        <v>JARINU-FRG678228MQ.TUNEL DE CG (CONTINUO) (2)</v>
      </c>
      <c r="Z371" s="7" t="str">
        <f>Preencher!$B$3&amp;U371&amp;V371&amp;A371&amp;$Z$6</f>
        <v>JARINU-FRG678228MQ.TUNEL DE CG (CONTINUO) (3)</v>
      </c>
      <c r="AA371" s="7" t="str">
        <f>Preencher!$B$3&amp;U371&amp;V371&amp;A371&amp;$AA$6</f>
        <v>JARINU-FRG678228MQ.TUNEL DE CG (ESTATICO)</v>
      </c>
      <c r="AB371" s="7" t="str">
        <f>Preencher!$B$3&amp;U371&amp;V371&amp;A371&amp;$AB$6</f>
        <v>JARINU-FRG678228MQ.TUNEL DE CG (ESTATICO) (1)</v>
      </c>
      <c r="AC371" s="7" t="str">
        <f>Preencher!$B$3&amp;U371&amp;V371&amp;A371&amp;$AC$6</f>
        <v>JARINU-FRG678228MQ.TUNEL DE CG (ESTATICO) (2)</v>
      </c>
      <c r="AD371" s="327">
        <f>IFERROR(SUMIF('BD Otimix'!A:A,'BD VOLUME'!X371,'BD Otimix'!O:O)+SUMIF('BD Otimix'!A:A,'BD VOLUME'!Y371,'BD Otimix'!O:O)+SUMIF('BD Otimix'!A:A,'BD VOLUME'!Z371,'BD Otimix'!O:O)+SUMIF('BD Otimix'!A:A,'BD VOLUME'!AA371,'BD Otimix'!O:O)+SUMIF('BD Otimix'!A:A,'BD VOLUME'!AB371,'BD Otimix'!O:O)+SUMIF('BD Otimix'!A:A,'BD VOLUME'!AC371,'BD Otimix'!O:O)+SUMIF('BD Otimix'!A:A,'BD VOLUME'!W371,'BD Otimix'!O:O),0)</f>
        <v>0</v>
      </c>
      <c r="AE371" s="327">
        <f t="shared" si="74"/>
        <v>0</v>
      </c>
      <c r="AF371" s="7" t="str">
        <f>Preencher!$B$3&amp;$U$8&amp;$V$8&amp;A371&amp;$AF$6</f>
        <v>JARINU-FRG678228MQ.GIROFREEZER</v>
      </c>
      <c r="AG371" s="7" t="str">
        <f>Preencher!$B$3&amp;$U$8&amp;$V$8&amp;A371&amp;$AG$6</f>
        <v>JARINU-FRG678228MQ.GIROFREEZER (1)</v>
      </c>
      <c r="AH371" s="7" t="str">
        <f>Preencher!$B$3&amp;$U$8&amp;$V$8&amp;A371&amp;$AH$6</f>
        <v>JARINU-FRG678228MQ.GIROFREEZER (2)</v>
      </c>
      <c r="AI371" s="7" t="str">
        <f>Preencher!$B$3&amp;$U$8&amp;$V$8&amp;A371&amp;$AI$6</f>
        <v>JARINU-FRG678228MQ.GIROFREEZER REV04</v>
      </c>
      <c r="AJ371" s="7" t="str">
        <f>Preencher!$B$3&amp;$U$8&amp;$V$8&amp;A371&amp;$AJ$6</f>
        <v>JARINU-FRG678228MQ.GIROFREEZER (3)</v>
      </c>
      <c r="AK371" s="327">
        <f>IFERROR(SUMIF('BD Otimix'!A:A,'BD VOLUME'!AG371,'BD Otimix'!O:O)+SUMIF('BD Otimix'!A:A,'BD VOLUME'!AH371,'BD Otimix'!O:O)+SUMIF('BD Otimix'!A:A,'BD VOLUME'!AI371,'BD Otimix'!O:O)+SUMIF('BD Otimix'!A:A,'BD VOLUME'!AJ371,'BD Otimix'!O:O)+SUMIF('BD Otimix'!A:A,'BD VOLUME'!AF371,'BD Otimix'!O:O),0)</f>
        <v>0</v>
      </c>
      <c r="AL371" s="7">
        <f t="shared" si="75"/>
        <v>0</v>
      </c>
    </row>
    <row r="372" spans="1:38" s="4" customFormat="1" ht="14.25">
      <c r="A372" s="253">
        <v>796530</v>
      </c>
      <c r="B372" s="253"/>
      <c r="C372" s="5" t="s">
        <v>1454</v>
      </c>
      <c r="D372" s="5" t="s">
        <v>867</v>
      </c>
      <c r="E372" s="5" t="s">
        <v>1524</v>
      </c>
      <c r="F372" s="132">
        <f>SUMIF('COLAR PLANO'!$A:$A,A372,'COLAR PLANO'!$D:$D)</f>
        <v>0</v>
      </c>
      <c r="G372" s="131">
        <f t="shared" si="79"/>
        <v>0</v>
      </c>
      <c r="H372" s="6">
        <v>7.2280701754385959E-2</v>
      </c>
      <c r="I372" s="7">
        <f t="shared" si="80"/>
        <v>0</v>
      </c>
      <c r="J372" s="130">
        <f t="shared" si="83"/>
        <v>0</v>
      </c>
      <c r="K372" s="122">
        <v>10</v>
      </c>
      <c r="L372" s="122">
        <v>1</v>
      </c>
      <c r="M372" s="122">
        <v>10</v>
      </c>
      <c r="N372" s="311">
        <f t="shared" si="77"/>
        <v>0</v>
      </c>
      <c r="O372" s="311"/>
      <c r="P372" s="311"/>
      <c r="Q372" s="311">
        <f>IFERROR(G372/M372,"-")</f>
        <v>0</v>
      </c>
      <c r="R372" s="311"/>
      <c r="S372" s="7"/>
      <c r="T372" s="7"/>
      <c r="U372" s="7" t="s">
        <v>2288</v>
      </c>
      <c r="V372" s="7" t="s">
        <v>2289</v>
      </c>
      <c r="W372" s="7" t="str">
        <f>Preencher!$B$3&amp;U372&amp;V372&amp;A372&amp;$W$6</f>
        <v>JARINU-FRG796530MQ.TUNEL DE CG (CONTINUO)</v>
      </c>
      <c r="X372" s="7" t="str">
        <f>Preencher!$B$3&amp;U372&amp;V372&amp;A372&amp;$X$6</f>
        <v>JARINU-FRG796530MQ.TUNEL DE CG (CONTINUO) (1)</v>
      </c>
      <c r="Y372" s="7" t="str">
        <f>Preencher!$B$3&amp;U372&amp;V372&amp;A372&amp;$Y$6</f>
        <v>JARINU-FRG796530MQ.TUNEL DE CG (CONTINUO) (2)</v>
      </c>
      <c r="Z372" s="7" t="str">
        <f>Preencher!$B$3&amp;U372&amp;V372&amp;A372&amp;$Z$6</f>
        <v>JARINU-FRG796530MQ.TUNEL DE CG (CONTINUO) (3)</v>
      </c>
      <c r="AA372" s="7" t="str">
        <f>Preencher!$B$3&amp;U372&amp;V372&amp;A372&amp;$AA$6</f>
        <v>JARINU-FRG796530MQ.TUNEL DE CG (ESTATICO)</v>
      </c>
      <c r="AB372" s="7" t="str">
        <f>Preencher!$B$3&amp;U372&amp;V372&amp;A372&amp;$AB$6</f>
        <v>JARINU-FRG796530MQ.TUNEL DE CG (ESTATICO) (1)</v>
      </c>
      <c r="AC372" s="7" t="str">
        <f>Preencher!$B$3&amp;U372&amp;V372&amp;A372&amp;$AC$6</f>
        <v>JARINU-FRG796530MQ.TUNEL DE CG (ESTATICO) (2)</v>
      </c>
      <c r="AD372" s="327">
        <f>IFERROR(SUMIF('BD Otimix'!A:A,'BD VOLUME'!X372,'BD Otimix'!O:O)+SUMIF('BD Otimix'!A:A,'BD VOLUME'!Y372,'BD Otimix'!O:O)+SUMIF('BD Otimix'!A:A,'BD VOLUME'!Z372,'BD Otimix'!O:O)+SUMIF('BD Otimix'!A:A,'BD VOLUME'!AA372,'BD Otimix'!O:O)+SUMIF('BD Otimix'!A:A,'BD VOLUME'!AB372,'BD Otimix'!O:O)+SUMIF('BD Otimix'!A:A,'BD VOLUME'!AC372,'BD Otimix'!O:O)+SUMIF('BD Otimix'!A:A,'BD VOLUME'!W372,'BD Otimix'!O:O),0)</f>
        <v>0</v>
      </c>
      <c r="AE372" s="327">
        <f t="shared" si="74"/>
        <v>0</v>
      </c>
      <c r="AF372" s="7" t="str">
        <f>Preencher!$B$3&amp;$U$8&amp;$V$8&amp;A372&amp;$AF$6</f>
        <v>JARINU-FRG796530MQ.GIROFREEZER</v>
      </c>
      <c r="AG372" s="7" t="str">
        <f>Preencher!$B$3&amp;$U$8&amp;$V$8&amp;A372&amp;$AG$6</f>
        <v>JARINU-FRG796530MQ.GIROFREEZER (1)</v>
      </c>
      <c r="AH372" s="7" t="str">
        <f>Preencher!$B$3&amp;$U$8&amp;$V$8&amp;A372&amp;$AH$6</f>
        <v>JARINU-FRG796530MQ.GIROFREEZER (2)</v>
      </c>
      <c r="AI372" s="7" t="str">
        <f>Preencher!$B$3&amp;$U$8&amp;$V$8&amp;A372&amp;$AI$6</f>
        <v>JARINU-FRG796530MQ.GIROFREEZER REV04</v>
      </c>
      <c r="AJ372" s="7" t="str">
        <f>Preencher!$B$3&amp;$U$8&amp;$V$8&amp;A372&amp;$AJ$6</f>
        <v>JARINU-FRG796530MQ.GIROFREEZER (3)</v>
      </c>
      <c r="AK372" s="327">
        <f>IFERROR(SUMIF('BD Otimix'!A:A,'BD VOLUME'!AG372,'BD Otimix'!O:O)+SUMIF('BD Otimix'!A:A,'BD VOLUME'!AH372,'BD Otimix'!O:O)+SUMIF('BD Otimix'!A:A,'BD VOLUME'!AI372,'BD Otimix'!O:O)+SUMIF('BD Otimix'!A:A,'BD VOLUME'!AJ372,'BD Otimix'!O:O)+SUMIF('BD Otimix'!A:A,'BD VOLUME'!AF372,'BD Otimix'!O:O),0)</f>
        <v>0</v>
      </c>
      <c r="AL372" s="7">
        <f t="shared" si="75"/>
        <v>0</v>
      </c>
    </row>
    <row r="373" spans="1:38" s="4" customFormat="1" ht="14.25">
      <c r="A373" s="253">
        <v>12815</v>
      </c>
      <c r="B373" s="253"/>
      <c r="C373" s="5" t="s">
        <v>1461</v>
      </c>
      <c r="D373" s="5" t="s">
        <v>867</v>
      </c>
      <c r="E373" s="5" t="s">
        <v>1524</v>
      </c>
      <c r="F373" s="132">
        <f>SUMIF('COLAR PLANO'!$A:$A,A373,'COLAR PLANO'!$D:$D)</f>
        <v>0</v>
      </c>
      <c r="G373" s="131">
        <f t="shared" si="79"/>
        <v>0</v>
      </c>
      <c r="H373" s="6">
        <v>7.2280701754385959E-2</v>
      </c>
      <c r="I373" s="7">
        <f t="shared" si="80"/>
        <v>0</v>
      </c>
      <c r="J373" s="130">
        <f t="shared" si="83"/>
        <v>0</v>
      </c>
      <c r="K373" s="122">
        <v>10</v>
      </c>
      <c r="L373" s="122">
        <v>1</v>
      </c>
      <c r="M373" s="122">
        <v>10</v>
      </c>
      <c r="N373" s="311">
        <f t="shared" si="77"/>
        <v>0</v>
      </c>
      <c r="O373" s="311"/>
      <c r="P373" s="311"/>
      <c r="Q373" s="311">
        <f>IFERROR(G373/M373,"-")</f>
        <v>0</v>
      </c>
      <c r="R373" s="311"/>
      <c r="S373" s="7"/>
      <c r="T373" s="7"/>
      <c r="U373" s="7" t="s">
        <v>2288</v>
      </c>
      <c r="V373" s="7" t="s">
        <v>2289</v>
      </c>
      <c r="W373" s="7" t="str">
        <f>Preencher!$B$3&amp;U373&amp;V373&amp;A373&amp;$W$6</f>
        <v>JARINU-FRG12815MQ.TUNEL DE CG (CONTINUO)</v>
      </c>
      <c r="X373" s="7" t="str">
        <f>Preencher!$B$3&amp;U373&amp;V373&amp;A373&amp;$X$6</f>
        <v>JARINU-FRG12815MQ.TUNEL DE CG (CONTINUO) (1)</v>
      </c>
      <c r="Y373" s="7" t="str">
        <f>Preencher!$B$3&amp;U373&amp;V373&amp;A373&amp;$Y$6</f>
        <v>JARINU-FRG12815MQ.TUNEL DE CG (CONTINUO) (2)</v>
      </c>
      <c r="Z373" s="7" t="str">
        <f>Preencher!$B$3&amp;U373&amp;V373&amp;A373&amp;$Z$6</f>
        <v>JARINU-FRG12815MQ.TUNEL DE CG (CONTINUO) (3)</v>
      </c>
      <c r="AA373" s="7" t="str">
        <f>Preencher!$B$3&amp;U373&amp;V373&amp;A373&amp;$AA$6</f>
        <v>JARINU-FRG12815MQ.TUNEL DE CG (ESTATICO)</v>
      </c>
      <c r="AB373" s="7" t="str">
        <f>Preencher!$B$3&amp;U373&amp;V373&amp;A373&amp;$AB$6</f>
        <v>JARINU-FRG12815MQ.TUNEL DE CG (ESTATICO) (1)</v>
      </c>
      <c r="AC373" s="7" t="str">
        <f>Preencher!$B$3&amp;U373&amp;V373&amp;A373&amp;$AC$6</f>
        <v>JARINU-FRG12815MQ.TUNEL DE CG (ESTATICO) (2)</v>
      </c>
      <c r="AD373" s="327">
        <f>IFERROR(SUMIF('BD Otimix'!A:A,'BD VOLUME'!X373,'BD Otimix'!O:O)+SUMIF('BD Otimix'!A:A,'BD VOLUME'!Y373,'BD Otimix'!O:O)+SUMIF('BD Otimix'!A:A,'BD VOLUME'!Z373,'BD Otimix'!O:O)+SUMIF('BD Otimix'!A:A,'BD VOLUME'!AA373,'BD Otimix'!O:O)+SUMIF('BD Otimix'!A:A,'BD VOLUME'!AB373,'BD Otimix'!O:O)+SUMIF('BD Otimix'!A:A,'BD VOLUME'!AC373,'BD Otimix'!O:O)+SUMIF('BD Otimix'!A:A,'BD VOLUME'!W373,'BD Otimix'!O:O),0)</f>
        <v>0</v>
      </c>
      <c r="AE373" s="327">
        <f t="shared" si="74"/>
        <v>0</v>
      </c>
      <c r="AF373" s="7" t="str">
        <f>Preencher!$B$3&amp;$U$8&amp;$V$8&amp;A373&amp;$AF$6</f>
        <v>JARINU-FRG12815MQ.GIROFREEZER</v>
      </c>
      <c r="AG373" s="7" t="str">
        <f>Preencher!$B$3&amp;$U$8&amp;$V$8&amp;A373&amp;$AG$6</f>
        <v>JARINU-FRG12815MQ.GIROFREEZER (1)</v>
      </c>
      <c r="AH373" s="7" t="str">
        <f>Preencher!$B$3&amp;$U$8&amp;$V$8&amp;A373&amp;$AH$6</f>
        <v>JARINU-FRG12815MQ.GIROFREEZER (2)</v>
      </c>
      <c r="AI373" s="7" t="str">
        <f>Preencher!$B$3&amp;$U$8&amp;$V$8&amp;A373&amp;$AI$6</f>
        <v>JARINU-FRG12815MQ.GIROFREEZER REV04</v>
      </c>
      <c r="AJ373" s="7" t="str">
        <f>Preencher!$B$3&amp;$U$8&amp;$V$8&amp;A373&amp;$AJ$6</f>
        <v>JARINU-FRG12815MQ.GIROFREEZER (3)</v>
      </c>
      <c r="AK373" s="327">
        <f>IFERROR(SUMIF('BD Otimix'!A:A,'BD VOLUME'!AG373,'BD Otimix'!O:O)+SUMIF('BD Otimix'!A:A,'BD VOLUME'!AH373,'BD Otimix'!O:O)+SUMIF('BD Otimix'!A:A,'BD VOLUME'!AI373,'BD Otimix'!O:O)+SUMIF('BD Otimix'!A:A,'BD VOLUME'!AJ373,'BD Otimix'!O:O)+SUMIF('BD Otimix'!A:A,'BD VOLUME'!AF373,'BD Otimix'!O:O),0)</f>
        <v>0</v>
      </c>
      <c r="AL373" s="7">
        <f t="shared" si="75"/>
        <v>0</v>
      </c>
    </row>
    <row r="374" spans="1:38" s="4" customFormat="1" ht="14.25">
      <c r="A374" s="253">
        <v>661740</v>
      </c>
      <c r="B374" s="253"/>
      <c r="C374" s="5" t="s">
        <v>1469</v>
      </c>
      <c r="D374" s="5" t="s">
        <v>867</v>
      </c>
      <c r="E374" s="5" t="s">
        <v>1524</v>
      </c>
      <c r="F374" s="132">
        <f>SUMIF('COLAR PLANO'!$A:$A,A374,'COLAR PLANO'!$D:$D)</f>
        <v>0</v>
      </c>
      <c r="G374" s="131">
        <f t="shared" si="79"/>
        <v>0</v>
      </c>
      <c r="H374" s="6">
        <v>7.2280701754385959E-2</v>
      </c>
      <c r="I374" s="7">
        <f t="shared" si="80"/>
        <v>0</v>
      </c>
      <c r="J374" s="130">
        <f t="shared" si="83"/>
        <v>0</v>
      </c>
      <c r="K374" s="122">
        <v>10</v>
      </c>
      <c r="L374" s="122">
        <v>1</v>
      </c>
      <c r="M374" s="122">
        <v>10</v>
      </c>
      <c r="N374" s="311">
        <f t="shared" si="77"/>
        <v>0</v>
      </c>
      <c r="O374" s="311"/>
      <c r="P374" s="311"/>
      <c r="Q374" s="311"/>
      <c r="R374" s="311">
        <f>IFERROR(G374/M374,"-")</f>
        <v>0</v>
      </c>
      <c r="S374" s="7"/>
      <c r="T374" s="7"/>
      <c r="U374" s="7" t="s">
        <v>2288</v>
      </c>
      <c r="V374" s="7" t="s">
        <v>2289</v>
      </c>
      <c r="W374" s="7" t="str">
        <f>Preencher!$B$3&amp;U374&amp;V374&amp;A374&amp;$W$6</f>
        <v>JARINU-FRG661740MQ.TUNEL DE CG (CONTINUO)</v>
      </c>
      <c r="X374" s="7" t="str">
        <f>Preencher!$B$3&amp;U374&amp;V374&amp;A374&amp;$X$6</f>
        <v>JARINU-FRG661740MQ.TUNEL DE CG (CONTINUO) (1)</v>
      </c>
      <c r="Y374" s="7" t="str">
        <f>Preencher!$B$3&amp;U374&amp;V374&amp;A374&amp;$Y$6</f>
        <v>JARINU-FRG661740MQ.TUNEL DE CG (CONTINUO) (2)</v>
      </c>
      <c r="Z374" s="7" t="str">
        <f>Preencher!$B$3&amp;U374&amp;V374&amp;A374&amp;$Z$6</f>
        <v>JARINU-FRG661740MQ.TUNEL DE CG (CONTINUO) (3)</v>
      </c>
      <c r="AA374" s="7" t="str">
        <f>Preencher!$B$3&amp;U374&amp;V374&amp;A374&amp;$AA$6</f>
        <v>JARINU-FRG661740MQ.TUNEL DE CG (ESTATICO)</v>
      </c>
      <c r="AB374" s="7" t="str">
        <f>Preencher!$B$3&amp;U374&amp;V374&amp;A374&amp;$AB$6</f>
        <v>JARINU-FRG661740MQ.TUNEL DE CG (ESTATICO) (1)</v>
      </c>
      <c r="AC374" s="7" t="str">
        <f>Preencher!$B$3&amp;U374&amp;V374&amp;A374&amp;$AC$6</f>
        <v>JARINU-FRG661740MQ.TUNEL DE CG (ESTATICO) (2)</v>
      </c>
      <c r="AD374" s="327">
        <f>IFERROR(SUMIF('BD Otimix'!A:A,'BD VOLUME'!X374,'BD Otimix'!O:O)+SUMIF('BD Otimix'!A:A,'BD VOLUME'!Y374,'BD Otimix'!O:O)+SUMIF('BD Otimix'!A:A,'BD VOLUME'!Z374,'BD Otimix'!O:O)+SUMIF('BD Otimix'!A:A,'BD VOLUME'!AA374,'BD Otimix'!O:O)+SUMIF('BD Otimix'!A:A,'BD VOLUME'!AB374,'BD Otimix'!O:O)+SUMIF('BD Otimix'!A:A,'BD VOLUME'!AC374,'BD Otimix'!O:O)+SUMIF('BD Otimix'!A:A,'BD VOLUME'!W374,'BD Otimix'!O:O),0)</f>
        <v>0</v>
      </c>
      <c r="AE374" s="327">
        <f t="shared" ref="AE374:AE401" si="85">IFERROR(F374/$E$3/1000/AD374,0)</f>
        <v>0</v>
      </c>
      <c r="AF374" s="7" t="str">
        <f>Preencher!$B$3&amp;$U$8&amp;$V$8&amp;A374&amp;$AF$6</f>
        <v>JARINU-FRG661740MQ.GIROFREEZER</v>
      </c>
      <c r="AG374" s="7" t="str">
        <f>Preencher!$B$3&amp;$U$8&amp;$V$8&amp;A374&amp;$AG$6</f>
        <v>JARINU-FRG661740MQ.GIROFREEZER (1)</v>
      </c>
      <c r="AH374" s="7" t="str">
        <f>Preencher!$B$3&amp;$U$8&amp;$V$8&amp;A374&amp;$AH$6</f>
        <v>JARINU-FRG661740MQ.GIROFREEZER (2)</v>
      </c>
      <c r="AI374" s="7" t="str">
        <f>Preencher!$B$3&amp;$U$8&amp;$V$8&amp;A374&amp;$AI$6</f>
        <v>JARINU-FRG661740MQ.GIROFREEZER REV04</v>
      </c>
      <c r="AJ374" s="7" t="str">
        <f>Preencher!$B$3&amp;$U$8&amp;$V$8&amp;A374&amp;$AJ$6</f>
        <v>JARINU-FRG661740MQ.GIROFREEZER (3)</v>
      </c>
      <c r="AK374" s="327">
        <f>IFERROR(SUMIF('BD Otimix'!A:A,'BD VOLUME'!AG374,'BD Otimix'!O:O)+SUMIF('BD Otimix'!A:A,'BD VOLUME'!AH374,'BD Otimix'!O:O)+SUMIF('BD Otimix'!A:A,'BD VOLUME'!AI374,'BD Otimix'!O:O)+SUMIF('BD Otimix'!A:A,'BD VOLUME'!AJ374,'BD Otimix'!O:O)+SUMIF('BD Otimix'!A:A,'BD VOLUME'!AF374,'BD Otimix'!O:O),0)</f>
        <v>0</v>
      </c>
      <c r="AL374" s="7">
        <f t="shared" ref="AL374:AL401" si="86">IFERROR(F374/$E$3/1000/AK374,0)</f>
        <v>0</v>
      </c>
    </row>
    <row r="375" spans="1:38" s="4" customFormat="1" ht="14.25">
      <c r="A375" s="253">
        <v>15385</v>
      </c>
      <c r="B375" s="253" t="s">
        <v>1022</v>
      </c>
      <c r="C375" s="5" t="s">
        <v>1459</v>
      </c>
      <c r="D375" s="5" t="s">
        <v>867</v>
      </c>
      <c r="E375" s="5" t="s">
        <v>1524</v>
      </c>
      <c r="F375" s="132">
        <f>SUMIF('COLAR PLANO'!$A:$A,A375,'COLAR PLANO'!$D:$D)</f>
        <v>0</v>
      </c>
      <c r="G375" s="131">
        <f t="shared" si="79"/>
        <v>0</v>
      </c>
      <c r="H375" s="6">
        <v>7.2280701754385959E-2</v>
      </c>
      <c r="I375" s="7">
        <f t="shared" si="80"/>
        <v>0</v>
      </c>
      <c r="J375" s="130">
        <f t="shared" si="83"/>
        <v>0</v>
      </c>
      <c r="K375" s="122">
        <v>10</v>
      </c>
      <c r="L375" s="122">
        <v>1</v>
      </c>
      <c r="M375" s="122">
        <v>10</v>
      </c>
      <c r="N375" s="311">
        <f t="shared" si="77"/>
        <v>0</v>
      </c>
      <c r="O375" s="311"/>
      <c r="P375" s="311"/>
      <c r="Q375" s="311"/>
      <c r="R375" s="311">
        <f>IFERROR(G375/M375,"-")</f>
        <v>0</v>
      </c>
      <c r="S375" s="7"/>
      <c r="T375" s="7"/>
      <c r="U375" s="7" t="s">
        <v>2288</v>
      </c>
      <c r="V375" s="7" t="s">
        <v>2289</v>
      </c>
      <c r="W375" s="7" t="str">
        <f>Preencher!$B$3&amp;U375&amp;V375&amp;A375&amp;$W$6</f>
        <v>JARINU-FRG15385MQ.TUNEL DE CG (CONTINUO)</v>
      </c>
      <c r="X375" s="7" t="str">
        <f>Preencher!$B$3&amp;U375&amp;V375&amp;A375&amp;$X$6</f>
        <v>JARINU-FRG15385MQ.TUNEL DE CG (CONTINUO) (1)</v>
      </c>
      <c r="Y375" s="7" t="str">
        <f>Preencher!$B$3&amp;U375&amp;V375&amp;A375&amp;$Y$6</f>
        <v>JARINU-FRG15385MQ.TUNEL DE CG (CONTINUO) (2)</v>
      </c>
      <c r="Z375" s="7" t="str">
        <f>Preencher!$B$3&amp;U375&amp;V375&amp;A375&amp;$Z$6</f>
        <v>JARINU-FRG15385MQ.TUNEL DE CG (CONTINUO) (3)</v>
      </c>
      <c r="AA375" s="7" t="str">
        <f>Preencher!$B$3&amp;U375&amp;V375&amp;A375&amp;$AA$6</f>
        <v>JARINU-FRG15385MQ.TUNEL DE CG (ESTATICO)</v>
      </c>
      <c r="AB375" s="7" t="str">
        <f>Preencher!$B$3&amp;U375&amp;V375&amp;A375&amp;$AB$6</f>
        <v>JARINU-FRG15385MQ.TUNEL DE CG (ESTATICO) (1)</v>
      </c>
      <c r="AC375" s="7" t="str">
        <f>Preencher!$B$3&amp;U375&amp;V375&amp;A375&amp;$AC$6</f>
        <v>JARINU-FRG15385MQ.TUNEL DE CG (ESTATICO) (2)</v>
      </c>
      <c r="AD375" s="327">
        <f>IFERROR(SUMIF('BD Otimix'!A:A,'BD VOLUME'!X375,'BD Otimix'!O:O)+SUMIF('BD Otimix'!A:A,'BD VOLUME'!Y375,'BD Otimix'!O:O)+SUMIF('BD Otimix'!A:A,'BD VOLUME'!Z375,'BD Otimix'!O:O)+SUMIF('BD Otimix'!A:A,'BD VOLUME'!AA375,'BD Otimix'!O:O)+SUMIF('BD Otimix'!A:A,'BD VOLUME'!AB375,'BD Otimix'!O:O)+SUMIF('BD Otimix'!A:A,'BD VOLUME'!AC375,'BD Otimix'!O:O)+SUMIF('BD Otimix'!A:A,'BD VOLUME'!W375,'BD Otimix'!O:O),0)</f>
        <v>0</v>
      </c>
      <c r="AE375" s="327">
        <f t="shared" si="85"/>
        <v>0</v>
      </c>
      <c r="AF375" s="7" t="str">
        <f>Preencher!$B$3&amp;$U$8&amp;$V$8&amp;A375&amp;$AF$6</f>
        <v>JARINU-FRG15385MQ.GIROFREEZER</v>
      </c>
      <c r="AG375" s="7" t="str">
        <f>Preencher!$B$3&amp;$U$8&amp;$V$8&amp;A375&amp;$AG$6</f>
        <v>JARINU-FRG15385MQ.GIROFREEZER (1)</v>
      </c>
      <c r="AH375" s="7" t="str">
        <f>Preencher!$B$3&amp;$U$8&amp;$V$8&amp;A375&amp;$AH$6</f>
        <v>JARINU-FRG15385MQ.GIROFREEZER (2)</v>
      </c>
      <c r="AI375" s="7" t="str">
        <f>Preencher!$B$3&amp;$U$8&amp;$V$8&amp;A375&amp;$AI$6</f>
        <v>JARINU-FRG15385MQ.GIROFREEZER REV04</v>
      </c>
      <c r="AJ375" s="7" t="str">
        <f>Preencher!$B$3&amp;$U$8&amp;$V$8&amp;A375&amp;$AJ$6</f>
        <v>JARINU-FRG15385MQ.GIROFREEZER (3)</v>
      </c>
      <c r="AK375" s="327">
        <f>IFERROR(SUMIF('BD Otimix'!A:A,'BD VOLUME'!AG375,'BD Otimix'!O:O)+SUMIF('BD Otimix'!A:A,'BD VOLUME'!AH375,'BD Otimix'!O:O)+SUMIF('BD Otimix'!A:A,'BD VOLUME'!AI375,'BD Otimix'!O:O)+SUMIF('BD Otimix'!A:A,'BD VOLUME'!AJ375,'BD Otimix'!O:O)+SUMIF('BD Otimix'!A:A,'BD VOLUME'!AF375,'BD Otimix'!O:O),0)</f>
        <v>0</v>
      </c>
      <c r="AL375" s="7">
        <f t="shared" si="86"/>
        <v>0</v>
      </c>
    </row>
    <row r="376" spans="1:38" s="4" customFormat="1" ht="14.25">
      <c r="A376" s="645">
        <v>203489</v>
      </c>
      <c r="B376" s="645"/>
      <c r="C376" s="5" t="s">
        <v>2255</v>
      </c>
      <c r="D376" s="5" t="s">
        <v>867</v>
      </c>
      <c r="E376" s="5" t="s">
        <v>1524</v>
      </c>
      <c r="F376" s="132">
        <f>SUMIF('COLAR PLANO'!$A:$A,A376,'COLAR PLANO'!$D:$D)</f>
        <v>0</v>
      </c>
      <c r="G376" s="131">
        <f t="shared" ref="G376:G401" si="87">IFERROR(F376/($E$3*$C$3),0)</f>
        <v>0</v>
      </c>
      <c r="H376" s="6">
        <v>7.2280701754385959E-2</v>
      </c>
      <c r="I376" s="7">
        <f t="shared" ref="I376:I401" si="88">IFERROR(G376/$D$3/H376,0)</f>
        <v>0</v>
      </c>
      <c r="J376" s="130">
        <f t="shared" si="83"/>
        <v>0</v>
      </c>
      <c r="K376" s="122">
        <v>20</v>
      </c>
      <c r="L376" s="122">
        <v>1</v>
      </c>
      <c r="M376" s="122">
        <v>20</v>
      </c>
      <c r="N376" s="311">
        <f t="shared" ref="N376:N401" si="89">IFERROR(G376/K376,"-")</f>
        <v>0</v>
      </c>
      <c r="O376" s="311"/>
      <c r="P376" s="311"/>
      <c r="Q376" s="311"/>
      <c r="R376" s="311">
        <f>IFERROR(G376/M376,"-")</f>
        <v>0</v>
      </c>
      <c r="S376" s="7"/>
      <c r="T376" s="7"/>
      <c r="U376" s="7" t="s">
        <v>2288</v>
      </c>
      <c r="V376" s="7" t="s">
        <v>2289</v>
      </c>
      <c r="W376" s="7" t="str">
        <f>Preencher!$B$3&amp;U376&amp;V376&amp;A376&amp;$W$6</f>
        <v>JARINU-FRG203489MQ.TUNEL DE CG (CONTINUO)</v>
      </c>
      <c r="X376" s="7" t="str">
        <f>Preencher!$B$3&amp;U376&amp;V376&amp;A376&amp;$X$6</f>
        <v>JARINU-FRG203489MQ.TUNEL DE CG (CONTINUO) (1)</v>
      </c>
      <c r="Y376" s="7" t="str">
        <f>Preencher!$B$3&amp;U376&amp;V376&amp;A376&amp;$Y$6</f>
        <v>JARINU-FRG203489MQ.TUNEL DE CG (CONTINUO) (2)</v>
      </c>
      <c r="Z376" s="7" t="str">
        <f>Preencher!$B$3&amp;U376&amp;V376&amp;A376&amp;$Z$6</f>
        <v>JARINU-FRG203489MQ.TUNEL DE CG (CONTINUO) (3)</v>
      </c>
      <c r="AA376" s="7" t="str">
        <f>Preencher!$B$3&amp;U376&amp;V376&amp;A376&amp;$AA$6</f>
        <v>JARINU-FRG203489MQ.TUNEL DE CG (ESTATICO)</v>
      </c>
      <c r="AB376" s="7" t="str">
        <f>Preencher!$B$3&amp;U376&amp;V376&amp;A376&amp;$AB$6</f>
        <v>JARINU-FRG203489MQ.TUNEL DE CG (ESTATICO) (1)</v>
      </c>
      <c r="AC376" s="7" t="str">
        <f>Preencher!$B$3&amp;U376&amp;V376&amp;A376&amp;$AC$6</f>
        <v>JARINU-FRG203489MQ.TUNEL DE CG (ESTATICO) (2)</v>
      </c>
      <c r="AD376" s="327">
        <f>IFERROR(SUMIF('BD Otimix'!A:A,'BD VOLUME'!X376,'BD Otimix'!O:O)+SUMIF('BD Otimix'!A:A,'BD VOLUME'!Y376,'BD Otimix'!O:O)+SUMIF('BD Otimix'!A:A,'BD VOLUME'!Z376,'BD Otimix'!O:O)+SUMIF('BD Otimix'!A:A,'BD VOLUME'!AA376,'BD Otimix'!O:O)+SUMIF('BD Otimix'!A:A,'BD VOLUME'!AB376,'BD Otimix'!O:O)+SUMIF('BD Otimix'!A:A,'BD VOLUME'!AC376,'BD Otimix'!O:O)+SUMIF('BD Otimix'!A:A,'BD VOLUME'!W376,'BD Otimix'!O:O),0)</f>
        <v>0</v>
      </c>
      <c r="AE376" s="327">
        <f t="shared" si="85"/>
        <v>0</v>
      </c>
      <c r="AF376" s="7" t="str">
        <f>Preencher!$B$3&amp;$U$8&amp;$V$8&amp;A376&amp;$AF$6</f>
        <v>JARINU-FRG203489MQ.GIROFREEZER</v>
      </c>
      <c r="AG376" s="7" t="str">
        <f>Preencher!$B$3&amp;$U$8&amp;$V$8&amp;A376&amp;$AG$6</f>
        <v>JARINU-FRG203489MQ.GIROFREEZER (1)</v>
      </c>
      <c r="AH376" s="7" t="str">
        <f>Preencher!$B$3&amp;$U$8&amp;$V$8&amp;A376&amp;$AH$6</f>
        <v>JARINU-FRG203489MQ.GIROFREEZER (2)</v>
      </c>
      <c r="AI376" s="7" t="str">
        <f>Preencher!$B$3&amp;$U$8&amp;$V$8&amp;A376&amp;$AI$6</f>
        <v>JARINU-FRG203489MQ.GIROFREEZER REV04</v>
      </c>
      <c r="AJ376" s="7" t="str">
        <f>Preencher!$B$3&amp;$U$8&amp;$V$8&amp;A376&amp;$AJ$6</f>
        <v>JARINU-FRG203489MQ.GIROFREEZER (3)</v>
      </c>
      <c r="AK376" s="327">
        <f>IFERROR(SUMIF('BD Otimix'!A:A,'BD VOLUME'!AG376,'BD Otimix'!O:O)+SUMIF('BD Otimix'!A:A,'BD VOLUME'!AH376,'BD Otimix'!O:O)+SUMIF('BD Otimix'!A:A,'BD VOLUME'!AI376,'BD Otimix'!O:O)+SUMIF('BD Otimix'!A:A,'BD VOLUME'!AJ376,'BD Otimix'!O:O)+SUMIF('BD Otimix'!A:A,'BD VOLUME'!AF376,'BD Otimix'!O:O),0)</f>
        <v>0</v>
      </c>
      <c r="AL376" s="7">
        <f t="shared" si="86"/>
        <v>0</v>
      </c>
    </row>
    <row r="377" spans="1:38" s="4" customFormat="1" ht="14.25">
      <c r="A377" s="580">
        <v>794724</v>
      </c>
      <c r="B377" s="580" t="s">
        <v>2027</v>
      </c>
      <c r="C377" s="5" t="s">
        <v>1089</v>
      </c>
      <c r="D377" s="5" t="s">
        <v>867</v>
      </c>
      <c r="E377" s="5" t="s">
        <v>1524</v>
      </c>
      <c r="F377" s="132">
        <f>SUMIF('COLAR PLANO'!$A:$A,A377,'COLAR PLANO'!$D:$D)</f>
        <v>0</v>
      </c>
      <c r="G377" s="131">
        <f t="shared" si="87"/>
        <v>0</v>
      </c>
      <c r="H377" s="6">
        <v>7.2280701754385959E-2</v>
      </c>
      <c r="I377" s="7">
        <f t="shared" si="88"/>
        <v>0</v>
      </c>
      <c r="J377" s="130">
        <f t="shared" si="83"/>
        <v>0</v>
      </c>
      <c r="K377" s="122">
        <v>2</v>
      </c>
      <c r="L377" s="122">
        <v>9</v>
      </c>
      <c r="M377" s="122">
        <v>18</v>
      </c>
      <c r="N377" s="311">
        <f t="shared" si="89"/>
        <v>0</v>
      </c>
      <c r="O377" s="311"/>
      <c r="P377" s="311">
        <f>IFERROR(G377/M377,"-")</f>
        <v>0</v>
      </c>
      <c r="Q377" s="311"/>
      <c r="R377" s="311"/>
      <c r="S377" s="7"/>
      <c r="T377" s="7"/>
      <c r="U377" s="7" t="s">
        <v>2288</v>
      </c>
      <c r="V377" s="7" t="s">
        <v>2289</v>
      </c>
      <c r="W377" s="7" t="str">
        <f>Preencher!$B$3&amp;U377&amp;V377&amp;A377&amp;$W$6</f>
        <v>JARINU-FRG794724MQ.TUNEL DE CG (CONTINUO)</v>
      </c>
      <c r="X377" s="7" t="str">
        <f>Preencher!$B$3&amp;U377&amp;V377&amp;A377&amp;$X$6</f>
        <v>JARINU-FRG794724MQ.TUNEL DE CG (CONTINUO) (1)</v>
      </c>
      <c r="Y377" s="7" t="str">
        <f>Preencher!$B$3&amp;U377&amp;V377&amp;A377&amp;$Y$6</f>
        <v>JARINU-FRG794724MQ.TUNEL DE CG (CONTINUO) (2)</v>
      </c>
      <c r="Z377" s="7" t="str">
        <f>Preencher!$B$3&amp;U377&amp;V377&amp;A377&amp;$Z$6</f>
        <v>JARINU-FRG794724MQ.TUNEL DE CG (CONTINUO) (3)</v>
      </c>
      <c r="AA377" s="7" t="str">
        <f>Preencher!$B$3&amp;U377&amp;V377&amp;A377&amp;$AA$6</f>
        <v>JARINU-FRG794724MQ.TUNEL DE CG (ESTATICO)</v>
      </c>
      <c r="AB377" s="7" t="str">
        <f>Preencher!$B$3&amp;U377&amp;V377&amp;A377&amp;$AB$6</f>
        <v>JARINU-FRG794724MQ.TUNEL DE CG (ESTATICO) (1)</v>
      </c>
      <c r="AC377" s="7" t="str">
        <f>Preencher!$B$3&amp;U377&amp;V377&amp;A377&amp;$AC$6</f>
        <v>JARINU-FRG794724MQ.TUNEL DE CG (ESTATICO) (2)</v>
      </c>
      <c r="AD377" s="327">
        <f>IFERROR(SUMIF('BD Otimix'!A:A,'BD VOLUME'!X377,'BD Otimix'!O:O)+SUMIF('BD Otimix'!A:A,'BD VOLUME'!Y377,'BD Otimix'!O:O)+SUMIF('BD Otimix'!A:A,'BD VOLUME'!Z377,'BD Otimix'!O:O)+SUMIF('BD Otimix'!A:A,'BD VOLUME'!AA377,'BD Otimix'!O:O)+SUMIF('BD Otimix'!A:A,'BD VOLUME'!AB377,'BD Otimix'!O:O)+SUMIF('BD Otimix'!A:A,'BD VOLUME'!AC377,'BD Otimix'!O:O)+SUMIF('BD Otimix'!A:A,'BD VOLUME'!W377,'BD Otimix'!O:O),0)</f>
        <v>0</v>
      </c>
      <c r="AE377" s="327">
        <f t="shared" si="85"/>
        <v>0</v>
      </c>
      <c r="AF377" s="7" t="str">
        <f>Preencher!$B$3&amp;$U$8&amp;$V$8&amp;A377&amp;$AF$6</f>
        <v>JARINU-FRG794724MQ.GIROFREEZER</v>
      </c>
      <c r="AG377" s="7" t="str">
        <f>Preencher!$B$3&amp;$U$8&amp;$V$8&amp;A377&amp;$AG$6</f>
        <v>JARINU-FRG794724MQ.GIROFREEZER (1)</v>
      </c>
      <c r="AH377" s="7" t="str">
        <f>Preencher!$B$3&amp;$U$8&amp;$V$8&amp;A377&amp;$AH$6</f>
        <v>JARINU-FRG794724MQ.GIROFREEZER (2)</v>
      </c>
      <c r="AI377" s="7" t="str">
        <f>Preencher!$B$3&amp;$U$8&amp;$V$8&amp;A377&amp;$AI$6</f>
        <v>JARINU-FRG794724MQ.GIROFREEZER REV04</v>
      </c>
      <c r="AJ377" s="7" t="str">
        <f>Preencher!$B$3&amp;$U$8&amp;$V$8&amp;A377&amp;$AJ$6</f>
        <v>JARINU-FRG794724MQ.GIROFREEZER (3)</v>
      </c>
      <c r="AK377" s="327">
        <f>IFERROR(SUMIF('BD Otimix'!A:A,'BD VOLUME'!AG377,'BD Otimix'!O:O)+SUMIF('BD Otimix'!A:A,'BD VOLUME'!AH377,'BD Otimix'!O:O)+SUMIF('BD Otimix'!A:A,'BD VOLUME'!AI377,'BD Otimix'!O:O)+SUMIF('BD Otimix'!A:A,'BD VOLUME'!AJ377,'BD Otimix'!O:O)+SUMIF('BD Otimix'!A:A,'BD VOLUME'!AF377,'BD Otimix'!O:O),0)</f>
        <v>0</v>
      </c>
      <c r="AL377" s="7">
        <f t="shared" si="86"/>
        <v>0</v>
      </c>
    </row>
    <row r="378" spans="1:38" s="4" customFormat="1" ht="14.25">
      <c r="A378" s="580">
        <v>795399</v>
      </c>
      <c r="B378" s="580" t="s">
        <v>2035</v>
      </c>
      <c r="C378" s="5" t="s">
        <v>2036</v>
      </c>
      <c r="D378" s="5" t="s">
        <v>867</v>
      </c>
      <c r="E378" s="5" t="s">
        <v>2122</v>
      </c>
      <c r="F378" s="132">
        <f>SUMIF('COLAR PLANO'!$A:$A,A378,'COLAR PLANO'!$D:$D)</f>
        <v>0</v>
      </c>
      <c r="G378" s="131">
        <f t="shared" si="87"/>
        <v>0</v>
      </c>
      <c r="H378" s="6">
        <v>9.9199999999999997E-2</v>
      </c>
      <c r="I378" s="7">
        <f t="shared" si="88"/>
        <v>0</v>
      </c>
      <c r="J378" s="130">
        <f t="shared" si="83"/>
        <v>0</v>
      </c>
      <c r="K378" s="122">
        <v>2.1</v>
      </c>
      <c r="L378" s="122">
        <v>6</v>
      </c>
      <c r="M378" s="122">
        <v>12.600000000000001</v>
      </c>
      <c r="N378" s="311">
        <f t="shared" si="89"/>
        <v>0</v>
      </c>
      <c r="O378" s="311"/>
      <c r="P378" s="311">
        <f>IFERROR(G378/M378,"-")</f>
        <v>0</v>
      </c>
      <c r="Q378" s="311"/>
      <c r="R378" s="311"/>
      <c r="S378" s="7"/>
      <c r="T378" s="7">
        <f>IFERROR(G378/M378,"-")</f>
        <v>0</v>
      </c>
      <c r="U378" s="7" t="s">
        <v>2288</v>
      </c>
      <c r="V378" s="7" t="s">
        <v>2289</v>
      </c>
      <c r="W378" s="7" t="str">
        <f>Preencher!$B$3&amp;U378&amp;V378&amp;A378&amp;$W$6</f>
        <v>JARINU-FRG795399MQ.TUNEL DE CG (CONTINUO)</v>
      </c>
      <c r="X378" s="7" t="str">
        <f>Preencher!$B$3&amp;U378&amp;V378&amp;A378&amp;$X$6</f>
        <v>JARINU-FRG795399MQ.TUNEL DE CG (CONTINUO) (1)</v>
      </c>
      <c r="Y378" s="7" t="str">
        <f>Preencher!$B$3&amp;U378&amp;V378&amp;A378&amp;$Y$6</f>
        <v>JARINU-FRG795399MQ.TUNEL DE CG (CONTINUO) (2)</v>
      </c>
      <c r="Z378" s="7" t="str">
        <f>Preencher!$B$3&amp;U378&amp;V378&amp;A378&amp;$Z$6</f>
        <v>JARINU-FRG795399MQ.TUNEL DE CG (CONTINUO) (3)</v>
      </c>
      <c r="AA378" s="7" t="str">
        <f>Preencher!$B$3&amp;U378&amp;V378&amp;A378&amp;$AA$6</f>
        <v>JARINU-FRG795399MQ.TUNEL DE CG (ESTATICO)</v>
      </c>
      <c r="AB378" s="7" t="str">
        <f>Preencher!$B$3&amp;U378&amp;V378&amp;A378&amp;$AB$6</f>
        <v>JARINU-FRG795399MQ.TUNEL DE CG (ESTATICO) (1)</v>
      </c>
      <c r="AC378" s="7" t="str">
        <f>Preencher!$B$3&amp;U378&amp;V378&amp;A378&amp;$AC$6</f>
        <v>JARINU-FRG795399MQ.TUNEL DE CG (ESTATICO) (2)</v>
      </c>
      <c r="AD378" s="327">
        <f>IFERROR(SUMIF('BD Otimix'!A:A,'BD VOLUME'!X378,'BD Otimix'!O:O)+SUMIF('BD Otimix'!A:A,'BD VOLUME'!Y378,'BD Otimix'!O:O)+SUMIF('BD Otimix'!A:A,'BD VOLUME'!Z378,'BD Otimix'!O:O)+SUMIF('BD Otimix'!A:A,'BD VOLUME'!AA378,'BD Otimix'!O:O)+SUMIF('BD Otimix'!A:A,'BD VOLUME'!AB378,'BD Otimix'!O:O)+SUMIF('BD Otimix'!A:A,'BD VOLUME'!AC378,'BD Otimix'!O:O)+SUMIF('BD Otimix'!A:A,'BD VOLUME'!W378,'BD Otimix'!O:O),0)</f>
        <v>0</v>
      </c>
      <c r="AE378" s="327">
        <f t="shared" si="85"/>
        <v>0</v>
      </c>
      <c r="AF378" s="7" t="str">
        <f>Preencher!$B$3&amp;$U$8&amp;$V$8&amp;A378&amp;$AF$6</f>
        <v>JARINU-FRG795399MQ.GIROFREEZER</v>
      </c>
      <c r="AG378" s="7" t="str">
        <f>Preencher!$B$3&amp;$U$8&amp;$V$8&amp;A378&amp;$AG$6</f>
        <v>JARINU-FRG795399MQ.GIROFREEZER (1)</v>
      </c>
      <c r="AH378" s="7" t="str">
        <f>Preencher!$B$3&amp;$U$8&amp;$V$8&amp;A378&amp;$AH$6</f>
        <v>JARINU-FRG795399MQ.GIROFREEZER (2)</v>
      </c>
      <c r="AI378" s="7" t="str">
        <f>Preencher!$B$3&amp;$U$8&amp;$V$8&amp;A378&amp;$AI$6</f>
        <v>JARINU-FRG795399MQ.GIROFREEZER REV04</v>
      </c>
      <c r="AJ378" s="7" t="str">
        <f>Preencher!$B$3&amp;$U$8&amp;$V$8&amp;A378&amp;$AJ$6</f>
        <v>JARINU-FRG795399MQ.GIROFREEZER (3)</v>
      </c>
      <c r="AK378" s="327">
        <f>IFERROR(SUMIF('BD Otimix'!A:A,'BD VOLUME'!AG378,'BD Otimix'!O:O)+SUMIF('BD Otimix'!A:A,'BD VOLUME'!AH378,'BD Otimix'!O:O)+SUMIF('BD Otimix'!A:A,'BD VOLUME'!AI378,'BD Otimix'!O:O)+SUMIF('BD Otimix'!A:A,'BD VOLUME'!AJ378,'BD Otimix'!O:O)+SUMIF('BD Otimix'!A:A,'BD VOLUME'!AF378,'BD Otimix'!O:O),0)</f>
        <v>0</v>
      </c>
      <c r="AL378" s="7">
        <f t="shared" si="86"/>
        <v>0</v>
      </c>
    </row>
    <row r="379" spans="1:38" s="4" customFormat="1" ht="14.25">
      <c r="A379" s="580">
        <v>329355</v>
      </c>
      <c r="B379" s="580" t="s">
        <v>2016</v>
      </c>
      <c r="C379" s="5" t="s">
        <v>2017</v>
      </c>
      <c r="D379" s="75" t="s">
        <v>867</v>
      </c>
      <c r="E379" s="5" t="s">
        <v>2116</v>
      </c>
      <c r="F379" s="132">
        <f>SUMIF('COLAR PLANO'!$A:$A,A379,'COLAR PLANO'!$D:$D)</f>
        <v>0</v>
      </c>
      <c r="G379" s="131">
        <f t="shared" si="87"/>
        <v>0</v>
      </c>
      <c r="H379" s="6">
        <v>9.8245614035087719E-2</v>
      </c>
      <c r="I379" s="7">
        <f t="shared" si="88"/>
        <v>0</v>
      </c>
      <c r="J379" s="130">
        <f t="shared" si="83"/>
        <v>0</v>
      </c>
      <c r="K379" s="122">
        <v>15</v>
      </c>
      <c r="L379" s="122">
        <v>1</v>
      </c>
      <c r="M379" s="122">
        <v>15</v>
      </c>
      <c r="N379" s="311">
        <f t="shared" si="89"/>
        <v>0</v>
      </c>
      <c r="O379" s="311"/>
      <c r="P379" s="311"/>
      <c r="Q379" s="311">
        <f>IFERROR(G379/M379,"-")</f>
        <v>0</v>
      </c>
      <c r="R379" s="311"/>
      <c r="S379" s="7"/>
      <c r="T379" s="7"/>
      <c r="U379" s="7" t="s">
        <v>2288</v>
      </c>
      <c r="V379" s="7" t="s">
        <v>2289</v>
      </c>
      <c r="W379" s="7" t="str">
        <f>Preencher!$B$3&amp;U379&amp;V379&amp;A379&amp;$W$6</f>
        <v>JARINU-FRG329355MQ.TUNEL DE CG (CONTINUO)</v>
      </c>
      <c r="X379" s="7" t="str">
        <f>Preencher!$B$3&amp;U379&amp;V379&amp;A379&amp;$X$6</f>
        <v>JARINU-FRG329355MQ.TUNEL DE CG (CONTINUO) (1)</v>
      </c>
      <c r="Y379" s="7" t="str">
        <f>Preencher!$B$3&amp;U379&amp;V379&amp;A379&amp;$Y$6</f>
        <v>JARINU-FRG329355MQ.TUNEL DE CG (CONTINUO) (2)</v>
      </c>
      <c r="Z379" s="7" t="str">
        <f>Preencher!$B$3&amp;U379&amp;V379&amp;A379&amp;$Z$6</f>
        <v>JARINU-FRG329355MQ.TUNEL DE CG (CONTINUO) (3)</v>
      </c>
      <c r="AA379" s="7" t="str">
        <f>Preencher!$B$3&amp;U379&amp;V379&amp;A379&amp;$AA$6</f>
        <v>JARINU-FRG329355MQ.TUNEL DE CG (ESTATICO)</v>
      </c>
      <c r="AB379" s="7" t="str">
        <f>Preencher!$B$3&amp;U379&amp;V379&amp;A379&amp;$AB$6</f>
        <v>JARINU-FRG329355MQ.TUNEL DE CG (ESTATICO) (1)</v>
      </c>
      <c r="AC379" s="7" t="str">
        <f>Preencher!$B$3&amp;U379&amp;V379&amp;A379&amp;$AC$6</f>
        <v>JARINU-FRG329355MQ.TUNEL DE CG (ESTATICO) (2)</v>
      </c>
      <c r="AD379" s="327">
        <f>IFERROR(SUMIF('BD Otimix'!A:A,'BD VOLUME'!X379,'BD Otimix'!O:O)+SUMIF('BD Otimix'!A:A,'BD VOLUME'!Y379,'BD Otimix'!O:O)+SUMIF('BD Otimix'!A:A,'BD VOLUME'!Z379,'BD Otimix'!O:O)+SUMIF('BD Otimix'!A:A,'BD VOLUME'!AA379,'BD Otimix'!O:O)+SUMIF('BD Otimix'!A:A,'BD VOLUME'!AB379,'BD Otimix'!O:O)+SUMIF('BD Otimix'!A:A,'BD VOLUME'!AC379,'BD Otimix'!O:O)+SUMIF('BD Otimix'!A:A,'BD VOLUME'!W379,'BD Otimix'!O:O),0)</f>
        <v>0</v>
      </c>
      <c r="AE379" s="327">
        <f t="shared" si="85"/>
        <v>0</v>
      </c>
      <c r="AF379" s="7" t="str">
        <f>Preencher!$B$3&amp;$U$8&amp;$V$8&amp;A379&amp;$AF$6</f>
        <v>JARINU-FRG329355MQ.GIROFREEZER</v>
      </c>
      <c r="AG379" s="7" t="str">
        <f>Preencher!$B$3&amp;$U$8&amp;$V$8&amp;A379&amp;$AG$6</f>
        <v>JARINU-FRG329355MQ.GIROFREEZER (1)</v>
      </c>
      <c r="AH379" s="7" t="str">
        <f>Preencher!$B$3&amp;$U$8&amp;$V$8&amp;A379&amp;$AH$6</f>
        <v>JARINU-FRG329355MQ.GIROFREEZER (2)</v>
      </c>
      <c r="AI379" s="7" t="str">
        <f>Preencher!$B$3&amp;$U$8&amp;$V$8&amp;A379&amp;$AI$6</f>
        <v>JARINU-FRG329355MQ.GIROFREEZER REV04</v>
      </c>
      <c r="AJ379" s="7" t="str">
        <f>Preencher!$B$3&amp;$U$8&amp;$V$8&amp;A379&amp;$AJ$6</f>
        <v>JARINU-FRG329355MQ.GIROFREEZER (3)</v>
      </c>
      <c r="AK379" s="327">
        <f>IFERROR(SUMIF('BD Otimix'!A:A,'BD VOLUME'!AG379,'BD Otimix'!O:O)+SUMIF('BD Otimix'!A:A,'BD VOLUME'!AH379,'BD Otimix'!O:O)+SUMIF('BD Otimix'!A:A,'BD VOLUME'!AI379,'BD Otimix'!O:O)+SUMIF('BD Otimix'!A:A,'BD VOLUME'!AJ379,'BD Otimix'!O:O)+SUMIF('BD Otimix'!A:A,'BD VOLUME'!AF379,'BD Otimix'!O:O),0)</f>
        <v>0</v>
      </c>
      <c r="AL379" s="7">
        <f t="shared" si="86"/>
        <v>0</v>
      </c>
    </row>
    <row r="380" spans="1:38" s="4" customFormat="1" ht="14.25">
      <c r="A380" s="580">
        <v>329363</v>
      </c>
      <c r="B380" s="580" t="s">
        <v>2023</v>
      </c>
      <c r="C380" s="5" t="s">
        <v>2024</v>
      </c>
      <c r="D380" s="75" t="s">
        <v>867</v>
      </c>
      <c r="E380" s="5" t="s">
        <v>2116</v>
      </c>
      <c r="F380" s="132">
        <f>SUMIF('COLAR PLANO'!$A:$A,A380,'COLAR PLANO'!$D:$D)</f>
        <v>0</v>
      </c>
      <c r="G380" s="131">
        <f t="shared" si="87"/>
        <v>0</v>
      </c>
      <c r="H380" s="6">
        <v>9.8245614035087719E-2</v>
      </c>
      <c r="I380" s="7">
        <f t="shared" si="88"/>
        <v>0</v>
      </c>
      <c r="J380" s="130">
        <f t="shared" si="83"/>
        <v>0</v>
      </c>
      <c r="K380" s="122">
        <v>15</v>
      </c>
      <c r="L380" s="122">
        <v>1</v>
      </c>
      <c r="M380" s="122">
        <v>15</v>
      </c>
      <c r="N380" s="311">
        <f t="shared" si="89"/>
        <v>0</v>
      </c>
      <c r="O380" s="311"/>
      <c r="P380" s="311"/>
      <c r="Q380" s="311">
        <f>IFERROR(G380/M380,"-")</f>
        <v>0</v>
      </c>
      <c r="R380" s="311"/>
      <c r="S380" s="7"/>
      <c r="T380" s="7"/>
      <c r="U380" s="7" t="s">
        <v>2288</v>
      </c>
      <c r="V380" s="7" t="s">
        <v>2289</v>
      </c>
      <c r="W380" s="7" t="str">
        <f>Preencher!$B$3&amp;U380&amp;V380&amp;A380&amp;$W$6</f>
        <v>JARINU-FRG329363MQ.TUNEL DE CG (CONTINUO)</v>
      </c>
      <c r="X380" s="7" t="str">
        <f>Preencher!$B$3&amp;U380&amp;V380&amp;A380&amp;$X$6</f>
        <v>JARINU-FRG329363MQ.TUNEL DE CG (CONTINUO) (1)</v>
      </c>
      <c r="Y380" s="7" t="str">
        <f>Preencher!$B$3&amp;U380&amp;V380&amp;A380&amp;$Y$6</f>
        <v>JARINU-FRG329363MQ.TUNEL DE CG (CONTINUO) (2)</v>
      </c>
      <c r="Z380" s="7" t="str">
        <f>Preencher!$B$3&amp;U380&amp;V380&amp;A380&amp;$Z$6</f>
        <v>JARINU-FRG329363MQ.TUNEL DE CG (CONTINUO) (3)</v>
      </c>
      <c r="AA380" s="7" t="str">
        <f>Preencher!$B$3&amp;U380&amp;V380&amp;A380&amp;$AA$6</f>
        <v>JARINU-FRG329363MQ.TUNEL DE CG (ESTATICO)</v>
      </c>
      <c r="AB380" s="7" t="str">
        <f>Preencher!$B$3&amp;U380&amp;V380&amp;A380&amp;$AB$6</f>
        <v>JARINU-FRG329363MQ.TUNEL DE CG (ESTATICO) (1)</v>
      </c>
      <c r="AC380" s="7" t="str">
        <f>Preencher!$B$3&amp;U380&amp;V380&amp;A380&amp;$AC$6</f>
        <v>JARINU-FRG329363MQ.TUNEL DE CG (ESTATICO) (2)</v>
      </c>
      <c r="AD380" s="327">
        <f>IFERROR(SUMIF('BD Otimix'!A:A,'BD VOLUME'!X380,'BD Otimix'!O:O)+SUMIF('BD Otimix'!A:A,'BD VOLUME'!Y380,'BD Otimix'!O:O)+SUMIF('BD Otimix'!A:A,'BD VOLUME'!Z380,'BD Otimix'!O:O)+SUMIF('BD Otimix'!A:A,'BD VOLUME'!AA380,'BD Otimix'!O:O)+SUMIF('BD Otimix'!A:A,'BD VOLUME'!AB380,'BD Otimix'!O:O)+SUMIF('BD Otimix'!A:A,'BD VOLUME'!AC380,'BD Otimix'!O:O)+SUMIF('BD Otimix'!A:A,'BD VOLUME'!W380,'BD Otimix'!O:O),0)</f>
        <v>0</v>
      </c>
      <c r="AE380" s="327">
        <f t="shared" si="85"/>
        <v>0</v>
      </c>
      <c r="AF380" s="7" t="str">
        <f>Preencher!$B$3&amp;$U$8&amp;$V$8&amp;A380&amp;$AF$6</f>
        <v>JARINU-FRG329363MQ.GIROFREEZER</v>
      </c>
      <c r="AG380" s="7" t="str">
        <f>Preencher!$B$3&amp;$U$8&amp;$V$8&amp;A380&amp;$AG$6</f>
        <v>JARINU-FRG329363MQ.GIROFREEZER (1)</v>
      </c>
      <c r="AH380" s="7" t="str">
        <f>Preencher!$B$3&amp;$U$8&amp;$V$8&amp;A380&amp;$AH$6</f>
        <v>JARINU-FRG329363MQ.GIROFREEZER (2)</v>
      </c>
      <c r="AI380" s="7" t="str">
        <f>Preencher!$B$3&amp;$U$8&amp;$V$8&amp;A380&amp;$AI$6</f>
        <v>JARINU-FRG329363MQ.GIROFREEZER REV04</v>
      </c>
      <c r="AJ380" s="7" t="str">
        <f>Preencher!$B$3&amp;$U$8&amp;$V$8&amp;A380&amp;$AJ$6</f>
        <v>JARINU-FRG329363MQ.GIROFREEZER (3)</v>
      </c>
      <c r="AK380" s="327">
        <f>IFERROR(SUMIF('BD Otimix'!A:A,'BD VOLUME'!AG380,'BD Otimix'!O:O)+SUMIF('BD Otimix'!A:A,'BD VOLUME'!AH380,'BD Otimix'!O:O)+SUMIF('BD Otimix'!A:A,'BD VOLUME'!AI380,'BD Otimix'!O:O)+SUMIF('BD Otimix'!A:A,'BD VOLUME'!AJ380,'BD Otimix'!O:O)+SUMIF('BD Otimix'!A:A,'BD VOLUME'!AF380,'BD Otimix'!O:O),0)</f>
        <v>0</v>
      </c>
      <c r="AL380" s="7">
        <f t="shared" si="86"/>
        <v>0</v>
      </c>
    </row>
    <row r="381" spans="1:38" s="4" customFormat="1" ht="14.25">
      <c r="A381" s="355">
        <v>798118</v>
      </c>
      <c r="B381" s="355" t="s">
        <v>1022</v>
      </c>
      <c r="C381" s="5" t="s">
        <v>1476</v>
      </c>
      <c r="D381" s="75" t="s">
        <v>867</v>
      </c>
      <c r="E381" s="5" t="s">
        <v>1526</v>
      </c>
      <c r="F381" s="132">
        <f>SUMIF('COLAR PLANO'!$A:$A,A381,'COLAR PLANO'!$D:$D)</f>
        <v>0</v>
      </c>
      <c r="G381" s="131">
        <f t="shared" si="87"/>
        <v>0</v>
      </c>
      <c r="H381" s="6">
        <v>9.8245614035087719E-2</v>
      </c>
      <c r="I381" s="7">
        <f t="shared" si="88"/>
        <v>0</v>
      </c>
      <c r="J381" s="130">
        <f t="shared" si="83"/>
        <v>0</v>
      </c>
      <c r="K381" s="122">
        <v>2.5</v>
      </c>
      <c r="L381" s="122">
        <v>4</v>
      </c>
      <c r="M381" s="122">
        <v>10</v>
      </c>
      <c r="N381" s="311">
        <f t="shared" si="89"/>
        <v>0</v>
      </c>
      <c r="O381" s="311">
        <f>IFERROR(G381/M381,"-")</f>
        <v>0</v>
      </c>
      <c r="P381" s="311"/>
      <c r="Q381" s="311"/>
      <c r="R381" s="311"/>
      <c r="S381" s="7"/>
      <c r="T381" s="7"/>
      <c r="U381" s="7" t="s">
        <v>2288</v>
      </c>
      <c r="V381" s="7" t="s">
        <v>2289</v>
      </c>
      <c r="W381" s="7" t="str">
        <f>Preencher!$B$3&amp;U381&amp;V381&amp;A381&amp;$W$6</f>
        <v>JARINU-FRG798118MQ.TUNEL DE CG (CONTINUO)</v>
      </c>
      <c r="X381" s="7" t="str">
        <f>Preencher!$B$3&amp;U381&amp;V381&amp;A381&amp;$X$6</f>
        <v>JARINU-FRG798118MQ.TUNEL DE CG (CONTINUO) (1)</v>
      </c>
      <c r="Y381" s="7" t="str">
        <f>Preencher!$B$3&amp;U381&amp;V381&amp;A381&amp;$Y$6</f>
        <v>JARINU-FRG798118MQ.TUNEL DE CG (CONTINUO) (2)</v>
      </c>
      <c r="Z381" s="7" t="str">
        <f>Preencher!$B$3&amp;U381&amp;V381&amp;A381&amp;$Z$6</f>
        <v>JARINU-FRG798118MQ.TUNEL DE CG (CONTINUO) (3)</v>
      </c>
      <c r="AA381" s="7" t="str">
        <f>Preencher!$B$3&amp;U381&amp;V381&amp;A381&amp;$AA$6</f>
        <v>JARINU-FRG798118MQ.TUNEL DE CG (ESTATICO)</v>
      </c>
      <c r="AB381" s="7" t="str">
        <f>Preencher!$B$3&amp;U381&amp;V381&amp;A381&amp;$AB$6</f>
        <v>JARINU-FRG798118MQ.TUNEL DE CG (ESTATICO) (1)</v>
      </c>
      <c r="AC381" s="7" t="str">
        <f>Preencher!$B$3&amp;U381&amp;V381&amp;A381&amp;$AC$6</f>
        <v>JARINU-FRG798118MQ.TUNEL DE CG (ESTATICO) (2)</v>
      </c>
      <c r="AD381" s="327">
        <f>IFERROR(SUMIF('BD Otimix'!A:A,'BD VOLUME'!X381,'BD Otimix'!O:O)+SUMIF('BD Otimix'!A:A,'BD VOLUME'!Y381,'BD Otimix'!O:O)+SUMIF('BD Otimix'!A:A,'BD VOLUME'!Z381,'BD Otimix'!O:O)+SUMIF('BD Otimix'!A:A,'BD VOLUME'!AA381,'BD Otimix'!O:O)+SUMIF('BD Otimix'!A:A,'BD VOLUME'!AB381,'BD Otimix'!O:O)+SUMIF('BD Otimix'!A:A,'BD VOLUME'!AC381,'BD Otimix'!O:O)+SUMIF('BD Otimix'!A:A,'BD VOLUME'!W381,'BD Otimix'!O:O),0)</f>
        <v>0</v>
      </c>
      <c r="AE381" s="327">
        <f t="shared" si="85"/>
        <v>0</v>
      </c>
      <c r="AF381" s="7" t="str">
        <f>Preencher!$B$3&amp;$U$8&amp;$V$8&amp;A381&amp;$AF$6</f>
        <v>JARINU-FRG798118MQ.GIROFREEZER</v>
      </c>
      <c r="AG381" s="7" t="str">
        <f>Preencher!$B$3&amp;$U$8&amp;$V$8&amp;A381&amp;$AG$6</f>
        <v>JARINU-FRG798118MQ.GIROFREEZER (1)</v>
      </c>
      <c r="AH381" s="7" t="str">
        <f>Preencher!$B$3&amp;$U$8&amp;$V$8&amp;A381&amp;$AH$6</f>
        <v>JARINU-FRG798118MQ.GIROFREEZER (2)</v>
      </c>
      <c r="AI381" s="7" t="str">
        <f>Preencher!$B$3&amp;$U$8&amp;$V$8&amp;A381&amp;$AI$6</f>
        <v>JARINU-FRG798118MQ.GIROFREEZER REV04</v>
      </c>
      <c r="AJ381" s="7" t="str">
        <f>Preencher!$B$3&amp;$U$8&amp;$V$8&amp;A381&amp;$AJ$6</f>
        <v>JARINU-FRG798118MQ.GIROFREEZER (3)</v>
      </c>
      <c r="AK381" s="327">
        <f>IFERROR(SUMIF('BD Otimix'!A:A,'BD VOLUME'!AG381,'BD Otimix'!O:O)+SUMIF('BD Otimix'!A:A,'BD VOLUME'!AH381,'BD Otimix'!O:O)+SUMIF('BD Otimix'!A:A,'BD VOLUME'!AI381,'BD Otimix'!O:O)+SUMIF('BD Otimix'!A:A,'BD VOLUME'!AJ381,'BD Otimix'!O:O)+SUMIF('BD Otimix'!A:A,'BD VOLUME'!AF381,'BD Otimix'!O:O),0)</f>
        <v>0</v>
      </c>
      <c r="AL381" s="7">
        <f t="shared" si="86"/>
        <v>0</v>
      </c>
    </row>
    <row r="382" spans="1:38" s="4" customFormat="1" ht="14.25">
      <c r="A382" s="355">
        <v>52370</v>
      </c>
      <c r="B382" s="355"/>
      <c r="C382" s="5" t="s">
        <v>1474</v>
      </c>
      <c r="D382" s="75" t="s">
        <v>867</v>
      </c>
      <c r="E382" s="5" t="s">
        <v>1528</v>
      </c>
      <c r="F382" s="132">
        <f>SUMIF('COLAR PLANO'!$A:$A,A382,'COLAR PLANO'!$D:$D)</f>
        <v>0</v>
      </c>
      <c r="G382" s="131">
        <f t="shared" si="87"/>
        <v>0</v>
      </c>
      <c r="H382" s="6">
        <v>8.4199999999999997E-2</v>
      </c>
      <c r="I382" s="7">
        <f t="shared" si="88"/>
        <v>0</v>
      </c>
      <c r="J382" s="130">
        <f t="shared" ref="J382:J401" si="90">IFERROR(I382/$B$306,0)</f>
        <v>0</v>
      </c>
      <c r="K382" s="122">
        <v>2.5</v>
      </c>
      <c r="L382" s="122">
        <v>4</v>
      </c>
      <c r="M382" s="122">
        <v>10</v>
      </c>
      <c r="N382" s="311">
        <f t="shared" si="89"/>
        <v>0</v>
      </c>
      <c r="O382" s="311">
        <f>IFERROR(G382/M382,"-")</f>
        <v>0</v>
      </c>
      <c r="P382" s="311"/>
      <c r="Q382" s="311"/>
      <c r="R382" s="311"/>
      <c r="S382" s="7"/>
      <c r="T382" s="7"/>
      <c r="U382" s="7" t="s">
        <v>2288</v>
      </c>
      <c r="V382" s="7" t="s">
        <v>2289</v>
      </c>
      <c r="W382" s="7" t="str">
        <f>Preencher!$B$3&amp;U382&amp;V382&amp;A382&amp;$W$6</f>
        <v>JARINU-FRG52370MQ.TUNEL DE CG (CONTINUO)</v>
      </c>
      <c r="X382" s="7" t="str">
        <f>Preencher!$B$3&amp;U382&amp;V382&amp;A382&amp;$X$6</f>
        <v>JARINU-FRG52370MQ.TUNEL DE CG (CONTINUO) (1)</v>
      </c>
      <c r="Y382" s="7" t="str">
        <f>Preencher!$B$3&amp;U382&amp;V382&amp;A382&amp;$Y$6</f>
        <v>JARINU-FRG52370MQ.TUNEL DE CG (CONTINUO) (2)</v>
      </c>
      <c r="Z382" s="7" t="str">
        <f>Preencher!$B$3&amp;U382&amp;V382&amp;A382&amp;$Z$6</f>
        <v>JARINU-FRG52370MQ.TUNEL DE CG (CONTINUO) (3)</v>
      </c>
      <c r="AA382" s="7" t="str">
        <f>Preencher!$B$3&amp;U382&amp;V382&amp;A382&amp;$AA$6</f>
        <v>JARINU-FRG52370MQ.TUNEL DE CG (ESTATICO)</v>
      </c>
      <c r="AB382" s="7" t="str">
        <f>Preencher!$B$3&amp;U382&amp;V382&amp;A382&amp;$AB$6</f>
        <v>JARINU-FRG52370MQ.TUNEL DE CG (ESTATICO) (1)</v>
      </c>
      <c r="AC382" s="7" t="str">
        <f>Preencher!$B$3&amp;U382&amp;V382&amp;A382&amp;$AC$6</f>
        <v>JARINU-FRG52370MQ.TUNEL DE CG (ESTATICO) (2)</v>
      </c>
      <c r="AD382" s="327">
        <f>IFERROR(SUMIF('BD Otimix'!A:A,'BD VOLUME'!X382,'BD Otimix'!O:O)+SUMIF('BD Otimix'!A:A,'BD VOLUME'!Y382,'BD Otimix'!O:O)+SUMIF('BD Otimix'!A:A,'BD VOLUME'!Z382,'BD Otimix'!O:O)+SUMIF('BD Otimix'!A:A,'BD VOLUME'!AA382,'BD Otimix'!O:O)+SUMIF('BD Otimix'!A:A,'BD VOLUME'!AB382,'BD Otimix'!O:O)+SUMIF('BD Otimix'!A:A,'BD VOLUME'!AC382,'BD Otimix'!O:O)+SUMIF('BD Otimix'!A:A,'BD VOLUME'!W382,'BD Otimix'!O:O),0)</f>
        <v>0</v>
      </c>
      <c r="AE382" s="327">
        <f t="shared" si="85"/>
        <v>0</v>
      </c>
      <c r="AF382" s="7" t="str">
        <f>Preencher!$B$3&amp;$U$8&amp;$V$8&amp;A382&amp;$AF$6</f>
        <v>JARINU-FRG52370MQ.GIROFREEZER</v>
      </c>
      <c r="AG382" s="7" t="str">
        <f>Preencher!$B$3&amp;$U$8&amp;$V$8&amp;A382&amp;$AG$6</f>
        <v>JARINU-FRG52370MQ.GIROFREEZER (1)</v>
      </c>
      <c r="AH382" s="7" t="str">
        <f>Preencher!$B$3&amp;$U$8&amp;$V$8&amp;A382&amp;$AH$6</f>
        <v>JARINU-FRG52370MQ.GIROFREEZER (2)</v>
      </c>
      <c r="AI382" s="7" t="str">
        <f>Preencher!$B$3&amp;$U$8&amp;$V$8&amp;A382&amp;$AI$6</f>
        <v>JARINU-FRG52370MQ.GIROFREEZER REV04</v>
      </c>
      <c r="AJ382" s="7" t="str">
        <f>Preencher!$B$3&amp;$U$8&amp;$V$8&amp;A382&amp;$AJ$6</f>
        <v>JARINU-FRG52370MQ.GIROFREEZER (3)</v>
      </c>
      <c r="AK382" s="327">
        <f>IFERROR(SUMIF('BD Otimix'!A:A,'BD VOLUME'!AG382,'BD Otimix'!O:O)+SUMIF('BD Otimix'!A:A,'BD VOLUME'!AH382,'BD Otimix'!O:O)+SUMIF('BD Otimix'!A:A,'BD VOLUME'!AI382,'BD Otimix'!O:O)+SUMIF('BD Otimix'!A:A,'BD VOLUME'!AJ382,'BD Otimix'!O:O)+SUMIF('BD Otimix'!A:A,'BD VOLUME'!AF382,'BD Otimix'!O:O),0)</f>
        <v>0</v>
      </c>
      <c r="AL382" s="7">
        <f t="shared" si="86"/>
        <v>0</v>
      </c>
    </row>
    <row r="383" spans="1:38" s="4" customFormat="1" ht="14.25">
      <c r="A383" s="663">
        <v>727873</v>
      </c>
      <c r="B383" s="663"/>
      <c r="C383" s="5" t="s">
        <v>2244</v>
      </c>
      <c r="D383" s="75" t="s">
        <v>867</v>
      </c>
      <c r="E383" s="5" t="s">
        <v>938</v>
      </c>
      <c r="F383" s="132">
        <f>SUMIF('COLAR PLANO'!$A:$A,A383,'COLAR PLANO'!$D:$D)</f>
        <v>0</v>
      </c>
      <c r="G383" s="131">
        <f t="shared" si="87"/>
        <v>0</v>
      </c>
      <c r="H383" s="6">
        <v>0.217</v>
      </c>
      <c r="I383" s="7">
        <f t="shared" si="88"/>
        <v>0</v>
      </c>
      <c r="J383" s="130">
        <f t="shared" si="90"/>
        <v>0</v>
      </c>
      <c r="K383" s="122">
        <v>15</v>
      </c>
      <c r="L383" s="122">
        <v>1</v>
      </c>
      <c r="M383" s="122">
        <v>15</v>
      </c>
      <c r="N383" s="311">
        <f t="shared" si="89"/>
        <v>0</v>
      </c>
      <c r="O383" s="311"/>
      <c r="P383" s="311"/>
      <c r="Q383" s="311">
        <f>IFERROR(G383/M383,"-")</f>
        <v>0</v>
      </c>
      <c r="R383" s="311"/>
      <c r="S383" s="7"/>
      <c r="T383" s="7"/>
      <c r="U383" s="7" t="s">
        <v>2288</v>
      </c>
      <c r="V383" s="7" t="s">
        <v>2289</v>
      </c>
      <c r="W383" s="7" t="str">
        <f>Preencher!$B$3&amp;U383&amp;V383&amp;A383&amp;$W$6</f>
        <v>JARINU-FRG727873MQ.TUNEL DE CG (CONTINUO)</v>
      </c>
      <c r="X383" s="7" t="str">
        <f>Preencher!$B$3&amp;U383&amp;V383&amp;A383&amp;$X$6</f>
        <v>JARINU-FRG727873MQ.TUNEL DE CG (CONTINUO) (1)</v>
      </c>
      <c r="Y383" s="7" t="str">
        <f>Preencher!$B$3&amp;U383&amp;V383&amp;A383&amp;$Y$6</f>
        <v>JARINU-FRG727873MQ.TUNEL DE CG (CONTINUO) (2)</v>
      </c>
      <c r="Z383" s="7" t="str">
        <f>Preencher!$B$3&amp;U383&amp;V383&amp;A383&amp;$Z$6</f>
        <v>JARINU-FRG727873MQ.TUNEL DE CG (CONTINUO) (3)</v>
      </c>
      <c r="AA383" s="7" t="str">
        <f>Preencher!$B$3&amp;U383&amp;V383&amp;A383&amp;$AA$6</f>
        <v>JARINU-FRG727873MQ.TUNEL DE CG (ESTATICO)</v>
      </c>
      <c r="AB383" s="7" t="str">
        <f>Preencher!$B$3&amp;U383&amp;V383&amp;A383&amp;$AB$6</f>
        <v>JARINU-FRG727873MQ.TUNEL DE CG (ESTATICO) (1)</v>
      </c>
      <c r="AC383" s="7" t="str">
        <f>Preencher!$B$3&amp;U383&amp;V383&amp;A383&amp;$AC$6</f>
        <v>JARINU-FRG727873MQ.TUNEL DE CG (ESTATICO) (2)</v>
      </c>
      <c r="AD383" s="327">
        <f>IFERROR(SUMIF('BD Otimix'!A:A,'BD VOLUME'!X383,'BD Otimix'!O:O)+SUMIF('BD Otimix'!A:A,'BD VOLUME'!Y383,'BD Otimix'!O:O)+SUMIF('BD Otimix'!A:A,'BD VOLUME'!Z383,'BD Otimix'!O:O)+SUMIF('BD Otimix'!A:A,'BD VOLUME'!AA383,'BD Otimix'!O:O)+SUMIF('BD Otimix'!A:A,'BD VOLUME'!AB383,'BD Otimix'!O:O)+SUMIF('BD Otimix'!A:A,'BD VOLUME'!AC383,'BD Otimix'!O:O)+SUMIF('BD Otimix'!A:A,'BD VOLUME'!W383,'BD Otimix'!O:O),0)</f>
        <v>0</v>
      </c>
      <c r="AE383" s="327">
        <f t="shared" si="85"/>
        <v>0</v>
      </c>
      <c r="AF383" s="7" t="str">
        <f>Preencher!$B$3&amp;$U$8&amp;$V$8&amp;A383&amp;$AF$6</f>
        <v>JARINU-FRG727873MQ.GIROFREEZER</v>
      </c>
      <c r="AG383" s="7" t="str">
        <f>Preencher!$B$3&amp;$U$8&amp;$V$8&amp;A383&amp;$AG$6</f>
        <v>JARINU-FRG727873MQ.GIROFREEZER (1)</v>
      </c>
      <c r="AH383" s="7" t="str">
        <f>Preencher!$B$3&amp;$U$8&amp;$V$8&amp;A383&amp;$AH$6</f>
        <v>JARINU-FRG727873MQ.GIROFREEZER (2)</v>
      </c>
      <c r="AI383" s="7" t="str">
        <f>Preencher!$B$3&amp;$U$8&amp;$V$8&amp;A383&amp;$AI$6</f>
        <v>JARINU-FRG727873MQ.GIROFREEZER REV04</v>
      </c>
      <c r="AJ383" s="7" t="str">
        <f>Preencher!$B$3&amp;$U$8&amp;$V$8&amp;A383&amp;$AJ$6</f>
        <v>JARINU-FRG727873MQ.GIROFREEZER (3)</v>
      </c>
      <c r="AK383" s="327">
        <f>IFERROR(SUMIF('BD Otimix'!A:A,'BD VOLUME'!AG383,'BD Otimix'!O:O)+SUMIF('BD Otimix'!A:A,'BD VOLUME'!AH383,'BD Otimix'!O:O)+SUMIF('BD Otimix'!A:A,'BD VOLUME'!AI383,'BD Otimix'!O:O)+SUMIF('BD Otimix'!A:A,'BD VOLUME'!AJ383,'BD Otimix'!O:O)+SUMIF('BD Otimix'!A:A,'BD VOLUME'!AF383,'BD Otimix'!O:O),0)</f>
        <v>0</v>
      </c>
      <c r="AL383" s="7">
        <f t="shared" si="86"/>
        <v>0</v>
      </c>
    </row>
    <row r="384" spans="1:38" s="4" customFormat="1" ht="14.25">
      <c r="A384" s="663">
        <v>929883</v>
      </c>
      <c r="B384" s="663"/>
      <c r="C384" s="5" t="s">
        <v>2427</v>
      </c>
      <c r="D384" s="75" t="s">
        <v>867</v>
      </c>
      <c r="E384" s="5" t="s">
        <v>994</v>
      </c>
      <c r="F384" s="132">
        <f>SUMIF('COLAR PLANO'!$A:$A,A384,'COLAR PLANO'!$D:$D)</f>
        <v>113387.04</v>
      </c>
      <c r="G384" s="131">
        <f t="shared" si="87"/>
        <v>538.27220507951586</v>
      </c>
      <c r="H384" s="6">
        <v>0.21679999999999999</v>
      </c>
      <c r="I384" s="7">
        <f t="shared" si="88"/>
        <v>827.60179132766893</v>
      </c>
      <c r="J384" s="130">
        <f t="shared" si="90"/>
        <v>0.17609527004360953</v>
      </c>
      <c r="K384" s="122">
        <v>1</v>
      </c>
      <c r="L384" s="122">
        <v>18</v>
      </c>
      <c r="M384" s="122">
        <v>18</v>
      </c>
      <c r="N384" s="311">
        <f t="shared" si="89"/>
        <v>538.27220507951586</v>
      </c>
      <c r="O384" s="311">
        <f>IFERROR(G384/M384,"-")</f>
        <v>29.904011393306437</v>
      </c>
      <c r="P384" s="311"/>
      <c r="Q384" s="311"/>
      <c r="R384" s="311"/>
      <c r="S384" s="7"/>
      <c r="T384" s="7"/>
      <c r="U384" s="7" t="s">
        <v>2288</v>
      </c>
      <c r="V384" s="7" t="s">
        <v>2289</v>
      </c>
      <c r="W384" s="7" t="str">
        <f>Preencher!$B$3&amp;U384&amp;V384&amp;A384&amp;$W$6</f>
        <v>JARINU-FRG929883MQ.TUNEL DE CG (CONTINUO)</v>
      </c>
      <c r="X384" s="7" t="str">
        <f>Preencher!$B$3&amp;U384&amp;V384&amp;A384&amp;$X$6</f>
        <v>JARINU-FRG929883MQ.TUNEL DE CG (CONTINUO) (1)</v>
      </c>
      <c r="Y384" s="7" t="str">
        <f>Preencher!$B$3&amp;U384&amp;V384&amp;A384&amp;$Y$6</f>
        <v>JARINU-FRG929883MQ.TUNEL DE CG (CONTINUO) (2)</v>
      </c>
      <c r="Z384" s="7" t="str">
        <f>Preencher!$B$3&amp;U384&amp;V384&amp;A384&amp;$Z$6</f>
        <v>JARINU-FRG929883MQ.TUNEL DE CG (CONTINUO) (3)</v>
      </c>
      <c r="AA384" s="7" t="str">
        <f>Preencher!$B$3&amp;U384&amp;V384&amp;A384&amp;$AA$6</f>
        <v>JARINU-FRG929883MQ.TUNEL DE CG (ESTATICO)</v>
      </c>
      <c r="AB384" s="7" t="str">
        <f>Preencher!$B$3&amp;U384&amp;V384&amp;A384&amp;$AB$6</f>
        <v>JARINU-FRG929883MQ.TUNEL DE CG (ESTATICO) (1)</v>
      </c>
      <c r="AC384" s="7" t="str">
        <f>Preencher!$B$3&amp;U384&amp;V384&amp;A384&amp;$AC$6</f>
        <v>JARINU-FRG929883MQ.TUNEL DE CG (ESTATICO) (2)</v>
      </c>
      <c r="AD384" s="327">
        <f>IFERROR(SUMIF('BD Otimix'!A:A,'BD VOLUME'!X384,'BD Otimix'!O:O)+SUMIF('BD Otimix'!A:A,'BD VOLUME'!Y384,'BD Otimix'!O:O)+SUMIF('BD Otimix'!A:A,'BD VOLUME'!Z384,'BD Otimix'!O:O)+SUMIF('BD Otimix'!A:A,'BD VOLUME'!AA384,'BD Otimix'!O:O)+SUMIF('BD Otimix'!A:A,'BD VOLUME'!AB384,'BD Otimix'!O:O)+SUMIF('BD Otimix'!A:A,'BD VOLUME'!AC384,'BD Otimix'!O:O)+SUMIF('BD Otimix'!A:A,'BD VOLUME'!W384,'BD Otimix'!O:O),0)</f>
        <v>0</v>
      </c>
      <c r="AE384" s="327">
        <f t="shared" si="85"/>
        <v>0</v>
      </c>
      <c r="AF384" s="7" t="str">
        <f>Preencher!$B$3&amp;$U$8&amp;$V$8&amp;A384&amp;$AF$6</f>
        <v>JARINU-FRG929883MQ.GIROFREEZER</v>
      </c>
      <c r="AG384" s="7" t="str">
        <f>Preencher!$B$3&amp;$U$8&amp;$V$8&amp;A384&amp;$AG$6</f>
        <v>JARINU-FRG929883MQ.GIROFREEZER (1)</v>
      </c>
      <c r="AH384" s="7" t="str">
        <f>Preencher!$B$3&amp;$U$8&amp;$V$8&amp;A384&amp;$AH$6</f>
        <v>JARINU-FRG929883MQ.GIROFREEZER (2)</v>
      </c>
      <c r="AI384" s="7" t="str">
        <f>Preencher!$B$3&amp;$U$8&amp;$V$8&amp;A384&amp;$AI$6</f>
        <v>JARINU-FRG929883MQ.GIROFREEZER REV04</v>
      </c>
      <c r="AJ384" s="7" t="str">
        <f>Preencher!$B$3&amp;$U$8&amp;$V$8&amp;A384&amp;$AJ$6</f>
        <v>JARINU-FRG929883MQ.GIROFREEZER (3)</v>
      </c>
      <c r="AK384" s="327">
        <f>IFERROR(SUMIF('BD Otimix'!A:A,'BD VOLUME'!AG384,'BD Otimix'!O:O)+SUMIF('BD Otimix'!A:A,'BD VOLUME'!AH384,'BD Otimix'!O:O)+SUMIF('BD Otimix'!A:A,'BD VOLUME'!AI384,'BD Otimix'!O:O)+SUMIF('BD Otimix'!A:A,'BD VOLUME'!AJ384,'BD Otimix'!O:O)+SUMIF('BD Otimix'!A:A,'BD VOLUME'!AF384,'BD Otimix'!O:O),0)</f>
        <v>0</v>
      </c>
      <c r="AL384" s="7">
        <f t="shared" si="86"/>
        <v>0</v>
      </c>
    </row>
    <row r="385" spans="1:38" s="4" customFormat="1" ht="14.25">
      <c r="A385" s="666">
        <v>202269</v>
      </c>
      <c r="B385" s="666"/>
      <c r="C385" s="5" t="s">
        <v>2240</v>
      </c>
      <c r="D385" s="75" t="s">
        <v>867</v>
      </c>
      <c r="E385" s="5" t="s">
        <v>1808</v>
      </c>
      <c r="F385" s="132">
        <f>SUMIF('COLAR PLANO'!$A:$A,A385,'COLAR PLANO'!$D:$D)</f>
        <v>0</v>
      </c>
      <c r="G385" s="131">
        <f t="shared" si="87"/>
        <v>0</v>
      </c>
      <c r="H385" s="6">
        <v>0.18229999999999999</v>
      </c>
      <c r="I385" s="7">
        <f t="shared" si="88"/>
        <v>0</v>
      </c>
      <c r="J385" s="130">
        <f t="shared" si="90"/>
        <v>0</v>
      </c>
      <c r="K385" s="122">
        <v>0.5</v>
      </c>
      <c r="L385" s="122">
        <v>10</v>
      </c>
      <c r="M385" s="122">
        <v>5</v>
      </c>
      <c r="N385" s="311">
        <f t="shared" si="89"/>
        <v>0</v>
      </c>
      <c r="O385" s="311">
        <f>IFERROR(G385/M385,"-")</f>
        <v>0</v>
      </c>
      <c r="P385" s="311"/>
      <c r="Q385" s="311"/>
      <c r="R385" s="311"/>
      <c r="S385" s="7"/>
      <c r="T385" s="7"/>
      <c r="U385" s="7" t="s">
        <v>2288</v>
      </c>
      <c r="V385" s="7" t="s">
        <v>2289</v>
      </c>
      <c r="W385" s="7" t="str">
        <f>Preencher!$B$3&amp;U385&amp;V385&amp;A385&amp;$W$6</f>
        <v>JARINU-FRG202269MQ.TUNEL DE CG (CONTINUO)</v>
      </c>
      <c r="X385" s="7" t="str">
        <f>Preencher!$B$3&amp;U385&amp;V385&amp;A385&amp;$X$6</f>
        <v>JARINU-FRG202269MQ.TUNEL DE CG (CONTINUO) (1)</v>
      </c>
      <c r="Y385" s="7" t="str">
        <f>Preencher!$B$3&amp;U385&amp;V385&amp;A385&amp;$Y$6</f>
        <v>JARINU-FRG202269MQ.TUNEL DE CG (CONTINUO) (2)</v>
      </c>
      <c r="Z385" s="7" t="str">
        <f>Preencher!$B$3&amp;U385&amp;V385&amp;A385&amp;$Z$6</f>
        <v>JARINU-FRG202269MQ.TUNEL DE CG (CONTINUO) (3)</v>
      </c>
      <c r="AA385" s="7" t="str">
        <f>Preencher!$B$3&amp;U385&amp;V385&amp;A385&amp;$AA$6</f>
        <v>JARINU-FRG202269MQ.TUNEL DE CG (ESTATICO)</v>
      </c>
      <c r="AB385" s="7" t="str">
        <f>Preencher!$B$3&amp;U385&amp;V385&amp;A385&amp;$AB$6</f>
        <v>JARINU-FRG202269MQ.TUNEL DE CG (ESTATICO) (1)</v>
      </c>
      <c r="AC385" s="7" t="str">
        <f>Preencher!$B$3&amp;U385&amp;V385&amp;A385&amp;$AC$6</f>
        <v>JARINU-FRG202269MQ.TUNEL DE CG (ESTATICO) (2)</v>
      </c>
      <c r="AD385" s="327">
        <f>IFERROR(SUMIF('BD Otimix'!A:A,'BD VOLUME'!X385,'BD Otimix'!O:O)+SUMIF('BD Otimix'!A:A,'BD VOLUME'!Y385,'BD Otimix'!O:O)+SUMIF('BD Otimix'!A:A,'BD VOLUME'!Z385,'BD Otimix'!O:O)+SUMIF('BD Otimix'!A:A,'BD VOLUME'!AA385,'BD Otimix'!O:O)+SUMIF('BD Otimix'!A:A,'BD VOLUME'!AB385,'BD Otimix'!O:O)+SUMIF('BD Otimix'!A:A,'BD VOLUME'!AC385,'BD Otimix'!O:O)+SUMIF('BD Otimix'!A:A,'BD VOLUME'!W385,'BD Otimix'!O:O),0)</f>
        <v>0</v>
      </c>
      <c r="AE385" s="327">
        <f t="shared" si="85"/>
        <v>0</v>
      </c>
      <c r="AF385" s="7" t="str">
        <f>Preencher!$B$3&amp;$U$8&amp;$V$8&amp;A385&amp;$AF$6</f>
        <v>JARINU-FRG202269MQ.GIROFREEZER</v>
      </c>
      <c r="AG385" s="7" t="str">
        <f>Preencher!$B$3&amp;$U$8&amp;$V$8&amp;A385&amp;$AG$6</f>
        <v>JARINU-FRG202269MQ.GIROFREEZER (1)</v>
      </c>
      <c r="AH385" s="7" t="str">
        <f>Preencher!$B$3&amp;$U$8&amp;$V$8&amp;A385&amp;$AH$6</f>
        <v>JARINU-FRG202269MQ.GIROFREEZER (2)</v>
      </c>
      <c r="AI385" s="7" t="str">
        <f>Preencher!$B$3&amp;$U$8&amp;$V$8&amp;A385&amp;$AI$6</f>
        <v>JARINU-FRG202269MQ.GIROFREEZER REV04</v>
      </c>
      <c r="AJ385" s="7" t="str">
        <f>Preencher!$B$3&amp;$U$8&amp;$V$8&amp;A385&amp;$AJ$6</f>
        <v>JARINU-FRG202269MQ.GIROFREEZER (3)</v>
      </c>
      <c r="AK385" s="327">
        <f>IFERROR(SUMIF('BD Otimix'!A:A,'BD VOLUME'!AG385,'BD Otimix'!O:O)+SUMIF('BD Otimix'!A:A,'BD VOLUME'!AH385,'BD Otimix'!O:O)+SUMIF('BD Otimix'!A:A,'BD VOLUME'!AI385,'BD Otimix'!O:O)+SUMIF('BD Otimix'!A:A,'BD VOLUME'!AJ385,'BD Otimix'!O:O)+SUMIF('BD Otimix'!A:A,'BD VOLUME'!AF385,'BD Otimix'!O:O),0)</f>
        <v>0</v>
      </c>
      <c r="AL385" s="7">
        <f t="shared" si="86"/>
        <v>0</v>
      </c>
    </row>
    <row r="386" spans="1:38" s="4" customFormat="1" ht="14.25">
      <c r="A386" s="666">
        <v>202279</v>
      </c>
      <c r="B386" s="666"/>
      <c r="C386" s="5" t="s">
        <v>2241</v>
      </c>
      <c r="D386" s="75" t="s">
        <v>867</v>
      </c>
      <c r="E386" s="5" t="s">
        <v>1806</v>
      </c>
      <c r="F386" s="132">
        <f>SUMIF('COLAR PLANO'!$A:$A,A386,'COLAR PLANO'!$D:$D)</f>
        <v>0</v>
      </c>
      <c r="G386" s="131">
        <f t="shared" si="87"/>
        <v>0</v>
      </c>
      <c r="H386" s="6">
        <v>0.18229999999999999</v>
      </c>
      <c r="I386" s="7">
        <f t="shared" si="88"/>
        <v>0</v>
      </c>
      <c r="J386" s="130">
        <f t="shared" si="90"/>
        <v>0</v>
      </c>
      <c r="K386" s="122">
        <v>0.5</v>
      </c>
      <c r="L386" s="122">
        <v>10</v>
      </c>
      <c r="M386" s="122">
        <v>5</v>
      </c>
      <c r="N386" s="311">
        <f t="shared" si="89"/>
        <v>0</v>
      </c>
      <c r="O386" s="311">
        <f>IFERROR(G386/M386,"-")</f>
        <v>0</v>
      </c>
      <c r="P386" s="311"/>
      <c r="Q386" s="311"/>
      <c r="R386" s="311"/>
      <c r="S386" s="7"/>
      <c r="T386" s="7"/>
      <c r="U386" s="7" t="s">
        <v>2288</v>
      </c>
      <c r="V386" s="7" t="s">
        <v>2289</v>
      </c>
      <c r="W386" s="7" t="str">
        <f>Preencher!$B$3&amp;U386&amp;V386&amp;A386&amp;$W$6</f>
        <v>JARINU-FRG202279MQ.TUNEL DE CG (CONTINUO)</v>
      </c>
      <c r="X386" s="7" t="str">
        <f>Preencher!$B$3&amp;U386&amp;V386&amp;A386&amp;$X$6</f>
        <v>JARINU-FRG202279MQ.TUNEL DE CG (CONTINUO) (1)</v>
      </c>
      <c r="Y386" s="7" t="str">
        <f>Preencher!$B$3&amp;U386&amp;V386&amp;A386&amp;$Y$6</f>
        <v>JARINU-FRG202279MQ.TUNEL DE CG (CONTINUO) (2)</v>
      </c>
      <c r="Z386" s="7" t="str">
        <f>Preencher!$B$3&amp;U386&amp;V386&amp;A386&amp;$Z$6</f>
        <v>JARINU-FRG202279MQ.TUNEL DE CG (CONTINUO) (3)</v>
      </c>
      <c r="AA386" s="7" t="str">
        <f>Preencher!$B$3&amp;U386&amp;V386&amp;A386&amp;$AA$6</f>
        <v>JARINU-FRG202279MQ.TUNEL DE CG (ESTATICO)</v>
      </c>
      <c r="AB386" s="7" t="str">
        <f>Preencher!$B$3&amp;U386&amp;V386&amp;A386&amp;$AB$6</f>
        <v>JARINU-FRG202279MQ.TUNEL DE CG (ESTATICO) (1)</v>
      </c>
      <c r="AC386" s="7" t="str">
        <f>Preencher!$B$3&amp;U386&amp;V386&amp;A386&amp;$AC$6</f>
        <v>JARINU-FRG202279MQ.TUNEL DE CG (ESTATICO) (2)</v>
      </c>
      <c r="AD386" s="327">
        <f>IFERROR(SUMIF('BD Otimix'!A:A,'BD VOLUME'!X386,'BD Otimix'!O:O)+SUMIF('BD Otimix'!A:A,'BD VOLUME'!Y386,'BD Otimix'!O:O)+SUMIF('BD Otimix'!A:A,'BD VOLUME'!Z386,'BD Otimix'!O:O)+SUMIF('BD Otimix'!A:A,'BD VOLUME'!AA386,'BD Otimix'!O:O)+SUMIF('BD Otimix'!A:A,'BD VOLUME'!AB386,'BD Otimix'!O:O)+SUMIF('BD Otimix'!A:A,'BD VOLUME'!AC386,'BD Otimix'!O:O)+SUMIF('BD Otimix'!A:A,'BD VOLUME'!W386,'BD Otimix'!O:O),0)</f>
        <v>0</v>
      </c>
      <c r="AE386" s="327">
        <f t="shared" si="85"/>
        <v>0</v>
      </c>
      <c r="AF386" s="7" t="str">
        <f>Preencher!$B$3&amp;$U$8&amp;$V$8&amp;A386&amp;$AF$6</f>
        <v>JARINU-FRG202279MQ.GIROFREEZER</v>
      </c>
      <c r="AG386" s="7" t="str">
        <f>Preencher!$B$3&amp;$U$8&amp;$V$8&amp;A386&amp;$AG$6</f>
        <v>JARINU-FRG202279MQ.GIROFREEZER (1)</v>
      </c>
      <c r="AH386" s="7" t="str">
        <f>Preencher!$B$3&amp;$U$8&amp;$V$8&amp;A386&amp;$AH$6</f>
        <v>JARINU-FRG202279MQ.GIROFREEZER (2)</v>
      </c>
      <c r="AI386" s="7" t="str">
        <f>Preencher!$B$3&amp;$U$8&amp;$V$8&amp;A386&amp;$AI$6</f>
        <v>JARINU-FRG202279MQ.GIROFREEZER REV04</v>
      </c>
      <c r="AJ386" s="7" t="str">
        <f>Preencher!$B$3&amp;$U$8&amp;$V$8&amp;A386&amp;$AJ$6</f>
        <v>JARINU-FRG202279MQ.GIROFREEZER (3)</v>
      </c>
      <c r="AK386" s="327">
        <f>IFERROR(SUMIF('BD Otimix'!A:A,'BD VOLUME'!AG386,'BD Otimix'!O:O)+SUMIF('BD Otimix'!A:A,'BD VOLUME'!AH386,'BD Otimix'!O:O)+SUMIF('BD Otimix'!A:A,'BD VOLUME'!AI386,'BD Otimix'!O:O)+SUMIF('BD Otimix'!A:A,'BD VOLUME'!AJ386,'BD Otimix'!O:O)+SUMIF('BD Otimix'!A:A,'BD VOLUME'!AF386,'BD Otimix'!O:O),0)</f>
        <v>0</v>
      </c>
      <c r="AL386" s="7">
        <f t="shared" si="86"/>
        <v>0</v>
      </c>
    </row>
    <row r="387" spans="1:38" s="4" customFormat="1" ht="14.25">
      <c r="A387" s="666">
        <v>205558</v>
      </c>
      <c r="B387" s="666"/>
      <c r="C387" s="5" t="s">
        <v>2242</v>
      </c>
      <c r="D387" s="75" t="s">
        <v>867</v>
      </c>
      <c r="E387" s="5" t="s">
        <v>2458</v>
      </c>
      <c r="F387" s="132">
        <f>SUMIF('COLAR PLANO'!$A:$A,A387,'COLAR PLANO'!$D:$D)</f>
        <v>0</v>
      </c>
      <c r="G387" s="131">
        <f t="shared" si="87"/>
        <v>0</v>
      </c>
      <c r="H387" s="6">
        <v>9.8245614035087719E-2</v>
      </c>
      <c r="I387" s="7">
        <f t="shared" si="88"/>
        <v>0</v>
      </c>
      <c r="J387" s="130">
        <f t="shared" si="90"/>
        <v>0</v>
      </c>
      <c r="K387" s="122">
        <v>0.5</v>
      </c>
      <c r="L387" s="122">
        <v>10</v>
      </c>
      <c r="M387" s="122">
        <v>5</v>
      </c>
      <c r="N387" s="311">
        <f t="shared" si="89"/>
        <v>0</v>
      </c>
      <c r="O387" s="311">
        <f>IFERROR(G387/M387,"-")</f>
        <v>0</v>
      </c>
      <c r="P387" s="311"/>
      <c r="Q387" s="311"/>
      <c r="R387" s="311"/>
      <c r="S387" s="7"/>
      <c r="T387" s="7"/>
      <c r="U387" s="7" t="s">
        <v>2288</v>
      </c>
      <c r="V387" s="7" t="s">
        <v>2289</v>
      </c>
      <c r="W387" s="7" t="str">
        <f>Preencher!$B$3&amp;U387&amp;V387&amp;A387&amp;$W$6</f>
        <v>JARINU-FRG205558MQ.TUNEL DE CG (CONTINUO)</v>
      </c>
      <c r="X387" s="7" t="str">
        <f>Preencher!$B$3&amp;U387&amp;V387&amp;A387&amp;$X$6</f>
        <v>JARINU-FRG205558MQ.TUNEL DE CG (CONTINUO) (1)</v>
      </c>
      <c r="Y387" s="7" t="str">
        <f>Preencher!$B$3&amp;U387&amp;V387&amp;A387&amp;$Y$6</f>
        <v>JARINU-FRG205558MQ.TUNEL DE CG (CONTINUO) (2)</v>
      </c>
      <c r="Z387" s="7" t="str">
        <f>Preencher!$B$3&amp;U387&amp;V387&amp;A387&amp;$Z$6</f>
        <v>JARINU-FRG205558MQ.TUNEL DE CG (CONTINUO) (3)</v>
      </c>
      <c r="AA387" s="7" t="str">
        <f>Preencher!$B$3&amp;U387&amp;V387&amp;A387&amp;$AA$6</f>
        <v>JARINU-FRG205558MQ.TUNEL DE CG (ESTATICO)</v>
      </c>
      <c r="AB387" s="7" t="str">
        <f>Preencher!$B$3&amp;U387&amp;V387&amp;A387&amp;$AB$6</f>
        <v>JARINU-FRG205558MQ.TUNEL DE CG (ESTATICO) (1)</v>
      </c>
      <c r="AC387" s="7" t="str">
        <f>Preencher!$B$3&amp;U387&amp;V387&amp;A387&amp;$AC$6</f>
        <v>JARINU-FRG205558MQ.TUNEL DE CG (ESTATICO) (2)</v>
      </c>
      <c r="AD387" s="327">
        <f>IFERROR(SUMIF('BD Otimix'!A:A,'BD VOLUME'!X387,'BD Otimix'!O:O)+SUMIF('BD Otimix'!A:A,'BD VOLUME'!Y387,'BD Otimix'!O:O)+SUMIF('BD Otimix'!A:A,'BD VOLUME'!Z387,'BD Otimix'!O:O)+SUMIF('BD Otimix'!A:A,'BD VOLUME'!AA387,'BD Otimix'!O:O)+SUMIF('BD Otimix'!A:A,'BD VOLUME'!AB387,'BD Otimix'!O:O)+SUMIF('BD Otimix'!A:A,'BD VOLUME'!AC387,'BD Otimix'!O:O)+SUMIF('BD Otimix'!A:A,'BD VOLUME'!W387,'BD Otimix'!O:O),0)</f>
        <v>0</v>
      </c>
      <c r="AE387" s="327">
        <f t="shared" si="85"/>
        <v>0</v>
      </c>
      <c r="AF387" s="7" t="str">
        <f>Preencher!$B$3&amp;$U$8&amp;$V$8&amp;A387&amp;$AF$6</f>
        <v>JARINU-FRG205558MQ.GIROFREEZER</v>
      </c>
      <c r="AG387" s="7" t="str">
        <f>Preencher!$B$3&amp;$U$8&amp;$V$8&amp;A387&amp;$AG$6</f>
        <v>JARINU-FRG205558MQ.GIROFREEZER (1)</v>
      </c>
      <c r="AH387" s="7" t="str">
        <f>Preencher!$B$3&amp;$U$8&amp;$V$8&amp;A387&amp;$AH$6</f>
        <v>JARINU-FRG205558MQ.GIROFREEZER (2)</v>
      </c>
      <c r="AI387" s="7" t="str">
        <f>Preencher!$B$3&amp;$U$8&amp;$V$8&amp;A387&amp;$AI$6</f>
        <v>JARINU-FRG205558MQ.GIROFREEZER REV04</v>
      </c>
      <c r="AJ387" s="7" t="str">
        <f>Preencher!$B$3&amp;$U$8&amp;$V$8&amp;A387&amp;$AJ$6</f>
        <v>JARINU-FRG205558MQ.GIROFREEZER (3)</v>
      </c>
      <c r="AK387" s="327">
        <f>IFERROR(SUMIF('BD Otimix'!A:A,'BD VOLUME'!AG387,'BD Otimix'!O:O)+SUMIF('BD Otimix'!A:A,'BD VOLUME'!AH387,'BD Otimix'!O:O)+SUMIF('BD Otimix'!A:A,'BD VOLUME'!AI387,'BD Otimix'!O:O)+SUMIF('BD Otimix'!A:A,'BD VOLUME'!AJ387,'BD Otimix'!O:O)+SUMIF('BD Otimix'!A:A,'BD VOLUME'!AF387,'BD Otimix'!O:O),0)</f>
        <v>0</v>
      </c>
      <c r="AL387" s="7">
        <f t="shared" si="86"/>
        <v>0</v>
      </c>
    </row>
    <row r="388" spans="1:38" s="4" customFormat="1" ht="14.25">
      <c r="A388" s="685">
        <v>124139</v>
      </c>
      <c r="B388" s="685" t="s">
        <v>2503</v>
      </c>
      <c r="C388" s="5" t="s">
        <v>2504</v>
      </c>
      <c r="D388" s="75" t="s">
        <v>867</v>
      </c>
      <c r="E388" s="5" t="s">
        <v>1505</v>
      </c>
      <c r="F388" s="132">
        <f>SUMIF('COLAR PLANO'!$A:$A,A388,'COLAR PLANO'!$D:$D)</f>
        <v>0</v>
      </c>
      <c r="G388" s="131">
        <f t="shared" si="87"/>
        <v>0</v>
      </c>
      <c r="H388" s="6">
        <v>0.217</v>
      </c>
      <c r="I388" s="7">
        <f>IFERROR(G388/$D$3/H388,0)</f>
        <v>0</v>
      </c>
      <c r="J388" s="130">
        <f t="shared" si="90"/>
        <v>0</v>
      </c>
      <c r="K388" s="122">
        <v>15</v>
      </c>
      <c r="L388" s="122">
        <v>1</v>
      </c>
      <c r="M388" s="122">
        <v>15</v>
      </c>
      <c r="N388" s="311">
        <f>IFERROR(G388/K388,"-")</f>
        <v>0</v>
      </c>
      <c r="O388" s="311"/>
      <c r="P388" s="311"/>
      <c r="Q388" s="311">
        <f>IFERROR(G388/M388,"-")</f>
        <v>0</v>
      </c>
      <c r="R388" s="311"/>
      <c r="S388" s="7"/>
      <c r="T388" s="7"/>
      <c r="U388" s="7" t="s">
        <v>2288</v>
      </c>
      <c r="V388" s="7" t="s">
        <v>2289</v>
      </c>
      <c r="W388" s="7" t="str">
        <f>Preencher!$B$3&amp;U388&amp;V388&amp;A388&amp;$W$6</f>
        <v>JARINU-FRG124139MQ.TUNEL DE CG (CONTINUO)</v>
      </c>
      <c r="X388" s="7" t="str">
        <f>Preencher!$B$3&amp;U388&amp;V388&amp;A388&amp;$X$6</f>
        <v>JARINU-FRG124139MQ.TUNEL DE CG (CONTINUO) (1)</v>
      </c>
      <c r="Y388" s="7" t="str">
        <f>Preencher!$B$3&amp;U388&amp;V388&amp;A388&amp;$Y$6</f>
        <v>JARINU-FRG124139MQ.TUNEL DE CG (CONTINUO) (2)</v>
      </c>
      <c r="Z388" s="7" t="str">
        <f>Preencher!$B$3&amp;U388&amp;V388&amp;A388&amp;$Z$6</f>
        <v>JARINU-FRG124139MQ.TUNEL DE CG (CONTINUO) (3)</v>
      </c>
      <c r="AA388" s="7" t="str">
        <f>Preencher!$B$3&amp;U388&amp;V388&amp;A388&amp;$AA$6</f>
        <v>JARINU-FRG124139MQ.TUNEL DE CG (ESTATICO)</v>
      </c>
      <c r="AB388" s="7" t="str">
        <f>Preencher!$B$3&amp;U388&amp;V388&amp;A388&amp;$AB$6</f>
        <v>JARINU-FRG124139MQ.TUNEL DE CG (ESTATICO) (1)</v>
      </c>
      <c r="AC388" s="7" t="str">
        <f>Preencher!$B$3&amp;U388&amp;V388&amp;A388&amp;$AC$6</f>
        <v>JARINU-FRG124139MQ.TUNEL DE CG (ESTATICO) (2)</v>
      </c>
      <c r="AD388" s="327">
        <f>IFERROR(SUMIF('BD Otimix'!A:A,'BD VOLUME'!X388,'BD Otimix'!O:O)+SUMIF('BD Otimix'!A:A,'BD VOLUME'!Y388,'BD Otimix'!O:O)+SUMIF('BD Otimix'!A:A,'BD VOLUME'!Z388,'BD Otimix'!O:O)+SUMIF('BD Otimix'!A:A,'BD VOLUME'!AA388,'BD Otimix'!O:O)+SUMIF('BD Otimix'!A:A,'BD VOLUME'!AB388,'BD Otimix'!O:O)+SUMIF('BD Otimix'!A:A,'BD VOLUME'!AC388,'BD Otimix'!O:O)+SUMIF('BD Otimix'!A:A,'BD VOLUME'!W388,'BD Otimix'!O:O),0)</f>
        <v>0</v>
      </c>
      <c r="AE388" s="327">
        <f>IFERROR(F388/$E$3/1000/AD388,0)</f>
        <v>0</v>
      </c>
      <c r="AF388" s="7" t="str">
        <f>Preencher!$B$3&amp;$U$8&amp;$V$8&amp;A388&amp;$AF$6</f>
        <v>JARINU-FRG124139MQ.GIROFREEZER</v>
      </c>
      <c r="AG388" s="7" t="str">
        <f>Preencher!$B$3&amp;$U$8&amp;$V$8&amp;A388&amp;$AG$6</f>
        <v>JARINU-FRG124139MQ.GIROFREEZER (1)</v>
      </c>
      <c r="AH388" s="7" t="str">
        <f>Preencher!$B$3&amp;$U$8&amp;$V$8&amp;A388&amp;$AH$6</f>
        <v>JARINU-FRG124139MQ.GIROFREEZER (2)</v>
      </c>
      <c r="AI388" s="7" t="str">
        <f>Preencher!$B$3&amp;$U$8&amp;$V$8&amp;A388&amp;$AI$6</f>
        <v>JARINU-FRG124139MQ.GIROFREEZER REV04</v>
      </c>
      <c r="AJ388" s="7" t="str">
        <f>Preencher!$B$3&amp;$U$8&amp;$V$8&amp;A388&amp;$AJ$6</f>
        <v>JARINU-FRG124139MQ.GIROFREEZER (3)</v>
      </c>
      <c r="AK388" s="327">
        <f>IFERROR(SUMIF('BD Otimix'!A:A,'BD VOLUME'!AG388,'BD Otimix'!O:O)+SUMIF('BD Otimix'!A:A,'BD VOLUME'!AH388,'BD Otimix'!O:O)+SUMIF('BD Otimix'!A:A,'BD VOLUME'!AI388,'BD Otimix'!O:O)+SUMIF('BD Otimix'!A:A,'BD VOLUME'!AJ388,'BD Otimix'!O:O)+SUMIF('BD Otimix'!A:A,'BD VOLUME'!AF388,'BD Otimix'!O:O),0)</f>
        <v>0</v>
      </c>
      <c r="AL388" s="7">
        <f>IFERROR(F388/$E$3/1000/AK388,0)</f>
        <v>0</v>
      </c>
    </row>
    <row r="389" spans="1:38" s="4" customFormat="1" ht="14.25">
      <c r="A389" s="685">
        <v>43094</v>
      </c>
      <c r="B389" s="685"/>
      <c r="C389" s="5" t="s">
        <v>3089</v>
      </c>
      <c r="D389" s="75" t="s">
        <v>867</v>
      </c>
      <c r="E389" s="5" t="s">
        <v>938</v>
      </c>
      <c r="F389" s="132">
        <f>SUMIF('COLAR PLANO'!$A:$A,A389,'COLAR PLANO'!$D:$D)</f>
        <v>0</v>
      </c>
      <c r="G389" s="131">
        <f t="shared" si="87"/>
        <v>0</v>
      </c>
      <c r="H389" s="6">
        <v>0.217</v>
      </c>
      <c r="I389" s="7">
        <f t="shared" si="88"/>
        <v>0</v>
      </c>
      <c r="J389" s="130">
        <f t="shared" si="90"/>
        <v>0</v>
      </c>
      <c r="K389" s="122">
        <v>15</v>
      </c>
      <c r="L389" s="122">
        <v>1</v>
      </c>
      <c r="M389" s="122">
        <v>15</v>
      </c>
      <c r="N389" s="311">
        <f t="shared" si="89"/>
        <v>0</v>
      </c>
      <c r="O389" s="311"/>
      <c r="P389" s="311"/>
      <c r="Q389" s="311">
        <f>IFERROR(G389/M389,"-")</f>
        <v>0</v>
      </c>
      <c r="R389" s="311"/>
      <c r="S389" s="7"/>
      <c r="T389" s="7"/>
      <c r="U389" s="7" t="s">
        <v>2288</v>
      </c>
      <c r="V389" s="7" t="s">
        <v>2289</v>
      </c>
      <c r="W389" s="7" t="str">
        <f>Preencher!$B$3&amp;U389&amp;V389&amp;A389&amp;$W$6</f>
        <v>JARINU-FRG43094MQ.TUNEL DE CG (CONTINUO)</v>
      </c>
      <c r="X389" s="7" t="str">
        <f>Preencher!$B$3&amp;U389&amp;V389&amp;A389&amp;$X$6</f>
        <v>JARINU-FRG43094MQ.TUNEL DE CG (CONTINUO) (1)</v>
      </c>
      <c r="Y389" s="7" t="str">
        <f>Preencher!$B$3&amp;U389&amp;V389&amp;A389&amp;$Y$6</f>
        <v>JARINU-FRG43094MQ.TUNEL DE CG (CONTINUO) (2)</v>
      </c>
      <c r="Z389" s="7" t="str">
        <f>Preencher!$B$3&amp;U389&amp;V389&amp;A389&amp;$Z$6</f>
        <v>JARINU-FRG43094MQ.TUNEL DE CG (CONTINUO) (3)</v>
      </c>
      <c r="AA389" s="7" t="str">
        <f>Preencher!$B$3&amp;U389&amp;V389&amp;A389&amp;$AA$6</f>
        <v>JARINU-FRG43094MQ.TUNEL DE CG (ESTATICO)</v>
      </c>
      <c r="AB389" s="7" t="str">
        <f>Preencher!$B$3&amp;U389&amp;V389&amp;A389&amp;$AB$6</f>
        <v>JARINU-FRG43094MQ.TUNEL DE CG (ESTATICO) (1)</v>
      </c>
      <c r="AC389" s="7" t="str">
        <f>Preencher!$B$3&amp;U389&amp;V389&amp;A389&amp;$AC$6</f>
        <v>JARINU-FRG43094MQ.TUNEL DE CG (ESTATICO) (2)</v>
      </c>
      <c r="AD389" s="327">
        <f>IFERROR(SUMIF('BD Otimix'!A:A,'BD VOLUME'!X389,'BD Otimix'!O:O)+SUMIF('BD Otimix'!A:A,'BD VOLUME'!Y389,'BD Otimix'!O:O)+SUMIF('BD Otimix'!A:A,'BD VOLUME'!Z389,'BD Otimix'!O:O)+SUMIF('BD Otimix'!A:A,'BD VOLUME'!AA389,'BD Otimix'!O:O)+SUMIF('BD Otimix'!A:A,'BD VOLUME'!AB389,'BD Otimix'!O:O)+SUMIF('BD Otimix'!A:A,'BD VOLUME'!AC389,'BD Otimix'!O:O)+SUMIF('BD Otimix'!A:A,'BD VOLUME'!W389,'BD Otimix'!O:O),0)</f>
        <v>0</v>
      </c>
      <c r="AE389" s="327">
        <f t="shared" si="85"/>
        <v>0</v>
      </c>
      <c r="AF389" s="7" t="str">
        <f>Preencher!$B$3&amp;$U$8&amp;$V$8&amp;A389&amp;$AF$6</f>
        <v>JARINU-FRG43094MQ.GIROFREEZER</v>
      </c>
      <c r="AG389" s="7" t="str">
        <f>Preencher!$B$3&amp;$U$8&amp;$V$8&amp;A389&amp;$AG$6</f>
        <v>JARINU-FRG43094MQ.GIROFREEZER (1)</v>
      </c>
      <c r="AH389" s="7" t="str">
        <f>Preencher!$B$3&amp;$U$8&amp;$V$8&amp;A389&amp;$AH$6</f>
        <v>JARINU-FRG43094MQ.GIROFREEZER (2)</v>
      </c>
      <c r="AI389" s="7" t="str">
        <f>Preencher!$B$3&amp;$U$8&amp;$V$8&amp;A389&amp;$AI$6</f>
        <v>JARINU-FRG43094MQ.GIROFREEZER REV04</v>
      </c>
      <c r="AJ389" s="7" t="str">
        <f>Preencher!$B$3&amp;$U$8&amp;$V$8&amp;A389&amp;$AJ$6</f>
        <v>JARINU-FRG43094MQ.GIROFREEZER (3)</v>
      </c>
      <c r="AK389" s="327">
        <f>IFERROR(SUMIF('BD Otimix'!A:A,'BD VOLUME'!AG389,'BD Otimix'!O:O)+SUMIF('BD Otimix'!A:A,'BD VOLUME'!AH389,'BD Otimix'!O:O)+SUMIF('BD Otimix'!A:A,'BD VOLUME'!AI389,'BD Otimix'!O:O)+SUMIF('BD Otimix'!A:A,'BD VOLUME'!AJ389,'BD Otimix'!O:O)+SUMIF('BD Otimix'!A:A,'BD VOLUME'!AF389,'BD Otimix'!O:O),0)</f>
        <v>0</v>
      </c>
      <c r="AL389" s="7">
        <f t="shared" si="86"/>
        <v>0</v>
      </c>
    </row>
    <row r="390" spans="1:38" s="4" customFormat="1" ht="14.25">
      <c r="A390" s="685">
        <v>124040</v>
      </c>
      <c r="B390" s="685"/>
      <c r="C390" s="5" t="s">
        <v>2505</v>
      </c>
      <c r="D390" s="5" t="s">
        <v>867</v>
      </c>
      <c r="E390" s="5" t="s">
        <v>935</v>
      </c>
      <c r="F390" s="132">
        <f>SUMIF('COLAR PLANO'!$A:$A,A390,'COLAR PLANO'!$D:$D)</f>
        <v>0</v>
      </c>
      <c r="G390" s="131">
        <f t="shared" si="87"/>
        <v>0</v>
      </c>
      <c r="H390" s="6">
        <v>0.2147</v>
      </c>
      <c r="I390" s="7">
        <f t="shared" si="88"/>
        <v>0</v>
      </c>
      <c r="J390" s="130">
        <f t="shared" si="90"/>
        <v>0</v>
      </c>
      <c r="K390" s="122">
        <v>1</v>
      </c>
      <c r="L390" s="122">
        <v>12</v>
      </c>
      <c r="M390" s="122">
        <v>12</v>
      </c>
      <c r="N390" s="311">
        <f t="shared" si="89"/>
        <v>0</v>
      </c>
      <c r="O390" s="311">
        <f>IFERROR(G390/M390,"-")</f>
        <v>0</v>
      </c>
      <c r="P390" s="311"/>
      <c r="Q390" s="311"/>
      <c r="R390" s="311"/>
      <c r="S390" s="7"/>
      <c r="T390" s="7"/>
      <c r="U390" s="7" t="s">
        <v>2288</v>
      </c>
      <c r="V390" s="7" t="s">
        <v>2289</v>
      </c>
      <c r="W390" s="7" t="str">
        <f>Preencher!$B$3&amp;U390&amp;V390&amp;A390&amp;$W$6</f>
        <v>JARINU-FRG124040MQ.TUNEL DE CG (CONTINUO)</v>
      </c>
      <c r="X390" s="7" t="str">
        <f>Preencher!$B$3&amp;U390&amp;V390&amp;A390&amp;$X$6</f>
        <v>JARINU-FRG124040MQ.TUNEL DE CG (CONTINUO) (1)</v>
      </c>
      <c r="Y390" s="7" t="str">
        <f>Preencher!$B$3&amp;U390&amp;V390&amp;A390&amp;$Y$6</f>
        <v>JARINU-FRG124040MQ.TUNEL DE CG (CONTINUO) (2)</v>
      </c>
      <c r="Z390" s="7" t="str">
        <f>Preencher!$B$3&amp;U390&amp;V390&amp;A390&amp;$Z$6</f>
        <v>JARINU-FRG124040MQ.TUNEL DE CG (CONTINUO) (3)</v>
      </c>
      <c r="AA390" s="7" t="str">
        <f>Preencher!$B$3&amp;U390&amp;V390&amp;A390&amp;$AA$6</f>
        <v>JARINU-FRG124040MQ.TUNEL DE CG (ESTATICO)</v>
      </c>
      <c r="AB390" s="7" t="str">
        <f>Preencher!$B$3&amp;U390&amp;V390&amp;A390&amp;$AB$6</f>
        <v>JARINU-FRG124040MQ.TUNEL DE CG (ESTATICO) (1)</v>
      </c>
      <c r="AC390" s="7" t="str">
        <f>Preencher!$B$3&amp;U390&amp;V390&amp;A390&amp;$AC$6</f>
        <v>JARINU-FRG124040MQ.TUNEL DE CG (ESTATICO) (2)</v>
      </c>
      <c r="AD390" s="327">
        <f>IFERROR(SUMIF('BD Otimix'!A:A,'BD VOLUME'!X390,'BD Otimix'!O:O)+SUMIF('BD Otimix'!A:A,'BD VOLUME'!Y390,'BD Otimix'!O:O)+SUMIF('BD Otimix'!A:A,'BD VOLUME'!Z390,'BD Otimix'!O:O)+SUMIF('BD Otimix'!A:A,'BD VOLUME'!AA390,'BD Otimix'!O:O)+SUMIF('BD Otimix'!A:A,'BD VOLUME'!AB390,'BD Otimix'!O:O)+SUMIF('BD Otimix'!A:A,'BD VOLUME'!AC390,'BD Otimix'!O:O)+SUMIF('BD Otimix'!A:A,'BD VOLUME'!W390,'BD Otimix'!O:O),0)</f>
        <v>0</v>
      </c>
      <c r="AE390" s="327">
        <f t="shared" si="85"/>
        <v>0</v>
      </c>
      <c r="AF390" s="7" t="str">
        <f>Preencher!$B$3&amp;$U$8&amp;$V$8&amp;A390&amp;$AF$6</f>
        <v>JARINU-FRG124040MQ.GIROFREEZER</v>
      </c>
      <c r="AG390" s="7" t="str">
        <f>Preencher!$B$3&amp;$U$8&amp;$V$8&amp;A390&amp;$AG$6</f>
        <v>JARINU-FRG124040MQ.GIROFREEZER (1)</v>
      </c>
      <c r="AH390" s="7" t="str">
        <f>Preencher!$B$3&amp;$U$8&amp;$V$8&amp;A390&amp;$AH$6</f>
        <v>JARINU-FRG124040MQ.GIROFREEZER (2)</v>
      </c>
      <c r="AI390" s="7" t="str">
        <f>Preencher!$B$3&amp;$U$8&amp;$V$8&amp;A390&amp;$AI$6</f>
        <v>JARINU-FRG124040MQ.GIROFREEZER REV04</v>
      </c>
      <c r="AJ390" s="7" t="str">
        <f>Preencher!$B$3&amp;$U$8&amp;$V$8&amp;A390&amp;$AJ$6</f>
        <v>JARINU-FRG124040MQ.GIROFREEZER (3)</v>
      </c>
      <c r="AK390" s="327">
        <f>IFERROR(SUMIF('BD Otimix'!A:A,'BD VOLUME'!AG390,'BD Otimix'!O:O)+SUMIF('BD Otimix'!A:A,'BD VOLUME'!AH390,'BD Otimix'!O:O)+SUMIF('BD Otimix'!A:A,'BD VOLUME'!AI390,'BD Otimix'!O:O)+SUMIF('BD Otimix'!A:A,'BD VOLUME'!AJ390,'BD Otimix'!O:O)+SUMIF('BD Otimix'!A:A,'BD VOLUME'!AF390,'BD Otimix'!O:O),0)</f>
        <v>0</v>
      </c>
      <c r="AL390" s="7">
        <f t="shared" si="86"/>
        <v>0</v>
      </c>
    </row>
    <row r="391" spans="1:38" s="4" customFormat="1" ht="14.25">
      <c r="A391" s="685">
        <v>124107</v>
      </c>
      <c r="B391" s="685"/>
      <c r="C391" s="5" t="s">
        <v>2506</v>
      </c>
      <c r="D391" s="75" t="s">
        <v>867</v>
      </c>
      <c r="E391" s="5" t="s">
        <v>938</v>
      </c>
      <c r="F391" s="132">
        <f>SUMIF('COLAR PLANO'!$A:$A,A391,'COLAR PLANO'!$D:$D)</f>
        <v>0</v>
      </c>
      <c r="G391" s="131">
        <f t="shared" si="87"/>
        <v>0</v>
      </c>
      <c r="H391" s="6">
        <v>0.217</v>
      </c>
      <c r="I391" s="7">
        <f t="shared" si="88"/>
        <v>0</v>
      </c>
      <c r="J391" s="130">
        <f t="shared" si="90"/>
        <v>0</v>
      </c>
      <c r="K391" s="122">
        <v>15</v>
      </c>
      <c r="L391" s="122">
        <v>1</v>
      </c>
      <c r="M391" s="122">
        <v>15</v>
      </c>
      <c r="N391" s="311">
        <f t="shared" si="89"/>
        <v>0</v>
      </c>
      <c r="O391" s="311"/>
      <c r="P391" s="311"/>
      <c r="Q391" s="311">
        <f>IFERROR(G391/M391,"-")</f>
        <v>0</v>
      </c>
      <c r="R391" s="311"/>
      <c r="S391" s="7"/>
      <c r="T391" s="7"/>
      <c r="U391" s="7" t="s">
        <v>2288</v>
      </c>
      <c r="V391" s="7" t="s">
        <v>2289</v>
      </c>
      <c r="W391" s="7" t="str">
        <f>Preencher!$B$3&amp;U391&amp;V391&amp;A391&amp;$W$6</f>
        <v>JARINU-FRG124107MQ.TUNEL DE CG (CONTINUO)</v>
      </c>
      <c r="X391" s="7" t="str">
        <f>Preencher!$B$3&amp;U391&amp;V391&amp;A391&amp;$X$6</f>
        <v>JARINU-FRG124107MQ.TUNEL DE CG (CONTINUO) (1)</v>
      </c>
      <c r="Y391" s="7" t="str">
        <f>Preencher!$B$3&amp;U391&amp;V391&amp;A391&amp;$Y$6</f>
        <v>JARINU-FRG124107MQ.TUNEL DE CG (CONTINUO) (2)</v>
      </c>
      <c r="Z391" s="7" t="str">
        <f>Preencher!$B$3&amp;U391&amp;V391&amp;A391&amp;$Z$6</f>
        <v>JARINU-FRG124107MQ.TUNEL DE CG (CONTINUO) (3)</v>
      </c>
      <c r="AA391" s="7" t="str">
        <f>Preencher!$B$3&amp;U391&amp;V391&amp;A391&amp;$AA$6</f>
        <v>JARINU-FRG124107MQ.TUNEL DE CG (ESTATICO)</v>
      </c>
      <c r="AB391" s="7" t="str">
        <f>Preencher!$B$3&amp;U391&amp;V391&amp;A391&amp;$AB$6</f>
        <v>JARINU-FRG124107MQ.TUNEL DE CG (ESTATICO) (1)</v>
      </c>
      <c r="AC391" s="7" t="str">
        <f>Preencher!$B$3&amp;U391&amp;V391&amp;A391&amp;$AC$6</f>
        <v>JARINU-FRG124107MQ.TUNEL DE CG (ESTATICO) (2)</v>
      </c>
      <c r="AD391" s="327">
        <f>IFERROR(SUMIF('BD Otimix'!A:A,'BD VOLUME'!X391,'BD Otimix'!O:O)+SUMIF('BD Otimix'!A:A,'BD VOLUME'!Y391,'BD Otimix'!O:O)+SUMIF('BD Otimix'!A:A,'BD VOLUME'!Z391,'BD Otimix'!O:O)+SUMIF('BD Otimix'!A:A,'BD VOLUME'!AA391,'BD Otimix'!O:O)+SUMIF('BD Otimix'!A:A,'BD VOLUME'!AB391,'BD Otimix'!O:O)+SUMIF('BD Otimix'!A:A,'BD VOLUME'!AC391,'BD Otimix'!O:O)+SUMIF('BD Otimix'!A:A,'BD VOLUME'!W391,'BD Otimix'!O:O),0)</f>
        <v>0</v>
      </c>
      <c r="AE391" s="327">
        <f t="shared" si="85"/>
        <v>0</v>
      </c>
      <c r="AF391" s="7" t="str">
        <f>Preencher!$B$3&amp;$U$8&amp;$V$8&amp;A391&amp;$AF$6</f>
        <v>JARINU-FRG124107MQ.GIROFREEZER</v>
      </c>
      <c r="AG391" s="7" t="str">
        <f>Preencher!$B$3&amp;$U$8&amp;$V$8&amp;A391&amp;$AG$6</f>
        <v>JARINU-FRG124107MQ.GIROFREEZER (1)</v>
      </c>
      <c r="AH391" s="7" t="str">
        <f>Preencher!$B$3&amp;$U$8&amp;$V$8&amp;A391&amp;$AH$6</f>
        <v>JARINU-FRG124107MQ.GIROFREEZER (2)</v>
      </c>
      <c r="AI391" s="7" t="str">
        <f>Preencher!$B$3&amp;$U$8&amp;$V$8&amp;A391&amp;$AI$6</f>
        <v>JARINU-FRG124107MQ.GIROFREEZER REV04</v>
      </c>
      <c r="AJ391" s="7" t="str">
        <f>Preencher!$B$3&amp;$U$8&amp;$V$8&amp;A391&amp;$AJ$6</f>
        <v>JARINU-FRG124107MQ.GIROFREEZER (3)</v>
      </c>
      <c r="AK391" s="327">
        <f>IFERROR(SUMIF('BD Otimix'!A:A,'BD VOLUME'!AG391,'BD Otimix'!O:O)+SUMIF('BD Otimix'!A:A,'BD VOLUME'!AH391,'BD Otimix'!O:O)+SUMIF('BD Otimix'!A:A,'BD VOLUME'!AI391,'BD Otimix'!O:O)+SUMIF('BD Otimix'!A:A,'BD VOLUME'!AJ391,'BD Otimix'!O:O)+SUMIF('BD Otimix'!A:A,'BD VOLUME'!AF391,'BD Otimix'!O:O),0)</f>
        <v>0</v>
      </c>
      <c r="AL391" s="7">
        <f t="shared" si="86"/>
        <v>0</v>
      </c>
    </row>
    <row r="392" spans="1:38" s="4" customFormat="1" ht="14.25">
      <c r="A392" s="685">
        <v>124347</v>
      </c>
      <c r="B392" s="685"/>
      <c r="C392" s="5" t="s">
        <v>2507</v>
      </c>
      <c r="D392" s="5" t="s">
        <v>867</v>
      </c>
      <c r="E392" s="5" t="s">
        <v>935</v>
      </c>
      <c r="F392" s="132">
        <f>SUMIF('COLAR PLANO'!$A:$A,A392,'COLAR PLANO'!$D:$D)</f>
        <v>0</v>
      </c>
      <c r="G392" s="131">
        <f t="shared" si="87"/>
        <v>0</v>
      </c>
      <c r="H392" s="6">
        <v>0.2147</v>
      </c>
      <c r="I392" s="7">
        <f t="shared" si="88"/>
        <v>0</v>
      </c>
      <c r="J392" s="130">
        <f t="shared" si="90"/>
        <v>0</v>
      </c>
      <c r="K392" s="122">
        <v>1</v>
      </c>
      <c r="L392" s="122">
        <v>12</v>
      </c>
      <c r="M392" s="122">
        <v>12</v>
      </c>
      <c r="N392" s="311">
        <f t="shared" si="89"/>
        <v>0</v>
      </c>
      <c r="O392" s="311">
        <f>IFERROR(G392/M392,"-")</f>
        <v>0</v>
      </c>
      <c r="P392" s="311"/>
      <c r="Q392" s="311"/>
      <c r="R392" s="311"/>
      <c r="S392" s="7"/>
      <c r="T392" s="7"/>
      <c r="U392" s="7" t="s">
        <v>2288</v>
      </c>
      <c r="V392" s="7" t="s">
        <v>2289</v>
      </c>
      <c r="W392" s="7" t="str">
        <f>Preencher!$B$3&amp;U392&amp;V392&amp;A392&amp;$W$6</f>
        <v>JARINU-FRG124347MQ.TUNEL DE CG (CONTINUO)</v>
      </c>
      <c r="X392" s="7" t="str">
        <f>Preencher!$B$3&amp;U392&amp;V392&amp;A392&amp;$X$6</f>
        <v>JARINU-FRG124347MQ.TUNEL DE CG (CONTINUO) (1)</v>
      </c>
      <c r="Y392" s="7" t="str">
        <f>Preencher!$B$3&amp;U392&amp;V392&amp;A392&amp;$Y$6</f>
        <v>JARINU-FRG124347MQ.TUNEL DE CG (CONTINUO) (2)</v>
      </c>
      <c r="Z392" s="7" t="str">
        <f>Preencher!$B$3&amp;U392&amp;V392&amp;A392&amp;$Z$6</f>
        <v>JARINU-FRG124347MQ.TUNEL DE CG (CONTINUO) (3)</v>
      </c>
      <c r="AA392" s="7" t="str">
        <f>Preencher!$B$3&amp;U392&amp;V392&amp;A392&amp;$AA$6</f>
        <v>JARINU-FRG124347MQ.TUNEL DE CG (ESTATICO)</v>
      </c>
      <c r="AB392" s="7" t="str">
        <f>Preencher!$B$3&amp;U392&amp;V392&amp;A392&amp;$AB$6</f>
        <v>JARINU-FRG124347MQ.TUNEL DE CG (ESTATICO) (1)</v>
      </c>
      <c r="AC392" s="7" t="str">
        <f>Preencher!$B$3&amp;U392&amp;V392&amp;A392&amp;$AC$6</f>
        <v>JARINU-FRG124347MQ.TUNEL DE CG (ESTATICO) (2)</v>
      </c>
      <c r="AD392" s="327">
        <f>IFERROR(SUMIF('BD Otimix'!A:A,'BD VOLUME'!X392,'BD Otimix'!O:O)+SUMIF('BD Otimix'!A:A,'BD VOLUME'!Y392,'BD Otimix'!O:O)+SUMIF('BD Otimix'!A:A,'BD VOLUME'!Z392,'BD Otimix'!O:O)+SUMIF('BD Otimix'!A:A,'BD VOLUME'!AA392,'BD Otimix'!O:O)+SUMIF('BD Otimix'!A:A,'BD VOLUME'!AB392,'BD Otimix'!O:O)+SUMIF('BD Otimix'!A:A,'BD VOLUME'!AC392,'BD Otimix'!O:O)+SUMIF('BD Otimix'!A:A,'BD VOLUME'!W392,'BD Otimix'!O:O),0)</f>
        <v>0</v>
      </c>
      <c r="AE392" s="327">
        <f t="shared" si="85"/>
        <v>0</v>
      </c>
      <c r="AF392" s="7" t="str">
        <f>Preencher!$B$3&amp;$U$8&amp;$V$8&amp;A392&amp;$AF$6</f>
        <v>JARINU-FRG124347MQ.GIROFREEZER</v>
      </c>
      <c r="AG392" s="7" t="str">
        <f>Preencher!$B$3&amp;$U$8&amp;$V$8&amp;A392&amp;$AG$6</f>
        <v>JARINU-FRG124347MQ.GIROFREEZER (1)</v>
      </c>
      <c r="AH392" s="7" t="str">
        <f>Preencher!$B$3&amp;$U$8&amp;$V$8&amp;A392&amp;$AH$6</f>
        <v>JARINU-FRG124347MQ.GIROFREEZER (2)</v>
      </c>
      <c r="AI392" s="7" t="str">
        <f>Preencher!$B$3&amp;$U$8&amp;$V$8&amp;A392&amp;$AI$6</f>
        <v>JARINU-FRG124347MQ.GIROFREEZER REV04</v>
      </c>
      <c r="AJ392" s="7" t="str">
        <f>Preencher!$B$3&amp;$U$8&amp;$V$8&amp;A392&amp;$AJ$6</f>
        <v>JARINU-FRG124347MQ.GIROFREEZER (3)</v>
      </c>
      <c r="AK392" s="327">
        <f>IFERROR(SUMIF('BD Otimix'!A:A,'BD VOLUME'!AG392,'BD Otimix'!O:O)+SUMIF('BD Otimix'!A:A,'BD VOLUME'!AH392,'BD Otimix'!O:O)+SUMIF('BD Otimix'!A:A,'BD VOLUME'!AI392,'BD Otimix'!O:O)+SUMIF('BD Otimix'!A:A,'BD VOLUME'!AJ392,'BD Otimix'!O:O)+SUMIF('BD Otimix'!A:A,'BD VOLUME'!AF392,'BD Otimix'!O:O),0)</f>
        <v>0</v>
      </c>
      <c r="AL392" s="7">
        <f t="shared" si="86"/>
        <v>0</v>
      </c>
    </row>
    <row r="393" spans="1:38" s="4" customFormat="1" ht="14.25">
      <c r="A393" s="685">
        <v>124355</v>
      </c>
      <c r="B393" s="685"/>
      <c r="C393" s="5" t="s">
        <v>2508</v>
      </c>
      <c r="D393" s="5" t="s">
        <v>867</v>
      </c>
      <c r="E393" s="5" t="s">
        <v>976</v>
      </c>
      <c r="F393" s="132">
        <f>SUMIF('COLAR PLANO'!$A:$A,A393,'COLAR PLANO'!$D:$D)</f>
        <v>0</v>
      </c>
      <c r="G393" s="131">
        <f t="shared" si="87"/>
        <v>0</v>
      </c>
      <c r="H393" s="6">
        <v>0.2147</v>
      </c>
      <c r="I393" s="7">
        <f t="shared" si="88"/>
        <v>0</v>
      </c>
      <c r="J393" s="130">
        <f t="shared" si="90"/>
        <v>0</v>
      </c>
      <c r="K393" s="122">
        <v>1</v>
      </c>
      <c r="L393" s="122">
        <v>12</v>
      </c>
      <c r="M393" s="122">
        <v>12</v>
      </c>
      <c r="N393" s="311">
        <f t="shared" si="89"/>
        <v>0</v>
      </c>
      <c r="O393" s="311">
        <f>IFERROR(G393/M393,"-")</f>
        <v>0</v>
      </c>
      <c r="P393" s="311"/>
      <c r="Q393" s="311"/>
      <c r="R393" s="311"/>
      <c r="S393" s="7"/>
      <c r="T393" s="7"/>
      <c r="U393" s="7" t="s">
        <v>2288</v>
      </c>
      <c r="V393" s="7" t="s">
        <v>2289</v>
      </c>
      <c r="W393" s="7" t="str">
        <f>Preencher!$B$3&amp;U393&amp;V393&amp;A393&amp;$W$6</f>
        <v>JARINU-FRG124355MQ.TUNEL DE CG (CONTINUO)</v>
      </c>
      <c r="X393" s="7" t="str">
        <f>Preencher!$B$3&amp;U393&amp;V393&amp;A393&amp;$X$6</f>
        <v>JARINU-FRG124355MQ.TUNEL DE CG (CONTINUO) (1)</v>
      </c>
      <c r="Y393" s="7" t="str">
        <f>Preencher!$B$3&amp;U393&amp;V393&amp;A393&amp;$Y$6</f>
        <v>JARINU-FRG124355MQ.TUNEL DE CG (CONTINUO) (2)</v>
      </c>
      <c r="Z393" s="7" t="str">
        <f>Preencher!$B$3&amp;U393&amp;V393&amp;A393&amp;$Z$6</f>
        <v>JARINU-FRG124355MQ.TUNEL DE CG (CONTINUO) (3)</v>
      </c>
      <c r="AA393" s="7" t="str">
        <f>Preencher!$B$3&amp;U393&amp;V393&amp;A393&amp;$AA$6</f>
        <v>JARINU-FRG124355MQ.TUNEL DE CG (ESTATICO)</v>
      </c>
      <c r="AB393" s="7" t="str">
        <f>Preencher!$B$3&amp;U393&amp;V393&amp;A393&amp;$AB$6</f>
        <v>JARINU-FRG124355MQ.TUNEL DE CG (ESTATICO) (1)</v>
      </c>
      <c r="AC393" s="7" t="str">
        <f>Preencher!$B$3&amp;U393&amp;V393&amp;A393&amp;$AC$6</f>
        <v>JARINU-FRG124355MQ.TUNEL DE CG (ESTATICO) (2)</v>
      </c>
      <c r="AD393" s="327">
        <f>IFERROR(SUMIF('BD Otimix'!A:A,'BD VOLUME'!X393,'BD Otimix'!O:O)+SUMIF('BD Otimix'!A:A,'BD VOLUME'!Y393,'BD Otimix'!O:O)+SUMIF('BD Otimix'!A:A,'BD VOLUME'!Z393,'BD Otimix'!O:O)+SUMIF('BD Otimix'!A:A,'BD VOLUME'!AA393,'BD Otimix'!O:O)+SUMIF('BD Otimix'!A:A,'BD VOLUME'!AB393,'BD Otimix'!O:O)+SUMIF('BD Otimix'!A:A,'BD VOLUME'!AC393,'BD Otimix'!O:O)+SUMIF('BD Otimix'!A:A,'BD VOLUME'!W393,'BD Otimix'!O:O),0)</f>
        <v>0</v>
      </c>
      <c r="AE393" s="327">
        <f t="shared" si="85"/>
        <v>0</v>
      </c>
      <c r="AF393" s="7" t="str">
        <f>Preencher!$B$3&amp;$U$8&amp;$V$8&amp;A393&amp;$AF$6</f>
        <v>JARINU-FRG124355MQ.GIROFREEZER</v>
      </c>
      <c r="AG393" s="7" t="str">
        <f>Preencher!$B$3&amp;$U$8&amp;$V$8&amp;A393&amp;$AG$6</f>
        <v>JARINU-FRG124355MQ.GIROFREEZER (1)</v>
      </c>
      <c r="AH393" s="7" t="str">
        <f>Preencher!$B$3&amp;$U$8&amp;$V$8&amp;A393&amp;$AH$6</f>
        <v>JARINU-FRG124355MQ.GIROFREEZER (2)</v>
      </c>
      <c r="AI393" s="7" t="str">
        <f>Preencher!$B$3&amp;$U$8&amp;$V$8&amp;A393&amp;$AI$6</f>
        <v>JARINU-FRG124355MQ.GIROFREEZER REV04</v>
      </c>
      <c r="AJ393" s="7" t="str">
        <f>Preencher!$B$3&amp;$U$8&amp;$V$8&amp;A393&amp;$AJ$6</f>
        <v>JARINU-FRG124355MQ.GIROFREEZER (3)</v>
      </c>
      <c r="AK393" s="327">
        <f>IFERROR(SUMIF('BD Otimix'!A:A,'BD VOLUME'!AG393,'BD Otimix'!O:O)+SUMIF('BD Otimix'!A:A,'BD VOLUME'!AH393,'BD Otimix'!O:O)+SUMIF('BD Otimix'!A:A,'BD VOLUME'!AI393,'BD Otimix'!O:O)+SUMIF('BD Otimix'!A:A,'BD VOLUME'!AJ393,'BD Otimix'!O:O)+SUMIF('BD Otimix'!A:A,'BD VOLUME'!AF393,'BD Otimix'!O:O),0)</f>
        <v>0</v>
      </c>
      <c r="AL393" s="7">
        <f t="shared" si="86"/>
        <v>0</v>
      </c>
    </row>
    <row r="394" spans="1:38" s="4" customFormat="1" ht="14.25">
      <c r="A394" s="685">
        <v>124474</v>
      </c>
      <c r="B394" s="685"/>
      <c r="C394" s="5" t="s">
        <v>2504</v>
      </c>
      <c r="D394" s="75" t="s">
        <v>867</v>
      </c>
      <c r="E394" s="5" t="s">
        <v>934</v>
      </c>
      <c r="F394" s="132">
        <f>SUMIF('COLAR PLANO'!$A:$A,A394,'COLAR PLANO'!$D:$D)</f>
        <v>0</v>
      </c>
      <c r="G394" s="131">
        <f t="shared" si="87"/>
        <v>0</v>
      </c>
      <c r="H394" s="6">
        <v>0.21989999999999998</v>
      </c>
      <c r="I394" s="7">
        <f t="shared" si="88"/>
        <v>0</v>
      </c>
      <c r="J394" s="130">
        <f t="shared" si="90"/>
        <v>0</v>
      </c>
      <c r="K394" s="122">
        <v>1</v>
      </c>
      <c r="L394" s="122">
        <v>12</v>
      </c>
      <c r="M394" s="122">
        <v>12</v>
      </c>
      <c r="N394" s="311">
        <f t="shared" si="89"/>
        <v>0</v>
      </c>
      <c r="O394" s="311">
        <f>IFERROR(G394/M394,"-")</f>
        <v>0</v>
      </c>
      <c r="P394" s="311"/>
      <c r="Q394" s="311"/>
      <c r="R394" s="311"/>
      <c r="S394" s="111"/>
      <c r="T394" s="111"/>
      <c r="U394" s="7" t="s">
        <v>2288</v>
      </c>
      <c r="V394" s="7" t="s">
        <v>2289</v>
      </c>
      <c r="W394" s="7" t="str">
        <f>Preencher!$B$3&amp;U394&amp;V394&amp;A394&amp;$W$6</f>
        <v>JARINU-FRG124474MQ.TUNEL DE CG (CONTINUO)</v>
      </c>
      <c r="X394" s="7" t="str">
        <f>Preencher!$B$3&amp;U394&amp;V394&amp;A394&amp;$X$6</f>
        <v>JARINU-FRG124474MQ.TUNEL DE CG (CONTINUO) (1)</v>
      </c>
      <c r="Y394" s="7" t="str">
        <f>Preencher!$B$3&amp;U394&amp;V394&amp;A394&amp;$Y$6</f>
        <v>JARINU-FRG124474MQ.TUNEL DE CG (CONTINUO) (2)</v>
      </c>
      <c r="Z394" s="7" t="str">
        <f>Preencher!$B$3&amp;U394&amp;V394&amp;A394&amp;$Z$6</f>
        <v>JARINU-FRG124474MQ.TUNEL DE CG (CONTINUO) (3)</v>
      </c>
      <c r="AA394" s="7" t="str">
        <f>Preencher!$B$3&amp;U394&amp;V394&amp;A394&amp;$AA$6</f>
        <v>JARINU-FRG124474MQ.TUNEL DE CG (ESTATICO)</v>
      </c>
      <c r="AB394" s="7" t="str">
        <f>Preencher!$B$3&amp;U394&amp;V394&amp;A394&amp;$AB$6</f>
        <v>JARINU-FRG124474MQ.TUNEL DE CG (ESTATICO) (1)</v>
      </c>
      <c r="AC394" s="7" t="str">
        <f>Preencher!$B$3&amp;U394&amp;V394&amp;A394&amp;$AC$6</f>
        <v>JARINU-FRG124474MQ.TUNEL DE CG (ESTATICO) (2)</v>
      </c>
      <c r="AD394" s="327">
        <f>IFERROR(SUMIF('BD Otimix'!A:A,'BD VOLUME'!X394,'BD Otimix'!O:O)+SUMIF('BD Otimix'!A:A,'BD VOLUME'!Y394,'BD Otimix'!O:O)+SUMIF('BD Otimix'!A:A,'BD VOLUME'!Z394,'BD Otimix'!O:O)+SUMIF('BD Otimix'!A:A,'BD VOLUME'!AA394,'BD Otimix'!O:O)+SUMIF('BD Otimix'!A:A,'BD VOLUME'!AB394,'BD Otimix'!O:O)+SUMIF('BD Otimix'!A:A,'BD VOLUME'!AC394,'BD Otimix'!O:O)+SUMIF('BD Otimix'!A:A,'BD VOLUME'!W394,'BD Otimix'!O:O),0)</f>
        <v>0</v>
      </c>
      <c r="AE394" s="327">
        <f t="shared" si="85"/>
        <v>0</v>
      </c>
      <c r="AF394" s="7" t="str">
        <f>Preencher!$B$3&amp;$U$8&amp;$V$8&amp;A394&amp;$AF$6</f>
        <v>JARINU-FRG124474MQ.GIROFREEZER</v>
      </c>
      <c r="AG394" s="7" t="str">
        <f>Preencher!$B$3&amp;$U$8&amp;$V$8&amp;A394&amp;$AG$6</f>
        <v>JARINU-FRG124474MQ.GIROFREEZER (1)</v>
      </c>
      <c r="AH394" s="7" t="str">
        <f>Preencher!$B$3&amp;$U$8&amp;$V$8&amp;A394&amp;$AH$6</f>
        <v>JARINU-FRG124474MQ.GIROFREEZER (2)</v>
      </c>
      <c r="AI394" s="7" t="str">
        <f>Preencher!$B$3&amp;$U$8&amp;$V$8&amp;A394&amp;$AI$6</f>
        <v>JARINU-FRG124474MQ.GIROFREEZER REV04</v>
      </c>
      <c r="AJ394" s="7" t="str">
        <f>Preencher!$B$3&amp;$U$8&amp;$V$8&amp;A394&amp;$AJ$6</f>
        <v>JARINU-FRG124474MQ.GIROFREEZER (3)</v>
      </c>
      <c r="AK394" s="327">
        <f>IFERROR(SUMIF('BD Otimix'!A:A,'BD VOLUME'!AG394,'BD Otimix'!O:O)+SUMIF('BD Otimix'!A:A,'BD VOLUME'!AH394,'BD Otimix'!O:O)+SUMIF('BD Otimix'!A:A,'BD VOLUME'!AI394,'BD Otimix'!O:O)+SUMIF('BD Otimix'!A:A,'BD VOLUME'!AJ394,'BD Otimix'!O:O)+SUMIF('BD Otimix'!A:A,'BD VOLUME'!AF394,'BD Otimix'!O:O),0)</f>
        <v>0</v>
      </c>
      <c r="AL394" s="7">
        <f t="shared" si="86"/>
        <v>0</v>
      </c>
    </row>
    <row r="395" spans="1:38" s="4" customFormat="1" ht="14.25">
      <c r="A395" s="685">
        <v>124041</v>
      </c>
      <c r="B395" s="685"/>
      <c r="C395" s="5" t="s">
        <v>2509</v>
      </c>
      <c r="D395" s="5" t="s">
        <v>867</v>
      </c>
      <c r="E395" s="5" t="s">
        <v>2553</v>
      </c>
      <c r="F395" s="132">
        <f>SUMIF('COLAR PLANO'!$A:$A,A395,'COLAR PLANO'!$D:$D)</f>
        <v>0</v>
      </c>
      <c r="G395" s="131">
        <f t="shared" si="87"/>
        <v>0</v>
      </c>
      <c r="H395" s="6">
        <v>0.2147</v>
      </c>
      <c r="I395" s="7">
        <f t="shared" si="88"/>
        <v>0</v>
      </c>
      <c r="J395" s="130">
        <f t="shared" si="90"/>
        <v>0</v>
      </c>
      <c r="K395" s="122">
        <v>1</v>
      </c>
      <c r="L395" s="122">
        <v>12</v>
      </c>
      <c r="M395" s="122">
        <v>12</v>
      </c>
      <c r="N395" s="311">
        <f t="shared" si="89"/>
        <v>0</v>
      </c>
      <c r="O395" s="311">
        <f>IFERROR(G395/M395,"-")</f>
        <v>0</v>
      </c>
      <c r="P395" s="311"/>
      <c r="Q395" s="311"/>
      <c r="R395" s="311"/>
      <c r="S395" s="7"/>
      <c r="T395" s="7"/>
      <c r="U395" s="7" t="s">
        <v>2288</v>
      </c>
      <c r="V395" s="7" t="s">
        <v>2289</v>
      </c>
      <c r="W395" s="7" t="str">
        <f>Preencher!$B$3&amp;U395&amp;V395&amp;A395&amp;$W$6</f>
        <v>JARINU-FRG124041MQ.TUNEL DE CG (CONTINUO)</v>
      </c>
      <c r="X395" s="7" t="str">
        <f>Preencher!$B$3&amp;U395&amp;V395&amp;A395&amp;$X$6</f>
        <v>JARINU-FRG124041MQ.TUNEL DE CG (CONTINUO) (1)</v>
      </c>
      <c r="Y395" s="7" t="str">
        <f>Preencher!$B$3&amp;U395&amp;V395&amp;A395&amp;$Y$6</f>
        <v>JARINU-FRG124041MQ.TUNEL DE CG (CONTINUO) (2)</v>
      </c>
      <c r="Z395" s="7" t="str">
        <f>Preencher!$B$3&amp;U395&amp;V395&amp;A395&amp;$Z$6</f>
        <v>JARINU-FRG124041MQ.TUNEL DE CG (CONTINUO) (3)</v>
      </c>
      <c r="AA395" s="7" t="str">
        <f>Preencher!$B$3&amp;U395&amp;V395&amp;A395&amp;$AA$6</f>
        <v>JARINU-FRG124041MQ.TUNEL DE CG (ESTATICO)</v>
      </c>
      <c r="AB395" s="7" t="str">
        <f>Preencher!$B$3&amp;U395&amp;V395&amp;A395&amp;$AB$6</f>
        <v>JARINU-FRG124041MQ.TUNEL DE CG (ESTATICO) (1)</v>
      </c>
      <c r="AC395" s="7" t="str">
        <f>Preencher!$B$3&amp;U395&amp;V395&amp;A395&amp;$AC$6</f>
        <v>JARINU-FRG124041MQ.TUNEL DE CG (ESTATICO) (2)</v>
      </c>
      <c r="AD395" s="327">
        <f>IFERROR(SUMIF('BD Otimix'!A:A,'BD VOLUME'!X395,'BD Otimix'!O:O)+SUMIF('BD Otimix'!A:A,'BD VOLUME'!Y395,'BD Otimix'!O:O)+SUMIF('BD Otimix'!A:A,'BD VOLUME'!Z395,'BD Otimix'!O:O)+SUMIF('BD Otimix'!A:A,'BD VOLUME'!AA395,'BD Otimix'!O:O)+SUMIF('BD Otimix'!A:A,'BD VOLUME'!AB395,'BD Otimix'!O:O)+SUMIF('BD Otimix'!A:A,'BD VOLUME'!AC395,'BD Otimix'!O:O)+SUMIF('BD Otimix'!A:A,'BD VOLUME'!W395,'BD Otimix'!O:O),0)</f>
        <v>0</v>
      </c>
      <c r="AE395" s="327">
        <f t="shared" si="85"/>
        <v>0</v>
      </c>
      <c r="AF395" s="7" t="str">
        <f>Preencher!$B$3&amp;$U$8&amp;$V$8&amp;A395&amp;$AF$6</f>
        <v>JARINU-FRG124041MQ.GIROFREEZER</v>
      </c>
      <c r="AG395" s="7" t="str">
        <f>Preencher!$B$3&amp;$U$8&amp;$V$8&amp;A395&amp;$AG$6</f>
        <v>JARINU-FRG124041MQ.GIROFREEZER (1)</v>
      </c>
      <c r="AH395" s="7" t="str">
        <f>Preencher!$B$3&amp;$U$8&amp;$V$8&amp;A395&amp;$AH$6</f>
        <v>JARINU-FRG124041MQ.GIROFREEZER (2)</v>
      </c>
      <c r="AI395" s="7" t="str">
        <f>Preencher!$B$3&amp;$U$8&amp;$V$8&amp;A395&amp;$AI$6</f>
        <v>JARINU-FRG124041MQ.GIROFREEZER REV04</v>
      </c>
      <c r="AJ395" s="7" t="str">
        <f>Preencher!$B$3&amp;$U$8&amp;$V$8&amp;A395&amp;$AJ$6</f>
        <v>JARINU-FRG124041MQ.GIROFREEZER (3)</v>
      </c>
      <c r="AK395" s="327">
        <f>IFERROR(SUMIF('BD Otimix'!A:A,'BD VOLUME'!AG395,'BD Otimix'!O:O)+SUMIF('BD Otimix'!A:A,'BD VOLUME'!AH395,'BD Otimix'!O:O)+SUMIF('BD Otimix'!A:A,'BD VOLUME'!AI395,'BD Otimix'!O:O)+SUMIF('BD Otimix'!A:A,'BD VOLUME'!AJ395,'BD Otimix'!O:O)+SUMIF('BD Otimix'!A:A,'BD VOLUME'!AF395,'BD Otimix'!O:O),0)</f>
        <v>0</v>
      </c>
      <c r="AL395" s="7">
        <f t="shared" si="86"/>
        <v>0</v>
      </c>
    </row>
    <row r="396" spans="1:38" s="4" customFormat="1" ht="14.25">
      <c r="A396" s="685">
        <v>124063</v>
      </c>
      <c r="B396" s="685"/>
      <c r="C396" s="5" t="s">
        <v>2510</v>
      </c>
      <c r="D396" s="5" t="s">
        <v>867</v>
      </c>
      <c r="E396" s="5" t="s">
        <v>2118</v>
      </c>
      <c r="F396" s="132">
        <f>SUMIF('COLAR PLANO'!$A:$A,A396,'COLAR PLANO'!$D:$D)</f>
        <v>0</v>
      </c>
      <c r="G396" s="131">
        <f t="shared" si="87"/>
        <v>0</v>
      </c>
      <c r="H396" s="6">
        <v>0.2147</v>
      </c>
      <c r="I396" s="7">
        <f t="shared" si="88"/>
        <v>0</v>
      </c>
      <c r="J396" s="130">
        <f t="shared" si="90"/>
        <v>0</v>
      </c>
      <c r="K396" s="122">
        <v>1</v>
      </c>
      <c r="L396" s="122">
        <v>12</v>
      </c>
      <c r="M396" s="122">
        <v>12</v>
      </c>
      <c r="N396" s="311">
        <f t="shared" si="89"/>
        <v>0</v>
      </c>
      <c r="O396" s="311">
        <f>IFERROR(G396/M396,"-")</f>
        <v>0</v>
      </c>
      <c r="P396" s="311"/>
      <c r="Q396" s="311"/>
      <c r="R396" s="311"/>
      <c r="S396" s="7"/>
      <c r="T396" s="7"/>
      <c r="U396" s="7" t="s">
        <v>2288</v>
      </c>
      <c r="V396" s="7" t="s">
        <v>2289</v>
      </c>
      <c r="W396" s="7" t="str">
        <f>Preencher!$B$3&amp;U396&amp;V396&amp;A396&amp;$W$6</f>
        <v>JARINU-FRG124063MQ.TUNEL DE CG (CONTINUO)</v>
      </c>
      <c r="X396" s="7" t="str">
        <f>Preencher!$B$3&amp;U396&amp;V396&amp;A396&amp;$X$6</f>
        <v>JARINU-FRG124063MQ.TUNEL DE CG (CONTINUO) (1)</v>
      </c>
      <c r="Y396" s="7" t="str">
        <f>Preencher!$B$3&amp;U396&amp;V396&amp;A396&amp;$Y$6</f>
        <v>JARINU-FRG124063MQ.TUNEL DE CG (CONTINUO) (2)</v>
      </c>
      <c r="Z396" s="7" t="str">
        <f>Preencher!$B$3&amp;U396&amp;V396&amp;A396&amp;$Z$6</f>
        <v>JARINU-FRG124063MQ.TUNEL DE CG (CONTINUO) (3)</v>
      </c>
      <c r="AA396" s="7" t="str">
        <f>Preencher!$B$3&amp;U396&amp;V396&amp;A396&amp;$AA$6</f>
        <v>JARINU-FRG124063MQ.TUNEL DE CG (ESTATICO)</v>
      </c>
      <c r="AB396" s="7" t="str">
        <f>Preencher!$B$3&amp;U396&amp;V396&amp;A396&amp;$AB$6</f>
        <v>JARINU-FRG124063MQ.TUNEL DE CG (ESTATICO) (1)</v>
      </c>
      <c r="AC396" s="7" t="str">
        <f>Preencher!$B$3&amp;U396&amp;V396&amp;A396&amp;$AC$6</f>
        <v>JARINU-FRG124063MQ.TUNEL DE CG (ESTATICO) (2)</v>
      </c>
      <c r="AD396" s="327">
        <f>IFERROR(SUMIF('BD Otimix'!A:A,'BD VOLUME'!X396,'BD Otimix'!O:O)+SUMIF('BD Otimix'!A:A,'BD VOLUME'!Y396,'BD Otimix'!O:O)+SUMIF('BD Otimix'!A:A,'BD VOLUME'!Z396,'BD Otimix'!O:O)+SUMIF('BD Otimix'!A:A,'BD VOLUME'!AA396,'BD Otimix'!O:O)+SUMIF('BD Otimix'!A:A,'BD VOLUME'!AB396,'BD Otimix'!O:O)+SUMIF('BD Otimix'!A:A,'BD VOLUME'!AC396,'BD Otimix'!O:O)+SUMIF('BD Otimix'!A:A,'BD VOLUME'!W396,'BD Otimix'!O:O),0)</f>
        <v>0</v>
      </c>
      <c r="AE396" s="327">
        <f t="shared" si="85"/>
        <v>0</v>
      </c>
      <c r="AF396" s="7" t="str">
        <f>Preencher!$B$3&amp;$U$8&amp;$V$8&amp;A396&amp;$AF$6</f>
        <v>JARINU-FRG124063MQ.GIROFREEZER</v>
      </c>
      <c r="AG396" s="7" t="str">
        <f>Preencher!$B$3&amp;$U$8&amp;$V$8&amp;A396&amp;$AG$6</f>
        <v>JARINU-FRG124063MQ.GIROFREEZER (1)</v>
      </c>
      <c r="AH396" s="7" t="str">
        <f>Preencher!$B$3&amp;$U$8&amp;$V$8&amp;A396&amp;$AH$6</f>
        <v>JARINU-FRG124063MQ.GIROFREEZER (2)</v>
      </c>
      <c r="AI396" s="7" t="str">
        <f>Preencher!$B$3&amp;$U$8&amp;$V$8&amp;A396&amp;$AI$6</f>
        <v>JARINU-FRG124063MQ.GIROFREEZER REV04</v>
      </c>
      <c r="AJ396" s="7" t="str">
        <f>Preencher!$B$3&amp;$U$8&amp;$V$8&amp;A396&amp;$AJ$6</f>
        <v>JARINU-FRG124063MQ.GIROFREEZER (3)</v>
      </c>
      <c r="AK396" s="327">
        <f>IFERROR(SUMIF('BD Otimix'!A:A,'BD VOLUME'!AG396,'BD Otimix'!O:O)+SUMIF('BD Otimix'!A:A,'BD VOLUME'!AH396,'BD Otimix'!O:O)+SUMIF('BD Otimix'!A:A,'BD VOLUME'!AI396,'BD Otimix'!O:O)+SUMIF('BD Otimix'!A:A,'BD VOLUME'!AJ396,'BD Otimix'!O:O)+SUMIF('BD Otimix'!A:A,'BD VOLUME'!AF396,'BD Otimix'!O:O),0)</f>
        <v>0</v>
      </c>
      <c r="AL396" s="7">
        <f t="shared" si="86"/>
        <v>0</v>
      </c>
    </row>
    <row r="397" spans="1:38" s="4" customFormat="1" ht="14.25">
      <c r="A397" s="685">
        <v>124263</v>
      </c>
      <c r="B397" s="685" t="s">
        <v>2511</v>
      </c>
      <c r="C397" s="5" t="s">
        <v>2512</v>
      </c>
      <c r="D397" s="75" t="s">
        <v>867</v>
      </c>
      <c r="E397" s="5" t="s">
        <v>2121</v>
      </c>
      <c r="F397" s="132">
        <f>SUMIF('COLAR PLANO'!$A:$A,A397,'COLAR PLANO'!$D:$D)</f>
        <v>0</v>
      </c>
      <c r="G397" s="131">
        <f t="shared" si="87"/>
        <v>0</v>
      </c>
      <c r="H397" s="6">
        <v>0.217</v>
      </c>
      <c r="I397" s="7">
        <f t="shared" si="88"/>
        <v>0</v>
      </c>
      <c r="J397" s="130">
        <f t="shared" si="90"/>
        <v>0</v>
      </c>
      <c r="K397" s="122">
        <v>15</v>
      </c>
      <c r="L397" s="122">
        <v>1</v>
      </c>
      <c r="M397" s="122">
        <v>15</v>
      </c>
      <c r="N397" s="311">
        <f t="shared" si="89"/>
        <v>0</v>
      </c>
      <c r="O397" s="311"/>
      <c r="P397" s="311"/>
      <c r="Q397" s="311">
        <f>IFERROR(G397/M397,"-")</f>
        <v>0</v>
      </c>
      <c r="R397" s="311"/>
      <c r="S397" s="7"/>
      <c r="T397" s="7"/>
      <c r="U397" s="7" t="s">
        <v>2288</v>
      </c>
      <c r="V397" s="7" t="s">
        <v>2289</v>
      </c>
      <c r="W397" s="7" t="str">
        <f>Preencher!$B$3&amp;U397&amp;V397&amp;A397&amp;$W$6</f>
        <v>JARINU-FRG124263MQ.TUNEL DE CG (CONTINUO)</v>
      </c>
      <c r="X397" s="7" t="str">
        <f>Preencher!$B$3&amp;U397&amp;V397&amp;A397&amp;$X$6</f>
        <v>JARINU-FRG124263MQ.TUNEL DE CG (CONTINUO) (1)</v>
      </c>
      <c r="Y397" s="7" t="str">
        <f>Preencher!$B$3&amp;U397&amp;V397&amp;A397&amp;$Y$6</f>
        <v>JARINU-FRG124263MQ.TUNEL DE CG (CONTINUO) (2)</v>
      </c>
      <c r="Z397" s="7" t="str">
        <f>Preencher!$B$3&amp;U397&amp;V397&amp;A397&amp;$Z$6</f>
        <v>JARINU-FRG124263MQ.TUNEL DE CG (CONTINUO) (3)</v>
      </c>
      <c r="AA397" s="7" t="str">
        <f>Preencher!$B$3&amp;U397&amp;V397&amp;A397&amp;$AA$6</f>
        <v>JARINU-FRG124263MQ.TUNEL DE CG (ESTATICO)</v>
      </c>
      <c r="AB397" s="7" t="str">
        <f>Preencher!$B$3&amp;U397&amp;V397&amp;A397&amp;$AB$6</f>
        <v>JARINU-FRG124263MQ.TUNEL DE CG (ESTATICO) (1)</v>
      </c>
      <c r="AC397" s="7" t="str">
        <f>Preencher!$B$3&amp;U397&amp;V397&amp;A397&amp;$AC$6</f>
        <v>JARINU-FRG124263MQ.TUNEL DE CG (ESTATICO) (2)</v>
      </c>
      <c r="AD397" s="327">
        <f>IFERROR(SUMIF('BD Otimix'!A:A,'BD VOLUME'!X397,'BD Otimix'!O:O)+SUMIF('BD Otimix'!A:A,'BD VOLUME'!Y397,'BD Otimix'!O:O)+SUMIF('BD Otimix'!A:A,'BD VOLUME'!Z397,'BD Otimix'!O:O)+SUMIF('BD Otimix'!A:A,'BD VOLUME'!AA397,'BD Otimix'!O:O)+SUMIF('BD Otimix'!A:A,'BD VOLUME'!AB397,'BD Otimix'!O:O)+SUMIF('BD Otimix'!A:A,'BD VOLUME'!AC397,'BD Otimix'!O:O)+SUMIF('BD Otimix'!A:A,'BD VOLUME'!W397,'BD Otimix'!O:O),0)</f>
        <v>0</v>
      </c>
      <c r="AE397" s="327">
        <f t="shared" si="85"/>
        <v>0</v>
      </c>
      <c r="AF397" s="7" t="str">
        <f>Preencher!$B$3&amp;$U$8&amp;$V$8&amp;A397&amp;$AF$6</f>
        <v>JARINU-FRG124263MQ.GIROFREEZER</v>
      </c>
      <c r="AG397" s="7" t="str">
        <f>Preencher!$B$3&amp;$U$8&amp;$V$8&amp;A397&amp;$AG$6</f>
        <v>JARINU-FRG124263MQ.GIROFREEZER (1)</v>
      </c>
      <c r="AH397" s="7" t="str">
        <f>Preencher!$B$3&amp;$U$8&amp;$V$8&amp;A397&amp;$AH$6</f>
        <v>JARINU-FRG124263MQ.GIROFREEZER (2)</v>
      </c>
      <c r="AI397" s="7" t="str">
        <f>Preencher!$B$3&amp;$U$8&amp;$V$8&amp;A397&amp;$AI$6</f>
        <v>JARINU-FRG124263MQ.GIROFREEZER REV04</v>
      </c>
      <c r="AJ397" s="7" t="str">
        <f>Preencher!$B$3&amp;$U$8&amp;$V$8&amp;A397&amp;$AJ$6</f>
        <v>JARINU-FRG124263MQ.GIROFREEZER (3)</v>
      </c>
      <c r="AK397" s="327">
        <f>IFERROR(SUMIF('BD Otimix'!A:A,'BD VOLUME'!AG397,'BD Otimix'!O:O)+SUMIF('BD Otimix'!A:A,'BD VOLUME'!AH397,'BD Otimix'!O:O)+SUMIF('BD Otimix'!A:A,'BD VOLUME'!AI397,'BD Otimix'!O:O)+SUMIF('BD Otimix'!A:A,'BD VOLUME'!AJ397,'BD Otimix'!O:O)+SUMIF('BD Otimix'!A:A,'BD VOLUME'!AF397,'BD Otimix'!O:O),0)</f>
        <v>0</v>
      </c>
      <c r="AL397" s="7">
        <f t="shared" si="86"/>
        <v>0</v>
      </c>
    </row>
    <row r="398" spans="1:38" s="4" customFormat="1" ht="14.25">
      <c r="A398" s="685">
        <v>958085</v>
      </c>
      <c r="B398" s="685" t="s">
        <v>2513</v>
      </c>
      <c r="C398" s="5" t="s">
        <v>2514</v>
      </c>
      <c r="D398" s="75" t="s">
        <v>867</v>
      </c>
      <c r="E398" s="5" t="s">
        <v>1489</v>
      </c>
      <c r="F398" s="132">
        <f>SUMIF('COLAR PLANO'!$A:$A,A398,'COLAR PLANO'!$D:$D)</f>
        <v>0</v>
      </c>
      <c r="G398" s="131">
        <f t="shared" si="87"/>
        <v>0</v>
      </c>
      <c r="H398" s="6">
        <v>0.217</v>
      </c>
      <c r="I398" s="7">
        <f t="shared" si="88"/>
        <v>0</v>
      </c>
      <c r="J398" s="130">
        <f t="shared" si="90"/>
        <v>0</v>
      </c>
      <c r="K398" s="122">
        <v>7.5</v>
      </c>
      <c r="L398" s="122">
        <v>2</v>
      </c>
      <c r="M398" s="122">
        <v>15</v>
      </c>
      <c r="N398" s="311">
        <f t="shared" si="89"/>
        <v>0</v>
      </c>
      <c r="O398" s="311"/>
      <c r="P398" s="311"/>
      <c r="Q398" s="311">
        <f>IFERROR(G398/M398,"-")</f>
        <v>0</v>
      </c>
      <c r="R398" s="311"/>
      <c r="S398" s="7"/>
      <c r="T398" s="7"/>
      <c r="U398" s="7" t="s">
        <v>2288</v>
      </c>
      <c r="V398" s="7" t="s">
        <v>2289</v>
      </c>
      <c r="W398" s="7" t="str">
        <f>Preencher!$B$3&amp;U398&amp;V398&amp;A398&amp;$W$6</f>
        <v>JARINU-FRG958085MQ.TUNEL DE CG (CONTINUO)</v>
      </c>
      <c r="X398" s="7" t="str">
        <f>Preencher!$B$3&amp;U398&amp;V398&amp;A398&amp;$X$6</f>
        <v>JARINU-FRG958085MQ.TUNEL DE CG (CONTINUO) (1)</v>
      </c>
      <c r="Y398" s="7" t="str">
        <f>Preencher!$B$3&amp;U398&amp;V398&amp;A398&amp;$Y$6</f>
        <v>JARINU-FRG958085MQ.TUNEL DE CG (CONTINUO) (2)</v>
      </c>
      <c r="Z398" s="7" t="str">
        <f>Preencher!$B$3&amp;U398&amp;V398&amp;A398&amp;$Z$6</f>
        <v>JARINU-FRG958085MQ.TUNEL DE CG (CONTINUO) (3)</v>
      </c>
      <c r="AA398" s="7" t="str">
        <f>Preencher!$B$3&amp;U398&amp;V398&amp;A398&amp;$AA$6</f>
        <v>JARINU-FRG958085MQ.TUNEL DE CG (ESTATICO)</v>
      </c>
      <c r="AB398" s="7" t="str">
        <f>Preencher!$B$3&amp;U398&amp;V398&amp;A398&amp;$AB$6</f>
        <v>JARINU-FRG958085MQ.TUNEL DE CG (ESTATICO) (1)</v>
      </c>
      <c r="AC398" s="7" t="str">
        <f>Preencher!$B$3&amp;U398&amp;V398&amp;A398&amp;$AC$6</f>
        <v>JARINU-FRG958085MQ.TUNEL DE CG (ESTATICO) (2)</v>
      </c>
      <c r="AD398" s="327">
        <f>IFERROR(SUMIF('BD Otimix'!A:A,'BD VOLUME'!X398,'BD Otimix'!O:O)+SUMIF('BD Otimix'!A:A,'BD VOLUME'!Y398,'BD Otimix'!O:O)+SUMIF('BD Otimix'!A:A,'BD VOLUME'!Z398,'BD Otimix'!O:O)+SUMIF('BD Otimix'!A:A,'BD VOLUME'!AA398,'BD Otimix'!O:O)+SUMIF('BD Otimix'!A:A,'BD VOLUME'!AB398,'BD Otimix'!O:O)+SUMIF('BD Otimix'!A:A,'BD VOLUME'!AC398,'BD Otimix'!O:O)+SUMIF('BD Otimix'!A:A,'BD VOLUME'!W398,'BD Otimix'!O:O),0)</f>
        <v>0</v>
      </c>
      <c r="AE398" s="327">
        <f t="shared" si="85"/>
        <v>0</v>
      </c>
      <c r="AF398" s="7" t="str">
        <f>Preencher!$B$3&amp;$U$8&amp;$V$8&amp;A398&amp;$AF$6</f>
        <v>JARINU-FRG958085MQ.GIROFREEZER</v>
      </c>
      <c r="AG398" s="7" t="str">
        <f>Preencher!$B$3&amp;$U$8&amp;$V$8&amp;A398&amp;$AG$6</f>
        <v>JARINU-FRG958085MQ.GIROFREEZER (1)</v>
      </c>
      <c r="AH398" s="7" t="str">
        <f>Preencher!$B$3&amp;$U$8&amp;$V$8&amp;A398&amp;$AH$6</f>
        <v>JARINU-FRG958085MQ.GIROFREEZER (2)</v>
      </c>
      <c r="AI398" s="7" t="str">
        <f>Preencher!$B$3&amp;$U$8&amp;$V$8&amp;A398&amp;$AI$6</f>
        <v>JARINU-FRG958085MQ.GIROFREEZER REV04</v>
      </c>
      <c r="AJ398" s="7" t="str">
        <f>Preencher!$B$3&amp;$U$8&amp;$V$8&amp;A398&amp;$AJ$6</f>
        <v>JARINU-FRG958085MQ.GIROFREEZER (3)</v>
      </c>
      <c r="AK398" s="327">
        <f>IFERROR(SUMIF('BD Otimix'!A:A,'BD VOLUME'!AG398,'BD Otimix'!O:O)+SUMIF('BD Otimix'!A:A,'BD VOLUME'!AH398,'BD Otimix'!O:O)+SUMIF('BD Otimix'!A:A,'BD VOLUME'!AI398,'BD Otimix'!O:O)+SUMIF('BD Otimix'!A:A,'BD VOLUME'!AJ398,'BD Otimix'!O:O)+SUMIF('BD Otimix'!A:A,'BD VOLUME'!AF398,'BD Otimix'!O:O),0)</f>
        <v>0</v>
      </c>
      <c r="AL398" s="7">
        <f t="shared" si="86"/>
        <v>0</v>
      </c>
    </row>
    <row r="399" spans="1:38" s="4" customFormat="1" ht="14.25">
      <c r="A399" s="685">
        <v>124361</v>
      </c>
      <c r="B399" s="685"/>
      <c r="C399" s="5" t="s">
        <v>2515</v>
      </c>
      <c r="D399" s="5" t="s">
        <v>867</v>
      </c>
      <c r="E399" s="5" t="s">
        <v>935</v>
      </c>
      <c r="F399" s="132">
        <f>SUMIF('COLAR PLANO'!$A:$A,A399,'COLAR PLANO'!$D:$D)</f>
        <v>0</v>
      </c>
      <c r="G399" s="131">
        <f t="shared" si="87"/>
        <v>0</v>
      </c>
      <c r="H399" s="6">
        <v>0.2147</v>
      </c>
      <c r="I399" s="7">
        <f t="shared" si="88"/>
        <v>0</v>
      </c>
      <c r="J399" s="130">
        <f t="shared" si="90"/>
        <v>0</v>
      </c>
      <c r="K399" s="122">
        <v>1</v>
      </c>
      <c r="L399" s="122">
        <v>12</v>
      </c>
      <c r="M399" s="122">
        <v>12</v>
      </c>
      <c r="N399" s="311">
        <f t="shared" si="89"/>
        <v>0</v>
      </c>
      <c r="O399" s="311">
        <f>IFERROR(G399/M399,"-")</f>
        <v>0</v>
      </c>
      <c r="P399" s="311"/>
      <c r="Q399" s="311"/>
      <c r="R399" s="311"/>
      <c r="S399" s="7"/>
      <c r="T399" s="7"/>
      <c r="U399" s="7" t="s">
        <v>2288</v>
      </c>
      <c r="V399" s="7" t="s">
        <v>2289</v>
      </c>
      <c r="W399" s="7" t="str">
        <f>Preencher!$B$3&amp;U399&amp;V399&amp;A399&amp;$W$6</f>
        <v>JARINU-FRG124361MQ.TUNEL DE CG (CONTINUO)</v>
      </c>
      <c r="X399" s="7" t="str">
        <f>Preencher!$B$3&amp;U399&amp;V399&amp;A399&amp;$X$6</f>
        <v>JARINU-FRG124361MQ.TUNEL DE CG (CONTINUO) (1)</v>
      </c>
      <c r="Y399" s="7" t="str">
        <f>Preencher!$B$3&amp;U399&amp;V399&amp;A399&amp;$Y$6</f>
        <v>JARINU-FRG124361MQ.TUNEL DE CG (CONTINUO) (2)</v>
      </c>
      <c r="Z399" s="7" t="str">
        <f>Preencher!$B$3&amp;U399&amp;V399&amp;A399&amp;$Z$6</f>
        <v>JARINU-FRG124361MQ.TUNEL DE CG (CONTINUO) (3)</v>
      </c>
      <c r="AA399" s="7" t="str">
        <f>Preencher!$B$3&amp;U399&amp;V399&amp;A399&amp;$AA$6</f>
        <v>JARINU-FRG124361MQ.TUNEL DE CG (ESTATICO)</v>
      </c>
      <c r="AB399" s="7" t="str">
        <f>Preencher!$B$3&amp;U399&amp;V399&amp;A399&amp;$AB$6</f>
        <v>JARINU-FRG124361MQ.TUNEL DE CG (ESTATICO) (1)</v>
      </c>
      <c r="AC399" s="7" t="str">
        <f>Preencher!$B$3&amp;U399&amp;V399&amp;A399&amp;$AC$6</f>
        <v>JARINU-FRG124361MQ.TUNEL DE CG (ESTATICO) (2)</v>
      </c>
      <c r="AD399" s="327">
        <f>IFERROR(SUMIF('BD Otimix'!A:A,'BD VOLUME'!X399,'BD Otimix'!O:O)+SUMIF('BD Otimix'!A:A,'BD VOLUME'!Y399,'BD Otimix'!O:O)+SUMIF('BD Otimix'!A:A,'BD VOLUME'!Z399,'BD Otimix'!O:O)+SUMIF('BD Otimix'!A:A,'BD VOLUME'!AA399,'BD Otimix'!O:O)+SUMIF('BD Otimix'!A:A,'BD VOLUME'!AB399,'BD Otimix'!O:O)+SUMIF('BD Otimix'!A:A,'BD VOLUME'!AC399,'BD Otimix'!O:O)+SUMIF('BD Otimix'!A:A,'BD VOLUME'!W399,'BD Otimix'!O:O),0)</f>
        <v>0</v>
      </c>
      <c r="AE399" s="327">
        <f t="shared" si="85"/>
        <v>0</v>
      </c>
      <c r="AF399" s="7" t="str">
        <f>Preencher!$B$3&amp;$U$8&amp;$V$8&amp;A399&amp;$AF$6</f>
        <v>JARINU-FRG124361MQ.GIROFREEZER</v>
      </c>
      <c r="AG399" s="7" t="str">
        <f>Preencher!$B$3&amp;$U$8&amp;$V$8&amp;A399&amp;$AG$6</f>
        <v>JARINU-FRG124361MQ.GIROFREEZER (1)</v>
      </c>
      <c r="AH399" s="7" t="str">
        <f>Preencher!$B$3&amp;$U$8&amp;$V$8&amp;A399&amp;$AH$6</f>
        <v>JARINU-FRG124361MQ.GIROFREEZER (2)</v>
      </c>
      <c r="AI399" s="7" t="str">
        <f>Preencher!$B$3&amp;$U$8&amp;$V$8&amp;A399&amp;$AI$6</f>
        <v>JARINU-FRG124361MQ.GIROFREEZER REV04</v>
      </c>
      <c r="AJ399" s="7" t="str">
        <f>Preencher!$B$3&amp;$U$8&amp;$V$8&amp;A399&amp;$AJ$6</f>
        <v>JARINU-FRG124361MQ.GIROFREEZER (3)</v>
      </c>
      <c r="AK399" s="327">
        <f>IFERROR(SUMIF('BD Otimix'!A:A,'BD VOLUME'!AG399,'BD Otimix'!O:O)+SUMIF('BD Otimix'!A:A,'BD VOLUME'!AH399,'BD Otimix'!O:O)+SUMIF('BD Otimix'!A:A,'BD VOLUME'!AI399,'BD Otimix'!O:O)+SUMIF('BD Otimix'!A:A,'BD VOLUME'!AJ399,'BD Otimix'!O:O)+SUMIF('BD Otimix'!A:A,'BD VOLUME'!AF399,'BD Otimix'!O:O),0)</f>
        <v>0</v>
      </c>
      <c r="AL399" s="7">
        <f t="shared" si="86"/>
        <v>0</v>
      </c>
    </row>
    <row r="400" spans="1:38" s="4" customFormat="1" ht="14.25">
      <c r="A400" s="685">
        <v>124456</v>
      </c>
      <c r="B400" s="685"/>
      <c r="C400" s="5" t="s">
        <v>2516</v>
      </c>
      <c r="D400" s="5" t="s">
        <v>867</v>
      </c>
      <c r="E400" s="5" t="s">
        <v>1873</v>
      </c>
      <c r="F400" s="132">
        <f>SUMIF('COLAR PLANO'!$A:$A,A400,'COLAR PLANO'!$D:$D)</f>
        <v>0</v>
      </c>
      <c r="G400" s="131">
        <f t="shared" si="87"/>
        <v>0</v>
      </c>
      <c r="H400" s="6">
        <v>0.2147</v>
      </c>
      <c r="I400" s="7">
        <f t="shared" si="88"/>
        <v>0</v>
      </c>
      <c r="J400" s="130">
        <f t="shared" si="90"/>
        <v>0</v>
      </c>
      <c r="K400" s="122">
        <v>1</v>
      </c>
      <c r="L400" s="122">
        <v>12</v>
      </c>
      <c r="M400" s="122">
        <v>12</v>
      </c>
      <c r="N400" s="311">
        <f t="shared" si="89"/>
        <v>0</v>
      </c>
      <c r="O400" s="311">
        <f>IFERROR(G400/M400,"-")</f>
        <v>0</v>
      </c>
      <c r="P400" s="311"/>
      <c r="Q400" s="311"/>
      <c r="R400" s="311"/>
      <c r="S400" s="7"/>
      <c r="T400" s="7"/>
      <c r="U400" s="7" t="s">
        <v>2288</v>
      </c>
      <c r="V400" s="7" t="s">
        <v>2289</v>
      </c>
      <c r="W400" s="7" t="str">
        <f>Preencher!$B$3&amp;U400&amp;V400&amp;A400&amp;$W$6</f>
        <v>JARINU-FRG124456MQ.TUNEL DE CG (CONTINUO)</v>
      </c>
      <c r="X400" s="7" t="str">
        <f>Preencher!$B$3&amp;U400&amp;V400&amp;A400&amp;$X$6</f>
        <v>JARINU-FRG124456MQ.TUNEL DE CG (CONTINUO) (1)</v>
      </c>
      <c r="Y400" s="7" t="str">
        <f>Preencher!$B$3&amp;U400&amp;V400&amp;A400&amp;$Y$6</f>
        <v>JARINU-FRG124456MQ.TUNEL DE CG (CONTINUO) (2)</v>
      </c>
      <c r="Z400" s="7" t="str">
        <f>Preencher!$B$3&amp;U400&amp;V400&amp;A400&amp;$Z$6</f>
        <v>JARINU-FRG124456MQ.TUNEL DE CG (CONTINUO) (3)</v>
      </c>
      <c r="AA400" s="7" t="str">
        <f>Preencher!$B$3&amp;U400&amp;V400&amp;A400&amp;$AA$6</f>
        <v>JARINU-FRG124456MQ.TUNEL DE CG (ESTATICO)</v>
      </c>
      <c r="AB400" s="7" t="str">
        <f>Preencher!$B$3&amp;U400&amp;V400&amp;A400&amp;$AB$6</f>
        <v>JARINU-FRG124456MQ.TUNEL DE CG (ESTATICO) (1)</v>
      </c>
      <c r="AC400" s="7" t="str">
        <f>Preencher!$B$3&amp;U400&amp;V400&amp;A400&amp;$AC$6</f>
        <v>JARINU-FRG124456MQ.TUNEL DE CG (ESTATICO) (2)</v>
      </c>
      <c r="AD400" s="327">
        <f>IFERROR(SUMIF('BD Otimix'!A:A,'BD VOLUME'!X400,'BD Otimix'!O:O)+SUMIF('BD Otimix'!A:A,'BD VOLUME'!Y400,'BD Otimix'!O:O)+SUMIF('BD Otimix'!A:A,'BD VOLUME'!Z400,'BD Otimix'!O:O)+SUMIF('BD Otimix'!A:A,'BD VOLUME'!AA400,'BD Otimix'!O:O)+SUMIF('BD Otimix'!A:A,'BD VOLUME'!AB400,'BD Otimix'!O:O)+SUMIF('BD Otimix'!A:A,'BD VOLUME'!AC400,'BD Otimix'!O:O)+SUMIF('BD Otimix'!A:A,'BD VOLUME'!W400,'BD Otimix'!O:O),0)</f>
        <v>0</v>
      </c>
      <c r="AE400" s="327">
        <f t="shared" si="85"/>
        <v>0</v>
      </c>
      <c r="AF400" s="7" t="str">
        <f>Preencher!$B$3&amp;$U$8&amp;$V$8&amp;A400&amp;$AF$6</f>
        <v>JARINU-FRG124456MQ.GIROFREEZER</v>
      </c>
      <c r="AG400" s="7" t="str">
        <f>Preencher!$B$3&amp;$U$8&amp;$V$8&amp;A400&amp;$AG$6</f>
        <v>JARINU-FRG124456MQ.GIROFREEZER (1)</v>
      </c>
      <c r="AH400" s="7" t="str">
        <f>Preencher!$B$3&amp;$U$8&amp;$V$8&amp;A400&amp;$AH$6</f>
        <v>JARINU-FRG124456MQ.GIROFREEZER (2)</v>
      </c>
      <c r="AI400" s="7" t="str">
        <f>Preencher!$B$3&amp;$U$8&amp;$V$8&amp;A400&amp;$AI$6</f>
        <v>JARINU-FRG124456MQ.GIROFREEZER REV04</v>
      </c>
      <c r="AJ400" s="7" t="str">
        <f>Preencher!$B$3&amp;$U$8&amp;$V$8&amp;A400&amp;$AJ$6</f>
        <v>JARINU-FRG124456MQ.GIROFREEZER (3)</v>
      </c>
      <c r="AK400" s="327">
        <f>IFERROR(SUMIF('BD Otimix'!A:A,'BD VOLUME'!AG400,'BD Otimix'!O:O)+SUMIF('BD Otimix'!A:A,'BD VOLUME'!AH400,'BD Otimix'!O:O)+SUMIF('BD Otimix'!A:A,'BD VOLUME'!AI400,'BD Otimix'!O:O)+SUMIF('BD Otimix'!A:A,'BD VOLUME'!AJ400,'BD Otimix'!O:O)+SUMIF('BD Otimix'!A:A,'BD VOLUME'!AF400,'BD Otimix'!O:O),0)</f>
        <v>0</v>
      </c>
      <c r="AL400" s="7">
        <f t="shared" si="86"/>
        <v>0</v>
      </c>
    </row>
    <row r="401" spans="1:38" s="4" customFormat="1" ht="14.25">
      <c r="A401" s="685">
        <v>929646</v>
      </c>
      <c r="B401" s="685"/>
      <c r="C401" s="5" t="s">
        <v>2618</v>
      </c>
      <c r="D401" s="75" t="s">
        <v>867</v>
      </c>
      <c r="E401" s="5" t="s">
        <v>1492</v>
      </c>
      <c r="F401" s="132">
        <f>SUMIF('COLAR PLANO'!$A:$A,A401,'COLAR PLANO'!$D:$D)</f>
        <v>0</v>
      </c>
      <c r="G401" s="131">
        <f t="shared" si="87"/>
        <v>0</v>
      </c>
      <c r="H401" s="6">
        <v>0.217</v>
      </c>
      <c r="I401" s="7">
        <f t="shared" si="88"/>
        <v>0</v>
      </c>
      <c r="J401" s="130">
        <f t="shared" si="90"/>
        <v>0</v>
      </c>
      <c r="K401" s="122">
        <v>10</v>
      </c>
      <c r="L401" s="122">
        <v>1</v>
      </c>
      <c r="M401" s="122">
        <v>10</v>
      </c>
      <c r="N401" s="311">
        <f t="shared" si="89"/>
        <v>0</v>
      </c>
      <c r="O401" s="311"/>
      <c r="P401" s="311"/>
      <c r="Q401" s="311">
        <f>IFERROR(G401/M401,"-")</f>
        <v>0</v>
      </c>
      <c r="R401" s="311"/>
      <c r="S401" s="7"/>
      <c r="T401" s="7"/>
      <c r="U401" s="7" t="s">
        <v>2288</v>
      </c>
      <c r="V401" s="7" t="s">
        <v>2289</v>
      </c>
      <c r="W401" s="7" t="str">
        <f>Preencher!$B$3&amp;U401&amp;V401&amp;A401&amp;$W$6</f>
        <v>JARINU-FRG929646MQ.TUNEL DE CG (CONTINUO)</v>
      </c>
      <c r="X401" s="7" t="str">
        <f>Preencher!$B$3&amp;U401&amp;V401&amp;A401&amp;$X$6</f>
        <v>JARINU-FRG929646MQ.TUNEL DE CG (CONTINUO) (1)</v>
      </c>
      <c r="Y401" s="7" t="str">
        <f>Preencher!$B$3&amp;U401&amp;V401&amp;A401&amp;$Y$6</f>
        <v>JARINU-FRG929646MQ.TUNEL DE CG (CONTINUO) (2)</v>
      </c>
      <c r="Z401" s="7" t="str">
        <f>Preencher!$B$3&amp;U401&amp;V401&amp;A401&amp;$Z$6</f>
        <v>JARINU-FRG929646MQ.TUNEL DE CG (CONTINUO) (3)</v>
      </c>
      <c r="AA401" s="7" t="str">
        <f>Preencher!$B$3&amp;U401&amp;V401&amp;A401&amp;$AA$6</f>
        <v>JARINU-FRG929646MQ.TUNEL DE CG (ESTATICO)</v>
      </c>
      <c r="AB401" s="7" t="str">
        <f>Preencher!$B$3&amp;U401&amp;V401&amp;A401&amp;$AB$6</f>
        <v>JARINU-FRG929646MQ.TUNEL DE CG (ESTATICO) (1)</v>
      </c>
      <c r="AC401" s="7" t="str">
        <f>Preencher!$B$3&amp;U401&amp;V401&amp;A401&amp;$AC$6</f>
        <v>JARINU-FRG929646MQ.TUNEL DE CG (ESTATICO) (2)</v>
      </c>
      <c r="AD401" s="327">
        <f>IFERROR(SUMIF('BD Otimix'!A:A,'BD VOLUME'!X401,'BD Otimix'!O:O)+SUMIF('BD Otimix'!A:A,'BD VOLUME'!Y401,'BD Otimix'!O:O)+SUMIF('BD Otimix'!A:A,'BD VOLUME'!Z401,'BD Otimix'!O:O)+SUMIF('BD Otimix'!A:A,'BD VOLUME'!AA401,'BD Otimix'!O:O)+SUMIF('BD Otimix'!A:A,'BD VOLUME'!AB401,'BD Otimix'!O:O)+SUMIF('BD Otimix'!A:A,'BD VOLUME'!AC401,'BD Otimix'!O:O)+SUMIF('BD Otimix'!A:A,'BD VOLUME'!W401,'BD Otimix'!O:O),0)</f>
        <v>0</v>
      </c>
      <c r="AE401" s="327">
        <f t="shared" si="85"/>
        <v>0</v>
      </c>
      <c r="AF401" s="7" t="str">
        <f>Preencher!$B$3&amp;$U$8&amp;$V$8&amp;A401&amp;$AF$6</f>
        <v>JARINU-FRG929646MQ.GIROFREEZER</v>
      </c>
      <c r="AG401" s="7" t="str">
        <f>Preencher!$B$3&amp;$U$8&amp;$V$8&amp;A401&amp;$AG$6</f>
        <v>JARINU-FRG929646MQ.GIROFREEZER (1)</v>
      </c>
      <c r="AH401" s="7" t="str">
        <f>Preencher!$B$3&amp;$U$8&amp;$V$8&amp;A401&amp;$AH$6</f>
        <v>JARINU-FRG929646MQ.GIROFREEZER (2)</v>
      </c>
      <c r="AI401" s="7" t="str">
        <f>Preencher!$B$3&amp;$U$8&amp;$V$8&amp;A401&amp;$AI$6</f>
        <v>JARINU-FRG929646MQ.GIROFREEZER REV04</v>
      </c>
      <c r="AJ401" s="7" t="str">
        <f>Preencher!$B$3&amp;$U$8&amp;$V$8&amp;A401&amp;$AJ$6</f>
        <v>JARINU-FRG929646MQ.GIROFREEZER (3)</v>
      </c>
      <c r="AK401" s="327">
        <f>IFERROR(SUMIF('BD Otimix'!A:A,'BD VOLUME'!AG401,'BD Otimix'!O:O)+SUMIF('BD Otimix'!A:A,'BD VOLUME'!AH401,'BD Otimix'!O:O)+SUMIF('BD Otimix'!A:A,'BD VOLUME'!AI401,'BD Otimix'!O:O)+SUMIF('BD Otimix'!A:A,'BD VOLUME'!AJ401,'BD Otimix'!O:O)+SUMIF('BD Otimix'!A:A,'BD VOLUME'!AF401,'BD Otimix'!O:O),0)</f>
        <v>0</v>
      </c>
      <c r="AL401" s="7">
        <f t="shared" si="86"/>
        <v>0</v>
      </c>
    </row>
    <row r="402" spans="1:38" s="4" customFormat="1" ht="14.25">
      <c r="A402" s="685">
        <v>11517</v>
      </c>
      <c r="B402" s="685" t="s">
        <v>2989</v>
      </c>
      <c r="C402" s="5" t="s">
        <v>2990</v>
      </c>
      <c r="D402" s="75" t="s">
        <v>867</v>
      </c>
      <c r="E402" s="5" t="s">
        <v>1489</v>
      </c>
      <c r="F402" s="132">
        <f>SUMIF('COLAR PLANO'!$A:$A,A402,'COLAR PLANO'!$D:$D)</f>
        <v>0</v>
      </c>
      <c r="G402" s="131">
        <f>IFERROR(F402/($E$3*$C$3),0)</f>
        <v>0</v>
      </c>
      <c r="H402" s="6">
        <v>0.217</v>
      </c>
      <c r="I402" s="7">
        <f>IFERROR(G402/$D$3/H402,0)</f>
        <v>0</v>
      </c>
      <c r="J402" s="130">
        <f>IFERROR(I402/$B$306,0)</f>
        <v>0</v>
      </c>
      <c r="K402" s="122">
        <v>7.5</v>
      </c>
      <c r="L402" s="122">
        <v>2</v>
      </c>
      <c r="M402" s="122">
        <v>15</v>
      </c>
      <c r="N402" s="311">
        <f>IFERROR(G402/K402,"-")</f>
        <v>0</v>
      </c>
      <c r="O402" s="311"/>
      <c r="P402" s="311"/>
      <c r="Q402" s="311">
        <f>IFERROR(G402/M402,"-")</f>
        <v>0</v>
      </c>
      <c r="R402" s="311"/>
      <c r="S402" s="7"/>
      <c r="T402" s="7"/>
      <c r="U402" s="7" t="s">
        <v>2288</v>
      </c>
      <c r="V402" s="7" t="s">
        <v>2289</v>
      </c>
      <c r="W402" s="7" t="str">
        <f>Preencher!$B$3&amp;U402&amp;V402&amp;A402&amp;$W$6</f>
        <v>JARINU-FRG11517MQ.TUNEL DE CG (CONTINUO)</v>
      </c>
      <c r="X402" s="7" t="str">
        <f>Preencher!$B$3&amp;U402&amp;V402&amp;A402&amp;$X$6</f>
        <v>JARINU-FRG11517MQ.TUNEL DE CG (CONTINUO) (1)</v>
      </c>
      <c r="Y402" s="7" t="str">
        <f>Preencher!$B$3&amp;U402&amp;V402&amp;A402&amp;$Y$6</f>
        <v>JARINU-FRG11517MQ.TUNEL DE CG (CONTINUO) (2)</v>
      </c>
      <c r="Z402" s="7" t="str">
        <f>Preencher!$B$3&amp;U402&amp;V402&amp;A402&amp;$Z$6</f>
        <v>JARINU-FRG11517MQ.TUNEL DE CG (CONTINUO) (3)</v>
      </c>
      <c r="AA402" s="7" t="str">
        <f>Preencher!$B$3&amp;U402&amp;V402&amp;A402&amp;$AA$6</f>
        <v>JARINU-FRG11517MQ.TUNEL DE CG (ESTATICO)</v>
      </c>
      <c r="AB402" s="7" t="str">
        <f>Preencher!$B$3&amp;U402&amp;V402&amp;A402&amp;$AB$6</f>
        <v>JARINU-FRG11517MQ.TUNEL DE CG (ESTATICO) (1)</v>
      </c>
      <c r="AC402" s="7" t="str">
        <f>Preencher!$B$3&amp;U402&amp;V402&amp;A402&amp;$AC$6</f>
        <v>JARINU-FRG11517MQ.TUNEL DE CG (ESTATICO) (2)</v>
      </c>
      <c r="AD402" s="327">
        <f>IFERROR(SUMIF('BD Otimix'!A:A,'BD VOLUME'!X402,'BD Otimix'!O:O)+SUMIF('BD Otimix'!A:A,'BD VOLUME'!Y402,'BD Otimix'!O:O)+SUMIF('BD Otimix'!A:A,'BD VOLUME'!Z402,'BD Otimix'!O:O)+SUMIF('BD Otimix'!A:A,'BD VOLUME'!AA402,'BD Otimix'!O:O)+SUMIF('BD Otimix'!A:A,'BD VOLUME'!AB402,'BD Otimix'!O:O)+SUMIF('BD Otimix'!A:A,'BD VOLUME'!AC402,'BD Otimix'!O:O)+SUMIF('BD Otimix'!A:A,'BD VOLUME'!W402,'BD Otimix'!O:O),0)</f>
        <v>0</v>
      </c>
      <c r="AE402" s="327">
        <f>IFERROR(F402/$E$3/1000/AD402,0)</f>
        <v>0</v>
      </c>
      <c r="AF402" s="7" t="str">
        <f>Preencher!$B$3&amp;$U$8&amp;$V$8&amp;A402&amp;$AF$6</f>
        <v>JARINU-FRG11517MQ.GIROFREEZER</v>
      </c>
      <c r="AG402" s="7" t="str">
        <f>Preencher!$B$3&amp;$U$8&amp;$V$8&amp;A402&amp;$AG$6</f>
        <v>JARINU-FRG11517MQ.GIROFREEZER (1)</v>
      </c>
      <c r="AH402" s="7" t="str">
        <f>Preencher!$B$3&amp;$U$8&amp;$V$8&amp;A402&amp;$AH$6</f>
        <v>JARINU-FRG11517MQ.GIROFREEZER (2)</v>
      </c>
      <c r="AI402" s="7" t="str">
        <f>Preencher!$B$3&amp;$U$8&amp;$V$8&amp;A402&amp;$AI$6</f>
        <v>JARINU-FRG11517MQ.GIROFREEZER REV04</v>
      </c>
      <c r="AJ402" s="7" t="str">
        <f>Preencher!$B$3&amp;$U$8&amp;$V$8&amp;A402&amp;$AJ$6</f>
        <v>JARINU-FRG11517MQ.GIROFREEZER (3)</v>
      </c>
      <c r="AK402" s="327">
        <f>IFERROR(SUMIF('BD Otimix'!A:A,'BD VOLUME'!AG402,'BD Otimix'!O:O)+SUMIF('BD Otimix'!A:A,'BD VOLUME'!AH402,'BD Otimix'!O:O)+SUMIF('BD Otimix'!A:A,'BD VOLUME'!AI402,'BD Otimix'!O:O)+SUMIF('BD Otimix'!A:A,'BD VOLUME'!AJ402,'BD Otimix'!O:O)+SUMIF('BD Otimix'!A:A,'BD VOLUME'!AF402,'BD Otimix'!O:O),0)</f>
        <v>0</v>
      </c>
      <c r="AL402" s="7">
        <f>IFERROR(F402/$E$3/1000/AK402,0)</f>
        <v>0</v>
      </c>
    </row>
    <row r="403" spans="1:38" s="4" customFormat="1" ht="14.25">
      <c r="A403" s="685">
        <v>222009</v>
      </c>
      <c r="B403" s="685" t="s">
        <v>2995</v>
      </c>
      <c r="C403" s="5" t="s">
        <v>1089</v>
      </c>
      <c r="D403" s="75" t="s">
        <v>867</v>
      </c>
      <c r="E403" s="5" t="s">
        <v>1488</v>
      </c>
      <c r="F403" s="132">
        <f>SUMIF('COLAR PLANO'!$A:$A,A403,'COLAR PLANO'!$D:$D)</f>
        <v>0</v>
      </c>
      <c r="G403" s="131">
        <f>IFERROR(F403/($E$3*$C$3),0)</f>
        <v>0</v>
      </c>
      <c r="H403" s="6">
        <v>0.217</v>
      </c>
      <c r="I403" s="7">
        <f>IFERROR(G403/$D$3/H403,0)</f>
        <v>0</v>
      </c>
      <c r="J403" s="130">
        <f>IFERROR(I403/$B$306,0)</f>
        <v>0</v>
      </c>
      <c r="K403" s="122">
        <v>15</v>
      </c>
      <c r="L403" s="122">
        <v>1</v>
      </c>
      <c r="M403" s="122">
        <v>15</v>
      </c>
      <c r="N403" s="311">
        <f>IFERROR(G403/K403,"-")</f>
        <v>0</v>
      </c>
      <c r="O403" s="311"/>
      <c r="P403" s="311"/>
      <c r="Q403" s="311">
        <f>IFERROR(G403/M403,"-")</f>
        <v>0</v>
      </c>
      <c r="R403" s="311"/>
      <c r="S403" s="7"/>
      <c r="T403" s="7"/>
      <c r="U403" s="7" t="s">
        <v>2288</v>
      </c>
      <c r="V403" s="7" t="s">
        <v>2289</v>
      </c>
      <c r="W403" s="7" t="str">
        <f>Preencher!$B$3&amp;U403&amp;V403&amp;A403&amp;$W$6</f>
        <v>JARINU-FRG222009MQ.TUNEL DE CG (CONTINUO)</v>
      </c>
      <c r="X403" s="7" t="str">
        <f>Preencher!$B$3&amp;U403&amp;V403&amp;A403&amp;$X$6</f>
        <v>JARINU-FRG222009MQ.TUNEL DE CG (CONTINUO) (1)</v>
      </c>
      <c r="Y403" s="7" t="str">
        <f>Preencher!$B$3&amp;U403&amp;V403&amp;A403&amp;$Y$6</f>
        <v>JARINU-FRG222009MQ.TUNEL DE CG (CONTINUO) (2)</v>
      </c>
      <c r="Z403" s="7" t="str">
        <f>Preencher!$B$3&amp;U403&amp;V403&amp;A403&amp;$Z$6</f>
        <v>JARINU-FRG222009MQ.TUNEL DE CG (CONTINUO) (3)</v>
      </c>
      <c r="AA403" s="7" t="str">
        <f>Preencher!$B$3&amp;U403&amp;V403&amp;A403&amp;$AA$6</f>
        <v>JARINU-FRG222009MQ.TUNEL DE CG (ESTATICO)</v>
      </c>
      <c r="AB403" s="7" t="str">
        <f>Preencher!$B$3&amp;U403&amp;V403&amp;A403&amp;$AB$6</f>
        <v>JARINU-FRG222009MQ.TUNEL DE CG (ESTATICO) (1)</v>
      </c>
      <c r="AC403" s="7" t="str">
        <f>Preencher!$B$3&amp;U403&amp;V403&amp;A403&amp;$AC$6</f>
        <v>JARINU-FRG222009MQ.TUNEL DE CG (ESTATICO) (2)</v>
      </c>
      <c r="AD403" s="327">
        <f>IFERROR(SUMIF('BD Otimix'!A:A,'BD VOLUME'!X403,'BD Otimix'!O:O)+SUMIF('BD Otimix'!A:A,'BD VOLUME'!Y403,'BD Otimix'!O:O)+SUMIF('BD Otimix'!A:A,'BD VOLUME'!Z403,'BD Otimix'!O:O)+SUMIF('BD Otimix'!A:A,'BD VOLUME'!AA403,'BD Otimix'!O:O)+SUMIF('BD Otimix'!A:A,'BD VOLUME'!AB403,'BD Otimix'!O:O)+SUMIF('BD Otimix'!A:A,'BD VOLUME'!AC403,'BD Otimix'!O:O)+SUMIF('BD Otimix'!A:A,'BD VOLUME'!W403,'BD Otimix'!O:O),0)</f>
        <v>0</v>
      </c>
      <c r="AE403" s="327">
        <f>IFERROR(F403/$E$3/1000/AD403,0)</f>
        <v>0</v>
      </c>
      <c r="AF403" s="7" t="str">
        <f>Preencher!$B$3&amp;$U$8&amp;$V$8&amp;A403&amp;$AF$6</f>
        <v>JARINU-FRG222009MQ.GIROFREEZER</v>
      </c>
      <c r="AG403" s="7" t="str">
        <f>Preencher!$B$3&amp;$U$8&amp;$V$8&amp;A403&amp;$AG$6</f>
        <v>JARINU-FRG222009MQ.GIROFREEZER (1)</v>
      </c>
      <c r="AH403" s="7" t="str">
        <f>Preencher!$B$3&amp;$U$8&amp;$V$8&amp;A403&amp;$AH$6</f>
        <v>JARINU-FRG222009MQ.GIROFREEZER (2)</v>
      </c>
      <c r="AI403" s="7" t="str">
        <f>Preencher!$B$3&amp;$U$8&amp;$V$8&amp;A403&amp;$AI$6</f>
        <v>JARINU-FRG222009MQ.GIROFREEZER REV04</v>
      </c>
      <c r="AJ403" s="7" t="str">
        <f>Preencher!$B$3&amp;$U$8&amp;$V$8&amp;A403&amp;$AJ$6</f>
        <v>JARINU-FRG222009MQ.GIROFREEZER (3)</v>
      </c>
      <c r="AK403" s="327">
        <f>IFERROR(SUMIF('BD Otimix'!A:A,'BD VOLUME'!AG403,'BD Otimix'!O:O)+SUMIF('BD Otimix'!A:A,'BD VOLUME'!AH403,'BD Otimix'!O:O)+SUMIF('BD Otimix'!A:A,'BD VOLUME'!AI403,'BD Otimix'!O:O)+SUMIF('BD Otimix'!A:A,'BD VOLUME'!AJ403,'BD Otimix'!O:O)+SUMIF('BD Otimix'!A:A,'BD VOLUME'!AF403,'BD Otimix'!O:O),0)</f>
        <v>0</v>
      </c>
      <c r="AL403" s="7">
        <f>IFERROR(F403/$E$3/1000/AK403,0)</f>
        <v>0</v>
      </c>
    </row>
    <row r="404" spans="1:38" s="4" customFormat="1" ht="14.25">
      <c r="A404" s="685">
        <v>223359</v>
      </c>
      <c r="B404" s="685" t="s">
        <v>3011</v>
      </c>
      <c r="C404" s="5" t="s">
        <v>3012</v>
      </c>
      <c r="D404" s="75" t="s">
        <v>867</v>
      </c>
      <c r="E404" s="5" t="s">
        <v>934</v>
      </c>
      <c r="F404" s="132">
        <f>SUMIF('COLAR PLANO'!$A:$A,A404,'COLAR PLANO'!$D:$D)</f>
        <v>0</v>
      </c>
      <c r="G404" s="131">
        <f>IFERROR(F404/($E$3*$C$3),0)</f>
        <v>0</v>
      </c>
      <c r="H404" s="6">
        <v>0.21989999999999998</v>
      </c>
      <c r="I404" s="7">
        <f>IFERROR(G404/$D$3/H404,0)</f>
        <v>0</v>
      </c>
      <c r="J404" s="130">
        <f>IFERROR(I404/$B$306,0)</f>
        <v>0</v>
      </c>
      <c r="K404" s="122">
        <v>1</v>
      </c>
      <c r="L404" s="122">
        <v>12</v>
      </c>
      <c r="M404" s="122">
        <v>12</v>
      </c>
      <c r="N404" s="311">
        <f>IFERROR(G404/K404,"-")</f>
        <v>0</v>
      </c>
      <c r="O404" s="311">
        <f>IFERROR(G404/M404,"-")</f>
        <v>0</v>
      </c>
      <c r="P404" s="311"/>
      <c r="Q404" s="311"/>
      <c r="R404" s="311"/>
      <c r="S404" s="111"/>
      <c r="T404" s="111"/>
      <c r="U404" s="7" t="s">
        <v>2288</v>
      </c>
      <c r="V404" s="7" t="s">
        <v>2289</v>
      </c>
      <c r="W404" s="7" t="str">
        <f>Preencher!$B$3&amp;U404&amp;V404&amp;A404&amp;$W$6</f>
        <v>JARINU-FRG223359MQ.TUNEL DE CG (CONTINUO)</v>
      </c>
      <c r="X404" s="7" t="str">
        <f>Preencher!$B$3&amp;U404&amp;V404&amp;A404&amp;$X$6</f>
        <v>JARINU-FRG223359MQ.TUNEL DE CG (CONTINUO) (1)</v>
      </c>
      <c r="Y404" s="7" t="str">
        <f>Preencher!$B$3&amp;U404&amp;V404&amp;A404&amp;$Y$6</f>
        <v>JARINU-FRG223359MQ.TUNEL DE CG (CONTINUO) (2)</v>
      </c>
      <c r="Z404" s="7" t="str">
        <f>Preencher!$B$3&amp;U404&amp;V404&amp;A404&amp;$Z$6</f>
        <v>JARINU-FRG223359MQ.TUNEL DE CG (CONTINUO) (3)</v>
      </c>
      <c r="AA404" s="7" t="str">
        <f>Preencher!$B$3&amp;U404&amp;V404&amp;A404&amp;$AA$6</f>
        <v>JARINU-FRG223359MQ.TUNEL DE CG (ESTATICO)</v>
      </c>
      <c r="AB404" s="7" t="str">
        <f>Preencher!$B$3&amp;U404&amp;V404&amp;A404&amp;$AB$6</f>
        <v>JARINU-FRG223359MQ.TUNEL DE CG (ESTATICO) (1)</v>
      </c>
      <c r="AC404" s="7" t="str">
        <f>Preencher!$B$3&amp;U404&amp;V404&amp;A404&amp;$AC$6</f>
        <v>JARINU-FRG223359MQ.TUNEL DE CG (ESTATICO) (2)</v>
      </c>
      <c r="AD404" s="327">
        <f>IFERROR(SUMIF('BD Otimix'!A:A,'BD VOLUME'!X404,'BD Otimix'!O:O)+SUMIF('BD Otimix'!A:A,'BD VOLUME'!Y404,'BD Otimix'!O:O)+SUMIF('BD Otimix'!A:A,'BD VOLUME'!Z404,'BD Otimix'!O:O)+SUMIF('BD Otimix'!A:A,'BD VOLUME'!AA404,'BD Otimix'!O:O)+SUMIF('BD Otimix'!A:A,'BD VOLUME'!AB404,'BD Otimix'!O:O)+SUMIF('BD Otimix'!A:A,'BD VOLUME'!AC404,'BD Otimix'!O:O)+SUMIF('BD Otimix'!A:A,'BD VOLUME'!W404,'BD Otimix'!O:O),0)</f>
        <v>0</v>
      </c>
      <c r="AE404" s="327">
        <f>IFERROR(F404/$E$3/1000/AD404,0)</f>
        <v>0</v>
      </c>
      <c r="AF404" s="7" t="str">
        <f>Preencher!$B$3&amp;$U$8&amp;$V$8&amp;A404&amp;$AF$6</f>
        <v>JARINU-FRG223359MQ.GIROFREEZER</v>
      </c>
      <c r="AG404" s="7" t="str">
        <f>Preencher!$B$3&amp;$U$8&amp;$V$8&amp;A404&amp;$AG$6</f>
        <v>JARINU-FRG223359MQ.GIROFREEZER (1)</v>
      </c>
      <c r="AH404" s="7" t="str">
        <f>Preencher!$B$3&amp;$U$8&amp;$V$8&amp;A404&amp;$AH$6</f>
        <v>JARINU-FRG223359MQ.GIROFREEZER (2)</v>
      </c>
      <c r="AI404" s="7" t="str">
        <f>Preencher!$B$3&amp;$U$8&amp;$V$8&amp;A404&amp;$AI$6</f>
        <v>JARINU-FRG223359MQ.GIROFREEZER REV04</v>
      </c>
      <c r="AJ404" s="7" t="str">
        <f>Preencher!$B$3&amp;$U$8&amp;$V$8&amp;A404&amp;$AJ$6</f>
        <v>JARINU-FRG223359MQ.GIROFREEZER (3)</v>
      </c>
      <c r="AK404" s="327">
        <f>IFERROR(SUMIF('BD Otimix'!A:A,'BD VOLUME'!AG404,'BD Otimix'!O:O)+SUMIF('BD Otimix'!A:A,'BD VOLUME'!AH404,'BD Otimix'!O:O)+SUMIF('BD Otimix'!A:A,'BD VOLUME'!AI404,'BD Otimix'!O:O)+SUMIF('BD Otimix'!A:A,'BD VOLUME'!AJ404,'BD Otimix'!O:O)+SUMIF('BD Otimix'!A:A,'BD VOLUME'!AF404,'BD Otimix'!O:O),0)</f>
        <v>0</v>
      </c>
      <c r="AL404" s="7">
        <f>IFERROR(F404/$E$3/1000/AK404,0)</f>
        <v>0</v>
      </c>
    </row>
    <row r="405" spans="1:38" s="4" customFormat="1" ht="14.25">
      <c r="A405" s="685">
        <v>220359</v>
      </c>
      <c r="B405" s="685"/>
      <c r="C405" s="5" t="s">
        <v>5344</v>
      </c>
      <c r="D405" s="75" t="s">
        <v>867</v>
      </c>
      <c r="E405" s="5" t="s">
        <v>938</v>
      </c>
      <c r="F405" s="132">
        <f>SUMIF('COLAR PLANO'!$A:$A,A405,'COLAR PLANO'!$D:$D)</f>
        <v>408484.07999999996</v>
      </c>
      <c r="G405" s="131">
        <f>IFERROR(F405/($E$3*$C$3),0)</f>
        <v>1939.1601234274863</v>
      </c>
      <c r="H405" s="6">
        <v>0.217</v>
      </c>
      <c r="I405" s="7">
        <f>IFERROR(G405/$D$3/H405,0)</f>
        <v>2978.740588982314</v>
      </c>
      <c r="J405" s="130">
        <f>IFERROR(I405/$B$306,0)</f>
        <v>0.63380980310012558</v>
      </c>
      <c r="K405" s="122">
        <v>15</v>
      </c>
      <c r="L405" s="122">
        <v>1</v>
      </c>
      <c r="M405" s="122">
        <v>15</v>
      </c>
      <c r="N405" s="311">
        <f>IFERROR(G405/K405,"-")</f>
        <v>129.27734156183243</v>
      </c>
      <c r="O405" s="311"/>
      <c r="P405" s="311"/>
      <c r="Q405" s="311">
        <f>IFERROR(G405/M405,"-")</f>
        <v>129.27734156183243</v>
      </c>
      <c r="R405" s="311"/>
      <c r="S405" s="7"/>
      <c r="T405" s="7"/>
      <c r="U405" s="7" t="s">
        <v>2288</v>
      </c>
      <c r="V405" s="7" t="s">
        <v>2289</v>
      </c>
      <c r="W405" s="7" t="str">
        <f>Preencher!$B$3&amp;U405&amp;V405&amp;A405&amp;$W$6</f>
        <v>JARINU-FRG220359MQ.TUNEL DE CG (CONTINUO)</v>
      </c>
      <c r="X405" s="7" t="str">
        <f>Preencher!$B$3&amp;U405&amp;V405&amp;A405&amp;$X$6</f>
        <v>JARINU-FRG220359MQ.TUNEL DE CG (CONTINUO) (1)</v>
      </c>
      <c r="Y405" s="7" t="str">
        <f>Preencher!$B$3&amp;U405&amp;V405&amp;A405&amp;$Y$6</f>
        <v>JARINU-FRG220359MQ.TUNEL DE CG (CONTINUO) (2)</v>
      </c>
      <c r="Z405" s="7" t="str">
        <f>Preencher!$B$3&amp;U405&amp;V405&amp;A405&amp;$Z$6</f>
        <v>JARINU-FRG220359MQ.TUNEL DE CG (CONTINUO) (3)</v>
      </c>
      <c r="AA405" s="7" t="str">
        <f>Preencher!$B$3&amp;U405&amp;V405&amp;A405&amp;$AA$6</f>
        <v>JARINU-FRG220359MQ.TUNEL DE CG (ESTATICO)</v>
      </c>
      <c r="AB405" s="7" t="str">
        <f>Preencher!$B$3&amp;U405&amp;V405&amp;A405&amp;$AB$6</f>
        <v>JARINU-FRG220359MQ.TUNEL DE CG (ESTATICO) (1)</v>
      </c>
      <c r="AC405" s="7" t="str">
        <f>Preencher!$B$3&amp;U405&amp;V405&amp;A405&amp;$AC$6</f>
        <v>JARINU-FRG220359MQ.TUNEL DE CG (ESTATICO) (2)</v>
      </c>
      <c r="AD405" s="327">
        <f>IFERROR(SUMIF('BD Otimix'!A:A,'BD VOLUME'!X405,'BD Otimix'!O:O)+SUMIF('BD Otimix'!A:A,'BD VOLUME'!Y405,'BD Otimix'!O:O)+SUMIF('BD Otimix'!A:A,'BD VOLUME'!Z405,'BD Otimix'!O:O)+SUMIF('BD Otimix'!A:A,'BD VOLUME'!AA405,'BD Otimix'!O:O)+SUMIF('BD Otimix'!A:A,'BD VOLUME'!AB405,'BD Otimix'!O:O)+SUMIF('BD Otimix'!A:A,'BD VOLUME'!AC405,'BD Otimix'!O:O)+SUMIF('BD Otimix'!A:A,'BD VOLUME'!W405,'BD Otimix'!O:O),0)</f>
        <v>0</v>
      </c>
      <c r="AE405" s="327">
        <f>IFERROR(F405/$E$3/1000/AD405,0)</f>
        <v>0</v>
      </c>
      <c r="AF405" s="7" t="str">
        <f>Preencher!$B$3&amp;$U$8&amp;$V$8&amp;A405&amp;$AF$6</f>
        <v>JARINU-FRG220359MQ.GIROFREEZER</v>
      </c>
      <c r="AG405" s="7" t="str">
        <f>Preencher!$B$3&amp;$U$8&amp;$V$8&amp;A405&amp;$AG$6</f>
        <v>JARINU-FRG220359MQ.GIROFREEZER (1)</v>
      </c>
      <c r="AH405" s="7" t="str">
        <f>Preencher!$B$3&amp;$U$8&amp;$V$8&amp;A405&amp;$AH$6</f>
        <v>JARINU-FRG220359MQ.GIROFREEZER (2)</v>
      </c>
      <c r="AI405" s="7" t="str">
        <f>Preencher!$B$3&amp;$U$8&amp;$V$8&amp;A405&amp;$AI$6</f>
        <v>JARINU-FRG220359MQ.GIROFREEZER REV04</v>
      </c>
      <c r="AJ405" s="7" t="str">
        <f>Preencher!$B$3&amp;$U$8&amp;$V$8&amp;A405&amp;$AJ$6</f>
        <v>JARINU-FRG220359MQ.GIROFREEZER (3)</v>
      </c>
      <c r="AK405" s="327">
        <f>IFERROR(SUMIF('BD Otimix'!A:A,'BD VOLUME'!AG405,'BD Otimix'!O:O)+SUMIF('BD Otimix'!A:A,'BD VOLUME'!AH405,'BD Otimix'!O:O)+SUMIF('BD Otimix'!A:A,'BD VOLUME'!AI405,'BD Otimix'!O:O)+SUMIF('BD Otimix'!A:A,'BD VOLUME'!AJ405,'BD Otimix'!O:O)+SUMIF('BD Otimix'!A:A,'BD VOLUME'!AF405,'BD Otimix'!O:O),0)</f>
        <v>0</v>
      </c>
      <c r="AL405" s="7">
        <f>IFERROR(F405/$E$3/1000/AK405,0)</f>
        <v>0</v>
      </c>
    </row>
    <row r="406" spans="1:38" s="4" customFormat="1" ht="14.25">
      <c r="A406" s="666">
        <v>964328</v>
      </c>
      <c r="B406" s="666">
        <v>964328</v>
      </c>
      <c r="C406" s="5" t="s">
        <v>3181</v>
      </c>
      <c r="D406" s="75" t="s">
        <v>867</v>
      </c>
      <c r="E406" s="5" t="s">
        <v>994</v>
      </c>
      <c r="F406" s="132">
        <f>SUMIF('COLAR PLANO'!$A:$A,A406,'COLAR PLANO'!$D:$D)</f>
        <v>0</v>
      </c>
      <c r="G406" s="131">
        <f t="shared" ref="G406" si="91">IFERROR(F406/($E$3*$C$3),0)</f>
        <v>0</v>
      </c>
      <c r="H406" s="6">
        <v>0.21679999999999999</v>
      </c>
      <c r="I406" s="7">
        <f t="shared" ref="I406" si="92">IFERROR(G406/$D$3/H406,0)</f>
        <v>0</v>
      </c>
      <c r="J406" s="130">
        <f t="shared" ref="J406" si="93">IFERROR(I406/$B$306,0)</f>
        <v>0</v>
      </c>
      <c r="K406" s="122">
        <v>1</v>
      </c>
      <c r="L406" s="122">
        <v>20</v>
      </c>
      <c r="M406" s="122">
        <v>20</v>
      </c>
      <c r="N406" s="311">
        <f t="shared" ref="N406" si="94">IFERROR(G406/K406,"-")</f>
        <v>0</v>
      </c>
      <c r="O406" s="311">
        <f>IFERROR(G406/M406,"-")</f>
        <v>0</v>
      </c>
      <c r="P406" s="311"/>
      <c r="Q406" s="311"/>
      <c r="R406" s="311"/>
      <c r="S406" s="7"/>
      <c r="T406" s="7"/>
      <c r="U406" s="7" t="s">
        <v>2288</v>
      </c>
      <c r="V406" s="7" t="s">
        <v>2289</v>
      </c>
      <c r="W406" s="7" t="str">
        <f>Preencher!$B$3&amp;U406&amp;V406&amp;A406&amp;$W$6</f>
        <v>JARINU-FRG964328MQ.TUNEL DE CG (CONTINUO)</v>
      </c>
      <c r="X406" s="7" t="str">
        <f>Preencher!$B$3&amp;U406&amp;V406&amp;A406&amp;$X$6</f>
        <v>JARINU-FRG964328MQ.TUNEL DE CG (CONTINUO) (1)</v>
      </c>
      <c r="Y406" s="7" t="str">
        <f>Preencher!$B$3&amp;U406&amp;V406&amp;A406&amp;$Y$6</f>
        <v>JARINU-FRG964328MQ.TUNEL DE CG (CONTINUO) (2)</v>
      </c>
      <c r="Z406" s="7" t="str">
        <f>Preencher!$B$3&amp;U406&amp;V406&amp;A406&amp;$Z$6</f>
        <v>JARINU-FRG964328MQ.TUNEL DE CG (CONTINUO) (3)</v>
      </c>
      <c r="AA406" s="7" t="str">
        <f>Preencher!$B$3&amp;U406&amp;V406&amp;A406&amp;$AA$6</f>
        <v>JARINU-FRG964328MQ.TUNEL DE CG (ESTATICO)</v>
      </c>
      <c r="AB406" s="7" t="str">
        <f>Preencher!$B$3&amp;U406&amp;V406&amp;A406&amp;$AB$6</f>
        <v>JARINU-FRG964328MQ.TUNEL DE CG (ESTATICO) (1)</v>
      </c>
      <c r="AC406" s="7" t="str">
        <f>Preencher!$B$3&amp;U406&amp;V406&amp;A406&amp;$AC$6</f>
        <v>JARINU-FRG964328MQ.TUNEL DE CG (ESTATICO) (2)</v>
      </c>
      <c r="AD406" s="327">
        <f>IFERROR(SUMIF('BD Otimix'!A:A,'BD VOLUME'!X406,'BD Otimix'!O:O)+SUMIF('BD Otimix'!A:A,'BD VOLUME'!Y406,'BD Otimix'!O:O)+SUMIF('BD Otimix'!A:A,'BD VOLUME'!Z406,'BD Otimix'!O:O)+SUMIF('BD Otimix'!A:A,'BD VOLUME'!AA406,'BD Otimix'!O:O)+SUMIF('BD Otimix'!A:A,'BD VOLUME'!AB406,'BD Otimix'!O:O)+SUMIF('BD Otimix'!A:A,'BD VOLUME'!AC406,'BD Otimix'!O:O)+SUMIF('BD Otimix'!A:A,'BD VOLUME'!W406,'BD Otimix'!O:O),0)</f>
        <v>0</v>
      </c>
      <c r="AE406" s="327">
        <f t="shared" ref="AE406" si="95">IFERROR(F406/$E$3/1000/AD406,0)</f>
        <v>0</v>
      </c>
      <c r="AF406" s="7" t="str">
        <f>Preencher!$B$3&amp;$U$8&amp;$V$8&amp;A406&amp;$AF$6</f>
        <v>JARINU-FRG964328MQ.GIROFREEZER</v>
      </c>
      <c r="AG406" s="7" t="str">
        <f>Preencher!$B$3&amp;$U$8&amp;$V$8&amp;A406&amp;$AG$6</f>
        <v>JARINU-FRG964328MQ.GIROFREEZER (1)</v>
      </c>
      <c r="AH406" s="7" t="str">
        <f>Preencher!$B$3&amp;$U$8&amp;$V$8&amp;A406&amp;$AH$6</f>
        <v>JARINU-FRG964328MQ.GIROFREEZER (2)</v>
      </c>
      <c r="AI406" s="7" t="str">
        <f>Preencher!$B$3&amp;$U$8&amp;$V$8&amp;A406&amp;$AI$6</f>
        <v>JARINU-FRG964328MQ.GIROFREEZER REV04</v>
      </c>
      <c r="AJ406" s="7" t="str">
        <f>Preencher!$B$3&amp;$U$8&amp;$V$8&amp;A406&amp;$AJ$6</f>
        <v>JARINU-FRG964328MQ.GIROFREEZER (3)</v>
      </c>
      <c r="AK406" s="327">
        <f>IFERROR(SUMIF('BD Otimix'!A:A,'BD VOLUME'!AG406,'BD Otimix'!O:O)+SUMIF('BD Otimix'!A:A,'BD VOLUME'!AH406,'BD Otimix'!O:O)+SUMIF('BD Otimix'!A:A,'BD VOLUME'!AI406,'BD Otimix'!O:O)+SUMIF('BD Otimix'!A:A,'BD VOLUME'!AJ406,'BD Otimix'!O:O)+SUMIF('BD Otimix'!A:A,'BD VOLUME'!AF406,'BD Otimix'!O:O),0)</f>
        <v>0</v>
      </c>
      <c r="AL406" s="7">
        <f t="shared" ref="AL406" si="96">IFERROR(F406/$E$3/1000/AK406,0)</f>
        <v>0</v>
      </c>
    </row>
    <row r="407" spans="1:38" s="4" customFormat="1" ht="14.25">
      <c r="A407" s="663">
        <v>929913</v>
      </c>
      <c r="B407" s="663"/>
      <c r="C407" s="5" t="s">
        <v>2428</v>
      </c>
      <c r="D407" s="75" t="s">
        <v>867</v>
      </c>
      <c r="E407" s="5" t="s">
        <v>1478</v>
      </c>
      <c r="F407" s="132">
        <f>SUMIF('COLAR PLANO'!$A:$A,A407,'COLAR PLANO'!$D:$D)</f>
        <v>0</v>
      </c>
      <c r="G407" s="131">
        <f t="shared" ref="G407:G420" si="97">IFERROR(F407/($E$3*$C$3),0)</f>
        <v>0</v>
      </c>
      <c r="H407" s="6">
        <v>0.21679999999999999</v>
      </c>
      <c r="I407" s="7">
        <f t="shared" ref="I407:I420" si="98">IFERROR(G407/$D$3/H407,0)</f>
        <v>0</v>
      </c>
      <c r="J407" s="130">
        <f t="shared" ref="J407:J423" si="99">IFERROR(I407/$B$306,0)</f>
        <v>0</v>
      </c>
      <c r="K407" s="122">
        <v>1</v>
      </c>
      <c r="L407" s="122">
        <v>18</v>
      </c>
      <c r="M407" s="122">
        <v>18</v>
      </c>
      <c r="N407" s="311">
        <f t="shared" ref="N407:N420" si="100">IFERROR(G407/K407,"-")</f>
        <v>0</v>
      </c>
      <c r="O407" s="311">
        <f>IFERROR(G407/M407,"-")</f>
        <v>0</v>
      </c>
      <c r="P407" s="311"/>
      <c r="Q407" s="311"/>
      <c r="R407" s="311"/>
      <c r="S407" s="7"/>
      <c r="T407" s="7"/>
      <c r="U407" s="7" t="s">
        <v>2288</v>
      </c>
      <c r="V407" s="7" t="s">
        <v>2289</v>
      </c>
      <c r="W407" s="7" t="str">
        <f>Preencher!$B$3&amp;U407&amp;V407&amp;A407&amp;$W$6</f>
        <v>JARINU-FRG929913MQ.TUNEL DE CG (CONTINUO)</v>
      </c>
      <c r="X407" s="7" t="str">
        <f>Preencher!$B$3&amp;U407&amp;V407&amp;A407&amp;$X$6</f>
        <v>JARINU-FRG929913MQ.TUNEL DE CG (CONTINUO) (1)</v>
      </c>
      <c r="Y407" s="7" t="str">
        <f>Preencher!$B$3&amp;U407&amp;V407&amp;A407&amp;$Y$6</f>
        <v>JARINU-FRG929913MQ.TUNEL DE CG (CONTINUO) (2)</v>
      </c>
      <c r="Z407" s="7" t="str">
        <f>Preencher!$B$3&amp;U407&amp;V407&amp;A407&amp;$Z$6</f>
        <v>JARINU-FRG929913MQ.TUNEL DE CG (CONTINUO) (3)</v>
      </c>
      <c r="AA407" s="7" t="str">
        <f>Preencher!$B$3&amp;U407&amp;V407&amp;A407&amp;$AA$6</f>
        <v>JARINU-FRG929913MQ.TUNEL DE CG (ESTATICO)</v>
      </c>
      <c r="AB407" s="7" t="str">
        <f>Preencher!$B$3&amp;U407&amp;V407&amp;A407&amp;$AB$6</f>
        <v>JARINU-FRG929913MQ.TUNEL DE CG (ESTATICO) (1)</v>
      </c>
      <c r="AC407" s="7" t="str">
        <f>Preencher!$B$3&amp;U407&amp;V407&amp;A407&amp;$AC$6</f>
        <v>JARINU-FRG929913MQ.TUNEL DE CG (ESTATICO) (2)</v>
      </c>
      <c r="AD407" s="327">
        <f>IFERROR(SUMIF('BD Otimix'!A:A,'BD VOLUME'!X407,'BD Otimix'!O:O)+SUMIF('BD Otimix'!A:A,'BD VOLUME'!Y407,'BD Otimix'!O:O)+SUMIF('BD Otimix'!A:A,'BD VOLUME'!Z407,'BD Otimix'!O:O)+SUMIF('BD Otimix'!A:A,'BD VOLUME'!AA407,'BD Otimix'!O:O)+SUMIF('BD Otimix'!A:A,'BD VOLUME'!AB407,'BD Otimix'!O:O)+SUMIF('BD Otimix'!A:A,'BD VOLUME'!AC407,'BD Otimix'!O:O)+SUMIF('BD Otimix'!A:A,'BD VOLUME'!W407,'BD Otimix'!O:O),0)</f>
        <v>0</v>
      </c>
      <c r="AE407" s="327">
        <f t="shared" ref="AE407:AE436" si="101">IFERROR(F407/$E$3/1000/AD407,0)</f>
        <v>0</v>
      </c>
      <c r="AF407" s="7" t="str">
        <f>Preencher!$B$3&amp;$U$8&amp;$V$8&amp;A407&amp;$AF$6</f>
        <v>JARINU-FRG929913MQ.GIROFREEZER</v>
      </c>
      <c r="AG407" s="7" t="str">
        <f>Preencher!$B$3&amp;$U$8&amp;$V$8&amp;A407&amp;$AG$6</f>
        <v>JARINU-FRG929913MQ.GIROFREEZER (1)</v>
      </c>
      <c r="AH407" s="7" t="str">
        <f>Preencher!$B$3&amp;$U$8&amp;$V$8&amp;A407&amp;$AH$6</f>
        <v>JARINU-FRG929913MQ.GIROFREEZER (2)</v>
      </c>
      <c r="AI407" s="7" t="str">
        <f>Preencher!$B$3&amp;$U$8&amp;$V$8&amp;A407&amp;$AI$6</f>
        <v>JARINU-FRG929913MQ.GIROFREEZER REV04</v>
      </c>
      <c r="AJ407" s="7" t="str">
        <f>Preencher!$B$3&amp;$U$8&amp;$V$8&amp;A407&amp;$AJ$6</f>
        <v>JARINU-FRG929913MQ.GIROFREEZER (3)</v>
      </c>
      <c r="AK407" s="327">
        <f>IFERROR(SUMIF('BD Otimix'!A:A,'BD VOLUME'!AG407,'BD Otimix'!O:O)+SUMIF('BD Otimix'!A:A,'BD VOLUME'!AH407,'BD Otimix'!O:O)+SUMIF('BD Otimix'!A:A,'BD VOLUME'!AI407,'BD Otimix'!O:O)+SUMIF('BD Otimix'!A:A,'BD VOLUME'!AJ407,'BD Otimix'!O:O)+SUMIF('BD Otimix'!A:A,'BD VOLUME'!AF407,'BD Otimix'!O:O),0)</f>
        <v>0</v>
      </c>
      <c r="AL407" s="7">
        <f t="shared" ref="AL407:AL436" si="102">IFERROR(F407/$E$3/1000/AK407,0)</f>
        <v>0</v>
      </c>
    </row>
    <row r="408" spans="1:38" s="4" customFormat="1" ht="14.25">
      <c r="A408" s="666">
        <v>678260</v>
      </c>
      <c r="B408" s="666" t="s">
        <v>2440</v>
      </c>
      <c r="C408" s="5" t="s">
        <v>1089</v>
      </c>
      <c r="D408" s="75" t="s">
        <v>867</v>
      </c>
      <c r="E408" s="5" t="s">
        <v>1484</v>
      </c>
      <c r="F408" s="132">
        <f>SUMIF('COLAR PLANO'!$A:$A,A408,'COLAR PLANO'!$D:$D)</f>
        <v>0</v>
      </c>
      <c r="G408" s="131">
        <f t="shared" si="97"/>
        <v>0</v>
      </c>
      <c r="H408" s="6">
        <v>0.217</v>
      </c>
      <c r="I408" s="7">
        <f t="shared" si="98"/>
        <v>0</v>
      </c>
      <c r="J408" s="130">
        <f t="shared" si="99"/>
        <v>0</v>
      </c>
      <c r="K408" s="122">
        <v>7.5</v>
      </c>
      <c r="L408" s="122">
        <v>2</v>
      </c>
      <c r="M408" s="122">
        <v>15</v>
      </c>
      <c r="N408" s="311">
        <f t="shared" si="100"/>
        <v>0</v>
      </c>
      <c r="O408" s="311"/>
      <c r="P408" s="311">
        <f>IFERROR(G408/M408,"-")</f>
        <v>0</v>
      </c>
      <c r="Q408" s="311"/>
      <c r="R408" s="311"/>
      <c r="S408" s="7"/>
      <c r="T408" s="7"/>
      <c r="U408" s="7" t="s">
        <v>2288</v>
      </c>
      <c r="V408" s="7" t="s">
        <v>2289</v>
      </c>
      <c r="W408" s="7" t="str">
        <f>Preencher!$B$3&amp;U408&amp;V408&amp;A408&amp;$W$6</f>
        <v>JARINU-FRG678260MQ.TUNEL DE CG (CONTINUO)</v>
      </c>
      <c r="X408" s="7" t="str">
        <f>Preencher!$B$3&amp;U408&amp;V408&amp;A408&amp;$X$6</f>
        <v>JARINU-FRG678260MQ.TUNEL DE CG (CONTINUO) (1)</v>
      </c>
      <c r="Y408" s="7" t="str">
        <f>Preencher!$B$3&amp;U408&amp;V408&amp;A408&amp;$Y$6</f>
        <v>JARINU-FRG678260MQ.TUNEL DE CG (CONTINUO) (2)</v>
      </c>
      <c r="Z408" s="7" t="str">
        <f>Preencher!$B$3&amp;U408&amp;V408&amp;A408&amp;$Z$6</f>
        <v>JARINU-FRG678260MQ.TUNEL DE CG (CONTINUO) (3)</v>
      </c>
      <c r="AA408" s="7" t="str">
        <f>Preencher!$B$3&amp;U408&amp;V408&amp;A408&amp;$AA$6</f>
        <v>JARINU-FRG678260MQ.TUNEL DE CG (ESTATICO)</v>
      </c>
      <c r="AB408" s="7" t="str">
        <f>Preencher!$B$3&amp;U408&amp;V408&amp;A408&amp;$AB$6</f>
        <v>JARINU-FRG678260MQ.TUNEL DE CG (ESTATICO) (1)</v>
      </c>
      <c r="AC408" s="7" t="str">
        <f>Preencher!$B$3&amp;U408&amp;V408&amp;A408&amp;$AC$6</f>
        <v>JARINU-FRG678260MQ.TUNEL DE CG (ESTATICO) (2)</v>
      </c>
      <c r="AD408" s="327">
        <f>IFERROR(SUMIF('BD Otimix'!A:A,'BD VOLUME'!X408,'BD Otimix'!O:O)+SUMIF('BD Otimix'!A:A,'BD VOLUME'!Y408,'BD Otimix'!O:O)+SUMIF('BD Otimix'!A:A,'BD VOLUME'!Z408,'BD Otimix'!O:O)+SUMIF('BD Otimix'!A:A,'BD VOLUME'!AA408,'BD Otimix'!O:O)+SUMIF('BD Otimix'!A:A,'BD VOLUME'!AB408,'BD Otimix'!O:O)+SUMIF('BD Otimix'!A:A,'BD VOLUME'!AC408,'BD Otimix'!O:O)+SUMIF('BD Otimix'!A:A,'BD VOLUME'!W408,'BD Otimix'!O:O),0)</f>
        <v>0</v>
      </c>
      <c r="AE408" s="327">
        <f t="shared" si="101"/>
        <v>0</v>
      </c>
      <c r="AF408" s="7" t="str">
        <f>Preencher!$B$3&amp;$U$8&amp;$V$8&amp;A408&amp;$AF$6</f>
        <v>JARINU-FRG678260MQ.GIROFREEZER</v>
      </c>
      <c r="AG408" s="7" t="str">
        <f>Preencher!$B$3&amp;$U$8&amp;$V$8&amp;A408&amp;$AG$6</f>
        <v>JARINU-FRG678260MQ.GIROFREEZER (1)</v>
      </c>
      <c r="AH408" s="7" t="str">
        <f>Preencher!$B$3&amp;$U$8&amp;$V$8&amp;A408&amp;$AH$6</f>
        <v>JARINU-FRG678260MQ.GIROFREEZER (2)</v>
      </c>
      <c r="AI408" s="7" t="str">
        <f>Preencher!$B$3&amp;$U$8&amp;$V$8&amp;A408&amp;$AI$6</f>
        <v>JARINU-FRG678260MQ.GIROFREEZER REV04</v>
      </c>
      <c r="AJ408" s="7" t="str">
        <f>Preencher!$B$3&amp;$U$8&amp;$V$8&amp;A408&amp;$AJ$6</f>
        <v>JARINU-FRG678260MQ.GIROFREEZER (3)</v>
      </c>
      <c r="AK408" s="327">
        <f>IFERROR(SUMIF('BD Otimix'!A:A,'BD VOLUME'!AG408,'BD Otimix'!O:O)+SUMIF('BD Otimix'!A:A,'BD VOLUME'!AH408,'BD Otimix'!O:O)+SUMIF('BD Otimix'!A:A,'BD VOLUME'!AI408,'BD Otimix'!O:O)+SUMIF('BD Otimix'!A:A,'BD VOLUME'!AJ408,'BD Otimix'!O:O)+SUMIF('BD Otimix'!A:A,'BD VOLUME'!AF408,'BD Otimix'!O:O),0)</f>
        <v>0</v>
      </c>
      <c r="AL408" s="7">
        <f t="shared" si="102"/>
        <v>0</v>
      </c>
    </row>
    <row r="409" spans="1:38" s="4" customFormat="1" ht="14.25">
      <c r="A409" s="666">
        <v>728969</v>
      </c>
      <c r="B409" s="666" t="s">
        <v>2441</v>
      </c>
      <c r="C409" s="5" t="s">
        <v>1089</v>
      </c>
      <c r="D409" s="75" t="s">
        <v>867</v>
      </c>
      <c r="E409" s="5" t="s">
        <v>1481</v>
      </c>
      <c r="F409" s="132">
        <f>SUMIF('COLAR PLANO'!$A:$A,A409,'COLAR PLANO'!$D:$D)</f>
        <v>0</v>
      </c>
      <c r="G409" s="131">
        <f t="shared" si="97"/>
        <v>0</v>
      </c>
      <c r="H409" s="6">
        <v>0.2147</v>
      </c>
      <c r="I409" s="7">
        <f t="shared" si="98"/>
        <v>0</v>
      </c>
      <c r="J409" s="130">
        <f t="shared" si="99"/>
        <v>0</v>
      </c>
      <c r="K409" s="122">
        <v>2</v>
      </c>
      <c r="L409" s="122">
        <v>6</v>
      </c>
      <c r="M409" s="122">
        <v>12</v>
      </c>
      <c r="N409" s="311">
        <f t="shared" si="100"/>
        <v>0</v>
      </c>
      <c r="O409" s="311"/>
      <c r="P409" s="311">
        <f>IFERROR(G409/M409,"-")</f>
        <v>0</v>
      </c>
      <c r="Q409" s="311"/>
      <c r="R409" s="311"/>
      <c r="S409" s="7"/>
      <c r="T409" s="7"/>
      <c r="U409" s="7" t="s">
        <v>2288</v>
      </c>
      <c r="V409" s="7" t="s">
        <v>2289</v>
      </c>
      <c r="W409" s="7" t="str">
        <f>Preencher!$B$3&amp;U409&amp;V409&amp;A409&amp;$W$6</f>
        <v>JARINU-FRG728969MQ.TUNEL DE CG (CONTINUO)</v>
      </c>
      <c r="X409" s="7" t="str">
        <f>Preencher!$B$3&amp;U409&amp;V409&amp;A409&amp;$X$6</f>
        <v>JARINU-FRG728969MQ.TUNEL DE CG (CONTINUO) (1)</v>
      </c>
      <c r="Y409" s="7" t="str">
        <f>Preencher!$B$3&amp;U409&amp;V409&amp;A409&amp;$Y$6</f>
        <v>JARINU-FRG728969MQ.TUNEL DE CG (CONTINUO) (2)</v>
      </c>
      <c r="Z409" s="7" t="str">
        <f>Preencher!$B$3&amp;U409&amp;V409&amp;A409&amp;$Z$6</f>
        <v>JARINU-FRG728969MQ.TUNEL DE CG (CONTINUO) (3)</v>
      </c>
      <c r="AA409" s="7" t="str">
        <f>Preencher!$B$3&amp;U409&amp;V409&amp;A409&amp;$AA$6</f>
        <v>JARINU-FRG728969MQ.TUNEL DE CG (ESTATICO)</v>
      </c>
      <c r="AB409" s="7" t="str">
        <f>Preencher!$B$3&amp;U409&amp;V409&amp;A409&amp;$AB$6</f>
        <v>JARINU-FRG728969MQ.TUNEL DE CG (ESTATICO) (1)</v>
      </c>
      <c r="AC409" s="7" t="str">
        <f>Preencher!$B$3&amp;U409&amp;V409&amp;A409&amp;$AC$6</f>
        <v>JARINU-FRG728969MQ.TUNEL DE CG (ESTATICO) (2)</v>
      </c>
      <c r="AD409" s="327">
        <f>IFERROR(SUMIF('BD Otimix'!A:A,'BD VOLUME'!X409,'BD Otimix'!O:O)+SUMIF('BD Otimix'!A:A,'BD VOLUME'!Y409,'BD Otimix'!O:O)+SUMIF('BD Otimix'!A:A,'BD VOLUME'!Z409,'BD Otimix'!O:O)+SUMIF('BD Otimix'!A:A,'BD VOLUME'!AA409,'BD Otimix'!O:O)+SUMIF('BD Otimix'!A:A,'BD VOLUME'!AB409,'BD Otimix'!O:O)+SUMIF('BD Otimix'!A:A,'BD VOLUME'!AC409,'BD Otimix'!O:O)+SUMIF('BD Otimix'!A:A,'BD VOLUME'!W409,'BD Otimix'!O:O),0)</f>
        <v>0</v>
      </c>
      <c r="AE409" s="327">
        <f t="shared" si="101"/>
        <v>0</v>
      </c>
      <c r="AF409" s="7" t="str">
        <f>Preencher!$B$3&amp;$U$8&amp;$V$8&amp;A409&amp;$AF$6</f>
        <v>JARINU-FRG728969MQ.GIROFREEZER</v>
      </c>
      <c r="AG409" s="7" t="str">
        <f>Preencher!$B$3&amp;$U$8&amp;$V$8&amp;A409&amp;$AG$6</f>
        <v>JARINU-FRG728969MQ.GIROFREEZER (1)</v>
      </c>
      <c r="AH409" s="7" t="str">
        <f>Preencher!$B$3&amp;$U$8&amp;$V$8&amp;A409&amp;$AH$6</f>
        <v>JARINU-FRG728969MQ.GIROFREEZER (2)</v>
      </c>
      <c r="AI409" s="7" t="str">
        <f>Preencher!$B$3&amp;$U$8&amp;$V$8&amp;A409&amp;$AI$6</f>
        <v>JARINU-FRG728969MQ.GIROFREEZER REV04</v>
      </c>
      <c r="AJ409" s="7" t="str">
        <f>Preencher!$B$3&amp;$U$8&amp;$V$8&amp;A409&amp;$AJ$6</f>
        <v>JARINU-FRG728969MQ.GIROFREEZER (3)</v>
      </c>
      <c r="AK409" s="327">
        <f>IFERROR(SUMIF('BD Otimix'!A:A,'BD VOLUME'!AG409,'BD Otimix'!O:O)+SUMIF('BD Otimix'!A:A,'BD VOLUME'!AH409,'BD Otimix'!O:O)+SUMIF('BD Otimix'!A:A,'BD VOLUME'!AI409,'BD Otimix'!O:O)+SUMIF('BD Otimix'!A:A,'BD VOLUME'!AJ409,'BD Otimix'!O:O)+SUMIF('BD Otimix'!A:A,'BD VOLUME'!AF409,'BD Otimix'!O:O),0)</f>
        <v>0</v>
      </c>
      <c r="AL409" s="7">
        <f t="shared" si="102"/>
        <v>0</v>
      </c>
    </row>
    <row r="410" spans="1:38" s="4" customFormat="1" ht="14.25">
      <c r="A410" s="666">
        <v>962201</v>
      </c>
      <c r="B410" s="666"/>
      <c r="C410" s="5" t="s">
        <v>2442</v>
      </c>
      <c r="D410" s="75" t="s">
        <v>867</v>
      </c>
      <c r="E410" s="5" t="s">
        <v>994</v>
      </c>
      <c r="F410" s="132">
        <f>SUMIF('COLAR PLANO'!$A:$A,A410,'COLAR PLANO'!$D:$D)</f>
        <v>0</v>
      </c>
      <c r="G410" s="131">
        <f t="shared" si="97"/>
        <v>0</v>
      </c>
      <c r="H410" s="6">
        <v>0.21679999999999999</v>
      </c>
      <c r="I410" s="7">
        <f t="shared" si="98"/>
        <v>0</v>
      </c>
      <c r="J410" s="130">
        <f t="shared" si="99"/>
        <v>0</v>
      </c>
      <c r="K410" s="122">
        <v>1</v>
      </c>
      <c r="L410" s="122">
        <v>20</v>
      </c>
      <c r="M410" s="122">
        <v>20</v>
      </c>
      <c r="N410" s="311">
        <f t="shared" si="100"/>
        <v>0</v>
      </c>
      <c r="O410" s="311">
        <f>IFERROR(G410/M410,"-")</f>
        <v>0</v>
      </c>
      <c r="P410" s="311"/>
      <c r="Q410" s="311"/>
      <c r="R410" s="311"/>
      <c r="S410" s="7"/>
      <c r="T410" s="7"/>
      <c r="U410" s="7" t="s">
        <v>2288</v>
      </c>
      <c r="V410" s="7" t="s">
        <v>2289</v>
      </c>
      <c r="W410" s="7" t="str">
        <f>Preencher!$B$3&amp;U410&amp;V410&amp;A410&amp;$W$6</f>
        <v>JARINU-FRG962201MQ.TUNEL DE CG (CONTINUO)</v>
      </c>
      <c r="X410" s="7" t="str">
        <f>Preencher!$B$3&amp;U410&amp;V410&amp;A410&amp;$X$6</f>
        <v>JARINU-FRG962201MQ.TUNEL DE CG (CONTINUO) (1)</v>
      </c>
      <c r="Y410" s="7" t="str">
        <f>Preencher!$B$3&amp;U410&amp;V410&amp;A410&amp;$Y$6</f>
        <v>JARINU-FRG962201MQ.TUNEL DE CG (CONTINUO) (2)</v>
      </c>
      <c r="Z410" s="7" t="str">
        <f>Preencher!$B$3&amp;U410&amp;V410&amp;A410&amp;$Z$6</f>
        <v>JARINU-FRG962201MQ.TUNEL DE CG (CONTINUO) (3)</v>
      </c>
      <c r="AA410" s="7" t="str">
        <f>Preencher!$B$3&amp;U410&amp;V410&amp;A410&amp;$AA$6</f>
        <v>JARINU-FRG962201MQ.TUNEL DE CG (ESTATICO)</v>
      </c>
      <c r="AB410" s="7" t="str">
        <f>Preencher!$B$3&amp;U410&amp;V410&amp;A410&amp;$AB$6</f>
        <v>JARINU-FRG962201MQ.TUNEL DE CG (ESTATICO) (1)</v>
      </c>
      <c r="AC410" s="7" t="str">
        <f>Preencher!$B$3&amp;U410&amp;V410&amp;A410&amp;$AC$6</f>
        <v>JARINU-FRG962201MQ.TUNEL DE CG (ESTATICO) (2)</v>
      </c>
      <c r="AD410" s="327">
        <f>IFERROR(SUMIF('BD Otimix'!A:A,'BD VOLUME'!X410,'BD Otimix'!O:O)+SUMIF('BD Otimix'!A:A,'BD VOLUME'!Y410,'BD Otimix'!O:O)+SUMIF('BD Otimix'!A:A,'BD VOLUME'!Z410,'BD Otimix'!O:O)+SUMIF('BD Otimix'!A:A,'BD VOLUME'!AA410,'BD Otimix'!O:O)+SUMIF('BD Otimix'!A:A,'BD VOLUME'!AB410,'BD Otimix'!O:O)+SUMIF('BD Otimix'!A:A,'BD VOLUME'!AC410,'BD Otimix'!O:O)+SUMIF('BD Otimix'!A:A,'BD VOLUME'!W410,'BD Otimix'!O:O),0)</f>
        <v>0</v>
      </c>
      <c r="AE410" s="327">
        <f t="shared" si="101"/>
        <v>0</v>
      </c>
      <c r="AF410" s="7" t="str">
        <f>Preencher!$B$3&amp;$U$8&amp;$V$8&amp;A410&amp;$AF$6</f>
        <v>JARINU-FRG962201MQ.GIROFREEZER</v>
      </c>
      <c r="AG410" s="7" t="str">
        <f>Preencher!$B$3&amp;$U$8&amp;$V$8&amp;A410&amp;$AG$6</f>
        <v>JARINU-FRG962201MQ.GIROFREEZER (1)</v>
      </c>
      <c r="AH410" s="7" t="str">
        <f>Preencher!$B$3&amp;$U$8&amp;$V$8&amp;A410&amp;$AH$6</f>
        <v>JARINU-FRG962201MQ.GIROFREEZER (2)</v>
      </c>
      <c r="AI410" s="7" t="str">
        <f>Preencher!$B$3&amp;$U$8&amp;$V$8&amp;A410&amp;$AI$6</f>
        <v>JARINU-FRG962201MQ.GIROFREEZER REV04</v>
      </c>
      <c r="AJ410" s="7" t="str">
        <f>Preencher!$B$3&amp;$U$8&amp;$V$8&amp;A410&amp;$AJ$6</f>
        <v>JARINU-FRG962201MQ.GIROFREEZER (3)</v>
      </c>
      <c r="AK410" s="327">
        <f>IFERROR(SUMIF('BD Otimix'!A:A,'BD VOLUME'!AG410,'BD Otimix'!O:O)+SUMIF('BD Otimix'!A:A,'BD VOLUME'!AH410,'BD Otimix'!O:O)+SUMIF('BD Otimix'!A:A,'BD VOLUME'!AI410,'BD Otimix'!O:O)+SUMIF('BD Otimix'!A:A,'BD VOLUME'!AJ410,'BD Otimix'!O:O)+SUMIF('BD Otimix'!A:A,'BD VOLUME'!AF410,'BD Otimix'!O:O),0)</f>
        <v>0</v>
      </c>
      <c r="AL410" s="7">
        <f t="shared" si="102"/>
        <v>0</v>
      </c>
    </row>
    <row r="411" spans="1:38" s="4" customFormat="1" ht="14.25">
      <c r="A411" s="663">
        <v>964425</v>
      </c>
      <c r="B411" s="663">
        <v>964425</v>
      </c>
      <c r="C411" s="5" t="s">
        <v>3180</v>
      </c>
      <c r="D411" s="75" t="s">
        <v>867</v>
      </c>
      <c r="E411" s="5" t="s">
        <v>994</v>
      </c>
      <c r="F411" s="132">
        <f>SUMIF('COLAR PLANO'!$A:$A,A411,'COLAR PLANO'!$D:$D)</f>
        <v>0</v>
      </c>
      <c r="G411" s="131">
        <f t="shared" si="97"/>
        <v>0</v>
      </c>
      <c r="H411" s="6">
        <v>0.21679999999999999</v>
      </c>
      <c r="I411" s="7">
        <f t="shared" si="98"/>
        <v>0</v>
      </c>
      <c r="J411" s="130">
        <f t="shared" si="99"/>
        <v>0</v>
      </c>
      <c r="K411" s="122">
        <v>1</v>
      </c>
      <c r="L411" s="122">
        <v>20</v>
      </c>
      <c r="M411" s="122">
        <v>20</v>
      </c>
      <c r="N411" s="311">
        <f t="shared" si="100"/>
        <v>0</v>
      </c>
      <c r="O411" s="311">
        <f>IFERROR(G411/M411,"-")</f>
        <v>0</v>
      </c>
      <c r="P411" s="311"/>
      <c r="Q411" s="311"/>
      <c r="R411" s="311"/>
      <c r="S411" s="7"/>
      <c r="T411" s="7"/>
      <c r="U411" s="7" t="s">
        <v>2288</v>
      </c>
      <c r="V411" s="7" t="s">
        <v>2289</v>
      </c>
      <c r="W411" s="7" t="str">
        <f>Preencher!$B$3&amp;U411&amp;V411&amp;A411&amp;$W$6</f>
        <v>JARINU-FRG964425MQ.TUNEL DE CG (CONTINUO)</v>
      </c>
      <c r="X411" s="7" t="str">
        <f>Preencher!$B$3&amp;U411&amp;V411&amp;A411&amp;$X$6</f>
        <v>JARINU-FRG964425MQ.TUNEL DE CG (CONTINUO) (1)</v>
      </c>
      <c r="Y411" s="7" t="str">
        <f>Preencher!$B$3&amp;U411&amp;V411&amp;A411&amp;$Y$6</f>
        <v>JARINU-FRG964425MQ.TUNEL DE CG (CONTINUO) (2)</v>
      </c>
      <c r="Z411" s="7" t="str">
        <f>Preencher!$B$3&amp;U411&amp;V411&amp;A411&amp;$Z$6</f>
        <v>JARINU-FRG964425MQ.TUNEL DE CG (CONTINUO) (3)</v>
      </c>
      <c r="AA411" s="7" t="str">
        <f>Preencher!$B$3&amp;U411&amp;V411&amp;A411&amp;$AA$6</f>
        <v>JARINU-FRG964425MQ.TUNEL DE CG (ESTATICO)</v>
      </c>
      <c r="AB411" s="7" t="str">
        <f>Preencher!$B$3&amp;U411&amp;V411&amp;A411&amp;$AB$6</f>
        <v>JARINU-FRG964425MQ.TUNEL DE CG (ESTATICO) (1)</v>
      </c>
      <c r="AC411" s="7" t="str">
        <f>Preencher!$B$3&amp;U411&amp;V411&amp;A411&amp;$AC$6</f>
        <v>JARINU-FRG964425MQ.TUNEL DE CG (ESTATICO) (2)</v>
      </c>
      <c r="AD411" s="327">
        <f>IFERROR(SUMIF('BD Otimix'!A:A,'BD VOLUME'!X411,'BD Otimix'!O:O)+SUMIF('BD Otimix'!A:A,'BD VOLUME'!Y411,'BD Otimix'!O:O)+SUMIF('BD Otimix'!A:A,'BD VOLUME'!Z411,'BD Otimix'!O:O)+SUMIF('BD Otimix'!A:A,'BD VOLUME'!AA411,'BD Otimix'!O:O)+SUMIF('BD Otimix'!A:A,'BD VOLUME'!AB411,'BD Otimix'!O:O)+SUMIF('BD Otimix'!A:A,'BD VOLUME'!AC411,'BD Otimix'!O:O)+SUMIF('BD Otimix'!A:A,'BD VOLUME'!W411,'BD Otimix'!O:O),0)</f>
        <v>0</v>
      </c>
      <c r="AE411" s="327">
        <f t="shared" si="101"/>
        <v>0</v>
      </c>
      <c r="AF411" s="7" t="str">
        <f>Preencher!$B$3&amp;$U$8&amp;$V$8&amp;A411&amp;$AF$6</f>
        <v>JARINU-FRG964425MQ.GIROFREEZER</v>
      </c>
      <c r="AG411" s="7" t="str">
        <f>Preencher!$B$3&amp;$U$8&amp;$V$8&amp;A411&amp;$AG$6</f>
        <v>JARINU-FRG964425MQ.GIROFREEZER (1)</v>
      </c>
      <c r="AH411" s="7" t="str">
        <f>Preencher!$B$3&amp;$U$8&amp;$V$8&amp;A411&amp;$AH$6</f>
        <v>JARINU-FRG964425MQ.GIROFREEZER (2)</v>
      </c>
      <c r="AI411" s="7" t="str">
        <f>Preencher!$B$3&amp;$U$8&amp;$V$8&amp;A411&amp;$AI$6</f>
        <v>JARINU-FRG964425MQ.GIROFREEZER REV04</v>
      </c>
      <c r="AJ411" s="7" t="str">
        <f>Preencher!$B$3&amp;$U$8&amp;$V$8&amp;A411&amp;$AJ$6</f>
        <v>JARINU-FRG964425MQ.GIROFREEZER (3)</v>
      </c>
      <c r="AK411" s="327">
        <f>IFERROR(SUMIF('BD Otimix'!A:A,'BD VOLUME'!AG411,'BD Otimix'!O:O)+SUMIF('BD Otimix'!A:A,'BD VOLUME'!AH411,'BD Otimix'!O:O)+SUMIF('BD Otimix'!A:A,'BD VOLUME'!AI411,'BD Otimix'!O:O)+SUMIF('BD Otimix'!A:A,'BD VOLUME'!AJ411,'BD Otimix'!O:O)+SUMIF('BD Otimix'!A:A,'BD VOLUME'!AF411,'BD Otimix'!O:O),0)</f>
        <v>0</v>
      </c>
      <c r="AL411" s="7">
        <f t="shared" si="102"/>
        <v>0</v>
      </c>
    </row>
    <row r="412" spans="1:38" s="4" customFormat="1" ht="14.25">
      <c r="A412" s="663">
        <v>962260</v>
      </c>
      <c r="B412" s="663"/>
      <c r="C412" s="5" t="s">
        <v>2443</v>
      </c>
      <c r="D412" s="75" t="s">
        <v>867</v>
      </c>
      <c r="E412" s="5" t="s">
        <v>994</v>
      </c>
      <c r="F412" s="132">
        <f>SUMIF('COLAR PLANO'!$A:$A,A412,'COLAR PLANO'!$D:$D)</f>
        <v>0</v>
      </c>
      <c r="G412" s="131">
        <f t="shared" si="97"/>
        <v>0</v>
      </c>
      <c r="H412" s="6">
        <v>0.21679999999999999</v>
      </c>
      <c r="I412" s="7">
        <f t="shared" si="98"/>
        <v>0</v>
      </c>
      <c r="J412" s="130">
        <f t="shared" si="99"/>
        <v>0</v>
      </c>
      <c r="K412" s="122">
        <v>1</v>
      </c>
      <c r="L412" s="122">
        <v>20</v>
      </c>
      <c r="M412" s="122">
        <v>20</v>
      </c>
      <c r="N412" s="311">
        <f t="shared" si="100"/>
        <v>0</v>
      </c>
      <c r="O412" s="311">
        <f>IFERROR(G412/M412,"-")</f>
        <v>0</v>
      </c>
      <c r="P412" s="311"/>
      <c r="Q412" s="311"/>
      <c r="R412" s="311"/>
      <c r="S412" s="7"/>
      <c r="T412" s="7"/>
      <c r="U412" s="7" t="s">
        <v>2288</v>
      </c>
      <c r="V412" s="7" t="s">
        <v>2289</v>
      </c>
      <c r="W412" s="7" t="str">
        <f>Preencher!$B$3&amp;U412&amp;V412&amp;A412&amp;$W$6</f>
        <v>JARINU-FRG962260MQ.TUNEL DE CG (CONTINUO)</v>
      </c>
      <c r="X412" s="7" t="str">
        <f>Preencher!$B$3&amp;U412&amp;V412&amp;A412&amp;$X$6</f>
        <v>JARINU-FRG962260MQ.TUNEL DE CG (CONTINUO) (1)</v>
      </c>
      <c r="Y412" s="7" t="str">
        <f>Preencher!$B$3&amp;U412&amp;V412&amp;A412&amp;$Y$6</f>
        <v>JARINU-FRG962260MQ.TUNEL DE CG (CONTINUO) (2)</v>
      </c>
      <c r="Z412" s="7" t="str">
        <f>Preencher!$B$3&amp;U412&amp;V412&amp;A412&amp;$Z$6</f>
        <v>JARINU-FRG962260MQ.TUNEL DE CG (CONTINUO) (3)</v>
      </c>
      <c r="AA412" s="7" t="str">
        <f>Preencher!$B$3&amp;U412&amp;V412&amp;A412&amp;$AA$6</f>
        <v>JARINU-FRG962260MQ.TUNEL DE CG (ESTATICO)</v>
      </c>
      <c r="AB412" s="7" t="str">
        <f>Preencher!$B$3&amp;U412&amp;V412&amp;A412&amp;$AB$6</f>
        <v>JARINU-FRG962260MQ.TUNEL DE CG (ESTATICO) (1)</v>
      </c>
      <c r="AC412" s="7" t="str">
        <f>Preencher!$B$3&amp;U412&amp;V412&amp;A412&amp;$AC$6</f>
        <v>JARINU-FRG962260MQ.TUNEL DE CG (ESTATICO) (2)</v>
      </c>
      <c r="AD412" s="327">
        <f>IFERROR(SUMIF('BD Otimix'!A:A,'BD VOLUME'!X412,'BD Otimix'!O:O)+SUMIF('BD Otimix'!A:A,'BD VOLUME'!Y412,'BD Otimix'!O:O)+SUMIF('BD Otimix'!A:A,'BD VOLUME'!Z412,'BD Otimix'!O:O)+SUMIF('BD Otimix'!A:A,'BD VOLUME'!AA412,'BD Otimix'!O:O)+SUMIF('BD Otimix'!A:A,'BD VOLUME'!AB412,'BD Otimix'!O:O)+SUMIF('BD Otimix'!A:A,'BD VOLUME'!AC412,'BD Otimix'!O:O)+SUMIF('BD Otimix'!A:A,'BD VOLUME'!W412,'BD Otimix'!O:O),0)</f>
        <v>0</v>
      </c>
      <c r="AE412" s="327">
        <f t="shared" si="101"/>
        <v>0</v>
      </c>
      <c r="AF412" s="7" t="str">
        <f>Preencher!$B$3&amp;$U$8&amp;$V$8&amp;A412&amp;$AF$6</f>
        <v>JARINU-FRG962260MQ.GIROFREEZER</v>
      </c>
      <c r="AG412" s="7" t="str">
        <f>Preencher!$B$3&amp;$U$8&amp;$V$8&amp;A412&amp;$AG$6</f>
        <v>JARINU-FRG962260MQ.GIROFREEZER (1)</v>
      </c>
      <c r="AH412" s="7" t="str">
        <f>Preencher!$B$3&amp;$U$8&amp;$V$8&amp;A412&amp;$AH$6</f>
        <v>JARINU-FRG962260MQ.GIROFREEZER (2)</v>
      </c>
      <c r="AI412" s="7" t="str">
        <f>Preencher!$B$3&amp;$U$8&amp;$V$8&amp;A412&amp;$AI$6</f>
        <v>JARINU-FRG962260MQ.GIROFREEZER REV04</v>
      </c>
      <c r="AJ412" s="7" t="str">
        <f>Preencher!$B$3&amp;$U$8&amp;$V$8&amp;A412&amp;$AJ$6</f>
        <v>JARINU-FRG962260MQ.GIROFREEZER (3)</v>
      </c>
      <c r="AK412" s="327">
        <f>IFERROR(SUMIF('BD Otimix'!A:A,'BD VOLUME'!AG412,'BD Otimix'!O:O)+SUMIF('BD Otimix'!A:A,'BD VOLUME'!AH412,'BD Otimix'!O:O)+SUMIF('BD Otimix'!A:A,'BD VOLUME'!AI412,'BD Otimix'!O:O)+SUMIF('BD Otimix'!A:A,'BD VOLUME'!AJ412,'BD Otimix'!O:O)+SUMIF('BD Otimix'!A:A,'BD VOLUME'!AF412,'BD Otimix'!O:O),0)</f>
        <v>0</v>
      </c>
      <c r="AL412" s="7">
        <f t="shared" si="102"/>
        <v>0</v>
      </c>
    </row>
    <row r="413" spans="1:38" s="4" customFormat="1" ht="14.25">
      <c r="A413" s="663">
        <v>728292</v>
      </c>
      <c r="B413" s="663" t="s">
        <v>2444</v>
      </c>
      <c r="C413" s="5" t="s">
        <v>2445</v>
      </c>
      <c r="D413" s="75" t="s">
        <v>867</v>
      </c>
      <c r="E413" s="5" t="s">
        <v>1515</v>
      </c>
      <c r="F413" s="132">
        <f>SUMIF('COLAR PLANO'!$A:$A,A413,'COLAR PLANO'!$D:$D)</f>
        <v>0</v>
      </c>
      <c r="G413" s="131">
        <f t="shared" si="97"/>
        <v>0</v>
      </c>
      <c r="H413" s="6">
        <v>0.217</v>
      </c>
      <c r="I413" s="7">
        <f t="shared" si="98"/>
        <v>0</v>
      </c>
      <c r="J413" s="130">
        <f t="shared" si="99"/>
        <v>0</v>
      </c>
      <c r="K413" s="122">
        <v>15</v>
      </c>
      <c r="L413" s="122">
        <v>1</v>
      </c>
      <c r="M413" s="122">
        <v>15</v>
      </c>
      <c r="N413" s="311">
        <f t="shared" si="100"/>
        <v>0</v>
      </c>
      <c r="O413" s="311"/>
      <c r="P413" s="311"/>
      <c r="Q413" s="311">
        <f>IFERROR(G413/M413,"-")</f>
        <v>0</v>
      </c>
      <c r="R413" s="311"/>
      <c r="S413" s="7"/>
      <c r="T413" s="7"/>
      <c r="U413" s="7" t="s">
        <v>2288</v>
      </c>
      <c r="V413" s="7" t="s">
        <v>2289</v>
      </c>
      <c r="W413" s="7" t="str">
        <f>Preencher!$B$3&amp;U413&amp;V413&amp;A413&amp;$W$6</f>
        <v>JARINU-FRG728292MQ.TUNEL DE CG (CONTINUO)</v>
      </c>
      <c r="X413" s="7" t="str">
        <f>Preencher!$B$3&amp;U413&amp;V413&amp;A413&amp;$X$6</f>
        <v>JARINU-FRG728292MQ.TUNEL DE CG (CONTINUO) (1)</v>
      </c>
      <c r="Y413" s="7" t="str">
        <f>Preencher!$B$3&amp;U413&amp;V413&amp;A413&amp;$Y$6</f>
        <v>JARINU-FRG728292MQ.TUNEL DE CG (CONTINUO) (2)</v>
      </c>
      <c r="Z413" s="7" t="str">
        <f>Preencher!$B$3&amp;U413&amp;V413&amp;A413&amp;$Z$6</f>
        <v>JARINU-FRG728292MQ.TUNEL DE CG (CONTINUO) (3)</v>
      </c>
      <c r="AA413" s="7" t="str">
        <f>Preencher!$B$3&amp;U413&amp;V413&amp;A413&amp;$AA$6</f>
        <v>JARINU-FRG728292MQ.TUNEL DE CG (ESTATICO)</v>
      </c>
      <c r="AB413" s="7" t="str">
        <f>Preencher!$B$3&amp;U413&amp;V413&amp;A413&amp;$AB$6</f>
        <v>JARINU-FRG728292MQ.TUNEL DE CG (ESTATICO) (1)</v>
      </c>
      <c r="AC413" s="7" t="str">
        <f>Preencher!$B$3&amp;U413&amp;V413&amp;A413&amp;$AC$6</f>
        <v>JARINU-FRG728292MQ.TUNEL DE CG (ESTATICO) (2)</v>
      </c>
      <c r="AD413" s="327">
        <f>IFERROR(SUMIF('BD Otimix'!A:A,'BD VOLUME'!X413,'BD Otimix'!O:O)+SUMIF('BD Otimix'!A:A,'BD VOLUME'!Y413,'BD Otimix'!O:O)+SUMIF('BD Otimix'!A:A,'BD VOLUME'!Z413,'BD Otimix'!O:O)+SUMIF('BD Otimix'!A:A,'BD VOLUME'!AA413,'BD Otimix'!O:O)+SUMIF('BD Otimix'!A:A,'BD VOLUME'!AB413,'BD Otimix'!O:O)+SUMIF('BD Otimix'!A:A,'BD VOLUME'!AC413,'BD Otimix'!O:O)+SUMIF('BD Otimix'!A:A,'BD VOLUME'!W413,'BD Otimix'!O:O),0)</f>
        <v>0</v>
      </c>
      <c r="AE413" s="327">
        <f t="shared" si="101"/>
        <v>0</v>
      </c>
      <c r="AF413" s="7" t="str">
        <f>Preencher!$B$3&amp;$U$8&amp;$V$8&amp;A413&amp;$AF$6</f>
        <v>JARINU-FRG728292MQ.GIROFREEZER</v>
      </c>
      <c r="AG413" s="7" t="str">
        <f>Preencher!$B$3&amp;$U$8&amp;$V$8&amp;A413&amp;$AG$6</f>
        <v>JARINU-FRG728292MQ.GIROFREEZER (1)</v>
      </c>
      <c r="AH413" s="7" t="str">
        <f>Preencher!$B$3&amp;$U$8&amp;$V$8&amp;A413&amp;$AH$6</f>
        <v>JARINU-FRG728292MQ.GIROFREEZER (2)</v>
      </c>
      <c r="AI413" s="7" t="str">
        <f>Preencher!$B$3&amp;$U$8&amp;$V$8&amp;A413&amp;$AI$6</f>
        <v>JARINU-FRG728292MQ.GIROFREEZER REV04</v>
      </c>
      <c r="AJ413" s="7" t="str">
        <f>Preencher!$B$3&amp;$U$8&amp;$V$8&amp;A413&amp;$AJ$6</f>
        <v>JARINU-FRG728292MQ.GIROFREEZER (3)</v>
      </c>
      <c r="AK413" s="327">
        <f>IFERROR(SUMIF('BD Otimix'!A:A,'BD VOLUME'!AG413,'BD Otimix'!O:O)+SUMIF('BD Otimix'!A:A,'BD VOLUME'!AH413,'BD Otimix'!O:O)+SUMIF('BD Otimix'!A:A,'BD VOLUME'!AI413,'BD Otimix'!O:O)+SUMIF('BD Otimix'!A:A,'BD VOLUME'!AJ413,'BD Otimix'!O:O)+SUMIF('BD Otimix'!A:A,'BD VOLUME'!AF413,'BD Otimix'!O:O),0)</f>
        <v>0</v>
      </c>
      <c r="AL413" s="7">
        <f t="shared" si="102"/>
        <v>0</v>
      </c>
    </row>
    <row r="414" spans="1:38" s="4" customFormat="1" ht="14.25">
      <c r="A414" s="355">
        <v>55514</v>
      </c>
      <c r="B414" s="355"/>
      <c r="C414" s="5" t="s">
        <v>1475</v>
      </c>
      <c r="D414" s="75" t="s">
        <v>867</v>
      </c>
      <c r="E414" s="5" t="s">
        <v>1528</v>
      </c>
      <c r="F414" s="132">
        <f>SUMIF('COLAR PLANO'!$A:$A,A414,'COLAR PLANO'!$D:$D)</f>
        <v>0</v>
      </c>
      <c r="G414" s="131">
        <f t="shared" si="97"/>
        <v>0</v>
      </c>
      <c r="H414" s="6">
        <v>8.4199999999999997E-2</v>
      </c>
      <c r="I414" s="7">
        <f t="shared" si="98"/>
        <v>0</v>
      </c>
      <c r="J414" s="130">
        <f t="shared" si="99"/>
        <v>0</v>
      </c>
      <c r="K414" s="122">
        <v>2.5</v>
      </c>
      <c r="L414" s="122">
        <v>4</v>
      </c>
      <c r="M414" s="122">
        <v>10</v>
      </c>
      <c r="N414" s="311">
        <f t="shared" si="100"/>
        <v>0</v>
      </c>
      <c r="O414" s="311">
        <f>IFERROR(G414/M414,"-")</f>
        <v>0</v>
      </c>
      <c r="P414" s="311"/>
      <c r="Q414" s="311"/>
      <c r="R414" s="311"/>
      <c r="S414" s="7"/>
      <c r="T414" s="7"/>
      <c r="U414" s="7" t="s">
        <v>2288</v>
      </c>
      <c r="V414" s="7" t="s">
        <v>2289</v>
      </c>
      <c r="W414" s="7" t="str">
        <f>Preencher!$B$3&amp;U414&amp;V414&amp;A414&amp;$W$6</f>
        <v>JARINU-FRG55514MQ.TUNEL DE CG (CONTINUO)</v>
      </c>
      <c r="X414" s="7" t="str">
        <f>Preencher!$B$3&amp;U414&amp;V414&amp;A414&amp;$X$6</f>
        <v>JARINU-FRG55514MQ.TUNEL DE CG (CONTINUO) (1)</v>
      </c>
      <c r="Y414" s="7" t="str">
        <f>Preencher!$B$3&amp;U414&amp;V414&amp;A414&amp;$Y$6</f>
        <v>JARINU-FRG55514MQ.TUNEL DE CG (CONTINUO) (2)</v>
      </c>
      <c r="Z414" s="7" t="str">
        <f>Preencher!$B$3&amp;U414&amp;V414&amp;A414&amp;$Z$6</f>
        <v>JARINU-FRG55514MQ.TUNEL DE CG (CONTINUO) (3)</v>
      </c>
      <c r="AA414" s="7" t="str">
        <f>Preencher!$B$3&amp;U414&amp;V414&amp;A414&amp;$AA$6</f>
        <v>JARINU-FRG55514MQ.TUNEL DE CG (ESTATICO)</v>
      </c>
      <c r="AB414" s="7" t="str">
        <f>Preencher!$B$3&amp;U414&amp;V414&amp;A414&amp;$AB$6</f>
        <v>JARINU-FRG55514MQ.TUNEL DE CG (ESTATICO) (1)</v>
      </c>
      <c r="AC414" s="7" t="str">
        <f>Preencher!$B$3&amp;U414&amp;V414&amp;A414&amp;$AC$6</f>
        <v>JARINU-FRG55514MQ.TUNEL DE CG (ESTATICO) (2)</v>
      </c>
      <c r="AD414" s="327">
        <f>IFERROR(SUMIF('BD Otimix'!A:A,'BD VOLUME'!X414,'BD Otimix'!O:O)+SUMIF('BD Otimix'!A:A,'BD VOLUME'!Y414,'BD Otimix'!O:O)+SUMIF('BD Otimix'!A:A,'BD VOLUME'!Z414,'BD Otimix'!O:O)+SUMIF('BD Otimix'!A:A,'BD VOLUME'!AA414,'BD Otimix'!O:O)+SUMIF('BD Otimix'!A:A,'BD VOLUME'!AB414,'BD Otimix'!O:O)+SUMIF('BD Otimix'!A:A,'BD VOLUME'!AC414,'BD Otimix'!O:O)+SUMIF('BD Otimix'!A:A,'BD VOLUME'!W414,'BD Otimix'!O:O),0)</f>
        <v>0</v>
      </c>
      <c r="AE414" s="327">
        <f t="shared" si="101"/>
        <v>0</v>
      </c>
      <c r="AF414" s="7" t="str">
        <f>Preencher!$B$3&amp;$U$8&amp;$V$8&amp;A414&amp;$AF$6</f>
        <v>JARINU-FRG55514MQ.GIROFREEZER</v>
      </c>
      <c r="AG414" s="7" t="str">
        <f>Preencher!$B$3&amp;$U$8&amp;$V$8&amp;A414&amp;$AG$6</f>
        <v>JARINU-FRG55514MQ.GIROFREEZER (1)</v>
      </c>
      <c r="AH414" s="7" t="str">
        <f>Preencher!$B$3&amp;$U$8&amp;$V$8&amp;A414&amp;$AH$6</f>
        <v>JARINU-FRG55514MQ.GIROFREEZER (2)</v>
      </c>
      <c r="AI414" s="7" t="str">
        <f>Preencher!$B$3&amp;$U$8&amp;$V$8&amp;A414&amp;$AI$6</f>
        <v>JARINU-FRG55514MQ.GIROFREEZER REV04</v>
      </c>
      <c r="AJ414" s="7" t="str">
        <f>Preencher!$B$3&amp;$U$8&amp;$V$8&amp;A414&amp;$AJ$6</f>
        <v>JARINU-FRG55514MQ.GIROFREEZER (3)</v>
      </c>
      <c r="AK414" s="327">
        <f>IFERROR(SUMIF('BD Otimix'!A:A,'BD VOLUME'!AG414,'BD Otimix'!O:O)+SUMIF('BD Otimix'!A:A,'BD VOLUME'!AH414,'BD Otimix'!O:O)+SUMIF('BD Otimix'!A:A,'BD VOLUME'!AI414,'BD Otimix'!O:O)+SUMIF('BD Otimix'!A:A,'BD VOLUME'!AJ414,'BD Otimix'!O:O)+SUMIF('BD Otimix'!A:A,'BD VOLUME'!AF414,'BD Otimix'!O:O),0)</f>
        <v>0</v>
      </c>
      <c r="AL414" s="7">
        <f t="shared" si="102"/>
        <v>0</v>
      </c>
    </row>
    <row r="415" spans="1:38" s="4" customFormat="1" ht="14.25">
      <c r="A415" s="584">
        <v>868965</v>
      </c>
      <c r="B415" s="584" t="s">
        <v>2018</v>
      </c>
      <c r="C415" s="5" t="s">
        <v>1089</v>
      </c>
      <c r="D415" s="75" t="s">
        <v>867</v>
      </c>
      <c r="E415" s="5" t="s">
        <v>2139</v>
      </c>
      <c r="F415" s="132">
        <f>SUMIF('COLAR PLANO'!$A:$A,A415,'COLAR PLANO'!$D:$D)</f>
        <v>0</v>
      </c>
      <c r="G415" s="131">
        <f t="shared" si="97"/>
        <v>0</v>
      </c>
      <c r="H415" s="6">
        <v>0.217</v>
      </c>
      <c r="I415" s="7">
        <f t="shared" si="98"/>
        <v>0</v>
      </c>
      <c r="J415" s="130">
        <f t="shared" si="99"/>
        <v>0</v>
      </c>
      <c r="K415" s="122">
        <v>7.5</v>
      </c>
      <c r="L415" s="122">
        <v>2</v>
      </c>
      <c r="M415" s="122">
        <v>15</v>
      </c>
      <c r="N415" s="311">
        <f t="shared" si="100"/>
        <v>0</v>
      </c>
      <c r="O415" s="311"/>
      <c r="P415" s="311"/>
      <c r="Q415" s="311">
        <f>IFERROR(G415/M415,"-")</f>
        <v>0</v>
      </c>
      <c r="R415" s="311"/>
      <c r="S415" s="7"/>
      <c r="T415" s="7"/>
      <c r="U415" s="7" t="s">
        <v>2288</v>
      </c>
      <c r="V415" s="7" t="s">
        <v>2289</v>
      </c>
      <c r="W415" s="7" t="str">
        <f>Preencher!$B$3&amp;U415&amp;V415&amp;A415&amp;$W$6</f>
        <v>JARINU-FRG868965MQ.TUNEL DE CG (CONTINUO)</v>
      </c>
      <c r="X415" s="7" t="str">
        <f>Preencher!$B$3&amp;U415&amp;V415&amp;A415&amp;$X$6</f>
        <v>JARINU-FRG868965MQ.TUNEL DE CG (CONTINUO) (1)</v>
      </c>
      <c r="Y415" s="7" t="str">
        <f>Preencher!$B$3&amp;U415&amp;V415&amp;A415&amp;$Y$6</f>
        <v>JARINU-FRG868965MQ.TUNEL DE CG (CONTINUO) (2)</v>
      </c>
      <c r="Z415" s="7" t="str">
        <f>Preencher!$B$3&amp;U415&amp;V415&amp;A415&amp;$Z$6</f>
        <v>JARINU-FRG868965MQ.TUNEL DE CG (CONTINUO) (3)</v>
      </c>
      <c r="AA415" s="7" t="str">
        <f>Preencher!$B$3&amp;U415&amp;V415&amp;A415&amp;$AA$6</f>
        <v>JARINU-FRG868965MQ.TUNEL DE CG (ESTATICO)</v>
      </c>
      <c r="AB415" s="7" t="str">
        <f>Preencher!$B$3&amp;U415&amp;V415&amp;A415&amp;$AB$6</f>
        <v>JARINU-FRG868965MQ.TUNEL DE CG (ESTATICO) (1)</v>
      </c>
      <c r="AC415" s="7" t="str">
        <f>Preencher!$B$3&amp;U415&amp;V415&amp;A415&amp;$AC$6</f>
        <v>JARINU-FRG868965MQ.TUNEL DE CG (ESTATICO) (2)</v>
      </c>
      <c r="AD415" s="327">
        <f>IFERROR(SUMIF('BD Otimix'!A:A,'BD VOLUME'!X415,'BD Otimix'!O:O)+SUMIF('BD Otimix'!A:A,'BD VOLUME'!Y415,'BD Otimix'!O:O)+SUMIF('BD Otimix'!A:A,'BD VOLUME'!Z415,'BD Otimix'!O:O)+SUMIF('BD Otimix'!A:A,'BD VOLUME'!AA415,'BD Otimix'!O:O)+SUMIF('BD Otimix'!A:A,'BD VOLUME'!AB415,'BD Otimix'!O:O)+SUMIF('BD Otimix'!A:A,'BD VOLUME'!AC415,'BD Otimix'!O:O)+SUMIF('BD Otimix'!A:A,'BD VOLUME'!W415,'BD Otimix'!O:O),0)</f>
        <v>0</v>
      </c>
      <c r="AE415" s="327">
        <f t="shared" si="101"/>
        <v>0</v>
      </c>
      <c r="AF415" s="7" t="str">
        <f>Preencher!$B$3&amp;$U$8&amp;$V$8&amp;A415&amp;$AF$6</f>
        <v>JARINU-FRG868965MQ.GIROFREEZER</v>
      </c>
      <c r="AG415" s="7" t="str">
        <f>Preencher!$B$3&amp;$U$8&amp;$V$8&amp;A415&amp;$AG$6</f>
        <v>JARINU-FRG868965MQ.GIROFREEZER (1)</v>
      </c>
      <c r="AH415" s="7" t="str">
        <f>Preencher!$B$3&amp;$U$8&amp;$V$8&amp;A415&amp;$AH$6</f>
        <v>JARINU-FRG868965MQ.GIROFREEZER (2)</v>
      </c>
      <c r="AI415" s="7" t="str">
        <f>Preencher!$B$3&amp;$U$8&amp;$V$8&amp;A415&amp;$AI$6</f>
        <v>JARINU-FRG868965MQ.GIROFREEZER REV04</v>
      </c>
      <c r="AJ415" s="7" t="str">
        <f>Preencher!$B$3&amp;$U$8&amp;$V$8&amp;A415&amp;$AJ$6</f>
        <v>JARINU-FRG868965MQ.GIROFREEZER (3)</v>
      </c>
      <c r="AK415" s="327">
        <f>IFERROR(SUMIF('BD Otimix'!A:A,'BD VOLUME'!AG415,'BD Otimix'!O:O)+SUMIF('BD Otimix'!A:A,'BD VOLUME'!AH415,'BD Otimix'!O:O)+SUMIF('BD Otimix'!A:A,'BD VOLUME'!AI415,'BD Otimix'!O:O)+SUMIF('BD Otimix'!A:A,'BD VOLUME'!AJ415,'BD Otimix'!O:O)+SUMIF('BD Otimix'!A:A,'BD VOLUME'!AF415,'BD Otimix'!O:O),0)</f>
        <v>0</v>
      </c>
      <c r="AL415" s="7">
        <f t="shared" si="102"/>
        <v>0</v>
      </c>
    </row>
    <row r="416" spans="1:38" s="4" customFormat="1" ht="14.25">
      <c r="A416" s="584">
        <v>55735</v>
      </c>
      <c r="B416" s="584" t="s">
        <v>2101</v>
      </c>
      <c r="C416" s="5" t="s">
        <v>1089</v>
      </c>
      <c r="D416" s="75" t="s">
        <v>867</v>
      </c>
      <c r="E416" s="5" t="s">
        <v>2139</v>
      </c>
      <c r="F416" s="132">
        <f>SUMIF('COLAR PLANO'!$A:$A,A416,'COLAR PLANO'!$D:$D)</f>
        <v>0</v>
      </c>
      <c r="G416" s="131">
        <f t="shared" si="97"/>
        <v>0</v>
      </c>
      <c r="H416" s="6">
        <v>0.217</v>
      </c>
      <c r="I416" s="7">
        <f t="shared" si="98"/>
        <v>0</v>
      </c>
      <c r="J416" s="130">
        <f t="shared" si="99"/>
        <v>0</v>
      </c>
      <c r="K416" s="122">
        <v>7.5</v>
      </c>
      <c r="L416" s="122">
        <v>2</v>
      </c>
      <c r="M416" s="122">
        <v>15</v>
      </c>
      <c r="N416" s="311">
        <f t="shared" si="100"/>
        <v>0</v>
      </c>
      <c r="O416" s="311"/>
      <c r="P416" s="311"/>
      <c r="Q416" s="311">
        <f>IFERROR(G416/M416,"-")</f>
        <v>0</v>
      </c>
      <c r="R416" s="311"/>
      <c r="S416" s="7"/>
      <c r="T416" s="7"/>
      <c r="U416" s="7" t="s">
        <v>2288</v>
      </c>
      <c r="V416" s="7" t="s">
        <v>2289</v>
      </c>
      <c r="W416" s="7" t="str">
        <f>Preencher!$B$3&amp;U416&amp;V416&amp;A416&amp;$W$6</f>
        <v>JARINU-FRG55735MQ.TUNEL DE CG (CONTINUO)</v>
      </c>
      <c r="X416" s="7" t="str">
        <f>Preencher!$B$3&amp;U416&amp;V416&amp;A416&amp;$X$6</f>
        <v>JARINU-FRG55735MQ.TUNEL DE CG (CONTINUO) (1)</v>
      </c>
      <c r="Y416" s="7" t="str">
        <f>Preencher!$B$3&amp;U416&amp;V416&amp;A416&amp;$Y$6</f>
        <v>JARINU-FRG55735MQ.TUNEL DE CG (CONTINUO) (2)</v>
      </c>
      <c r="Z416" s="7" t="str">
        <f>Preencher!$B$3&amp;U416&amp;V416&amp;A416&amp;$Z$6</f>
        <v>JARINU-FRG55735MQ.TUNEL DE CG (CONTINUO) (3)</v>
      </c>
      <c r="AA416" s="7" t="str">
        <f>Preencher!$B$3&amp;U416&amp;V416&amp;A416&amp;$AA$6</f>
        <v>JARINU-FRG55735MQ.TUNEL DE CG (ESTATICO)</v>
      </c>
      <c r="AB416" s="7" t="str">
        <f>Preencher!$B$3&amp;U416&amp;V416&amp;A416&amp;$AB$6</f>
        <v>JARINU-FRG55735MQ.TUNEL DE CG (ESTATICO) (1)</v>
      </c>
      <c r="AC416" s="7" t="str">
        <f>Preencher!$B$3&amp;U416&amp;V416&amp;A416&amp;$AC$6</f>
        <v>JARINU-FRG55735MQ.TUNEL DE CG (ESTATICO) (2)</v>
      </c>
      <c r="AD416" s="327">
        <f>IFERROR(SUMIF('BD Otimix'!A:A,'BD VOLUME'!X416,'BD Otimix'!O:O)+SUMIF('BD Otimix'!A:A,'BD VOLUME'!Y416,'BD Otimix'!O:O)+SUMIF('BD Otimix'!A:A,'BD VOLUME'!Z416,'BD Otimix'!O:O)+SUMIF('BD Otimix'!A:A,'BD VOLUME'!AA416,'BD Otimix'!O:O)+SUMIF('BD Otimix'!A:A,'BD VOLUME'!AB416,'BD Otimix'!O:O)+SUMIF('BD Otimix'!A:A,'BD VOLUME'!AC416,'BD Otimix'!O:O)+SUMIF('BD Otimix'!A:A,'BD VOLUME'!W416,'BD Otimix'!O:O),0)</f>
        <v>0</v>
      </c>
      <c r="AE416" s="327">
        <f t="shared" si="101"/>
        <v>0</v>
      </c>
      <c r="AF416" s="7" t="str">
        <f>Preencher!$B$3&amp;$U$8&amp;$V$8&amp;A416&amp;$AF$6</f>
        <v>JARINU-FRG55735MQ.GIROFREEZER</v>
      </c>
      <c r="AG416" s="7" t="str">
        <f>Preencher!$B$3&amp;$U$8&amp;$V$8&amp;A416&amp;$AG$6</f>
        <v>JARINU-FRG55735MQ.GIROFREEZER (1)</v>
      </c>
      <c r="AH416" s="7" t="str">
        <f>Preencher!$B$3&amp;$U$8&amp;$V$8&amp;A416&amp;$AH$6</f>
        <v>JARINU-FRG55735MQ.GIROFREEZER (2)</v>
      </c>
      <c r="AI416" s="7" t="str">
        <f>Preencher!$B$3&amp;$U$8&amp;$V$8&amp;A416&amp;$AI$6</f>
        <v>JARINU-FRG55735MQ.GIROFREEZER REV04</v>
      </c>
      <c r="AJ416" s="7" t="str">
        <f>Preencher!$B$3&amp;$U$8&amp;$V$8&amp;A416&amp;$AJ$6</f>
        <v>JARINU-FRG55735MQ.GIROFREEZER (3)</v>
      </c>
      <c r="AK416" s="327">
        <f>IFERROR(SUMIF('BD Otimix'!A:A,'BD VOLUME'!AG416,'BD Otimix'!O:O)+SUMIF('BD Otimix'!A:A,'BD VOLUME'!AH416,'BD Otimix'!O:O)+SUMIF('BD Otimix'!A:A,'BD VOLUME'!AI416,'BD Otimix'!O:O)+SUMIF('BD Otimix'!A:A,'BD VOLUME'!AJ416,'BD Otimix'!O:O)+SUMIF('BD Otimix'!A:A,'BD VOLUME'!AF416,'BD Otimix'!O:O),0)</f>
        <v>0</v>
      </c>
      <c r="AL416" s="7">
        <f t="shared" si="102"/>
        <v>0</v>
      </c>
    </row>
    <row r="417" spans="1:38" s="4" customFormat="1" ht="14.25">
      <c r="A417" s="584">
        <v>790567</v>
      </c>
      <c r="B417" s="584" t="s">
        <v>2102</v>
      </c>
      <c r="C417" s="5" t="s">
        <v>2103</v>
      </c>
      <c r="D417" s="75" t="s">
        <v>867</v>
      </c>
      <c r="E417" s="5" t="s">
        <v>1488</v>
      </c>
      <c r="F417" s="132">
        <f>SUMIF('COLAR PLANO'!$A:$A,A417,'COLAR PLANO'!$D:$D)</f>
        <v>0</v>
      </c>
      <c r="G417" s="131">
        <f>IFERROR(F417/($E$3*$C$3),0)</f>
        <v>0</v>
      </c>
      <c r="H417" s="6">
        <v>0.217</v>
      </c>
      <c r="I417" s="7">
        <f>IFERROR(G417/$D$3/H417,0)</f>
        <v>0</v>
      </c>
      <c r="J417" s="130">
        <f t="shared" si="99"/>
        <v>0</v>
      </c>
      <c r="K417" s="122">
        <v>15</v>
      </c>
      <c r="L417" s="122">
        <v>1</v>
      </c>
      <c r="M417" s="122">
        <v>15</v>
      </c>
      <c r="N417" s="311">
        <f>IFERROR(G417/K417,"-")</f>
        <v>0</v>
      </c>
      <c r="O417" s="311"/>
      <c r="P417" s="311"/>
      <c r="Q417" s="311">
        <f>IFERROR(G417/M417,"-")</f>
        <v>0</v>
      </c>
      <c r="R417" s="311"/>
      <c r="S417" s="7"/>
      <c r="T417" s="7"/>
      <c r="U417" s="7" t="s">
        <v>2288</v>
      </c>
      <c r="V417" s="7" t="s">
        <v>2289</v>
      </c>
      <c r="W417" s="7" t="str">
        <f>Preencher!$B$3&amp;U417&amp;V417&amp;A417&amp;$W$6</f>
        <v>JARINU-FRG790567MQ.TUNEL DE CG (CONTINUO)</v>
      </c>
      <c r="X417" s="7" t="str">
        <f>Preencher!$B$3&amp;U417&amp;V417&amp;A417&amp;$X$6</f>
        <v>JARINU-FRG790567MQ.TUNEL DE CG (CONTINUO) (1)</v>
      </c>
      <c r="Y417" s="7" t="str">
        <f>Preencher!$B$3&amp;U417&amp;V417&amp;A417&amp;$Y$6</f>
        <v>JARINU-FRG790567MQ.TUNEL DE CG (CONTINUO) (2)</v>
      </c>
      <c r="Z417" s="7" t="str">
        <f>Preencher!$B$3&amp;U417&amp;V417&amp;A417&amp;$Z$6</f>
        <v>JARINU-FRG790567MQ.TUNEL DE CG (CONTINUO) (3)</v>
      </c>
      <c r="AA417" s="7" t="str">
        <f>Preencher!$B$3&amp;U417&amp;V417&amp;A417&amp;$AA$6</f>
        <v>JARINU-FRG790567MQ.TUNEL DE CG (ESTATICO)</v>
      </c>
      <c r="AB417" s="7" t="str">
        <f>Preencher!$B$3&amp;U417&amp;V417&amp;A417&amp;$AB$6</f>
        <v>JARINU-FRG790567MQ.TUNEL DE CG (ESTATICO) (1)</v>
      </c>
      <c r="AC417" s="7" t="str">
        <f>Preencher!$B$3&amp;U417&amp;V417&amp;A417&amp;$AC$6</f>
        <v>JARINU-FRG790567MQ.TUNEL DE CG (ESTATICO) (2)</v>
      </c>
      <c r="AD417" s="327">
        <f>IFERROR(SUMIF('BD Otimix'!A:A,'BD VOLUME'!X417,'BD Otimix'!O:O)+SUMIF('BD Otimix'!A:A,'BD VOLUME'!Y417,'BD Otimix'!O:O)+SUMIF('BD Otimix'!A:A,'BD VOLUME'!Z417,'BD Otimix'!O:O)+SUMIF('BD Otimix'!A:A,'BD VOLUME'!AA417,'BD Otimix'!O:O)+SUMIF('BD Otimix'!A:A,'BD VOLUME'!AB417,'BD Otimix'!O:O)+SUMIF('BD Otimix'!A:A,'BD VOLUME'!AC417,'BD Otimix'!O:O)+SUMIF('BD Otimix'!A:A,'BD VOLUME'!W417,'BD Otimix'!O:O),0)</f>
        <v>0</v>
      </c>
      <c r="AE417" s="327">
        <f t="shared" si="101"/>
        <v>0</v>
      </c>
      <c r="AF417" s="7" t="str">
        <f>Preencher!$B$3&amp;$U$8&amp;$V$8&amp;A417&amp;$AF$6</f>
        <v>JARINU-FRG790567MQ.GIROFREEZER</v>
      </c>
      <c r="AG417" s="7" t="str">
        <f>Preencher!$B$3&amp;$U$8&amp;$V$8&amp;A417&amp;$AG$6</f>
        <v>JARINU-FRG790567MQ.GIROFREEZER (1)</v>
      </c>
      <c r="AH417" s="7" t="str">
        <f>Preencher!$B$3&amp;$U$8&amp;$V$8&amp;A417&amp;$AH$6</f>
        <v>JARINU-FRG790567MQ.GIROFREEZER (2)</v>
      </c>
      <c r="AI417" s="7" t="str">
        <f>Preencher!$B$3&amp;$U$8&amp;$V$8&amp;A417&amp;$AI$6</f>
        <v>JARINU-FRG790567MQ.GIROFREEZER REV04</v>
      </c>
      <c r="AJ417" s="7" t="str">
        <f>Preencher!$B$3&amp;$U$8&amp;$V$8&amp;A417&amp;$AJ$6</f>
        <v>JARINU-FRG790567MQ.GIROFREEZER (3)</v>
      </c>
      <c r="AK417" s="327">
        <f>IFERROR(SUMIF('BD Otimix'!A:A,'BD VOLUME'!AG417,'BD Otimix'!O:O)+SUMIF('BD Otimix'!A:A,'BD VOLUME'!AH417,'BD Otimix'!O:O)+SUMIF('BD Otimix'!A:A,'BD VOLUME'!AI417,'BD Otimix'!O:O)+SUMIF('BD Otimix'!A:A,'BD VOLUME'!AJ417,'BD Otimix'!O:O)+SUMIF('BD Otimix'!A:A,'BD VOLUME'!AF417,'BD Otimix'!O:O),0)</f>
        <v>0</v>
      </c>
      <c r="AL417" s="7">
        <f t="shared" si="102"/>
        <v>0</v>
      </c>
    </row>
    <row r="418" spans="1:38" s="4" customFormat="1" ht="14.25">
      <c r="A418" s="584">
        <v>790559</v>
      </c>
      <c r="B418" s="584" t="s">
        <v>2104</v>
      </c>
      <c r="C418" s="5" t="s">
        <v>2105</v>
      </c>
      <c r="D418" s="75" t="s">
        <v>867</v>
      </c>
      <c r="E418" s="5" t="s">
        <v>2139</v>
      </c>
      <c r="F418" s="132">
        <f>SUMIF('COLAR PLANO'!$A:$A,A418,'COLAR PLANO'!$D:$D)</f>
        <v>0</v>
      </c>
      <c r="G418" s="131">
        <f t="shared" si="97"/>
        <v>0</v>
      </c>
      <c r="H418" s="6">
        <v>0.217</v>
      </c>
      <c r="I418" s="7">
        <f t="shared" si="98"/>
        <v>0</v>
      </c>
      <c r="J418" s="130">
        <f t="shared" si="99"/>
        <v>0</v>
      </c>
      <c r="K418" s="122">
        <v>15</v>
      </c>
      <c r="L418" s="122">
        <v>1</v>
      </c>
      <c r="M418" s="122">
        <v>15</v>
      </c>
      <c r="N418" s="311">
        <f t="shared" si="100"/>
        <v>0</v>
      </c>
      <c r="O418" s="311"/>
      <c r="P418" s="311"/>
      <c r="Q418" s="311">
        <f>IFERROR(G418/M418,"-")</f>
        <v>0</v>
      </c>
      <c r="R418" s="311"/>
      <c r="S418" s="7"/>
      <c r="T418" s="7"/>
      <c r="U418" s="7" t="s">
        <v>2288</v>
      </c>
      <c r="V418" s="7" t="s">
        <v>2289</v>
      </c>
      <c r="W418" s="7" t="str">
        <f>Preencher!$B$3&amp;U418&amp;V418&amp;A418&amp;$W$6</f>
        <v>JARINU-FRG790559MQ.TUNEL DE CG (CONTINUO)</v>
      </c>
      <c r="X418" s="7" t="str">
        <f>Preencher!$B$3&amp;U418&amp;V418&amp;A418&amp;$X$6</f>
        <v>JARINU-FRG790559MQ.TUNEL DE CG (CONTINUO) (1)</v>
      </c>
      <c r="Y418" s="7" t="str">
        <f>Preencher!$B$3&amp;U418&amp;V418&amp;A418&amp;$Y$6</f>
        <v>JARINU-FRG790559MQ.TUNEL DE CG (CONTINUO) (2)</v>
      </c>
      <c r="Z418" s="7" t="str">
        <f>Preencher!$B$3&amp;U418&amp;V418&amp;A418&amp;$Z$6</f>
        <v>JARINU-FRG790559MQ.TUNEL DE CG (CONTINUO) (3)</v>
      </c>
      <c r="AA418" s="7" t="str">
        <f>Preencher!$B$3&amp;U418&amp;V418&amp;A418&amp;$AA$6</f>
        <v>JARINU-FRG790559MQ.TUNEL DE CG (ESTATICO)</v>
      </c>
      <c r="AB418" s="7" t="str">
        <f>Preencher!$B$3&amp;U418&amp;V418&amp;A418&amp;$AB$6</f>
        <v>JARINU-FRG790559MQ.TUNEL DE CG (ESTATICO) (1)</v>
      </c>
      <c r="AC418" s="7" t="str">
        <f>Preencher!$B$3&amp;U418&amp;V418&amp;A418&amp;$AC$6</f>
        <v>JARINU-FRG790559MQ.TUNEL DE CG (ESTATICO) (2)</v>
      </c>
      <c r="AD418" s="327">
        <f>IFERROR(SUMIF('BD Otimix'!A:A,'BD VOLUME'!X418,'BD Otimix'!O:O)+SUMIF('BD Otimix'!A:A,'BD VOLUME'!Y418,'BD Otimix'!O:O)+SUMIF('BD Otimix'!A:A,'BD VOLUME'!Z418,'BD Otimix'!O:O)+SUMIF('BD Otimix'!A:A,'BD VOLUME'!AA418,'BD Otimix'!O:O)+SUMIF('BD Otimix'!A:A,'BD VOLUME'!AB418,'BD Otimix'!O:O)+SUMIF('BD Otimix'!A:A,'BD VOLUME'!AC418,'BD Otimix'!O:O)+SUMIF('BD Otimix'!A:A,'BD VOLUME'!W418,'BD Otimix'!O:O),0)</f>
        <v>0</v>
      </c>
      <c r="AE418" s="327">
        <f t="shared" si="101"/>
        <v>0</v>
      </c>
      <c r="AF418" s="7" t="str">
        <f>Preencher!$B$3&amp;$U$8&amp;$V$8&amp;A418&amp;$AF$6</f>
        <v>JARINU-FRG790559MQ.GIROFREEZER</v>
      </c>
      <c r="AG418" s="7" t="str">
        <f>Preencher!$B$3&amp;$U$8&amp;$V$8&amp;A418&amp;$AG$6</f>
        <v>JARINU-FRG790559MQ.GIROFREEZER (1)</v>
      </c>
      <c r="AH418" s="7" t="str">
        <f>Preencher!$B$3&amp;$U$8&amp;$V$8&amp;A418&amp;$AH$6</f>
        <v>JARINU-FRG790559MQ.GIROFREEZER (2)</v>
      </c>
      <c r="AI418" s="7" t="str">
        <f>Preencher!$B$3&amp;$U$8&amp;$V$8&amp;A418&amp;$AI$6</f>
        <v>JARINU-FRG790559MQ.GIROFREEZER REV04</v>
      </c>
      <c r="AJ418" s="7" t="str">
        <f>Preencher!$B$3&amp;$U$8&amp;$V$8&amp;A418&amp;$AJ$6</f>
        <v>JARINU-FRG790559MQ.GIROFREEZER (3)</v>
      </c>
      <c r="AK418" s="327">
        <f>IFERROR(SUMIF('BD Otimix'!A:A,'BD VOLUME'!AG418,'BD Otimix'!O:O)+SUMIF('BD Otimix'!A:A,'BD VOLUME'!AH418,'BD Otimix'!O:O)+SUMIF('BD Otimix'!A:A,'BD VOLUME'!AI418,'BD Otimix'!O:O)+SUMIF('BD Otimix'!A:A,'BD VOLUME'!AJ418,'BD Otimix'!O:O)+SUMIF('BD Otimix'!A:A,'BD VOLUME'!AF418,'BD Otimix'!O:O),0)</f>
        <v>0</v>
      </c>
      <c r="AL418" s="7">
        <f t="shared" si="102"/>
        <v>0</v>
      </c>
    </row>
    <row r="419" spans="1:38" s="4" customFormat="1" ht="14.25">
      <c r="A419" s="584">
        <v>977365</v>
      </c>
      <c r="B419" s="584" t="s">
        <v>2395</v>
      </c>
      <c r="C419" s="5" t="s">
        <v>2396</v>
      </c>
      <c r="D419" s="75" t="s">
        <v>867</v>
      </c>
      <c r="E419" s="5" t="s">
        <v>1505</v>
      </c>
      <c r="F419" s="132">
        <f>SUMIF('COLAR PLANO'!$A:$A,A419,'COLAR PLANO'!$D:$D)</f>
        <v>0</v>
      </c>
      <c r="G419" s="131">
        <f t="shared" si="97"/>
        <v>0</v>
      </c>
      <c r="H419" s="6">
        <v>0.217</v>
      </c>
      <c r="I419" s="7">
        <f t="shared" si="98"/>
        <v>0</v>
      </c>
      <c r="J419" s="130">
        <f t="shared" si="99"/>
        <v>0</v>
      </c>
      <c r="K419" s="122">
        <v>15</v>
      </c>
      <c r="L419" s="122">
        <v>1</v>
      </c>
      <c r="M419" s="122">
        <v>15</v>
      </c>
      <c r="N419" s="311">
        <f t="shared" si="100"/>
        <v>0</v>
      </c>
      <c r="O419" s="311"/>
      <c r="P419" s="311"/>
      <c r="Q419" s="311">
        <f>IFERROR(G419/M419,"-")</f>
        <v>0</v>
      </c>
      <c r="R419" s="311"/>
      <c r="S419" s="7"/>
      <c r="T419" s="7"/>
      <c r="U419" s="7" t="s">
        <v>2288</v>
      </c>
      <c r="V419" s="7" t="s">
        <v>2289</v>
      </c>
      <c r="W419" s="7" t="str">
        <f>Preencher!$B$3&amp;U419&amp;V419&amp;A419&amp;$W$6</f>
        <v>JARINU-FRG977365MQ.TUNEL DE CG (CONTINUO)</v>
      </c>
      <c r="X419" s="7" t="str">
        <f>Preencher!$B$3&amp;U419&amp;V419&amp;A419&amp;$X$6</f>
        <v>JARINU-FRG977365MQ.TUNEL DE CG (CONTINUO) (1)</v>
      </c>
      <c r="Y419" s="7" t="str">
        <f>Preencher!$B$3&amp;U419&amp;V419&amp;A419&amp;$Y$6</f>
        <v>JARINU-FRG977365MQ.TUNEL DE CG (CONTINUO) (2)</v>
      </c>
      <c r="Z419" s="7" t="str">
        <f>Preencher!$B$3&amp;U419&amp;V419&amp;A419&amp;$Z$6</f>
        <v>JARINU-FRG977365MQ.TUNEL DE CG (CONTINUO) (3)</v>
      </c>
      <c r="AA419" s="7" t="str">
        <f>Preencher!$B$3&amp;U419&amp;V419&amp;A419&amp;$AA$6</f>
        <v>JARINU-FRG977365MQ.TUNEL DE CG (ESTATICO)</v>
      </c>
      <c r="AB419" s="7" t="str">
        <f>Preencher!$B$3&amp;U419&amp;V419&amp;A419&amp;$AB$6</f>
        <v>JARINU-FRG977365MQ.TUNEL DE CG (ESTATICO) (1)</v>
      </c>
      <c r="AC419" s="7" t="str">
        <f>Preencher!$B$3&amp;U419&amp;V419&amp;A419&amp;$AC$6</f>
        <v>JARINU-FRG977365MQ.TUNEL DE CG (ESTATICO) (2)</v>
      </c>
      <c r="AD419" s="327">
        <f>IFERROR(SUMIF('BD Otimix'!A:A,'BD VOLUME'!X419,'BD Otimix'!O:O)+SUMIF('BD Otimix'!A:A,'BD VOLUME'!Y419,'BD Otimix'!O:O)+SUMIF('BD Otimix'!A:A,'BD VOLUME'!Z419,'BD Otimix'!O:O)+SUMIF('BD Otimix'!A:A,'BD VOLUME'!AA419,'BD Otimix'!O:O)+SUMIF('BD Otimix'!A:A,'BD VOLUME'!AB419,'BD Otimix'!O:O)+SUMIF('BD Otimix'!A:A,'BD VOLUME'!AC419,'BD Otimix'!O:O)+SUMIF('BD Otimix'!A:A,'BD VOLUME'!W419,'BD Otimix'!O:O),0)</f>
        <v>0</v>
      </c>
      <c r="AE419" s="327">
        <f t="shared" si="101"/>
        <v>0</v>
      </c>
      <c r="AF419" s="7" t="str">
        <f>Preencher!$B$3&amp;$U$8&amp;$V$8&amp;A419&amp;$AF$6</f>
        <v>JARINU-FRG977365MQ.GIROFREEZER</v>
      </c>
      <c r="AG419" s="7" t="str">
        <f>Preencher!$B$3&amp;$U$8&amp;$V$8&amp;A419&amp;$AG$6</f>
        <v>JARINU-FRG977365MQ.GIROFREEZER (1)</v>
      </c>
      <c r="AH419" s="7" t="str">
        <f>Preencher!$B$3&amp;$U$8&amp;$V$8&amp;A419&amp;$AH$6</f>
        <v>JARINU-FRG977365MQ.GIROFREEZER (2)</v>
      </c>
      <c r="AI419" s="7" t="str">
        <f>Preencher!$B$3&amp;$U$8&amp;$V$8&amp;A419&amp;$AI$6</f>
        <v>JARINU-FRG977365MQ.GIROFREEZER REV04</v>
      </c>
      <c r="AJ419" s="7" t="str">
        <f>Preencher!$B$3&amp;$U$8&amp;$V$8&amp;A419&amp;$AJ$6</f>
        <v>JARINU-FRG977365MQ.GIROFREEZER (3)</v>
      </c>
      <c r="AK419" s="327">
        <f>IFERROR(SUMIF('BD Otimix'!A:A,'BD VOLUME'!AG419,'BD Otimix'!O:O)+SUMIF('BD Otimix'!A:A,'BD VOLUME'!AH419,'BD Otimix'!O:O)+SUMIF('BD Otimix'!A:A,'BD VOLUME'!AI419,'BD Otimix'!O:O)+SUMIF('BD Otimix'!A:A,'BD VOLUME'!AJ419,'BD Otimix'!O:O)+SUMIF('BD Otimix'!A:A,'BD VOLUME'!AF419,'BD Otimix'!O:O),0)</f>
        <v>0</v>
      </c>
      <c r="AL419" s="7">
        <f t="shared" si="102"/>
        <v>0</v>
      </c>
    </row>
    <row r="420" spans="1:38" s="4" customFormat="1" ht="14.25">
      <c r="A420" s="710">
        <v>47287</v>
      </c>
      <c r="B420" s="710" t="s">
        <v>2673</v>
      </c>
      <c r="C420" s="5" t="s">
        <v>2674</v>
      </c>
      <c r="D420" s="75" t="s">
        <v>867</v>
      </c>
      <c r="E420" s="5" t="s">
        <v>1484</v>
      </c>
      <c r="F420" s="132">
        <f>SUMIF('COLAR PLANO'!$A:$A,A420,'COLAR PLANO'!$D:$D)</f>
        <v>0</v>
      </c>
      <c r="G420" s="131">
        <f t="shared" si="97"/>
        <v>0</v>
      </c>
      <c r="H420" s="6">
        <v>0.217</v>
      </c>
      <c r="I420" s="7">
        <f t="shared" si="98"/>
        <v>0</v>
      </c>
      <c r="J420" s="130">
        <f t="shared" si="99"/>
        <v>0</v>
      </c>
      <c r="K420" s="122">
        <v>7.5</v>
      </c>
      <c r="L420" s="122">
        <v>2</v>
      </c>
      <c r="M420" s="122">
        <v>15</v>
      </c>
      <c r="N420" s="311">
        <f t="shared" si="100"/>
        <v>0</v>
      </c>
      <c r="O420" s="311"/>
      <c r="P420" s="311">
        <f>IFERROR(G420/M420,"-")</f>
        <v>0</v>
      </c>
      <c r="Q420" s="311"/>
      <c r="R420" s="311"/>
      <c r="S420" s="7"/>
      <c r="T420" s="7"/>
      <c r="U420" s="7" t="s">
        <v>2288</v>
      </c>
      <c r="V420" s="7" t="s">
        <v>2289</v>
      </c>
      <c r="W420" s="7" t="str">
        <f>Preencher!$B$3&amp;U420&amp;V420&amp;A420&amp;$W$6</f>
        <v>JARINU-FRG47287MQ.TUNEL DE CG (CONTINUO)</v>
      </c>
      <c r="X420" s="7" t="str">
        <f>Preencher!$B$3&amp;U420&amp;V420&amp;A420&amp;$X$6</f>
        <v>JARINU-FRG47287MQ.TUNEL DE CG (CONTINUO) (1)</v>
      </c>
      <c r="Y420" s="7" t="str">
        <f>Preencher!$B$3&amp;U420&amp;V420&amp;A420&amp;$Y$6</f>
        <v>JARINU-FRG47287MQ.TUNEL DE CG (CONTINUO) (2)</v>
      </c>
      <c r="Z420" s="7" t="str">
        <f>Preencher!$B$3&amp;U420&amp;V420&amp;A420&amp;$Z$6</f>
        <v>JARINU-FRG47287MQ.TUNEL DE CG (CONTINUO) (3)</v>
      </c>
      <c r="AA420" s="7" t="str">
        <f>Preencher!$B$3&amp;U420&amp;V420&amp;A420&amp;$AA$6</f>
        <v>JARINU-FRG47287MQ.TUNEL DE CG (ESTATICO)</v>
      </c>
      <c r="AB420" s="7" t="str">
        <f>Preencher!$B$3&amp;U420&amp;V420&amp;A420&amp;$AB$6</f>
        <v>JARINU-FRG47287MQ.TUNEL DE CG (ESTATICO) (1)</v>
      </c>
      <c r="AC420" s="7" t="str">
        <f>Preencher!$B$3&amp;U420&amp;V420&amp;A420&amp;$AC$6</f>
        <v>JARINU-FRG47287MQ.TUNEL DE CG (ESTATICO) (2)</v>
      </c>
      <c r="AD420" s="327">
        <f>IFERROR(SUMIF('BD Otimix'!A:A,'BD VOLUME'!X420,'BD Otimix'!O:O)+SUMIF('BD Otimix'!A:A,'BD VOLUME'!Y420,'BD Otimix'!O:O)+SUMIF('BD Otimix'!A:A,'BD VOLUME'!Z420,'BD Otimix'!O:O)+SUMIF('BD Otimix'!A:A,'BD VOLUME'!AA420,'BD Otimix'!O:O)+SUMIF('BD Otimix'!A:A,'BD VOLUME'!AB420,'BD Otimix'!O:O)+SUMIF('BD Otimix'!A:A,'BD VOLUME'!AC420,'BD Otimix'!O:O)+SUMIF('BD Otimix'!A:A,'BD VOLUME'!W420,'BD Otimix'!O:O),0)</f>
        <v>0</v>
      </c>
      <c r="AE420" s="327">
        <f t="shared" si="101"/>
        <v>0</v>
      </c>
      <c r="AF420" s="7" t="str">
        <f>Preencher!$B$3&amp;$U$8&amp;$V$8&amp;A420&amp;$AF$6</f>
        <v>JARINU-FRG47287MQ.GIROFREEZER</v>
      </c>
      <c r="AG420" s="7" t="str">
        <f>Preencher!$B$3&amp;$U$8&amp;$V$8&amp;A420&amp;$AG$6</f>
        <v>JARINU-FRG47287MQ.GIROFREEZER (1)</v>
      </c>
      <c r="AH420" s="7" t="str">
        <f>Preencher!$B$3&amp;$U$8&amp;$V$8&amp;A420&amp;$AH$6</f>
        <v>JARINU-FRG47287MQ.GIROFREEZER (2)</v>
      </c>
      <c r="AI420" s="7" t="str">
        <f>Preencher!$B$3&amp;$U$8&amp;$V$8&amp;A420&amp;$AI$6</f>
        <v>JARINU-FRG47287MQ.GIROFREEZER REV04</v>
      </c>
      <c r="AJ420" s="7" t="str">
        <f>Preencher!$B$3&amp;$U$8&amp;$V$8&amp;A420&amp;$AJ$6</f>
        <v>JARINU-FRG47287MQ.GIROFREEZER (3)</v>
      </c>
      <c r="AK420" s="327">
        <f>IFERROR(SUMIF('BD Otimix'!A:A,'BD VOLUME'!AG420,'BD Otimix'!O:O)+SUMIF('BD Otimix'!A:A,'BD VOLUME'!AH420,'BD Otimix'!O:O)+SUMIF('BD Otimix'!A:A,'BD VOLUME'!AI420,'BD Otimix'!O:O)+SUMIF('BD Otimix'!A:A,'BD VOLUME'!AJ420,'BD Otimix'!O:O)+SUMIF('BD Otimix'!A:A,'BD VOLUME'!AF420,'BD Otimix'!O:O),0)</f>
        <v>0</v>
      </c>
      <c r="AL420" s="7">
        <f t="shared" si="102"/>
        <v>0</v>
      </c>
    </row>
    <row r="421" spans="1:38" s="4" customFormat="1" ht="14.25">
      <c r="A421" s="710">
        <v>10634</v>
      </c>
      <c r="B421" s="710" t="s">
        <v>2675</v>
      </c>
      <c r="C421" s="5" t="s">
        <v>1460</v>
      </c>
      <c r="D421" s="5" t="s">
        <v>867</v>
      </c>
      <c r="E421" s="5" t="s">
        <v>2389</v>
      </c>
      <c r="F421" s="132">
        <f>SUMIF('COLAR PLANO'!$A:$A,A421,'COLAR PLANO'!$D:$D)</f>
        <v>0</v>
      </c>
      <c r="G421" s="131">
        <f t="shared" ref="G421:G427" si="103">IFERROR(F421/($E$3*$C$3),0)</f>
        <v>0</v>
      </c>
      <c r="H421" s="6">
        <v>0.217</v>
      </c>
      <c r="I421" s="7">
        <f t="shared" ref="I421:I427" si="104">IFERROR(G421/$D$3/H421,0)</f>
        <v>0</v>
      </c>
      <c r="J421" s="130">
        <f t="shared" si="99"/>
        <v>0</v>
      </c>
      <c r="K421" s="122">
        <v>20</v>
      </c>
      <c r="L421" s="122">
        <v>1</v>
      </c>
      <c r="M421" s="122">
        <v>20</v>
      </c>
      <c r="N421" s="311">
        <f t="shared" ref="N421:N427" si="105">IFERROR(G421/K421,"-")</f>
        <v>0</v>
      </c>
      <c r="O421" s="311"/>
      <c r="P421" s="311"/>
      <c r="Q421" s="311"/>
      <c r="R421" s="311"/>
      <c r="S421" s="311">
        <f>IFERROR(G421/M421,"-")</f>
        <v>0</v>
      </c>
      <c r="T421" s="7"/>
      <c r="U421" s="7" t="s">
        <v>2288</v>
      </c>
      <c r="V421" s="7" t="s">
        <v>2289</v>
      </c>
      <c r="W421" s="7" t="str">
        <f>Preencher!$B$3&amp;U421&amp;V421&amp;A421&amp;$W$6</f>
        <v>JARINU-FRG10634MQ.TUNEL DE CG (CONTINUO)</v>
      </c>
      <c r="X421" s="7" t="str">
        <f>Preencher!$B$3&amp;U421&amp;V421&amp;A421&amp;$X$6</f>
        <v>JARINU-FRG10634MQ.TUNEL DE CG (CONTINUO) (1)</v>
      </c>
      <c r="Y421" s="7" t="str">
        <f>Preencher!$B$3&amp;U421&amp;V421&amp;A421&amp;$Y$6</f>
        <v>JARINU-FRG10634MQ.TUNEL DE CG (CONTINUO) (2)</v>
      </c>
      <c r="Z421" s="7" t="str">
        <f>Preencher!$B$3&amp;U421&amp;V421&amp;A421&amp;$Z$6</f>
        <v>JARINU-FRG10634MQ.TUNEL DE CG (CONTINUO) (3)</v>
      </c>
      <c r="AA421" s="7" t="str">
        <f>Preencher!$B$3&amp;U421&amp;V421&amp;A421&amp;$AA$6</f>
        <v>JARINU-FRG10634MQ.TUNEL DE CG (ESTATICO)</v>
      </c>
      <c r="AB421" s="7" t="str">
        <f>Preencher!$B$3&amp;U421&amp;V421&amp;A421&amp;$AB$6</f>
        <v>JARINU-FRG10634MQ.TUNEL DE CG (ESTATICO) (1)</v>
      </c>
      <c r="AC421" s="7" t="str">
        <f>Preencher!$B$3&amp;U421&amp;V421&amp;A421&amp;$AC$6</f>
        <v>JARINU-FRG10634MQ.TUNEL DE CG (ESTATICO) (2)</v>
      </c>
      <c r="AD421" s="327">
        <f>IFERROR(SUMIF('BD Otimix'!A:A,'BD VOLUME'!X421,'BD Otimix'!O:O)+SUMIF('BD Otimix'!A:A,'BD VOLUME'!Y421,'BD Otimix'!O:O)+SUMIF('BD Otimix'!A:A,'BD VOLUME'!Z421,'BD Otimix'!O:O)+SUMIF('BD Otimix'!A:A,'BD VOLUME'!AA421,'BD Otimix'!O:O)+SUMIF('BD Otimix'!A:A,'BD VOLUME'!AB421,'BD Otimix'!O:O)+SUMIF('BD Otimix'!A:A,'BD VOLUME'!AC421,'BD Otimix'!O:O)+SUMIF('BD Otimix'!A:A,'BD VOLUME'!W421,'BD Otimix'!O:O),0)</f>
        <v>0</v>
      </c>
      <c r="AE421" s="327">
        <f t="shared" si="101"/>
        <v>0</v>
      </c>
      <c r="AF421" s="7" t="str">
        <f>Preencher!$B$3&amp;$U$8&amp;$V$8&amp;A421&amp;$AF$6</f>
        <v>JARINU-FRG10634MQ.GIROFREEZER</v>
      </c>
      <c r="AG421" s="7" t="str">
        <f>Preencher!$B$3&amp;$U$8&amp;$V$8&amp;A421&amp;$AG$6</f>
        <v>JARINU-FRG10634MQ.GIROFREEZER (1)</v>
      </c>
      <c r="AH421" s="7" t="str">
        <f>Preencher!$B$3&amp;$U$8&amp;$V$8&amp;A421&amp;$AH$6</f>
        <v>JARINU-FRG10634MQ.GIROFREEZER (2)</v>
      </c>
      <c r="AI421" s="7" t="str">
        <f>Preencher!$B$3&amp;$U$8&amp;$V$8&amp;A421&amp;$AI$6</f>
        <v>JARINU-FRG10634MQ.GIROFREEZER REV04</v>
      </c>
      <c r="AJ421" s="7" t="str">
        <f>Preencher!$B$3&amp;$U$8&amp;$V$8&amp;A421&amp;$AJ$6</f>
        <v>JARINU-FRG10634MQ.GIROFREEZER (3)</v>
      </c>
      <c r="AK421" s="327">
        <f>IFERROR(SUMIF('BD Otimix'!A:A,'BD VOLUME'!AG421,'BD Otimix'!O:O)+SUMIF('BD Otimix'!A:A,'BD VOLUME'!AH421,'BD Otimix'!O:O)+SUMIF('BD Otimix'!A:A,'BD VOLUME'!AI421,'BD Otimix'!O:O)+SUMIF('BD Otimix'!A:A,'BD VOLUME'!AJ421,'BD Otimix'!O:O)+SUMIF('BD Otimix'!A:A,'BD VOLUME'!AF421,'BD Otimix'!O:O),0)</f>
        <v>0</v>
      </c>
      <c r="AL421" s="7">
        <f t="shared" si="102"/>
        <v>0</v>
      </c>
    </row>
    <row r="422" spans="1:38" s="4" customFormat="1" ht="14.25">
      <c r="A422" s="710">
        <v>12785</v>
      </c>
      <c r="B422" s="710"/>
      <c r="C422" s="5" t="s">
        <v>2676</v>
      </c>
      <c r="D422" s="5" t="s">
        <v>867</v>
      </c>
      <c r="E422" s="5" t="s">
        <v>1524</v>
      </c>
      <c r="F422" s="132">
        <f>SUMIF('COLAR PLANO'!$A:$A,A422,'COLAR PLANO'!$D:$D)</f>
        <v>0</v>
      </c>
      <c r="G422" s="131">
        <f t="shared" si="103"/>
        <v>0</v>
      </c>
      <c r="H422" s="6">
        <v>7.2280701754385959E-2</v>
      </c>
      <c r="I422" s="7">
        <f t="shared" si="104"/>
        <v>0</v>
      </c>
      <c r="J422" s="130">
        <f t="shared" si="99"/>
        <v>0</v>
      </c>
      <c r="K422" s="122">
        <v>10</v>
      </c>
      <c r="L422" s="122">
        <v>1</v>
      </c>
      <c r="M422" s="122">
        <v>10</v>
      </c>
      <c r="N422" s="311">
        <f t="shared" si="105"/>
        <v>0</v>
      </c>
      <c r="O422" s="311"/>
      <c r="P422" s="311"/>
      <c r="Q422" s="311">
        <f>IFERROR(G422/M422,"-")</f>
        <v>0</v>
      </c>
      <c r="R422" s="311"/>
      <c r="S422" s="7"/>
      <c r="T422" s="7"/>
      <c r="U422" s="7" t="s">
        <v>2288</v>
      </c>
      <c r="V422" s="7" t="s">
        <v>2289</v>
      </c>
      <c r="W422" s="7" t="str">
        <f>Preencher!$B$3&amp;U422&amp;V422&amp;A422&amp;$W$6</f>
        <v>JARINU-FRG12785MQ.TUNEL DE CG (CONTINUO)</v>
      </c>
      <c r="X422" s="7" t="str">
        <f>Preencher!$B$3&amp;U422&amp;V422&amp;A422&amp;$X$6</f>
        <v>JARINU-FRG12785MQ.TUNEL DE CG (CONTINUO) (1)</v>
      </c>
      <c r="Y422" s="7" t="str">
        <f>Preencher!$B$3&amp;U422&amp;V422&amp;A422&amp;$Y$6</f>
        <v>JARINU-FRG12785MQ.TUNEL DE CG (CONTINUO) (2)</v>
      </c>
      <c r="Z422" s="7" t="str">
        <f>Preencher!$B$3&amp;U422&amp;V422&amp;A422&amp;$Z$6</f>
        <v>JARINU-FRG12785MQ.TUNEL DE CG (CONTINUO) (3)</v>
      </c>
      <c r="AA422" s="7" t="str">
        <f>Preencher!$B$3&amp;U422&amp;V422&amp;A422&amp;$AA$6</f>
        <v>JARINU-FRG12785MQ.TUNEL DE CG (ESTATICO)</v>
      </c>
      <c r="AB422" s="7" t="str">
        <f>Preencher!$B$3&amp;U422&amp;V422&amp;A422&amp;$AB$6</f>
        <v>JARINU-FRG12785MQ.TUNEL DE CG (ESTATICO) (1)</v>
      </c>
      <c r="AC422" s="7" t="str">
        <f>Preencher!$B$3&amp;U422&amp;V422&amp;A422&amp;$AC$6</f>
        <v>JARINU-FRG12785MQ.TUNEL DE CG (ESTATICO) (2)</v>
      </c>
      <c r="AD422" s="327">
        <f>IFERROR(SUMIF('BD Otimix'!A:A,'BD VOLUME'!X422,'BD Otimix'!O:O)+SUMIF('BD Otimix'!A:A,'BD VOLUME'!Y422,'BD Otimix'!O:O)+SUMIF('BD Otimix'!A:A,'BD VOLUME'!Z422,'BD Otimix'!O:O)+SUMIF('BD Otimix'!A:A,'BD VOLUME'!AA422,'BD Otimix'!O:O)+SUMIF('BD Otimix'!A:A,'BD VOLUME'!AB422,'BD Otimix'!O:O)+SUMIF('BD Otimix'!A:A,'BD VOLUME'!AC422,'BD Otimix'!O:O)+SUMIF('BD Otimix'!A:A,'BD VOLUME'!W422,'BD Otimix'!O:O),0)</f>
        <v>0</v>
      </c>
      <c r="AE422" s="327">
        <f t="shared" si="101"/>
        <v>0</v>
      </c>
      <c r="AF422" s="7" t="str">
        <f>Preencher!$B$3&amp;$U$8&amp;$V$8&amp;A422&amp;$AF$6</f>
        <v>JARINU-FRG12785MQ.GIROFREEZER</v>
      </c>
      <c r="AG422" s="7" t="str">
        <f>Preencher!$B$3&amp;$U$8&amp;$V$8&amp;A422&amp;$AG$6</f>
        <v>JARINU-FRG12785MQ.GIROFREEZER (1)</v>
      </c>
      <c r="AH422" s="7" t="str">
        <f>Preencher!$B$3&amp;$U$8&amp;$V$8&amp;A422&amp;$AH$6</f>
        <v>JARINU-FRG12785MQ.GIROFREEZER (2)</v>
      </c>
      <c r="AI422" s="7" t="str">
        <f>Preencher!$B$3&amp;$U$8&amp;$V$8&amp;A422&amp;$AI$6</f>
        <v>JARINU-FRG12785MQ.GIROFREEZER REV04</v>
      </c>
      <c r="AJ422" s="7" t="str">
        <f>Preencher!$B$3&amp;$U$8&amp;$V$8&amp;A422&amp;$AJ$6</f>
        <v>JARINU-FRG12785MQ.GIROFREEZER (3)</v>
      </c>
      <c r="AK422" s="327">
        <f>IFERROR(SUMIF('BD Otimix'!A:A,'BD VOLUME'!AG422,'BD Otimix'!O:O)+SUMIF('BD Otimix'!A:A,'BD VOLUME'!AH422,'BD Otimix'!O:O)+SUMIF('BD Otimix'!A:A,'BD VOLUME'!AI422,'BD Otimix'!O:O)+SUMIF('BD Otimix'!A:A,'BD VOLUME'!AJ422,'BD Otimix'!O:O)+SUMIF('BD Otimix'!A:A,'BD VOLUME'!AF422,'BD Otimix'!O:O),0)</f>
        <v>0</v>
      </c>
      <c r="AL422" s="7">
        <f t="shared" si="102"/>
        <v>0</v>
      </c>
    </row>
    <row r="423" spans="1:38" s="4" customFormat="1" ht="14.25">
      <c r="A423" s="710">
        <v>236749</v>
      </c>
      <c r="B423" s="710"/>
      <c r="C423" s="5" t="s">
        <v>3039</v>
      </c>
      <c r="D423" s="75" t="s">
        <v>867</v>
      </c>
      <c r="E423" s="5" t="s">
        <v>1482</v>
      </c>
      <c r="F423" s="132">
        <f>SUMIF('COLAR PLANO'!$A:$A,A423,'COLAR PLANO'!$D:$D)</f>
        <v>0</v>
      </c>
      <c r="G423" s="131">
        <f>IFERROR(F423/($E$3*$C$3),0)</f>
        <v>0</v>
      </c>
      <c r="H423" s="6">
        <v>0.21679999999999999</v>
      </c>
      <c r="I423" s="7">
        <f>IFERROR(G423/$D$3/H423,0)</f>
        <v>0</v>
      </c>
      <c r="J423" s="130">
        <f t="shared" si="99"/>
        <v>0</v>
      </c>
      <c r="K423" s="122">
        <v>2.5</v>
      </c>
      <c r="L423" s="122">
        <v>4</v>
      </c>
      <c r="M423" s="122">
        <v>10</v>
      </c>
      <c r="N423" s="311">
        <f>IFERROR(G423/K423,"-")</f>
        <v>0</v>
      </c>
      <c r="O423" s="311"/>
      <c r="P423" s="311">
        <f>IFERROR(G423/M423,"-")</f>
        <v>0</v>
      </c>
      <c r="Q423" s="311"/>
      <c r="R423" s="311"/>
      <c r="S423" s="7"/>
      <c r="T423" s="7"/>
      <c r="U423" s="7" t="s">
        <v>2288</v>
      </c>
      <c r="V423" s="7" t="s">
        <v>2289</v>
      </c>
      <c r="W423" s="7" t="str">
        <f>Preencher!$B$3&amp;U423&amp;V423&amp;A423&amp;$W$6</f>
        <v>JARINU-FRG236749MQ.TUNEL DE CG (CONTINUO)</v>
      </c>
      <c r="X423" s="7" t="str">
        <f>Preencher!$B$3&amp;U423&amp;V423&amp;A423&amp;$X$6</f>
        <v>JARINU-FRG236749MQ.TUNEL DE CG (CONTINUO) (1)</v>
      </c>
      <c r="Y423" s="7" t="str">
        <f>Preencher!$B$3&amp;U423&amp;V423&amp;A423&amp;$Y$6</f>
        <v>JARINU-FRG236749MQ.TUNEL DE CG (CONTINUO) (2)</v>
      </c>
      <c r="Z423" s="7" t="str">
        <f>Preencher!$B$3&amp;U423&amp;V423&amp;A423&amp;$Z$6</f>
        <v>JARINU-FRG236749MQ.TUNEL DE CG (CONTINUO) (3)</v>
      </c>
      <c r="AA423" s="7" t="str">
        <f>Preencher!$B$3&amp;U423&amp;V423&amp;A423&amp;$AA$6</f>
        <v>JARINU-FRG236749MQ.TUNEL DE CG (ESTATICO)</v>
      </c>
      <c r="AB423" s="7" t="str">
        <f>Preencher!$B$3&amp;U423&amp;V423&amp;A423&amp;$AB$6</f>
        <v>JARINU-FRG236749MQ.TUNEL DE CG (ESTATICO) (1)</v>
      </c>
      <c r="AC423" s="7" t="str">
        <f>Preencher!$B$3&amp;U423&amp;V423&amp;A423&amp;$AC$6</f>
        <v>JARINU-FRG236749MQ.TUNEL DE CG (ESTATICO) (2)</v>
      </c>
      <c r="AD423" s="327">
        <f>IFERROR(SUMIF('BD Otimix'!A:A,'BD VOLUME'!X423,'BD Otimix'!O:O)+SUMIF('BD Otimix'!A:A,'BD VOLUME'!Y423,'BD Otimix'!O:O)+SUMIF('BD Otimix'!A:A,'BD VOLUME'!Z423,'BD Otimix'!O:O)+SUMIF('BD Otimix'!A:A,'BD VOLUME'!AA423,'BD Otimix'!O:O)+SUMIF('BD Otimix'!A:A,'BD VOLUME'!AB423,'BD Otimix'!O:O)+SUMIF('BD Otimix'!A:A,'BD VOLUME'!AC423,'BD Otimix'!O:O)+SUMIF('BD Otimix'!A:A,'BD VOLUME'!W423,'BD Otimix'!O:O),0)</f>
        <v>0</v>
      </c>
      <c r="AE423" s="327">
        <f t="shared" si="101"/>
        <v>0</v>
      </c>
      <c r="AF423" s="7" t="str">
        <f>Preencher!$B$3&amp;$U$8&amp;$V$8&amp;A423&amp;$AF$6</f>
        <v>JARINU-FRG236749MQ.GIROFREEZER</v>
      </c>
      <c r="AG423" s="7" t="str">
        <f>Preencher!$B$3&amp;$U$8&amp;$V$8&amp;A423&amp;$AG$6</f>
        <v>JARINU-FRG236749MQ.GIROFREEZER (1)</v>
      </c>
      <c r="AH423" s="7" t="str">
        <f>Preencher!$B$3&amp;$U$8&amp;$V$8&amp;A423&amp;$AH$6</f>
        <v>JARINU-FRG236749MQ.GIROFREEZER (2)</v>
      </c>
      <c r="AI423" s="7" t="str">
        <f>Preencher!$B$3&amp;$U$8&amp;$V$8&amp;A423&amp;$AI$6</f>
        <v>JARINU-FRG236749MQ.GIROFREEZER REV04</v>
      </c>
      <c r="AJ423" s="7" t="str">
        <f>Preencher!$B$3&amp;$U$8&amp;$V$8&amp;A423&amp;$AJ$6</f>
        <v>JARINU-FRG236749MQ.GIROFREEZER (3)</v>
      </c>
      <c r="AK423" s="327">
        <f>IFERROR(SUMIF('BD Otimix'!A:A,'BD VOLUME'!AG423,'BD Otimix'!O:O)+SUMIF('BD Otimix'!A:A,'BD VOLUME'!AH423,'BD Otimix'!O:O)+SUMIF('BD Otimix'!A:A,'BD VOLUME'!AI423,'BD Otimix'!O:O)+SUMIF('BD Otimix'!A:A,'BD VOLUME'!AJ423,'BD Otimix'!O:O)+SUMIF('BD Otimix'!A:A,'BD VOLUME'!AF423,'BD Otimix'!O:O),0)</f>
        <v>0</v>
      </c>
      <c r="AL423" s="7">
        <f t="shared" si="102"/>
        <v>0</v>
      </c>
    </row>
    <row r="424" spans="1:38" s="4" customFormat="1" ht="14.25">
      <c r="A424" s="710">
        <v>234459</v>
      </c>
      <c r="B424" s="710"/>
      <c r="C424" s="5" t="s">
        <v>1089</v>
      </c>
      <c r="D424" s="5" t="s">
        <v>867</v>
      </c>
      <c r="E424" s="5" t="s">
        <v>1524</v>
      </c>
      <c r="F424" s="132">
        <f>SUMIF('COLAR PLANO'!$A:$A,A424,'COLAR PLANO'!$D:$D)</f>
        <v>0</v>
      </c>
      <c r="G424" s="131">
        <f t="shared" si="103"/>
        <v>0</v>
      </c>
      <c r="H424" s="6">
        <v>7.2280701754385959E-2</v>
      </c>
      <c r="I424" s="7">
        <f t="shared" si="104"/>
        <v>0</v>
      </c>
      <c r="J424" s="130">
        <f>IFERROR(I424/$B$306,0)</f>
        <v>0</v>
      </c>
      <c r="K424" s="122">
        <v>10</v>
      </c>
      <c r="L424" s="122">
        <v>1</v>
      </c>
      <c r="M424" s="122">
        <v>10</v>
      </c>
      <c r="N424" s="311">
        <f t="shared" si="105"/>
        <v>0</v>
      </c>
      <c r="O424" s="311"/>
      <c r="P424" s="311"/>
      <c r="Q424" s="311">
        <f>IFERROR(G424/M424,"-")</f>
        <v>0</v>
      </c>
      <c r="R424" s="311"/>
      <c r="S424" s="7"/>
      <c r="T424" s="7"/>
      <c r="U424" s="7" t="s">
        <v>2288</v>
      </c>
      <c r="V424" s="7" t="s">
        <v>2289</v>
      </c>
      <c r="W424" s="7" t="str">
        <f>Preencher!$B$3&amp;U424&amp;V424&amp;A424&amp;$W$6</f>
        <v>JARINU-FRG234459MQ.TUNEL DE CG (CONTINUO)</v>
      </c>
      <c r="X424" s="7" t="str">
        <f>Preencher!$B$3&amp;U424&amp;V424&amp;A424&amp;$X$6</f>
        <v>JARINU-FRG234459MQ.TUNEL DE CG (CONTINUO) (1)</v>
      </c>
      <c r="Y424" s="7" t="str">
        <f>Preencher!$B$3&amp;U424&amp;V424&amp;A424&amp;$Y$6</f>
        <v>JARINU-FRG234459MQ.TUNEL DE CG (CONTINUO) (2)</v>
      </c>
      <c r="Z424" s="7" t="str">
        <f>Preencher!$B$3&amp;U424&amp;V424&amp;A424&amp;$Z$6</f>
        <v>JARINU-FRG234459MQ.TUNEL DE CG (CONTINUO) (3)</v>
      </c>
      <c r="AA424" s="7" t="str">
        <f>Preencher!$B$3&amp;U424&amp;V424&amp;A424&amp;$AA$6</f>
        <v>JARINU-FRG234459MQ.TUNEL DE CG (ESTATICO)</v>
      </c>
      <c r="AB424" s="7" t="str">
        <f>Preencher!$B$3&amp;U424&amp;V424&amp;A424&amp;$AB$6</f>
        <v>JARINU-FRG234459MQ.TUNEL DE CG (ESTATICO) (1)</v>
      </c>
      <c r="AC424" s="7" t="str">
        <f>Preencher!$B$3&amp;U424&amp;V424&amp;A424&amp;$AC$6</f>
        <v>JARINU-FRG234459MQ.TUNEL DE CG (ESTATICO) (2)</v>
      </c>
      <c r="AD424" s="327">
        <f>IFERROR(SUMIF('BD Otimix'!A:A,'BD VOLUME'!X424,'BD Otimix'!O:O)+SUMIF('BD Otimix'!A:A,'BD VOLUME'!Y424,'BD Otimix'!O:O)+SUMIF('BD Otimix'!A:A,'BD VOLUME'!Z424,'BD Otimix'!O:O)+SUMIF('BD Otimix'!A:A,'BD VOLUME'!AA424,'BD Otimix'!O:O)+SUMIF('BD Otimix'!A:A,'BD VOLUME'!AB424,'BD Otimix'!O:O)+SUMIF('BD Otimix'!A:A,'BD VOLUME'!AC424,'BD Otimix'!O:O)+SUMIF('BD Otimix'!A:A,'BD VOLUME'!W424,'BD Otimix'!O:O),0)</f>
        <v>0</v>
      </c>
      <c r="AE424" s="327">
        <f>IFERROR(F424/$E$3/1000/AD424,0)</f>
        <v>0</v>
      </c>
      <c r="AF424" s="7" t="str">
        <f>Preencher!$B$3&amp;$U$8&amp;$V$8&amp;A424&amp;$AF$6</f>
        <v>JARINU-FRG234459MQ.GIROFREEZER</v>
      </c>
      <c r="AG424" s="7" t="str">
        <f>Preencher!$B$3&amp;$U$8&amp;$V$8&amp;A424&amp;$AG$6</f>
        <v>JARINU-FRG234459MQ.GIROFREEZER (1)</v>
      </c>
      <c r="AH424" s="7" t="str">
        <f>Preencher!$B$3&amp;$U$8&amp;$V$8&amp;A424&amp;$AH$6</f>
        <v>JARINU-FRG234459MQ.GIROFREEZER (2)</v>
      </c>
      <c r="AI424" s="7" t="str">
        <f>Preencher!$B$3&amp;$U$8&amp;$V$8&amp;A424&amp;$AI$6</f>
        <v>JARINU-FRG234459MQ.GIROFREEZER REV04</v>
      </c>
      <c r="AJ424" s="7" t="str">
        <f>Preencher!$B$3&amp;$U$8&amp;$V$8&amp;A424&amp;$AJ$6</f>
        <v>JARINU-FRG234459MQ.GIROFREEZER (3)</v>
      </c>
      <c r="AK424" s="327">
        <f>IFERROR(SUMIF('BD Otimix'!A:A,'BD VOLUME'!AG424,'BD Otimix'!O:O)+SUMIF('BD Otimix'!A:A,'BD VOLUME'!AH424,'BD Otimix'!O:O)+SUMIF('BD Otimix'!A:A,'BD VOLUME'!AI424,'BD Otimix'!O:O)+SUMIF('BD Otimix'!A:A,'BD VOLUME'!AJ424,'BD Otimix'!O:O)+SUMIF('BD Otimix'!A:A,'BD VOLUME'!AF424,'BD Otimix'!O:O),0)</f>
        <v>0</v>
      </c>
      <c r="AL424" s="7">
        <f>IFERROR(F424/$E$3/1000/AK424,0)</f>
        <v>0</v>
      </c>
    </row>
    <row r="425" spans="1:38" s="4" customFormat="1" ht="14.25">
      <c r="A425" s="710">
        <v>204019</v>
      </c>
      <c r="B425" s="710" t="s">
        <v>2677</v>
      </c>
      <c r="C425" s="5" t="s">
        <v>2678</v>
      </c>
      <c r="D425" s="5" t="s">
        <v>867</v>
      </c>
      <c r="E425" s="5" t="s">
        <v>1524</v>
      </c>
      <c r="F425" s="132">
        <f>SUMIF('COLAR PLANO'!$A:$A,A425,'COLAR PLANO'!$D:$D)</f>
        <v>0</v>
      </c>
      <c r="G425" s="131">
        <f t="shared" si="103"/>
        <v>0</v>
      </c>
      <c r="H425" s="6">
        <v>7.2280701754385959E-2</v>
      </c>
      <c r="I425" s="7">
        <f t="shared" si="104"/>
        <v>0</v>
      </c>
      <c r="J425" s="130">
        <f>IFERROR(I425/$B$306,0)</f>
        <v>0</v>
      </c>
      <c r="K425" s="122">
        <v>10</v>
      </c>
      <c r="L425" s="122">
        <v>1</v>
      </c>
      <c r="M425" s="122">
        <v>10</v>
      </c>
      <c r="N425" s="311">
        <f t="shared" si="105"/>
        <v>0</v>
      </c>
      <c r="O425" s="311"/>
      <c r="P425" s="311"/>
      <c r="Q425" s="311">
        <f>IFERROR(G425/M425,"-")</f>
        <v>0</v>
      </c>
      <c r="R425" s="311"/>
      <c r="S425" s="7"/>
      <c r="T425" s="7"/>
      <c r="U425" s="7" t="s">
        <v>2288</v>
      </c>
      <c r="V425" s="7" t="s">
        <v>2289</v>
      </c>
      <c r="W425" s="7" t="str">
        <f>Preencher!$B$3&amp;U425&amp;V425&amp;A425&amp;$W$6</f>
        <v>JARINU-FRG204019MQ.TUNEL DE CG (CONTINUO)</v>
      </c>
      <c r="X425" s="7" t="str">
        <f>Preencher!$B$3&amp;U425&amp;V425&amp;A425&amp;$X$6</f>
        <v>JARINU-FRG204019MQ.TUNEL DE CG (CONTINUO) (1)</v>
      </c>
      <c r="Y425" s="7" t="str">
        <f>Preencher!$B$3&amp;U425&amp;V425&amp;A425&amp;$Y$6</f>
        <v>JARINU-FRG204019MQ.TUNEL DE CG (CONTINUO) (2)</v>
      </c>
      <c r="Z425" s="7" t="str">
        <f>Preencher!$B$3&amp;U425&amp;V425&amp;A425&amp;$Z$6</f>
        <v>JARINU-FRG204019MQ.TUNEL DE CG (CONTINUO) (3)</v>
      </c>
      <c r="AA425" s="7" t="str">
        <f>Preencher!$B$3&amp;U425&amp;V425&amp;A425&amp;$AA$6</f>
        <v>JARINU-FRG204019MQ.TUNEL DE CG (ESTATICO)</v>
      </c>
      <c r="AB425" s="7" t="str">
        <f>Preencher!$B$3&amp;U425&amp;V425&amp;A425&amp;$AB$6</f>
        <v>JARINU-FRG204019MQ.TUNEL DE CG (ESTATICO) (1)</v>
      </c>
      <c r="AC425" s="7" t="str">
        <f>Preencher!$B$3&amp;U425&amp;V425&amp;A425&amp;$AC$6</f>
        <v>JARINU-FRG204019MQ.TUNEL DE CG (ESTATICO) (2)</v>
      </c>
      <c r="AD425" s="327">
        <f>IFERROR(SUMIF('BD Otimix'!A:A,'BD VOLUME'!X425,'BD Otimix'!O:O)+SUMIF('BD Otimix'!A:A,'BD VOLUME'!Y425,'BD Otimix'!O:O)+SUMIF('BD Otimix'!A:A,'BD VOLUME'!Z425,'BD Otimix'!O:O)+SUMIF('BD Otimix'!A:A,'BD VOLUME'!AA425,'BD Otimix'!O:O)+SUMIF('BD Otimix'!A:A,'BD VOLUME'!AB425,'BD Otimix'!O:O)+SUMIF('BD Otimix'!A:A,'BD VOLUME'!AC425,'BD Otimix'!O:O)+SUMIF('BD Otimix'!A:A,'BD VOLUME'!W425,'BD Otimix'!O:O),0)</f>
        <v>0</v>
      </c>
      <c r="AE425" s="327">
        <f>IFERROR(F425/$E$3/1000/AD425,0)</f>
        <v>0</v>
      </c>
      <c r="AF425" s="7" t="str">
        <f>Preencher!$B$3&amp;$U$8&amp;$V$8&amp;A425&amp;$AF$6</f>
        <v>JARINU-FRG204019MQ.GIROFREEZER</v>
      </c>
      <c r="AG425" s="7" t="str">
        <f>Preencher!$B$3&amp;$U$8&amp;$V$8&amp;A425&amp;$AG$6</f>
        <v>JARINU-FRG204019MQ.GIROFREEZER (1)</v>
      </c>
      <c r="AH425" s="7" t="str">
        <f>Preencher!$B$3&amp;$U$8&amp;$V$8&amp;A425&amp;$AH$6</f>
        <v>JARINU-FRG204019MQ.GIROFREEZER (2)</v>
      </c>
      <c r="AI425" s="7" t="str">
        <f>Preencher!$B$3&amp;$U$8&amp;$V$8&amp;A425&amp;$AI$6</f>
        <v>JARINU-FRG204019MQ.GIROFREEZER REV04</v>
      </c>
      <c r="AJ425" s="7" t="str">
        <f>Preencher!$B$3&amp;$U$8&amp;$V$8&amp;A425&amp;$AJ$6</f>
        <v>JARINU-FRG204019MQ.GIROFREEZER (3)</v>
      </c>
      <c r="AK425" s="327">
        <f>IFERROR(SUMIF('BD Otimix'!A:A,'BD VOLUME'!AG425,'BD Otimix'!O:O)+SUMIF('BD Otimix'!A:A,'BD VOLUME'!AH425,'BD Otimix'!O:O)+SUMIF('BD Otimix'!A:A,'BD VOLUME'!AI425,'BD Otimix'!O:O)+SUMIF('BD Otimix'!A:A,'BD VOLUME'!AJ425,'BD Otimix'!O:O)+SUMIF('BD Otimix'!A:A,'BD VOLUME'!AF425,'BD Otimix'!O:O),0)</f>
        <v>0</v>
      </c>
      <c r="AL425" s="7">
        <f>IFERROR(F425/$E$3/1000/AK425,0)</f>
        <v>0</v>
      </c>
    </row>
    <row r="426" spans="1:38" s="4" customFormat="1" ht="14.25">
      <c r="A426" s="710">
        <v>951552</v>
      </c>
      <c r="B426" s="710" t="s">
        <v>2769</v>
      </c>
      <c r="C426" s="5" t="s">
        <v>2770</v>
      </c>
      <c r="D426" s="5" t="s">
        <v>867</v>
      </c>
      <c r="E426" s="5" t="s">
        <v>1524</v>
      </c>
      <c r="F426" s="132">
        <f>SUMIF('COLAR PLANO'!$A:$A,A426,'COLAR PLANO'!$D:$D)</f>
        <v>0</v>
      </c>
      <c r="G426" s="131">
        <f t="shared" si="103"/>
        <v>0</v>
      </c>
      <c r="H426" s="6">
        <v>7.2280701754385959E-2</v>
      </c>
      <c r="I426" s="7">
        <f t="shared" si="104"/>
        <v>0</v>
      </c>
      <c r="J426" s="130">
        <f>IFERROR(I426/$B$306,0)</f>
        <v>0</v>
      </c>
      <c r="K426" s="122">
        <v>2</v>
      </c>
      <c r="L426" s="122">
        <v>9</v>
      </c>
      <c r="M426" s="122">
        <v>18</v>
      </c>
      <c r="N426" s="311">
        <f t="shared" si="105"/>
        <v>0</v>
      </c>
      <c r="O426" s="311"/>
      <c r="P426" s="311">
        <f>IFERROR(G426/M426,"-")</f>
        <v>0</v>
      </c>
      <c r="Q426" s="311"/>
      <c r="R426" s="311"/>
      <c r="S426" s="7"/>
      <c r="T426" s="7"/>
      <c r="U426" s="7" t="s">
        <v>2288</v>
      </c>
      <c r="V426" s="7" t="s">
        <v>2289</v>
      </c>
      <c r="W426" s="7" t="str">
        <f>Preencher!$B$3&amp;U426&amp;V426&amp;A426&amp;$W$6</f>
        <v>JARINU-FRG951552MQ.TUNEL DE CG (CONTINUO)</v>
      </c>
      <c r="X426" s="7" t="str">
        <f>Preencher!$B$3&amp;U426&amp;V426&amp;A426&amp;$X$6</f>
        <v>JARINU-FRG951552MQ.TUNEL DE CG (CONTINUO) (1)</v>
      </c>
      <c r="Y426" s="7" t="str">
        <f>Preencher!$B$3&amp;U426&amp;V426&amp;A426&amp;$Y$6</f>
        <v>JARINU-FRG951552MQ.TUNEL DE CG (CONTINUO) (2)</v>
      </c>
      <c r="Z426" s="7" t="str">
        <f>Preencher!$B$3&amp;U426&amp;V426&amp;A426&amp;$Z$6</f>
        <v>JARINU-FRG951552MQ.TUNEL DE CG (CONTINUO) (3)</v>
      </c>
      <c r="AA426" s="7" t="str">
        <f>Preencher!$B$3&amp;U426&amp;V426&amp;A426&amp;$AA$6</f>
        <v>JARINU-FRG951552MQ.TUNEL DE CG (ESTATICO)</v>
      </c>
      <c r="AB426" s="7" t="str">
        <f>Preencher!$B$3&amp;U426&amp;V426&amp;A426&amp;$AB$6</f>
        <v>JARINU-FRG951552MQ.TUNEL DE CG (ESTATICO) (1)</v>
      </c>
      <c r="AC426" s="7" t="str">
        <f>Preencher!$B$3&amp;U426&amp;V426&amp;A426&amp;$AC$6</f>
        <v>JARINU-FRG951552MQ.TUNEL DE CG (ESTATICO) (2)</v>
      </c>
      <c r="AD426" s="327">
        <f>IFERROR(SUMIF('BD Otimix'!A:A,'BD VOLUME'!X426,'BD Otimix'!O:O)+SUMIF('BD Otimix'!A:A,'BD VOLUME'!Y426,'BD Otimix'!O:O)+SUMIF('BD Otimix'!A:A,'BD VOLUME'!Z426,'BD Otimix'!O:O)+SUMIF('BD Otimix'!A:A,'BD VOLUME'!AA426,'BD Otimix'!O:O)+SUMIF('BD Otimix'!A:A,'BD VOLUME'!AB426,'BD Otimix'!O:O)+SUMIF('BD Otimix'!A:A,'BD VOLUME'!AC426,'BD Otimix'!O:O)+SUMIF('BD Otimix'!A:A,'BD VOLUME'!W426,'BD Otimix'!O:O),0)</f>
        <v>0</v>
      </c>
      <c r="AE426" s="327">
        <f>IFERROR(F426/$E$3/1000/AD426,0)</f>
        <v>0</v>
      </c>
      <c r="AF426" s="7" t="str">
        <f>Preencher!$B$3&amp;$U$8&amp;$V$8&amp;A426&amp;$AF$6</f>
        <v>JARINU-FRG951552MQ.GIROFREEZER</v>
      </c>
      <c r="AG426" s="7" t="str">
        <f>Preencher!$B$3&amp;$U$8&amp;$V$8&amp;A426&amp;$AG$6</f>
        <v>JARINU-FRG951552MQ.GIROFREEZER (1)</v>
      </c>
      <c r="AH426" s="7" t="str">
        <f>Preencher!$B$3&amp;$U$8&amp;$V$8&amp;A426&amp;$AH$6</f>
        <v>JARINU-FRG951552MQ.GIROFREEZER (2)</v>
      </c>
      <c r="AI426" s="7" t="str">
        <f>Preencher!$B$3&amp;$U$8&amp;$V$8&amp;A426&amp;$AI$6</f>
        <v>JARINU-FRG951552MQ.GIROFREEZER REV04</v>
      </c>
      <c r="AJ426" s="7" t="str">
        <f>Preencher!$B$3&amp;$U$8&amp;$V$8&amp;A426&amp;$AJ$6</f>
        <v>JARINU-FRG951552MQ.GIROFREEZER (3)</v>
      </c>
      <c r="AK426" s="327">
        <f>IFERROR(SUMIF('BD Otimix'!A:A,'BD VOLUME'!AG426,'BD Otimix'!O:O)+SUMIF('BD Otimix'!A:A,'BD VOLUME'!AH426,'BD Otimix'!O:O)+SUMIF('BD Otimix'!A:A,'BD VOLUME'!AI426,'BD Otimix'!O:O)+SUMIF('BD Otimix'!A:A,'BD VOLUME'!AJ426,'BD Otimix'!O:O)+SUMIF('BD Otimix'!A:A,'BD VOLUME'!AF426,'BD Otimix'!O:O),0)</f>
        <v>0</v>
      </c>
      <c r="AL426" s="7">
        <f>IFERROR(F426/$E$3/1000/AK426,0)</f>
        <v>0</v>
      </c>
    </row>
    <row r="427" spans="1:38" s="4" customFormat="1" ht="14.25">
      <c r="A427" s="710">
        <v>221869</v>
      </c>
      <c r="B427" s="710" t="s">
        <v>2998</v>
      </c>
      <c r="C427" s="5" t="s">
        <v>2999</v>
      </c>
      <c r="D427" s="75" t="s">
        <v>867</v>
      </c>
      <c r="E427" s="5" t="s">
        <v>1482</v>
      </c>
      <c r="F427" s="132">
        <f>SUMIF('COLAR PLANO'!$A:$A,A427,'COLAR PLANO'!$D:$D)</f>
        <v>0</v>
      </c>
      <c r="G427" s="131">
        <f t="shared" si="103"/>
        <v>0</v>
      </c>
      <c r="H427" s="6">
        <v>0.21989999999999998</v>
      </c>
      <c r="I427" s="7">
        <f t="shared" si="104"/>
        <v>0</v>
      </c>
      <c r="J427" s="130">
        <f>IFERROR(I427/$B$306,0)</f>
        <v>0</v>
      </c>
      <c r="K427" s="122">
        <v>2.5</v>
      </c>
      <c r="L427" s="122">
        <v>4</v>
      </c>
      <c r="M427" s="122">
        <v>10</v>
      </c>
      <c r="N427" s="311">
        <f t="shared" si="105"/>
        <v>0</v>
      </c>
      <c r="O427" s="311"/>
      <c r="P427" s="311">
        <f>IFERROR(G427/M427,"-")</f>
        <v>0</v>
      </c>
      <c r="Q427" s="311"/>
      <c r="R427" s="311"/>
      <c r="S427" s="7"/>
      <c r="T427" s="7"/>
      <c r="U427" s="7" t="s">
        <v>2288</v>
      </c>
      <c r="V427" s="7" t="s">
        <v>2289</v>
      </c>
      <c r="W427" s="7" t="str">
        <f>Preencher!$B$3&amp;U427&amp;V427&amp;A427&amp;$W$6</f>
        <v>JARINU-FRG221869MQ.TUNEL DE CG (CONTINUO)</v>
      </c>
      <c r="X427" s="7" t="str">
        <f>Preencher!$B$3&amp;U427&amp;V427&amp;A427&amp;$X$6</f>
        <v>JARINU-FRG221869MQ.TUNEL DE CG (CONTINUO) (1)</v>
      </c>
      <c r="Y427" s="7" t="str">
        <f>Preencher!$B$3&amp;U427&amp;V427&amp;A427&amp;$Y$6</f>
        <v>JARINU-FRG221869MQ.TUNEL DE CG (CONTINUO) (2)</v>
      </c>
      <c r="Z427" s="7" t="str">
        <f>Preencher!$B$3&amp;U427&amp;V427&amp;A427&amp;$Z$6</f>
        <v>JARINU-FRG221869MQ.TUNEL DE CG (CONTINUO) (3)</v>
      </c>
      <c r="AA427" s="7" t="str">
        <f>Preencher!$B$3&amp;U427&amp;V427&amp;A427&amp;$AA$6</f>
        <v>JARINU-FRG221869MQ.TUNEL DE CG (ESTATICO)</v>
      </c>
      <c r="AB427" s="7" t="str">
        <f>Preencher!$B$3&amp;U427&amp;V427&amp;A427&amp;$AB$6</f>
        <v>JARINU-FRG221869MQ.TUNEL DE CG (ESTATICO) (1)</v>
      </c>
      <c r="AC427" s="7" t="str">
        <f>Preencher!$B$3&amp;U427&amp;V427&amp;A427&amp;$AC$6</f>
        <v>JARINU-FRG221869MQ.TUNEL DE CG (ESTATICO) (2)</v>
      </c>
      <c r="AD427" s="327">
        <f>IFERROR(SUMIF('BD Otimix'!A:A,'BD VOLUME'!X427,'BD Otimix'!O:O)+SUMIF('BD Otimix'!A:A,'BD VOLUME'!Y427,'BD Otimix'!O:O)+SUMIF('BD Otimix'!A:A,'BD VOLUME'!Z427,'BD Otimix'!O:O)+SUMIF('BD Otimix'!A:A,'BD VOLUME'!AA427,'BD Otimix'!O:O)+SUMIF('BD Otimix'!A:A,'BD VOLUME'!AB427,'BD Otimix'!O:O)+SUMIF('BD Otimix'!A:A,'BD VOLUME'!AC427,'BD Otimix'!O:O)+SUMIF('BD Otimix'!A:A,'BD VOLUME'!W427,'BD Otimix'!O:O),0)</f>
        <v>0</v>
      </c>
      <c r="AE427" s="327">
        <f>IFERROR(F427/$E$3/1000/AD427,0)</f>
        <v>0</v>
      </c>
      <c r="AF427" s="7" t="str">
        <f>Preencher!$B$3&amp;$U$8&amp;$V$8&amp;A427&amp;$AF$6</f>
        <v>JARINU-FRG221869MQ.GIROFREEZER</v>
      </c>
      <c r="AG427" s="7" t="str">
        <f>Preencher!$B$3&amp;$U$8&amp;$V$8&amp;A427&amp;$AG$6</f>
        <v>JARINU-FRG221869MQ.GIROFREEZER (1)</v>
      </c>
      <c r="AH427" s="7" t="str">
        <f>Preencher!$B$3&amp;$U$8&amp;$V$8&amp;A427&amp;$AH$6</f>
        <v>JARINU-FRG221869MQ.GIROFREEZER (2)</v>
      </c>
      <c r="AI427" s="7" t="str">
        <f>Preencher!$B$3&amp;$U$8&amp;$V$8&amp;A427&amp;$AI$6</f>
        <v>JARINU-FRG221869MQ.GIROFREEZER REV04</v>
      </c>
      <c r="AJ427" s="7" t="str">
        <f>Preencher!$B$3&amp;$U$8&amp;$V$8&amp;A427&amp;$AJ$6</f>
        <v>JARINU-FRG221869MQ.GIROFREEZER (3)</v>
      </c>
      <c r="AK427" s="327">
        <f>IFERROR(SUMIF('BD Otimix'!A:A,'BD VOLUME'!AG427,'BD Otimix'!O:O)+SUMIF('BD Otimix'!A:A,'BD VOLUME'!AH427,'BD Otimix'!O:O)+SUMIF('BD Otimix'!A:A,'BD VOLUME'!AI427,'BD Otimix'!O:O)+SUMIF('BD Otimix'!A:A,'BD VOLUME'!AJ427,'BD Otimix'!O:O)+SUMIF('BD Otimix'!A:A,'BD VOLUME'!AF427,'BD Otimix'!O:O),0)</f>
        <v>0</v>
      </c>
      <c r="AL427" s="7">
        <f>IFERROR(F427/$E$3/1000/AK427,0)</f>
        <v>0</v>
      </c>
    </row>
    <row r="428" spans="1:38" s="4" customFormat="1" ht="14.25">
      <c r="A428" s="710"/>
      <c r="B428" s="710"/>
      <c r="C428" s="5"/>
      <c r="D428" s="75"/>
      <c r="E428" s="5"/>
      <c r="F428" s="132"/>
      <c r="G428" s="131"/>
      <c r="H428" s="6"/>
      <c r="I428" s="7"/>
      <c r="J428" s="130"/>
      <c r="K428" s="122"/>
      <c r="L428" s="122"/>
      <c r="M428" s="122"/>
      <c r="N428" s="311"/>
      <c r="O428" s="311"/>
      <c r="P428" s="311"/>
      <c r="Q428" s="311"/>
      <c r="R428" s="311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327"/>
      <c r="AE428" s="327"/>
      <c r="AF428" s="7"/>
      <c r="AG428" s="7"/>
      <c r="AH428" s="7"/>
      <c r="AI428" s="7"/>
      <c r="AJ428" s="7"/>
      <c r="AK428" s="327"/>
      <c r="AL428" s="7"/>
    </row>
    <row r="429" spans="1:38" s="4" customFormat="1" ht="14.25">
      <c r="A429" s="710">
        <v>232919</v>
      </c>
      <c r="B429" s="710"/>
      <c r="C429" s="5" t="s">
        <v>3126</v>
      </c>
      <c r="D429" s="75" t="s">
        <v>867</v>
      </c>
      <c r="E429" s="5" t="s">
        <v>3132</v>
      </c>
      <c r="F429" s="132">
        <f>SUMIF('COLAR PLANO'!$A:$A,A429,'COLAR PLANO'!$D:$D)</f>
        <v>0</v>
      </c>
      <c r="G429" s="131">
        <f>IFERROR(F429/($E$3*$C$3),0)</f>
        <v>0</v>
      </c>
      <c r="H429" s="6">
        <v>8.0880701754385997E-2</v>
      </c>
      <c r="I429" s="7">
        <f>IFERROR(G429/$D$3/H429,0)</f>
        <v>0</v>
      </c>
      <c r="J429" s="130">
        <f t="shared" ref="J429:J435" si="106">IFERROR(I429/$B$306,0)</f>
        <v>0</v>
      </c>
      <c r="K429" s="122">
        <v>2</v>
      </c>
      <c r="L429" s="122">
        <v>6</v>
      </c>
      <c r="M429" s="122">
        <v>12</v>
      </c>
      <c r="N429" s="311">
        <f>IFERROR(G429/K429,"-")</f>
        <v>0</v>
      </c>
      <c r="O429" s="311">
        <f>IFERROR(G429/M429,"-")</f>
        <v>0</v>
      </c>
      <c r="P429" s="311"/>
      <c r="Q429" s="311"/>
      <c r="R429" s="311"/>
      <c r="S429" s="7"/>
      <c r="T429" s="7"/>
      <c r="U429" s="7" t="s">
        <v>2288</v>
      </c>
      <c r="V429" s="7" t="s">
        <v>2289</v>
      </c>
      <c r="W429" s="7" t="str">
        <f>Preencher!$B$3&amp;U429&amp;V429&amp;A429&amp;$W$6</f>
        <v>JARINU-FRG232919MQ.TUNEL DE CG (CONTINUO)</v>
      </c>
      <c r="X429" s="7" t="str">
        <f>Preencher!$B$3&amp;U429&amp;V429&amp;A429&amp;$X$6</f>
        <v>JARINU-FRG232919MQ.TUNEL DE CG (CONTINUO) (1)</v>
      </c>
      <c r="Y429" s="7" t="str">
        <f>Preencher!$B$3&amp;U429&amp;V429&amp;A429&amp;$Y$6</f>
        <v>JARINU-FRG232919MQ.TUNEL DE CG (CONTINUO) (2)</v>
      </c>
      <c r="Z429" s="7" t="str">
        <f>Preencher!$B$3&amp;U429&amp;V429&amp;A429&amp;$Z$6</f>
        <v>JARINU-FRG232919MQ.TUNEL DE CG (CONTINUO) (3)</v>
      </c>
      <c r="AA429" s="7" t="str">
        <f>Preencher!$B$3&amp;U429&amp;V429&amp;A429&amp;$AA$6</f>
        <v>JARINU-FRG232919MQ.TUNEL DE CG (ESTATICO)</v>
      </c>
      <c r="AB429" s="7" t="str">
        <f>Preencher!$B$3&amp;U429&amp;V429&amp;A429&amp;$AB$6</f>
        <v>JARINU-FRG232919MQ.TUNEL DE CG (ESTATICO) (1)</v>
      </c>
      <c r="AC429" s="7" t="str">
        <f>Preencher!$B$3&amp;U429&amp;V429&amp;A429&amp;$AC$6</f>
        <v>JARINU-FRG232919MQ.TUNEL DE CG (ESTATICO) (2)</v>
      </c>
      <c r="AD429" s="327">
        <f>IFERROR(SUMIF('BD Otimix'!A:A,'BD VOLUME'!X429,'BD Otimix'!O:O)+SUMIF('BD Otimix'!A:A,'BD VOLUME'!Y429,'BD Otimix'!O:O)+SUMIF('BD Otimix'!A:A,'BD VOLUME'!Z429,'BD Otimix'!O:O)+SUMIF('BD Otimix'!A:A,'BD VOLUME'!AA429,'BD Otimix'!O:O)+SUMIF('BD Otimix'!A:A,'BD VOLUME'!AB429,'BD Otimix'!O:O)+SUMIF('BD Otimix'!A:A,'BD VOLUME'!AC429,'BD Otimix'!O:O)+SUMIF('BD Otimix'!A:A,'BD VOLUME'!W429,'BD Otimix'!O:O),0)</f>
        <v>0</v>
      </c>
      <c r="AE429" s="327">
        <f t="shared" ref="AE429:AE435" si="107">IFERROR(F429/$E$3/1000/AD429,0)</f>
        <v>0</v>
      </c>
      <c r="AF429" s="7" t="str">
        <f>Preencher!$B$3&amp;$U$8&amp;$V$8&amp;A429&amp;$AF$6</f>
        <v>JARINU-FRG232919MQ.GIROFREEZER</v>
      </c>
      <c r="AG429" s="7" t="str">
        <f>Preencher!$B$3&amp;$U$8&amp;$V$8&amp;A429&amp;$AG$6</f>
        <v>JARINU-FRG232919MQ.GIROFREEZER (1)</v>
      </c>
      <c r="AH429" s="7" t="str">
        <f>Preencher!$B$3&amp;$U$8&amp;$V$8&amp;A429&amp;$AH$6</f>
        <v>JARINU-FRG232919MQ.GIROFREEZER (2)</v>
      </c>
      <c r="AI429" s="7" t="str">
        <f>Preencher!$B$3&amp;$U$8&amp;$V$8&amp;A429&amp;$AI$6</f>
        <v>JARINU-FRG232919MQ.GIROFREEZER REV04</v>
      </c>
      <c r="AJ429" s="7" t="str">
        <f>Preencher!$B$3&amp;$U$8&amp;$V$8&amp;A429&amp;$AJ$6</f>
        <v>JARINU-FRG232919MQ.GIROFREEZER (3)</v>
      </c>
      <c r="AK429" s="327">
        <f>IFERROR(SUMIF('BD Otimix'!A:A,'BD VOLUME'!AG429,'BD Otimix'!O:O)+SUMIF('BD Otimix'!A:A,'BD VOLUME'!AH429,'BD Otimix'!O:O)+SUMIF('BD Otimix'!A:A,'BD VOLUME'!AI429,'BD Otimix'!O:O)+SUMIF('BD Otimix'!A:A,'BD VOLUME'!AJ429,'BD Otimix'!O:O)+SUMIF('BD Otimix'!A:A,'BD VOLUME'!AF429,'BD Otimix'!O:O),0)</f>
        <v>0</v>
      </c>
      <c r="AL429" s="7">
        <f t="shared" ref="AL429:AL435" si="108">IFERROR(F429/$E$3/1000/AK429,0)</f>
        <v>0</v>
      </c>
    </row>
    <row r="430" spans="1:38" s="4" customFormat="1" ht="14.25">
      <c r="A430" s="710">
        <v>228679</v>
      </c>
      <c r="B430" s="710"/>
      <c r="C430" s="5" t="s">
        <v>3127</v>
      </c>
      <c r="D430" s="75" t="s">
        <v>867</v>
      </c>
      <c r="E430" s="5" t="s">
        <v>3131</v>
      </c>
      <c r="F430" s="132">
        <f>SUMIF('COLAR PLANO'!$A:$A,A430,'COLAR PLANO'!$D:$D)</f>
        <v>0</v>
      </c>
      <c r="G430" s="131">
        <f>IFERROR(F430/($E$3*$C$3),0)</f>
        <v>0</v>
      </c>
      <c r="H430" s="6">
        <v>5.9628070175438599E-2</v>
      </c>
      <c r="I430" s="7">
        <f>IFERROR(G430/$D$3/H430,0)</f>
        <v>0</v>
      </c>
      <c r="J430" s="130">
        <f t="shared" si="106"/>
        <v>0</v>
      </c>
      <c r="K430" s="122">
        <v>2</v>
      </c>
      <c r="L430" s="122">
        <v>6</v>
      </c>
      <c r="M430" s="122">
        <v>12</v>
      </c>
      <c r="N430" s="311">
        <f>IFERROR(G430/K430,"-")</f>
        <v>0</v>
      </c>
      <c r="O430" s="311">
        <f>IFERROR(G430/M430,"-")</f>
        <v>0</v>
      </c>
      <c r="P430" s="311"/>
      <c r="Q430" s="311"/>
      <c r="R430" s="311"/>
      <c r="S430" s="7"/>
      <c r="T430" s="7"/>
      <c r="U430" s="7" t="s">
        <v>2288</v>
      </c>
      <c r="V430" s="7" t="s">
        <v>2289</v>
      </c>
      <c r="W430" s="7" t="str">
        <f>Preencher!$B$3&amp;U430&amp;V430&amp;A430&amp;$W$6</f>
        <v>JARINU-FRG228679MQ.TUNEL DE CG (CONTINUO)</v>
      </c>
      <c r="X430" s="7" t="str">
        <f>Preencher!$B$3&amp;U430&amp;V430&amp;A430&amp;$X$6</f>
        <v>JARINU-FRG228679MQ.TUNEL DE CG (CONTINUO) (1)</v>
      </c>
      <c r="Y430" s="7" t="str">
        <f>Preencher!$B$3&amp;U430&amp;V430&amp;A430&amp;$Y$6</f>
        <v>JARINU-FRG228679MQ.TUNEL DE CG (CONTINUO) (2)</v>
      </c>
      <c r="Z430" s="7" t="str">
        <f>Preencher!$B$3&amp;U430&amp;V430&amp;A430&amp;$Z$6</f>
        <v>JARINU-FRG228679MQ.TUNEL DE CG (CONTINUO) (3)</v>
      </c>
      <c r="AA430" s="7" t="str">
        <f>Preencher!$B$3&amp;U430&amp;V430&amp;A430&amp;$AA$6</f>
        <v>JARINU-FRG228679MQ.TUNEL DE CG (ESTATICO)</v>
      </c>
      <c r="AB430" s="7" t="str">
        <f>Preencher!$B$3&amp;U430&amp;V430&amp;A430&amp;$AB$6</f>
        <v>JARINU-FRG228679MQ.TUNEL DE CG (ESTATICO) (1)</v>
      </c>
      <c r="AC430" s="7" t="str">
        <f>Preencher!$B$3&amp;U430&amp;V430&amp;A430&amp;$AC$6</f>
        <v>JARINU-FRG228679MQ.TUNEL DE CG (ESTATICO) (2)</v>
      </c>
      <c r="AD430" s="327">
        <f>IFERROR(SUMIF('BD Otimix'!A:A,'BD VOLUME'!X430,'BD Otimix'!O:O)+SUMIF('BD Otimix'!A:A,'BD VOLUME'!Y430,'BD Otimix'!O:O)+SUMIF('BD Otimix'!A:A,'BD VOLUME'!Z430,'BD Otimix'!O:O)+SUMIF('BD Otimix'!A:A,'BD VOLUME'!AA430,'BD Otimix'!O:O)+SUMIF('BD Otimix'!A:A,'BD VOLUME'!AB430,'BD Otimix'!O:O)+SUMIF('BD Otimix'!A:A,'BD VOLUME'!AC430,'BD Otimix'!O:O)+SUMIF('BD Otimix'!A:A,'BD VOLUME'!W430,'BD Otimix'!O:O),0)</f>
        <v>0</v>
      </c>
      <c r="AE430" s="327">
        <f t="shared" si="107"/>
        <v>0</v>
      </c>
      <c r="AF430" s="7" t="str">
        <f>Preencher!$B$3&amp;$U$8&amp;$V$8&amp;A430&amp;$AF$6</f>
        <v>JARINU-FRG228679MQ.GIROFREEZER</v>
      </c>
      <c r="AG430" s="7" t="str">
        <f>Preencher!$B$3&amp;$U$8&amp;$V$8&amp;A430&amp;$AG$6</f>
        <v>JARINU-FRG228679MQ.GIROFREEZER (1)</v>
      </c>
      <c r="AH430" s="7" t="str">
        <f>Preencher!$B$3&amp;$U$8&amp;$V$8&amp;A430&amp;$AH$6</f>
        <v>JARINU-FRG228679MQ.GIROFREEZER (2)</v>
      </c>
      <c r="AI430" s="7" t="str">
        <f>Preencher!$B$3&amp;$U$8&amp;$V$8&amp;A430&amp;$AI$6</f>
        <v>JARINU-FRG228679MQ.GIROFREEZER REV04</v>
      </c>
      <c r="AJ430" s="7" t="str">
        <f>Preencher!$B$3&amp;$U$8&amp;$V$8&amp;A430&amp;$AJ$6</f>
        <v>JARINU-FRG228679MQ.GIROFREEZER (3)</v>
      </c>
      <c r="AK430" s="327">
        <f>IFERROR(SUMIF('BD Otimix'!A:A,'BD VOLUME'!AG430,'BD Otimix'!O:O)+SUMIF('BD Otimix'!A:A,'BD VOLUME'!AH430,'BD Otimix'!O:O)+SUMIF('BD Otimix'!A:A,'BD VOLUME'!AI430,'BD Otimix'!O:O)+SUMIF('BD Otimix'!A:A,'BD VOLUME'!AJ430,'BD Otimix'!O:O)+SUMIF('BD Otimix'!A:A,'BD VOLUME'!AF430,'BD Otimix'!O:O),0)</f>
        <v>0</v>
      </c>
      <c r="AL430" s="7">
        <f t="shared" si="108"/>
        <v>0</v>
      </c>
    </row>
    <row r="431" spans="1:38" s="4" customFormat="1" ht="14.25">
      <c r="A431" s="710">
        <v>228279</v>
      </c>
      <c r="B431" s="710"/>
      <c r="C431" s="5" t="s">
        <v>3128</v>
      </c>
      <c r="D431" s="75" t="s">
        <v>867</v>
      </c>
      <c r="E431" s="5" t="s">
        <v>1524</v>
      </c>
      <c r="F431" s="132">
        <f>SUMIF('COLAR PLANO'!$A:$A,A431,'COLAR PLANO'!$D:$D)</f>
        <v>0</v>
      </c>
      <c r="G431" s="131">
        <f t="shared" ref="G431" si="109">IFERROR(F431/($E$3*$C$3),0)</f>
        <v>0</v>
      </c>
      <c r="H431" s="6">
        <v>7.2280701754385959E-2</v>
      </c>
      <c r="I431" s="7">
        <f t="shared" ref="I431" si="110">IFERROR(G431/$D$3/H431,0)</f>
        <v>0</v>
      </c>
      <c r="J431" s="130">
        <f t="shared" ref="J431" si="111">IFERROR(I431/$B$306,0)</f>
        <v>0</v>
      </c>
      <c r="K431" s="122">
        <v>2</v>
      </c>
      <c r="L431" s="122">
        <v>9</v>
      </c>
      <c r="M431" s="122">
        <v>18</v>
      </c>
      <c r="N431" s="311">
        <f t="shared" ref="N431" si="112">IFERROR(G431/K431,"-")</f>
        <v>0</v>
      </c>
      <c r="O431" s="311"/>
      <c r="P431" s="311">
        <f>IFERROR(G431/M431,"-")</f>
        <v>0</v>
      </c>
      <c r="Q431" s="311"/>
      <c r="R431" s="311"/>
      <c r="S431" s="7"/>
      <c r="T431" s="7"/>
      <c r="U431" s="7" t="s">
        <v>2288</v>
      </c>
      <c r="V431" s="7" t="s">
        <v>2289</v>
      </c>
      <c r="W431" s="7" t="str">
        <f>Preencher!$B$3&amp;U431&amp;V431&amp;A431&amp;$W$6</f>
        <v>JARINU-FRG228279MQ.TUNEL DE CG (CONTINUO)</v>
      </c>
      <c r="X431" s="7" t="str">
        <f>Preencher!$B$3&amp;U431&amp;V431&amp;A431&amp;$X$6</f>
        <v>JARINU-FRG228279MQ.TUNEL DE CG (CONTINUO) (1)</v>
      </c>
      <c r="Y431" s="7" t="str">
        <f>Preencher!$B$3&amp;U431&amp;V431&amp;A431&amp;$Y$6</f>
        <v>JARINU-FRG228279MQ.TUNEL DE CG (CONTINUO) (2)</v>
      </c>
      <c r="Z431" s="7" t="str">
        <f>Preencher!$B$3&amp;U431&amp;V431&amp;A431&amp;$Z$6</f>
        <v>JARINU-FRG228279MQ.TUNEL DE CG (CONTINUO) (3)</v>
      </c>
      <c r="AA431" s="7" t="str">
        <f>Preencher!$B$3&amp;U431&amp;V431&amp;A431&amp;$AA$6</f>
        <v>JARINU-FRG228279MQ.TUNEL DE CG (ESTATICO)</v>
      </c>
      <c r="AB431" s="7" t="str">
        <f>Preencher!$B$3&amp;U431&amp;V431&amp;A431&amp;$AB$6</f>
        <v>JARINU-FRG228279MQ.TUNEL DE CG (ESTATICO) (1)</v>
      </c>
      <c r="AC431" s="7" t="str">
        <f>Preencher!$B$3&amp;U431&amp;V431&amp;A431&amp;$AC$6</f>
        <v>JARINU-FRG228279MQ.TUNEL DE CG (ESTATICO) (2)</v>
      </c>
      <c r="AD431" s="327">
        <f>IFERROR(SUMIF('BD Otimix'!A:A,'BD VOLUME'!X431,'BD Otimix'!O:O)+SUMIF('BD Otimix'!A:A,'BD VOLUME'!Y431,'BD Otimix'!O:O)+SUMIF('BD Otimix'!A:A,'BD VOLUME'!Z431,'BD Otimix'!O:O)+SUMIF('BD Otimix'!A:A,'BD VOLUME'!AA431,'BD Otimix'!O:O)+SUMIF('BD Otimix'!A:A,'BD VOLUME'!AB431,'BD Otimix'!O:O)+SUMIF('BD Otimix'!A:A,'BD VOLUME'!AC431,'BD Otimix'!O:O)+SUMIF('BD Otimix'!A:A,'BD VOLUME'!W431,'BD Otimix'!O:O),0)</f>
        <v>0</v>
      </c>
      <c r="AE431" s="327">
        <f t="shared" si="107"/>
        <v>0</v>
      </c>
      <c r="AF431" s="7" t="str">
        <f>Preencher!$B$3&amp;$U$8&amp;$V$8&amp;A431&amp;$AF$6</f>
        <v>JARINU-FRG228279MQ.GIROFREEZER</v>
      </c>
      <c r="AG431" s="7" t="str">
        <f>Preencher!$B$3&amp;$U$8&amp;$V$8&amp;A431&amp;$AG$6</f>
        <v>JARINU-FRG228279MQ.GIROFREEZER (1)</v>
      </c>
      <c r="AH431" s="7" t="str">
        <f>Preencher!$B$3&amp;$U$8&amp;$V$8&amp;A431&amp;$AH$6</f>
        <v>JARINU-FRG228279MQ.GIROFREEZER (2)</v>
      </c>
      <c r="AI431" s="7" t="str">
        <f>Preencher!$B$3&amp;$U$8&amp;$V$8&amp;A431&amp;$AI$6</f>
        <v>JARINU-FRG228279MQ.GIROFREEZER REV04</v>
      </c>
      <c r="AJ431" s="7" t="str">
        <f>Preencher!$B$3&amp;$U$8&amp;$V$8&amp;A431&amp;$AJ$6</f>
        <v>JARINU-FRG228279MQ.GIROFREEZER (3)</v>
      </c>
      <c r="AK431" s="327">
        <f>IFERROR(SUMIF('BD Otimix'!A:A,'BD VOLUME'!AG431,'BD Otimix'!O:O)+SUMIF('BD Otimix'!A:A,'BD VOLUME'!AH431,'BD Otimix'!O:O)+SUMIF('BD Otimix'!A:A,'BD VOLUME'!AI431,'BD Otimix'!O:O)+SUMIF('BD Otimix'!A:A,'BD VOLUME'!AJ431,'BD Otimix'!O:O)+SUMIF('BD Otimix'!A:A,'BD VOLUME'!AF431,'BD Otimix'!O:O),0)</f>
        <v>0</v>
      </c>
      <c r="AL431" s="7">
        <f t="shared" si="108"/>
        <v>0</v>
      </c>
    </row>
    <row r="432" spans="1:38" s="4" customFormat="1" ht="14.25">
      <c r="A432" s="710">
        <v>996111</v>
      </c>
      <c r="B432" s="710"/>
      <c r="C432" s="5" t="s">
        <v>3129</v>
      </c>
      <c r="D432" s="75" t="s">
        <v>867</v>
      </c>
      <c r="E432" s="5" t="s">
        <v>1524</v>
      </c>
      <c r="F432" s="132">
        <f>SUMIF('COLAR PLANO'!$A:$A,A432,'COLAR PLANO'!$D:$D)</f>
        <v>0</v>
      </c>
      <c r="G432" s="131">
        <f t="shared" ref="G432" si="113">IFERROR(F432/($E$3*$C$3),0)</f>
        <v>0</v>
      </c>
      <c r="H432" s="6">
        <v>7.2280701754385959E-2</v>
      </c>
      <c r="I432" s="7">
        <f t="shared" ref="I432" si="114">IFERROR(G432/$D$3/H432,0)</f>
        <v>0</v>
      </c>
      <c r="J432" s="130">
        <f t="shared" ref="J432" si="115">IFERROR(I432/$B$306,0)</f>
        <v>0</v>
      </c>
      <c r="K432" s="122">
        <v>2</v>
      </c>
      <c r="L432" s="122">
        <v>9</v>
      </c>
      <c r="M432" s="122">
        <v>18</v>
      </c>
      <c r="N432" s="311">
        <f t="shared" ref="N432" si="116">IFERROR(G432/K432,"-")</f>
        <v>0</v>
      </c>
      <c r="O432" s="311"/>
      <c r="P432" s="311">
        <f>IFERROR(G432/M432,"-")</f>
        <v>0</v>
      </c>
      <c r="Q432" s="311"/>
      <c r="R432" s="311"/>
      <c r="S432" s="7"/>
      <c r="T432" s="7"/>
      <c r="U432" s="7" t="s">
        <v>2288</v>
      </c>
      <c r="V432" s="7" t="s">
        <v>2289</v>
      </c>
      <c r="W432" s="7" t="str">
        <f>Preencher!$B$3&amp;U432&amp;V432&amp;A432&amp;$W$6</f>
        <v>JARINU-FRG996111MQ.TUNEL DE CG (CONTINUO)</v>
      </c>
      <c r="X432" s="7" t="str">
        <f>Preencher!$B$3&amp;U432&amp;V432&amp;A432&amp;$X$6</f>
        <v>JARINU-FRG996111MQ.TUNEL DE CG (CONTINUO) (1)</v>
      </c>
      <c r="Y432" s="7" t="str">
        <f>Preencher!$B$3&amp;U432&amp;V432&amp;A432&amp;$Y$6</f>
        <v>JARINU-FRG996111MQ.TUNEL DE CG (CONTINUO) (2)</v>
      </c>
      <c r="Z432" s="7" t="str">
        <f>Preencher!$B$3&amp;U432&amp;V432&amp;A432&amp;$Z$6</f>
        <v>JARINU-FRG996111MQ.TUNEL DE CG (CONTINUO) (3)</v>
      </c>
      <c r="AA432" s="7" t="str">
        <f>Preencher!$B$3&amp;U432&amp;V432&amp;A432&amp;$AA$6</f>
        <v>JARINU-FRG996111MQ.TUNEL DE CG (ESTATICO)</v>
      </c>
      <c r="AB432" s="7" t="str">
        <f>Preencher!$B$3&amp;U432&amp;V432&amp;A432&amp;$AB$6</f>
        <v>JARINU-FRG996111MQ.TUNEL DE CG (ESTATICO) (1)</v>
      </c>
      <c r="AC432" s="7" t="str">
        <f>Preencher!$B$3&amp;U432&amp;V432&amp;A432&amp;$AC$6</f>
        <v>JARINU-FRG996111MQ.TUNEL DE CG (ESTATICO) (2)</v>
      </c>
      <c r="AD432" s="327">
        <f>IFERROR(SUMIF('BD Otimix'!A:A,'BD VOLUME'!X432,'BD Otimix'!O:O)+SUMIF('BD Otimix'!A:A,'BD VOLUME'!Y432,'BD Otimix'!O:O)+SUMIF('BD Otimix'!A:A,'BD VOLUME'!Z432,'BD Otimix'!O:O)+SUMIF('BD Otimix'!A:A,'BD VOLUME'!AA432,'BD Otimix'!O:O)+SUMIF('BD Otimix'!A:A,'BD VOLUME'!AB432,'BD Otimix'!O:O)+SUMIF('BD Otimix'!A:A,'BD VOLUME'!AC432,'BD Otimix'!O:O)+SUMIF('BD Otimix'!A:A,'BD VOLUME'!W432,'BD Otimix'!O:O),0)</f>
        <v>0</v>
      </c>
      <c r="AE432" s="327">
        <f t="shared" ref="AE432" si="117">IFERROR(F432/$E$3/1000/AD432,0)</f>
        <v>0</v>
      </c>
      <c r="AF432" s="7" t="str">
        <f>Preencher!$B$3&amp;$U$8&amp;$V$8&amp;A432&amp;$AF$6</f>
        <v>JARINU-FRG996111MQ.GIROFREEZER</v>
      </c>
      <c r="AG432" s="7" t="str">
        <f>Preencher!$B$3&amp;$U$8&amp;$V$8&amp;A432&amp;$AG$6</f>
        <v>JARINU-FRG996111MQ.GIROFREEZER (1)</v>
      </c>
      <c r="AH432" s="7" t="str">
        <f>Preencher!$B$3&amp;$U$8&amp;$V$8&amp;A432&amp;$AH$6</f>
        <v>JARINU-FRG996111MQ.GIROFREEZER (2)</v>
      </c>
      <c r="AI432" s="7" t="str">
        <f>Preencher!$B$3&amp;$U$8&amp;$V$8&amp;A432&amp;$AI$6</f>
        <v>JARINU-FRG996111MQ.GIROFREEZER REV04</v>
      </c>
      <c r="AJ432" s="7" t="str">
        <f>Preencher!$B$3&amp;$U$8&amp;$V$8&amp;A432&amp;$AJ$6</f>
        <v>JARINU-FRG996111MQ.GIROFREEZER (3)</v>
      </c>
      <c r="AK432" s="327">
        <f>IFERROR(SUMIF('BD Otimix'!A:A,'BD VOLUME'!AG432,'BD Otimix'!O:O)+SUMIF('BD Otimix'!A:A,'BD VOLUME'!AH432,'BD Otimix'!O:O)+SUMIF('BD Otimix'!A:A,'BD VOLUME'!AI432,'BD Otimix'!O:O)+SUMIF('BD Otimix'!A:A,'BD VOLUME'!AJ432,'BD Otimix'!O:O)+SUMIF('BD Otimix'!A:A,'BD VOLUME'!AF432,'BD Otimix'!O:O),0)</f>
        <v>0</v>
      </c>
      <c r="AL432" s="7">
        <f t="shared" ref="AL432" si="118">IFERROR(F432/$E$3/1000/AK432,0)</f>
        <v>0</v>
      </c>
    </row>
    <row r="433" spans="1:38" s="4" customFormat="1" ht="14.25">
      <c r="A433" s="710">
        <v>993097</v>
      </c>
      <c r="B433" s="710"/>
      <c r="C433" s="5" t="s">
        <v>3164</v>
      </c>
      <c r="D433" s="75" t="s">
        <v>867</v>
      </c>
      <c r="E433" s="5" t="s">
        <v>3130</v>
      </c>
      <c r="F433" s="132">
        <f>SUMIF('COLAR PLANO'!$A:$A,A433,'COLAR PLANO'!$D:$D)</f>
        <v>0</v>
      </c>
      <c r="G433" s="131">
        <f>IFERROR(F433/($E$3*$C$3),0)</f>
        <v>0</v>
      </c>
      <c r="H433" s="6">
        <v>2.4500000000000001E-2</v>
      </c>
      <c r="I433" s="7">
        <f>IFERROR(G433/$D$3/H433,0)</f>
        <v>0</v>
      </c>
      <c r="J433" s="130">
        <f t="shared" si="106"/>
        <v>0</v>
      </c>
      <c r="K433" s="122">
        <v>2</v>
      </c>
      <c r="L433" s="122">
        <v>6</v>
      </c>
      <c r="M433" s="122">
        <v>12</v>
      </c>
      <c r="N433" s="311">
        <f>IFERROR(G433/K433,"-")</f>
        <v>0</v>
      </c>
      <c r="O433" s="311">
        <f>IFERROR(G433/M433,"-")</f>
        <v>0</v>
      </c>
      <c r="P433" s="311"/>
      <c r="Q433" s="311"/>
      <c r="R433" s="311"/>
      <c r="S433" s="7"/>
      <c r="T433" s="7"/>
      <c r="U433" s="7" t="s">
        <v>2288</v>
      </c>
      <c r="V433" s="7" t="s">
        <v>2289</v>
      </c>
      <c r="W433" s="7" t="str">
        <f>Preencher!$B$3&amp;U433&amp;V433&amp;A433&amp;$W$6</f>
        <v>JARINU-FRG993097MQ.TUNEL DE CG (CONTINUO)</v>
      </c>
      <c r="X433" s="7" t="str">
        <f>Preencher!$B$3&amp;U433&amp;V433&amp;A433&amp;$X$6</f>
        <v>JARINU-FRG993097MQ.TUNEL DE CG (CONTINUO) (1)</v>
      </c>
      <c r="Y433" s="7" t="str">
        <f>Preencher!$B$3&amp;U433&amp;V433&amp;A433&amp;$Y$6</f>
        <v>JARINU-FRG993097MQ.TUNEL DE CG (CONTINUO) (2)</v>
      </c>
      <c r="Z433" s="7" t="str">
        <f>Preencher!$B$3&amp;U433&amp;V433&amp;A433&amp;$Z$6</f>
        <v>JARINU-FRG993097MQ.TUNEL DE CG (CONTINUO) (3)</v>
      </c>
      <c r="AA433" s="7" t="str">
        <f>Preencher!$B$3&amp;U433&amp;V433&amp;A433&amp;$AA$6</f>
        <v>JARINU-FRG993097MQ.TUNEL DE CG (ESTATICO)</v>
      </c>
      <c r="AB433" s="7" t="str">
        <f>Preencher!$B$3&amp;U433&amp;V433&amp;A433&amp;$AB$6</f>
        <v>JARINU-FRG993097MQ.TUNEL DE CG (ESTATICO) (1)</v>
      </c>
      <c r="AC433" s="7" t="str">
        <f>Preencher!$B$3&amp;U433&amp;V433&amp;A433&amp;$AC$6</f>
        <v>JARINU-FRG993097MQ.TUNEL DE CG (ESTATICO) (2)</v>
      </c>
      <c r="AD433" s="327">
        <f>IFERROR(SUMIF('BD Otimix'!A:A,'BD VOLUME'!X433,'BD Otimix'!O:O)+SUMIF('BD Otimix'!A:A,'BD VOLUME'!Y433,'BD Otimix'!O:O)+SUMIF('BD Otimix'!A:A,'BD VOLUME'!Z433,'BD Otimix'!O:O)+SUMIF('BD Otimix'!A:A,'BD VOLUME'!AA433,'BD Otimix'!O:O)+SUMIF('BD Otimix'!A:A,'BD VOLUME'!AB433,'BD Otimix'!O:O)+SUMIF('BD Otimix'!A:A,'BD VOLUME'!AC433,'BD Otimix'!O:O)+SUMIF('BD Otimix'!A:A,'BD VOLUME'!W433,'BD Otimix'!O:O),0)</f>
        <v>0</v>
      </c>
      <c r="AE433" s="327">
        <f t="shared" si="107"/>
        <v>0</v>
      </c>
      <c r="AF433" s="7" t="str">
        <f>Preencher!$B$3&amp;$U$8&amp;$V$8&amp;A433&amp;$AF$6</f>
        <v>JARINU-FRG993097MQ.GIROFREEZER</v>
      </c>
      <c r="AG433" s="7" t="str">
        <f>Preencher!$B$3&amp;$U$8&amp;$V$8&amp;A433&amp;$AG$6</f>
        <v>JARINU-FRG993097MQ.GIROFREEZER (1)</v>
      </c>
      <c r="AH433" s="7" t="str">
        <f>Preencher!$B$3&amp;$U$8&amp;$V$8&amp;A433&amp;$AH$6</f>
        <v>JARINU-FRG993097MQ.GIROFREEZER (2)</v>
      </c>
      <c r="AI433" s="7" t="str">
        <f>Preencher!$B$3&amp;$U$8&amp;$V$8&amp;A433&amp;$AI$6</f>
        <v>JARINU-FRG993097MQ.GIROFREEZER REV04</v>
      </c>
      <c r="AJ433" s="7" t="str">
        <f>Preencher!$B$3&amp;$U$8&amp;$V$8&amp;A433&amp;$AJ$6</f>
        <v>JARINU-FRG993097MQ.GIROFREEZER (3)</v>
      </c>
      <c r="AK433" s="327">
        <f>IFERROR(SUMIF('BD Otimix'!A:A,'BD VOLUME'!AG433,'BD Otimix'!O:O)+SUMIF('BD Otimix'!A:A,'BD VOLUME'!AH433,'BD Otimix'!O:O)+SUMIF('BD Otimix'!A:A,'BD VOLUME'!AI433,'BD Otimix'!O:O)+SUMIF('BD Otimix'!A:A,'BD VOLUME'!AJ433,'BD Otimix'!O:O)+SUMIF('BD Otimix'!A:A,'BD VOLUME'!AF433,'BD Otimix'!O:O),0)</f>
        <v>0</v>
      </c>
      <c r="AL433" s="7">
        <f t="shared" si="108"/>
        <v>0</v>
      </c>
    </row>
    <row r="434" spans="1:38" s="4" customFormat="1" ht="14.25">
      <c r="A434" s="710">
        <v>993576</v>
      </c>
      <c r="B434" s="710"/>
      <c r="C434" s="5" t="s">
        <v>3163</v>
      </c>
      <c r="D434" s="75" t="s">
        <v>867</v>
      </c>
      <c r="E434" s="5" t="s">
        <v>1524</v>
      </c>
      <c r="F434" s="132">
        <f>SUMIF('COLAR PLANO'!$A:$A,A434,'COLAR PLANO'!$D:$D)</f>
        <v>0</v>
      </c>
      <c r="G434" s="131">
        <f t="shared" ref="G434" si="119">IFERROR(F434/($E$3*$C$3),0)</f>
        <v>0</v>
      </c>
      <c r="H434" s="6">
        <v>7.2280701754385959E-2</v>
      </c>
      <c r="I434" s="7">
        <f t="shared" ref="I434" si="120">IFERROR(G434/$D$3/H434,0)</f>
        <v>0</v>
      </c>
      <c r="J434" s="130">
        <f t="shared" si="106"/>
        <v>0</v>
      </c>
      <c r="K434" s="122">
        <v>2</v>
      </c>
      <c r="L434" s="122">
        <v>9</v>
      </c>
      <c r="M434" s="122">
        <v>18</v>
      </c>
      <c r="N434" s="311">
        <f t="shared" ref="N434" si="121">IFERROR(G434/K434,"-")</f>
        <v>0</v>
      </c>
      <c r="O434" s="311"/>
      <c r="P434" s="311">
        <f>IFERROR(G434/M434,"-")</f>
        <v>0</v>
      </c>
      <c r="Q434" s="311"/>
      <c r="R434" s="311"/>
      <c r="S434" s="7"/>
      <c r="T434" s="7"/>
      <c r="U434" s="7" t="s">
        <v>2288</v>
      </c>
      <c r="V434" s="7" t="s">
        <v>2289</v>
      </c>
      <c r="W434" s="7" t="str">
        <f>Preencher!$B$3&amp;U434&amp;V434&amp;A434&amp;$W$6</f>
        <v>JARINU-FRG993576MQ.TUNEL DE CG (CONTINUO)</v>
      </c>
      <c r="X434" s="7" t="str">
        <f>Preencher!$B$3&amp;U434&amp;V434&amp;A434&amp;$X$6</f>
        <v>JARINU-FRG993576MQ.TUNEL DE CG (CONTINUO) (1)</v>
      </c>
      <c r="Y434" s="7" t="str">
        <f>Preencher!$B$3&amp;U434&amp;V434&amp;A434&amp;$Y$6</f>
        <v>JARINU-FRG993576MQ.TUNEL DE CG (CONTINUO) (2)</v>
      </c>
      <c r="Z434" s="7" t="str">
        <f>Preencher!$B$3&amp;U434&amp;V434&amp;A434&amp;$Z$6</f>
        <v>JARINU-FRG993576MQ.TUNEL DE CG (CONTINUO) (3)</v>
      </c>
      <c r="AA434" s="7" t="str">
        <f>Preencher!$B$3&amp;U434&amp;V434&amp;A434&amp;$AA$6</f>
        <v>JARINU-FRG993576MQ.TUNEL DE CG (ESTATICO)</v>
      </c>
      <c r="AB434" s="7" t="str">
        <f>Preencher!$B$3&amp;U434&amp;V434&amp;A434&amp;$AB$6</f>
        <v>JARINU-FRG993576MQ.TUNEL DE CG (ESTATICO) (1)</v>
      </c>
      <c r="AC434" s="7" t="str">
        <f>Preencher!$B$3&amp;U434&amp;V434&amp;A434&amp;$AC$6</f>
        <v>JARINU-FRG993576MQ.TUNEL DE CG (ESTATICO) (2)</v>
      </c>
      <c r="AD434" s="327">
        <f>IFERROR(SUMIF('BD Otimix'!A:A,'BD VOLUME'!X434,'BD Otimix'!O:O)+SUMIF('BD Otimix'!A:A,'BD VOLUME'!Y434,'BD Otimix'!O:O)+SUMIF('BD Otimix'!A:A,'BD VOLUME'!Z434,'BD Otimix'!O:O)+SUMIF('BD Otimix'!A:A,'BD VOLUME'!AA434,'BD Otimix'!O:O)+SUMIF('BD Otimix'!A:A,'BD VOLUME'!AB434,'BD Otimix'!O:O)+SUMIF('BD Otimix'!A:A,'BD VOLUME'!AC434,'BD Otimix'!O:O)+SUMIF('BD Otimix'!A:A,'BD VOLUME'!W434,'BD Otimix'!O:O),0)</f>
        <v>0</v>
      </c>
      <c r="AE434" s="327">
        <f t="shared" si="107"/>
        <v>0</v>
      </c>
      <c r="AF434" s="7" t="str">
        <f>Preencher!$B$3&amp;$U$8&amp;$V$8&amp;A434&amp;$AF$6</f>
        <v>JARINU-FRG993576MQ.GIROFREEZER</v>
      </c>
      <c r="AG434" s="7" t="str">
        <f>Preencher!$B$3&amp;$U$8&amp;$V$8&amp;A434&amp;$AG$6</f>
        <v>JARINU-FRG993576MQ.GIROFREEZER (1)</v>
      </c>
      <c r="AH434" s="7" t="str">
        <f>Preencher!$B$3&amp;$U$8&amp;$V$8&amp;A434&amp;$AH$6</f>
        <v>JARINU-FRG993576MQ.GIROFREEZER (2)</v>
      </c>
      <c r="AI434" s="7" t="str">
        <f>Preencher!$B$3&amp;$U$8&amp;$V$8&amp;A434&amp;$AI$6</f>
        <v>JARINU-FRG993576MQ.GIROFREEZER REV04</v>
      </c>
      <c r="AJ434" s="7" t="str">
        <f>Preencher!$B$3&amp;$U$8&amp;$V$8&amp;A434&amp;$AJ$6</f>
        <v>JARINU-FRG993576MQ.GIROFREEZER (3)</v>
      </c>
      <c r="AK434" s="327">
        <f>IFERROR(SUMIF('BD Otimix'!A:A,'BD VOLUME'!AG434,'BD Otimix'!O:O)+SUMIF('BD Otimix'!A:A,'BD VOLUME'!AH434,'BD Otimix'!O:O)+SUMIF('BD Otimix'!A:A,'BD VOLUME'!AI434,'BD Otimix'!O:O)+SUMIF('BD Otimix'!A:A,'BD VOLUME'!AJ434,'BD Otimix'!O:O)+SUMIF('BD Otimix'!A:A,'BD VOLUME'!AF434,'BD Otimix'!O:O),0)</f>
        <v>0</v>
      </c>
      <c r="AL434" s="7">
        <f t="shared" si="108"/>
        <v>0</v>
      </c>
    </row>
    <row r="435" spans="1:38" s="4" customFormat="1" ht="14.25">
      <c r="A435" s="710">
        <v>992845</v>
      </c>
      <c r="B435" s="710"/>
      <c r="C435" s="5" t="s">
        <v>3040</v>
      </c>
      <c r="D435" s="75" t="s">
        <v>867</v>
      </c>
      <c r="E435" s="5" t="s">
        <v>1524</v>
      </c>
      <c r="F435" s="132">
        <f>SUMIF('COLAR PLANO'!$A:$A,A435,'COLAR PLANO'!$D:$D)</f>
        <v>0</v>
      </c>
      <c r="G435" s="131">
        <f t="shared" ref="G435" si="122">IFERROR(F435/($E$3*$C$3),0)</f>
        <v>0</v>
      </c>
      <c r="H435" s="6">
        <v>7.2280701754385959E-2</v>
      </c>
      <c r="I435" s="7">
        <f t="shared" ref="I435" si="123">IFERROR(G435/$D$3/H435,0)</f>
        <v>0</v>
      </c>
      <c r="J435" s="130">
        <f t="shared" si="106"/>
        <v>0</v>
      </c>
      <c r="K435" s="122">
        <v>15</v>
      </c>
      <c r="L435" s="122">
        <v>1</v>
      </c>
      <c r="M435" s="122">
        <v>15</v>
      </c>
      <c r="N435" s="311">
        <f t="shared" ref="N435" si="124">IFERROR(G435/K435,"-")</f>
        <v>0</v>
      </c>
      <c r="O435" s="311"/>
      <c r="P435" s="311">
        <f>IFERROR(G435/M435,"-")</f>
        <v>0</v>
      </c>
      <c r="Q435" s="311"/>
      <c r="R435" s="311"/>
      <c r="S435" s="7"/>
      <c r="T435" s="7"/>
      <c r="U435" s="7" t="s">
        <v>2288</v>
      </c>
      <c r="V435" s="7" t="s">
        <v>2289</v>
      </c>
      <c r="W435" s="7" t="str">
        <f>Preencher!$B$3&amp;U435&amp;V435&amp;A435&amp;$W$6</f>
        <v>JARINU-FRG992845MQ.TUNEL DE CG (CONTINUO)</v>
      </c>
      <c r="X435" s="7" t="str">
        <f>Preencher!$B$3&amp;U435&amp;V435&amp;A435&amp;$X$6</f>
        <v>JARINU-FRG992845MQ.TUNEL DE CG (CONTINUO) (1)</v>
      </c>
      <c r="Y435" s="7" t="str">
        <f>Preencher!$B$3&amp;U435&amp;V435&amp;A435&amp;$Y$6</f>
        <v>JARINU-FRG992845MQ.TUNEL DE CG (CONTINUO) (2)</v>
      </c>
      <c r="Z435" s="7" t="str">
        <f>Preencher!$B$3&amp;U435&amp;V435&amp;A435&amp;$Z$6</f>
        <v>JARINU-FRG992845MQ.TUNEL DE CG (CONTINUO) (3)</v>
      </c>
      <c r="AA435" s="7" t="str">
        <f>Preencher!$B$3&amp;U435&amp;V435&amp;A435&amp;$AA$6</f>
        <v>JARINU-FRG992845MQ.TUNEL DE CG (ESTATICO)</v>
      </c>
      <c r="AB435" s="7" t="str">
        <f>Preencher!$B$3&amp;U435&amp;V435&amp;A435&amp;$AB$6</f>
        <v>JARINU-FRG992845MQ.TUNEL DE CG (ESTATICO) (1)</v>
      </c>
      <c r="AC435" s="7" t="str">
        <f>Preencher!$B$3&amp;U435&amp;V435&amp;A435&amp;$AC$6</f>
        <v>JARINU-FRG992845MQ.TUNEL DE CG (ESTATICO) (2)</v>
      </c>
      <c r="AD435" s="327">
        <f>IFERROR(SUMIF('BD Otimix'!A:A,'BD VOLUME'!X435,'BD Otimix'!O:O)+SUMIF('BD Otimix'!A:A,'BD VOLUME'!Y435,'BD Otimix'!O:O)+SUMIF('BD Otimix'!A:A,'BD VOLUME'!Z435,'BD Otimix'!O:O)+SUMIF('BD Otimix'!A:A,'BD VOLUME'!AA435,'BD Otimix'!O:O)+SUMIF('BD Otimix'!A:A,'BD VOLUME'!AB435,'BD Otimix'!O:O)+SUMIF('BD Otimix'!A:A,'BD VOLUME'!AC435,'BD Otimix'!O:O)+SUMIF('BD Otimix'!A:A,'BD VOLUME'!W435,'BD Otimix'!O:O),0)</f>
        <v>0</v>
      </c>
      <c r="AE435" s="327">
        <f t="shared" si="107"/>
        <v>0</v>
      </c>
      <c r="AF435" s="7" t="str">
        <f>Preencher!$B$3&amp;$U$8&amp;$V$8&amp;A435&amp;$AF$6</f>
        <v>JARINU-FRG992845MQ.GIROFREEZER</v>
      </c>
      <c r="AG435" s="7" t="str">
        <f>Preencher!$B$3&amp;$U$8&amp;$V$8&amp;A435&amp;$AG$6</f>
        <v>JARINU-FRG992845MQ.GIROFREEZER (1)</v>
      </c>
      <c r="AH435" s="7" t="str">
        <f>Preencher!$B$3&amp;$U$8&amp;$V$8&amp;A435&amp;$AH$6</f>
        <v>JARINU-FRG992845MQ.GIROFREEZER (2)</v>
      </c>
      <c r="AI435" s="7" t="str">
        <f>Preencher!$B$3&amp;$U$8&amp;$V$8&amp;A435&amp;$AI$6</f>
        <v>JARINU-FRG992845MQ.GIROFREEZER REV04</v>
      </c>
      <c r="AJ435" s="7" t="str">
        <f>Preencher!$B$3&amp;$U$8&amp;$V$8&amp;A435&amp;$AJ$6</f>
        <v>JARINU-FRG992845MQ.GIROFREEZER (3)</v>
      </c>
      <c r="AK435" s="327">
        <f>IFERROR(SUMIF('BD Otimix'!A:A,'BD VOLUME'!AG435,'BD Otimix'!O:O)+SUMIF('BD Otimix'!A:A,'BD VOLUME'!AH435,'BD Otimix'!O:O)+SUMIF('BD Otimix'!A:A,'BD VOLUME'!AI435,'BD Otimix'!O:O)+SUMIF('BD Otimix'!A:A,'BD VOLUME'!AJ435,'BD Otimix'!O:O)+SUMIF('BD Otimix'!A:A,'BD VOLUME'!AF435,'BD Otimix'!O:O),0)</f>
        <v>0</v>
      </c>
      <c r="AL435" s="7">
        <f t="shared" si="108"/>
        <v>0</v>
      </c>
    </row>
    <row r="436" spans="1:38" s="4" customFormat="1" ht="14.25">
      <c r="A436" s="128"/>
      <c r="B436" s="128" t="s">
        <v>1022</v>
      </c>
      <c r="C436" s="5"/>
      <c r="D436" s="5"/>
      <c r="E436" s="5"/>
      <c r="F436" s="132"/>
      <c r="G436" s="131"/>
      <c r="H436" s="6"/>
      <c r="I436" s="7"/>
      <c r="J436" s="130"/>
      <c r="K436" s="156"/>
      <c r="L436" s="156"/>
      <c r="M436" s="156"/>
      <c r="N436" s="7"/>
      <c r="O436" s="7"/>
      <c r="P436" s="7"/>
      <c r="Q436" s="7"/>
      <c r="R436" s="7"/>
      <c r="S436" s="7"/>
      <c r="T436" s="7"/>
      <c r="U436" s="7" t="s">
        <v>2288</v>
      </c>
      <c r="V436" s="7" t="s">
        <v>2289</v>
      </c>
      <c r="W436" s="7" t="str">
        <f>Preencher!$B$3&amp;U436&amp;V436&amp;A436&amp;$W$6</f>
        <v>JARINU-FRGMQ.TUNEL DE CG (CONTINUO)</v>
      </c>
      <c r="X436" s="7" t="str">
        <f>Preencher!$B$3&amp;U436&amp;V436&amp;A436&amp;$X$6</f>
        <v>JARINU-FRGMQ.TUNEL DE CG (CONTINUO) (1)</v>
      </c>
      <c r="Y436" s="7" t="str">
        <f>Preencher!$B$3&amp;U436&amp;V436&amp;A436&amp;$Y$6</f>
        <v>JARINU-FRGMQ.TUNEL DE CG (CONTINUO) (2)</v>
      </c>
      <c r="Z436" s="7" t="str">
        <f>Preencher!$B$3&amp;U436&amp;V436&amp;A436&amp;$Z$6</f>
        <v>JARINU-FRGMQ.TUNEL DE CG (CONTINUO) (3)</v>
      </c>
      <c r="AA436" s="7" t="str">
        <f>Preencher!$B$3&amp;U436&amp;V436&amp;A436&amp;$AA$6</f>
        <v>JARINU-FRGMQ.TUNEL DE CG (ESTATICO)</v>
      </c>
      <c r="AB436" s="7" t="str">
        <f>Preencher!$B$3&amp;U436&amp;V436&amp;A436&amp;$AB$6</f>
        <v>JARINU-FRGMQ.TUNEL DE CG (ESTATICO) (1)</v>
      </c>
      <c r="AC436" s="7" t="str">
        <f>Preencher!$B$3&amp;U436&amp;V436&amp;A436&amp;$AC$6</f>
        <v>JARINU-FRGMQ.TUNEL DE CG (ESTATICO) (2)</v>
      </c>
      <c r="AD436" s="327">
        <f>IFERROR(SUMIF('BD Otimix'!A:A,'BD VOLUME'!X436,'BD Otimix'!O:O)+SUMIF('BD Otimix'!A:A,'BD VOLUME'!Y436,'BD Otimix'!O:O)+SUMIF('BD Otimix'!A:A,'BD VOLUME'!Z436,'BD Otimix'!O:O)+SUMIF('BD Otimix'!A:A,'BD VOLUME'!AA436,'BD Otimix'!O:O)+SUMIF('BD Otimix'!A:A,'BD VOLUME'!AB436,'BD Otimix'!O:O)+SUMIF('BD Otimix'!A:A,'BD VOLUME'!AC436,'BD Otimix'!O:O)+SUMIF('BD Otimix'!A:A,'BD VOLUME'!W436,'BD Otimix'!O:O),0)</f>
        <v>0</v>
      </c>
      <c r="AE436" s="327">
        <f t="shared" si="101"/>
        <v>0</v>
      </c>
      <c r="AF436" s="7" t="str">
        <f>Preencher!$B$3&amp;$U$8&amp;$V$8&amp;A436&amp;$AF$6</f>
        <v>JARINU-FRGMQ.GIROFREEZER</v>
      </c>
      <c r="AG436" s="7" t="str">
        <f>Preencher!$B$3&amp;$U$8&amp;$V$8&amp;A436&amp;$AG$6</f>
        <v>JARINU-FRGMQ.GIROFREEZER (1)</v>
      </c>
      <c r="AH436" s="7" t="str">
        <f>Preencher!$B$3&amp;$U$8&amp;$V$8&amp;A436&amp;$AH$6</f>
        <v>JARINU-FRGMQ.GIROFREEZER (2)</v>
      </c>
      <c r="AI436" s="7" t="str">
        <f>Preencher!$B$3&amp;$U$8&amp;$V$8&amp;A436&amp;$AI$6</f>
        <v>JARINU-FRGMQ.GIROFREEZER REV04</v>
      </c>
      <c r="AJ436" s="7" t="str">
        <f>Preencher!$B$3&amp;$U$8&amp;$V$8&amp;A436&amp;$AJ$6</f>
        <v>JARINU-FRGMQ.GIROFREEZER (3)</v>
      </c>
      <c r="AK436" s="327">
        <f>IFERROR(SUMIF('BD Otimix'!A:A,'BD VOLUME'!AG436,'BD Otimix'!O:O)+SUMIF('BD Otimix'!A:A,'BD VOLUME'!AH436,'BD Otimix'!O:O)+SUMIF('BD Otimix'!A:A,'BD VOLUME'!AI436,'BD Otimix'!O:O)+SUMIF('BD Otimix'!A:A,'BD VOLUME'!AJ436,'BD Otimix'!O:O)+SUMIF('BD Otimix'!A:A,'BD VOLUME'!AF436,'BD Otimix'!O:O),0)</f>
        <v>0</v>
      </c>
      <c r="AL436" s="7">
        <f t="shared" si="102"/>
        <v>0</v>
      </c>
    </row>
    <row r="437" spans="1:38" s="4" customFormat="1" ht="14.25">
      <c r="A437" s="146"/>
      <c r="B437" s="146"/>
      <c r="C437" s="9"/>
      <c r="D437" s="9"/>
      <c r="E437" s="9"/>
      <c r="F437" s="151"/>
      <c r="G437" s="150"/>
      <c r="H437" s="149"/>
      <c r="I437" s="147"/>
      <c r="J437" s="148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</row>
    <row r="438" spans="1:38">
      <c r="A438" s="138" t="s">
        <v>927</v>
      </c>
      <c r="B438" s="386">
        <f>B306</f>
        <v>4699.7389033942563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  <c r="AH438" s="138"/>
      <c r="AI438" s="138"/>
      <c r="AJ438" s="138"/>
      <c r="AK438" s="138"/>
      <c r="AL438" s="138"/>
    </row>
    <row r="439" spans="1:38">
      <c r="A439" s="128">
        <v>14567</v>
      </c>
      <c r="B439" s="128" t="s">
        <v>932</v>
      </c>
      <c r="C439" s="5" t="s">
        <v>929</v>
      </c>
      <c r="D439" s="5" t="s">
        <v>1603</v>
      </c>
      <c r="E439" s="5" t="s">
        <v>1599</v>
      </c>
      <c r="F439" s="132">
        <f>SUMIF('COLAR PLANO'!$A:$A,A439,'COLAR PLANO'!$D:$D)</f>
        <v>120657.60000000002</v>
      </c>
      <c r="G439" s="131">
        <f t="shared" ref="G439:G448" si="125">IFERROR(F439/($E$3*$C$3),0)</f>
        <v>572.78708758604341</v>
      </c>
      <c r="H439" s="6">
        <v>5.0999999999999997E-2</v>
      </c>
      <c r="I439" s="7">
        <f t="shared" ref="I439:I454" si="126">IFERROR(G439/$D$3/H439,0)</f>
        <v>3743.7064548107414</v>
      </c>
      <c r="J439" s="130">
        <f t="shared" ref="J439:J454" si="127">IFERROR(I439/$B$438,0)</f>
        <v>0.79657754010695214</v>
      </c>
      <c r="K439" s="128">
        <v>1</v>
      </c>
      <c r="L439" s="128">
        <v>12</v>
      </c>
      <c r="M439" s="128">
        <v>12</v>
      </c>
      <c r="N439" s="7">
        <f t="shared" ref="N439:N454" si="128">IFERROR(G439/K439,"-")</f>
        <v>572.78708758604341</v>
      </c>
      <c r="O439" s="7"/>
      <c r="P439" s="311">
        <f>IFERROR(G439/M439,"-")</f>
        <v>47.732257298836949</v>
      </c>
      <c r="Q439" s="7"/>
      <c r="R439" s="7"/>
      <c r="S439" s="7"/>
      <c r="T439" s="7"/>
      <c r="U439" s="7" t="s">
        <v>2288</v>
      </c>
      <c r="V439" s="7" t="s">
        <v>2289</v>
      </c>
      <c r="W439" s="7" t="str">
        <f>Preencher!$B$3&amp;U439&amp;V439&amp;A439&amp;$W$6</f>
        <v>JARINU-FRG14567MQ.TUNEL DE CG (CONTINUO)</v>
      </c>
      <c r="X439" s="7" t="str">
        <f>Preencher!$B$3&amp;U439&amp;V439&amp;A439&amp;$X$6</f>
        <v>JARINU-FRG14567MQ.TUNEL DE CG (CONTINUO) (1)</v>
      </c>
      <c r="Y439" s="7" t="str">
        <f>Preencher!$B$3&amp;U439&amp;V439&amp;A439&amp;$Y$6</f>
        <v>JARINU-FRG14567MQ.TUNEL DE CG (CONTINUO) (2)</v>
      </c>
      <c r="Z439" s="7" t="str">
        <f>Preencher!$B$3&amp;U439&amp;V439&amp;A439&amp;$Z$6</f>
        <v>JARINU-FRG14567MQ.TUNEL DE CG (CONTINUO) (3)</v>
      </c>
      <c r="AA439" s="7" t="str">
        <f>Preencher!$B$3&amp;U439&amp;V439&amp;A439&amp;$AA$6</f>
        <v>JARINU-FRG14567MQ.TUNEL DE CG (ESTATICO)</v>
      </c>
      <c r="AB439" s="7" t="str">
        <f>Preencher!$B$3&amp;U439&amp;V439&amp;A439&amp;$AB$6</f>
        <v>JARINU-FRG14567MQ.TUNEL DE CG (ESTATICO) (1)</v>
      </c>
      <c r="AC439" s="7" t="str">
        <f>Preencher!$B$3&amp;U439&amp;V439&amp;A439&amp;$AC$6</f>
        <v>JARINU-FRG14567MQ.TUNEL DE CG (ESTATICO) (2)</v>
      </c>
      <c r="AD439" s="327">
        <f>IFERROR(SUMIF('BD Otimix'!A:A,'BD VOLUME'!X439,'BD Otimix'!O:O)+SUMIF('BD Otimix'!A:A,'BD VOLUME'!Y439,'BD Otimix'!O:O)+SUMIF('BD Otimix'!A:A,'BD VOLUME'!Z439,'BD Otimix'!O:O)+SUMIF('BD Otimix'!A:A,'BD VOLUME'!AA439,'BD Otimix'!O:O)+SUMIF('BD Otimix'!A:A,'BD VOLUME'!AB439,'BD Otimix'!O:O)+SUMIF('BD Otimix'!A:A,'BD VOLUME'!AC439,'BD Otimix'!O:O)+SUMIF('BD Otimix'!A:A,'BD VOLUME'!W439,'BD Otimix'!O:O),0)</f>
        <v>0</v>
      </c>
      <c r="AE439" s="327">
        <f t="shared" ref="AE439:AE454" si="129">IFERROR(F439/$E$3/1000/AD439,0)</f>
        <v>0</v>
      </c>
      <c r="AF439" s="7" t="str">
        <f>Preencher!$B$3&amp;$U$8&amp;$V$8&amp;A439&amp;$AF$6</f>
        <v>JARINU-FRG14567MQ.GIROFREEZER</v>
      </c>
      <c r="AG439" s="7" t="str">
        <f>Preencher!$B$3&amp;$U$8&amp;$V$8&amp;A439&amp;$AG$6</f>
        <v>JARINU-FRG14567MQ.GIROFREEZER (1)</v>
      </c>
      <c r="AH439" s="7" t="str">
        <f>Preencher!$B$3&amp;$U$8&amp;$V$8&amp;A439&amp;$AH$6</f>
        <v>JARINU-FRG14567MQ.GIROFREEZER (2)</v>
      </c>
      <c r="AI439" s="7" t="str">
        <f>Preencher!$B$3&amp;$U$8&amp;$V$8&amp;A439&amp;$AI$6</f>
        <v>JARINU-FRG14567MQ.GIROFREEZER REV04</v>
      </c>
      <c r="AJ439" s="7" t="str">
        <f>Preencher!$B$3&amp;$U$8&amp;$V$8&amp;A439&amp;$AJ$6</f>
        <v>JARINU-FRG14567MQ.GIROFREEZER (3)</v>
      </c>
      <c r="AK439" s="327">
        <f>IFERROR(SUMIF('BD Otimix'!A:A,'BD VOLUME'!AG439,'BD Otimix'!O:O)+SUMIF('BD Otimix'!A:A,'BD VOLUME'!AH439,'BD Otimix'!O:O)+SUMIF('BD Otimix'!A:A,'BD VOLUME'!AI439,'BD Otimix'!O:O)+SUMIF('BD Otimix'!A:A,'BD VOLUME'!AJ439,'BD Otimix'!O:O)+SUMIF('BD Otimix'!A:A,'BD VOLUME'!AF439,'BD Otimix'!O:O),0)</f>
        <v>0</v>
      </c>
      <c r="AL439" s="7">
        <f t="shared" ref="AL439:AL454" si="130">IFERROR(F439/$E$3/1000/AK439,0)</f>
        <v>0</v>
      </c>
    </row>
    <row r="440" spans="1:38">
      <c r="A440" s="128">
        <v>19747</v>
      </c>
      <c r="B440" s="128"/>
      <c r="C440" s="5" t="s">
        <v>931</v>
      </c>
      <c r="D440" s="5" t="s">
        <v>1604</v>
      </c>
      <c r="E440" s="5" t="s">
        <v>1600</v>
      </c>
      <c r="F440" s="132">
        <f>SUMIF('COLAR PLANO'!$A:$A,A440,'COLAR PLANO'!$D:$D)</f>
        <v>0</v>
      </c>
      <c r="G440" s="131">
        <f t="shared" si="125"/>
        <v>0</v>
      </c>
      <c r="H440" s="6">
        <v>5.0799999999999998E-2</v>
      </c>
      <c r="I440" s="7">
        <f t="shared" si="126"/>
        <v>0</v>
      </c>
      <c r="J440" s="130">
        <f t="shared" si="127"/>
        <v>0</v>
      </c>
      <c r="K440" s="253">
        <v>6</v>
      </c>
      <c r="L440" s="253">
        <v>2</v>
      </c>
      <c r="M440" s="253">
        <v>12</v>
      </c>
      <c r="N440" s="7">
        <f t="shared" si="128"/>
        <v>0</v>
      </c>
      <c r="O440" s="7"/>
      <c r="P440" s="311">
        <f>IFERROR(G440/M440,"-")</f>
        <v>0</v>
      </c>
      <c r="Q440" s="7"/>
      <c r="R440" s="7"/>
      <c r="S440" s="7"/>
      <c r="T440" s="7"/>
      <c r="U440" s="7" t="s">
        <v>2288</v>
      </c>
      <c r="V440" s="7" t="s">
        <v>2289</v>
      </c>
      <c r="W440" s="7" t="str">
        <f>Preencher!$B$3&amp;U440&amp;V440&amp;A440&amp;$W$6</f>
        <v>JARINU-FRG19747MQ.TUNEL DE CG (CONTINUO)</v>
      </c>
      <c r="X440" s="7" t="str">
        <f>Preencher!$B$3&amp;U440&amp;V440&amp;A440&amp;$X$6</f>
        <v>JARINU-FRG19747MQ.TUNEL DE CG (CONTINUO) (1)</v>
      </c>
      <c r="Y440" s="7" t="str">
        <f>Preencher!$B$3&amp;U440&amp;V440&amp;A440&amp;$Y$6</f>
        <v>JARINU-FRG19747MQ.TUNEL DE CG (CONTINUO) (2)</v>
      </c>
      <c r="Z440" s="7" t="str">
        <f>Preencher!$B$3&amp;U440&amp;V440&amp;A440&amp;$Z$6</f>
        <v>JARINU-FRG19747MQ.TUNEL DE CG (CONTINUO) (3)</v>
      </c>
      <c r="AA440" s="7" t="str">
        <f>Preencher!$B$3&amp;U440&amp;V440&amp;A440&amp;$AA$6</f>
        <v>JARINU-FRG19747MQ.TUNEL DE CG (ESTATICO)</v>
      </c>
      <c r="AB440" s="7" t="str">
        <f>Preencher!$B$3&amp;U440&amp;V440&amp;A440&amp;$AB$6</f>
        <v>JARINU-FRG19747MQ.TUNEL DE CG (ESTATICO) (1)</v>
      </c>
      <c r="AC440" s="7" t="str">
        <f>Preencher!$B$3&amp;U440&amp;V440&amp;A440&amp;$AC$6</f>
        <v>JARINU-FRG19747MQ.TUNEL DE CG (ESTATICO) (2)</v>
      </c>
      <c r="AD440" s="327">
        <f>IFERROR(SUMIF('BD Otimix'!A:A,'BD VOLUME'!X440,'BD Otimix'!O:O)+SUMIF('BD Otimix'!A:A,'BD VOLUME'!Y440,'BD Otimix'!O:O)+SUMIF('BD Otimix'!A:A,'BD VOLUME'!Z440,'BD Otimix'!O:O)+SUMIF('BD Otimix'!A:A,'BD VOLUME'!AA440,'BD Otimix'!O:O)+SUMIF('BD Otimix'!A:A,'BD VOLUME'!AB440,'BD Otimix'!O:O)+SUMIF('BD Otimix'!A:A,'BD VOLUME'!AC440,'BD Otimix'!O:O)+SUMIF('BD Otimix'!A:A,'BD VOLUME'!W440,'BD Otimix'!O:O),0)</f>
        <v>0</v>
      </c>
      <c r="AE440" s="327">
        <f t="shared" si="129"/>
        <v>0</v>
      </c>
      <c r="AF440" s="7" t="str">
        <f>Preencher!$B$3&amp;$U$8&amp;$V$8&amp;A440&amp;$AF$6</f>
        <v>JARINU-FRG19747MQ.GIROFREEZER</v>
      </c>
      <c r="AG440" s="7" t="str">
        <f>Preencher!$B$3&amp;$U$8&amp;$V$8&amp;A440&amp;$AG$6</f>
        <v>JARINU-FRG19747MQ.GIROFREEZER (1)</v>
      </c>
      <c r="AH440" s="7" t="str">
        <f>Preencher!$B$3&amp;$U$8&amp;$V$8&amp;A440&amp;$AH$6</f>
        <v>JARINU-FRG19747MQ.GIROFREEZER (2)</v>
      </c>
      <c r="AI440" s="7" t="str">
        <f>Preencher!$B$3&amp;$U$8&amp;$V$8&amp;A440&amp;$AI$6</f>
        <v>JARINU-FRG19747MQ.GIROFREEZER REV04</v>
      </c>
      <c r="AJ440" s="7" t="str">
        <f>Preencher!$B$3&amp;$U$8&amp;$V$8&amp;A440&amp;$AJ$6</f>
        <v>JARINU-FRG19747MQ.GIROFREEZER (3)</v>
      </c>
      <c r="AK440" s="327">
        <f>IFERROR(SUMIF('BD Otimix'!A:A,'BD VOLUME'!AG440,'BD Otimix'!O:O)+SUMIF('BD Otimix'!A:A,'BD VOLUME'!AH440,'BD Otimix'!O:O)+SUMIF('BD Otimix'!A:A,'BD VOLUME'!AI440,'BD Otimix'!O:O)+SUMIF('BD Otimix'!A:A,'BD VOLUME'!AJ440,'BD Otimix'!O:O)+SUMIF('BD Otimix'!A:A,'BD VOLUME'!AF440,'BD Otimix'!O:O),0)</f>
        <v>0</v>
      </c>
      <c r="AL440" s="7">
        <f t="shared" si="130"/>
        <v>0</v>
      </c>
    </row>
    <row r="441" spans="1:38">
      <c r="A441" s="647">
        <v>31694</v>
      </c>
      <c r="B441" s="647"/>
      <c r="C441" s="5" t="s">
        <v>3109</v>
      </c>
      <c r="D441" s="5" t="s">
        <v>1604</v>
      </c>
      <c r="E441" s="5" t="s">
        <v>2394</v>
      </c>
      <c r="F441" s="132">
        <f>SUMIF('COLAR PLANO'!$A:$A,A441,'COLAR PLANO'!$D:$D)</f>
        <v>0</v>
      </c>
      <c r="G441" s="131">
        <f>IFERROR(F441/($E$3*$C$3),0)</f>
        <v>0</v>
      </c>
      <c r="H441" s="6">
        <v>5.0799999999999998E-2</v>
      </c>
      <c r="I441" s="7">
        <f t="shared" si="126"/>
        <v>0</v>
      </c>
      <c r="J441" s="130">
        <f t="shared" si="127"/>
        <v>0</v>
      </c>
      <c r="K441" s="647">
        <v>7.5</v>
      </c>
      <c r="L441" s="647">
        <v>2</v>
      </c>
      <c r="M441" s="647">
        <v>15</v>
      </c>
      <c r="N441" s="7">
        <f t="shared" si="128"/>
        <v>0</v>
      </c>
      <c r="O441" s="7"/>
      <c r="P441" s="311"/>
      <c r="Q441" s="311">
        <f>IFERROR(G441/M441,"-")</f>
        <v>0</v>
      </c>
      <c r="R441" s="7"/>
      <c r="S441" s="7"/>
      <c r="T441" s="7"/>
      <c r="U441" s="7" t="s">
        <v>2288</v>
      </c>
      <c r="V441" s="7" t="s">
        <v>2289</v>
      </c>
      <c r="W441" s="7" t="str">
        <f>Preencher!$B$3&amp;U441&amp;V441&amp;A441&amp;$W$6</f>
        <v>JARINU-FRG31694MQ.TUNEL DE CG (CONTINUO)</v>
      </c>
      <c r="X441" s="7" t="str">
        <f>Preencher!$B$3&amp;U441&amp;V441&amp;A441&amp;$X$6</f>
        <v>JARINU-FRG31694MQ.TUNEL DE CG (CONTINUO) (1)</v>
      </c>
      <c r="Y441" s="7" t="str">
        <f>Preencher!$B$3&amp;U441&amp;V441&amp;A441&amp;$Y$6</f>
        <v>JARINU-FRG31694MQ.TUNEL DE CG (CONTINUO) (2)</v>
      </c>
      <c r="Z441" s="7" t="str">
        <f>Preencher!$B$3&amp;U441&amp;V441&amp;A441&amp;$Z$6</f>
        <v>JARINU-FRG31694MQ.TUNEL DE CG (CONTINUO) (3)</v>
      </c>
      <c r="AA441" s="7" t="str">
        <f>Preencher!$B$3&amp;U441&amp;V441&amp;A441&amp;$AA$6</f>
        <v>JARINU-FRG31694MQ.TUNEL DE CG (ESTATICO)</v>
      </c>
      <c r="AB441" s="7" t="str">
        <f>Preencher!$B$3&amp;U441&amp;V441&amp;A441&amp;$AB$6</f>
        <v>JARINU-FRG31694MQ.TUNEL DE CG (ESTATICO) (1)</v>
      </c>
      <c r="AC441" s="7" t="str">
        <f>Preencher!$B$3&amp;U441&amp;V441&amp;A441&amp;$AC$6</f>
        <v>JARINU-FRG31694MQ.TUNEL DE CG (ESTATICO) (2)</v>
      </c>
      <c r="AD441" s="327">
        <f>IFERROR(SUMIF('BD Otimix'!A:A,'BD VOLUME'!X441,'BD Otimix'!O:O)+SUMIF('BD Otimix'!A:A,'BD VOLUME'!Y441,'BD Otimix'!O:O)+SUMIF('BD Otimix'!A:A,'BD VOLUME'!Z441,'BD Otimix'!O:O)+SUMIF('BD Otimix'!A:A,'BD VOLUME'!AA441,'BD Otimix'!O:O)+SUMIF('BD Otimix'!A:A,'BD VOLUME'!AB441,'BD Otimix'!O:O)+SUMIF('BD Otimix'!A:A,'BD VOLUME'!AC441,'BD Otimix'!O:O)+SUMIF('BD Otimix'!A:A,'BD VOLUME'!W441,'BD Otimix'!O:O),0)</f>
        <v>0</v>
      </c>
      <c r="AE441" s="327">
        <f t="shared" si="129"/>
        <v>0</v>
      </c>
      <c r="AF441" s="7" t="str">
        <f>Preencher!$B$3&amp;$U$8&amp;$V$8&amp;A441&amp;$AF$6</f>
        <v>JARINU-FRG31694MQ.GIROFREEZER</v>
      </c>
      <c r="AG441" s="7" t="str">
        <f>Preencher!$B$3&amp;$U$8&amp;$V$8&amp;A441&amp;$AG$6</f>
        <v>JARINU-FRG31694MQ.GIROFREEZER (1)</v>
      </c>
      <c r="AH441" s="7" t="str">
        <f>Preencher!$B$3&amp;$U$8&amp;$V$8&amp;A441&amp;$AH$6</f>
        <v>JARINU-FRG31694MQ.GIROFREEZER (2)</v>
      </c>
      <c r="AI441" s="7" t="str">
        <f>Preencher!$B$3&amp;$U$8&amp;$V$8&amp;A441&amp;$AI$6</f>
        <v>JARINU-FRG31694MQ.GIROFREEZER REV04</v>
      </c>
      <c r="AJ441" s="7" t="str">
        <f>Preencher!$B$3&amp;$U$8&amp;$V$8&amp;A441&amp;$AJ$6</f>
        <v>JARINU-FRG31694MQ.GIROFREEZER (3)</v>
      </c>
      <c r="AK441" s="327">
        <f>IFERROR(SUMIF('BD Otimix'!A:A,'BD VOLUME'!AG441,'BD Otimix'!O:O)+SUMIF('BD Otimix'!A:A,'BD VOLUME'!AH441,'BD Otimix'!O:O)+SUMIF('BD Otimix'!A:A,'BD VOLUME'!AI441,'BD Otimix'!O:O)+SUMIF('BD Otimix'!A:A,'BD VOLUME'!AJ441,'BD Otimix'!O:O)+SUMIF('BD Otimix'!A:A,'BD VOLUME'!AF441,'BD Otimix'!O:O),0)</f>
        <v>0</v>
      </c>
      <c r="AL441" s="7">
        <f t="shared" si="130"/>
        <v>0</v>
      </c>
    </row>
    <row r="442" spans="1:38">
      <c r="A442" s="128">
        <v>197734</v>
      </c>
      <c r="B442" s="128" t="s">
        <v>930</v>
      </c>
      <c r="C442" s="5" t="s">
        <v>929</v>
      </c>
      <c r="D442" s="5" t="s">
        <v>1603</v>
      </c>
      <c r="E442" s="5" t="s">
        <v>926</v>
      </c>
      <c r="F442" s="132">
        <f>SUMIF('COLAR PLANO'!$A:$A,A442,'COLAR PLANO'!$D:$D)</f>
        <v>0</v>
      </c>
      <c r="G442" s="131">
        <f t="shared" si="125"/>
        <v>0</v>
      </c>
      <c r="H442" s="6">
        <v>5.0799999999999998E-2</v>
      </c>
      <c r="I442" s="7">
        <f t="shared" si="126"/>
        <v>0</v>
      </c>
      <c r="J442" s="130">
        <f t="shared" si="127"/>
        <v>0</v>
      </c>
      <c r="K442" s="128">
        <v>1</v>
      </c>
      <c r="L442" s="128">
        <v>12</v>
      </c>
      <c r="M442" s="128">
        <v>12</v>
      </c>
      <c r="N442" s="7">
        <f t="shared" si="128"/>
        <v>0</v>
      </c>
      <c r="O442" s="7"/>
      <c r="P442" s="311">
        <f>IFERROR(G442/M442,"-")</f>
        <v>0</v>
      </c>
      <c r="Q442" s="7"/>
      <c r="R442" s="7"/>
      <c r="S442" s="7"/>
      <c r="T442" s="7"/>
      <c r="U442" s="7" t="s">
        <v>2288</v>
      </c>
      <c r="V442" s="7" t="s">
        <v>2289</v>
      </c>
      <c r="W442" s="7" t="str">
        <f>Preencher!$B$3&amp;U442&amp;V442&amp;A442&amp;$W$6</f>
        <v>JARINU-FRG197734MQ.TUNEL DE CG (CONTINUO)</v>
      </c>
      <c r="X442" s="7" t="str">
        <f>Preencher!$B$3&amp;U442&amp;V442&amp;A442&amp;$X$6</f>
        <v>JARINU-FRG197734MQ.TUNEL DE CG (CONTINUO) (1)</v>
      </c>
      <c r="Y442" s="7" t="str">
        <f>Preencher!$B$3&amp;U442&amp;V442&amp;A442&amp;$Y$6</f>
        <v>JARINU-FRG197734MQ.TUNEL DE CG (CONTINUO) (2)</v>
      </c>
      <c r="Z442" s="7" t="str">
        <f>Preencher!$B$3&amp;U442&amp;V442&amp;A442&amp;$Z$6</f>
        <v>JARINU-FRG197734MQ.TUNEL DE CG (CONTINUO) (3)</v>
      </c>
      <c r="AA442" s="7" t="str">
        <f>Preencher!$B$3&amp;U442&amp;V442&amp;A442&amp;$AA$6</f>
        <v>JARINU-FRG197734MQ.TUNEL DE CG (ESTATICO)</v>
      </c>
      <c r="AB442" s="7" t="str">
        <f>Preencher!$B$3&amp;U442&amp;V442&amp;A442&amp;$AB$6</f>
        <v>JARINU-FRG197734MQ.TUNEL DE CG (ESTATICO) (1)</v>
      </c>
      <c r="AC442" s="7" t="str">
        <f>Preencher!$B$3&amp;U442&amp;V442&amp;A442&amp;$AC$6</f>
        <v>JARINU-FRG197734MQ.TUNEL DE CG (ESTATICO) (2)</v>
      </c>
      <c r="AD442" s="327">
        <f>IFERROR(SUMIF('BD Otimix'!A:A,'BD VOLUME'!X442,'BD Otimix'!O:O)+SUMIF('BD Otimix'!A:A,'BD VOLUME'!Y442,'BD Otimix'!O:O)+SUMIF('BD Otimix'!A:A,'BD VOLUME'!Z442,'BD Otimix'!O:O)+SUMIF('BD Otimix'!A:A,'BD VOLUME'!AA442,'BD Otimix'!O:O)+SUMIF('BD Otimix'!A:A,'BD VOLUME'!AB442,'BD Otimix'!O:O)+SUMIF('BD Otimix'!A:A,'BD VOLUME'!AC442,'BD Otimix'!O:O)+SUMIF('BD Otimix'!A:A,'BD VOLUME'!W442,'BD Otimix'!O:O),0)</f>
        <v>0</v>
      </c>
      <c r="AE442" s="327">
        <f t="shared" si="129"/>
        <v>0</v>
      </c>
      <c r="AF442" s="7" t="str">
        <f>Preencher!$B$3&amp;$U$8&amp;$V$8&amp;A442&amp;$AF$6</f>
        <v>JARINU-FRG197734MQ.GIROFREEZER</v>
      </c>
      <c r="AG442" s="7" t="str">
        <f>Preencher!$B$3&amp;$U$8&amp;$V$8&amp;A442&amp;$AG$6</f>
        <v>JARINU-FRG197734MQ.GIROFREEZER (1)</v>
      </c>
      <c r="AH442" s="7" t="str">
        <f>Preencher!$B$3&amp;$U$8&amp;$V$8&amp;A442&amp;$AH$6</f>
        <v>JARINU-FRG197734MQ.GIROFREEZER (2)</v>
      </c>
      <c r="AI442" s="7" t="str">
        <f>Preencher!$B$3&amp;$U$8&amp;$V$8&amp;A442&amp;$AI$6</f>
        <v>JARINU-FRG197734MQ.GIROFREEZER REV04</v>
      </c>
      <c r="AJ442" s="7" t="str">
        <f>Preencher!$B$3&amp;$U$8&amp;$V$8&amp;A442&amp;$AJ$6</f>
        <v>JARINU-FRG197734MQ.GIROFREEZER (3)</v>
      </c>
      <c r="AK442" s="672">
        <f>IFERROR(SUMIF('BD Otimix'!A:A,'BD VOLUME'!AG442,'BD Otimix'!O:O)+SUMIF('BD Otimix'!A:A,'BD VOLUME'!AH442,'BD Otimix'!O:O)+SUMIF('BD Otimix'!A:A,'BD VOLUME'!AI442,'BD Otimix'!O:O)+SUMIF('BD Otimix'!A:A,'BD VOLUME'!AJ442,'BD Otimix'!O:O)+SUMIF('BD Otimix'!A:A,'BD VOLUME'!AF442,'BD Otimix'!O:O),0)</f>
        <v>0</v>
      </c>
      <c r="AL442" s="7">
        <f t="shared" si="130"/>
        <v>0</v>
      </c>
    </row>
    <row r="443" spans="1:38">
      <c r="A443" s="720">
        <v>983667</v>
      </c>
      <c r="B443" s="720" t="s">
        <v>2773</v>
      </c>
      <c r="C443" s="5" t="s">
        <v>2774</v>
      </c>
      <c r="D443" s="5" t="s">
        <v>1603</v>
      </c>
      <c r="E443" s="5" t="s">
        <v>926</v>
      </c>
      <c r="F443" s="132">
        <f>SUMIF('COLAR PLANO'!$A:$A,A443,'COLAR PLANO'!$D:$D)</f>
        <v>0</v>
      </c>
      <c r="G443" s="131">
        <f>IFERROR(F443/($E$3*$C$3),0)</f>
        <v>0</v>
      </c>
      <c r="H443" s="6">
        <v>5.0799999999999998E-2</v>
      </c>
      <c r="I443" s="7">
        <f>IFERROR(G443/$D$3/H443,0)</f>
        <v>0</v>
      </c>
      <c r="J443" s="130">
        <f>IFERROR(I443/$B$438,0)</f>
        <v>0</v>
      </c>
      <c r="K443" s="720">
        <v>1</v>
      </c>
      <c r="L443" s="720">
        <v>12</v>
      </c>
      <c r="M443" s="720">
        <v>12</v>
      </c>
      <c r="N443" s="7">
        <f>IFERROR(G443/K443,"-")</f>
        <v>0</v>
      </c>
      <c r="O443" s="7"/>
      <c r="P443" s="311">
        <f>IFERROR(G443/M443,"-")</f>
        <v>0</v>
      </c>
      <c r="Q443" s="7"/>
      <c r="R443" s="7"/>
      <c r="S443" s="7"/>
      <c r="T443" s="7"/>
      <c r="U443" s="7" t="s">
        <v>2288</v>
      </c>
      <c r="V443" s="7" t="s">
        <v>2289</v>
      </c>
      <c r="W443" s="7" t="str">
        <f>Preencher!$B$3&amp;U443&amp;V443&amp;A443&amp;$W$6</f>
        <v>JARINU-FRG983667MQ.TUNEL DE CG (CONTINUO)</v>
      </c>
      <c r="X443" s="7" t="str">
        <f>Preencher!$B$3&amp;U443&amp;V443&amp;A443&amp;$X$6</f>
        <v>JARINU-FRG983667MQ.TUNEL DE CG (CONTINUO) (1)</v>
      </c>
      <c r="Y443" s="7" t="str">
        <f>Preencher!$B$3&amp;U443&amp;V443&amp;A443&amp;$Y$6</f>
        <v>JARINU-FRG983667MQ.TUNEL DE CG (CONTINUO) (2)</v>
      </c>
      <c r="Z443" s="7" t="str">
        <f>Preencher!$B$3&amp;U443&amp;V443&amp;A443&amp;$Z$6</f>
        <v>JARINU-FRG983667MQ.TUNEL DE CG (CONTINUO) (3)</v>
      </c>
      <c r="AA443" s="7" t="str">
        <f>Preencher!$B$3&amp;U443&amp;V443&amp;A443&amp;$AA$6</f>
        <v>JARINU-FRG983667MQ.TUNEL DE CG (ESTATICO)</v>
      </c>
      <c r="AB443" s="7" t="str">
        <f>Preencher!$B$3&amp;U443&amp;V443&amp;A443&amp;$AB$6</f>
        <v>JARINU-FRG983667MQ.TUNEL DE CG (ESTATICO) (1)</v>
      </c>
      <c r="AC443" s="7" t="str">
        <f>Preencher!$B$3&amp;U443&amp;V443&amp;A443&amp;$AC$6</f>
        <v>JARINU-FRG983667MQ.TUNEL DE CG (ESTATICO) (2)</v>
      </c>
      <c r="AD443" s="327">
        <f>IFERROR(SUMIF('BD Otimix'!A:A,'BD VOLUME'!X443,'BD Otimix'!O:O)+SUMIF('BD Otimix'!A:A,'BD VOLUME'!Y443,'BD Otimix'!O:O)+SUMIF('BD Otimix'!A:A,'BD VOLUME'!Z443,'BD Otimix'!O:O)+SUMIF('BD Otimix'!A:A,'BD VOLUME'!AA443,'BD Otimix'!O:O)+SUMIF('BD Otimix'!A:A,'BD VOLUME'!AB443,'BD Otimix'!O:O)+SUMIF('BD Otimix'!A:A,'BD VOLUME'!AC443,'BD Otimix'!O:O)+SUMIF('BD Otimix'!A:A,'BD VOLUME'!W443,'BD Otimix'!O:O),0)</f>
        <v>0</v>
      </c>
      <c r="AE443" s="327">
        <f>IFERROR(F443/$E$3/1000/AD443,0)</f>
        <v>0</v>
      </c>
      <c r="AF443" s="7" t="str">
        <f>Preencher!$B$3&amp;$U$8&amp;$V$8&amp;A443&amp;$AF$6</f>
        <v>JARINU-FRG983667MQ.GIROFREEZER</v>
      </c>
      <c r="AG443" s="7" t="str">
        <f>Preencher!$B$3&amp;$U$8&amp;$V$8&amp;A443&amp;$AG$6</f>
        <v>JARINU-FRG983667MQ.GIROFREEZER (1)</v>
      </c>
      <c r="AH443" s="7" t="str">
        <f>Preencher!$B$3&amp;$U$8&amp;$V$8&amp;A443&amp;$AH$6</f>
        <v>JARINU-FRG983667MQ.GIROFREEZER (2)</v>
      </c>
      <c r="AI443" s="7" t="str">
        <f>Preencher!$B$3&amp;$U$8&amp;$V$8&amp;A443&amp;$AI$6</f>
        <v>JARINU-FRG983667MQ.GIROFREEZER REV04</v>
      </c>
      <c r="AJ443" s="7" t="str">
        <f>Preencher!$B$3&amp;$U$8&amp;$V$8&amp;A443&amp;$AJ$6</f>
        <v>JARINU-FRG983667MQ.GIROFREEZER (3)</v>
      </c>
      <c r="AK443" s="672">
        <f>IFERROR(SUMIF('BD Otimix'!A:A,'BD VOLUME'!AG443,'BD Otimix'!O:O)+SUMIF('BD Otimix'!A:A,'BD VOLUME'!AH443,'BD Otimix'!O:O)+SUMIF('BD Otimix'!A:A,'BD VOLUME'!AI443,'BD Otimix'!O:O)+SUMIF('BD Otimix'!A:A,'BD VOLUME'!AJ443,'BD Otimix'!O:O)+SUMIF('BD Otimix'!A:A,'BD VOLUME'!AF443,'BD Otimix'!O:O),0)</f>
        <v>0</v>
      </c>
      <c r="AL443" s="7">
        <f>IFERROR(F443/$E$3/1000/AK443,0)</f>
        <v>0</v>
      </c>
    </row>
    <row r="444" spans="1:38">
      <c r="A444" s="720">
        <v>223309</v>
      </c>
      <c r="B444" s="720" t="s">
        <v>3013</v>
      </c>
      <c r="C444" s="5" t="s">
        <v>3014</v>
      </c>
      <c r="D444" s="5" t="s">
        <v>1603</v>
      </c>
      <c r="E444" s="5" t="s">
        <v>926</v>
      </c>
      <c r="F444" s="132">
        <f>SUMIF('COLAR PLANO'!$A:$A,A444,'COLAR PLANO'!$D:$D)</f>
        <v>0</v>
      </c>
      <c r="G444" s="131">
        <f>IFERROR(F444/($E$3*$C$3),0)</f>
        <v>0</v>
      </c>
      <c r="H444" s="6">
        <v>5.0799999999999998E-2</v>
      </c>
      <c r="I444" s="7">
        <f>IFERROR(G444/$D$3/H444,0)</f>
        <v>0</v>
      </c>
      <c r="J444" s="130">
        <f>IFERROR(I444/$B$438,0)</f>
        <v>0</v>
      </c>
      <c r="K444" s="740">
        <v>1</v>
      </c>
      <c r="L444" s="740">
        <v>12</v>
      </c>
      <c r="M444" s="740">
        <v>12</v>
      </c>
      <c r="N444" s="7">
        <f>IFERROR(G444/K444,"-")</f>
        <v>0</v>
      </c>
      <c r="O444" s="7"/>
      <c r="P444" s="311">
        <f>IFERROR(G444/M444,"-")</f>
        <v>0</v>
      </c>
      <c r="Q444" s="7"/>
      <c r="R444" s="7"/>
      <c r="S444" s="7"/>
      <c r="T444" s="7"/>
      <c r="U444" s="7" t="s">
        <v>2288</v>
      </c>
      <c r="V444" s="7" t="s">
        <v>2289</v>
      </c>
      <c r="W444" s="7" t="str">
        <f>Preencher!$B$3&amp;U444&amp;V444&amp;A444&amp;$W$6</f>
        <v>JARINU-FRG223309MQ.TUNEL DE CG (CONTINUO)</v>
      </c>
      <c r="X444" s="7" t="str">
        <f>Preencher!$B$3&amp;U444&amp;V444&amp;A444&amp;$X$6</f>
        <v>JARINU-FRG223309MQ.TUNEL DE CG (CONTINUO) (1)</v>
      </c>
      <c r="Y444" s="7" t="str">
        <f>Preencher!$B$3&amp;U444&amp;V444&amp;A444&amp;$Y$6</f>
        <v>JARINU-FRG223309MQ.TUNEL DE CG (CONTINUO) (2)</v>
      </c>
      <c r="Z444" s="7" t="str">
        <f>Preencher!$B$3&amp;U444&amp;V444&amp;A444&amp;$Z$6</f>
        <v>JARINU-FRG223309MQ.TUNEL DE CG (CONTINUO) (3)</v>
      </c>
      <c r="AA444" s="7" t="str">
        <f>Preencher!$B$3&amp;U444&amp;V444&amp;A444&amp;$AA$6</f>
        <v>JARINU-FRG223309MQ.TUNEL DE CG (ESTATICO)</v>
      </c>
      <c r="AB444" s="7" t="str">
        <f>Preencher!$B$3&amp;U444&amp;V444&amp;A444&amp;$AB$6</f>
        <v>JARINU-FRG223309MQ.TUNEL DE CG (ESTATICO) (1)</v>
      </c>
      <c r="AC444" s="7" t="str">
        <f>Preencher!$B$3&amp;U444&amp;V444&amp;A444&amp;$AC$6</f>
        <v>JARINU-FRG223309MQ.TUNEL DE CG (ESTATICO) (2)</v>
      </c>
      <c r="AD444" s="327">
        <f>IFERROR(SUMIF('BD Otimix'!A:A,'BD VOLUME'!X444,'BD Otimix'!O:O)+SUMIF('BD Otimix'!A:A,'BD VOLUME'!Y444,'BD Otimix'!O:O)+SUMIF('BD Otimix'!A:A,'BD VOLUME'!Z444,'BD Otimix'!O:O)+SUMIF('BD Otimix'!A:A,'BD VOLUME'!AA444,'BD Otimix'!O:O)+SUMIF('BD Otimix'!A:A,'BD VOLUME'!AB444,'BD Otimix'!O:O)+SUMIF('BD Otimix'!A:A,'BD VOLUME'!AC444,'BD Otimix'!O:O)+SUMIF('BD Otimix'!A:A,'BD VOLUME'!W444,'BD Otimix'!O:O),0)</f>
        <v>0</v>
      </c>
      <c r="AE444" s="327">
        <f>IFERROR(F444/$E$3/1000/AD444,0)</f>
        <v>0</v>
      </c>
      <c r="AF444" s="7" t="str">
        <f>Preencher!$B$3&amp;$U$8&amp;$V$8&amp;A444&amp;$AF$6</f>
        <v>JARINU-FRG223309MQ.GIROFREEZER</v>
      </c>
      <c r="AG444" s="7" t="str">
        <f>Preencher!$B$3&amp;$U$8&amp;$V$8&amp;A444&amp;$AG$6</f>
        <v>JARINU-FRG223309MQ.GIROFREEZER (1)</v>
      </c>
      <c r="AH444" s="7" t="str">
        <f>Preencher!$B$3&amp;$U$8&amp;$V$8&amp;A444&amp;$AH$6</f>
        <v>JARINU-FRG223309MQ.GIROFREEZER (2)</v>
      </c>
      <c r="AI444" s="7" t="str">
        <f>Preencher!$B$3&amp;$U$8&amp;$V$8&amp;A444&amp;$AI$6</f>
        <v>JARINU-FRG223309MQ.GIROFREEZER REV04</v>
      </c>
      <c r="AJ444" s="7" t="str">
        <f>Preencher!$B$3&amp;$U$8&amp;$V$8&amp;A444&amp;$AJ$6</f>
        <v>JARINU-FRG223309MQ.GIROFREEZER (3)</v>
      </c>
      <c r="AK444" s="672">
        <f>IFERROR(SUMIF('BD Otimix'!A:A,'BD VOLUME'!AG444,'BD Otimix'!O:O)+SUMIF('BD Otimix'!A:A,'BD VOLUME'!AH444,'BD Otimix'!O:O)+SUMIF('BD Otimix'!A:A,'BD VOLUME'!AI444,'BD Otimix'!O:O)+SUMIF('BD Otimix'!A:A,'BD VOLUME'!AJ444,'BD Otimix'!O:O)+SUMIF('BD Otimix'!A:A,'BD VOLUME'!AF444,'BD Otimix'!O:O),0)</f>
        <v>0</v>
      </c>
      <c r="AL444" s="7">
        <f>IFERROR(F444/$E$3/1000/AK444,0)</f>
        <v>0</v>
      </c>
    </row>
    <row r="445" spans="1:38">
      <c r="A445" s="223">
        <v>977357</v>
      </c>
      <c r="B445" s="223" t="s">
        <v>2346</v>
      </c>
      <c r="C445" s="5" t="s">
        <v>2347</v>
      </c>
      <c r="D445" s="5" t="s">
        <v>1604</v>
      </c>
      <c r="E445" s="5" t="s">
        <v>2402</v>
      </c>
      <c r="F445" s="132">
        <f>SUMIF('COLAR PLANO'!$A:$A,A445,'COLAR PLANO'!$D:$D)</f>
        <v>0</v>
      </c>
      <c r="G445" s="131">
        <f t="shared" si="125"/>
        <v>0</v>
      </c>
      <c r="H445" s="6">
        <v>5.0799999999999998E-2</v>
      </c>
      <c r="I445" s="7">
        <f t="shared" si="126"/>
        <v>0</v>
      </c>
      <c r="J445" s="130">
        <f t="shared" si="127"/>
        <v>0</v>
      </c>
      <c r="K445" s="647">
        <v>15</v>
      </c>
      <c r="L445" s="647">
        <v>1</v>
      </c>
      <c r="M445" s="647">
        <v>15</v>
      </c>
      <c r="N445" s="7">
        <f t="shared" si="128"/>
        <v>0</v>
      </c>
      <c r="O445" s="7"/>
      <c r="P445" s="311">
        <f>IFERROR(G445/M445,"-")</f>
        <v>0</v>
      </c>
      <c r="Q445" s="7"/>
      <c r="R445" s="7"/>
      <c r="S445" s="7"/>
      <c r="T445" s="7"/>
      <c r="U445" s="7" t="s">
        <v>2288</v>
      </c>
      <c r="V445" s="7" t="s">
        <v>2289</v>
      </c>
      <c r="W445" s="7" t="str">
        <f>Preencher!$B$3&amp;U445&amp;V445&amp;A445&amp;$W$6</f>
        <v>JARINU-FRG977357MQ.TUNEL DE CG (CONTINUO)</v>
      </c>
      <c r="X445" s="7" t="str">
        <f>Preencher!$B$3&amp;U445&amp;V445&amp;A445&amp;$X$6</f>
        <v>JARINU-FRG977357MQ.TUNEL DE CG (CONTINUO) (1)</v>
      </c>
      <c r="Y445" s="7" t="str">
        <f>Preencher!$B$3&amp;U445&amp;V445&amp;A445&amp;$Y$6</f>
        <v>JARINU-FRG977357MQ.TUNEL DE CG (CONTINUO) (2)</v>
      </c>
      <c r="Z445" s="7" t="str">
        <f>Preencher!$B$3&amp;U445&amp;V445&amp;A445&amp;$Z$6</f>
        <v>JARINU-FRG977357MQ.TUNEL DE CG (CONTINUO) (3)</v>
      </c>
      <c r="AA445" s="7" t="str">
        <f>Preencher!$B$3&amp;U445&amp;V445&amp;A445&amp;$AA$6</f>
        <v>JARINU-FRG977357MQ.TUNEL DE CG (ESTATICO)</v>
      </c>
      <c r="AB445" s="7" t="str">
        <f>Preencher!$B$3&amp;U445&amp;V445&amp;A445&amp;$AB$6</f>
        <v>JARINU-FRG977357MQ.TUNEL DE CG (ESTATICO) (1)</v>
      </c>
      <c r="AC445" s="7" t="str">
        <f>Preencher!$B$3&amp;U445&amp;V445&amp;A445&amp;$AC$6</f>
        <v>JARINU-FRG977357MQ.TUNEL DE CG (ESTATICO) (2)</v>
      </c>
      <c r="AD445" s="327">
        <f>IFERROR(SUMIF('BD Otimix'!A:A,'BD VOLUME'!X445,'BD Otimix'!O:O)+SUMIF('BD Otimix'!A:A,'BD VOLUME'!Y445,'BD Otimix'!O:O)+SUMIF('BD Otimix'!A:A,'BD VOLUME'!Z445,'BD Otimix'!O:O)+SUMIF('BD Otimix'!A:A,'BD VOLUME'!AA445,'BD Otimix'!O:O)+SUMIF('BD Otimix'!A:A,'BD VOLUME'!AB445,'BD Otimix'!O:O)+SUMIF('BD Otimix'!A:A,'BD VOLUME'!AC445,'BD Otimix'!O:O)+SUMIF('BD Otimix'!A:A,'BD VOLUME'!W445,'BD Otimix'!O:O),0)</f>
        <v>0</v>
      </c>
      <c r="AE445" s="327">
        <f t="shared" si="129"/>
        <v>0</v>
      </c>
      <c r="AF445" s="7" t="str">
        <f>Preencher!$B$3&amp;$U$8&amp;$V$8&amp;A445&amp;$AF$6</f>
        <v>JARINU-FRG977357MQ.GIROFREEZER</v>
      </c>
      <c r="AG445" s="7" t="str">
        <f>Preencher!$B$3&amp;$U$8&amp;$V$8&amp;A445&amp;$AG$6</f>
        <v>JARINU-FRG977357MQ.GIROFREEZER (1)</v>
      </c>
      <c r="AH445" s="7" t="str">
        <f>Preencher!$B$3&amp;$U$8&amp;$V$8&amp;A445&amp;$AH$6</f>
        <v>JARINU-FRG977357MQ.GIROFREEZER (2)</v>
      </c>
      <c r="AI445" s="7" t="str">
        <f>Preencher!$B$3&amp;$U$8&amp;$V$8&amp;A445&amp;$AI$6</f>
        <v>JARINU-FRG977357MQ.GIROFREEZER REV04</v>
      </c>
      <c r="AJ445" s="7" t="str">
        <f>Preencher!$B$3&amp;$U$8&amp;$V$8&amp;A445&amp;$AJ$6</f>
        <v>JARINU-FRG977357MQ.GIROFREEZER (3)</v>
      </c>
      <c r="AK445" s="327">
        <f>IFERROR(SUMIF('BD Otimix'!A:A,'BD VOLUME'!AG445,'BD Otimix'!O:O)+SUMIF('BD Otimix'!A:A,'BD VOLUME'!AH445,'BD Otimix'!O:O)+SUMIF('BD Otimix'!A:A,'BD VOLUME'!AI445,'BD Otimix'!O:O)+SUMIF('BD Otimix'!A:A,'BD VOLUME'!AJ445,'BD Otimix'!O:O)+SUMIF('BD Otimix'!A:A,'BD VOLUME'!AF445,'BD Otimix'!O:O),0)</f>
        <v>0</v>
      </c>
      <c r="AL445" s="7">
        <f t="shared" si="130"/>
        <v>0</v>
      </c>
    </row>
    <row r="446" spans="1:38">
      <c r="A446" s="223">
        <v>686166</v>
      </c>
      <c r="B446" s="223" t="s">
        <v>2349</v>
      </c>
      <c r="C446" s="5" t="s">
        <v>2259</v>
      </c>
      <c r="D446" s="5" t="s">
        <v>1603</v>
      </c>
      <c r="E446" s="5" t="s">
        <v>926</v>
      </c>
      <c r="F446" s="132">
        <f>SUMIF('COLAR PLANO'!$A:$A,A446,'COLAR PLANO'!$D:$D)</f>
        <v>0</v>
      </c>
      <c r="G446" s="131">
        <f t="shared" si="125"/>
        <v>0</v>
      </c>
      <c r="H446" s="6">
        <v>5.0799999999999998E-2</v>
      </c>
      <c r="I446" s="7">
        <f t="shared" si="126"/>
        <v>0</v>
      </c>
      <c r="J446" s="130">
        <f t="shared" si="127"/>
        <v>0</v>
      </c>
      <c r="K446" s="223">
        <v>1</v>
      </c>
      <c r="L446" s="223">
        <v>15</v>
      </c>
      <c r="M446" s="223">
        <v>15</v>
      </c>
      <c r="N446" s="7">
        <f t="shared" si="128"/>
        <v>0</v>
      </c>
      <c r="O446" s="7">
        <f>IFERROR(G446/M446,"-")</f>
        <v>0</v>
      </c>
      <c r="Q446" s="7"/>
      <c r="R446" s="7"/>
      <c r="S446" s="7"/>
      <c r="T446" s="7"/>
      <c r="U446" s="7" t="s">
        <v>2288</v>
      </c>
      <c r="V446" s="7" t="s">
        <v>2289</v>
      </c>
      <c r="W446" s="7" t="str">
        <f>Preencher!$B$3&amp;U446&amp;V446&amp;A446&amp;$W$6</f>
        <v>JARINU-FRG686166MQ.TUNEL DE CG (CONTINUO)</v>
      </c>
      <c r="X446" s="7" t="str">
        <f>Preencher!$B$3&amp;U446&amp;V446&amp;A446&amp;$X$6</f>
        <v>JARINU-FRG686166MQ.TUNEL DE CG (CONTINUO) (1)</v>
      </c>
      <c r="Y446" s="7" t="str">
        <f>Preencher!$B$3&amp;U446&amp;V446&amp;A446&amp;$Y$6</f>
        <v>JARINU-FRG686166MQ.TUNEL DE CG (CONTINUO) (2)</v>
      </c>
      <c r="Z446" s="7" t="str">
        <f>Preencher!$B$3&amp;U446&amp;V446&amp;A446&amp;$Z$6</f>
        <v>JARINU-FRG686166MQ.TUNEL DE CG (CONTINUO) (3)</v>
      </c>
      <c r="AA446" s="7" t="str">
        <f>Preencher!$B$3&amp;U446&amp;V446&amp;A446&amp;$AA$6</f>
        <v>JARINU-FRG686166MQ.TUNEL DE CG (ESTATICO)</v>
      </c>
      <c r="AB446" s="7" t="str">
        <f>Preencher!$B$3&amp;U446&amp;V446&amp;A446&amp;$AB$6</f>
        <v>JARINU-FRG686166MQ.TUNEL DE CG (ESTATICO) (1)</v>
      </c>
      <c r="AC446" s="7" t="str">
        <f>Preencher!$B$3&amp;U446&amp;V446&amp;A446&amp;$AC$6</f>
        <v>JARINU-FRG686166MQ.TUNEL DE CG (ESTATICO) (2)</v>
      </c>
      <c r="AD446" s="327">
        <f>IFERROR(SUMIF('BD Otimix'!A:A,'BD VOLUME'!X446,'BD Otimix'!O:O)+SUMIF('BD Otimix'!A:A,'BD VOLUME'!Y446,'BD Otimix'!O:O)+SUMIF('BD Otimix'!A:A,'BD VOLUME'!Z446,'BD Otimix'!O:O)+SUMIF('BD Otimix'!A:A,'BD VOLUME'!AA446,'BD Otimix'!O:O)+SUMIF('BD Otimix'!A:A,'BD VOLUME'!AB446,'BD Otimix'!O:O)+SUMIF('BD Otimix'!A:A,'BD VOLUME'!AC446,'BD Otimix'!O:O)+SUMIF('BD Otimix'!A:A,'BD VOLUME'!W446,'BD Otimix'!O:O),0)</f>
        <v>0</v>
      </c>
      <c r="AE446" s="327">
        <f t="shared" si="129"/>
        <v>0</v>
      </c>
      <c r="AF446" s="7" t="str">
        <f>Preencher!$B$3&amp;$U$8&amp;$V$8&amp;A446&amp;$AF$6</f>
        <v>JARINU-FRG686166MQ.GIROFREEZER</v>
      </c>
      <c r="AG446" s="7" t="str">
        <f>Preencher!$B$3&amp;$U$8&amp;$V$8&amp;A446&amp;$AG$6</f>
        <v>JARINU-FRG686166MQ.GIROFREEZER (1)</v>
      </c>
      <c r="AH446" s="7" t="str">
        <f>Preencher!$B$3&amp;$U$8&amp;$V$8&amp;A446&amp;$AH$6</f>
        <v>JARINU-FRG686166MQ.GIROFREEZER (2)</v>
      </c>
      <c r="AI446" s="7" t="str">
        <f>Preencher!$B$3&amp;$U$8&amp;$V$8&amp;A446&amp;$AI$6</f>
        <v>JARINU-FRG686166MQ.GIROFREEZER REV04</v>
      </c>
      <c r="AJ446" s="7" t="str">
        <f>Preencher!$B$3&amp;$U$8&amp;$V$8&amp;A446&amp;$AJ$6</f>
        <v>JARINU-FRG686166MQ.GIROFREEZER (3)</v>
      </c>
      <c r="AK446" s="327">
        <f>IFERROR(SUMIF('BD Otimix'!A:A,'BD VOLUME'!AG446,'BD Otimix'!O:O)+SUMIF('BD Otimix'!A:A,'BD VOLUME'!AH446,'BD Otimix'!O:O)+SUMIF('BD Otimix'!A:A,'BD VOLUME'!AI446,'BD Otimix'!O:O)+SUMIF('BD Otimix'!A:A,'BD VOLUME'!AJ446,'BD Otimix'!O:O)+SUMIF('BD Otimix'!A:A,'BD VOLUME'!AF446,'BD Otimix'!O:O),0)</f>
        <v>0</v>
      </c>
      <c r="AL446" s="7">
        <f t="shared" si="130"/>
        <v>0</v>
      </c>
    </row>
    <row r="447" spans="1:38">
      <c r="A447" s="223">
        <v>234829</v>
      </c>
      <c r="B447" s="223"/>
      <c r="C447" s="5" t="s">
        <v>2279</v>
      </c>
      <c r="D447" s="5" t="s">
        <v>1604</v>
      </c>
      <c r="E447" s="5" t="s">
        <v>928</v>
      </c>
      <c r="F447" s="132">
        <f>SUMIF('COLAR PLANO'!$A:$A,A447,'COLAR PLANO'!$D:$D)</f>
        <v>0</v>
      </c>
      <c r="G447" s="131">
        <f>IFERROR(F447/($E$3*$C$3),0)</f>
        <v>0</v>
      </c>
      <c r="H447" s="6">
        <v>4.7300000000000002E-2</v>
      </c>
      <c r="I447" s="7">
        <f>IFERROR(G447/$D$3/H447,0)</f>
        <v>0</v>
      </c>
      <c r="J447" s="130">
        <f>IFERROR(I447/$B$438,0)</f>
        <v>0</v>
      </c>
      <c r="K447" s="776">
        <v>2.2799999999999998</v>
      </c>
      <c r="L447" s="776">
        <v>6</v>
      </c>
      <c r="M447" s="776">
        <v>13.6</v>
      </c>
      <c r="N447" s="7">
        <f>IFERROR(G447/K447,"-")</f>
        <v>0</v>
      </c>
      <c r="O447" s="7"/>
      <c r="P447" s="311">
        <f>IFERROR(G447/M447,"-")</f>
        <v>0</v>
      </c>
      <c r="Q447" s="7"/>
      <c r="R447" s="7"/>
      <c r="S447" s="7"/>
      <c r="T447" s="7"/>
      <c r="U447" s="7" t="s">
        <v>2288</v>
      </c>
      <c r="V447" s="7" t="s">
        <v>2289</v>
      </c>
      <c r="W447" s="7" t="str">
        <f>Preencher!$B$3&amp;U447&amp;V447&amp;A447&amp;$W$6</f>
        <v>JARINU-FRG234829MQ.TUNEL DE CG (CONTINUO)</v>
      </c>
      <c r="X447" s="7" t="str">
        <f>Preencher!$B$3&amp;U447&amp;V447&amp;A447&amp;$X$6</f>
        <v>JARINU-FRG234829MQ.TUNEL DE CG (CONTINUO) (1)</v>
      </c>
      <c r="Y447" s="7" t="str">
        <f>Preencher!$B$3&amp;U447&amp;V447&amp;A447&amp;$Y$6</f>
        <v>JARINU-FRG234829MQ.TUNEL DE CG (CONTINUO) (2)</v>
      </c>
      <c r="Z447" s="7" t="str">
        <f>Preencher!$B$3&amp;U447&amp;V447&amp;A447&amp;$Z$6</f>
        <v>JARINU-FRG234829MQ.TUNEL DE CG (CONTINUO) (3)</v>
      </c>
      <c r="AA447" s="7" t="str">
        <f>Preencher!$B$3&amp;U447&amp;V447&amp;A447&amp;$AA$6</f>
        <v>JARINU-FRG234829MQ.TUNEL DE CG (ESTATICO)</v>
      </c>
      <c r="AB447" s="7" t="str">
        <f>Preencher!$B$3&amp;U447&amp;V447&amp;A447&amp;$AB$6</f>
        <v>JARINU-FRG234829MQ.TUNEL DE CG (ESTATICO) (1)</v>
      </c>
      <c r="AC447" s="7" t="str">
        <f>Preencher!$B$3&amp;U447&amp;V447&amp;A447&amp;$AC$6</f>
        <v>JARINU-FRG234829MQ.TUNEL DE CG (ESTATICO) (2)</v>
      </c>
      <c r="AD447" s="327">
        <f>IFERROR(SUMIF('BD Otimix'!A:A,'BD VOLUME'!X447,'BD Otimix'!O:O)+SUMIF('BD Otimix'!A:A,'BD VOLUME'!Y447,'BD Otimix'!O:O)+SUMIF('BD Otimix'!A:A,'BD VOLUME'!Z447,'BD Otimix'!O:O)+SUMIF('BD Otimix'!A:A,'BD VOLUME'!AA447,'BD Otimix'!O:O)+SUMIF('BD Otimix'!A:A,'BD VOLUME'!AB447,'BD Otimix'!O:O)+SUMIF('BD Otimix'!A:A,'BD VOLUME'!AC447,'BD Otimix'!O:O)+SUMIF('BD Otimix'!A:A,'BD VOLUME'!W447,'BD Otimix'!O:O),0)</f>
        <v>0</v>
      </c>
      <c r="AE447" s="327">
        <f>IFERROR(F447/$E$3/1000/AD447,0)</f>
        <v>0</v>
      </c>
      <c r="AF447" s="7" t="str">
        <f>Preencher!$B$3&amp;$U$8&amp;$V$8&amp;A447&amp;$AF$6</f>
        <v>JARINU-FRG234829MQ.GIROFREEZER</v>
      </c>
      <c r="AG447" s="7" t="str">
        <f>Preencher!$B$3&amp;$U$8&amp;$V$8&amp;A447&amp;$AG$6</f>
        <v>JARINU-FRG234829MQ.GIROFREEZER (1)</v>
      </c>
      <c r="AH447" s="7" t="str">
        <f>Preencher!$B$3&amp;$U$8&amp;$V$8&amp;A447&amp;$AH$6</f>
        <v>JARINU-FRG234829MQ.GIROFREEZER (2)</v>
      </c>
      <c r="AI447" s="7" t="str">
        <f>Preencher!$B$3&amp;$U$8&amp;$V$8&amp;A447&amp;$AI$6</f>
        <v>JARINU-FRG234829MQ.GIROFREEZER REV04</v>
      </c>
      <c r="AJ447" s="7" t="str">
        <f>Preencher!$B$3&amp;$U$8&amp;$V$8&amp;A447&amp;$AJ$6</f>
        <v>JARINU-FRG234829MQ.GIROFREEZER (3)</v>
      </c>
      <c r="AK447" s="327">
        <f>IFERROR(SUMIF('BD Otimix'!A:A,'BD VOLUME'!AG447,'BD Otimix'!O:O)+SUMIF('BD Otimix'!A:A,'BD VOLUME'!AH447,'BD Otimix'!O:O)+SUMIF('BD Otimix'!A:A,'BD VOLUME'!AI447,'BD Otimix'!O:O)+SUMIF('BD Otimix'!A:A,'BD VOLUME'!AJ447,'BD Otimix'!O:O)+SUMIF('BD Otimix'!A:A,'BD VOLUME'!AF447,'BD Otimix'!O:O),0)</f>
        <v>0</v>
      </c>
      <c r="AL447" s="7">
        <f>IFERROR(F447/$E$3/1000/AK447,0)</f>
        <v>0</v>
      </c>
    </row>
    <row r="448" spans="1:38">
      <c r="A448" s="253">
        <v>995084</v>
      </c>
      <c r="B448" s="253"/>
      <c r="C448" s="5" t="s">
        <v>2279</v>
      </c>
      <c r="D448" s="5" t="s">
        <v>1604</v>
      </c>
      <c r="E448" s="5" t="s">
        <v>928</v>
      </c>
      <c r="F448" s="132">
        <f>SUMIF('COLAR PLANO'!$A:$A,A448,'COLAR PLANO'!$D:$D)</f>
        <v>0</v>
      </c>
      <c r="G448" s="131">
        <f t="shared" si="125"/>
        <v>0</v>
      </c>
      <c r="H448" s="6">
        <v>4.7300000000000002E-2</v>
      </c>
      <c r="I448" s="7">
        <f t="shared" si="126"/>
        <v>0</v>
      </c>
      <c r="J448" s="130">
        <f t="shared" si="127"/>
        <v>0</v>
      </c>
      <c r="K448" s="580">
        <v>2.2799999999999998</v>
      </c>
      <c r="L448" s="580">
        <v>6</v>
      </c>
      <c r="M448" s="580">
        <v>13.6</v>
      </c>
      <c r="N448" s="7">
        <f t="shared" si="128"/>
        <v>0</v>
      </c>
      <c r="O448" s="7"/>
      <c r="P448" s="311">
        <f>IFERROR(G448/M448,"-")</f>
        <v>0</v>
      </c>
      <c r="Q448" s="7"/>
      <c r="R448" s="7"/>
      <c r="S448" s="7"/>
      <c r="T448" s="7"/>
      <c r="U448" s="7" t="s">
        <v>2288</v>
      </c>
      <c r="V448" s="7" t="s">
        <v>2289</v>
      </c>
      <c r="W448" s="7" t="str">
        <f>Preencher!$B$3&amp;U448&amp;V448&amp;A448&amp;$W$6</f>
        <v>JARINU-FRG995084MQ.TUNEL DE CG (CONTINUO)</v>
      </c>
      <c r="X448" s="7" t="str">
        <f>Preencher!$B$3&amp;U448&amp;V448&amp;A448&amp;$X$6</f>
        <v>JARINU-FRG995084MQ.TUNEL DE CG (CONTINUO) (1)</v>
      </c>
      <c r="Y448" s="7" t="str">
        <f>Preencher!$B$3&amp;U448&amp;V448&amp;A448&amp;$Y$6</f>
        <v>JARINU-FRG995084MQ.TUNEL DE CG (CONTINUO) (2)</v>
      </c>
      <c r="Z448" s="7" t="str">
        <f>Preencher!$B$3&amp;U448&amp;V448&amp;A448&amp;$Z$6</f>
        <v>JARINU-FRG995084MQ.TUNEL DE CG (CONTINUO) (3)</v>
      </c>
      <c r="AA448" s="7" t="str">
        <f>Preencher!$B$3&amp;U448&amp;V448&amp;A448&amp;$AA$6</f>
        <v>JARINU-FRG995084MQ.TUNEL DE CG (ESTATICO)</v>
      </c>
      <c r="AB448" s="7" t="str">
        <f>Preencher!$B$3&amp;U448&amp;V448&amp;A448&amp;$AB$6</f>
        <v>JARINU-FRG995084MQ.TUNEL DE CG (ESTATICO) (1)</v>
      </c>
      <c r="AC448" s="7" t="str">
        <f>Preencher!$B$3&amp;U448&amp;V448&amp;A448&amp;$AC$6</f>
        <v>JARINU-FRG995084MQ.TUNEL DE CG (ESTATICO) (2)</v>
      </c>
      <c r="AD448" s="327">
        <f>IFERROR(SUMIF('BD Otimix'!A:A,'BD VOLUME'!X448,'BD Otimix'!O:O)+SUMIF('BD Otimix'!A:A,'BD VOLUME'!Y448,'BD Otimix'!O:O)+SUMIF('BD Otimix'!A:A,'BD VOLUME'!Z448,'BD Otimix'!O:O)+SUMIF('BD Otimix'!A:A,'BD VOLUME'!AA448,'BD Otimix'!O:O)+SUMIF('BD Otimix'!A:A,'BD VOLUME'!AB448,'BD Otimix'!O:O)+SUMIF('BD Otimix'!A:A,'BD VOLUME'!AC448,'BD Otimix'!O:O)+SUMIF('BD Otimix'!A:A,'BD VOLUME'!W448,'BD Otimix'!O:O),0)</f>
        <v>0</v>
      </c>
      <c r="AE448" s="327">
        <f t="shared" si="129"/>
        <v>0</v>
      </c>
      <c r="AF448" s="7" t="str">
        <f>Preencher!$B$3&amp;$U$8&amp;$V$8&amp;A448&amp;$AF$6</f>
        <v>JARINU-FRG995084MQ.GIROFREEZER</v>
      </c>
      <c r="AG448" s="7" t="str">
        <f>Preencher!$B$3&amp;$U$8&amp;$V$8&amp;A448&amp;$AG$6</f>
        <v>JARINU-FRG995084MQ.GIROFREEZER (1)</v>
      </c>
      <c r="AH448" s="7" t="str">
        <f>Preencher!$B$3&amp;$U$8&amp;$V$8&amp;A448&amp;$AH$6</f>
        <v>JARINU-FRG995084MQ.GIROFREEZER (2)</v>
      </c>
      <c r="AI448" s="7" t="str">
        <f>Preencher!$B$3&amp;$U$8&amp;$V$8&amp;A448&amp;$AI$6</f>
        <v>JARINU-FRG995084MQ.GIROFREEZER REV04</v>
      </c>
      <c r="AJ448" s="7" t="str">
        <f>Preencher!$B$3&amp;$U$8&amp;$V$8&amp;A448&amp;$AJ$6</f>
        <v>JARINU-FRG995084MQ.GIROFREEZER (3)</v>
      </c>
      <c r="AK448" s="327">
        <f>IFERROR(SUMIF('BD Otimix'!A:A,'BD VOLUME'!AG448,'BD Otimix'!O:O)+SUMIF('BD Otimix'!A:A,'BD VOLUME'!AH448,'BD Otimix'!O:O)+SUMIF('BD Otimix'!A:A,'BD VOLUME'!AI448,'BD Otimix'!O:O)+SUMIF('BD Otimix'!A:A,'BD VOLUME'!AJ448,'BD Otimix'!O:O)+SUMIF('BD Otimix'!A:A,'BD VOLUME'!AF448,'BD Otimix'!O:O),0)</f>
        <v>0</v>
      </c>
      <c r="AL448" s="7">
        <f t="shared" si="130"/>
        <v>0</v>
      </c>
    </row>
    <row r="449" spans="1:38">
      <c r="A449" s="647">
        <v>798037</v>
      </c>
      <c r="B449" s="647" t="s">
        <v>2345</v>
      </c>
      <c r="C449" s="5" t="s">
        <v>2279</v>
      </c>
      <c r="D449" s="5" t="s">
        <v>1604</v>
      </c>
      <c r="E449" s="5" t="s">
        <v>928</v>
      </c>
      <c r="F449" s="132">
        <f>SUMIF('COLAR PLANO'!$A:$A,A449,'COLAR PLANO'!$D:$D)</f>
        <v>0</v>
      </c>
      <c r="G449" s="131">
        <f>IFERROR(F449/($E$3*$C$3),0)</f>
        <v>0</v>
      </c>
      <c r="H449" s="6">
        <v>4.7300000000000002E-2</v>
      </c>
      <c r="I449" s="7">
        <f t="shared" si="126"/>
        <v>0</v>
      </c>
      <c r="J449" s="130">
        <f t="shared" si="127"/>
        <v>0</v>
      </c>
      <c r="K449" s="647">
        <v>2</v>
      </c>
      <c r="L449" s="647">
        <v>9</v>
      </c>
      <c r="M449" s="647">
        <v>18</v>
      </c>
      <c r="N449" s="7">
        <f t="shared" si="128"/>
        <v>0</v>
      </c>
      <c r="O449" s="7"/>
      <c r="P449" s="311">
        <f>IFERROR(G449/M449,"-")</f>
        <v>0</v>
      </c>
      <c r="Q449" s="7"/>
      <c r="R449" s="7"/>
      <c r="S449" s="7"/>
      <c r="T449" s="7"/>
      <c r="U449" s="7" t="s">
        <v>2288</v>
      </c>
      <c r="V449" s="7" t="s">
        <v>2289</v>
      </c>
      <c r="W449" s="7" t="str">
        <f>Preencher!$B$3&amp;U449&amp;V449&amp;A449&amp;$W$6</f>
        <v>JARINU-FRG798037MQ.TUNEL DE CG (CONTINUO)</v>
      </c>
      <c r="X449" s="7" t="str">
        <f>Preencher!$B$3&amp;U449&amp;V449&amp;A449&amp;$X$6</f>
        <v>JARINU-FRG798037MQ.TUNEL DE CG (CONTINUO) (1)</v>
      </c>
      <c r="Y449" s="7" t="str">
        <f>Preencher!$B$3&amp;U449&amp;V449&amp;A449&amp;$Y$6</f>
        <v>JARINU-FRG798037MQ.TUNEL DE CG (CONTINUO) (2)</v>
      </c>
      <c r="Z449" s="7" t="str">
        <f>Preencher!$B$3&amp;U449&amp;V449&amp;A449&amp;$Z$6</f>
        <v>JARINU-FRG798037MQ.TUNEL DE CG (CONTINUO) (3)</v>
      </c>
      <c r="AA449" s="7" t="str">
        <f>Preencher!$B$3&amp;U449&amp;V449&amp;A449&amp;$AA$6</f>
        <v>JARINU-FRG798037MQ.TUNEL DE CG (ESTATICO)</v>
      </c>
      <c r="AB449" s="7" t="str">
        <f>Preencher!$B$3&amp;U449&amp;V449&amp;A449&amp;$AB$6</f>
        <v>JARINU-FRG798037MQ.TUNEL DE CG (ESTATICO) (1)</v>
      </c>
      <c r="AC449" s="7" t="str">
        <f>Preencher!$B$3&amp;U449&amp;V449&amp;A449&amp;$AC$6</f>
        <v>JARINU-FRG798037MQ.TUNEL DE CG (ESTATICO) (2)</v>
      </c>
      <c r="AD449" s="327">
        <f>IFERROR(SUMIF('BD Otimix'!A:A,'BD VOLUME'!X449,'BD Otimix'!O:O)+SUMIF('BD Otimix'!A:A,'BD VOLUME'!Y449,'BD Otimix'!O:O)+SUMIF('BD Otimix'!A:A,'BD VOLUME'!Z449,'BD Otimix'!O:O)+SUMIF('BD Otimix'!A:A,'BD VOLUME'!AA449,'BD Otimix'!O:O)+SUMIF('BD Otimix'!A:A,'BD VOLUME'!AB449,'BD Otimix'!O:O)+SUMIF('BD Otimix'!A:A,'BD VOLUME'!AC449,'BD Otimix'!O:O)+SUMIF('BD Otimix'!A:A,'BD VOLUME'!W449,'BD Otimix'!O:O),0)</f>
        <v>0</v>
      </c>
      <c r="AE449" s="327">
        <f t="shared" si="129"/>
        <v>0</v>
      </c>
      <c r="AF449" s="7" t="str">
        <f>Preencher!$B$3&amp;$U$8&amp;$V$8&amp;A449&amp;$AF$6</f>
        <v>JARINU-FRG798037MQ.GIROFREEZER</v>
      </c>
      <c r="AG449" s="7" t="str">
        <f>Preencher!$B$3&amp;$U$8&amp;$V$8&amp;A449&amp;$AG$6</f>
        <v>JARINU-FRG798037MQ.GIROFREEZER (1)</v>
      </c>
      <c r="AH449" s="7" t="str">
        <f>Preencher!$B$3&amp;$U$8&amp;$V$8&amp;A449&amp;$AH$6</f>
        <v>JARINU-FRG798037MQ.GIROFREEZER (2)</v>
      </c>
      <c r="AI449" s="7" t="str">
        <f>Preencher!$B$3&amp;$U$8&amp;$V$8&amp;A449&amp;$AI$6</f>
        <v>JARINU-FRG798037MQ.GIROFREEZER REV04</v>
      </c>
      <c r="AJ449" s="7" t="str">
        <f>Preencher!$B$3&amp;$U$8&amp;$V$8&amp;A449&amp;$AJ$6</f>
        <v>JARINU-FRG798037MQ.GIROFREEZER (3)</v>
      </c>
      <c r="AK449" s="327">
        <f>IFERROR(SUMIF('BD Otimix'!A:A,'BD VOLUME'!AG449,'BD Otimix'!O:O)+SUMIF('BD Otimix'!A:A,'BD VOLUME'!AH449,'BD Otimix'!O:O)+SUMIF('BD Otimix'!A:A,'BD VOLUME'!AI449,'BD Otimix'!O:O)+SUMIF('BD Otimix'!A:A,'BD VOLUME'!AJ449,'BD Otimix'!O:O)+SUMIF('BD Otimix'!A:A,'BD VOLUME'!AF449,'BD Otimix'!O:O),0)</f>
        <v>0</v>
      </c>
      <c r="AL449" s="7">
        <f t="shared" si="130"/>
        <v>0</v>
      </c>
    </row>
    <row r="450" spans="1:38">
      <c r="A450" s="651">
        <v>234469</v>
      </c>
      <c r="B450" s="651"/>
      <c r="C450" s="5" t="s">
        <v>2279</v>
      </c>
      <c r="D450" s="5" t="s">
        <v>1604</v>
      </c>
      <c r="E450" s="5" t="s">
        <v>928</v>
      </c>
      <c r="F450" s="132">
        <f>SUMIF('COLAR PLANO'!$A:$A,A450,'COLAR PLANO'!$D:$D)</f>
        <v>0</v>
      </c>
      <c r="G450" s="131">
        <f>IFERROR(F450/($E$3*$C$3),0)</f>
        <v>0</v>
      </c>
      <c r="H450" s="6">
        <v>4.7300000000000002E-2</v>
      </c>
      <c r="I450" s="7">
        <f>IFERROR(G450/$D$3/H450,0)</f>
        <v>0</v>
      </c>
      <c r="J450" s="130">
        <f>IFERROR(I450/$B$438,0)</f>
        <v>0</v>
      </c>
      <c r="K450" s="794">
        <v>2</v>
      </c>
      <c r="L450" s="794">
        <v>9</v>
      </c>
      <c r="M450" s="794">
        <v>18</v>
      </c>
      <c r="N450" s="7">
        <f>IFERROR(G450/K450,"-")</f>
        <v>0</v>
      </c>
      <c r="O450" s="7"/>
      <c r="P450" s="311">
        <f>IFERROR(G450/M450,"-")</f>
        <v>0</v>
      </c>
      <c r="Q450" s="7"/>
      <c r="R450" s="7"/>
      <c r="S450" s="7"/>
      <c r="T450" s="7"/>
      <c r="U450" s="7" t="s">
        <v>2288</v>
      </c>
      <c r="V450" s="7" t="s">
        <v>2289</v>
      </c>
      <c r="W450" s="7" t="str">
        <f>Preencher!$B$3&amp;U450&amp;V450&amp;A450&amp;$W$6</f>
        <v>JARINU-FRG234469MQ.TUNEL DE CG (CONTINUO)</v>
      </c>
      <c r="X450" s="7" t="str">
        <f>Preencher!$B$3&amp;U450&amp;V450&amp;A450&amp;$X$6</f>
        <v>JARINU-FRG234469MQ.TUNEL DE CG (CONTINUO) (1)</v>
      </c>
      <c r="Y450" s="7" t="str">
        <f>Preencher!$B$3&amp;U450&amp;V450&amp;A450&amp;$Y$6</f>
        <v>JARINU-FRG234469MQ.TUNEL DE CG (CONTINUO) (2)</v>
      </c>
      <c r="Z450" s="7" t="str">
        <f>Preencher!$B$3&amp;U450&amp;V450&amp;A450&amp;$Z$6</f>
        <v>JARINU-FRG234469MQ.TUNEL DE CG (CONTINUO) (3)</v>
      </c>
      <c r="AA450" s="7" t="str">
        <f>Preencher!$B$3&amp;U450&amp;V450&amp;A450&amp;$AA$6</f>
        <v>JARINU-FRG234469MQ.TUNEL DE CG (ESTATICO)</v>
      </c>
      <c r="AB450" s="7" t="str">
        <f>Preencher!$B$3&amp;U450&amp;V450&amp;A450&amp;$AB$6</f>
        <v>JARINU-FRG234469MQ.TUNEL DE CG (ESTATICO) (1)</v>
      </c>
      <c r="AC450" s="7" t="str">
        <f>Preencher!$B$3&amp;U450&amp;V450&amp;A450&amp;$AC$6</f>
        <v>JARINU-FRG234469MQ.TUNEL DE CG (ESTATICO) (2)</v>
      </c>
      <c r="AD450" s="327">
        <f>IFERROR(SUMIF('BD Otimix'!A:A,'BD VOLUME'!X450,'BD Otimix'!O:O)+SUMIF('BD Otimix'!A:A,'BD VOLUME'!Y450,'BD Otimix'!O:O)+SUMIF('BD Otimix'!A:A,'BD VOLUME'!Z450,'BD Otimix'!O:O)+SUMIF('BD Otimix'!A:A,'BD VOLUME'!AA450,'BD Otimix'!O:O)+SUMIF('BD Otimix'!A:A,'BD VOLUME'!AB450,'BD Otimix'!O:O)+SUMIF('BD Otimix'!A:A,'BD VOLUME'!AC450,'BD Otimix'!O:O)+SUMIF('BD Otimix'!A:A,'BD VOLUME'!W450,'BD Otimix'!O:O),0)</f>
        <v>0</v>
      </c>
      <c r="AE450" s="327">
        <f t="shared" si="129"/>
        <v>0</v>
      </c>
      <c r="AF450" s="7" t="str">
        <f>Preencher!$B$3&amp;$U$8&amp;$V$8&amp;A450&amp;$AF$6</f>
        <v>JARINU-FRG234469MQ.GIROFREEZER</v>
      </c>
      <c r="AG450" s="7" t="str">
        <f>Preencher!$B$3&amp;$U$8&amp;$V$8&amp;A450&amp;$AG$6</f>
        <v>JARINU-FRG234469MQ.GIROFREEZER (1)</v>
      </c>
      <c r="AH450" s="7" t="str">
        <f>Preencher!$B$3&amp;$U$8&amp;$V$8&amp;A450&amp;$AH$6</f>
        <v>JARINU-FRG234469MQ.GIROFREEZER (2)</v>
      </c>
      <c r="AI450" s="7" t="str">
        <f>Preencher!$B$3&amp;$U$8&amp;$V$8&amp;A450&amp;$AI$6</f>
        <v>JARINU-FRG234469MQ.GIROFREEZER REV04</v>
      </c>
      <c r="AJ450" s="7" t="str">
        <f>Preencher!$B$3&amp;$U$8&amp;$V$8&amp;A450&amp;$AJ$6</f>
        <v>JARINU-FRG234469MQ.GIROFREEZER (3)</v>
      </c>
      <c r="AK450" s="327">
        <f>IFERROR(SUMIF('BD Otimix'!A:A,'BD VOLUME'!AG450,'BD Otimix'!O:O)+SUMIF('BD Otimix'!A:A,'BD VOLUME'!AH450,'BD Otimix'!O:O)+SUMIF('BD Otimix'!A:A,'BD VOLUME'!AI450,'BD Otimix'!O:O)+SUMIF('BD Otimix'!A:A,'BD VOLUME'!AJ450,'BD Otimix'!O:O)+SUMIF('BD Otimix'!A:A,'BD VOLUME'!AF450,'BD Otimix'!O:O),0)</f>
        <v>0</v>
      </c>
      <c r="AL450" s="7">
        <f t="shared" si="130"/>
        <v>0</v>
      </c>
    </row>
    <row r="451" spans="1:38">
      <c r="A451" s="253">
        <v>103535</v>
      </c>
      <c r="B451" s="253" t="s">
        <v>2348</v>
      </c>
      <c r="C451" s="5" t="s">
        <v>2252</v>
      </c>
      <c r="D451" s="5" t="s">
        <v>1603</v>
      </c>
      <c r="E451" s="5" t="s">
        <v>1598</v>
      </c>
      <c r="F451" s="132">
        <f>SUMIF('COLAR PLANO'!$A:$A,A451,'COLAR PLANO'!$D:$D)</f>
        <v>0</v>
      </c>
      <c r="G451" s="131">
        <f t="shared" ref="G451:G461" si="131">IFERROR(F451/($E$3*$C$3),0)</f>
        <v>0</v>
      </c>
      <c r="H451" s="6">
        <v>4.7300000000000002E-2</v>
      </c>
      <c r="I451" s="7">
        <f t="shared" si="126"/>
        <v>0</v>
      </c>
      <c r="J451" s="130">
        <f t="shared" si="127"/>
        <v>0</v>
      </c>
      <c r="K451" s="651">
        <v>20</v>
      </c>
      <c r="L451" s="651">
        <v>1</v>
      </c>
      <c r="M451" s="651">
        <v>20</v>
      </c>
      <c r="N451" s="7">
        <f t="shared" si="128"/>
        <v>0</v>
      </c>
      <c r="O451" s="7"/>
      <c r="P451" s="311">
        <f>IFERROR(G451/M451,"-")</f>
        <v>0</v>
      </c>
      <c r="Q451" s="7"/>
      <c r="R451" s="7"/>
      <c r="S451" s="7"/>
      <c r="T451" s="7"/>
      <c r="U451" s="7" t="s">
        <v>2288</v>
      </c>
      <c r="V451" s="7" t="s">
        <v>2289</v>
      </c>
      <c r="W451" s="7" t="str">
        <f>Preencher!$B$3&amp;U451&amp;V451&amp;A451&amp;$W$6</f>
        <v>JARINU-FRG103535MQ.TUNEL DE CG (CONTINUO)</v>
      </c>
      <c r="X451" s="7" t="str">
        <f>Preencher!$B$3&amp;U451&amp;V451&amp;A451&amp;$X$6</f>
        <v>JARINU-FRG103535MQ.TUNEL DE CG (CONTINUO) (1)</v>
      </c>
      <c r="Y451" s="7" t="str">
        <f>Preencher!$B$3&amp;U451&amp;V451&amp;A451&amp;$Y$6</f>
        <v>JARINU-FRG103535MQ.TUNEL DE CG (CONTINUO) (2)</v>
      </c>
      <c r="Z451" s="7" t="str">
        <f>Preencher!$B$3&amp;U451&amp;V451&amp;A451&amp;$Z$6</f>
        <v>JARINU-FRG103535MQ.TUNEL DE CG (CONTINUO) (3)</v>
      </c>
      <c r="AA451" s="7" t="str">
        <f>Preencher!$B$3&amp;U451&amp;V451&amp;A451&amp;$AA$6</f>
        <v>JARINU-FRG103535MQ.TUNEL DE CG (ESTATICO)</v>
      </c>
      <c r="AB451" s="7" t="str">
        <f>Preencher!$B$3&amp;U451&amp;V451&amp;A451&amp;$AB$6</f>
        <v>JARINU-FRG103535MQ.TUNEL DE CG (ESTATICO) (1)</v>
      </c>
      <c r="AC451" s="7" t="str">
        <f>Preencher!$B$3&amp;U451&amp;V451&amp;A451&amp;$AC$6</f>
        <v>JARINU-FRG103535MQ.TUNEL DE CG (ESTATICO) (2)</v>
      </c>
      <c r="AD451" s="327">
        <f>IFERROR(SUMIF('BD Otimix'!A:A,'BD VOLUME'!X451,'BD Otimix'!O:O)+SUMIF('BD Otimix'!A:A,'BD VOLUME'!Y451,'BD Otimix'!O:O)+SUMIF('BD Otimix'!A:A,'BD VOLUME'!Z451,'BD Otimix'!O:O)+SUMIF('BD Otimix'!A:A,'BD VOLUME'!AA451,'BD Otimix'!O:O)+SUMIF('BD Otimix'!A:A,'BD VOLUME'!AB451,'BD Otimix'!O:O)+SUMIF('BD Otimix'!A:A,'BD VOLUME'!AC451,'BD Otimix'!O:O)+SUMIF('BD Otimix'!A:A,'BD VOLUME'!W451,'BD Otimix'!O:O),0)</f>
        <v>0</v>
      </c>
      <c r="AE451" s="327">
        <f t="shared" si="129"/>
        <v>0</v>
      </c>
      <c r="AF451" s="7" t="str">
        <f>Preencher!$B$3&amp;$U$8&amp;$V$8&amp;A451&amp;$AF$6</f>
        <v>JARINU-FRG103535MQ.GIROFREEZER</v>
      </c>
      <c r="AG451" s="7" t="str">
        <f>Preencher!$B$3&amp;$U$8&amp;$V$8&amp;A451&amp;$AG$6</f>
        <v>JARINU-FRG103535MQ.GIROFREEZER (1)</v>
      </c>
      <c r="AH451" s="7" t="str">
        <f>Preencher!$B$3&amp;$U$8&amp;$V$8&amp;A451&amp;$AH$6</f>
        <v>JARINU-FRG103535MQ.GIROFREEZER (2)</v>
      </c>
      <c r="AI451" s="7" t="str">
        <f>Preencher!$B$3&amp;$U$8&amp;$V$8&amp;A451&amp;$AI$6</f>
        <v>JARINU-FRG103535MQ.GIROFREEZER REV04</v>
      </c>
      <c r="AJ451" s="7" t="str">
        <f>Preencher!$B$3&amp;$U$8&amp;$V$8&amp;A451&amp;$AJ$6</f>
        <v>JARINU-FRG103535MQ.GIROFREEZER (3)</v>
      </c>
      <c r="AK451" s="327">
        <f>IFERROR(SUMIF('BD Otimix'!A:A,'BD VOLUME'!AG451,'BD Otimix'!O:O)+SUMIF('BD Otimix'!A:A,'BD VOLUME'!AH451,'BD Otimix'!O:O)+SUMIF('BD Otimix'!A:A,'BD VOLUME'!AI451,'BD Otimix'!O:O)+SUMIF('BD Otimix'!A:A,'BD VOLUME'!AJ451,'BD Otimix'!O:O)+SUMIF('BD Otimix'!A:A,'BD VOLUME'!AF451,'BD Otimix'!O:O),0)</f>
        <v>0</v>
      </c>
      <c r="AL451" s="7">
        <f t="shared" si="130"/>
        <v>0</v>
      </c>
    </row>
    <row r="452" spans="1:38">
      <c r="A452" s="651">
        <v>44412</v>
      </c>
      <c r="B452" s="651"/>
      <c r="C452" s="5" t="s">
        <v>5343</v>
      </c>
      <c r="D452" s="5" t="s">
        <v>1603</v>
      </c>
      <c r="E452" s="5" t="s">
        <v>1590</v>
      </c>
      <c r="F452" s="132">
        <f>SUMIF('COLAR PLANO'!$A:$A,A452,'COLAR PLANO'!$D:$D)</f>
        <v>0</v>
      </c>
      <c r="G452" s="131">
        <f t="shared" si="131"/>
        <v>0</v>
      </c>
      <c r="H452" s="6">
        <v>5.0799999999999998E-2</v>
      </c>
      <c r="I452" s="7">
        <f t="shared" si="126"/>
        <v>0</v>
      </c>
      <c r="J452" s="130">
        <f t="shared" si="127"/>
        <v>0</v>
      </c>
      <c r="K452" s="651">
        <v>0.65</v>
      </c>
      <c r="L452" s="651">
        <v>12</v>
      </c>
      <c r="M452" s="651">
        <v>12</v>
      </c>
      <c r="N452" s="7">
        <f t="shared" si="128"/>
        <v>0</v>
      </c>
      <c r="O452" s="7">
        <f>IFERROR(G452/M452,"-")</f>
        <v>0</v>
      </c>
      <c r="P452" s="7"/>
      <c r="Q452" s="7"/>
      <c r="R452" s="7"/>
      <c r="S452" s="7"/>
      <c r="T452" s="7"/>
      <c r="U452" s="7" t="s">
        <v>2288</v>
      </c>
      <c r="V452" s="7" t="s">
        <v>2289</v>
      </c>
      <c r="W452" s="7" t="str">
        <f>Preencher!$B$3&amp;U452&amp;V452&amp;A452&amp;$W$6</f>
        <v>JARINU-FRG44412MQ.TUNEL DE CG (CONTINUO)</v>
      </c>
      <c r="X452" s="7" t="str">
        <f>Preencher!$B$3&amp;U452&amp;V452&amp;A452&amp;$X$6</f>
        <v>JARINU-FRG44412MQ.TUNEL DE CG (CONTINUO) (1)</v>
      </c>
      <c r="Y452" s="7" t="str">
        <f>Preencher!$B$3&amp;U452&amp;V452&amp;A452&amp;$Y$6</f>
        <v>JARINU-FRG44412MQ.TUNEL DE CG (CONTINUO) (2)</v>
      </c>
      <c r="Z452" s="7" t="str">
        <f>Preencher!$B$3&amp;U452&amp;V452&amp;A452&amp;$Z$6</f>
        <v>JARINU-FRG44412MQ.TUNEL DE CG (CONTINUO) (3)</v>
      </c>
      <c r="AA452" s="7" t="str">
        <f>Preencher!$B$3&amp;U452&amp;V452&amp;A452&amp;$AA$6</f>
        <v>JARINU-FRG44412MQ.TUNEL DE CG (ESTATICO)</v>
      </c>
      <c r="AB452" s="7" t="str">
        <f>Preencher!$B$3&amp;U452&amp;V452&amp;A452&amp;$AB$6</f>
        <v>JARINU-FRG44412MQ.TUNEL DE CG (ESTATICO) (1)</v>
      </c>
      <c r="AC452" s="7" t="str">
        <f>Preencher!$B$3&amp;U452&amp;V452&amp;A452&amp;$AC$6</f>
        <v>JARINU-FRG44412MQ.TUNEL DE CG (ESTATICO) (2)</v>
      </c>
      <c r="AD452" s="327">
        <f>IFERROR(SUMIF('BD Otimix'!A:A,'BD VOLUME'!X452,'BD Otimix'!O:O)+SUMIF('BD Otimix'!A:A,'BD VOLUME'!Y452,'BD Otimix'!O:O)+SUMIF('BD Otimix'!A:A,'BD VOLUME'!Z452,'BD Otimix'!O:O)+SUMIF('BD Otimix'!A:A,'BD VOLUME'!AA452,'BD Otimix'!O:O)+SUMIF('BD Otimix'!A:A,'BD VOLUME'!AB452,'BD Otimix'!O:O)+SUMIF('BD Otimix'!A:A,'BD VOLUME'!AC452,'BD Otimix'!O:O)+SUMIF('BD Otimix'!A:A,'BD VOLUME'!W452,'BD Otimix'!O:O),0)</f>
        <v>0</v>
      </c>
      <c r="AE452" s="327">
        <f t="shared" si="129"/>
        <v>0</v>
      </c>
      <c r="AF452" s="7" t="str">
        <f>Preencher!$B$3&amp;$U$8&amp;$V$8&amp;A452&amp;$AF$6</f>
        <v>JARINU-FRG44412MQ.GIROFREEZER</v>
      </c>
      <c r="AG452" s="7" t="str">
        <f>Preencher!$B$3&amp;$U$8&amp;$V$8&amp;A452&amp;$AG$6</f>
        <v>JARINU-FRG44412MQ.GIROFREEZER (1)</v>
      </c>
      <c r="AH452" s="7" t="str">
        <f>Preencher!$B$3&amp;$U$8&amp;$V$8&amp;A452&amp;$AH$6</f>
        <v>JARINU-FRG44412MQ.GIROFREEZER (2)</v>
      </c>
      <c r="AI452" s="7" t="str">
        <f>Preencher!$B$3&amp;$U$8&amp;$V$8&amp;A452&amp;$AI$6</f>
        <v>JARINU-FRG44412MQ.GIROFREEZER REV04</v>
      </c>
      <c r="AJ452" s="7" t="str">
        <f>Preencher!$B$3&amp;$U$8&amp;$V$8&amp;A452&amp;$AJ$6</f>
        <v>JARINU-FRG44412MQ.GIROFREEZER (3)</v>
      </c>
      <c r="AK452" s="327">
        <f>IFERROR(SUMIF('BD Otimix'!A:A,'BD VOLUME'!AG452,'BD Otimix'!O:O)+SUMIF('BD Otimix'!A:A,'BD VOLUME'!AH452,'BD Otimix'!O:O)+SUMIF('BD Otimix'!A:A,'BD VOLUME'!AI452,'BD Otimix'!O:O)+SUMIF('BD Otimix'!A:A,'BD VOLUME'!AJ452,'BD Otimix'!O:O)+SUMIF('BD Otimix'!A:A,'BD VOLUME'!AF452,'BD Otimix'!O:O),0)</f>
        <v>0</v>
      </c>
      <c r="AL452" s="7">
        <f t="shared" si="130"/>
        <v>0</v>
      </c>
    </row>
    <row r="453" spans="1:38">
      <c r="A453" s="651">
        <v>926949</v>
      </c>
      <c r="B453" s="651" t="s">
        <v>2350</v>
      </c>
      <c r="C453" s="5" t="s">
        <v>2269</v>
      </c>
      <c r="D453" s="5" t="s">
        <v>1603</v>
      </c>
      <c r="E453" s="5" t="s">
        <v>1601</v>
      </c>
      <c r="F453" s="132">
        <f>SUMIF('COLAR PLANO'!$A:$A,A453,'COLAR PLANO'!$D:$D)</f>
        <v>0</v>
      </c>
      <c r="G453" s="131">
        <f t="shared" si="131"/>
        <v>0</v>
      </c>
      <c r="H453" s="6">
        <v>5.0799999999999998E-2</v>
      </c>
      <c r="I453" s="7">
        <f t="shared" si="126"/>
        <v>0</v>
      </c>
      <c r="J453" s="130">
        <f t="shared" si="127"/>
        <v>0</v>
      </c>
      <c r="K453" s="651">
        <v>12</v>
      </c>
      <c r="L453" s="651">
        <v>2</v>
      </c>
      <c r="M453" s="651">
        <v>24</v>
      </c>
      <c r="N453" s="7">
        <f t="shared" si="128"/>
        <v>0</v>
      </c>
      <c r="O453" s="7"/>
      <c r="P453" s="311">
        <f>IFERROR(G453/M453,"-")</f>
        <v>0</v>
      </c>
      <c r="Q453" s="7"/>
      <c r="R453" s="7"/>
      <c r="S453" s="7"/>
      <c r="T453" s="7"/>
      <c r="U453" s="7" t="s">
        <v>2288</v>
      </c>
      <c r="V453" s="7" t="s">
        <v>2289</v>
      </c>
      <c r="W453" s="7" t="str">
        <f>Preencher!$B$3&amp;U453&amp;V453&amp;A453&amp;$W$6</f>
        <v>JARINU-FRG926949MQ.TUNEL DE CG (CONTINUO)</v>
      </c>
      <c r="X453" s="7" t="str">
        <f>Preencher!$B$3&amp;U453&amp;V453&amp;A453&amp;$X$6</f>
        <v>JARINU-FRG926949MQ.TUNEL DE CG (CONTINUO) (1)</v>
      </c>
      <c r="Y453" s="7" t="str">
        <f>Preencher!$B$3&amp;U453&amp;V453&amp;A453&amp;$Y$6</f>
        <v>JARINU-FRG926949MQ.TUNEL DE CG (CONTINUO) (2)</v>
      </c>
      <c r="Z453" s="7" t="str">
        <f>Preencher!$B$3&amp;U453&amp;V453&amp;A453&amp;$Z$6</f>
        <v>JARINU-FRG926949MQ.TUNEL DE CG (CONTINUO) (3)</v>
      </c>
      <c r="AA453" s="7" t="str">
        <f>Preencher!$B$3&amp;U453&amp;V453&amp;A453&amp;$AA$6</f>
        <v>JARINU-FRG926949MQ.TUNEL DE CG (ESTATICO)</v>
      </c>
      <c r="AB453" s="7" t="str">
        <f>Preencher!$B$3&amp;U453&amp;V453&amp;A453&amp;$AB$6</f>
        <v>JARINU-FRG926949MQ.TUNEL DE CG (ESTATICO) (1)</v>
      </c>
      <c r="AC453" s="7" t="str">
        <f>Preencher!$B$3&amp;U453&amp;V453&amp;A453&amp;$AC$6</f>
        <v>JARINU-FRG926949MQ.TUNEL DE CG (ESTATICO) (2)</v>
      </c>
      <c r="AD453" s="327">
        <f>IFERROR(SUMIF('BD Otimix'!A:A,'BD VOLUME'!X453,'BD Otimix'!O:O)+SUMIF('BD Otimix'!A:A,'BD VOLUME'!Y453,'BD Otimix'!O:O)+SUMIF('BD Otimix'!A:A,'BD VOLUME'!Z453,'BD Otimix'!O:O)+SUMIF('BD Otimix'!A:A,'BD VOLUME'!AA453,'BD Otimix'!O:O)+SUMIF('BD Otimix'!A:A,'BD VOLUME'!AB453,'BD Otimix'!O:O)+SUMIF('BD Otimix'!A:A,'BD VOLUME'!AC453,'BD Otimix'!O:O)+SUMIF('BD Otimix'!A:A,'BD VOLUME'!W453,'BD Otimix'!O:O),0)</f>
        <v>0</v>
      </c>
      <c r="AE453" s="327">
        <f t="shared" si="129"/>
        <v>0</v>
      </c>
      <c r="AF453" s="7" t="str">
        <f>Preencher!$B$3&amp;$U$8&amp;$V$8&amp;A453&amp;$AF$6</f>
        <v>JARINU-FRG926949MQ.GIROFREEZER</v>
      </c>
      <c r="AG453" s="7" t="str">
        <f>Preencher!$B$3&amp;$U$8&amp;$V$8&amp;A453&amp;$AG$6</f>
        <v>JARINU-FRG926949MQ.GIROFREEZER (1)</v>
      </c>
      <c r="AH453" s="7" t="str">
        <f>Preencher!$B$3&amp;$U$8&amp;$V$8&amp;A453&amp;$AH$6</f>
        <v>JARINU-FRG926949MQ.GIROFREEZER (2)</v>
      </c>
      <c r="AI453" s="7" t="str">
        <f>Preencher!$B$3&amp;$U$8&amp;$V$8&amp;A453&amp;$AI$6</f>
        <v>JARINU-FRG926949MQ.GIROFREEZER REV04</v>
      </c>
      <c r="AJ453" s="7" t="str">
        <f>Preencher!$B$3&amp;$U$8&amp;$V$8&amp;A453&amp;$AJ$6</f>
        <v>JARINU-FRG926949MQ.GIROFREEZER (3)</v>
      </c>
      <c r="AK453" s="327">
        <f>IFERROR(SUMIF('BD Otimix'!A:A,'BD VOLUME'!AG453,'BD Otimix'!O:O)+SUMIF('BD Otimix'!A:A,'BD VOLUME'!AH453,'BD Otimix'!O:O)+SUMIF('BD Otimix'!A:A,'BD VOLUME'!AI453,'BD Otimix'!O:O)+SUMIF('BD Otimix'!A:A,'BD VOLUME'!AJ453,'BD Otimix'!O:O)+SUMIF('BD Otimix'!A:A,'BD VOLUME'!AF453,'BD Otimix'!O:O),0)</f>
        <v>0</v>
      </c>
      <c r="AL453" s="7">
        <f t="shared" si="130"/>
        <v>0</v>
      </c>
    </row>
    <row r="454" spans="1:38">
      <c r="A454" s="651">
        <v>790320</v>
      </c>
      <c r="B454" s="651"/>
      <c r="C454" s="5" t="s">
        <v>2267</v>
      </c>
      <c r="D454" s="5" t="s">
        <v>1603</v>
      </c>
      <c r="E454" s="5" t="s">
        <v>1598</v>
      </c>
      <c r="F454" s="132">
        <f>SUMIF('COLAR PLANO'!$A:$A,A454,'COLAR PLANO'!$D:$D)</f>
        <v>0</v>
      </c>
      <c r="G454" s="131">
        <f t="shared" si="131"/>
        <v>0</v>
      </c>
      <c r="H454" s="6">
        <v>4.7300000000000002E-2</v>
      </c>
      <c r="I454" s="7">
        <f t="shared" si="126"/>
        <v>0</v>
      </c>
      <c r="J454" s="130">
        <f t="shared" si="127"/>
        <v>0</v>
      </c>
      <c r="K454" s="651">
        <v>20</v>
      </c>
      <c r="L454" s="651">
        <v>1</v>
      </c>
      <c r="M454" s="651">
        <v>20</v>
      </c>
      <c r="N454" s="7">
        <f t="shared" si="128"/>
        <v>0</v>
      </c>
      <c r="O454" s="7"/>
      <c r="P454" s="311">
        <f>IFERROR(G454/M454,"-")</f>
        <v>0</v>
      </c>
      <c r="Q454" s="7"/>
      <c r="R454" s="7"/>
      <c r="S454" s="7"/>
      <c r="T454" s="7"/>
      <c r="U454" s="7" t="s">
        <v>2288</v>
      </c>
      <c r="V454" s="7" t="s">
        <v>2289</v>
      </c>
      <c r="W454" s="7" t="str">
        <f>Preencher!$B$3&amp;U454&amp;V454&amp;A454&amp;$W$6</f>
        <v>JARINU-FRG790320MQ.TUNEL DE CG (CONTINUO)</v>
      </c>
      <c r="X454" s="7" t="str">
        <f>Preencher!$B$3&amp;U454&amp;V454&amp;A454&amp;$X$6</f>
        <v>JARINU-FRG790320MQ.TUNEL DE CG (CONTINUO) (1)</v>
      </c>
      <c r="Y454" s="7" t="str">
        <f>Preencher!$B$3&amp;U454&amp;V454&amp;A454&amp;$Y$6</f>
        <v>JARINU-FRG790320MQ.TUNEL DE CG (CONTINUO) (2)</v>
      </c>
      <c r="Z454" s="7" t="str">
        <f>Preencher!$B$3&amp;U454&amp;V454&amp;A454&amp;$Z$6</f>
        <v>JARINU-FRG790320MQ.TUNEL DE CG (CONTINUO) (3)</v>
      </c>
      <c r="AA454" s="7" t="str">
        <f>Preencher!$B$3&amp;U454&amp;V454&amp;A454&amp;$AA$6</f>
        <v>JARINU-FRG790320MQ.TUNEL DE CG (ESTATICO)</v>
      </c>
      <c r="AB454" s="7" t="str">
        <f>Preencher!$B$3&amp;U454&amp;V454&amp;A454&amp;$AB$6</f>
        <v>JARINU-FRG790320MQ.TUNEL DE CG (ESTATICO) (1)</v>
      </c>
      <c r="AC454" s="7" t="str">
        <f>Preencher!$B$3&amp;U454&amp;V454&amp;A454&amp;$AC$6</f>
        <v>JARINU-FRG790320MQ.TUNEL DE CG (ESTATICO) (2)</v>
      </c>
      <c r="AD454" s="327">
        <f>IFERROR(SUMIF('BD Otimix'!A:A,'BD VOLUME'!X454,'BD Otimix'!O:O)+SUMIF('BD Otimix'!A:A,'BD VOLUME'!Y454,'BD Otimix'!O:O)+SUMIF('BD Otimix'!A:A,'BD VOLUME'!Z454,'BD Otimix'!O:O)+SUMIF('BD Otimix'!A:A,'BD VOLUME'!AA454,'BD Otimix'!O:O)+SUMIF('BD Otimix'!A:A,'BD VOLUME'!AB454,'BD Otimix'!O:O)+SUMIF('BD Otimix'!A:A,'BD VOLUME'!AC454,'BD Otimix'!O:O)+SUMIF('BD Otimix'!A:A,'BD VOLUME'!W454,'BD Otimix'!O:O),0)</f>
        <v>0</v>
      </c>
      <c r="AE454" s="327">
        <f t="shared" si="129"/>
        <v>0</v>
      </c>
      <c r="AF454" s="7" t="str">
        <f>Preencher!$B$3&amp;$U$8&amp;$V$8&amp;A454&amp;$AF$6</f>
        <v>JARINU-FRG790320MQ.GIROFREEZER</v>
      </c>
      <c r="AG454" s="7" t="str">
        <f>Preencher!$B$3&amp;$U$8&amp;$V$8&amp;A454&amp;$AG$6</f>
        <v>JARINU-FRG790320MQ.GIROFREEZER (1)</v>
      </c>
      <c r="AH454" s="7" t="str">
        <f>Preencher!$B$3&amp;$U$8&amp;$V$8&amp;A454&amp;$AH$6</f>
        <v>JARINU-FRG790320MQ.GIROFREEZER (2)</v>
      </c>
      <c r="AI454" s="7" t="str">
        <f>Preencher!$B$3&amp;$U$8&amp;$V$8&amp;A454&amp;$AI$6</f>
        <v>JARINU-FRG790320MQ.GIROFREEZER REV04</v>
      </c>
      <c r="AJ454" s="7" t="str">
        <f>Preencher!$B$3&amp;$U$8&amp;$V$8&amp;A454&amp;$AJ$6</f>
        <v>JARINU-FRG790320MQ.GIROFREEZER (3)</v>
      </c>
      <c r="AK454" s="327">
        <f>IFERROR(SUMIF('BD Otimix'!A:A,'BD VOLUME'!AG454,'BD Otimix'!O:O)+SUMIF('BD Otimix'!A:A,'BD VOLUME'!AH454,'BD Otimix'!O:O)+SUMIF('BD Otimix'!A:A,'BD VOLUME'!AI454,'BD Otimix'!O:O)+SUMIF('BD Otimix'!A:A,'BD VOLUME'!AJ454,'BD Otimix'!O:O)+SUMIF('BD Otimix'!A:A,'BD VOLUME'!AF454,'BD Otimix'!O:O),0)</f>
        <v>0</v>
      </c>
      <c r="AL454" s="7">
        <f t="shared" si="130"/>
        <v>0</v>
      </c>
    </row>
    <row r="455" spans="1:38">
      <c r="A455" s="651">
        <v>963968</v>
      </c>
      <c r="B455" s="651">
        <v>963968</v>
      </c>
      <c r="C455" s="5" t="s">
        <v>3182</v>
      </c>
      <c r="D455" s="5" t="s">
        <v>1603</v>
      </c>
      <c r="E455" s="5" t="s">
        <v>1599</v>
      </c>
      <c r="F455" s="132">
        <f>SUMIF('COLAR PLANO'!$A:$A,A455,'COLAR PLANO'!$D:$D)</f>
        <v>0</v>
      </c>
      <c r="G455" s="131">
        <f t="shared" si="131"/>
        <v>0</v>
      </c>
      <c r="H455" s="6">
        <v>5.0999999999999997E-2</v>
      </c>
      <c r="I455" s="7">
        <f t="shared" ref="I455:I463" si="132">IFERROR(G455/$D$3/H455,0)</f>
        <v>0</v>
      </c>
      <c r="J455" s="130">
        <f t="shared" ref="J455:J463" si="133">IFERROR(I455/$B$438,0)</f>
        <v>0</v>
      </c>
      <c r="K455" s="666">
        <v>1</v>
      </c>
      <c r="L455" s="666">
        <v>12</v>
      </c>
      <c r="M455" s="666">
        <v>12</v>
      </c>
      <c r="N455" s="7">
        <f t="shared" ref="N455:N463" si="134">IFERROR(G455/K455,"-")</f>
        <v>0</v>
      </c>
      <c r="O455" s="7"/>
      <c r="P455" s="311">
        <f>IFERROR(G455/M455,"-")</f>
        <v>0</v>
      </c>
      <c r="Q455" s="7"/>
      <c r="R455" s="7"/>
      <c r="S455" s="7"/>
      <c r="T455" s="7"/>
      <c r="U455" s="7" t="s">
        <v>2288</v>
      </c>
      <c r="V455" s="7" t="s">
        <v>2289</v>
      </c>
      <c r="W455" s="7" t="str">
        <f>Preencher!$B$3&amp;U455&amp;V455&amp;A455&amp;$W$6</f>
        <v>JARINU-FRG963968MQ.TUNEL DE CG (CONTINUO)</v>
      </c>
      <c r="X455" s="7" t="str">
        <f>Preencher!$B$3&amp;U455&amp;V455&amp;A455&amp;$X$6</f>
        <v>JARINU-FRG963968MQ.TUNEL DE CG (CONTINUO) (1)</v>
      </c>
      <c r="Y455" s="7" t="str">
        <f>Preencher!$B$3&amp;U455&amp;V455&amp;A455&amp;$Y$6</f>
        <v>JARINU-FRG963968MQ.TUNEL DE CG (CONTINUO) (2)</v>
      </c>
      <c r="Z455" s="7" t="str">
        <f>Preencher!$B$3&amp;U455&amp;V455&amp;A455&amp;$Z$6</f>
        <v>JARINU-FRG963968MQ.TUNEL DE CG (CONTINUO) (3)</v>
      </c>
      <c r="AA455" s="7" t="str">
        <f>Preencher!$B$3&amp;U455&amp;V455&amp;A455&amp;$AA$6</f>
        <v>JARINU-FRG963968MQ.TUNEL DE CG (ESTATICO)</v>
      </c>
      <c r="AB455" s="7" t="str">
        <f>Preencher!$B$3&amp;U455&amp;V455&amp;A455&amp;$AB$6</f>
        <v>JARINU-FRG963968MQ.TUNEL DE CG (ESTATICO) (1)</v>
      </c>
      <c r="AC455" s="7" t="str">
        <f>Preencher!$B$3&amp;U455&amp;V455&amp;A455&amp;$AC$6</f>
        <v>JARINU-FRG963968MQ.TUNEL DE CG (ESTATICO) (2)</v>
      </c>
      <c r="AD455" s="327">
        <f>IFERROR(SUMIF('BD Otimix'!A:A,'BD VOLUME'!X455,'BD Otimix'!O:O)+SUMIF('BD Otimix'!A:A,'BD VOLUME'!Y455,'BD Otimix'!O:O)+SUMIF('BD Otimix'!A:A,'BD VOLUME'!Z455,'BD Otimix'!O:O)+SUMIF('BD Otimix'!A:A,'BD VOLUME'!AA455,'BD Otimix'!O:O)+SUMIF('BD Otimix'!A:A,'BD VOLUME'!AB455,'BD Otimix'!O:O)+SUMIF('BD Otimix'!A:A,'BD VOLUME'!AC455,'BD Otimix'!O:O)+SUMIF('BD Otimix'!A:A,'BD VOLUME'!W455,'BD Otimix'!O:O),0)</f>
        <v>0</v>
      </c>
      <c r="AE455" s="327">
        <f t="shared" ref="AE455:AE463" si="135">IFERROR(F455/$E$3/1000/AD455,0)</f>
        <v>0</v>
      </c>
      <c r="AF455" s="7" t="str">
        <f>Preencher!$B$3&amp;$U$8&amp;$V$8&amp;A455&amp;$AF$6</f>
        <v>JARINU-FRG963968MQ.GIROFREEZER</v>
      </c>
      <c r="AG455" s="7" t="str">
        <f>Preencher!$B$3&amp;$U$8&amp;$V$8&amp;A455&amp;$AG$6</f>
        <v>JARINU-FRG963968MQ.GIROFREEZER (1)</v>
      </c>
      <c r="AH455" s="7" t="str">
        <f>Preencher!$B$3&amp;$U$8&amp;$V$8&amp;A455&amp;$AH$6</f>
        <v>JARINU-FRG963968MQ.GIROFREEZER (2)</v>
      </c>
      <c r="AI455" s="7" t="str">
        <f>Preencher!$B$3&amp;$U$8&amp;$V$8&amp;A455&amp;$AI$6</f>
        <v>JARINU-FRG963968MQ.GIROFREEZER REV04</v>
      </c>
      <c r="AJ455" s="7" t="str">
        <f>Preencher!$B$3&amp;$U$8&amp;$V$8&amp;A455&amp;$AJ$6</f>
        <v>JARINU-FRG963968MQ.GIROFREEZER (3)</v>
      </c>
      <c r="AK455" s="327">
        <f>IFERROR(SUMIF('BD Otimix'!A:A,'BD VOLUME'!AG455,'BD Otimix'!O:O)+SUMIF('BD Otimix'!A:A,'BD VOLUME'!AH455,'BD Otimix'!O:O)+SUMIF('BD Otimix'!A:A,'BD VOLUME'!AI455,'BD Otimix'!O:O)+SUMIF('BD Otimix'!A:A,'BD VOLUME'!AJ455,'BD Otimix'!O:O)+SUMIF('BD Otimix'!A:A,'BD VOLUME'!AF455,'BD Otimix'!O:O),0)</f>
        <v>0</v>
      </c>
      <c r="AL455" s="7">
        <f t="shared" ref="AL455:AL463" si="136">IFERROR(F455/$E$3/1000/AK455,0)</f>
        <v>0</v>
      </c>
    </row>
    <row r="456" spans="1:38">
      <c r="A456" s="651">
        <v>40247</v>
      </c>
      <c r="B456" s="651"/>
      <c r="C456" s="5" t="s">
        <v>2451</v>
      </c>
      <c r="D456" s="5" t="s">
        <v>1603</v>
      </c>
      <c r="E456" s="5" t="s">
        <v>926</v>
      </c>
      <c r="F456" s="132">
        <f>SUMIF('COLAR PLANO'!$A:$A,A456,'COLAR PLANO'!$D:$D)</f>
        <v>0</v>
      </c>
      <c r="G456" s="131">
        <f t="shared" si="131"/>
        <v>0</v>
      </c>
      <c r="H456" s="6">
        <v>5.0799999999999998E-2</v>
      </c>
      <c r="I456" s="7">
        <f t="shared" si="132"/>
        <v>0</v>
      </c>
      <c r="J456" s="130">
        <f t="shared" si="133"/>
        <v>0</v>
      </c>
      <c r="K456" s="666">
        <v>1</v>
      </c>
      <c r="L456" s="666">
        <v>15</v>
      </c>
      <c r="M456" s="666">
        <v>15</v>
      </c>
      <c r="N456" s="7">
        <f t="shared" si="134"/>
        <v>0</v>
      </c>
      <c r="O456" s="7">
        <f t="shared" ref="O456:O461" si="137">IFERROR(G456/M456,"-")</f>
        <v>0</v>
      </c>
      <c r="Q456" s="7"/>
      <c r="R456" s="7"/>
      <c r="S456" s="7"/>
      <c r="T456" s="7"/>
      <c r="U456" s="7" t="s">
        <v>2288</v>
      </c>
      <c r="V456" s="7" t="s">
        <v>2289</v>
      </c>
      <c r="W456" s="7" t="str">
        <f>Preencher!$B$3&amp;U456&amp;V456&amp;A456&amp;$W$6</f>
        <v>JARINU-FRG40247MQ.TUNEL DE CG (CONTINUO)</v>
      </c>
      <c r="X456" s="7" t="str">
        <f>Preencher!$B$3&amp;U456&amp;V456&amp;A456&amp;$X$6</f>
        <v>JARINU-FRG40247MQ.TUNEL DE CG (CONTINUO) (1)</v>
      </c>
      <c r="Y456" s="7" t="str">
        <f>Preencher!$B$3&amp;U456&amp;V456&amp;A456&amp;$Y$6</f>
        <v>JARINU-FRG40247MQ.TUNEL DE CG (CONTINUO) (2)</v>
      </c>
      <c r="Z456" s="7" t="str">
        <f>Preencher!$B$3&amp;U456&amp;V456&amp;A456&amp;$Z$6</f>
        <v>JARINU-FRG40247MQ.TUNEL DE CG (CONTINUO) (3)</v>
      </c>
      <c r="AA456" s="7" t="str">
        <f>Preencher!$B$3&amp;U456&amp;V456&amp;A456&amp;$AA$6</f>
        <v>JARINU-FRG40247MQ.TUNEL DE CG (ESTATICO)</v>
      </c>
      <c r="AB456" s="7" t="str">
        <f>Preencher!$B$3&amp;U456&amp;V456&amp;A456&amp;$AB$6</f>
        <v>JARINU-FRG40247MQ.TUNEL DE CG (ESTATICO) (1)</v>
      </c>
      <c r="AC456" s="7" t="str">
        <f>Preencher!$B$3&amp;U456&amp;V456&amp;A456&amp;$AC$6</f>
        <v>JARINU-FRG40247MQ.TUNEL DE CG (ESTATICO) (2)</v>
      </c>
      <c r="AD456" s="327">
        <f>IFERROR(SUMIF('BD Otimix'!A:A,'BD VOLUME'!X456,'BD Otimix'!O:O)+SUMIF('BD Otimix'!A:A,'BD VOLUME'!Y456,'BD Otimix'!O:O)+SUMIF('BD Otimix'!A:A,'BD VOLUME'!Z456,'BD Otimix'!O:O)+SUMIF('BD Otimix'!A:A,'BD VOLUME'!AA456,'BD Otimix'!O:O)+SUMIF('BD Otimix'!A:A,'BD VOLUME'!AB456,'BD Otimix'!O:O)+SUMIF('BD Otimix'!A:A,'BD VOLUME'!AC456,'BD Otimix'!O:O)+SUMIF('BD Otimix'!A:A,'BD VOLUME'!W456,'BD Otimix'!O:O),0)</f>
        <v>0</v>
      </c>
      <c r="AE456" s="327">
        <f t="shared" si="135"/>
        <v>0</v>
      </c>
      <c r="AF456" s="7" t="str">
        <f>Preencher!$B$3&amp;$U$8&amp;$V$8&amp;A456&amp;$AF$6</f>
        <v>JARINU-FRG40247MQ.GIROFREEZER</v>
      </c>
      <c r="AG456" s="7" t="str">
        <f>Preencher!$B$3&amp;$U$8&amp;$V$8&amp;A456&amp;$AG$6</f>
        <v>JARINU-FRG40247MQ.GIROFREEZER (1)</v>
      </c>
      <c r="AH456" s="7" t="str">
        <f>Preencher!$B$3&amp;$U$8&amp;$V$8&amp;A456&amp;$AH$6</f>
        <v>JARINU-FRG40247MQ.GIROFREEZER (2)</v>
      </c>
      <c r="AI456" s="7" t="str">
        <f>Preencher!$B$3&amp;$U$8&amp;$V$8&amp;A456&amp;$AI$6</f>
        <v>JARINU-FRG40247MQ.GIROFREEZER REV04</v>
      </c>
      <c r="AJ456" s="7" t="str">
        <f>Preencher!$B$3&amp;$U$8&amp;$V$8&amp;A456&amp;$AJ$6</f>
        <v>JARINU-FRG40247MQ.GIROFREEZER (3)</v>
      </c>
      <c r="AK456" s="672">
        <f>IFERROR(SUMIF('BD Otimix'!A:A,'BD VOLUME'!AG456,'BD Otimix'!O:O)+SUMIF('BD Otimix'!A:A,'BD VOLUME'!AH456,'BD Otimix'!O:O)+SUMIF('BD Otimix'!A:A,'BD VOLUME'!AI456,'BD Otimix'!O:O)+SUMIF('BD Otimix'!A:A,'BD VOLUME'!AJ456,'BD Otimix'!O:O)+SUMIF('BD Otimix'!A:A,'BD VOLUME'!AF456,'BD Otimix'!O:O),0)</f>
        <v>0</v>
      </c>
      <c r="AL456" s="7">
        <f t="shared" si="136"/>
        <v>0</v>
      </c>
    </row>
    <row r="457" spans="1:38">
      <c r="A457" s="651">
        <v>40257</v>
      </c>
      <c r="B457" s="651"/>
      <c r="C457" s="5" t="s">
        <v>2451</v>
      </c>
      <c r="D457" s="5" t="s">
        <v>1603</v>
      </c>
      <c r="E457" s="5" t="s">
        <v>926</v>
      </c>
      <c r="F457" s="132">
        <f>SUMIF('COLAR PLANO'!$A:$A,A457,'COLAR PLANO'!$D:$D)</f>
        <v>0</v>
      </c>
      <c r="G457" s="131">
        <f t="shared" si="131"/>
        <v>0</v>
      </c>
      <c r="H457" s="6">
        <v>5.0799999999999998E-2</v>
      </c>
      <c r="I457" s="7">
        <f t="shared" si="132"/>
        <v>0</v>
      </c>
      <c r="J457" s="130">
        <f t="shared" si="133"/>
        <v>0</v>
      </c>
      <c r="K457" s="666">
        <v>1</v>
      </c>
      <c r="L457" s="666">
        <v>15</v>
      </c>
      <c r="M457" s="666">
        <v>15</v>
      </c>
      <c r="N457" s="7">
        <f t="shared" si="134"/>
        <v>0</v>
      </c>
      <c r="O457" s="7">
        <f t="shared" si="137"/>
        <v>0</v>
      </c>
      <c r="Q457" s="7"/>
      <c r="R457" s="7"/>
      <c r="S457" s="7"/>
      <c r="T457" s="7"/>
      <c r="U457" s="7" t="s">
        <v>2288</v>
      </c>
      <c r="V457" s="7" t="s">
        <v>2289</v>
      </c>
      <c r="W457" s="7" t="str">
        <f>Preencher!$B$3&amp;U457&amp;V457&amp;A457&amp;$W$6</f>
        <v>JARINU-FRG40257MQ.TUNEL DE CG (CONTINUO)</v>
      </c>
      <c r="X457" s="7" t="str">
        <f>Preencher!$B$3&amp;U457&amp;V457&amp;A457&amp;$X$6</f>
        <v>JARINU-FRG40257MQ.TUNEL DE CG (CONTINUO) (1)</v>
      </c>
      <c r="Y457" s="7" t="str">
        <f>Preencher!$B$3&amp;U457&amp;V457&amp;A457&amp;$Y$6</f>
        <v>JARINU-FRG40257MQ.TUNEL DE CG (CONTINUO) (2)</v>
      </c>
      <c r="Z457" s="7" t="str">
        <f>Preencher!$B$3&amp;U457&amp;V457&amp;A457&amp;$Z$6</f>
        <v>JARINU-FRG40257MQ.TUNEL DE CG (CONTINUO) (3)</v>
      </c>
      <c r="AA457" s="7" t="str">
        <f>Preencher!$B$3&amp;U457&amp;V457&amp;A457&amp;$AA$6</f>
        <v>JARINU-FRG40257MQ.TUNEL DE CG (ESTATICO)</v>
      </c>
      <c r="AB457" s="7" t="str">
        <f>Preencher!$B$3&amp;U457&amp;V457&amp;A457&amp;$AB$6</f>
        <v>JARINU-FRG40257MQ.TUNEL DE CG (ESTATICO) (1)</v>
      </c>
      <c r="AC457" s="7" t="str">
        <f>Preencher!$B$3&amp;U457&amp;V457&amp;A457&amp;$AC$6</f>
        <v>JARINU-FRG40257MQ.TUNEL DE CG (ESTATICO) (2)</v>
      </c>
      <c r="AD457" s="327">
        <f>IFERROR(SUMIF('BD Otimix'!A:A,'BD VOLUME'!X457,'BD Otimix'!O:O)+SUMIF('BD Otimix'!A:A,'BD VOLUME'!Y457,'BD Otimix'!O:O)+SUMIF('BD Otimix'!A:A,'BD VOLUME'!Z457,'BD Otimix'!O:O)+SUMIF('BD Otimix'!A:A,'BD VOLUME'!AA457,'BD Otimix'!O:O)+SUMIF('BD Otimix'!A:A,'BD VOLUME'!AB457,'BD Otimix'!O:O)+SUMIF('BD Otimix'!A:A,'BD VOLUME'!AC457,'BD Otimix'!O:O)+SUMIF('BD Otimix'!A:A,'BD VOLUME'!W457,'BD Otimix'!O:O),0)</f>
        <v>0</v>
      </c>
      <c r="AE457" s="327">
        <f t="shared" si="135"/>
        <v>0</v>
      </c>
      <c r="AF457" s="7" t="str">
        <f>Preencher!$B$3&amp;$U$8&amp;$V$8&amp;A457&amp;$AF$6</f>
        <v>JARINU-FRG40257MQ.GIROFREEZER</v>
      </c>
      <c r="AG457" s="7" t="str">
        <f>Preencher!$B$3&amp;$U$8&amp;$V$8&amp;A457&amp;$AG$6</f>
        <v>JARINU-FRG40257MQ.GIROFREEZER (1)</v>
      </c>
      <c r="AH457" s="7" t="str">
        <f>Preencher!$B$3&amp;$U$8&amp;$V$8&amp;A457&amp;$AH$6</f>
        <v>JARINU-FRG40257MQ.GIROFREEZER (2)</v>
      </c>
      <c r="AI457" s="7" t="str">
        <f>Preencher!$B$3&amp;$U$8&amp;$V$8&amp;A457&amp;$AI$6</f>
        <v>JARINU-FRG40257MQ.GIROFREEZER REV04</v>
      </c>
      <c r="AJ457" s="7" t="str">
        <f>Preencher!$B$3&amp;$U$8&amp;$V$8&amp;A457&amp;$AJ$6</f>
        <v>JARINU-FRG40257MQ.GIROFREEZER (3)</v>
      </c>
      <c r="AK457" s="672">
        <f>IFERROR(SUMIF('BD Otimix'!A:A,'BD VOLUME'!AG457,'BD Otimix'!O:O)+SUMIF('BD Otimix'!A:A,'BD VOLUME'!AH457,'BD Otimix'!O:O)+SUMIF('BD Otimix'!A:A,'BD VOLUME'!AI457,'BD Otimix'!O:O)+SUMIF('BD Otimix'!A:A,'BD VOLUME'!AJ457,'BD Otimix'!O:O)+SUMIF('BD Otimix'!A:A,'BD VOLUME'!AF457,'BD Otimix'!O:O),0)</f>
        <v>0</v>
      </c>
      <c r="AL457" s="7">
        <f t="shared" si="136"/>
        <v>0</v>
      </c>
    </row>
    <row r="458" spans="1:38">
      <c r="A458" s="651">
        <v>990389</v>
      </c>
      <c r="B458" s="651"/>
      <c r="C458" s="5" t="s">
        <v>5353</v>
      </c>
      <c r="D458" s="5" t="s">
        <v>1603</v>
      </c>
      <c r="E458" s="5" t="s">
        <v>1589</v>
      </c>
      <c r="F458" s="132">
        <f>SUMIF('COLAR PLANO'!$A:$A,A458,'COLAR PLANO'!$D:$D)</f>
        <v>302.40000000000003</v>
      </c>
      <c r="G458" s="131">
        <f t="shared" si="131"/>
        <v>1.4355566104913366</v>
      </c>
      <c r="H458" s="6">
        <v>5.0799999999999998E-2</v>
      </c>
      <c r="I458" s="7">
        <f t="shared" si="132"/>
        <v>9.4196627984995835</v>
      </c>
      <c r="J458" s="130">
        <f t="shared" si="133"/>
        <v>2.0042949176807445E-3</v>
      </c>
      <c r="K458" s="685">
        <v>1</v>
      </c>
      <c r="L458" s="685">
        <v>12</v>
      </c>
      <c r="M458" s="685">
        <v>12</v>
      </c>
      <c r="N458" s="7">
        <f t="shared" si="134"/>
        <v>1.4355566104913366</v>
      </c>
      <c r="O458" s="7">
        <f t="shared" si="137"/>
        <v>0.11962971754094472</v>
      </c>
      <c r="P458" s="7"/>
      <c r="Q458" s="7"/>
      <c r="R458" s="7"/>
      <c r="S458" s="7"/>
      <c r="T458" s="7"/>
      <c r="U458" s="7" t="s">
        <v>2288</v>
      </c>
      <c r="V458" s="7" t="s">
        <v>2289</v>
      </c>
      <c r="W458" s="7" t="str">
        <f>Preencher!$B$3&amp;U458&amp;V458&amp;A458&amp;$W$6</f>
        <v>JARINU-FRG990389MQ.TUNEL DE CG (CONTINUO)</v>
      </c>
      <c r="X458" s="7" t="str">
        <f>Preencher!$B$3&amp;U458&amp;V458&amp;A458&amp;$X$6</f>
        <v>JARINU-FRG990389MQ.TUNEL DE CG (CONTINUO) (1)</v>
      </c>
      <c r="Y458" s="7" t="str">
        <f>Preencher!$B$3&amp;U458&amp;V458&amp;A458&amp;$Y$6</f>
        <v>JARINU-FRG990389MQ.TUNEL DE CG (CONTINUO) (2)</v>
      </c>
      <c r="Z458" s="7" t="str">
        <f>Preencher!$B$3&amp;U458&amp;V458&amp;A458&amp;$Z$6</f>
        <v>JARINU-FRG990389MQ.TUNEL DE CG (CONTINUO) (3)</v>
      </c>
      <c r="AA458" s="7" t="str">
        <f>Preencher!$B$3&amp;U458&amp;V458&amp;A458&amp;$AA$6</f>
        <v>JARINU-FRG990389MQ.TUNEL DE CG (ESTATICO)</v>
      </c>
      <c r="AB458" s="7" t="str">
        <f>Preencher!$B$3&amp;U458&amp;V458&amp;A458&amp;$AB$6</f>
        <v>JARINU-FRG990389MQ.TUNEL DE CG (ESTATICO) (1)</v>
      </c>
      <c r="AC458" s="7" t="str">
        <f>Preencher!$B$3&amp;U458&amp;V458&amp;A458&amp;$AC$6</f>
        <v>JARINU-FRG990389MQ.TUNEL DE CG (ESTATICO) (2)</v>
      </c>
      <c r="AD458" s="327">
        <f>IFERROR(SUMIF('BD Otimix'!A:A,'BD VOLUME'!X458,'BD Otimix'!O:O)+SUMIF('BD Otimix'!A:A,'BD VOLUME'!Y458,'BD Otimix'!O:O)+SUMIF('BD Otimix'!A:A,'BD VOLUME'!Z458,'BD Otimix'!O:O)+SUMIF('BD Otimix'!A:A,'BD VOLUME'!AA458,'BD Otimix'!O:O)+SUMIF('BD Otimix'!A:A,'BD VOLUME'!AB458,'BD Otimix'!O:O)+SUMIF('BD Otimix'!A:A,'BD VOLUME'!AC458,'BD Otimix'!O:O)+SUMIF('BD Otimix'!A:A,'BD VOLUME'!W458,'BD Otimix'!O:O),0)</f>
        <v>0</v>
      </c>
      <c r="AE458" s="327">
        <f t="shared" si="135"/>
        <v>0</v>
      </c>
      <c r="AF458" s="7" t="str">
        <f>Preencher!$B$3&amp;$U$8&amp;$V$8&amp;A458&amp;$AF$6</f>
        <v>JARINU-FRG990389MQ.GIROFREEZER</v>
      </c>
      <c r="AG458" s="7" t="str">
        <f>Preencher!$B$3&amp;$U$8&amp;$V$8&amp;A458&amp;$AG$6</f>
        <v>JARINU-FRG990389MQ.GIROFREEZER (1)</v>
      </c>
      <c r="AH458" s="7" t="str">
        <f>Preencher!$B$3&amp;$U$8&amp;$V$8&amp;A458&amp;$AH$6</f>
        <v>JARINU-FRG990389MQ.GIROFREEZER (2)</v>
      </c>
      <c r="AI458" s="7" t="str">
        <f>Preencher!$B$3&amp;$U$8&amp;$V$8&amp;A458&amp;$AI$6</f>
        <v>JARINU-FRG990389MQ.GIROFREEZER REV04</v>
      </c>
      <c r="AJ458" s="7" t="str">
        <f>Preencher!$B$3&amp;$U$8&amp;$V$8&amp;A458&amp;$AJ$6</f>
        <v>JARINU-FRG990389MQ.GIROFREEZER (3)</v>
      </c>
      <c r="AK458" s="327">
        <f>IFERROR(SUMIF('BD Otimix'!A:A,'BD VOLUME'!AG458,'BD Otimix'!O:O)+SUMIF('BD Otimix'!A:A,'BD VOLUME'!AH458,'BD Otimix'!O:O)+SUMIF('BD Otimix'!A:A,'BD VOLUME'!AI458,'BD Otimix'!O:O)+SUMIF('BD Otimix'!A:A,'BD VOLUME'!AJ458,'BD Otimix'!O:O)+SUMIF('BD Otimix'!A:A,'BD VOLUME'!AF458,'BD Otimix'!O:O),0)</f>
        <v>0</v>
      </c>
      <c r="AL458" s="7">
        <f t="shared" si="136"/>
        <v>0</v>
      </c>
    </row>
    <row r="459" spans="1:38">
      <c r="A459" s="651">
        <v>124513</v>
      </c>
      <c r="B459" s="651"/>
      <c r="C459" s="5" t="s">
        <v>2534</v>
      </c>
      <c r="D459" s="5" t="s">
        <v>1603</v>
      </c>
      <c r="E459" s="5" t="s">
        <v>926</v>
      </c>
      <c r="F459" s="132">
        <f>SUMIF('COLAR PLANO'!$A:$A,A459,'COLAR PLANO'!$D:$D)</f>
        <v>0</v>
      </c>
      <c r="G459" s="131">
        <f t="shared" si="131"/>
        <v>0</v>
      </c>
      <c r="H459" s="6">
        <v>5.0799999999999998E-2</v>
      </c>
      <c r="I459" s="7">
        <f t="shared" si="132"/>
        <v>0</v>
      </c>
      <c r="J459" s="130">
        <f t="shared" si="133"/>
        <v>0</v>
      </c>
      <c r="K459" s="685">
        <v>1</v>
      </c>
      <c r="L459" s="685">
        <v>15</v>
      </c>
      <c r="M459" s="685">
        <v>15</v>
      </c>
      <c r="N459" s="7">
        <f t="shared" si="134"/>
        <v>0</v>
      </c>
      <c r="O459" s="7">
        <f t="shared" si="137"/>
        <v>0</v>
      </c>
      <c r="Q459" s="7"/>
      <c r="R459" s="7"/>
      <c r="S459" s="7"/>
      <c r="T459" s="7"/>
      <c r="U459" s="7" t="s">
        <v>2288</v>
      </c>
      <c r="V459" s="7" t="s">
        <v>2289</v>
      </c>
      <c r="W459" s="7" t="str">
        <f>Preencher!$B$3&amp;U459&amp;V459&amp;A459&amp;$W$6</f>
        <v>JARINU-FRG124513MQ.TUNEL DE CG (CONTINUO)</v>
      </c>
      <c r="X459" s="7" t="str">
        <f>Preencher!$B$3&amp;U459&amp;V459&amp;A459&amp;$X$6</f>
        <v>JARINU-FRG124513MQ.TUNEL DE CG (CONTINUO) (1)</v>
      </c>
      <c r="Y459" s="7" t="str">
        <f>Preencher!$B$3&amp;U459&amp;V459&amp;A459&amp;$Y$6</f>
        <v>JARINU-FRG124513MQ.TUNEL DE CG (CONTINUO) (2)</v>
      </c>
      <c r="Z459" s="7" t="str">
        <f>Preencher!$B$3&amp;U459&amp;V459&amp;A459&amp;$Z$6</f>
        <v>JARINU-FRG124513MQ.TUNEL DE CG (CONTINUO) (3)</v>
      </c>
      <c r="AA459" s="7" t="str">
        <f>Preencher!$B$3&amp;U459&amp;V459&amp;A459&amp;$AA$6</f>
        <v>JARINU-FRG124513MQ.TUNEL DE CG (ESTATICO)</v>
      </c>
      <c r="AB459" s="7" t="str">
        <f>Preencher!$B$3&amp;U459&amp;V459&amp;A459&amp;$AB$6</f>
        <v>JARINU-FRG124513MQ.TUNEL DE CG (ESTATICO) (1)</v>
      </c>
      <c r="AC459" s="7" t="str">
        <f>Preencher!$B$3&amp;U459&amp;V459&amp;A459&amp;$AC$6</f>
        <v>JARINU-FRG124513MQ.TUNEL DE CG (ESTATICO) (2)</v>
      </c>
      <c r="AD459" s="327">
        <f>IFERROR(SUMIF('BD Otimix'!A:A,'BD VOLUME'!X459,'BD Otimix'!O:O)+SUMIF('BD Otimix'!A:A,'BD VOLUME'!Y459,'BD Otimix'!O:O)+SUMIF('BD Otimix'!A:A,'BD VOLUME'!Z459,'BD Otimix'!O:O)+SUMIF('BD Otimix'!A:A,'BD VOLUME'!AA459,'BD Otimix'!O:O)+SUMIF('BD Otimix'!A:A,'BD VOLUME'!AB459,'BD Otimix'!O:O)+SUMIF('BD Otimix'!A:A,'BD VOLUME'!AC459,'BD Otimix'!O:O)+SUMIF('BD Otimix'!A:A,'BD VOLUME'!W459,'BD Otimix'!O:O),0)</f>
        <v>0</v>
      </c>
      <c r="AE459" s="327">
        <f t="shared" si="135"/>
        <v>0</v>
      </c>
      <c r="AF459" s="7" t="str">
        <f>Preencher!$B$3&amp;$U$8&amp;$V$8&amp;A459&amp;$AF$6</f>
        <v>JARINU-FRG124513MQ.GIROFREEZER</v>
      </c>
      <c r="AG459" s="7" t="str">
        <f>Preencher!$B$3&amp;$U$8&amp;$V$8&amp;A459&amp;$AG$6</f>
        <v>JARINU-FRG124513MQ.GIROFREEZER (1)</v>
      </c>
      <c r="AH459" s="7" t="str">
        <f>Preencher!$B$3&amp;$U$8&amp;$V$8&amp;A459&amp;$AH$6</f>
        <v>JARINU-FRG124513MQ.GIROFREEZER (2)</v>
      </c>
      <c r="AI459" s="7" t="str">
        <f>Preencher!$B$3&amp;$U$8&amp;$V$8&amp;A459&amp;$AI$6</f>
        <v>JARINU-FRG124513MQ.GIROFREEZER REV04</v>
      </c>
      <c r="AJ459" s="7" t="str">
        <f>Preencher!$B$3&amp;$U$8&amp;$V$8&amp;A459&amp;$AJ$6</f>
        <v>JARINU-FRG124513MQ.GIROFREEZER (3)</v>
      </c>
      <c r="AK459" s="672">
        <f>IFERROR(SUMIF('BD Otimix'!A:A,'BD VOLUME'!AG459,'BD Otimix'!O:O)+SUMIF('BD Otimix'!A:A,'BD VOLUME'!AH459,'BD Otimix'!O:O)+SUMIF('BD Otimix'!A:A,'BD VOLUME'!AI459,'BD Otimix'!O:O)+SUMIF('BD Otimix'!A:A,'BD VOLUME'!AJ459,'BD Otimix'!O:O)+SUMIF('BD Otimix'!A:A,'BD VOLUME'!AF459,'BD Otimix'!O:O),0)</f>
        <v>0</v>
      </c>
      <c r="AL459" s="7">
        <f t="shared" si="136"/>
        <v>0</v>
      </c>
    </row>
    <row r="460" spans="1:38">
      <c r="A460" s="651">
        <v>956880</v>
      </c>
      <c r="B460" s="651"/>
      <c r="C460" s="5" t="s">
        <v>2535</v>
      </c>
      <c r="D460" s="5" t="s">
        <v>1603</v>
      </c>
      <c r="E460" s="5" t="s">
        <v>2567</v>
      </c>
      <c r="F460" s="132">
        <f>SUMIF('COLAR PLANO'!$A:$A,A460,'COLAR PLANO'!$D:$D)</f>
        <v>0</v>
      </c>
      <c r="G460" s="131">
        <f t="shared" si="131"/>
        <v>0</v>
      </c>
      <c r="H460" s="6">
        <v>5.0799999999999998E-2</v>
      </c>
      <c r="I460" s="7">
        <f t="shared" si="132"/>
        <v>0</v>
      </c>
      <c r="J460" s="130">
        <f t="shared" si="133"/>
        <v>0</v>
      </c>
      <c r="K460" s="685">
        <v>1</v>
      </c>
      <c r="L460" s="685">
        <v>12</v>
      </c>
      <c r="M460" s="685">
        <v>12</v>
      </c>
      <c r="N460" s="7">
        <f t="shared" si="134"/>
        <v>0</v>
      </c>
      <c r="O460" s="7">
        <f t="shared" si="137"/>
        <v>0</v>
      </c>
      <c r="P460" s="7"/>
      <c r="Q460" s="7"/>
      <c r="R460" s="7"/>
      <c r="S460" s="7"/>
      <c r="T460" s="7"/>
      <c r="U460" s="7" t="s">
        <v>2288</v>
      </c>
      <c r="V460" s="7" t="s">
        <v>2289</v>
      </c>
      <c r="W460" s="7" t="str">
        <f>Preencher!$B$3&amp;U460&amp;V460&amp;A460&amp;$W$6</f>
        <v>JARINU-FRG956880MQ.TUNEL DE CG (CONTINUO)</v>
      </c>
      <c r="X460" s="7" t="str">
        <f>Preencher!$B$3&amp;U460&amp;V460&amp;A460&amp;$X$6</f>
        <v>JARINU-FRG956880MQ.TUNEL DE CG (CONTINUO) (1)</v>
      </c>
      <c r="Y460" s="7" t="str">
        <f>Preencher!$B$3&amp;U460&amp;V460&amp;A460&amp;$Y$6</f>
        <v>JARINU-FRG956880MQ.TUNEL DE CG (CONTINUO) (2)</v>
      </c>
      <c r="Z460" s="7" t="str">
        <f>Preencher!$B$3&amp;U460&amp;V460&amp;A460&amp;$Z$6</f>
        <v>JARINU-FRG956880MQ.TUNEL DE CG (CONTINUO) (3)</v>
      </c>
      <c r="AA460" s="7" t="str">
        <f>Preencher!$B$3&amp;U460&amp;V460&amp;A460&amp;$AA$6</f>
        <v>JARINU-FRG956880MQ.TUNEL DE CG (ESTATICO)</v>
      </c>
      <c r="AB460" s="7" t="str">
        <f>Preencher!$B$3&amp;U460&amp;V460&amp;A460&amp;$AB$6</f>
        <v>JARINU-FRG956880MQ.TUNEL DE CG (ESTATICO) (1)</v>
      </c>
      <c r="AC460" s="7" t="str">
        <f>Preencher!$B$3&amp;U460&amp;V460&amp;A460&amp;$AC$6</f>
        <v>JARINU-FRG956880MQ.TUNEL DE CG (ESTATICO) (2)</v>
      </c>
      <c r="AD460" s="327">
        <f>IFERROR(SUMIF('BD Otimix'!A:A,'BD VOLUME'!X460,'BD Otimix'!O:O)+SUMIF('BD Otimix'!A:A,'BD VOLUME'!Y460,'BD Otimix'!O:O)+SUMIF('BD Otimix'!A:A,'BD VOLUME'!Z460,'BD Otimix'!O:O)+SUMIF('BD Otimix'!A:A,'BD VOLUME'!AA460,'BD Otimix'!O:O)+SUMIF('BD Otimix'!A:A,'BD VOLUME'!AB460,'BD Otimix'!O:O)+SUMIF('BD Otimix'!A:A,'BD VOLUME'!AC460,'BD Otimix'!O:O)+SUMIF('BD Otimix'!A:A,'BD VOLUME'!W460,'BD Otimix'!O:O),0)</f>
        <v>0</v>
      </c>
      <c r="AE460" s="327">
        <f t="shared" si="135"/>
        <v>0</v>
      </c>
      <c r="AF460" s="7" t="str">
        <f>Preencher!$B$3&amp;$U$8&amp;$V$8&amp;A460&amp;$AF$6</f>
        <v>JARINU-FRG956880MQ.GIROFREEZER</v>
      </c>
      <c r="AG460" s="7" t="str">
        <f>Preencher!$B$3&amp;$U$8&amp;$V$8&amp;A460&amp;$AG$6</f>
        <v>JARINU-FRG956880MQ.GIROFREEZER (1)</v>
      </c>
      <c r="AH460" s="7" t="str">
        <f>Preencher!$B$3&amp;$U$8&amp;$V$8&amp;A460&amp;$AH$6</f>
        <v>JARINU-FRG956880MQ.GIROFREEZER (2)</v>
      </c>
      <c r="AI460" s="7" t="str">
        <f>Preencher!$B$3&amp;$U$8&amp;$V$8&amp;A460&amp;$AI$6</f>
        <v>JARINU-FRG956880MQ.GIROFREEZER REV04</v>
      </c>
      <c r="AJ460" s="7" t="str">
        <f>Preencher!$B$3&amp;$U$8&amp;$V$8&amp;A460&amp;$AJ$6</f>
        <v>JARINU-FRG956880MQ.GIROFREEZER (3)</v>
      </c>
      <c r="AK460" s="327">
        <f>IFERROR(SUMIF('BD Otimix'!A:A,'BD VOLUME'!AG460,'BD Otimix'!O:O)+SUMIF('BD Otimix'!A:A,'BD VOLUME'!AH460,'BD Otimix'!O:O)+SUMIF('BD Otimix'!A:A,'BD VOLUME'!AI460,'BD Otimix'!O:O)+SUMIF('BD Otimix'!A:A,'BD VOLUME'!AJ460,'BD Otimix'!O:O)+SUMIF('BD Otimix'!A:A,'BD VOLUME'!AF460,'BD Otimix'!O:O),0)</f>
        <v>0</v>
      </c>
      <c r="AL460" s="7">
        <f t="shared" si="136"/>
        <v>0</v>
      </c>
    </row>
    <row r="461" spans="1:38">
      <c r="A461" s="651">
        <v>956902</v>
      </c>
      <c r="B461" s="651"/>
      <c r="C461" s="5" t="s">
        <v>2536</v>
      </c>
      <c r="D461" s="5" t="s">
        <v>1603</v>
      </c>
      <c r="E461" s="5" t="s">
        <v>1874</v>
      </c>
      <c r="F461" s="132">
        <f>SUMIF('COLAR PLANO'!$A:$A,A461,'COLAR PLANO'!$D:$D)</f>
        <v>0</v>
      </c>
      <c r="G461" s="131">
        <f t="shared" si="131"/>
        <v>0</v>
      </c>
      <c r="H461" s="6">
        <v>5.0799999999999998E-2</v>
      </c>
      <c r="I461" s="7">
        <f t="shared" si="132"/>
        <v>0</v>
      </c>
      <c r="J461" s="130">
        <f t="shared" si="133"/>
        <v>0</v>
      </c>
      <c r="K461" s="685">
        <v>1</v>
      </c>
      <c r="L461" s="685">
        <v>12</v>
      </c>
      <c r="M461" s="685">
        <v>12</v>
      </c>
      <c r="N461" s="7">
        <f t="shared" si="134"/>
        <v>0</v>
      </c>
      <c r="O461" s="7">
        <f t="shared" si="137"/>
        <v>0</v>
      </c>
      <c r="P461" s="7"/>
      <c r="Q461" s="7"/>
      <c r="R461" s="7"/>
      <c r="S461" s="7"/>
      <c r="T461" s="7"/>
      <c r="U461" s="7" t="s">
        <v>2288</v>
      </c>
      <c r="V461" s="7" t="s">
        <v>2289</v>
      </c>
      <c r="W461" s="7" t="str">
        <f>Preencher!$B$3&amp;U461&amp;V461&amp;A461&amp;$W$6</f>
        <v>JARINU-FRG956902MQ.TUNEL DE CG (CONTINUO)</v>
      </c>
      <c r="X461" s="7" t="str">
        <f>Preencher!$B$3&amp;U461&amp;V461&amp;A461&amp;$X$6</f>
        <v>JARINU-FRG956902MQ.TUNEL DE CG (CONTINUO) (1)</v>
      </c>
      <c r="Y461" s="7" t="str">
        <f>Preencher!$B$3&amp;U461&amp;V461&amp;A461&amp;$Y$6</f>
        <v>JARINU-FRG956902MQ.TUNEL DE CG (CONTINUO) (2)</v>
      </c>
      <c r="Z461" s="7" t="str">
        <f>Preencher!$B$3&amp;U461&amp;V461&amp;A461&amp;$Z$6</f>
        <v>JARINU-FRG956902MQ.TUNEL DE CG (CONTINUO) (3)</v>
      </c>
      <c r="AA461" s="7" t="str">
        <f>Preencher!$B$3&amp;U461&amp;V461&amp;A461&amp;$AA$6</f>
        <v>JARINU-FRG956902MQ.TUNEL DE CG (ESTATICO)</v>
      </c>
      <c r="AB461" s="7" t="str">
        <f>Preencher!$B$3&amp;U461&amp;V461&amp;A461&amp;$AB$6</f>
        <v>JARINU-FRG956902MQ.TUNEL DE CG (ESTATICO) (1)</v>
      </c>
      <c r="AC461" s="7" t="str">
        <f>Preencher!$B$3&amp;U461&amp;V461&amp;A461&amp;$AC$6</f>
        <v>JARINU-FRG956902MQ.TUNEL DE CG (ESTATICO) (2)</v>
      </c>
      <c r="AD461" s="327">
        <f>IFERROR(SUMIF('BD Otimix'!A:A,'BD VOLUME'!X461,'BD Otimix'!O:O)+SUMIF('BD Otimix'!A:A,'BD VOLUME'!Y461,'BD Otimix'!O:O)+SUMIF('BD Otimix'!A:A,'BD VOLUME'!Z461,'BD Otimix'!O:O)+SUMIF('BD Otimix'!A:A,'BD VOLUME'!AA461,'BD Otimix'!O:O)+SUMIF('BD Otimix'!A:A,'BD VOLUME'!AB461,'BD Otimix'!O:O)+SUMIF('BD Otimix'!A:A,'BD VOLUME'!AC461,'BD Otimix'!O:O)+SUMIF('BD Otimix'!A:A,'BD VOLUME'!W461,'BD Otimix'!O:O),0)</f>
        <v>0</v>
      </c>
      <c r="AE461" s="327">
        <f t="shared" si="135"/>
        <v>0</v>
      </c>
      <c r="AF461" s="7" t="str">
        <f>Preencher!$B$3&amp;$U$8&amp;$V$8&amp;A461&amp;$AF$6</f>
        <v>JARINU-FRG956902MQ.GIROFREEZER</v>
      </c>
      <c r="AG461" s="7" t="str">
        <f>Preencher!$B$3&amp;$U$8&amp;$V$8&amp;A461&amp;$AG$6</f>
        <v>JARINU-FRG956902MQ.GIROFREEZER (1)</v>
      </c>
      <c r="AH461" s="7" t="str">
        <f>Preencher!$B$3&amp;$U$8&amp;$V$8&amp;A461&amp;$AH$6</f>
        <v>JARINU-FRG956902MQ.GIROFREEZER (2)</v>
      </c>
      <c r="AI461" s="7" t="str">
        <f>Preencher!$B$3&amp;$U$8&amp;$V$8&amp;A461&amp;$AI$6</f>
        <v>JARINU-FRG956902MQ.GIROFREEZER REV04</v>
      </c>
      <c r="AJ461" s="7" t="str">
        <f>Preencher!$B$3&amp;$U$8&amp;$V$8&amp;A461&amp;$AJ$6</f>
        <v>JARINU-FRG956902MQ.GIROFREEZER (3)</v>
      </c>
      <c r="AK461" s="327">
        <f>IFERROR(SUMIF('BD Otimix'!A:A,'BD VOLUME'!AG461,'BD Otimix'!O:O)+SUMIF('BD Otimix'!A:A,'BD VOLUME'!AH461,'BD Otimix'!O:O)+SUMIF('BD Otimix'!A:A,'BD VOLUME'!AI461,'BD Otimix'!O:O)+SUMIF('BD Otimix'!A:A,'BD VOLUME'!AJ461,'BD Otimix'!O:O)+SUMIF('BD Otimix'!A:A,'BD VOLUME'!AF461,'BD Otimix'!O:O),0)</f>
        <v>0</v>
      </c>
      <c r="AL461" s="7">
        <f t="shared" si="136"/>
        <v>0</v>
      </c>
    </row>
    <row r="462" spans="1:38">
      <c r="A462" s="651">
        <v>45160</v>
      </c>
      <c r="B462" s="651" t="s">
        <v>2694</v>
      </c>
      <c r="C462" s="5" t="s">
        <v>2344</v>
      </c>
      <c r="D462" s="5" t="s">
        <v>1604</v>
      </c>
      <c r="E462" s="5" t="s">
        <v>2394</v>
      </c>
      <c r="F462" s="132">
        <f>SUMIF('COLAR PLANO'!$A:$A,A462,'COLAR PLANO'!$D:$D)</f>
        <v>0</v>
      </c>
      <c r="G462" s="131">
        <f t="shared" ref="G462:G470" si="138">IFERROR(F462/($E$3*$C$3),0)</f>
        <v>0</v>
      </c>
      <c r="H462" s="6">
        <v>5.0799999999999998E-2</v>
      </c>
      <c r="I462" s="7">
        <f t="shared" si="132"/>
        <v>0</v>
      </c>
      <c r="J462" s="130">
        <f t="shared" si="133"/>
        <v>0</v>
      </c>
      <c r="K462" s="710">
        <v>7.5</v>
      </c>
      <c r="L462" s="710">
        <v>2</v>
      </c>
      <c r="M462" s="710">
        <v>15</v>
      </c>
      <c r="N462" s="7">
        <f t="shared" si="134"/>
        <v>0</v>
      </c>
      <c r="O462" s="7"/>
      <c r="P462" s="311"/>
      <c r="Q462" s="311">
        <f>IFERROR(G462/M462,"-")</f>
        <v>0</v>
      </c>
      <c r="R462" s="7"/>
      <c r="S462" s="7"/>
      <c r="T462" s="7"/>
      <c r="U462" s="7" t="s">
        <v>2288</v>
      </c>
      <c r="V462" s="7" t="s">
        <v>2289</v>
      </c>
      <c r="W462" s="7" t="str">
        <f>Preencher!$B$3&amp;U462&amp;V462&amp;A462&amp;$W$6</f>
        <v>JARINU-FRG45160MQ.TUNEL DE CG (CONTINUO)</v>
      </c>
      <c r="X462" s="7" t="str">
        <f>Preencher!$B$3&amp;U462&amp;V462&amp;A462&amp;$X$6</f>
        <v>JARINU-FRG45160MQ.TUNEL DE CG (CONTINUO) (1)</v>
      </c>
      <c r="Y462" s="7" t="str">
        <f>Preencher!$B$3&amp;U462&amp;V462&amp;A462&amp;$Y$6</f>
        <v>JARINU-FRG45160MQ.TUNEL DE CG (CONTINUO) (2)</v>
      </c>
      <c r="Z462" s="7" t="str">
        <f>Preencher!$B$3&amp;U462&amp;V462&amp;A462&amp;$Z$6</f>
        <v>JARINU-FRG45160MQ.TUNEL DE CG (CONTINUO) (3)</v>
      </c>
      <c r="AA462" s="7" t="str">
        <f>Preencher!$B$3&amp;U462&amp;V462&amp;A462&amp;$AA$6</f>
        <v>JARINU-FRG45160MQ.TUNEL DE CG (ESTATICO)</v>
      </c>
      <c r="AB462" s="7" t="str">
        <f>Preencher!$B$3&amp;U462&amp;V462&amp;A462&amp;$AB$6</f>
        <v>JARINU-FRG45160MQ.TUNEL DE CG (ESTATICO) (1)</v>
      </c>
      <c r="AC462" s="7" t="str">
        <f>Preencher!$B$3&amp;U462&amp;V462&amp;A462&amp;$AC$6</f>
        <v>JARINU-FRG45160MQ.TUNEL DE CG (ESTATICO) (2)</v>
      </c>
      <c r="AD462" s="327">
        <f>IFERROR(SUMIF('BD Otimix'!A:A,'BD VOLUME'!X462,'BD Otimix'!O:O)+SUMIF('BD Otimix'!A:A,'BD VOLUME'!Y462,'BD Otimix'!O:O)+SUMIF('BD Otimix'!A:A,'BD VOLUME'!Z462,'BD Otimix'!O:O)+SUMIF('BD Otimix'!A:A,'BD VOLUME'!AA462,'BD Otimix'!O:O)+SUMIF('BD Otimix'!A:A,'BD VOLUME'!AB462,'BD Otimix'!O:O)+SUMIF('BD Otimix'!A:A,'BD VOLUME'!AC462,'BD Otimix'!O:O)+SUMIF('BD Otimix'!A:A,'BD VOLUME'!W462,'BD Otimix'!O:O),0)</f>
        <v>0</v>
      </c>
      <c r="AE462" s="327">
        <f t="shared" si="135"/>
        <v>0</v>
      </c>
      <c r="AF462" s="7" t="str">
        <f>Preencher!$B$3&amp;$U$8&amp;$V$8&amp;A462&amp;$AF$6</f>
        <v>JARINU-FRG45160MQ.GIROFREEZER</v>
      </c>
      <c r="AG462" s="7" t="str">
        <f>Preencher!$B$3&amp;$U$8&amp;$V$8&amp;A462&amp;$AG$6</f>
        <v>JARINU-FRG45160MQ.GIROFREEZER (1)</v>
      </c>
      <c r="AH462" s="7" t="str">
        <f>Preencher!$B$3&amp;$U$8&amp;$V$8&amp;A462&amp;$AH$6</f>
        <v>JARINU-FRG45160MQ.GIROFREEZER (2)</v>
      </c>
      <c r="AI462" s="7" t="str">
        <f>Preencher!$B$3&amp;$U$8&amp;$V$8&amp;A462&amp;$AI$6</f>
        <v>JARINU-FRG45160MQ.GIROFREEZER REV04</v>
      </c>
      <c r="AJ462" s="7" t="str">
        <f>Preencher!$B$3&amp;$U$8&amp;$V$8&amp;A462&amp;$AJ$6</f>
        <v>JARINU-FRG45160MQ.GIROFREEZER (3)</v>
      </c>
      <c r="AK462" s="327">
        <f>IFERROR(SUMIF('BD Otimix'!A:A,'BD VOLUME'!AG462,'BD Otimix'!O:O)+SUMIF('BD Otimix'!A:A,'BD VOLUME'!AH462,'BD Otimix'!O:O)+SUMIF('BD Otimix'!A:A,'BD VOLUME'!AI462,'BD Otimix'!O:O)+SUMIF('BD Otimix'!A:A,'BD VOLUME'!AJ462,'BD Otimix'!O:O)+SUMIF('BD Otimix'!A:A,'BD VOLUME'!AF462,'BD Otimix'!O:O),0)</f>
        <v>0</v>
      </c>
      <c r="AL462" s="7">
        <f t="shared" si="136"/>
        <v>0</v>
      </c>
    </row>
    <row r="463" spans="1:38">
      <c r="A463" s="651">
        <v>10723</v>
      </c>
      <c r="B463" s="651" t="s">
        <v>2695</v>
      </c>
      <c r="C463" s="5" t="s">
        <v>2696</v>
      </c>
      <c r="D463" s="5" t="s">
        <v>1604</v>
      </c>
      <c r="E463" s="5" t="s">
        <v>1598</v>
      </c>
      <c r="F463" s="132">
        <f>SUMIF('COLAR PLANO'!$A:$A,A463,'COLAR PLANO'!$D:$D)</f>
        <v>0</v>
      </c>
      <c r="G463" s="131">
        <f t="shared" si="138"/>
        <v>0</v>
      </c>
      <c r="H463" s="6">
        <v>4.7300000000000002E-2</v>
      </c>
      <c r="I463" s="7">
        <f t="shared" si="132"/>
        <v>0</v>
      </c>
      <c r="J463" s="130">
        <f t="shared" si="133"/>
        <v>0</v>
      </c>
      <c r="K463" s="710">
        <v>20</v>
      </c>
      <c r="L463" s="710">
        <v>1</v>
      </c>
      <c r="M463" s="710">
        <v>20</v>
      </c>
      <c r="N463" s="7">
        <f t="shared" si="134"/>
        <v>0</v>
      </c>
      <c r="O463" s="7"/>
      <c r="P463" s="311">
        <f>IFERROR(G463/M463,"-")</f>
        <v>0</v>
      </c>
      <c r="Q463" s="7"/>
      <c r="R463" s="7"/>
      <c r="S463" s="7"/>
      <c r="T463" s="7"/>
      <c r="U463" s="7" t="s">
        <v>2288</v>
      </c>
      <c r="V463" s="7" t="s">
        <v>2289</v>
      </c>
      <c r="W463" s="7" t="str">
        <f>Preencher!$B$3&amp;U463&amp;V463&amp;A463&amp;$W$6</f>
        <v>JARINU-FRG10723MQ.TUNEL DE CG (CONTINUO)</v>
      </c>
      <c r="X463" s="7" t="str">
        <f>Preencher!$B$3&amp;U463&amp;V463&amp;A463&amp;$X$6</f>
        <v>JARINU-FRG10723MQ.TUNEL DE CG (CONTINUO) (1)</v>
      </c>
      <c r="Y463" s="7" t="str">
        <f>Preencher!$B$3&amp;U463&amp;V463&amp;A463&amp;$Y$6</f>
        <v>JARINU-FRG10723MQ.TUNEL DE CG (CONTINUO) (2)</v>
      </c>
      <c r="Z463" s="7" t="str">
        <f>Preencher!$B$3&amp;U463&amp;V463&amp;A463&amp;$Z$6</f>
        <v>JARINU-FRG10723MQ.TUNEL DE CG (CONTINUO) (3)</v>
      </c>
      <c r="AA463" s="7" t="str">
        <f>Preencher!$B$3&amp;U463&amp;V463&amp;A463&amp;$AA$6</f>
        <v>JARINU-FRG10723MQ.TUNEL DE CG (ESTATICO)</v>
      </c>
      <c r="AB463" s="7" t="str">
        <f>Preencher!$B$3&amp;U463&amp;V463&amp;A463&amp;$AB$6</f>
        <v>JARINU-FRG10723MQ.TUNEL DE CG (ESTATICO) (1)</v>
      </c>
      <c r="AC463" s="7" t="str">
        <f>Preencher!$B$3&amp;U463&amp;V463&amp;A463&amp;$AC$6</f>
        <v>JARINU-FRG10723MQ.TUNEL DE CG (ESTATICO) (2)</v>
      </c>
      <c r="AD463" s="327">
        <f>IFERROR(SUMIF('BD Otimix'!A:A,'BD VOLUME'!X463,'BD Otimix'!O:O)+SUMIF('BD Otimix'!A:A,'BD VOLUME'!Y463,'BD Otimix'!O:O)+SUMIF('BD Otimix'!A:A,'BD VOLUME'!Z463,'BD Otimix'!O:O)+SUMIF('BD Otimix'!A:A,'BD VOLUME'!AA463,'BD Otimix'!O:O)+SUMIF('BD Otimix'!A:A,'BD VOLUME'!AB463,'BD Otimix'!O:O)+SUMIF('BD Otimix'!A:A,'BD VOLUME'!AC463,'BD Otimix'!O:O)+SUMIF('BD Otimix'!A:A,'BD VOLUME'!W463,'BD Otimix'!O:O),0)</f>
        <v>0</v>
      </c>
      <c r="AE463" s="327">
        <f t="shared" si="135"/>
        <v>0</v>
      </c>
      <c r="AF463" s="7" t="str">
        <f>Preencher!$B$3&amp;$U$8&amp;$V$8&amp;A463&amp;$AF$6</f>
        <v>JARINU-FRG10723MQ.GIROFREEZER</v>
      </c>
      <c r="AG463" s="7" t="str">
        <f>Preencher!$B$3&amp;$U$8&amp;$V$8&amp;A463&amp;$AG$6</f>
        <v>JARINU-FRG10723MQ.GIROFREEZER (1)</v>
      </c>
      <c r="AH463" s="7" t="str">
        <f>Preencher!$B$3&amp;$U$8&amp;$V$8&amp;A463&amp;$AH$6</f>
        <v>JARINU-FRG10723MQ.GIROFREEZER (2)</v>
      </c>
      <c r="AI463" s="7" t="str">
        <f>Preencher!$B$3&amp;$U$8&amp;$V$8&amp;A463&amp;$AI$6</f>
        <v>JARINU-FRG10723MQ.GIROFREEZER REV04</v>
      </c>
      <c r="AJ463" s="7" t="str">
        <f>Preencher!$B$3&amp;$U$8&amp;$V$8&amp;A463&amp;$AJ$6</f>
        <v>JARINU-FRG10723MQ.GIROFREEZER (3)</v>
      </c>
      <c r="AK463" s="327">
        <f>IFERROR(SUMIF('BD Otimix'!A:A,'BD VOLUME'!AG463,'BD Otimix'!O:O)+SUMIF('BD Otimix'!A:A,'BD VOLUME'!AH463,'BD Otimix'!O:O)+SUMIF('BD Otimix'!A:A,'BD VOLUME'!AI463,'BD Otimix'!O:O)+SUMIF('BD Otimix'!A:A,'BD VOLUME'!AJ463,'BD Otimix'!O:O)+SUMIF('BD Otimix'!A:A,'BD VOLUME'!AF463,'BD Otimix'!O:O),0)</f>
        <v>0</v>
      </c>
      <c r="AL463" s="7">
        <f t="shared" si="136"/>
        <v>0</v>
      </c>
    </row>
    <row r="464" spans="1:38">
      <c r="A464" s="651">
        <v>10758</v>
      </c>
      <c r="B464" s="651" t="s">
        <v>2697</v>
      </c>
      <c r="C464" s="5" t="s">
        <v>2698</v>
      </c>
      <c r="D464" s="5" t="s">
        <v>1604</v>
      </c>
      <c r="E464" s="5" t="s">
        <v>1598</v>
      </c>
      <c r="F464" s="132">
        <f>SUMIF('COLAR PLANO'!$A:$A,A464,'COLAR PLANO'!$D:$D)</f>
        <v>0</v>
      </c>
      <c r="G464" s="131">
        <f t="shared" si="138"/>
        <v>0</v>
      </c>
      <c r="H464" s="6">
        <v>4.7300000000000002E-2</v>
      </c>
      <c r="I464" s="7">
        <f t="shared" ref="I464:I470" si="139">IFERROR(G464/$D$3/H464,0)</f>
        <v>0</v>
      </c>
      <c r="J464" s="130">
        <f t="shared" ref="J464:J470" si="140">IFERROR(I464/$B$438,0)</f>
        <v>0</v>
      </c>
      <c r="K464" s="710">
        <v>20</v>
      </c>
      <c r="L464" s="710">
        <v>1</v>
      </c>
      <c r="M464" s="710">
        <v>20</v>
      </c>
      <c r="N464" s="7">
        <f t="shared" ref="N464:N470" si="141">IFERROR(G464/K464,"-")</f>
        <v>0</v>
      </c>
      <c r="O464" s="7"/>
      <c r="P464" s="311">
        <f>IFERROR(G464/M464,"-")</f>
        <v>0</v>
      </c>
      <c r="Q464" s="7"/>
      <c r="R464" s="7"/>
      <c r="S464" s="7"/>
      <c r="T464" s="7"/>
      <c r="U464" s="7" t="s">
        <v>2288</v>
      </c>
      <c r="V464" s="7" t="s">
        <v>2289</v>
      </c>
      <c r="W464" s="7" t="str">
        <f>Preencher!$B$3&amp;U464&amp;V464&amp;A464&amp;$W$6</f>
        <v>JARINU-FRG10758MQ.TUNEL DE CG (CONTINUO)</v>
      </c>
      <c r="X464" s="7" t="str">
        <f>Preencher!$B$3&amp;U464&amp;V464&amp;A464&amp;$X$6</f>
        <v>JARINU-FRG10758MQ.TUNEL DE CG (CONTINUO) (1)</v>
      </c>
      <c r="Y464" s="7" t="str">
        <f>Preencher!$B$3&amp;U464&amp;V464&amp;A464&amp;$Y$6</f>
        <v>JARINU-FRG10758MQ.TUNEL DE CG (CONTINUO) (2)</v>
      </c>
      <c r="Z464" s="7" t="str">
        <f>Preencher!$B$3&amp;U464&amp;V464&amp;A464&amp;$Z$6</f>
        <v>JARINU-FRG10758MQ.TUNEL DE CG (CONTINUO) (3)</v>
      </c>
      <c r="AA464" s="7" t="str">
        <f>Preencher!$B$3&amp;U464&amp;V464&amp;A464&amp;$AA$6</f>
        <v>JARINU-FRG10758MQ.TUNEL DE CG (ESTATICO)</v>
      </c>
      <c r="AB464" s="7" t="str">
        <f>Preencher!$B$3&amp;U464&amp;V464&amp;A464&amp;$AB$6</f>
        <v>JARINU-FRG10758MQ.TUNEL DE CG (ESTATICO) (1)</v>
      </c>
      <c r="AC464" s="7" t="str">
        <f>Preencher!$B$3&amp;U464&amp;V464&amp;A464&amp;$AC$6</f>
        <v>JARINU-FRG10758MQ.TUNEL DE CG (ESTATICO) (2)</v>
      </c>
      <c r="AD464" s="327">
        <f>IFERROR(SUMIF('BD Otimix'!A:A,'BD VOLUME'!X464,'BD Otimix'!O:O)+SUMIF('BD Otimix'!A:A,'BD VOLUME'!Y464,'BD Otimix'!O:O)+SUMIF('BD Otimix'!A:A,'BD VOLUME'!Z464,'BD Otimix'!O:O)+SUMIF('BD Otimix'!A:A,'BD VOLUME'!AA464,'BD Otimix'!O:O)+SUMIF('BD Otimix'!A:A,'BD VOLUME'!AB464,'BD Otimix'!O:O)+SUMIF('BD Otimix'!A:A,'BD VOLUME'!AC464,'BD Otimix'!O:O)+SUMIF('BD Otimix'!A:A,'BD VOLUME'!W464,'BD Otimix'!O:O),0)</f>
        <v>0</v>
      </c>
      <c r="AE464" s="327">
        <f t="shared" ref="AE464:AE470" si="142">IFERROR(F464/$E$3/1000/AD464,0)</f>
        <v>0</v>
      </c>
      <c r="AF464" s="7" t="str">
        <f>Preencher!$B$3&amp;$U$8&amp;$V$8&amp;A464&amp;$AF$6</f>
        <v>JARINU-FRG10758MQ.GIROFREEZER</v>
      </c>
      <c r="AG464" s="7" t="str">
        <f>Preencher!$B$3&amp;$U$8&amp;$V$8&amp;A464&amp;$AG$6</f>
        <v>JARINU-FRG10758MQ.GIROFREEZER (1)</v>
      </c>
      <c r="AH464" s="7" t="str">
        <f>Preencher!$B$3&amp;$U$8&amp;$V$8&amp;A464&amp;$AH$6</f>
        <v>JARINU-FRG10758MQ.GIROFREEZER (2)</v>
      </c>
      <c r="AI464" s="7" t="str">
        <f>Preencher!$B$3&amp;$U$8&amp;$V$8&amp;A464&amp;$AI$6</f>
        <v>JARINU-FRG10758MQ.GIROFREEZER REV04</v>
      </c>
      <c r="AJ464" s="7" t="str">
        <f>Preencher!$B$3&amp;$U$8&amp;$V$8&amp;A464&amp;$AJ$6</f>
        <v>JARINU-FRG10758MQ.GIROFREEZER (3)</v>
      </c>
      <c r="AK464" s="327">
        <f>IFERROR(SUMIF('BD Otimix'!A:A,'BD VOLUME'!AG464,'BD Otimix'!O:O)+SUMIF('BD Otimix'!A:A,'BD VOLUME'!AH464,'BD Otimix'!O:O)+SUMIF('BD Otimix'!A:A,'BD VOLUME'!AI464,'BD Otimix'!O:O)+SUMIF('BD Otimix'!A:A,'BD VOLUME'!AJ464,'BD Otimix'!O:O)+SUMIF('BD Otimix'!A:A,'BD VOLUME'!AF464,'BD Otimix'!O:O),0)</f>
        <v>0</v>
      </c>
      <c r="AL464" s="7">
        <f t="shared" ref="AL464:AL470" si="143">IFERROR(F464/$E$3/1000/AK464,0)</f>
        <v>0</v>
      </c>
    </row>
    <row r="465" spans="1:38">
      <c r="A465" s="651">
        <v>10774</v>
      </c>
      <c r="B465" s="651" t="s">
        <v>2699</v>
      </c>
      <c r="C465" s="5" t="s">
        <v>2700</v>
      </c>
      <c r="D465" s="5" t="s">
        <v>1606</v>
      </c>
      <c r="E465" s="5" t="s">
        <v>1598</v>
      </c>
      <c r="F465" s="132">
        <f>SUMIF('COLAR PLANO'!$A:$A,A465,'COLAR PLANO'!$D:$D)</f>
        <v>0</v>
      </c>
      <c r="G465" s="131">
        <f t="shared" si="138"/>
        <v>0</v>
      </c>
      <c r="H465" s="6">
        <v>4.7300000000000002E-2</v>
      </c>
      <c r="I465" s="7">
        <f t="shared" si="139"/>
        <v>0</v>
      </c>
      <c r="J465" s="130">
        <f t="shared" si="140"/>
        <v>0</v>
      </c>
      <c r="K465" s="710">
        <v>20</v>
      </c>
      <c r="L465" s="710">
        <v>1</v>
      </c>
      <c r="M465" s="710">
        <v>20</v>
      </c>
      <c r="N465" s="7">
        <f t="shared" si="141"/>
        <v>0</v>
      </c>
      <c r="O465" s="7"/>
      <c r="P465" s="311">
        <f>IFERROR(G465/M465,"-")</f>
        <v>0</v>
      </c>
      <c r="Q465" s="7"/>
      <c r="R465" s="7"/>
      <c r="S465" s="7"/>
      <c r="T465" s="7"/>
      <c r="U465" s="7" t="s">
        <v>2288</v>
      </c>
      <c r="V465" s="7" t="s">
        <v>2289</v>
      </c>
      <c r="W465" s="7" t="str">
        <f>Preencher!$B$3&amp;U465&amp;V465&amp;A465&amp;$W$6</f>
        <v>JARINU-FRG10774MQ.TUNEL DE CG (CONTINUO)</v>
      </c>
      <c r="X465" s="7" t="str">
        <f>Preencher!$B$3&amp;U465&amp;V465&amp;A465&amp;$X$6</f>
        <v>JARINU-FRG10774MQ.TUNEL DE CG (CONTINUO) (1)</v>
      </c>
      <c r="Y465" s="7" t="str">
        <f>Preencher!$B$3&amp;U465&amp;V465&amp;A465&amp;$Y$6</f>
        <v>JARINU-FRG10774MQ.TUNEL DE CG (CONTINUO) (2)</v>
      </c>
      <c r="Z465" s="7" t="str">
        <f>Preencher!$B$3&amp;U465&amp;V465&amp;A465&amp;$Z$6</f>
        <v>JARINU-FRG10774MQ.TUNEL DE CG (CONTINUO) (3)</v>
      </c>
      <c r="AA465" s="7" t="str">
        <f>Preencher!$B$3&amp;U465&amp;V465&amp;A465&amp;$AA$6</f>
        <v>JARINU-FRG10774MQ.TUNEL DE CG (ESTATICO)</v>
      </c>
      <c r="AB465" s="7" t="str">
        <f>Preencher!$B$3&amp;U465&amp;V465&amp;A465&amp;$AB$6</f>
        <v>JARINU-FRG10774MQ.TUNEL DE CG (ESTATICO) (1)</v>
      </c>
      <c r="AC465" s="7" t="str">
        <f>Preencher!$B$3&amp;U465&amp;V465&amp;A465&amp;$AC$6</f>
        <v>JARINU-FRG10774MQ.TUNEL DE CG (ESTATICO) (2)</v>
      </c>
      <c r="AD465" s="327">
        <f>IFERROR(SUMIF('BD Otimix'!A:A,'BD VOLUME'!X465,'BD Otimix'!O:O)+SUMIF('BD Otimix'!A:A,'BD VOLUME'!Y465,'BD Otimix'!O:O)+SUMIF('BD Otimix'!A:A,'BD VOLUME'!Z465,'BD Otimix'!O:O)+SUMIF('BD Otimix'!A:A,'BD VOLUME'!AA465,'BD Otimix'!O:O)+SUMIF('BD Otimix'!A:A,'BD VOLUME'!AB465,'BD Otimix'!O:O)+SUMIF('BD Otimix'!A:A,'BD VOLUME'!AC465,'BD Otimix'!O:O)+SUMIF('BD Otimix'!A:A,'BD VOLUME'!W465,'BD Otimix'!O:O),0)</f>
        <v>0</v>
      </c>
      <c r="AE465" s="327">
        <f t="shared" si="142"/>
        <v>0</v>
      </c>
      <c r="AF465" s="7" t="str">
        <f>Preencher!$B$3&amp;$U$8&amp;$V$8&amp;A465&amp;$AF$6</f>
        <v>JARINU-FRG10774MQ.GIROFREEZER</v>
      </c>
      <c r="AG465" s="7" t="str">
        <f>Preencher!$B$3&amp;$U$8&amp;$V$8&amp;A465&amp;$AG$6</f>
        <v>JARINU-FRG10774MQ.GIROFREEZER (1)</v>
      </c>
      <c r="AH465" s="7" t="str">
        <f>Preencher!$B$3&amp;$U$8&amp;$V$8&amp;A465&amp;$AH$6</f>
        <v>JARINU-FRG10774MQ.GIROFREEZER (2)</v>
      </c>
      <c r="AI465" s="7" t="str">
        <f>Preencher!$B$3&amp;$U$8&amp;$V$8&amp;A465&amp;$AI$6</f>
        <v>JARINU-FRG10774MQ.GIROFREEZER REV04</v>
      </c>
      <c r="AJ465" s="7" t="str">
        <f>Preencher!$B$3&amp;$U$8&amp;$V$8&amp;A465&amp;$AJ$6</f>
        <v>JARINU-FRG10774MQ.GIROFREEZER (3)</v>
      </c>
      <c r="AK465" s="327">
        <f>IFERROR(SUMIF('BD Otimix'!A:A,'BD VOLUME'!AG465,'BD Otimix'!O:O)+SUMIF('BD Otimix'!A:A,'BD VOLUME'!AH465,'BD Otimix'!O:O)+SUMIF('BD Otimix'!A:A,'BD VOLUME'!AI465,'BD Otimix'!O:O)+SUMIF('BD Otimix'!A:A,'BD VOLUME'!AJ465,'BD Otimix'!O:O)+SUMIF('BD Otimix'!A:A,'BD VOLUME'!AF465,'BD Otimix'!O:O),0)</f>
        <v>0</v>
      </c>
      <c r="AL465" s="7">
        <f t="shared" si="143"/>
        <v>0</v>
      </c>
    </row>
    <row r="466" spans="1:38">
      <c r="A466" s="651">
        <v>12823</v>
      </c>
      <c r="B466" s="651"/>
      <c r="C466" s="5" t="s">
        <v>2701</v>
      </c>
      <c r="D466" s="5" t="s">
        <v>1606</v>
      </c>
      <c r="E466" s="5" t="s">
        <v>1598</v>
      </c>
      <c r="F466" s="132">
        <f>SUMIF('COLAR PLANO'!$A:$A,A466,'COLAR PLANO'!$D:$D)</f>
        <v>0</v>
      </c>
      <c r="G466" s="131">
        <f t="shared" si="138"/>
        <v>0</v>
      </c>
      <c r="H466" s="6">
        <v>4.7300000000000002E-2</v>
      </c>
      <c r="I466" s="7">
        <f t="shared" si="139"/>
        <v>0</v>
      </c>
      <c r="J466" s="130">
        <f t="shared" si="140"/>
        <v>0</v>
      </c>
      <c r="K466" s="710">
        <v>20</v>
      </c>
      <c r="L466" s="710">
        <v>1</v>
      </c>
      <c r="M466" s="710">
        <v>20</v>
      </c>
      <c r="N466" s="7">
        <f t="shared" si="141"/>
        <v>0</v>
      </c>
      <c r="O466" s="7"/>
      <c r="P466" s="311">
        <f>IFERROR(G466/M466,"-")</f>
        <v>0</v>
      </c>
      <c r="Q466" s="7"/>
      <c r="R466" s="7"/>
      <c r="S466" s="7"/>
      <c r="T466" s="7"/>
      <c r="U466" s="7" t="s">
        <v>2288</v>
      </c>
      <c r="V466" s="7" t="s">
        <v>2289</v>
      </c>
      <c r="W466" s="7" t="str">
        <f>Preencher!$B$3&amp;U466&amp;V466&amp;A466&amp;$W$6</f>
        <v>JARINU-FRG12823MQ.TUNEL DE CG (CONTINUO)</v>
      </c>
      <c r="X466" s="7" t="str">
        <f>Preencher!$B$3&amp;U466&amp;V466&amp;A466&amp;$X$6</f>
        <v>JARINU-FRG12823MQ.TUNEL DE CG (CONTINUO) (1)</v>
      </c>
      <c r="Y466" s="7" t="str">
        <f>Preencher!$B$3&amp;U466&amp;V466&amp;A466&amp;$Y$6</f>
        <v>JARINU-FRG12823MQ.TUNEL DE CG (CONTINUO) (2)</v>
      </c>
      <c r="Z466" s="7" t="str">
        <f>Preencher!$B$3&amp;U466&amp;V466&amp;A466&amp;$Z$6</f>
        <v>JARINU-FRG12823MQ.TUNEL DE CG (CONTINUO) (3)</v>
      </c>
      <c r="AA466" s="7" t="str">
        <f>Preencher!$B$3&amp;U466&amp;V466&amp;A466&amp;$AA$6</f>
        <v>JARINU-FRG12823MQ.TUNEL DE CG (ESTATICO)</v>
      </c>
      <c r="AB466" s="7" t="str">
        <f>Preencher!$B$3&amp;U466&amp;V466&amp;A466&amp;$AB$6</f>
        <v>JARINU-FRG12823MQ.TUNEL DE CG (ESTATICO) (1)</v>
      </c>
      <c r="AC466" s="7" t="str">
        <f>Preencher!$B$3&amp;U466&amp;V466&amp;A466&amp;$AC$6</f>
        <v>JARINU-FRG12823MQ.TUNEL DE CG (ESTATICO) (2)</v>
      </c>
      <c r="AD466" s="327">
        <f>IFERROR(SUMIF('BD Otimix'!A:A,'BD VOLUME'!X466,'BD Otimix'!O:O)+SUMIF('BD Otimix'!A:A,'BD VOLUME'!Y466,'BD Otimix'!O:O)+SUMIF('BD Otimix'!A:A,'BD VOLUME'!Z466,'BD Otimix'!O:O)+SUMIF('BD Otimix'!A:A,'BD VOLUME'!AA466,'BD Otimix'!O:O)+SUMIF('BD Otimix'!A:A,'BD VOLUME'!AB466,'BD Otimix'!O:O)+SUMIF('BD Otimix'!A:A,'BD VOLUME'!AC466,'BD Otimix'!O:O)+SUMIF('BD Otimix'!A:A,'BD VOLUME'!W466,'BD Otimix'!O:O),0)</f>
        <v>0</v>
      </c>
      <c r="AE466" s="327">
        <f t="shared" si="142"/>
        <v>0</v>
      </c>
      <c r="AF466" s="7" t="str">
        <f>Preencher!$B$3&amp;$U$8&amp;$V$8&amp;A466&amp;$AF$6</f>
        <v>JARINU-FRG12823MQ.GIROFREEZER</v>
      </c>
      <c r="AG466" s="7" t="str">
        <f>Preencher!$B$3&amp;$U$8&amp;$V$8&amp;A466&amp;$AG$6</f>
        <v>JARINU-FRG12823MQ.GIROFREEZER (1)</v>
      </c>
      <c r="AH466" s="7" t="str">
        <f>Preencher!$B$3&amp;$U$8&amp;$V$8&amp;A466&amp;$AH$6</f>
        <v>JARINU-FRG12823MQ.GIROFREEZER (2)</v>
      </c>
      <c r="AI466" s="7" t="str">
        <f>Preencher!$B$3&amp;$U$8&amp;$V$8&amp;A466&amp;$AI$6</f>
        <v>JARINU-FRG12823MQ.GIROFREEZER REV04</v>
      </c>
      <c r="AJ466" s="7" t="str">
        <f>Preencher!$B$3&amp;$U$8&amp;$V$8&amp;A466&amp;$AJ$6</f>
        <v>JARINU-FRG12823MQ.GIROFREEZER (3)</v>
      </c>
      <c r="AK466" s="327">
        <f>IFERROR(SUMIF('BD Otimix'!A:A,'BD VOLUME'!AG466,'BD Otimix'!O:O)+SUMIF('BD Otimix'!A:A,'BD VOLUME'!AH466,'BD Otimix'!O:O)+SUMIF('BD Otimix'!A:A,'BD VOLUME'!AI466,'BD Otimix'!O:O)+SUMIF('BD Otimix'!A:A,'BD VOLUME'!AJ466,'BD Otimix'!O:O)+SUMIF('BD Otimix'!A:A,'BD VOLUME'!AF466,'BD Otimix'!O:O),0)</f>
        <v>0</v>
      </c>
      <c r="AL466" s="7">
        <f t="shared" si="143"/>
        <v>0</v>
      </c>
    </row>
    <row r="467" spans="1:38">
      <c r="A467" s="651">
        <v>57177</v>
      </c>
      <c r="B467" s="651" t="s">
        <v>2702</v>
      </c>
      <c r="C467" s="5" t="s">
        <v>2703</v>
      </c>
      <c r="D467" s="5" t="s">
        <v>1606</v>
      </c>
      <c r="E467" s="5" t="s">
        <v>926</v>
      </c>
      <c r="F467" s="132">
        <f>SUMIF('COLAR PLANO'!$A:$A,A467,'COLAR PLANO'!$D:$D)</f>
        <v>0</v>
      </c>
      <c r="G467" s="131">
        <f t="shared" si="138"/>
        <v>0</v>
      </c>
      <c r="H467" s="6">
        <v>5.0799999999999998E-2</v>
      </c>
      <c r="I467" s="7">
        <f t="shared" si="139"/>
        <v>0</v>
      </c>
      <c r="J467" s="130">
        <f t="shared" si="140"/>
        <v>0</v>
      </c>
      <c r="K467" s="710">
        <v>1</v>
      </c>
      <c r="L467" s="710">
        <v>15</v>
      </c>
      <c r="M467" s="710">
        <v>15</v>
      </c>
      <c r="N467" s="7">
        <f t="shared" si="141"/>
        <v>0</v>
      </c>
      <c r="O467" s="7">
        <f>IFERROR(G467/M467,"-")</f>
        <v>0</v>
      </c>
      <c r="Q467" s="7"/>
      <c r="R467" s="7"/>
      <c r="S467" s="7"/>
      <c r="T467" s="7"/>
      <c r="U467" s="7" t="s">
        <v>2288</v>
      </c>
      <c r="V467" s="7" t="s">
        <v>2289</v>
      </c>
      <c r="W467" s="7" t="str">
        <f>Preencher!$B$3&amp;U467&amp;V467&amp;A467&amp;$W$6</f>
        <v>JARINU-FRG57177MQ.TUNEL DE CG (CONTINUO)</v>
      </c>
      <c r="X467" s="7" t="str">
        <f>Preencher!$B$3&amp;U467&amp;V467&amp;A467&amp;$X$6</f>
        <v>JARINU-FRG57177MQ.TUNEL DE CG (CONTINUO) (1)</v>
      </c>
      <c r="Y467" s="7" t="str">
        <f>Preencher!$B$3&amp;U467&amp;V467&amp;A467&amp;$Y$6</f>
        <v>JARINU-FRG57177MQ.TUNEL DE CG (CONTINUO) (2)</v>
      </c>
      <c r="Z467" s="7" t="str">
        <f>Preencher!$B$3&amp;U467&amp;V467&amp;A467&amp;$Z$6</f>
        <v>JARINU-FRG57177MQ.TUNEL DE CG (CONTINUO) (3)</v>
      </c>
      <c r="AA467" s="7" t="str">
        <f>Preencher!$B$3&amp;U467&amp;V467&amp;A467&amp;$AA$6</f>
        <v>JARINU-FRG57177MQ.TUNEL DE CG (ESTATICO)</v>
      </c>
      <c r="AB467" s="7" t="str">
        <f>Preencher!$B$3&amp;U467&amp;V467&amp;A467&amp;$AB$6</f>
        <v>JARINU-FRG57177MQ.TUNEL DE CG (ESTATICO) (1)</v>
      </c>
      <c r="AC467" s="7" t="str">
        <f>Preencher!$B$3&amp;U467&amp;V467&amp;A467&amp;$AC$6</f>
        <v>JARINU-FRG57177MQ.TUNEL DE CG (ESTATICO) (2)</v>
      </c>
      <c r="AD467" s="327">
        <f>IFERROR(SUMIF('BD Otimix'!A:A,'BD VOLUME'!X467,'BD Otimix'!O:O)+SUMIF('BD Otimix'!A:A,'BD VOLUME'!Y467,'BD Otimix'!O:O)+SUMIF('BD Otimix'!A:A,'BD VOLUME'!Z467,'BD Otimix'!O:O)+SUMIF('BD Otimix'!A:A,'BD VOLUME'!AA467,'BD Otimix'!O:O)+SUMIF('BD Otimix'!A:A,'BD VOLUME'!AB467,'BD Otimix'!O:O)+SUMIF('BD Otimix'!A:A,'BD VOLUME'!AC467,'BD Otimix'!O:O)+SUMIF('BD Otimix'!A:A,'BD VOLUME'!W467,'BD Otimix'!O:O),0)</f>
        <v>0</v>
      </c>
      <c r="AE467" s="327">
        <f t="shared" si="142"/>
        <v>0</v>
      </c>
      <c r="AF467" s="7" t="str">
        <f>Preencher!$B$3&amp;$U$8&amp;$V$8&amp;A467&amp;$AF$6</f>
        <v>JARINU-FRG57177MQ.GIROFREEZER</v>
      </c>
      <c r="AG467" s="7" t="str">
        <f>Preencher!$B$3&amp;$U$8&amp;$V$8&amp;A467&amp;$AG$6</f>
        <v>JARINU-FRG57177MQ.GIROFREEZER (1)</v>
      </c>
      <c r="AH467" s="7" t="str">
        <f>Preencher!$B$3&amp;$U$8&amp;$V$8&amp;A467&amp;$AH$6</f>
        <v>JARINU-FRG57177MQ.GIROFREEZER (2)</v>
      </c>
      <c r="AI467" s="7" t="str">
        <f>Preencher!$B$3&amp;$U$8&amp;$V$8&amp;A467&amp;$AI$6</f>
        <v>JARINU-FRG57177MQ.GIROFREEZER REV04</v>
      </c>
      <c r="AJ467" s="7" t="str">
        <f>Preencher!$B$3&amp;$U$8&amp;$V$8&amp;A467&amp;$AJ$6</f>
        <v>JARINU-FRG57177MQ.GIROFREEZER (3)</v>
      </c>
      <c r="AK467" s="672">
        <f>IFERROR(SUMIF('BD Otimix'!A:A,'BD VOLUME'!AG467,'BD Otimix'!O:O)+SUMIF('BD Otimix'!A:A,'BD VOLUME'!AH467,'BD Otimix'!O:O)+SUMIF('BD Otimix'!A:A,'BD VOLUME'!AI467,'BD Otimix'!O:O)+SUMIF('BD Otimix'!A:A,'BD VOLUME'!AJ467,'BD Otimix'!O:O)+SUMIF('BD Otimix'!A:A,'BD VOLUME'!AF467,'BD Otimix'!O:O),0)</f>
        <v>0</v>
      </c>
      <c r="AL467" s="7">
        <f t="shared" si="143"/>
        <v>0</v>
      </c>
    </row>
    <row r="468" spans="1:38">
      <c r="A468" s="651">
        <v>99538</v>
      </c>
      <c r="B468" s="651"/>
      <c r="C468" s="5" t="s">
        <v>2704</v>
      </c>
      <c r="D468" s="5" t="s">
        <v>1606</v>
      </c>
      <c r="E468" s="5" t="s">
        <v>1598</v>
      </c>
      <c r="F468" s="132">
        <f>SUMIF('COLAR PLANO'!$A:$A,A468,'COLAR PLANO'!$D:$D)</f>
        <v>0</v>
      </c>
      <c r="G468" s="131">
        <f t="shared" si="138"/>
        <v>0</v>
      </c>
      <c r="H468" s="6">
        <v>4.7300000000000002E-2</v>
      </c>
      <c r="I468" s="7">
        <f t="shared" si="139"/>
        <v>0</v>
      </c>
      <c r="J468" s="130">
        <f t="shared" si="140"/>
        <v>0</v>
      </c>
      <c r="K468" s="710">
        <v>20</v>
      </c>
      <c r="L468" s="710">
        <v>1</v>
      </c>
      <c r="M468" s="710">
        <v>20</v>
      </c>
      <c r="N468" s="7">
        <f t="shared" si="141"/>
        <v>0</v>
      </c>
      <c r="O468" s="7"/>
      <c r="P468" s="311">
        <f>IFERROR(G468/M468,"-")</f>
        <v>0</v>
      </c>
      <c r="Q468" s="7"/>
      <c r="R468" s="7"/>
      <c r="S468" s="7"/>
      <c r="T468" s="7"/>
      <c r="U468" s="7" t="s">
        <v>2288</v>
      </c>
      <c r="V468" s="7" t="s">
        <v>2289</v>
      </c>
      <c r="W468" s="7" t="str">
        <f>Preencher!$B$3&amp;U468&amp;V468&amp;A468&amp;$W$6</f>
        <v>JARINU-FRG99538MQ.TUNEL DE CG (CONTINUO)</v>
      </c>
      <c r="X468" s="7" t="str">
        <f>Preencher!$B$3&amp;U468&amp;V468&amp;A468&amp;$X$6</f>
        <v>JARINU-FRG99538MQ.TUNEL DE CG (CONTINUO) (1)</v>
      </c>
      <c r="Y468" s="7" t="str">
        <f>Preencher!$B$3&amp;U468&amp;V468&amp;A468&amp;$Y$6</f>
        <v>JARINU-FRG99538MQ.TUNEL DE CG (CONTINUO) (2)</v>
      </c>
      <c r="Z468" s="7" t="str">
        <f>Preencher!$B$3&amp;U468&amp;V468&amp;A468&amp;$Z$6</f>
        <v>JARINU-FRG99538MQ.TUNEL DE CG (CONTINUO) (3)</v>
      </c>
      <c r="AA468" s="7" t="str">
        <f>Preencher!$B$3&amp;U468&amp;V468&amp;A468&amp;$AA$6</f>
        <v>JARINU-FRG99538MQ.TUNEL DE CG (ESTATICO)</v>
      </c>
      <c r="AB468" s="7" t="str">
        <f>Preencher!$B$3&amp;U468&amp;V468&amp;A468&amp;$AB$6</f>
        <v>JARINU-FRG99538MQ.TUNEL DE CG (ESTATICO) (1)</v>
      </c>
      <c r="AC468" s="7" t="str">
        <f>Preencher!$B$3&amp;U468&amp;V468&amp;A468&amp;$AC$6</f>
        <v>JARINU-FRG99538MQ.TUNEL DE CG (ESTATICO) (2)</v>
      </c>
      <c r="AD468" s="327">
        <f>IFERROR(SUMIF('BD Otimix'!A:A,'BD VOLUME'!X468,'BD Otimix'!O:O)+SUMIF('BD Otimix'!A:A,'BD VOLUME'!Y468,'BD Otimix'!O:O)+SUMIF('BD Otimix'!A:A,'BD VOLUME'!Z468,'BD Otimix'!O:O)+SUMIF('BD Otimix'!A:A,'BD VOLUME'!AA468,'BD Otimix'!O:O)+SUMIF('BD Otimix'!A:A,'BD VOLUME'!AB468,'BD Otimix'!O:O)+SUMIF('BD Otimix'!A:A,'BD VOLUME'!AC468,'BD Otimix'!O:O)+SUMIF('BD Otimix'!A:A,'BD VOLUME'!W468,'BD Otimix'!O:O),0)</f>
        <v>0</v>
      </c>
      <c r="AE468" s="327">
        <f t="shared" si="142"/>
        <v>0</v>
      </c>
      <c r="AF468" s="7" t="str">
        <f>Preencher!$B$3&amp;$U$8&amp;$V$8&amp;A468&amp;$AF$6</f>
        <v>JARINU-FRG99538MQ.GIROFREEZER</v>
      </c>
      <c r="AG468" s="7" t="str">
        <f>Preencher!$B$3&amp;$U$8&amp;$V$8&amp;A468&amp;$AG$6</f>
        <v>JARINU-FRG99538MQ.GIROFREEZER (1)</v>
      </c>
      <c r="AH468" s="7" t="str">
        <f>Preencher!$B$3&amp;$U$8&amp;$V$8&amp;A468&amp;$AH$6</f>
        <v>JARINU-FRG99538MQ.GIROFREEZER (2)</v>
      </c>
      <c r="AI468" s="7" t="str">
        <f>Preencher!$B$3&amp;$U$8&amp;$V$8&amp;A468&amp;$AI$6</f>
        <v>JARINU-FRG99538MQ.GIROFREEZER REV04</v>
      </c>
      <c r="AJ468" s="7" t="str">
        <f>Preencher!$B$3&amp;$U$8&amp;$V$8&amp;A468&amp;$AJ$6</f>
        <v>JARINU-FRG99538MQ.GIROFREEZER (3)</v>
      </c>
      <c r="AK468" s="327">
        <f>IFERROR(SUMIF('BD Otimix'!A:A,'BD VOLUME'!AG468,'BD Otimix'!O:O)+SUMIF('BD Otimix'!A:A,'BD VOLUME'!AH468,'BD Otimix'!O:O)+SUMIF('BD Otimix'!A:A,'BD VOLUME'!AI468,'BD Otimix'!O:O)+SUMIF('BD Otimix'!A:A,'BD VOLUME'!AJ468,'BD Otimix'!O:O)+SUMIF('BD Otimix'!A:A,'BD VOLUME'!AF468,'BD Otimix'!O:O),0)</f>
        <v>0</v>
      </c>
      <c r="AL468" s="7">
        <f t="shared" si="143"/>
        <v>0</v>
      </c>
    </row>
    <row r="469" spans="1:38">
      <c r="A469" s="223">
        <v>796360</v>
      </c>
      <c r="B469" s="223" t="s">
        <v>2705</v>
      </c>
      <c r="C469" s="5" t="s">
        <v>2706</v>
      </c>
      <c r="D469" s="5" t="s">
        <v>1606</v>
      </c>
      <c r="E469" s="5" t="s">
        <v>1602</v>
      </c>
      <c r="F469" s="132">
        <f>SUMIF('COLAR PLANO'!$A:$A,A469,'COLAR PLANO'!$D:$D)</f>
        <v>0</v>
      </c>
      <c r="G469" s="131">
        <f t="shared" si="138"/>
        <v>0</v>
      </c>
      <c r="H469" s="6">
        <v>5.0799999999999998E-2</v>
      </c>
      <c r="I469" s="7">
        <f t="shared" si="139"/>
        <v>0</v>
      </c>
      <c r="J469" s="130">
        <f t="shared" si="140"/>
        <v>0</v>
      </c>
      <c r="K469" s="710">
        <v>1</v>
      </c>
      <c r="L469" s="710">
        <v>15</v>
      </c>
      <c r="M469" s="710">
        <v>15</v>
      </c>
      <c r="N469" s="7">
        <f t="shared" si="141"/>
        <v>0</v>
      </c>
      <c r="O469" s="7">
        <f>IFERROR(G469/M469,"-")</f>
        <v>0</v>
      </c>
      <c r="Q469" s="7"/>
      <c r="R469" s="7"/>
      <c r="S469" s="7"/>
      <c r="T469" s="7"/>
      <c r="U469" s="7" t="s">
        <v>2288</v>
      </c>
      <c r="V469" s="7" t="s">
        <v>2289</v>
      </c>
      <c r="W469" s="7" t="str">
        <f>Preencher!$B$3&amp;U469&amp;V469&amp;A469&amp;$W$6</f>
        <v>JARINU-FRG796360MQ.TUNEL DE CG (CONTINUO)</v>
      </c>
      <c r="X469" s="7" t="str">
        <f>Preencher!$B$3&amp;U469&amp;V469&amp;A469&amp;$X$6</f>
        <v>JARINU-FRG796360MQ.TUNEL DE CG (CONTINUO) (1)</v>
      </c>
      <c r="Y469" s="7" t="str">
        <f>Preencher!$B$3&amp;U469&amp;V469&amp;A469&amp;$Y$6</f>
        <v>JARINU-FRG796360MQ.TUNEL DE CG (CONTINUO) (2)</v>
      </c>
      <c r="Z469" s="7" t="str">
        <f>Preencher!$B$3&amp;U469&amp;V469&amp;A469&amp;$Z$6</f>
        <v>JARINU-FRG796360MQ.TUNEL DE CG (CONTINUO) (3)</v>
      </c>
      <c r="AA469" s="7" t="str">
        <f>Preencher!$B$3&amp;U469&amp;V469&amp;A469&amp;$AA$6</f>
        <v>JARINU-FRG796360MQ.TUNEL DE CG (ESTATICO)</v>
      </c>
      <c r="AB469" s="7" t="str">
        <f>Preencher!$B$3&amp;U469&amp;V469&amp;A469&amp;$AB$6</f>
        <v>JARINU-FRG796360MQ.TUNEL DE CG (ESTATICO) (1)</v>
      </c>
      <c r="AC469" s="7" t="str">
        <f>Preencher!$B$3&amp;U469&amp;V469&amp;A469&amp;$AC$6</f>
        <v>JARINU-FRG796360MQ.TUNEL DE CG (ESTATICO) (2)</v>
      </c>
      <c r="AD469" s="327">
        <f>IFERROR(SUMIF('BD Otimix'!A:A,'BD VOLUME'!X469,'BD Otimix'!O:O)+SUMIF('BD Otimix'!A:A,'BD VOLUME'!Y469,'BD Otimix'!O:O)+SUMIF('BD Otimix'!A:A,'BD VOLUME'!Z469,'BD Otimix'!O:O)+SUMIF('BD Otimix'!A:A,'BD VOLUME'!AA469,'BD Otimix'!O:O)+SUMIF('BD Otimix'!A:A,'BD VOLUME'!AB469,'BD Otimix'!O:O)+SUMIF('BD Otimix'!A:A,'BD VOLUME'!AC469,'BD Otimix'!O:O)+SUMIF('BD Otimix'!A:A,'BD VOLUME'!W469,'BD Otimix'!O:O),0)</f>
        <v>0</v>
      </c>
      <c r="AE469" s="327">
        <f t="shared" si="142"/>
        <v>0</v>
      </c>
      <c r="AF469" s="7" t="str">
        <f>Preencher!$B$3&amp;$U$8&amp;$V$8&amp;A469&amp;$AF$6</f>
        <v>JARINU-FRG796360MQ.GIROFREEZER</v>
      </c>
      <c r="AG469" s="7" t="str">
        <f>Preencher!$B$3&amp;$U$8&amp;$V$8&amp;A469&amp;$AG$6</f>
        <v>JARINU-FRG796360MQ.GIROFREEZER (1)</v>
      </c>
      <c r="AH469" s="7" t="str">
        <f>Preencher!$B$3&amp;$U$8&amp;$V$8&amp;A469&amp;$AH$6</f>
        <v>JARINU-FRG796360MQ.GIROFREEZER (2)</v>
      </c>
      <c r="AI469" s="7" t="str">
        <f>Preencher!$B$3&amp;$U$8&amp;$V$8&amp;A469&amp;$AI$6</f>
        <v>JARINU-FRG796360MQ.GIROFREEZER REV04</v>
      </c>
      <c r="AJ469" s="7" t="str">
        <f>Preencher!$B$3&amp;$U$8&amp;$V$8&amp;A469&amp;$AJ$6</f>
        <v>JARINU-FRG796360MQ.GIROFREEZER (3)</v>
      </c>
      <c r="AK469" s="672">
        <f>IFERROR(SUMIF('BD Otimix'!A:A,'BD VOLUME'!AG469,'BD Otimix'!O:O)+SUMIF('BD Otimix'!A:A,'BD VOLUME'!AH469,'BD Otimix'!O:O)+SUMIF('BD Otimix'!A:A,'BD VOLUME'!AI469,'BD Otimix'!O:O)+SUMIF('BD Otimix'!A:A,'BD VOLUME'!AJ469,'BD Otimix'!O:O)+SUMIF('BD Otimix'!A:A,'BD VOLUME'!AF469,'BD Otimix'!O:O),0)</f>
        <v>0</v>
      </c>
      <c r="AL469" s="7">
        <f t="shared" si="143"/>
        <v>0</v>
      </c>
    </row>
    <row r="470" spans="1:38">
      <c r="A470" s="128">
        <v>983829</v>
      </c>
      <c r="B470" s="128" t="s">
        <v>2767</v>
      </c>
      <c r="C470" s="5" t="s">
        <v>1089</v>
      </c>
      <c r="D470" s="5" t="s">
        <v>1606</v>
      </c>
      <c r="E470" s="5" t="s">
        <v>926</v>
      </c>
      <c r="F470" s="132">
        <f>SUMIF('COLAR PLANO'!$A:$A,A470,'COLAR PLANO'!$D:$D)</f>
        <v>0</v>
      </c>
      <c r="G470" s="131">
        <f t="shared" si="138"/>
        <v>0</v>
      </c>
      <c r="H470" s="6">
        <v>5.0799999999999998E-2</v>
      </c>
      <c r="I470" s="7">
        <f t="shared" si="139"/>
        <v>0</v>
      </c>
      <c r="J470" s="130">
        <f t="shared" si="140"/>
        <v>0</v>
      </c>
      <c r="K470" s="720">
        <v>1</v>
      </c>
      <c r="L470" s="720">
        <v>15</v>
      </c>
      <c r="M470" s="720">
        <v>15</v>
      </c>
      <c r="N470" s="7">
        <f t="shared" si="141"/>
        <v>0</v>
      </c>
      <c r="O470" s="7">
        <f>IFERROR(G470/M470,"-")</f>
        <v>0</v>
      </c>
      <c r="Q470" s="7"/>
      <c r="R470" s="7"/>
      <c r="S470" s="7"/>
      <c r="T470" s="7"/>
      <c r="U470" s="7" t="s">
        <v>2288</v>
      </c>
      <c r="V470" s="7" t="s">
        <v>2289</v>
      </c>
      <c r="W470" s="7" t="str">
        <f>Preencher!$B$3&amp;U470&amp;V470&amp;A470&amp;$W$6</f>
        <v>JARINU-FRG983829MQ.TUNEL DE CG (CONTINUO)</v>
      </c>
      <c r="X470" s="7" t="str">
        <f>Preencher!$B$3&amp;U470&amp;V470&amp;A470&amp;$X$6</f>
        <v>JARINU-FRG983829MQ.TUNEL DE CG (CONTINUO) (1)</v>
      </c>
      <c r="Y470" s="7" t="str">
        <f>Preencher!$B$3&amp;U470&amp;V470&amp;A470&amp;$Y$6</f>
        <v>JARINU-FRG983829MQ.TUNEL DE CG (CONTINUO) (2)</v>
      </c>
      <c r="Z470" s="7" t="str">
        <f>Preencher!$B$3&amp;U470&amp;V470&amp;A470&amp;$Z$6</f>
        <v>JARINU-FRG983829MQ.TUNEL DE CG (CONTINUO) (3)</v>
      </c>
      <c r="AA470" s="7" t="str">
        <f>Preencher!$B$3&amp;U470&amp;V470&amp;A470&amp;$AA$6</f>
        <v>JARINU-FRG983829MQ.TUNEL DE CG (ESTATICO)</v>
      </c>
      <c r="AB470" s="7" t="str">
        <f>Preencher!$B$3&amp;U470&amp;V470&amp;A470&amp;$AB$6</f>
        <v>JARINU-FRG983829MQ.TUNEL DE CG (ESTATICO) (1)</v>
      </c>
      <c r="AC470" s="7" t="str">
        <f>Preencher!$B$3&amp;U470&amp;V470&amp;A470&amp;$AC$6</f>
        <v>JARINU-FRG983829MQ.TUNEL DE CG (ESTATICO) (2)</v>
      </c>
      <c r="AD470" s="327">
        <f>IFERROR(SUMIF('BD Otimix'!A:A,'BD VOLUME'!X470,'BD Otimix'!O:O)+SUMIF('BD Otimix'!A:A,'BD VOLUME'!Y470,'BD Otimix'!O:O)+SUMIF('BD Otimix'!A:A,'BD VOLUME'!Z470,'BD Otimix'!O:O)+SUMIF('BD Otimix'!A:A,'BD VOLUME'!AA470,'BD Otimix'!O:O)+SUMIF('BD Otimix'!A:A,'BD VOLUME'!AB470,'BD Otimix'!O:O)+SUMIF('BD Otimix'!A:A,'BD VOLUME'!AC470,'BD Otimix'!O:O)+SUMIF('BD Otimix'!A:A,'BD VOLUME'!W470,'BD Otimix'!O:O),0)</f>
        <v>0</v>
      </c>
      <c r="AE470" s="327">
        <f t="shared" si="142"/>
        <v>0</v>
      </c>
      <c r="AF470" s="7" t="str">
        <f>Preencher!$B$3&amp;$U$8&amp;$V$8&amp;A470&amp;$AF$6</f>
        <v>JARINU-FRG983829MQ.GIROFREEZER</v>
      </c>
      <c r="AG470" s="7" t="str">
        <f>Preencher!$B$3&amp;$U$8&amp;$V$8&amp;A470&amp;$AG$6</f>
        <v>JARINU-FRG983829MQ.GIROFREEZER (1)</v>
      </c>
      <c r="AH470" s="7" t="str">
        <f>Preencher!$B$3&amp;$U$8&amp;$V$8&amp;A470&amp;$AH$6</f>
        <v>JARINU-FRG983829MQ.GIROFREEZER (2)</v>
      </c>
      <c r="AI470" s="7" t="str">
        <f>Preencher!$B$3&amp;$U$8&amp;$V$8&amp;A470&amp;$AI$6</f>
        <v>JARINU-FRG983829MQ.GIROFREEZER REV04</v>
      </c>
      <c r="AJ470" s="7" t="str">
        <f>Preencher!$B$3&amp;$U$8&amp;$V$8&amp;A470&amp;$AJ$6</f>
        <v>JARINU-FRG983829MQ.GIROFREEZER (3)</v>
      </c>
      <c r="AK470" s="672">
        <f>IFERROR(SUMIF('BD Otimix'!A:A,'BD VOLUME'!AG470,'BD Otimix'!O:O)+SUMIF('BD Otimix'!A:A,'BD VOLUME'!AH470,'BD Otimix'!O:O)+SUMIF('BD Otimix'!A:A,'BD VOLUME'!AI470,'BD Otimix'!O:O)+SUMIF('BD Otimix'!A:A,'BD VOLUME'!AJ470,'BD Otimix'!O:O)+SUMIF('BD Otimix'!A:A,'BD VOLUME'!AF470,'BD Otimix'!O:O),0)</f>
        <v>0</v>
      </c>
      <c r="AL470" s="7">
        <f t="shared" si="143"/>
        <v>0</v>
      </c>
    </row>
    <row r="471" spans="1:38">
      <c r="A471" s="139"/>
      <c r="B471" s="139"/>
      <c r="C471" s="145"/>
      <c r="D471" s="145"/>
      <c r="E471" s="145"/>
      <c r="F471" s="144"/>
      <c r="G471" s="143"/>
      <c r="H471" s="142"/>
      <c r="I471" s="140"/>
      <c r="J471" s="141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</row>
    <row r="472" spans="1:38">
      <c r="A472" s="138" t="s">
        <v>868</v>
      </c>
      <c r="B472" s="386">
        <f>B438</f>
        <v>4699.7389033942563</v>
      </c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  <c r="AH472" s="138"/>
      <c r="AI472" s="138"/>
      <c r="AJ472" s="138"/>
      <c r="AK472" s="138"/>
      <c r="AL472" s="138"/>
    </row>
    <row r="473" spans="1:38">
      <c r="A473" s="128">
        <v>40038</v>
      </c>
      <c r="B473" s="128"/>
      <c r="C473" s="5" t="s">
        <v>1656</v>
      </c>
      <c r="D473" s="5" t="s">
        <v>868</v>
      </c>
      <c r="E473" s="5" t="s">
        <v>1690</v>
      </c>
      <c r="F473" s="132">
        <f>SUMIF('COLAR PLANO'!$A:$A,A473,'COLAR PLANO'!$D:$D)</f>
        <v>0</v>
      </c>
      <c r="G473" s="131">
        <f>IFERROR(F473/($E$3*$C$3),0)</f>
        <v>0</v>
      </c>
      <c r="H473" s="6">
        <v>0.14065243077485973</v>
      </c>
      <c r="I473" s="7">
        <f>IFERROR(G473/$D$3/H473,0)</f>
        <v>0</v>
      </c>
      <c r="J473" s="130">
        <f>IFERROR(I473/$B$472,0)</f>
        <v>0</v>
      </c>
      <c r="K473" s="401">
        <v>1</v>
      </c>
      <c r="L473" s="401">
        <v>12</v>
      </c>
      <c r="M473" s="401">
        <v>12</v>
      </c>
      <c r="N473" s="7">
        <f>IFERROR(G473/K473,"-")</f>
        <v>0</v>
      </c>
      <c r="O473" s="7">
        <f>IFERROR(G473/M473,0)</f>
        <v>0</v>
      </c>
      <c r="P473" s="7"/>
      <c r="Q473" s="7"/>
      <c r="R473" s="7"/>
      <c r="S473" s="7"/>
      <c r="T473" s="7"/>
      <c r="U473" s="7" t="s">
        <v>2288</v>
      </c>
      <c r="V473" s="7" t="s">
        <v>2289</v>
      </c>
      <c r="W473" s="7" t="str">
        <f>Preencher!$B$3&amp;U473&amp;V473&amp;A473&amp;$W$6</f>
        <v>JARINU-FRG40038MQ.TUNEL DE CG (CONTINUO)</v>
      </c>
      <c r="X473" s="7" t="str">
        <f>Preencher!$B$3&amp;U473&amp;V473&amp;A473&amp;$X$6</f>
        <v>JARINU-FRG40038MQ.TUNEL DE CG (CONTINUO) (1)</v>
      </c>
      <c r="Y473" s="7" t="str">
        <f>Preencher!$B$3&amp;U473&amp;V473&amp;A473&amp;$Y$6</f>
        <v>JARINU-FRG40038MQ.TUNEL DE CG (CONTINUO) (2)</v>
      </c>
      <c r="Z473" s="7" t="str">
        <f>Preencher!$B$3&amp;U473&amp;V473&amp;A473&amp;$Z$6</f>
        <v>JARINU-FRG40038MQ.TUNEL DE CG (CONTINUO) (3)</v>
      </c>
      <c r="AA473" s="7" t="str">
        <f>Preencher!$B$3&amp;U473&amp;V473&amp;A473&amp;$AA$6</f>
        <v>JARINU-FRG40038MQ.TUNEL DE CG (ESTATICO)</v>
      </c>
      <c r="AB473" s="7" t="str">
        <f>Preencher!$B$3&amp;U473&amp;V473&amp;A473&amp;$AB$6</f>
        <v>JARINU-FRG40038MQ.TUNEL DE CG (ESTATICO) (1)</v>
      </c>
      <c r="AC473" s="7" t="str">
        <f>Preencher!$B$3&amp;U473&amp;V473&amp;A473&amp;$AC$6</f>
        <v>JARINU-FRG40038MQ.TUNEL DE CG (ESTATICO) (2)</v>
      </c>
      <c r="AD473" s="327">
        <f>IFERROR(SUMIF('BD Otimix'!A:A,'BD VOLUME'!X473,'BD Otimix'!O:O)+SUMIF('BD Otimix'!A:A,'BD VOLUME'!Y473,'BD Otimix'!O:O)+SUMIF('BD Otimix'!A:A,'BD VOLUME'!Z473,'BD Otimix'!O:O)+SUMIF('BD Otimix'!A:A,'BD VOLUME'!AA473,'BD Otimix'!O:O)+SUMIF('BD Otimix'!A:A,'BD VOLUME'!AB473,'BD Otimix'!O:O)+SUMIF('BD Otimix'!A:A,'BD VOLUME'!AC473,'BD Otimix'!O:O)+SUMIF('BD Otimix'!A:A,'BD VOLUME'!W473,'BD Otimix'!O:O),0)</f>
        <v>0</v>
      </c>
      <c r="AE473" s="327">
        <f t="shared" ref="AE473:AE541" si="144">IFERROR(F473/$E$3/1000/AD473,0)</f>
        <v>0</v>
      </c>
      <c r="AF473" s="7" t="str">
        <f>Preencher!$B$3&amp;$U$8&amp;$V$8&amp;A473&amp;$AF$6</f>
        <v>JARINU-FRG40038MQ.GIROFREEZER</v>
      </c>
      <c r="AG473" s="7" t="str">
        <f>Preencher!$B$3&amp;$U$8&amp;$V$8&amp;A473&amp;$AG$6</f>
        <v>JARINU-FRG40038MQ.GIROFREEZER (1)</v>
      </c>
      <c r="AH473" s="7" t="str">
        <f>Preencher!$B$3&amp;$U$8&amp;$V$8&amp;A473&amp;$AH$6</f>
        <v>JARINU-FRG40038MQ.GIROFREEZER (2)</v>
      </c>
      <c r="AI473" s="7" t="str">
        <f>Preencher!$B$3&amp;$U$8&amp;$V$8&amp;A473&amp;$AI$6</f>
        <v>JARINU-FRG40038MQ.GIROFREEZER REV04</v>
      </c>
      <c r="AJ473" s="7" t="str">
        <f>Preencher!$B$3&amp;$U$8&amp;$V$8&amp;A473&amp;$AJ$6</f>
        <v>JARINU-FRG40038MQ.GIROFREEZER (3)</v>
      </c>
      <c r="AK473" s="327">
        <f>IFERROR(SUMIF('BD Otimix'!A:A,'BD VOLUME'!AG473,'BD Otimix'!O:O)+SUMIF('BD Otimix'!A:A,'BD VOLUME'!AH473,'BD Otimix'!O:O)+SUMIF('BD Otimix'!A:A,'BD VOLUME'!AI473,'BD Otimix'!O:O)+SUMIF('BD Otimix'!A:A,'BD VOLUME'!AJ473,'BD Otimix'!O:O)+SUMIF('BD Otimix'!A:A,'BD VOLUME'!AF473,'BD Otimix'!O:O),0)</f>
        <v>0</v>
      </c>
      <c r="AL473" s="7">
        <f t="shared" ref="AL473:AL541" si="145">IFERROR(F473/$E$3/1000/AK473,0)</f>
        <v>0</v>
      </c>
    </row>
    <row r="474" spans="1:38">
      <c r="A474" s="647">
        <v>964115</v>
      </c>
      <c r="B474" s="647"/>
      <c r="C474" s="5" t="s">
        <v>1684</v>
      </c>
      <c r="D474" s="5" t="s">
        <v>868</v>
      </c>
      <c r="E474" s="5" t="s">
        <v>1690</v>
      </c>
      <c r="F474" s="132">
        <f>SUMIF('COLAR PLANO'!$A:$A,A474,'COLAR PLANO'!$D:$D)</f>
        <v>0</v>
      </c>
      <c r="G474" s="131">
        <f t="shared" ref="G474:G497" si="146">IFERROR(F474/($E$3*$C$3),0)</f>
        <v>0</v>
      </c>
      <c r="H474" s="6">
        <v>0.14065243077485973</v>
      </c>
      <c r="I474" s="7">
        <f t="shared" ref="I474:I497" si="147">IFERROR(G474/$D$3/H474,0)</f>
        <v>0</v>
      </c>
      <c r="J474" s="130">
        <f>IFERROR(I474/$B$472,0)</f>
        <v>0</v>
      </c>
      <c r="K474" s="647">
        <v>1</v>
      </c>
      <c r="L474" s="647">
        <v>12</v>
      </c>
      <c r="M474" s="647">
        <v>12</v>
      </c>
      <c r="N474" s="7">
        <f t="shared" ref="N474:N487" si="148">IFERROR(G474/K474,"-")</f>
        <v>0</v>
      </c>
      <c r="O474" s="7">
        <f>IFERROR(G474/M474,0)</f>
        <v>0</v>
      </c>
      <c r="P474" s="7"/>
      <c r="Q474" s="7"/>
      <c r="R474" s="7"/>
      <c r="S474" s="7"/>
      <c r="T474" s="7"/>
      <c r="U474" s="7" t="s">
        <v>2288</v>
      </c>
      <c r="V474" s="7" t="s">
        <v>2289</v>
      </c>
      <c r="W474" s="7" t="str">
        <f>Preencher!$B$3&amp;U474&amp;V474&amp;A474&amp;$W$6</f>
        <v>JARINU-FRG964115MQ.TUNEL DE CG (CONTINUO)</v>
      </c>
      <c r="X474" s="7" t="str">
        <f>Preencher!$B$3&amp;U474&amp;V474&amp;A474&amp;$X$6</f>
        <v>JARINU-FRG964115MQ.TUNEL DE CG (CONTINUO) (1)</v>
      </c>
      <c r="Y474" s="7" t="str">
        <f>Preencher!$B$3&amp;U474&amp;V474&amp;A474&amp;$Y$6</f>
        <v>JARINU-FRG964115MQ.TUNEL DE CG (CONTINUO) (2)</v>
      </c>
      <c r="Z474" s="7" t="str">
        <f>Preencher!$B$3&amp;U474&amp;V474&amp;A474&amp;$Z$6</f>
        <v>JARINU-FRG964115MQ.TUNEL DE CG (CONTINUO) (3)</v>
      </c>
      <c r="AA474" s="7" t="str">
        <f>Preencher!$B$3&amp;U474&amp;V474&amp;A474&amp;$AA$6</f>
        <v>JARINU-FRG964115MQ.TUNEL DE CG (ESTATICO)</v>
      </c>
      <c r="AB474" s="7" t="str">
        <f>Preencher!$B$3&amp;U474&amp;V474&amp;A474&amp;$AB$6</f>
        <v>JARINU-FRG964115MQ.TUNEL DE CG (ESTATICO) (1)</v>
      </c>
      <c r="AC474" s="7" t="str">
        <f>Preencher!$B$3&amp;U474&amp;V474&amp;A474&amp;$AC$6</f>
        <v>JARINU-FRG964115MQ.TUNEL DE CG (ESTATICO) (2)</v>
      </c>
      <c r="AD474" s="327">
        <f>IFERROR(SUMIF('BD Otimix'!A:A,'BD VOLUME'!X474,'BD Otimix'!O:O)+SUMIF('BD Otimix'!A:A,'BD VOLUME'!Y474,'BD Otimix'!O:O)+SUMIF('BD Otimix'!A:A,'BD VOLUME'!Z474,'BD Otimix'!O:O)+SUMIF('BD Otimix'!A:A,'BD VOLUME'!AA474,'BD Otimix'!O:O)+SUMIF('BD Otimix'!A:A,'BD VOLUME'!AB474,'BD Otimix'!O:O)+SUMIF('BD Otimix'!A:A,'BD VOLUME'!AC474,'BD Otimix'!O:O)+SUMIF('BD Otimix'!A:A,'BD VOLUME'!W474,'BD Otimix'!O:O),0)</f>
        <v>0</v>
      </c>
      <c r="AE474" s="327">
        <f t="shared" si="144"/>
        <v>0</v>
      </c>
      <c r="AF474" s="7" t="str">
        <f>Preencher!$B$3&amp;$U$8&amp;$V$8&amp;A474&amp;$AF$6</f>
        <v>JARINU-FRG964115MQ.GIROFREEZER</v>
      </c>
      <c r="AG474" s="7" t="str">
        <f>Preencher!$B$3&amp;$U$8&amp;$V$8&amp;A474&amp;$AG$6</f>
        <v>JARINU-FRG964115MQ.GIROFREEZER (1)</v>
      </c>
      <c r="AH474" s="7" t="str">
        <f>Preencher!$B$3&amp;$U$8&amp;$V$8&amp;A474&amp;$AH$6</f>
        <v>JARINU-FRG964115MQ.GIROFREEZER (2)</v>
      </c>
      <c r="AI474" s="7" t="str">
        <f>Preencher!$B$3&amp;$U$8&amp;$V$8&amp;A474&amp;$AI$6</f>
        <v>JARINU-FRG964115MQ.GIROFREEZER REV04</v>
      </c>
      <c r="AJ474" s="7" t="str">
        <f>Preencher!$B$3&amp;$U$8&amp;$V$8&amp;A474&amp;$AJ$6</f>
        <v>JARINU-FRG964115MQ.GIROFREEZER (3)</v>
      </c>
      <c r="AK474" s="327">
        <f>IFERROR(SUMIF('BD Otimix'!A:A,'BD VOLUME'!AG474,'BD Otimix'!O:O)+SUMIF('BD Otimix'!A:A,'BD VOLUME'!AH474,'BD Otimix'!O:O)+SUMIF('BD Otimix'!A:A,'BD VOLUME'!AI474,'BD Otimix'!O:O)+SUMIF('BD Otimix'!A:A,'BD VOLUME'!AJ474,'BD Otimix'!O:O)+SUMIF('BD Otimix'!A:A,'BD VOLUME'!AF474,'BD Otimix'!O:O),0)</f>
        <v>0</v>
      </c>
      <c r="AL474" s="7">
        <f t="shared" si="145"/>
        <v>0</v>
      </c>
    </row>
    <row r="475" spans="1:38">
      <c r="A475" s="647">
        <v>990390</v>
      </c>
      <c r="B475" s="647"/>
      <c r="C475" s="5" t="s">
        <v>5355</v>
      </c>
      <c r="D475" s="5" t="s">
        <v>868</v>
      </c>
      <c r="E475" s="5" t="s">
        <v>1692</v>
      </c>
      <c r="F475" s="132">
        <f>SUMIF('COLAR PLANO'!$A:$A,A475,'COLAR PLANO'!$D:$D)</f>
        <v>1700.64</v>
      </c>
      <c r="G475" s="131">
        <f t="shared" si="146"/>
        <v>8.0732969380488981</v>
      </c>
      <c r="H475" s="6">
        <v>0.14065243077485973</v>
      </c>
      <c r="I475" s="7">
        <f t="shared" si="147"/>
        <v>19.132971712783515</v>
      </c>
      <c r="J475" s="130">
        <f t="shared" ref="J475:J497" si="149">IFERROR(I475/$B$472,0)</f>
        <v>4.0710712033311591E-3</v>
      </c>
      <c r="K475" s="647">
        <v>0.65</v>
      </c>
      <c r="L475" s="647">
        <v>15</v>
      </c>
      <c r="M475" s="647">
        <v>9.75</v>
      </c>
      <c r="N475" s="7">
        <f t="shared" si="148"/>
        <v>12.420456827767536</v>
      </c>
      <c r="O475" s="7">
        <f>IFERROR(G475/M475,0)</f>
        <v>0.82803045518450236</v>
      </c>
      <c r="P475" s="7"/>
      <c r="Q475" s="7"/>
      <c r="R475" s="7"/>
      <c r="S475" s="7"/>
      <c r="T475" s="7"/>
      <c r="U475" s="7" t="s">
        <v>2288</v>
      </c>
      <c r="V475" s="7" t="s">
        <v>2289</v>
      </c>
      <c r="W475" s="7" t="str">
        <f>Preencher!$B$3&amp;U475&amp;V475&amp;A475&amp;$W$6</f>
        <v>JARINU-FRG990390MQ.TUNEL DE CG (CONTINUO)</v>
      </c>
      <c r="X475" s="7" t="str">
        <f>Preencher!$B$3&amp;U475&amp;V475&amp;A475&amp;$X$6</f>
        <v>JARINU-FRG990390MQ.TUNEL DE CG (CONTINUO) (1)</v>
      </c>
      <c r="Y475" s="7" t="str">
        <f>Preencher!$B$3&amp;U475&amp;V475&amp;A475&amp;$Y$6</f>
        <v>JARINU-FRG990390MQ.TUNEL DE CG (CONTINUO) (2)</v>
      </c>
      <c r="Z475" s="7" t="str">
        <f>Preencher!$B$3&amp;U475&amp;V475&amp;A475&amp;$Z$6</f>
        <v>JARINU-FRG990390MQ.TUNEL DE CG (CONTINUO) (3)</v>
      </c>
      <c r="AA475" s="7" t="str">
        <f>Preencher!$B$3&amp;U475&amp;V475&amp;A475&amp;$AA$6</f>
        <v>JARINU-FRG990390MQ.TUNEL DE CG (ESTATICO)</v>
      </c>
      <c r="AB475" s="7" t="str">
        <f>Preencher!$B$3&amp;U475&amp;V475&amp;A475&amp;$AB$6</f>
        <v>JARINU-FRG990390MQ.TUNEL DE CG (ESTATICO) (1)</v>
      </c>
      <c r="AC475" s="7" t="str">
        <f>Preencher!$B$3&amp;U475&amp;V475&amp;A475&amp;$AC$6</f>
        <v>JARINU-FRG990390MQ.TUNEL DE CG (ESTATICO) (2)</v>
      </c>
      <c r="AD475" s="327">
        <f>IFERROR(SUMIF('BD Otimix'!A:A,'BD VOLUME'!X475,'BD Otimix'!O:O)+SUMIF('BD Otimix'!A:A,'BD VOLUME'!Y475,'BD Otimix'!O:O)+SUMIF('BD Otimix'!A:A,'BD VOLUME'!Z475,'BD Otimix'!O:O)+SUMIF('BD Otimix'!A:A,'BD VOLUME'!AA475,'BD Otimix'!O:O)+SUMIF('BD Otimix'!A:A,'BD VOLUME'!AB475,'BD Otimix'!O:O)+SUMIF('BD Otimix'!A:A,'BD VOLUME'!AC475,'BD Otimix'!O:O)+SUMIF('BD Otimix'!A:A,'BD VOLUME'!W475,'BD Otimix'!O:O),0)</f>
        <v>0</v>
      </c>
      <c r="AE475" s="327">
        <f t="shared" si="144"/>
        <v>0</v>
      </c>
      <c r="AF475" s="7" t="str">
        <f>Preencher!$B$3&amp;$U$8&amp;$V$8&amp;A475&amp;$AF$6</f>
        <v>JARINU-FRG990390MQ.GIROFREEZER</v>
      </c>
      <c r="AG475" s="7" t="str">
        <f>Preencher!$B$3&amp;$U$8&amp;$V$8&amp;A475&amp;$AG$6</f>
        <v>JARINU-FRG990390MQ.GIROFREEZER (1)</v>
      </c>
      <c r="AH475" s="7" t="str">
        <f>Preencher!$B$3&amp;$U$8&amp;$V$8&amp;A475&amp;$AH$6</f>
        <v>JARINU-FRG990390MQ.GIROFREEZER (2)</v>
      </c>
      <c r="AI475" s="7" t="str">
        <f>Preencher!$B$3&amp;$U$8&amp;$V$8&amp;A475&amp;$AI$6</f>
        <v>JARINU-FRG990390MQ.GIROFREEZER REV04</v>
      </c>
      <c r="AJ475" s="7" t="str">
        <f>Preencher!$B$3&amp;$U$8&amp;$V$8&amp;A475&amp;$AJ$6</f>
        <v>JARINU-FRG990390MQ.GIROFREEZER (3)</v>
      </c>
      <c r="AK475" s="327">
        <f>IFERROR(SUMIF('BD Otimix'!A:A,'BD VOLUME'!AG475,'BD Otimix'!O:O)+SUMIF('BD Otimix'!A:A,'BD VOLUME'!AH475,'BD Otimix'!O:O)+SUMIF('BD Otimix'!A:A,'BD VOLUME'!AI475,'BD Otimix'!O:O)+SUMIF('BD Otimix'!A:A,'BD VOLUME'!AJ475,'BD Otimix'!O:O)+SUMIF('BD Otimix'!A:A,'BD VOLUME'!AF475,'BD Otimix'!O:O),0)</f>
        <v>0</v>
      </c>
      <c r="AL475" s="7">
        <f t="shared" si="145"/>
        <v>0</v>
      </c>
    </row>
    <row r="476" spans="1:38">
      <c r="A476" s="647">
        <v>990393</v>
      </c>
      <c r="B476" s="647"/>
      <c r="C476" s="5" t="s">
        <v>5361</v>
      </c>
      <c r="D476" s="5" t="s">
        <v>868</v>
      </c>
      <c r="E476" s="5" t="s">
        <v>1692</v>
      </c>
      <c r="F476" s="132">
        <f>SUMIF('COLAR PLANO'!$A:$A,A476,'COLAR PLANO'!$D:$D)</f>
        <v>1700.64</v>
      </c>
      <c r="G476" s="131">
        <f t="shared" si="146"/>
        <v>8.0732969380488981</v>
      </c>
      <c r="H476" s="6">
        <v>0.14065243077485973</v>
      </c>
      <c r="I476" s="7">
        <f t="shared" si="147"/>
        <v>19.132971712783515</v>
      </c>
      <c r="J476" s="130">
        <f t="shared" si="149"/>
        <v>4.0710712033311591E-3</v>
      </c>
      <c r="K476" s="647">
        <v>0.65</v>
      </c>
      <c r="L476" s="647">
        <v>15</v>
      </c>
      <c r="M476" s="647">
        <v>9.75</v>
      </c>
      <c r="N476" s="7">
        <f t="shared" si="148"/>
        <v>12.420456827767536</v>
      </c>
      <c r="O476" s="7">
        <f>IFERROR(G476/M476,0)</f>
        <v>0.82803045518450236</v>
      </c>
      <c r="P476" s="7"/>
      <c r="Q476" s="7"/>
      <c r="R476" s="7"/>
      <c r="S476" s="7"/>
      <c r="T476" s="7"/>
      <c r="U476" s="7" t="s">
        <v>2288</v>
      </c>
      <c r="V476" s="7" t="s">
        <v>2289</v>
      </c>
      <c r="W476" s="7" t="str">
        <f>Preencher!$B$3&amp;U476&amp;V476&amp;A476&amp;$W$6</f>
        <v>JARINU-FRG990393MQ.TUNEL DE CG (CONTINUO)</v>
      </c>
      <c r="X476" s="7" t="str">
        <f>Preencher!$B$3&amp;U476&amp;V476&amp;A476&amp;$X$6</f>
        <v>JARINU-FRG990393MQ.TUNEL DE CG (CONTINUO) (1)</v>
      </c>
      <c r="Y476" s="7" t="str">
        <f>Preencher!$B$3&amp;U476&amp;V476&amp;A476&amp;$Y$6</f>
        <v>JARINU-FRG990393MQ.TUNEL DE CG (CONTINUO) (2)</v>
      </c>
      <c r="Z476" s="7" t="str">
        <f>Preencher!$B$3&amp;U476&amp;V476&amp;A476&amp;$Z$6</f>
        <v>JARINU-FRG990393MQ.TUNEL DE CG (CONTINUO) (3)</v>
      </c>
      <c r="AA476" s="7" t="str">
        <f>Preencher!$B$3&amp;U476&amp;V476&amp;A476&amp;$AA$6</f>
        <v>JARINU-FRG990393MQ.TUNEL DE CG (ESTATICO)</v>
      </c>
      <c r="AB476" s="7" t="str">
        <f>Preencher!$B$3&amp;U476&amp;V476&amp;A476&amp;$AB$6</f>
        <v>JARINU-FRG990393MQ.TUNEL DE CG (ESTATICO) (1)</v>
      </c>
      <c r="AC476" s="7" t="str">
        <f>Preencher!$B$3&amp;U476&amp;V476&amp;A476&amp;$AC$6</f>
        <v>JARINU-FRG990393MQ.TUNEL DE CG (ESTATICO) (2)</v>
      </c>
      <c r="AD476" s="327">
        <f>IFERROR(SUMIF('BD Otimix'!A:A,'BD VOLUME'!X476,'BD Otimix'!O:O)+SUMIF('BD Otimix'!A:A,'BD VOLUME'!Y476,'BD Otimix'!O:O)+SUMIF('BD Otimix'!A:A,'BD VOLUME'!Z476,'BD Otimix'!O:O)+SUMIF('BD Otimix'!A:A,'BD VOLUME'!AA476,'BD Otimix'!O:O)+SUMIF('BD Otimix'!A:A,'BD VOLUME'!AB476,'BD Otimix'!O:O)+SUMIF('BD Otimix'!A:A,'BD VOLUME'!AC476,'BD Otimix'!O:O)+SUMIF('BD Otimix'!A:A,'BD VOLUME'!W476,'BD Otimix'!O:O),0)</f>
        <v>0</v>
      </c>
      <c r="AE476" s="327">
        <f t="shared" si="144"/>
        <v>0</v>
      </c>
      <c r="AF476" s="7" t="str">
        <f>Preencher!$B$3&amp;$U$8&amp;$V$8&amp;A476&amp;$AF$6</f>
        <v>JARINU-FRG990393MQ.GIROFREEZER</v>
      </c>
      <c r="AG476" s="7" t="str">
        <f>Preencher!$B$3&amp;$U$8&amp;$V$8&amp;A476&amp;$AG$6</f>
        <v>JARINU-FRG990393MQ.GIROFREEZER (1)</v>
      </c>
      <c r="AH476" s="7" t="str">
        <f>Preencher!$B$3&amp;$U$8&amp;$V$8&amp;A476&amp;$AH$6</f>
        <v>JARINU-FRG990393MQ.GIROFREEZER (2)</v>
      </c>
      <c r="AI476" s="7" t="str">
        <f>Preencher!$B$3&amp;$U$8&amp;$V$8&amp;A476&amp;$AI$6</f>
        <v>JARINU-FRG990393MQ.GIROFREEZER REV04</v>
      </c>
      <c r="AJ476" s="7" t="str">
        <f>Preencher!$B$3&amp;$U$8&amp;$V$8&amp;A476&amp;$AJ$6</f>
        <v>JARINU-FRG990393MQ.GIROFREEZER (3)</v>
      </c>
      <c r="AK476" s="327">
        <f>IFERROR(SUMIF('BD Otimix'!A:A,'BD VOLUME'!AG476,'BD Otimix'!O:O)+SUMIF('BD Otimix'!A:A,'BD VOLUME'!AH476,'BD Otimix'!O:O)+SUMIF('BD Otimix'!A:A,'BD VOLUME'!AI476,'BD Otimix'!O:O)+SUMIF('BD Otimix'!A:A,'BD VOLUME'!AJ476,'BD Otimix'!O:O)+SUMIF('BD Otimix'!A:A,'BD VOLUME'!AF476,'BD Otimix'!O:O),0)</f>
        <v>0</v>
      </c>
      <c r="AL476" s="7">
        <f t="shared" si="145"/>
        <v>0</v>
      </c>
    </row>
    <row r="477" spans="1:38">
      <c r="A477" s="647">
        <v>40250</v>
      </c>
      <c r="B477" s="647"/>
      <c r="C477" s="5" t="s">
        <v>1658</v>
      </c>
      <c r="D477" s="5" t="s">
        <v>868</v>
      </c>
      <c r="E477" s="5" t="s">
        <v>1694</v>
      </c>
      <c r="F477" s="132">
        <f>SUMIF('COLAR PLANO'!$A:$A,A477,'COLAR PLANO'!$D:$D)</f>
        <v>0</v>
      </c>
      <c r="G477" s="131">
        <f t="shared" si="146"/>
        <v>0</v>
      </c>
      <c r="H477" s="6">
        <v>0.14065243077485973</v>
      </c>
      <c r="I477" s="7">
        <f t="shared" si="147"/>
        <v>0</v>
      </c>
      <c r="J477" s="130">
        <f t="shared" si="149"/>
        <v>0</v>
      </c>
      <c r="K477" s="647">
        <v>1</v>
      </c>
      <c r="L477" s="647">
        <v>12</v>
      </c>
      <c r="M477" s="647">
        <v>12</v>
      </c>
      <c r="N477" s="7">
        <f t="shared" si="148"/>
        <v>0</v>
      </c>
      <c r="O477" s="7"/>
      <c r="P477" s="7">
        <f t="shared" ref="P477:P496" si="150">IFERROR(G477/M477,0)</f>
        <v>0</v>
      </c>
      <c r="Q477" s="7"/>
      <c r="R477" s="7"/>
      <c r="S477" s="7"/>
      <c r="T477" s="7"/>
      <c r="U477" s="7" t="s">
        <v>2288</v>
      </c>
      <c r="V477" s="7" t="s">
        <v>2289</v>
      </c>
      <c r="W477" s="7" t="str">
        <f>Preencher!$B$3&amp;U477&amp;V477&amp;A477&amp;$W$6</f>
        <v>JARINU-FRG40250MQ.TUNEL DE CG (CONTINUO)</v>
      </c>
      <c r="X477" s="7" t="str">
        <f>Preencher!$B$3&amp;U477&amp;V477&amp;A477&amp;$X$6</f>
        <v>JARINU-FRG40250MQ.TUNEL DE CG (CONTINUO) (1)</v>
      </c>
      <c r="Y477" s="7" t="str">
        <f>Preencher!$B$3&amp;U477&amp;V477&amp;A477&amp;$Y$6</f>
        <v>JARINU-FRG40250MQ.TUNEL DE CG (CONTINUO) (2)</v>
      </c>
      <c r="Z477" s="7" t="str">
        <f>Preencher!$B$3&amp;U477&amp;V477&amp;A477&amp;$Z$6</f>
        <v>JARINU-FRG40250MQ.TUNEL DE CG (CONTINUO) (3)</v>
      </c>
      <c r="AA477" s="7" t="str">
        <f>Preencher!$B$3&amp;U477&amp;V477&amp;A477&amp;$AA$6</f>
        <v>JARINU-FRG40250MQ.TUNEL DE CG (ESTATICO)</v>
      </c>
      <c r="AB477" s="7" t="str">
        <f>Preencher!$B$3&amp;U477&amp;V477&amp;A477&amp;$AB$6</f>
        <v>JARINU-FRG40250MQ.TUNEL DE CG (ESTATICO) (1)</v>
      </c>
      <c r="AC477" s="7" t="str">
        <f>Preencher!$B$3&amp;U477&amp;V477&amp;A477&amp;$AC$6</f>
        <v>JARINU-FRG40250MQ.TUNEL DE CG (ESTATICO) (2)</v>
      </c>
      <c r="AD477" s="327">
        <f>IFERROR(SUMIF('BD Otimix'!A:A,'BD VOLUME'!X477,'BD Otimix'!O:O)+SUMIF('BD Otimix'!A:A,'BD VOLUME'!Y477,'BD Otimix'!O:O)+SUMIF('BD Otimix'!A:A,'BD VOLUME'!Z477,'BD Otimix'!O:O)+SUMIF('BD Otimix'!A:A,'BD VOLUME'!AA477,'BD Otimix'!O:O)+SUMIF('BD Otimix'!A:A,'BD VOLUME'!AB477,'BD Otimix'!O:O)+SUMIF('BD Otimix'!A:A,'BD VOLUME'!AC477,'BD Otimix'!O:O)+SUMIF('BD Otimix'!A:A,'BD VOLUME'!W477,'BD Otimix'!O:O),0)</f>
        <v>0</v>
      </c>
      <c r="AE477" s="327">
        <f t="shared" si="144"/>
        <v>0</v>
      </c>
      <c r="AF477" s="7" t="str">
        <f>Preencher!$B$3&amp;$U$8&amp;$V$8&amp;A477&amp;$AF$6</f>
        <v>JARINU-FRG40250MQ.GIROFREEZER</v>
      </c>
      <c r="AG477" s="7" t="str">
        <f>Preencher!$B$3&amp;$U$8&amp;$V$8&amp;A477&amp;$AG$6</f>
        <v>JARINU-FRG40250MQ.GIROFREEZER (1)</v>
      </c>
      <c r="AH477" s="7" t="str">
        <f>Preencher!$B$3&amp;$U$8&amp;$V$8&amp;A477&amp;$AH$6</f>
        <v>JARINU-FRG40250MQ.GIROFREEZER (2)</v>
      </c>
      <c r="AI477" s="7" t="str">
        <f>Preencher!$B$3&amp;$U$8&amp;$V$8&amp;A477&amp;$AI$6</f>
        <v>JARINU-FRG40250MQ.GIROFREEZER REV04</v>
      </c>
      <c r="AJ477" s="7" t="str">
        <f>Preencher!$B$3&amp;$U$8&amp;$V$8&amp;A477&amp;$AJ$6</f>
        <v>JARINU-FRG40250MQ.GIROFREEZER (3)</v>
      </c>
      <c r="AK477" s="327">
        <f>IFERROR(SUMIF('BD Otimix'!A:A,'BD VOLUME'!AG477,'BD Otimix'!O:O)+SUMIF('BD Otimix'!A:A,'BD VOLUME'!AH477,'BD Otimix'!O:O)+SUMIF('BD Otimix'!A:A,'BD VOLUME'!AI477,'BD Otimix'!O:O)+SUMIF('BD Otimix'!A:A,'BD VOLUME'!AJ477,'BD Otimix'!O:O)+SUMIF('BD Otimix'!A:A,'BD VOLUME'!AF477,'BD Otimix'!O:O),0)</f>
        <v>0</v>
      </c>
      <c r="AL477" s="7">
        <f t="shared" si="145"/>
        <v>0</v>
      </c>
    </row>
    <row r="478" spans="1:38">
      <c r="A478" s="647">
        <v>197718</v>
      </c>
      <c r="B478" s="647" t="s">
        <v>2097</v>
      </c>
      <c r="C478" s="5" t="s">
        <v>2098</v>
      </c>
      <c r="D478" s="5" t="s">
        <v>868</v>
      </c>
      <c r="E478" s="5" t="s">
        <v>1694</v>
      </c>
      <c r="F478" s="132">
        <f>SUMIF('COLAR PLANO'!$A:$A,A478,'COLAR PLANO'!$D:$D)</f>
        <v>0</v>
      </c>
      <c r="G478" s="131">
        <f t="shared" si="146"/>
        <v>0</v>
      </c>
      <c r="H478" s="6">
        <v>0.14065243077485973</v>
      </c>
      <c r="I478" s="7">
        <f t="shared" si="147"/>
        <v>0</v>
      </c>
      <c r="J478" s="130">
        <f t="shared" si="149"/>
        <v>0</v>
      </c>
      <c r="K478" s="647">
        <v>1</v>
      </c>
      <c r="L478" s="647">
        <v>12</v>
      </c>
      <c r="M478" s="647">
        <v>12</v>
      </c>
      <c r="N478" s="7">
        <f t="shared" si="148"/>
        <v>0</v>
      </c>
      <c r="O478" s="7"/>
      <c r="P478" s="7">
        <f t="shared" si="150"/>
        <v>0</v>
      </c>
      <c r="Q478" s="7"/>
      <c r="R478" s="7"/>
      <c r="S478" s="7"/>
      <c r="T478" s="7"/>
      <c r="U478" s="7" t="s">
        <v>2288</v>
      </c>
      <c r="V478" s="7" t="s">
        <v>2289</v>
      </c>
      <c r="W478" s="7" t="str">
        <f>Preencher!$B$3&amp;U478&amp;V478&amp;A478&amp;$W$6</f>
        <v>JARINU-FRG197718MQ.TUNEL DE CG (CONTINUO)</v>
      </c>
      <c r="X478" s="7" t="str">
        <f>Preencher!$B$3&amp;U478&amp;V478&amp;A478&amp;$X$6</f>
        <v>JARINU-FRG197718MQ.TUNEL DE CG (CONTINUO) (1)</v>
      </c>
      <c r="Y478" s="7" t="str">
        <f>Preencher!$B$3&amp;U478&amp;V478&amp;A478&amp;$Y$6</f>
        <v>JARINU-FRG197718MQ.TUNEL DE CG (CONTINUO) (2)</v>
      </c>
      <c r="Z478" s="7" t="str">
        <f>Preencher!$B$3&amp;U478&amp;V478&amp;A478&amp;$Z$6</f>
        <v>JARINU-FRG197718MQ.TUNEL DE CG (CONTINUO) (3)</v>
      </c>
      <c r="AA478" s="7" t="str">
        <f>Preencher!$B$3&amp;U478&amp;V478&amp;A478&amp;$AA$6</f>
        <v>JARINU-FRG197718MQ.TUNEL DE CG (ESTATICO)</v>
      </c>
      <c r="AB478" s="7" t="str">
        <f>Preencher!$B$3&amp;U478&amp;V478&amp;A478&amp;$AB$6</f>
        <v>JARINU-FRG197718MQ.TUNEL DE CG (ESTATICO) (1)</v>
      </c>
      <c r="AC478" s="7" t="str">
        <f>Preencher!$B$3&amp;U478&amp;V478&amp;A478&amp;$AC$6</f>
        <v>JARINU-FRG197718MQ.TUNEL DE CG (ESTATICO) (2)</v>
      </c>
      <c r="AD478" s="327">
        <f>IFERROR(SUMIF('BD Otimix'!A:A,'BD VOLUME'!X478,'BD Otimix'!O:O)+SUMIF('BD Otimix'!A:A,'BD VOLUME'!Y478,'BD Otimix'!O:O)+SUMIF('BD Otimix'!A:A,'BD VOLUME'!Z478,'BD Otimix'!O:O)+SUMIF('BD Otimix'!A:A,'BD VOLUME'!AA478,'BD Otimix'!O:O)+SUMIF('BD Otimix'!A:A,'BD VOLUME'!AB478,'BD Otimix'!O:O)+SUMIF('BD Otimix'!A:A,'BD VOLUME'!AC478,'BD Otimix'!O:O)+SUMIF('BD Otimix'!A:A,'BD VOLUME'!W478,'BD Otimix'!O:O),0)</f>
        <v>0</v>
      </c>
      <c r="AE478" s="327">
        <f t="shared" si="144"/>
        <v>0</v>
      </c>
      <c r="AF478" s="7" t="str">
        <f>Preencher!$B$3&amp;$U$8&amp;$V$8&amp;A478&amp;$AF$6</f>
        <v>JARINU-FRG197718MQ.GIROFREEZER</v>
      </c>
      <c r="AG478" s="7" t="str">
        <f>Preencher!$B$3&amp;$U$8&amp;$V$8&amp;A478&amp;$AG$6</f>
        <v>JARINU-FRG197718MQ.GIROFREEZER (1)</v>
      </c>
      <c r="AH478" s="7" t="str">
        <f>Preencher!$B$3&amp;$U$8&amp;$V$8&amp;A478&amp;$AH$6</f>
        <v>JARINU-FRG197718MQ.GIROFREEZER (2)</v>
      </c>
      <c r="AI478" s="7" t="str">
        <f>Preencher!$B$3&amp;$U$8&amp;$V$8&amp;A478&amp;$AI$6</f>
        <v>JARINU-FRG197718MQ.GIROFREEZER REV04</v>
      </c>
      <c r="AJ478" s="7" t="str">
        <f>Preencher!$B$3&amp;$U$8&amp;$V$8&amp;A478&amp;$AJ$6</f>
        <v>JARINU-FRG197718MQ.GIROFREEZER (3)</v>
      </c>
      <c r="AK478" s="672">
        <f>IFERROR(SUMIF('BD Otimix'!A:A,'BD VOLUME'!AG478,'BD Otimix'!O:O)+SUMIF('BD Otimix'!A:A,'BD VOLUME'!AH478,'BD Otimix'!O:O)+SUMIF('BD Otimix'!A:A,'BD VOLUME'!AI478,'BD Otimix'!O:O)+SUMIF('BD Otimix'!A:A,'BD VOLUME'!AJ478,'BD Otimix'!O:O)+SUMIF('BD Otimix'!A:A,'BD VOLUME'!AF478,'BD Otimix'!O:O),0)</f>
        <v>0</v>
      </c>
      <c r="AL478" s="7">
        <f t="shared" si="145"/>
        <v>0</v>
      </c>
    </row>
    <row r="479" spans="1:38">
      <c r="A479" s="647">
        <v>40256</v>
      </c>
      <c r="B479" s="647" t="s">
        <v>1022</v>
      </c>
      <c r="C479" s="5" t="s">
        <v>1659</v>
      </c>
      <c r="D479" s="5" t="s">
        <v>868</v>
      </c>
      <c r="E479" s="5" t="s">
        <v>1694</v>
      </c>
      <c r="F479" s="132">
        <f>SUMIF('COLAR PLANO'!$A:$A,A479,'COLAR PLANO'!$D:$D)</f>
        <v>0</v>
      </c>
      <c r="G479" s="131">
        <f t="shared" si="146"/>
        <v>0</v>
      </c>
      <c r="H479" s="6">
        <v>0.14065243077485973</v>
      </c>
      <c r="I479" s="7">
        <f t="shared" si="147"/>
        <v>0</v>
      </c>
      <c r="J479" s="130">
        <f t="shared" si="149"/>
        <v>0</v>
      </c>
      <c r="K479" s="647">
        <v>2</v>
      </c>
      <c r="L479" s="647">
        <v>9</v>
      </c>
      <c r="M479" s="647">
        <v>18</v>
      </c>
      <c r="N479" s="7">
        <f t="shared" si="148"/>
        <v>0</v>
      </c>
      <c r="O479" s="7"/>
      <c r="P479" s="7">
        <f t="shared" si="150"/>
        <v>0</v>
      </c>
      <c r="Q479" s="7"/>
      <c r="R479" s="7"/>
      <c r="S479" s="7"/>
      <c r="T479" s="7"/>
      <c r="U479" s="7" t="s">
        <v>2288</v>
      </c>
      <c r="V479" s="7" t="s">
        <v>2289</v>
      </c>
      <c r="W479" s="7" t="str">
        <f>Preencher!$B$3&amp;U479&amp;V479&amp;A479&amp;$W$6</f>
        <v>JARINU-FRG40256MQ.TUNEL DE CG (CONTINUO)</v>
      </c>
      <c r="X479" s="7" t="str">
        <f>Preencher!$B$3&amp;U479&amp;V479&amp;A479&amp;$X$6</f>
        <v>JARINU-FRG40256MQ.TUNEL DE CG (CONTINUO) (1)</v>
      </c>
      <c r="Y479" s="7" t="str">
        <f>Preencher!$B$3&amp;U479&amp;V479&amp;A479&amp;$Y$6</f>
        <v>JARINU-FRG40256MQ.TUNEL DE CG (CONTINUO) (2)</v>
      </c>
      <c r="Z479" s="7" t="str">
        <f>Preencher!$B$3&amp;U479&amp;V479&amp;A479&amp;$Z$6</f>
        <v>JARINU-FRG40256MQ.TUNEL DE CG (CONTINUO) (3)</v>
      </c>
      <c r="AA479" s="7" t="str">
        <f>Preencher!$B$3&amp;U479&amp;V479&amp;A479&amp;$AA$6</f>
        <v>JARINU-FRG40256MQ.TUNEL DE CG (ESTATICO)</v>
      </c>
      <c r="AB479" s="7" t="str">
        <f>Preencher!$B$3&amp;U479&amp;V479&amp;A479&amp;$AB$6</f>
        <v>JARINU-FRG40256MQ.TUNEL DE CG (ESTATICO) (1)</v>
      </c>
      <c r="AC479" s="7" t="str">
        <f>Preencher!$B$3&amp;U479&amp;V479&amp;A479&amp;$AC$6</f>
        <v>JARINU-FRG40256MQ.TUNEL DE CG (ESTATICO) (2)</v>
      </c>
      <c r="AD479" s="327">
        <f>IFERROR(SUMIF('BD Otimix'!A:A,'BD VOLUME'!X479,'BD Otimix'!O:O)+SUMIF('BD Otimix'!A:A,'BD VOLUME'!Y479,'BD Otimix'!O:O)+SUMIF('BD Otimix'!A:A,'BD VOLUME'!Z479,'BD Otimix'!O:O)+SUMIF('BD Otimix'!A:A,'BD VOLUME'!AA479,'BD Otimix'!O:O)+SUMIF('BD Otimix'!A:A,'BD VOLUME'!AB479,'BD Otimix'!O:O)+SUMIF('BD Otimix'!A:A,'BD VOLUME'!AC479,'BD Otimix'!O:O)+SUMIF('BD Otimix'!A:A,'BD VOLUME'!W479,'BD Otimix'!O:O),0)</f>
        <v>0</v>
      </c>
      <c r="AE479" s="327">
        <f t="shared" si="144"/>
        <v>0</v>
      </c>
      <c r="AF479" s="7" t="str">
        <f>Preencher!$B$3&amp;$U$8&amp;$V$8&amp;A479&amp;$AF$6</f>
        <v>JARINU-FRG40256MQ.GIROFREEZER</v>
      </c>
      <c r="AG479" s="7" t="str">
        <f>Preencher!$B$3&amp;$U$8&amp;$V$8&amp;A479&amp;$AG$6</f>
        <v>JARINU-FRG40256MQ.GIROFREEZER (1)</v>
      </c>
      <c r="AH479" s="7" t="str">
        <f>Preencher!$B$3&amp;$U$8&amp;$V$8&amp;A479&amp;$AH$6</f>
        <v>JARINU-FRG40256MQ.GIROFREEZER (2)</v>
      </c>
      <c r="AI479" s="7" t="str">
        <f>Preencher!$B$3&amp;$U$8&amp;$V$8&amp;A479&amp;$AI$6</f>
        <v>JARINU-FRG40256MQ.GIROFREEZER REV04</v>
      </c>
      <c r="AJ479" s="7" t="str">
        <f>Preencher!$B$3&amp;$U$8&amp;$V$8&amp;A479&amp;$AJ$6</f>
        <v>JARINU-FRG40256MQ.GIROFREEZER (3)</v>
      </c>
      <c r="AK479" s="327">
        <f>IFERROR(SUMIF('BD Otimix'!A:A,'BD VOLUME'!AG479,'BD Otimix'!O:O)+SUMIF('BD Otimix'!A:A,'BD VOLUME'!AH479,'BD Otimix'!O:O)+SUMIF('BD Otimix'!A:A,'BD VOLUME'!AI479,'BD Otimix'!O:O)+SUMIF('BD Otimix'!A:A,'BD VOLUME'!AJ479,'BD Otimix'!O:O)+SUMIF('BD Otimix'!A:A,'BD VOLUME'!AF479,'BD Otimix'!O:O),0)</f>
        <v>0</v>
      </c>
      <c r="AL479" s="7">
        <f t="shared" si="145"/>
        <v>0</v>
      </c>
    </row>
    <row r="480" spans="1:38">
      <c r="A480" s="647">
        <v>766836</v>
      </c>
      <c r="B480" s="647" t="s">
        <v>2095</v>
      </c>
      <c r="C480" s="5" t="s">
        <v>2096</v>
      </c>
      <c r="D480" s="5" t="s">
        <v>868</v>
      </c>
      <c r="E480" s="5" t="s">
        <v>2136</v>
      </c>
      <c r="F480" s="132">
        <f>SUMIF('COLAR PLANO'!$A:$A,A480,'COLAR PLANO'!$D:$D)</f>
        <v>0</v>
      </c>
      <c r="G480" s="131">
        <f t="shared" si="146"/>
        <v>0</v>
      </c>
      <c r="H480" s="6">
        <v>0.14065243077485973</v>
      </c>
      <c r="I480" s="7">
        <f t="shared" si="147"/>
        <v>0</v>
      </c>
      <c r="J480" s="130">
        <f t="shared" si="149"/>
        <v>0</v>
      </c>
      <c r="K480" s="647">
        <v>1</v>
      </c>
      <c r="L480" s="647">
        <v>12</v>
      </c>
      <c r="M480" s="647">
        <v>12</v>
      </c>
      <c r="N480" s="7">
        <f t="shared" si="148"/>
        <v>0</v>
      </c>
      <c r="O480" s="7"/>
      <c r="P480" s="7">
        <f t="shared" si="150"/>
        <v>0</v>
      </c>
      <c r="Q480" s="7"/>
      <c r="R480" s="7"/>
      <c r="S480" s="7"/>
      <c r="T480" s="7"/>
      <c r="U480" s="7" t="s">
        <v>2288</v>
      </c>
      <c r="V480" s="7" t="s">
        <v>2289</v>
      </c>
      <c r="W480" s="7" t="str">
        <f>Preencher!$B$3&amp;U480&amp;V480&amp;A480&amp;$W$6</f>
        <v>JARINU-FRG766836MQ.TUNEL DE CG (CONTINUO)</v>
      </c>
      <c r="X480" s="7" t="str">
        <f>Preencher!$B$3&amp;U480&amp;V480&amp;A480&amp;$X$6</f>
        <v>JARINU-FRG766836MQ.TUNEL DE CG (CONTINUO) (1)</v>
      </c>
      <c r="Y480" s="7" t="str">
        <f>Preencher!$B$3&amp;U480&amp;V480&amp;A480&amp;$Y$6</f>
        <v>JARINU-FRG766836MQ.TUNEL DE CG (CONTINUO) (2)</v>
      </c>
      <c r="Z480" s="7" t="str">
        <f>Preencher!$B$3&amp;U480&amp;V480&amp;A480&amp;$Z$6</f>
        <v>JARINU-FRG766836MQ.TUNEL DE CG (CONTINUO) (3)</v>
      </c>
      <c r="AA480" s="7" t="str">
        <f>Preencher!$B$3&amp;U480&amp;V480&amp;A480&amp;$AA$6</f>
        <v>JARINU-FRG766836MQ.TUNEL DE CG (ESTATICO)</v>
      </c>
      <c r="AB480" s="7" t="str">
        <f>Preencher!$B$3&amp;U480&amp;V480&amp;A480&amp;$AB$6</f>
        <v>JARINU-FRG766836MQ.TUNEL DE CG (ESTATICO) (1)</v>
      </c>
      <c r="AC480" s="7" t="str">
        <f>Preencher!$B$3&amp;U480&amp;V480&amp;A480&amp;$AC$6</f>
        <v>JARINU-FRG766836MQ.TUNEL DE CG (ESTATICO) (2)</v>
      </c>
      <c r="AD480" s="327">
        <f>IFERROR(SUMIF('BD Otimix'!A:A,'BD VOLUME'!X480,'BD Otimix'!O:O)+SUMIF('BD Otimix'!A:A,'BD VOLUME'!Y480,'BD Otimix'!O:O)+SUMIF('BD Otimix'!A:A,'BD VOLUME'!Z480,'BD Otimix'!O:O)+SUMIF('BD Otimix'!A:A,'BD VOLUME'!AA480,'BD Otimix'!O:O)+SUMIF('BD Otimix'!A:A,'BD VOLUME'!AB480,'BD Otimix'!O:O)+SUMIF('BD Otimix'!A:A,'BD VOLUME'!AC480,'BD Otimix'!O:O)+SUMIF('BD Otimix'!A:A,'BD VOLUME'!W480,'BD Otimix'!O:O),0)</f>
        <v>0</v>
      </c>
      <c r="AE480" s="327">
        <f t="shared" si="144"/>
        <v>0</v>
      </c>
      <c r="AF480" s="7" t="str">
        <f>Preencher!$B$3&amp;$U$8&amp;$V$8&amp;A480&amp;$AF$6</f>
        <v>JARINU-FRG766836MQ.GIROFREEZER</v>
      </c>
      <c r="AG480" s="7" t="str">
        <f>Preencher!$B$3&amp;$U$8&amp;$V$8&amp;A480&amp;$AG$6</f>
        <v>JARINU-FRG766836MQ.GIROFREEZER (1)</v>
      </c>
      <c r="AH480" s="7" t="str">
        <f>Preencher!$B$3&amp;$U$8&amp;$V$8&amp;A480&amp;$AH$6</f>
        <v>JARINU-FRG766836MQ.GIROFREEZER (2)</v>
      </c>
      <c r="AI480" s="7" t="str">
        <f>Preencher!$B$3&amp;$U$8&amp;$V$8&amp;A480&amp;$AI$6</f>
        <v>JARINU-FRG766836MQ.GIROFREEZER REV04</v>
      </c>
      <c r="AJ480" s="7" t="str">
        <f>Preencher!$B$3&amp;$U$8&amp;$V$8&amp;A480&amp;$AJ$6</f>
        <v>JARINU-FRG766836MQ.GIROFREEZER (3)</v>
      </c>
      <c r="AK480" s="327">
        <f>IFERROR(SUMIF('BD Otimix'!A:A,'BD VOLUME'!AG480,'BD Otimix'!O:O)+SUMIF('BD Otimix'!A:A,'BD VOLUME'!AH480,'BD Otimix'!O:O)+SUMIF('BD Otimix'!A:A,'BD VOLUME'!AI480,'BD Otimix'!O:O)+SUMIF('BD Otimix'!A:A,'BD VOLUME'!AJ480,'BD Otimix'!O:O)+SUMIF('BD Otimix'!A:A,'BD VOLUME'!AF480,'BD Otimix'!O:O),0)</f>
        <v>0</v>
      </c>
      <c r="AL480" s="7">
        <f t="shared" si="145"/>
        <v>0</v>
      </c>
    </row>
    <row r="481" spans="1:38">
      <c r="A481" s="647">
        <v>962198</v>
      </c>
      <c r="B481" s="647"/>
      <c r="C481" s="5" t="s">
        <v>1679</v>
      </c>
      <c r="D481" s="5" t="s">
        <v>868</v>
      </c>
      <c r="E481" s="5" t="s">
        <v>1697</v>
      </c>
      <c r="F481" s="132">
        <f>SUMIF('COLAR PLANO'!$A:$A,A481,'COLAR PLANO'!$D:$D)</f>
        <v>0</v>
      </c>
      <c r="G481" s="131">
        <f t="shared" si="146"/>
        <v>0</v>
      </c>
      <c r="H481" s="6">
        <v>0.14720693523159586</v>
      </c>
      <c r="I481" s="7">
        <f t="shared" si="147"/>
        <v>0</v>
      </c>
      <c r="J481" s="130">
        <f t="shared" si="149"/>
        <v>0</v>
      </c>
      <c r="K481" s="647">
        <v>1</v>
      </c>
      <c r="L481" s="647">
        <v>18</v>
      </c>
      <c r="M481" s="647">
        <v>18</v>
      </c>
      <c r="N481" s="7">
        <f t="shared" si="148"/>
        <v>0</v>
      </c>
      <c r="O481" s="7"/>
      <c r="P481" s="7">
        <f t="shared" si="150"/>
        <v>0</v>
      </c>
      <c r="Q481" s="7"/>
      <c r="R481" s="7"/>
      <c r="S481" s="7"/>
      <c r="T481" s="7"/>
      <c r="U481" s="7" t="s">
        <v>2288</v>
      </c>
      <c r="V481" s="7" t="s">
        <v>2289</v>
      </c>
      <c r="W481" s="7" t="str">
        <f>Preencher!$B$3&amp;U481&amp;V481&amp;A481&amp;$W$6</f>
        <v>JARINU-FRG962198MQ.TUNEL DE CG (CONTINUO)</v>
      </c>
      <c r="X481" s="7" t="str">
        <f>Preencher!$B$3&amp;U481&amp;V481&amp;A481&amp;$X$6</f>
        <v>JARINU-FRG962198MQ.TUNEL DE CG (CONTINUO) (1)</v>
      </c>
      <c r="Y481" s="7" t="str">
        <f>Preencher!$B$3&amp;U481&amp;V481&amp;A481&amp;$Y$6</f>
        <v>JARINU-FRG962198MQ.TUNEL DE CG (CONTINUO) (2)</v>
      </c>
      <c r="Z481" s="7" t="str">
        <f>Preencher!$B$3&amp;U481&amp;V481&amp;A481&amp;$Z$6</f>
        <v>JARINU-FRG962198MQ.TUNEL DE CG (CONTINUO) (3)</v>
      </c>
      <c r="AA481" s="7" t="str">
        <f>Preencher!$B$3&amp;U481&amp;V481&amp;A481&amp;$AA$6</f>
        <v>JARINU-FRG962198MQ.TUNEL DE CG (ESTATICO)</v>
      </c>
      <c r="AB481" s="7" t="str">
        <f>Preencher!$B$3&amp;U481&amp;V481&amp;A481&amp;$AB$6</f>
        <v>JARINU-FRG962198MQ.TUNEL DE CG (ESTATICO) (1)</v>
      </c>
      <c r="AC481" s="7" t="str">
        <f>Preencher!$B$3&amp;U481&amp;V481&amp;A481&amp;$AC$6</f>
        <v>JARINU-FRG962198MQ.TUNEL DE CG (ESTATICO) (2)</v>
      </c>
      <c r="AD481" s="327">
        <f>IFERROR(SUMIF('BD Otimix'!A:A,'BD VOLUME'!X481,'BD Otimix'!O:O)+SUMIF('BD Otimix'!A:A,'BD VOLUME'!Y481,'BD Otimix'!O:O)+SUMIF('BD Otimix'!A:A,'BD VOLUME'!Z481,'BD Otimix'!O:O)+SUMIF('BD Otimix'!A:A,'BD VOLUME'!AA481,'BD Otimix'!O:O)+SUMIF('BD Otimix'!A:A,'BD VOLUME'!AB481,'BD Otimix'!O:O)+SUMIF('BD Otimix'!A:A,'BD VOLUME'!AC481,'BD Otimix'!O:O)+SUMIF('BD Otimix'!A:A,'BD VOLUME'!W481,'BD Otimix'!O:O),0)</f>
        <v>0</v>
      </c>
      <c r="AE481" s="327">
        <f t="shared" si="144"/>
        <v>0</v>
      </c>
      <c r="AF481" s="7" t="str">
        <f>Preencher!$B$3&amp;$U$8&amp;$V$8&amp;A481&amp;$AF$6</f>
        <v>JARINU-FRG962198MQ.GIROFREEZER</v>
      </c>
      <c r="AG481" s="7" t="str">
        <f>Preencher!$B$3&amp;$U$8&amp;$V$8&amp;A481&amp;$AG$6</f>
        <v>JARINU-FRG962198MQ.GIROFREEZER (1)</v>
      </c>
      <c r="AH481" s="7" t="str">
        <f>Preencher!$B$3&amp;$U$8&amp;$V$8&amp;A481&amp;$AH$6</f>
        <v>JARINU-FRG962198MQ.GIROFREEZER (2)</v>
      </c>
      <c r="AI481" s="7" t="str">
        <f>Preencher!$B$3&amp;$U$8&amp;$V$8&amp;A481&amp;$AI$6</f>
        <v>JARINU-FRG962198MQ.GIROFREEZER REV04</v>
      </c>
      <c r="AJ481" s="7" t="str">
        <f>Preencher!$B$3&amp;$U$8&amp;$V$8&amp;A481&amp;$AJ$6</f>
        <v>JARINU-FRG962198MQ.GIROFREEZER (3)</v>
      </c>
      <c r="AK481" s="327">
        <f>IFERROR(SUMIF('BD Otimix'!A:A,'BD VOLUME'!AG481,'BD Otimix'!O:O)+SUMIF('BD Otimix'!A:A,'BD VOLUME'!AH481,'BD Otimix'!O:O)+SUMIF('BD Otimix'!A:A,'BD VOLUME'!AI481,'BD Otimix'!O:O)+SUMIF('BD Otimix'!A:A,'BD VOLUME'!AJ481,'BD Otimix'!O:O)+SUMIF('BD Otimix'!A:A,'BD VOLUME'!AF481,'BD Otimix'!O:O),0)</f>
        <v>0</v>
      </c>
      <c r="AL481" s="7">
        <f t="shared" si="145"/>
        <v>0</v>
      </c>
    </row>
    <row r="482" spans="1:38">
      <c r="A482" s="647">
        <v>40331</v>
      </c>
      <c r="B482" s="647" t="s">
        <v>1022</v>
      </c>
      <c r="C482" s="5" t="s">
        <v>1660</v>
      </c>
      <c r="D482" s="5" t="s">
        <v>868</v>
      </c>
      <c r="E482" s="5" t="s">
        <v>1697</v>
      </c>
      <c r="F482" s="132">
        <f>SUMIF('COLAR PLANO'!$A:$A,A482,'COLAR PLANO'!$D:$D)</f>
        <v>0</v>
      </c>
      <c r="G482" s="131">
        <f t="shared" si="146"/>
        <v>0</v>
      </c>
      <c r="H482" s="6">
        <v>0.14065243077485973</v>
      </c>
      <c r="I482" s="7">
        <f t="shared" si="147"/>
        <v>0</v>
      </c>
      <c r="J482" s="130">
        <f t="shared" si="149"/>
        <v>0</v>
      </c>
      <c r="K482" s="647">
        <v>1</v>
      </c>
      <c r="L482" s="647">
        <v>18</v>
      </c>
      <c r="M482" s="647">
        <v>18</v>
      </c>
      <c r="N482" s="7">
        <f t="shared" si="148"/>
        <v>0</v>
      </c>
      <c r="O482" s="7"/>
      <c r="P482" s="7">
        <f t="shared" si="150"/>
        <v>0</v>
      </c>
      <c r="Q482" s="7"/>
      <c r="R482" s="7"/>
      <c r="S482" s="7"/>
      <c r="T482" s="7"/>
      <c r="U482" s="7" t="s">
        <v>2288</v>
      </c>
      <c r="V482" s="7" t="s">
        <v>2289</v>
      </c>
      <c r="W482" s="7" t="str">
        <f>Preencher!$B$3&amp;U482&amp;V482&amp;A482&amp;$W$6</f>
        <v>JARINU-FRG40331MQ.TUNEL DE CG (CONTINUO)</v>
      </c>
      <c r="X482" s="7" t="str">
        <f>Preencher!$B$3&amp;U482&amp;V482&amp;A482&amp;$X$6</f>
        <v>JARINU-FRG40331MQ.TUNEL DE CG (CONTINUO) (1)</v>
      </c>
      <c r="Y482" s="7" t="str">
        <f>Preencher!$B$3&amp;U482&amp;V482&amp;A482&amp;$Y$6</f>
        <v>JARINU-FRG40331MQ.TUNEL DE CG (CONTINUO) (2)</v>
      </c>
      <c r="Z482" s="7" t="str">
        <f>Preencher!$B$3&amp;U482&amp;V482&amp;A482&amp;$Z$6</f>
        <v>JARINU-FRG40331MQ.TUNEL DE CG (CONTINUO) (3)</v>
      </c>
      <c r="AA482" s="7" t="str">
        <f>Preencher!$B$3&amp;U482&amp;V482&amp;A482&amp;$AA$6</f>
        <v>JARINU-FRG40331MQ.TUNEL DE CG (ESTATICO)</v>
      </c>
      <c r="AB482" s="7" t="str">
        <f>Preencher!$B$3&amp;U482&amp;V482&amp;A482&amp;$AB$6</f>
        <v>JARINU-FRG40331MQ.TUNEL DE CG (ESTATICO) (1)</v>
      </c>
      <c r="AC482" s="7" t="str">
        <f>Preencher!$B$3&amp;U482&amp;V482&amp;A482&amp;$AC$6</f>
        <v>JARINU-FRG40331MQ.TUNEL DE CG (ESTATICO) (2)</v>
      </c>
      <c r="AD482" s="327">
        <f>IFERROR(SUMIF('BD Otimix'!A:A,'BD VOLUME'!X482,'BD Otimix'!O:O)+SUMIF('BD Otimix'!A:A,'BD VOLUME'!Y482,'BD Otimix'!O:O)+SUMIF('BD Otimix'!A:A,'BD VOLUME'!Z482,'BD Otimix'!O:O)+SUMIF('BD Otimix'!A:A,'BD VOLUME'!AA482,'BD Otimix'!O:O)+SUMIF('BD Otimix'!A:A,'BD VOLUME'!AB482,'BD Otimix'!O:O)+SUMIF('BD Otimix'!A:A,'BD VOLUME'!AC482,'BD Otimix'!O:O)+SUMIF('BD Otimix'!A:A,'BD VOLUME'!W482,'BD Otimix'!O:O),0)</f>
        <v>0</v>
      </c>
      <c r="AE482" s="327">
        <f t="shared" si="144"/>
        <v>0</v>
      </c>
      <c r="AF482" s="7" t="str">
        <f>Preencher!$B$3&amp;$U$8&amp;$V$8&amp;A482&amp;$AF$6</f>
        <v>JARINU-FRG40331MQ.GIROFREEZER</v>
      </c>
      <c r="AG482" s="7" t="str">
        <f>Preencher!$B$3&amp;$U$8&amp;$V$8&amp;A482&amp;$AG$6</f>
        <v>JARINU-FRG40331MQ.GIROFREEZER (1)</v>
      </c>
      <c r="AH482" s="7" t="str">
        <f>Preencher!$B$3&amp;$U$8&amp;$V$8&amp;A482&amp;$AH$6</f>
        <v>JARINU-FRG40331MQ.GIROFREEZER (2)</v>
      </c>
      <c r="AI482" s="7" t="str">
        <f>Preencher!$B$3&amp;$U$8&amp;$V$8&amp;A482&amp;$AI$6</f>
        <v>JARINU-FRG40331MQ.GIROFREEZER REV04</v>
      </c>
      <c r="AJ482" s="7" t="str">
        <f>Preencher!$B$3&amp;$U$8&amp;$V$8&amp;A482&amp;$AJ$6</f>
        <v>JARINU-FRG40331MQ.GIROFREEZER (3)</v>
      </c>
      <c r="AK482" s="327">
        <f>IFERROR(SUMIF('BD Otimix'!A:A,'BD VOLUME'!AG482,'BD Otimix'!O:O)+SUMIF('BD Otimix'!A:A,'BD VOLUME'!AH482,'BD Otimix'!O:O)+SUMIF('BD Otimix'!A:A,'BD VOLUME'!AI482,'BD Otimix'!O:O)+SUMIF('BD Otimix'!A:A,'BD VOLUME'!AJ482,'BD Otimix'!O:O)+SUMIF('BD Otimix'!A:A,'BD VOLUME'!AF482,'BD Otimix'!O:O),0)</f>
        <v>0</v>
      </c>
      <c r="AL482" s="7">
        <f t="shared" si="145"/>
        <v>0</v>
      </c>
    </row>
    <row r="483" spans="1:38">
      <c r="A483" s="647">
        <v>964123</v>
      </c>
      <c r="B483" s="647"/>
      <c r="C483" s="5" t="s">
        <v>1685</v>
      </c>
      <c r="D483" s="5" t="s">
        <v>868</v>
      </c>
      <c r="E483" s="5" t="s">
        <v>1697</v>
      </c>
      <c r="F483" s="132">
        <f>SUMIF('COLAR PLANO'!$A:$A,A483,'COLAR PLANO'!$D:$D)</f>
        <v>0</v>
      </c>
      <c r="G483" s="131">
        <f t="shared" si="146"/>
        <v>0</v>
      </c>
      <c r="H483" s="6">
        <v>0.14065243077485973</v>
      </c>
      <c r="I483" s="7">
        <f t="shared" si="147"/>
        <v>0</v>
      </c>
      <c r="J483" s="130">
        <f t="shared" si="149"/>
        <v>0</v>
      </c>
      <c r="K483" s="647">
        <v>1</v>
      </c>
      <c r="L483" s="647">
        <v>18</v>
      </c>
      <c r="M483" s="647">
        <v>18</v>
      </c>
      <c r="N483" s="7">
        <f t="shared" si="148"/>
        <v>0</v>
      </c>
      <c r="O483" s="7"/>
      <c r="P483" s="7">
        <f t="shared" si="150"/>
        <v>0</v>
      </c>
      <c r="Q483" s="7"/>
      <c r="R483" s="7"/>
      <c r="S483" s="7"/>
      <c r="T483" s="7"/>
      <c r="U483" s="7" t="s">
        <v>2288</v>
      </c>
      <c r="V483" s="7" t="s">
        <v>2289</v>
      </c>
      <c r="W483" s="7" t="str">
        <f>Preencher!$B$3&amp;U483&amp;V483&amp;A483&amp;$W$6</f>
        <v>JARINU-FRG964123MQ.TUNEL DE CG (CONTINUO)</v>
      </c>
      <c r="X483" s="7" t="str">
        <f>Preencher!$B$3&amp;U483&amp;V483&amp;A483&amp;$X$6</f>
        <v>JARINU-FRG964123MQ.TUNEL DE CG (CONTINUO) (1)</v>
      </c>
      <c r="Y483" s="7" t="str">
        <f>Preencher!$B$3&amp;U483&amp;V483&amp;A483&amp;$Y$6</f>
        <v>JARINU-FRG964123MQ.TUNEL DE CG (CONTINUO) (2)</v>
      </c>
      <c r="Z483" s="7" t="str">
        <f>Preencher!$B$3&amp;U483&amp;V483&amp;A483&amp;$Z$6</f>
        <v>JARINU-FRG964123MQ.TUNEL DE CG (CONTINUO) (3)</v>
      </c>
      <c r="AA483" s="7" t="str">
        <f>Preencher!$B$3&amp;U483&amp;V483&amp;A483&amp;$AA$6</f>
        <v>JARINU-FRG964123MQ.TUNEL DE CG (ESTATICO)</v>
      </c>
      <c r="AB483" s="7" t="str">
        <f>Preencher!$B$3&amp;U483&amp;V483&amp;A483&amp;$AB$6</f>
        <v>JARINU-FRG964123MQ.TUNEL DE CG (ESTATICO) (1)</v>
      </c>
      <c r="AC483" s="7" t="str">
        <f>Preencher!$B$3&amp;U483&amp;V483&amp;A483&amp;$AC$6</f>
        <v>JARINU-FRG964123MQ.TUNEL DE CG (ESTATICO) (2)</v>
      </c>
      <c r="AD483" s="327">
        <f>IFERROR(SUMIF('BD Otimix'!A:A,'BD VOLUME'!X483,'BD Otimix'!O:O)+SUMIF('BD Otimix'!A:A,'BD VOLUME'!Y483,'BD Otimix'!O:O)+SUMIF('BD Otimix'!A:A,'BD VOLUME'!Z483,'BD Otimix'!O:O)+SUMIF('BD Otimix'!A:A,'BD VOLUME'!AA483,'BD Otimix'!O:O)+SUMIF('BD Otimix'!A:A,'BD VOLUME'!AB483,'BD Otimix'!O:O)+SUMIF('BD Otimix'!A:A,'BD VOLUME'!AC483,'BD Otimix'!O:O)+SUMIF('BD Otimix'!A:A,'BD VOLUME'!W483,'BD Otimix'!O:O),0)</f>
        <v>0</v>
      </c>
      <c r="AE483" s="327">
        <f t="shared" si="144"/>
        <v>0</v>
      </c>
      <c r="AF483" s="7" t="str">
        <f>Preencher!$B$3&amp;$U$8&amp;$V$8&amp;A483&amp;$AF$6</f>
        <v>JARINU-FRG964123MQ.GIROFREEZER</v>
      </c>
      <c r="AG483" s="7" t="str">
        <f>Preencher!$B$3&amp;$U$8&amp;$V$8&amp;A483&amp;$AG$6</f>
        <v>JARINU-FRG964123MQ.GIROFREEZER (1)</v>
      </c>
      <c r="AH483" s="7" t="str">
        <f>Preencher!$B$3&amp;$U$8&amp;$V$8&amp;A483&amp;$AH$6</f>
        <v>JARINU-FRG964123MQ.GIROFREEZER (2)</v>
      </c>
      <c r="AI483" s="7" t="str">
        <f>Preencher!$B$3&amp;$U$8&amp;$V$8&amp;A483&amp;$AI$6</f>
        <v>JARINU-FRG964123MQ.GIROFREEZER REV04</v>
      </c>
      <c r="AJ483" s="7" t="str">
        <f>Preencher!$B$3&amp;$U$8&amp;$V$8&amp;A483&amp;$AJ$6</f>
        <v>JARINU-FRG964123MQ.GIROFREEZER (3)</v>
      </c>
      <c r="AK483" s="327">
        <f>IFERROR(SUMIF('BD Otimix'!A:A,'BD VOLUME'!AG483,'BD Otimix'!O:O)+SUMIF('BD Otimix'!A:A,'BD VOLUME'!AH483,'BD Otimix'!O:O)+SUMIF('BD Otimix'!A:A,'BD VOLUME'!AI483,'BD Otimix'!O:O)+SUMIF('BD Otimix'!A:A,'BD VOLUME'!AJ483,'BD Otimix'!O:O)+SUMIF('BD Otimix'!A:A,'BD VOLUME'!AF483,'BD Otimix'!O:O),0)</f>
        <v>0</v>
      </c>
      <c r="AL483" s="7">
        <f t="shared" si="145"/>
        <v>0</v>
      </c>
    </row>
    <row r="484" spans="1:38">
      <c r="A484" s="647">
        <v>40340</v>
      </c>
      <c r="B484" s="647"/>
      <c r="C484" s="5" t="s">
        <v>1662</v>
      </c>
      <c r="D484" s="5" t="s">
        <v>868</v>
      </c>
      <c r="E484" s="5" t="s">
        <v>1698</v>
      </c>
      <c r="F484" s="132">
        <f>SUMIF('COLAR PLANO'!$A:$A,A484,'COLAR PLANO'!$D:$D)</f>
        <v>0</v>
      </c>
      <c r="G484" s="131">
        <f t="shared" si="146"/>
        <v>0</v>
      </c>
      <c r="H484" s="6">
        <v>0.14065243077485973</v>
      </c>
      <c r="I484" s="7">
        <f t="shared" si="147"/>
        <v>0</v>
      </c>
      <c r="J484" s="130">
        <f t="shared" si="149"/>
        <v>0</v>
      </c>
      <c r="K484" s="647">
        <v>1</v>
      </c>
      <c r="L484" s="647">
        <v>18</v>
      </c>
      <c r="M484" s="647">
        <v>18</v>
      </c>
      <c r="N484" s="7">
        <f t="shared" si="148"/>
        <v>0</v>
      </c>
      <c r="O484" s="7"/>
      <c r="P484" s="7">
        <f t="shared" si="150"/>
        <v>0</v>
      </c>
      <c r="Q484" s="7"/>
      <c r="R484" s="7"/>
      <c r="S484" s="7"/>
      <c r="T484" s="7"/>
      <c r="U484" s="7" t="s">
        <v>2288</v>
      </c>
      <c r="V484" s="7" t="s">
        <v>2289</v>
      </c>
      <c r="W484" s="7" t="str">
        <f>Preencher!$B$3&amp;U484&amp;V484&amp;A484&amp;$W$6</f>
        <v>JARINU-FRG40340MQ.TUNEL DE CG (CONTINUO)</v>
      </c>
      <c r="X484" s="7" t="str">
        <f>Preencher!$B$3&amp;U484&amp;V484&amp;A484&amp;$X$6</f>
        <v>JARINU-FRG40340MQ.TUNEL DE CG (CONTINUO) (1)</v>
      </c>
      <c r="Y484" s="7" t="str">
        <f>Preencher!$B$3&amp;U484&amp;V484&amp;A484&amp;$Y$6</f>
        <v>JARINU-FRG40340MQ.TUNEL DE CG (CONTINUO) (2)</v>
      </c>
      <c r="Z484" s="7" t="str">
        <f>Preencher!$B$3&amp;U484&amp;V484&amp;A484&amp;$Z$6</f>
        <v>JARINU-FRG40340MQ.TUNEL DE CG (CONTINUO) (3)</v>
      </c>
      <c r="AA484" s="7" t="str">
        <f>Preencher!$B$3&amp;U484&amp;V484&amp;A484&amp;$AA$6</f>
        <v>JARINU-FRG40340MQ.TUNEL DE CG (ESTATICO)</v>
      </c>
      <c r="AB484" s="7" t="str">
        <f>Preencher!$B$3&amp;U484&amp;V484&amp;A484&amp;$AB$6</f>
        <v>JARINU-FRG40340MQ.TUNEL DE CG (ESTATICO) (1)</v>
      </c>
      <c r="AC484" s="7" t="str">
        <f>Preencher!$B$3&amp;U484&amp;V484&amp;A484&amp;$AC$6</f>
        <v>JARINU-FRG40340MQ.TUNEL DE CG (ESTATICO) (2)</v>
      </c>
      <c r="AD484" s="327">
        <f>IFERROR(SUMIF('BD Otimix'!A:A,'BD VOLUME'!X484,'BD Otimix'!O:O)+SUMIF('BD Otimix'!A:A,'BD VOLUME'!Y484,'BD Otimix'!O:O)+SUMIF('BD Otimix'!A:A,'BD VOLUME'!Z484,'BD Otimix'!O:O)+SUMIF('BD Otimix'!A:A,'BD VOLUME'!AA484,'BD Otimix'!O:O)+SUMIF('BD Otimix'!A:A,'BD VOLUME'!AB484,'BD Otimix'!O:O)+SUMIF('BD Otimix'!A:A,'BD VOLUME'!AC484,'BD Otimix'!O:O)+SUMIF('BD Otimix'!A:A,'BD VOLUME'!W484,'BD Otimix'!O:O),0)</f>
        <v>0</v>
      </c>
      <c r="AE484" s="327">
        <f t="shared" si="144"/>
        <v>0</v>
      </c>
      <c r="AF484" s="7" t="str">
        <f>Preencher!$B$3&amp;$U$8&amp;$V$8&amp;A484&amp;$AF$6</f>
        <v>JARINU-FRG40340MQ.GIROFREEZER</v>
      </c>
      <c r="AG484" s="7" t="str">
        <f>Preencher!$B$3&amp;$U$8&amp;$V$8&amp;A484&amp;$AG$6</f>
        <v>JARINU-FRG40340MQ.GIROFREEZER (1)</v>
      </c>
      <c r="AH484" s="7" t="str">
        <f>Preencher!$B$3&amp;$U$8&amp;$V$8&amp;A484&amp;$AH$6</f>
        <v>JARINU-FRG40340MQ.GIROFREEZER (2)</v>
      </c>
      <c r="AI484" s="7" t="str">
        <f>Preencher!$B$3&amp;$U$8&amp;$V$8&amp;A484&amp;$AI$6</f>
        <v>JARINU-FRG40340MQ.GIROFREEZER REV04</v>
      </c>
      <c r="AJ484" s="7" t="str">
        <f>Preencher!$B$3&amp;$U$8&amp;$V$8&amp;A484&amp;$AJ$6</f>
        <v>JARINU-FRG40340MQ.GIROFREEZER (3)</v>
      </c>
      <c r="AK484" s="327">
        <f>IFERROR(SUMIF('BD Otimix'!A:A,'BD VOLUME'!AG484,'BD Otimix'!O:O)+SUMIF('BD Otimix'!A:A,'BD VOLUME'!AH484,'BD Otimix'!O:O)+SUMIF('BD Otimix'!A:A,'BD VOLUME'!AI484,'BD Otimix'!O:O)+SUMIF('BD Otimix'!A:A,'BD VOLUME'!AJ484,'BD Otimix'!O:O)+SUMIF('BD Otimix'!A:A,'BD VOLUME'!AF484,'BD Otimix'!O:O),0)</f>
        <v>0</v>
      </c>
      <c r="AL484" s="7">
        <f t="shared" si="145"/>
        <v>0</v>
      </c>
    </row>
    <row r="485" spans="1:38">
      <c r="A485" s="647">
        <v>964140</v>
      </c>
      <c r="B485" s="647"/>
      <c r="C485" s="5" t="s">
        <v>1686</v>
      </c>
      <c r="D485" s="5" t="s">
        <v>868</v>
      </c>
      <c r="E485" s="5" t="s">
        <v>1698</v>
      </c>
      <c r="F485" s="132">
        <f>SUMIF('COLAR PLANO'!$A:$A,A485,'COLAR PLANO'!$D:$D)</f>
        <v>0</v>
      </c>
      <c r="G485" s="131">
        <f t="shared" si="146"/>
        <v>0</v>
      </c>
      <c r="H485" s="6">
        <v>0.14065243077485973</v>
      </c>
      <c r="I485" s="7">
        <f t="shared" si="147"/>
        <v>0</v>
      </c>
      <c r="J485" s="130">
        <f t="shared" si="149"/>
        <v>0</v>
      </c>
      <c r="K485" s="647">
        <v>1</v>
      </c>
      <c r="L485" s="647">
        <v>18</v>
      </c>
      <c r="M485" s="647">
        <v>18</v>
      </c>
      <c r="N485" s="7">
        <f t="shared" si="148"/>
        <v>0</v>
      </c>
      <c r="O485" s="7"/>
      <c r="P485" s="7">
        <f t="shared" si="150"/>
        <v>0</v>
      </c>
      <c r="Q485" s="7"/>
      <c r="R485" s="7"/>
      <c r="S485" s="7"/>
      <c r="T485" s="7"/>
      <c r="U485" s="7" t="s">
        <v>2288</v>
      </c>
      <c r="V485" s="7" t="s">
        <v>2289</v>
      </c>
      <c r="W485" s="7" t="str">
        <f>Preencher!$B$3&amp;U485&amp;V485&amp;A485&amp;$W$6</f>
        <v>JARINU-FRG964140MQ.TUNEL DE CG (CONTINUO)</v>
      </c>
      <c r="X485" s="7" t="str">
        <f>Preencher!$B$3&amp;U485&amp;V485&amp;A485&amp;$X$6</f>
        <v>JARINU-FRG964140MQ.TUNEL DE CG (CONTINUO) (1)</v>
      </c>
      <c r="Y485" s="7" t="str">
        <f>Preencher!$B$3&amp;U485&amp;V485&amp;A485&amp;$Y$6</f>
        <v>JARINU-FRG964140MQ.TUNEL DE CG (CONTINUO) (2)</v>
      </c>
      <c r="Z485" s="7" t="str">
        <f>Preencher!$B$3&amp;U485&amp;V485&amp;A485&amp;$Z$6</f>
        <v>JARINU-FRG964140MQ.TUNEL DE CG (CONTINUO) (3)</v>
      </c>
      <c r="AA485" s="7" t="str">
        <f>Preencher!$B$3&amp;U485&amp;V485&amp;A485&amp;$AA$6</f>
        <v>JARINU-FRG964140MQ.TUNEL DE CG (ESTATICO)</v>
      </c>
      <c r="AB485" s="7" t="str">
        <f>Preencher!$B$3&amp;U485&amp;V485&amp;A485&amp;$AB$6</f>
        <v>JARINU-FRG964140MQ.TUNEL DE CG (ESTATICO) (1)</v>
      </c>
      <c r="AC485" s="7" t="str">
        <f>Preencher!$B$3&amp;U485&amp;V485&amp;A485&amp;$AC$6</f>
        <v>JARINU-FRG964140MQ.TUNEL DE CG (ESTATICO) (2)</v>
      </c>
      <c r="AD485" s="327">
        <f>IFERROR(SUMIF('BD Otimix'!A:A,'BD VOLUME'!X485,'BD Otimix'!O:O)+SUMIF('BD Otimix'!A:A,'BD VOLUME'!Y485,'BD Otimix'!O:O)+SUMIF('BD Otimix'!A:A,'BD VOLUME'!Z485,'BD Otimix'!O:O)+SUMIF('BD Otimix'!A:A,'BD VOLUME'!AA485,'BD Otimix'!O:O)+SUMIF('BD Otimix'!A:A,'BD VOLUME'!AB485,'BD Otimix'!O:O)+SUMIF('BD Otimix'!A:A,'BD VOLUME'!AC485,'BD Otimix'!O:O)+SUMIF('BD Otimix'!A:A,'BD VOLUME'!W485,'BD Otimix'!O:O),0)</f>
        <v>0</v>
      </c>
      <c r="AE485" s="327">
        <f t="shared" si="144"/>
        <v>0</v>
      </c>
      <c r="AF485" s="7" t="str">
        <f>Preencher!$B$3&amp;$U$8&amp;$V$8&amp;A485&amp;$AF$6</f>
        <v>JARINU-FRG964140MQ.GIROFREEZER</v>
      </c>
      <c r="AG485" s="7" t="str">
        <f>Preencher!$B$3&amp;$U$8&amp;$V$8&amp;A485&amp;$AG$6</f>
        <v>JARINU-FRG964140MQ.GIROFREEZER (1)</v>
      </c>
      <c r="AH485" s="7" t="str">
        <f>Preencher!$B$3&amp;$U$8&amp;$V$8&amp;A485&amp;$AH$6</f>
        <v>JARINU-FRG964140MQ.GIROFREEZER (2)</v>
      </c>
      <c r="AI485" s="7" t="str">
        <f>Preencher!$B$3&amp;$U$8&amp;$V$8&amp;A485&amp;$AI$6</f>
        <v>JARINU-FRG964140MQ.GIROFREEZER REV04</v>
      </c>
      <c r="AJ485" s="7" t="str">
        <f>Preencher!$B$3&amp;$U$8&amp;$V$8&amp;A485&amp;$AJ$6</f>
        <v>JARINU-FRG964140MQ.GIROFREEZER (3)</v>
      </c>
      <c r="AK485" s="327">
        <f>IFERROR(SUMIF('BD Otimix'!A:A,'BD VOLUME'!AG485,'BD Otimix'!O:O)+SUMIF('BD Otimix'!A:A,'BD VOLUME'!AH485,'BD Otimix'!O:O)+SUMIF('BD Otimix'!A:A,'BD VOLUME'!AI485,'BD Otimix'!O:O)+SUMIF('BD Otimix'!A:A,'BD VOLUME'!AJ485,'BD Otimix'!O:O)+SUMIF('BD Otimix'!A:A,'BD VOLUME'!AF485,'BD Otimix'!O:O),0)</f>
        <v>0</v>
      </c>
      <c r="AL485" s="7">
        <f t="shared" si="145"/>
        <v>0</v>
      </c>
    </row>
    <row r="486" spans="1:38">
      <c r="A486" s="647">
        <v>964336</v>
      </c>
      <c r="B486" s="647"/>
      <c r="C486" s="5" t="s">
        <v>1662</v>
      </c>
      <c r="D486" s="5" t="s">
        <v>868</v>
      </c>
      <c r="E486" s="5" t="s">
        <v>1698</v>
      </c>
      <c r="F486" s="132">
        <f>SUMIF('COLAR PLANO'!$A:$A,A486,'COLAR PLANO'!$D:$D)</f>
        <v>0</v>
      </c>
      <c r="G486" s="131">
        <f t="shared" si="146"/>
        <v>0</v>
      </c>
      <c r="H486" s="6">
        <v>0.14065243077485973</v>
      </c>
      <c r="I486" s="7">
        <f t="shared" si="147"/>
        <v>0</v>
      </c>
      <c r="J486" s="130">
        <f t="shared" si="149"/>
        <v>0</v>
      </c>
      <c r="K486" s="647">
        <v>1</v>
      </c>
      <c r="L486" s="647">
        <v>18</v>
      </c>
      <c r="M486" s="647">
        <v>18</v>
      </c>
      <c r="N486" s="7">
        <f t="shared" si="148"/>
        <v>0</v>
      </c>
      <c r="O486" s="7"/>
      <c r="P486" s="7">
        <f t="shared" si="150"/>
        <v>0</v>
      </c>
      <c r="Q486" s="7"/>
      <c r="R486" s="7"/>
      <c r="S486" s="7"/>
      <c r="T486" s="7"/>
      <c r="U486" s="7" t="s">
        <v>2288</v>
      </c>
      <c r="V486" s="7" t="s">
        <v>2289</v>
      </c>
      <c r="W486" s="7" t="str">
        <f>Preencher!$B$3&amp;U486&amp;V486&amp;A486&amp;$W$6</f>
        <v>JARINU-FRG964336MQ.TUNEL DE CG (CONTINUO)</v>
      </c>
      <c r="X486" s="7" t="str">
        <f>Preencher!$B$3&amp;U486&amp;V486&amp;A486&amp;$X$6</f>
        <v>JARINU-FRG964336MQ.TUNEL DE CG (CONTINUO) (1)</v>
      </c>
      <c r="Y486" s="7" t="str">
        <f>Preencher!$B$3&amp;U486&amp;V486&amp;A486&amp;$Y$6</f>
        <v>JARINU-FRG964336MQ.TUNEL DE CG (CONTINUO) (2)</v>
      </c>
      <c r="Z486" s="7" t="str">
        <f>Preencher!$B$3&amp;U486&amp;V486&amp;A486&amp;$Z$6</f>
        <v>JARINU-FRG964336MQ.TUNEL DE CG (CONTINUO) (3)</v>
      </c>
      <c r="AA486" s="7" t="str">
        <f>Preencher!$B$3&amp;U486&amp;V486&amp;A486&amp;$AA$6</f>
        <v>JARINU-FRG964336MQ.TUNEL DE CG (ESTATICO)</v>
      </c>
      <c r="AB486" s="7" t="str">
        <f>Preencher!$B$3&amp;U486&amp;V486&amp;A486&amp;$AB$6</f>
        <v>JARINU-FRG964336MQ.TUNEL DE CG (ESTATICO) (1)</v>
      </c>
      <c r="AC486" s="7" t="str">
        <f>Preencher!$B$3&amp;U486&amp;V486&amp;A486&amp;$AC$6</f>
        <v>JARINU-FRG964336MQ.TUNEL DE CG (ESTATICO) (2)</v>
      </c>
      <c r="AD486" s="327">
        <f>IFERROR(SUMIF('BD Otimix'!A:A,'BD VOLUME'!X486,'BD Otimix'!O:O)+SUMIF('BD Otimix'!A:A,'BD VOLUME'!Y486,'BD Otimix'!O:O)+SUMIF('BD Otimix'!A:A,'BD VOLUME'!Z486,'BD Otimix'!O:O)+SUMIF('BD Otimix'!A:A,'BD VOLUME'!AA486,'BD Otimix'!O:O)+SUMIF('BD Otimix'!A:A,'BD VOLUME'!AB486,'BD Otimix'!O:O)+SUMIF('BD Otimix'!A:A,'BD VOLUME'!AC486,'BD Otimix'!O:O)+SUMIF('BD Otimix'!A:A,'BD VOLUME'!W486,'BD Otimix'!O:O),0)</f>
        <v>0</v>
      </c>
      <c r="AE486" s="327">
        <f t="shared" si="144"/>
        <v>0</v>
      </c>
      <c r="AF486" s="7" t="str">
        <f>Preencher!$B$3&amp;$U$8&amp;$V$8&amp;A486&amp;$AF$6</f>
        <v>JARINU-FRG964336MQ.GIROFREEZER</v>
      </c>
      <c r="AG486" s="7" t="str">
        <f>Preencher!$B$3&amp;$U$8&amp;$V$8&amp;A486&amp;$AG$6</f>
        <v>JARINU-FRG964336MQ.GIROFREEZER (1)</v>
      </c>
      <c r="AH486" s="7" t="str">
        <f>Preencher!$B$3&amp;$U$8&amp;$V$8&amp;A486&amp;$AH$6</f>
        <v>JARINU-FRG964336MQ.GIROFREEZER (2)</v>
      </c>
      <c r="AI486" s="7" t="str">
        <f>Preencher!$B$3&amp;$U$8&amp;$V$8&amp;A486&amp;$AI$6</f>
        <v>JARINU-FRG964336MQ.GIROFREEZER REV04</v>
      </c>
      <c r="AJ486" s="7" t="str">
        <f>Preencher!$B$3&amp;$U$8&amp;$V$8&amp;A486&amp;$AJ$6</f>
        <v>JARINU-FRG964336MQ.GIROFREEZER (3)</v>
      </c>
      <c r="AK486" s="327">
        <f>IFERROR(SUMIF('BD Otimix'!A:A,'BD VOLUME'!AG486,'BD Otimix'!O:O)+SUMIF('BD Otimix'!A:A,'BD VOLUME'!AH486,'BD Otimix'!O:O)+SUMIF('BD Otimix'!A:A,'BD VOLUME'!AI486,'BD Otimix'!O:O)+SUMIF('BD Otimix'!A:A,'BD VOLUME'!AJ486,'BD Otimix'!O:O)+SUMIF('BD Otimix'!A:A,'BD VOLUME'!AF486,'BD Otimix'!O:O),0)</f>
        <v>0</v>
      </c>
      <c r="AL486" s="7">
        <f t="shared" si="145"/>
        <v>0</v>
      </c>
    </row>
    <row r="487" spans="1:38">
      <c r="A487" s="663">
        <v>40762</v>
      </c>
      <c r="B487" s="663" t="s">
        <v>2432</v>
      </c>
      <c r="C487" s="5" t="s">
        <v>2433</v>
      </c>
      <c r="D487" s="5" t="s">
        <v>868</v>
      </c>
      <c r="E487" s="5" t="s">
        <v>1733</v>
      </c>
      <c r="F487" s="132">
        <f>SUMIF('COLAR PLANO'!$A:$A,A487,'COLAR PLANO'!$D:$D)</f>
        <v>0</v>
      </c>
      <c r="G487" s="131">
        <f t="shared" si="146"/>
        <v>0</v>
      </c>
      <c r="H487" s="6">
        <v>0.24541238744251673</v>
      </c>
      <c r="I487" s="7">
        <f t="shared" si="147"/>
        <v>0</v>
      </c>
      <c r="J487" s="130">
        <f t="shared" si="149"/>
        <v>0</v>
      </c>
      <c r="K487" s="663">
        <v>10</v>
      </c>
      <c r="L487" s="663">
        <v>1</v>
      </c>
      <c r="M487" s="663">
        <v>10</v>
      </c>
      <c r="N487" s="7">
        <f t="shared" si="148"/>
        <v>0</v>
      </c>
      <c r="O487" s="7"/>
      <c r="P487" s="7">
        <f t="shared" si="150"/>
        <v>0</v>
      </c>
      <c r="Q487" s="7"/>
      <c r="R487" s="7"/>
      <c r="S487" s="7"/>
      <c r="T487" s="7"/>
      <c r="U487" s="7" t="s">
        <v>2288</v>
      </c>
      <c r="V487" s="7" t="s">
        <v>2289</v>
      </c>
      <c r="W487" s="7" t="str">
        <f>Preencher!$B$3&amp;U487&amp;V487&amp;A487&amp;$W$6</f>
        <v>JARINU-FRG40762MQ.TUNEL DE CG (CONTINUO)</v>
      </c>
      <c r="X487" s="7" t="str">
        <f>Preencher!$B$3&amp;U487&amp;V487&amp;A487&amp;$X$6</f>
        <v>JARINU-FRG40762MQ.TUNEL DE CG (CONTINUO) (1)</v>
      </c>
      <c r="Y487" s="7" t="str">
        <f>Preencher!$B$3&amp;U487&amp;V487&amp;A487&amp;$Y$6</f>
        <v>JARINU-FRG40762MQ.TUNEL DE CG (CONTINUO) (2)</v>
      </c>
      <c r="Z487" s="7" t="str">
        <f>Preencher!$B$3&amp;U487&amp;V487&amp;A487&amp;$Z$6</f>
        <v>JARINU-FRG40762MQ.TUNEL DE CG (CONTINUO) (3)</v>
      </c>
      <c r="AA487" s="7" t="str">
        <f>Preencher!$B$3&amp;U487&amp;V487&amp;A487&amp;$AA$6</f>
        <v>JARINU-FRG40762MQ.TUNEL DE CG (ESTATICO)</v>
      </c>
      <c r="AB487" s="7" t="str">
        <f>Preencher!$B$3&amp;U487&amp;V487&amp;A487&amp;$AB$6</f>
        <v>JARINU-FRG40762MQ.TUNEL DE CG (ESTATICO) (1)</v>
      </c>
      <c r="AC487" s="7" t="str">
        <f>Preencher!$B$3&amp;U487&amp;V487&amp;A487&amp;$AC$6</f>
        <v>JARINU-FRG40762MQ.TUNEL DE CG (ESTATICO) (2)</v>
      </c>
      <c r="AD487" s="327">
        <f>IFERROR(SUMIF('BD Otimix'!A:A,'BD VOLUME'!X487,'BD Otimix'!O:O)+SUMIF('BD Otimix'!A:A,'BD VOLUME'!Y487,'BD Otimix'!O:O)+SUMIF('BD Otimix'!A:A,'BD VOLUME'!Z487,'BD Otimix'!O:O)+SUMIF('BD Otimix'!A:A,'BD VOLUME'!AA487,'BD Otimix'!O:O)+SUMIF('BD Otimix'!A:A,'BD VOLUME'!AB487,'BD Otimix'!O:O)+SUMIF('BD Otimix'!A:A,'BD VOLUME'!AC487,'BD Otimix'!O:O)+SUMIF('BD Otimix'!A:A,'BD VOLUME'!W487,'BD Otimix'!O:O),0)</f>
        <v>0</v>
      </c>
      <c r="AE487" s="327">
        <f t="shared" si="144"/>
        <v>0</v>
      </c>
      <c r="AF487" s="7" t="str">
        <f>Preencher!$B$3&amp;$U$8&amp;$V$8&amp;A487&amp;$AF$6</f>
        <v>JARINU-FRG40762MQ.GIROFREEZER</v>
      </c>
      <c r="AG487" s="7" t="str">
        <f>Preencher!$B$3&amp;$U$8&amp;$V$8&amp;A487&amp;$AG$6</f>
        <v>JARINU-FRG40762MQ.GIROFREEZER (1)</v>
      </c>
      <c r="AH487" s="7" t="str">
        <f>Preencher!$B$3&amp;$U$8&amp;$V$8&amp;A487&amp;$AH$6</f>
        <v>JARINU-FRG40762MQ.GIROFREEZER (2)</v>
      </c>
      <c r="AI487" s="7" t="str">
        <f>Preencher!$B$3&amp;$U$8&amp;$V$8&amp;A487&amp;$AI$6</f>
        <v>JARINU-FRG40762MQ.GIROFREEZER REV04</v>
      </c>
      <c r="AJ487" s="7" t="str">
        <f>Preencher!$B$3&amp;$U$8&amp;$V$8&amp;A487&amp;$AJ$6</f>
        <v>JARINU-FRG40762MQ.GIROFREEZER (3)</v>
      </c>
      <c r="AK487" s="327">
        <f>IFERROR(SUMIF('BD Otimix'!A:A,'BD VOLUME'!AG487,'BD Otimix'!O:O)+SUMIF('BD Otimix'!A:A,'BD VOLUME'!AH487,'BD Otimix'!O:O)+SUMIF('BD Otimix'!A:A,'BD VOLUME'!AI487,'BD Otimix'!O:O)+SUMIF('BD Otimix'!A:A,'BD VOLUME'!AJ487,'BD Otimix'!O:O)+SUMIF('BD Otimix'!A:A,'BD VOLUME'!AF487,'BD Otimix'!O:O),0)</f>
        <v>0</v>
      </c>
      <c r="AL487" s="7">
        <f t="shared" si="145"/>
        <v>0</v>
      </c>
    </row>
    <row r="488" spans="1:38">
      <c r="A488" s="663">
        <v>11290</v>
      </c>
      <c r="B488" s="663" t="s">
        <v>2607</v>
      </c>
      <c r="C488" s="5" t="s">
        <v>2608</v>
      </c>
      <c r="D488" s="5" t="s">
        <v>868</v>
      </c>
      <c r="E488" s="5" t="s">
        <v>1733</v>
      </c>
      <c r="F488" s="132">
        <f>SUMIF('COLAR PLANO'!$A:$A,A488,'COLAR PLANO'!$D:$D)</f>
        <v>0</v>
      </c>
      <c r="G488" s="131">
        <f t="shared" ref="G488:G494" si="151">IFERROR(F488/($E$3*$C$3),0)</f>
        <v>0</v>
      </c>
      <c r="H488" s="6">
        <v>0.24541238744251673</v>
      </c>
      <c r="I488" s="7">
        <f t="shared" ref="I488:I494" si="152">IFERROR(G488/$D$3/H488,0)</f>
        <v>0</v>
      </c>
      <c r="J488" s="130">
        <f t="shared" ref="J488:J494" si="153">IFERROR(I488/$B$472,0)</f>
        <v>0</v>
      </c>
      <c r="K488" s="708">
        <v>10</v>
      </c>
      <c r="L488" s="708">
        <v>1</v>
      </c>
      <c r="M488" s="708">
        <v>10</v>
      </c>
      <c r="N488" s="7">
        <f t="shared" ref="N488:N494" si="154">IFERROR(G488/K488,"-")</f>
        <v>0</v>
      </c>
      <c r="O488" s="7"/>
      <c r="P488" s="7">
        <f>IFERROR(G488/M488,0)</f>
        <v>0</v>
      </c>
      <c r="Q488" s="7"/>
      <c r="R488" s="7"/>
      <c r="S488" s="7"/>
      <c r="T488" s="7"/>
      <c r="U488" s="7" t="s">
        <v>2288</v>
      </c>
      <c r="V488" s="7" t="s">
        <v>2289</v>
      </c>
      <c r="W488" s="7" t="str">
        <f>Preencher!$B$3&amp;U488&amp;V488&amp;A488&amp;$W$6</f>
        <v>JARINU-FRG11290MQ.TUNEL DE CG (CONTINUO)</v>
      </c>
      <c r="X488" s="7" t="str">
        <f>Preencher!$B$3&amp;U488&amp;V488&amp;A488&amp;$X$6</f>
        <v>JARINU-FRG11290MQ.TUNEL DE CG (CONTINUO) (1)</v>
      </c>
      <c r="Y488" s="7" t="str">
        <f>Preencher!$B$3&amp;U488&amp;V488&amp;A488&amp;$Y$6</f>
        <v>JARINU-FRG11290MQ.TUNEL DE CG (CONTINUO) (2)</v>
      </c>
      <c r="Z488" s="7" t="str">
        <f>Preencher!$B$3&amp;U488&amp;V488&amp;A488&amp;$Z$6</f>
        <v>JARINU-FRG11290MQ.TUNEL DE CG (CONTINUO) (3)</v>
      </c>
      <c r="AA488" s="7" t="str">
        <f>Preencher!$B$3&amp;U488&amp;V488&amp;A488&amp;$AA$6</f>
        <v>JARINU-FRG11290MQ.TUNEL DE CG (ESTATICO)</v>
      </c>
      <c r="AB488" s="7" t="str">
        <f>Preencher!$B$3&amp;U488&amp;V488&amp;A488&amp;$AB$6</f>
        <v>JARINU-FRG11290MQ.TUNEL DE CG (ESTATICO) (1)</v>
      </c>
      <c r="AC488" s="7" t="str">
        <f>Preencher!$B$3&amp;U488&amp;V488&amp;A488&amp;$AC$6</f>
        <v>JARINU-FRG11290MQ.TUNEL DE CG (ESTATICO) (2)</v>
      </c>
      <c r="AD488" s="327">
        <f>IFERROR(SUMIF('BD Otimix'!A:A,'BD VOLUME'!X488,'BD Otimix'!O:O)+SUMIF('BD Otimix'!A:A,'BD VOLUME'!Y488,'BD Otimix'!O:O)+SUMIF('BD Otimix'!A:A,'BD VOLUME'!Z488,'BD Otimix'!O:O)+SUMIF('BD Otimix'!A:A,'BD VOLUME'!AA488,'BD Otimix'!O:O)+SUMIF('BD Otimix'!A:A,'BD VOLUME'!AB488,'BD Otimix'!O:O)+SUMIF('BD Otimix'!A:A,'BD VOLUME'!AC488,'BD Otimix'!O:O)+SUMIF('BD Otimix'!A:A,'BD VOLUME'!W488,'BD Otimix'!O:O),0)</f>
        <v>0</v>
      </c>
      <c r="AE488" s="327">
        <f t="shared" ref="AE488:AE494" si="155">IFERROR(F488/$E$3/1000/AD488,0)</f>
        <v>0</v>
      </c>
      <c r="AF488" s="7" t="str">
        <f>Preencher!$B$3&amp;$U$8&amp;$V$8&amp;A488&amp;$AF$6</f>
        <v>JARINU-FRG11290MQ.GIROFREEZER</v>
      </c>
      <c r="AG488" s="7" t="str">
        <f>Preencher!$B$3&amp;$U$8&amp;$V$8&amp;A488&amp;$AG$6</f>
        <v>JARINU-FRG11290MQ.GIROFREEZER (1)</v>
      </c>
      <c r="AH488" s="7" t="str">
        <f>Preencher!$B$3&amp;$U$8&amp;$V$8&amp;A488&amp;$AH$6</f>
        <v>JARINU-FRG11290MQ.GIROFREEZER (2)</v>
      </c>
      <c r="AI488" s="7" t="str">
        <f>Preencher!$B$3&amp;$U$8&amp;$V$8&amp;A488&amp;$AI$6</f>
        <v>JARINU-FRG11290MQ.GIROFREEZER REV04</v>
      </c>
      <c r="AJ488" s="7" t="str">
        <f>Preencher!$B$3&amp;$U$8&amp;$V$8&amp;A488&amp;$AJ$6</f>
        <v>JARINU-FRG11290MQ.GIROFREEZER (3)</v>
      </c>
      <c r="AK488" s="327">
        <f>IFERROR(SUMIF('BD Otimix'!A:A,'BD VOLUME'!AG488,'BD Otimix'!O:O)+SUMIF('BD Otimix'!A:A,'BD VOLUME'!AH488,'BD Otimix'!O:O)+SUMIF('BD Otimix'!A:A,'BD VOLUME'!AI488,'BD Otimix'!O:O)+SUMIF('BD Otimix'!A:A,'BD VOLUME'!AJ488,'BD Otimix'!O:O)+SUMIF('BD Otimix'!A:A,'BD VOLUME'!AF488,'BD Otimix'!O:O),0)</f>
        <v>0</v>
      </c>
      <c r="AL488" s="7">
        <f t="shared" ref="AL488:AL494" si="156">IFERROR(F488/$E$3/1000/AK488,0)</f>
        <v>0</v>
      </c>
    </row>
    <row r="489" spans="1:38">
      <c r="A489" s="663">
        <v>12564</v>
      </c>
      <c r="B489" s="663"/>
      <c r="C489" s="5" t="s">
        <v>2609</v>
      </c>
      <c r="D489" s="5" t="s">
        <v>868</v>
      </c>
      <c r="E489" s="5" t="s">
        <v>1084</v>
      </c>
      <c r="F489" s="132">
        <f>SUMIF('COLAR PLANO'!$A:$A,A489,'COLAR PLANO'!$D:$D)</f>
        <v>0</v>
      </c>
      <c r="G489" s="131">
        <f t="shared" si="151"/>
        <v>0</v>
      </c>
      <c r="H489" s="6">
        <v>0.19983298371504893</v>
      </c>
      <c r="I489" s="7">
        <f t="shared" si="152"/>
        <v>0</v>
      </c>
      <c r="J489" s="130">
        <f t="shared" si="153"/>
        <v>0</v>
      </c>
      <c r="K489" s="714">
        <v>18</v>
      </c>
      <c r="L489" s="714">
        <v>1</v>
      </c>
      <c r="M489" s="714">
        <v>18</v>
      </c>
      <c r="N489" s="7">
        <f t="shared" si="154"/>
        <v>0</v>
      </c>
      <c r="O489" s="7"/>
      <c r="P489" s="7">
        <f>IFERROR(G489/M489,0)</f>
        <v>0</v>
      </c>
      <c r="Q489" s="7"/>
      <c r="R489" s="7"/>
      <c r="S489" s="7"/>
      <c r="T489" s="7"/>
      <c r="U489" s="7" t="s">
        <v>2288</v>
      </c>
      <c r="V489" s="7" t="s">
        <v>2289</v>
      </c>
      <c r="W489" s="7" t="str">
        <f>Preencher!$B$3&amp;U489&amp;V489&amp;A489&amp;$W$6</f>
        <v>JARINU-FRG12564MQ.TUNEL DE CG (CONTINUO)</v>
      </c>
      <c r="X489" s="7" t="str">
        <f>Preencher!$B$3&amp;U489&amp;V489&amp;A489&amp;$X$6</f>
        <v>JARINU-FRG12564MQ.TUNEL DE CG (CONTINUO) (1)</v>
      </c>
      <c r="Y489" s="7" t="str">
        <f>Preencher!$B$3&amp;U489&amp;V489&amp;A489&amp;$Y$6</f>
        <v>JARINU-FRG12564MQ.TUNEL DE CG (CONTINUO) (2)</v>
      </c>
      <c r="Z489" s="7" t="str">
        <f>Preencher!$B$3&amp;U489&amp;V489&amp;A489&amp;$Z$6</f>
        <v>JARINU-FRG12564MQ.TUNEL DE CG (CONTINUO) (3)</v>
      </c>
      <c r="AA489" s="7" t="str">
        <f>Preencher!$B$3&amp;U489&amp;V489&amp;A489&amp;$AA$6</f>
        <v>JARINU-FRG12564MQ.TUNEL DE CG (ESTATICO)</v>
      </c>
      <c r="AB489" s="7" t="str">
        <f>Preencher!$B$3&amp;U489&amp;V489&amp;A489&amp;$AB$6</f>
        <v>JARINU-FRG12564MQ.TUNEL DE CG (ESTATICO) (1)</v>
      </c>
      <c r="AC489" s="7" t="str">
        <f>Preencher!$B$3&amp;U489&amp;V489&amp;A489&amp;$AC$6</f>
        <v>JARINU-FRG12564MQ.TUNEL DE CG (ESTATICO) (2)</v>
      </c>
      <c r="AD489" s="327">
        <f>IFERROR(SUMIF('BD Otimix'!A:A,'BD VOLUME'!X489,'BD Otimix'!O:O)+SUMIF('BD Otimix'!A:A,'BD VOLUME'!Y489,'BD Otimix'!O:O)+SUMIF('BD Otimix'!A:A,'BD VOLUME'!Z489,'BD Otimix'!O:O)+SUMIF('BD Otimix'!A:A,'BD VOLUME'!AA489,'BD Otimix'!O:O)+SUMIF('BD Otimix'!A:A,'BD VOLUME'!AB489,'BD Otimix'!O:O)+SUMIF('BD Otimix'!A:A,'BD VOLUME'!AC489,'BD Otimix'!O:O)+SUMIF('BD Otimix'!A:A,'BD VOLUME'!W489,'BD Otimix'!O:O),0)</f>
        <v>0</v>
      </c>
      <c r="AE489" s="327">
        <f t="shared" si="155"/>
        <v>0</v>
      </c>
      <c r="AF489" s="7" t="str">
        <f>Preencher!$B$3&amp;$U$8&amp;$V$8&amp;A489&amp;$AF$6</f>
        <v>JARINU-FRG12564MQ.GIROFREEZER</v>
      </c>
      <c r="AG489" s="7" t="str">
        <f>Preencher!$B$3&amp;$U$8&amp;$V$8&amp;A489&amp;$AG$6</f>
        <v>JARINU-FRG12564MQ.GIROFREEZER (1)</v>
      </c>
      <c r="AH489" s="7" t="str">
        <f>Preencher!$B$3&amp;$U$8&amp;$V$8&amp;A489&amp;$AH$6</f>
        <v>JARINU-FRG12564MQ.GIROFREEZER (2)</v>
      </c>
      <c r="AI489" s="7" t="str">
        <f>Preencher!$B$3&amp;$U$8&amp;$V$8&amp;A489&amp;$AI$6</f>
        <v>JARINU-FRG12564MQ.GIROFREEZER REV04</v>
      </c>
      <c r="AJ489" s="7" t="str">
        <f>Preencher!$B$3&amp;$U$8&amp;$V$8&amp;A489&amp;$AJ$6</f>
        <v>JARINU-FRG12564MQ.GIROFREEZER (3)</v>
      </c>
      <c r="AK489" s="327">
        <f>IFERROR(SUMIF('BD Otimix'!A:A,'BD VOLUME'!AG489,'BD Otimix'!O:O)+SUMIF('BD Otimix'!A:A,'BD VOLUME'!AH489,'BD Otimix'!O:O)+SUMIF('BD Otimix'!A:A,'BD VOLUME'!AI489,'BD Otimix'!O:O)+SUMIF('BD Otimix'!A:A,'BD VOLUME'!AJ489,'BD Otimix'!O:O)+SUMIF('BD Otimix'!A:A,'BD VOLUME'!AF489,'BD Otimix'!O:O),0)</f>
        <v>0</v>
      </c>
      <c r="AL489" s="7">
        <f t="shared" si="156"/>
        <v>0</v>
      </c>
    </row>
    <row r="490" spans="1:38">
      <c r="A490" s="663">
        <v>202709</v>
      </c>
      <c r="B490" s="663"/>
      <c r="C490" s="5" t="s">
        <v>2614</v>
      </c>
      <c r="D490" s="5" t="s">
        <v>868</v>
      </c>
      <c r="E490" s="5" t="s">
        <v>2619</v>
      </c>
      <c r="F490" s="132">
        <f>SUMIF('COLAR PLANO'!$A:$A,A490,'COLAR PLANO'!$D:$D)</f>
        <v>0</v>
      </c>
      <c r="G490" s="131">
        <f t="shared" si="151"/>
        <v>0</v>
      </c>
      <c r="H490" s="6">
        <v>0.10963119955894558</v>
      </c>
      <c r="I490" s="7">
        <f t="shared" si="152"/>
        <v>0</v>
      </c>
      <c r="J490" s="130">
        <f t="shared" si="153"/>
        <v>0</v>
      </c>
      <c r="K490" s="708">
        <v>18</v>
      </c>
      <c r="L490" s="708">
        <v>2.375</v>
      </c>
      <c r="M490" s="708">
        <v>6</v>
      </c>
      <c r="N490" s="7">
        <f t="shared" si="154"/>
        <v>0</v>
      </c>
      <c r="O490" s="7"/>
      <c r="P490" s="7">
        <f>IFERROR(G490/M490,0)</f>
        <v>0</v>
      </c>
      <c r="Q490" s="7"/>
      <c r="R490" s="7"/>
      <c r="S490" s="7"/>
      <c r="T490" s="7"/>
      <c r="U490" s="7" t="s">
        <v>2288</v>
      </c>
      <c r="V490" s="7" t="s">
        <v>2289</v>
      </c>
      <c r="W490" s="7" t="str">
        <f>Preencher!$B$3&amp;U490&amp;V490&amp;A490&amp;$W$6</f>
        <v>JARINU-FRG202709MQ.TUNEL DE CG (CONTINUO)</v>
      </c>
      <c r="X490" s="7" t="str">
        <f>Preencher!$B$3&amp;U490&amp;V490&amp;A490&amp;$X$6</f>
        <v>JARINU-FRG202709MQ.TUNEL DE CG (CONTINUO) (1)</v>
      </c>
      <c r="Y490" s="7" t="str">
        <f>Preencher!$B$3&amp;U490&amp;V490&amp;A490&amp;$Y$6</f>
        <v>JARINU-FRG202709MQ.TUNEL DE CG (CONTINUO) (2)</v>
      </c>
      <c r="Z490" s="7" t="str">
        <f>Preencher!$B$3&amp;U490&amp;V490&amp;A490&amp;$Z$6</f>
        <v>JARINU-FRG202709MQ.TUNEL DE CG (CONTINUO) (3)</v>
      </c>
      <c r="AA490" s="7" t="str">
        <f>Preencher!$B$3&amp;U490&amp;V490&amp;A490&amp;$AA$6</f>
        <v>JARINU-FRG202709MQ.TUNEL DE CG (ESTATICO)</v>
      </c>
      <c r="AB490" s="7" t="str">
        <f>Preencher!$B$3&amp;U490&amp;V490&amp;A490&amp;$AB$6</f>
        <v>JARINU-FRG202709MQ.TUNEL DE CG (ESTATICO) (1)</v>
      </c>
      <c r="AC490" s="7" t="str">
        <f>Preencher!$B$3&amp;U490&amp;V490&amp;A490&amp;$AC$6</f>
        <v>JARINU-FRG202709MQ.TUNEL DE CG (ESTATICO) (2)</v>
      </c>
      <c r="AD490" s="327">
        <f>IFERROR(SUMIF('BD Otimix'!A:A,'BD VOLUME'!X490,'BD Otimix'!O:O)+SUMIF('BD Otimix'!A:A,'BD VOLUME'!Y490,'BD Otimix'!O:O)+SUMIF('BD Otimix'!A:A,'BD VOLUME'!Z490,'BD Otimix'!O:O)+SUMIF('BD Otimix'!A:A,'BD VOLUME'!AA490,'BD Otimix'!O:O)+SUMIF('BD Otimix'!A:A,'BD VOLUME'!AB490,'BD Otimix'!O:O)+SUMIF('BD Otimix'!A:A,'BD VOLUME'!AC490,'BD Otimix'!O:O)+SUMIF('BD Otimix'!A:A,'BD VOLUME'!W490,'BD Otimix'!O:O),0)</f>
        <v>0</v>
      </c>
      <c r="AE490" s="327">
        <f t="shared" si="155"/>
        <v>0</v>
      </c>
      <c r="AF490" s="7" t="str">
        <f>Preencher!$B$3&amp;$U$8&amp;$V$8&amp;A490&amp;$AF$6</f>
        <v>JARINU-FRG202709MQ.GIROFREEZER</v>
      </c>
      <c r="AG490" s="7" t="str">
        <f>Preencher!$B$3&amp;$U$8&amp;$V$8&amp;A490&amp;$AG$6</f>
        <v>JARINU-FRG202709MQ.GIROFREEZER (1)</v>
      </c>
      <c r="AH490" s="7" t="str">
        <f>Preencher!$B$3&amp;$U$8&amp;$V$8&amp;A490&amp;$AH$6</f>
        <v>JARINU-FRG202709MQ.GIROFREEZER (2)</v>
      </c>
      <c r="AI490" s="7" t="str">
        <f>Preencher!$B$3&amp;$U$8&amp;$V$8&amp;A490&amp;$AI$6</f>
        <v>JARINU-FRG202709MQ.GIROFREEZER REV04</v>
      </c>
      <c r="AJ490" s="7" t="str">
        <f>Preencher!$B$3&amp;$U$8&amp;$V$8&amp;A490&amp;$AJ$6</f>
        <v>JARINU-FRG202709MQ.GIROFREEZER (3)</v>
      </c>
      <c r="AK490" s="327">
        <f>IFERROR(SUMIF('BD Otimix'!A:A,'BD VOLUME'!AG490,'BD Otimix'!O:O)+SUMIF('BD Otimix'!A:A,'BD VOLUME'!AH490,'BD Otimix'!O:O)+SUMIF('BD Otimix'!A:A,'BD VOLUME'!AI490,'BD Otimix'!O:O)+SUMIF('BD Otimix'!A:A,'BD VOLUME'!AJ490,'BD Otimix'!O:O)+SUMIF('BD Otimix'!A:A,'BD VOLUME'!AF490,'BD Otimix'!O:O),0)</f>
        <v>0</v>
      </c>
      <c r="AL490" s="7">
        <f t="shared" si="156"/>
        <v>0</v>
      </c>
    </row>
    <row r="491" spans="1:38">
      <c r="A491" s="663">
        <v>209399</v>
      </c>
      <c r="B491" s="663"/>
      <c r="C491" s="5" t="s">
        <v>2615</v>
      </c>
      <c r="D491" s="5" t="s">
        <v>868</v>
      </c>
      <c r="E491" s="5" t="s">
        <v>1639</v>
      </c>
      <c r="F491" s="132">
        <f>SUMIF('COLAR PLANO'!$A:$A,A491,'COLAR PLANO'!$D:$D)</f>
        <v>0</v>
      </c>
      <c r="G491" s="131">
        <f t="shared" si="151"/>
        <v>0</v>
      </c>
      <c r="H491" s="6">
        <v>0.14065243077485973</v>
      </c>
      <c r="I491" s="7">
        <f t="shared" si="152"/>
        <v>0</v>
      </c>
      <c r="J491" s="130">
        <f t="shared" si="153"/>
        <v>0</v>
      </c>
      <c r="K491" s="708">
        <v>1</v>
      </c>
      <c r="L491" s="708">
        <v>12</v>
      </c>
      <c r="M491" s="708">
        <v>12</v>
      </c>
      <c r="N491" s="7">
        <f t="shared" si="154"/>
        <v>0</v>
      </c>
      <c r="O491" s="7">
        <f>IFERROR(G491/M491,0)</f>
        <v>0</v>
      </c>
      <c r="P491" s="7"/>
      <c r="Q491" s="7"/>
      <c r="R491" s="7"/>
      <c r="S491" s="7"/>
      <c r="T491" s="7"/>
      <c r="U491" s="7" t="s">
        <v>2288</v>
      </c>
      <c r="V491" s="7" t="s">
        <v>2289</v>
      </c>
      <c r="W491" s="7" t="str">
        <f>Preencher!$B$3&amp;U491&amp;V491&amp;A491&amp;$W$6</f>
        <v>JARINU-FRG209399MQ.TUNEL DE CG (CONTINUO)</v>
      </c>
      <c r="X491" s="7" t="str">
        <f>Preencher!$B$3&amp;U491&amp;V491&amp;A491&amp;$X$6</f>
        <v>JARINU-FRG209399MQ.TUNEL DE CG (CONTINUO) (1)</v>
      </c>
      <c r="Y491" s="7" t="str">
        <f>Preencher!$B$3&amp;U491&amp;V491&amp;A491&amp;$Y$6</f>
        <v>JARINU-FRG209399MQ.TUNEL DE CG (CONTINUO) (2)</v>
      </c>
      <c r="Z491" s="7" t="str">
        <f>Preencher!$B$3&amp;U491&amp;V491&amp;A491&amp;$Z$6</f>
        <v>JARINU-FRG209399MQ.TUNEL DE CG (CONTINUO) (3)</v>
      </c>
      <c r="AA491" s="7" t="str">
        <f>Preencher!$B$3&amp;U491&amp;V491&amp;A491&amp;$AA$6</f>
        <v>JARINU-FRG209399MQ.TUNEL DE CG (ESTATICO)</v>
      </c>
      <c r="AB491" s="7" t="str">
        <f>Preencher!$B$3&amp;U491&amp;V491&amp;A491&amp;$AB$6</f>
        <v>JARINU-FRG209399MQ.TUNEL DE CG (ESTATICO) (1)</v>
      </c>
      <c r="AC491" s="7" t="str">
        <f>Preencher!$B$3&amp;U491&amp;V491&amp;A491&amp;$AC$6</f>
        <v>JARINU-FRG209399MQ.TUNEL DE CG (ESTATICO) (2)</v>
      </c>
      <c r="AD491" s="327">
        <f>IFERROR(SUMIF('BD Otimix'!A:A,'BD VOLUME'!X491,'BD Otimix'!O:O)+SUMIF('BD Otimix'!A:A,'BD VOLUME'!Y491,'BD Otimix'!O:O)+SUMIF('BD Otimix'!A:A,'BD VOLUME'!Z491,'BD Otimix'!O:O)+SUMIF('BD Otimix'!A:A,'BD VOLUME'!AA491,'BD Otimix'!O:O)+SUMIF('BD Otimix'!A:A,'BD VOLUME'!AB491,'BD Otimix'!O:O)+SUMIF('BD Otimix'!A:A,'BD VOLUME'!AC491,'BD Otimix'!O:O)+SUMIF('BD Otimix'!A:A,'BD VOLUME'!W491,'BD Otimix'!O:O),0)</f>
        <v>0</v>
      </c>
      <c r="AE491" s="327">
        <f t="shared" si="155"/>
        <v>0</v>
      </c>
      <c r="AF491" s="7" t="str">
        <f>Preencher!$B$3&amp;$U$8&amp;$V$8&amp;A491&amp;$AF$6</f>
        <v>JARINU-FRG209399MQ.GIROFREEZER</v>
      </c>
      <c r="AG491" s="7" t="str">
        <f>Preencher!$B$3&amp;$U$8&amp;$V$8&amp;A491&amp;$AG$6</f>
        <v>JARINU-FRG209399MQ.GIROFREEZER (1)</v>
      </c>
      <c r="AH491" s="7" t="str">
        <f>Preencher!$B$3&amp;$U$8&amp;$V$8&amp;A491&amp;$AH$6</f>
        <v>JARINU-FRG209399MQ.GIROFREEZER (2)</v>
      </c>
      <c r="AI491" s="7" t="str">
        <f>Preencher!$B$3&amp;$U$8&amp;$V$8&amp;A491&amp;$AI$6</f>
        <v>JARINU-FRG209399MQ.GIROFREEZER REV04</v>
      </c>
      <c r="AJ491" s="7" t="str">
        <f>Preencher!$B$3&amp;$U$8&amp;$V$8&amp;A491&amp;$AJ$6</f>
        <v>JARINU-FRG209399MQ.GIROFREEZER (3)</v>
      </c>
      <c r="AK491" s="327">
        <f>IFERROR(SUMIF('BD Otimix'!A:A,'BD VOLUME'!AG491,'BD Otimix'!O:O)+SUMIF('BD Otimix'!A:A,'BD VOLUME'!AH491,'BD Otimix'!O:O)+SUMIF('BD Otimix'!A:A,'BD VOLUME'!AI491,'BD Otimix'!O:O)+SUMIF('BD Otimix'!A:A,'BD VOLUME'!AJ491,'BD Otimix'!O:O)+SUMIF('BD Otimix'!A:A,'BD VOLUME'!AF491,'BD Otimix'!O:O),0)</f>
        <v>0</v>
      </c>
      <c r="AL491" s="7">
        <f t="shared" si="156"/>
        <v>0</v>
      </c>
    </row>
    <row r="492" spans="1:38">
      <c r="A492" s="663">
        <v>798371</v>
      </c>
      <c r="B492" s="663" t="s">
        <v>2616</v>
      </c>
      <c r="C492" s="5" t="s">
        <v>2617</v>
      </c>
      <c r="D492" s="5" t="s">
        <v>868</v>
      </c>
      <c r="E492" s="5" t="s">
        <v>2671</v>
      </c>
      <c r="F492" s="132">
        <f>SUMIF('COLAR PLANO'!$A:$A,A492,'COLAR PLANO'!$D:$D)</f>
        <v>0</v>
      </c>
      <c r="G492" s="131">
        <f t="shared" si="151"/>
        <v>0</v>
      </c>
      <c r="H492" s="6">
        <v>0.104759956667657</v>
      </c>
      <c r="I492" s="7">
        <f t="shared" si="152"/>
        <v>0</v>
      </c>
      <c r="J492" s="130">
        <f t="shared" si="153"/>
        <v>0</v>
      </c>
      <c r="K492" s="708">
        <v>1</v>
      </c>
      <c r="L492" s="708">
        <v>12</v>
      </c>
      <c r="M492" s="708">
        <v>12</v>
      </c>
      <c r="N492" s="7">
        <f t="shared" si="154"/>
        <v>0</v>
      </c>
      <c r="O492" s="7"/>
      <c r="P492" s="7">
        <f>IFERROR(G492/M492,0)</f>
        <v>0</v>
      </c>
      <c r="Q492" s="7"/>
      <c r="R492" s="7"/>
      <c r="S492" s="7"/>
      <c r="T492" s="7"/>
      <c r="U492" s="7" t="s">
        <v>2288</v>
      </c>
      <c r="V492" s="7" t="s">
        <v>2289</v>
      </c>
      <c r="W492" s="7" t="str">
        <f>Preencher!$B$3&amp;U492&amp;V492&amp;A492&amp;$W$6</f>
        <v>JARINU-FRG798371MQ.TUNEL DE CG (CONTINUO)</v>
      </c>
      <c r="X492" s="7" t="str">
        <f>Preencher!$B$3&amp;U492&amp;V492&amp;A492&amp;$X$6</f>
        <v>JARINU-FRG798371MQ.TUNEL DE CG (CONTINUO) (1)</v>
      </c>
      <c r="Y492" s="7" t="str">
        <f>Preencher!$B$3&amp;U492&amp;V492&amp;A492&amp;$Y$6</f>
        <v>JARINU-FRG798371MQ.TUNEL DE CG (CONTINUO) (2)</v>
      </c>
      <c r="Z492" s="7" t="str">
        <f>Preencher!$B$3&amp;U492&amp;V492&amp;A492&amp;$Z$6</f>
        <v>JARINU-FRG798371MQ.TUNEL DE CG (CONTINUO) (3)</v>
      </c>
      <c r="AA492" s="7" t="str">
        <f>Preencher!$B$3&amp;U492&amp;V492&amp;A492&amp;$AA$6</f>
        <v>JARINU-FRG798371MQ.TUNEL DE CG (ESTATICO)</v>
      </c>
      <c r="AB492" s="7" t="str">
        <f>Preencher!$B$3&amp;U492&amp;V492&amp;A492&amp;$AB$6</f>
        <v>JARINU-FRG798371MQ.TUNEL DE CG (ESTATICO) (1)</v>
      </c>
      <c r="AC492" s="7" t="str">
        <f>Preencher!$B$3&amp;U492&amp;V492&amp;A492&amp;$AC$6</f>
        <v>JARINU-FRG798371MQ.TUNEL DE CG (ESTATICO) (2)</v>
      </c>
      <c r="AD492" s="327">
        <f>IFERROR(SUMIF('BD Otimix'!A:A,'BD VOLUME'!X492,'BD Otimix'!O:O)+SUMIF('BD Otimix'!A:A,'BD VOLUME'!Y492,'BD Otimix'!O:O)+SUMIF('BD Otimix'!A:A,'BD VOLUME'!Z492,'BD Otimix'!O:O)+SUMIF('BD Otimix'!A:A,'BD VOLUME'!AA492,'BD Otimix'!O:O)+SUMIF('BD Otimix'!A:A,'BD VOLUME'!AB492,'BD Otimix'!O:O)+SUMIF('BD Otimix'!A:A,'BD VOLUME'!AC492,'BD Otimix'!O:O)+SUMIF('BD Otimix'!A:A,'BD VOLUME'!W492,'BD Otimix'!O:O),0)</f>
        <v>0</v>
      </c>
      <c r="AE492" s="327">
        <f t="shared" si="155"/>
        <v>0</v>
      </c>
      <c r="AF492" s="7" t="str">
        <f>Preencher!$B$3&amp;$U$8&amp;$V$8&amp;A492&amp;$AF$6</f>
        <v>JARINU-FRG798371MQ.GIROFREEZER</v>
      </c>
      <c r="AG492" s="7" t="str">
        <f>Preencher!$B$3&amp;$U$8&amp;$V$8&amp;A492&amp;$AG$6</f>
        <v>JARINU-FRG798371MQ.GIROFREEZER (1)</v>
      </c>
      <c r="AH492" s="7" t="str">
        <f>Preencher!$B$3&amp;$U$8&amp;$V$8&amp;A492&amp;$AH$6</f>
        <v>JARINU-FRG798371MQ.GIROFREEZER (2)</v>
      </c>
      <c r="AI492" s="7" t="str">
        <f>Preencher!$B$3&amp;$U$8&amp;$V$8&amp;A492&amp;$AI$6</f>
        <v>JARINU-FRG798371MQ.GIROFREEZER REV04</v>
      </c>
      <c r="AJ492" s="7" t="str">
        <f>Preencher!$B$3&amp;$U$8&amp;$V$8&amp;A492&amp;$AJ$6</f>
        <v>JARINU-FRG798371MQ.GIROFREEZER (3)</v>
      </c>
      <c r="AK492" s="327">
        <f>IFERROR(SUMIF('BD Otimix'!A:A,'BD VOLUME'!AG492,'BD Otimix'!O:O)+SUMIF('BD Otimix'!A:A,'BD VOLUME'!AH492,'BD Otimix'!O:O)+SUMIF('BD Otimix'!A:A,'BD VOLUME'!AI492,'BD Otimix'!O:O)+SUMIF('BD Otimix'!A:A,'BD VOLUME'!AJ492,'BD Otimix'!O:O)+SUMIF('BD Otimix'!A:A,'BD VOLUME'!AF492,'BD Otimix'!O:O),0)</f>
        <v>0</v>
      </c>
      <c r="AL492" s="7">
        <f t="shared" si="156"/>
        <v>0</v>
      </c>
    </row>
    <row r="493" spans="1:38">
      <c r="A493" s="663">
        <v>124395</v>
      </c>
      <c r="B493" s="663" t="s">
        <v>2776</v>
      </c>
      <c r="C493" s="5" t="s">
        <v>2777</v>
      </c>
      <c r="D493" s="5" t="s">
        <v>868</v>
      </c>
      <c r="E493" s="5" t="s">
        <v>1080</v>
      </c>
      <c r="F493" s="132">
        <f>SUMIF('COLAR PLANO'!$A:$A,A493,'COLAR PLANO'!$D:$D)</f>
        <v>0</v>
      </c>
      <c r="G493" s="131">
        <f t="shared" si="151"/>
        <v>0</v>
      </c>
      <c r="H493" s="6">
        <v>0.1946</v>
      </c>
      <c r="I493" s="7">
        <f t="shared" si="152"/>
        <v>0</v>
      </c>
      <c r="J493" s="130">
        <f t="shared" si="153"/>
        <v>0</v>
      </c>
      <c r="K493" s="720">
        <v>15</v>
      </c>
      <c r="L493" s="720">
        <v>1</v>
      </c>
      <c r="M493" s="720">
        <v>15</v>
      </c>
      <c r="N493" s="7">
        <f t="shared" si="154"/>
        <v>0</v>
      </c>
      <c r="P493" s="7">
        <f>IFERROR(G493/M493,0)</f>
        <v>0</v>
      </c>
      <c r="Q493" s="7"/>
      <c r="R493" s="7"/>
      <c r="S493" s="7"/>
      <c r="T493" s="7"/>
      <c r="U493" s="7" t="s">
        <v>2288</v>
      </c>
      <c r="V493" s="7" t="s">
        <v>2289</v>
      </c>
      <c r="W493" s="7" t="str">
        <f>Preencher!$B$3&amp;U493&amp;V493&amp;A493&amp;$W$6</f>
        <v>JARINU-FRG124395MQ.TUNEL DE CG (CONTINUO)</v>
      </c>
      <c r="X493" s="7" t="str">
        <f>Preencher!$B$3&amp;U493&amp;V493&amp;A493&amp;$X$6</f>
        <v>JARINU-FRG124395MQ.TUNEL DE CG (CONTINUO) (1)</v>
      </c>
      <c r="Y493" s="7" t="str">
        <f>Preencher!$B$3&amp;U493&amp;V493&amp;A493&amp;$Y$6</f>
        <v>JARINU-FRG124395MQ.TUNEL DE CG (CONTINUO) (2)</v>
      </c>
      <c r="Z493" s="7" t="str">
        <f>Preencher!$B$3&amp;U493&amp;V493&amp;A493&amp;$Z$6</f>
        <v>JARINU-FRG124395MQ.TUNEL DE CG (CONTINUO) (3)</v>
      </c>
      <c r="AA493" s="7" t="str">
        <f>Preencher!$B$3&amp;U493&amp;V493&amp;A493&amp;$AA$6</f>
        <v>JARINU-FRG124395MQ.TUNEL DE CG (ESTATICO)</v>
      </c>
      <c r="AB493" s="7" t="str">
        <f>Preencher!$B$3&amp;U493&amp;V493&amp;A493&amp;$AB$6</f>
        <v>JARINU-FRG124395MQ.TUNEL DE CG (ESTATICO) (1)</v>
      </c>
      <c r="AC493" s="7" t="str">
        <f>Preencher!$B$3&amp;U493&amp;V493&amp;A493&amp;$AC$6</f>
        <v>JARINU-FRG124395MQ.TUNEL DE CG (ESTATICO) (2)</v>
      </c>
      <c r="AD493" s="327">
        <f>IFERROR(SUMIF('BD Otimix'!A:A,'BD VOLUME'!X493,'BD Otimix'!O:O)+SUMIF('BD Otimix'!A:A,'BD VOLUME'!Y493,'BD Otimix'!O:O)+SUMIF('BD Otimix'!A:A,'BD VOLUME'!Z493,'BD Otimix'!O:O)+SUMIF('BD Otimix'!A:A,'BD VOLUME'!AA493,'BD Otimix'!O:O)+SUMIF('BD Otimix'!A:A,'BD VOLUME'!AB493,'BD Otimix'!O:O)+SUMIF('BD Otimix'!A:A,'BD VOLUME'!AC493,'BD Otimix'!O:O)+SUMIF('BD Otimix'!A:A,'BD VOLUME'!W493,'BD Otimix'!O:O),0)</f>
        <v>0</v>
      </c>
      <c r="AE493" s="327">
        <f t="shared" si="155"/>
        <v>0</v>
      </c>
      <c r="AF493" s="7" t="str">
        <f>Preencher!$B$3&amp;$U$8&amp;$V$8&amp;A493&amp;$AF$6</f>
        <v>JARINU-FRG124395MQ.GIROFREEZER</v>
      </c>
      <c r="AG493" s="7" t="str">
        <f>Preencher!$B$3&amp;$U$8&amp;$V$8&amp;A493&amp;$AG$6</f>
        <v>JARINU-FRG124395MQ.GIROFREEZER (1)</v>
      </c>
      <c r="AH493" s="7" t="str">
        <f>Preencher!$B$3&amp;$U$8&amp;$V$8&amp;A493&amp;$AH$6</f>
        <v>JARINU-FRG124395MQ.GIROFREEZER (2)</v>
      </c>
      <c r="AI493" s="7" t="str">
        <f>Preencher!$B$3&amp;$U$8&amp;$V$8&amp;A493&amp;$AI$6</f>
        <v>JARINU-FRG124395MQ.GIROFREEZER REV04</v>
      </c>
      <c r="AJ493" s="7" t="str">
        <f>Preencher!$B$3&amp;$U$8&amp;$V$8&amp;A493&amp;$AJ$6</f>
        <v>JARINU-FRG124395MQ.GIROFREEZER (3)</v>
      </c>
      <c r="AK493" s="327">
        <f>IFERROR(SUMIF('BD Otimix'!A:A,'BD VOLUME'!AG493,'BD Otimix'!O:O)+SUMIF('BD Otimix'!A:A,'BD VOLUME'!AH493,'BD Otimix'!O:O)+SUMIF('BD Otimix'!A:A,'BD VOLUME'!AI493,'BD Otimix'!O:O)+SUMIF('BD Otimix'!A:A,'BD VOLUME'!AJ493,'BD Otimix'!O:O)+SUMIF('BD Otimix'!A:A,'BD VOLUME'!AF493,'BD Otimix'!O:O),0)</f>
        <v>0</v>
      </c>
      <c r="AL493" s="7">
        <f t="shared" si="156"/>
        <v>0</v>
      </c>
    </row>
    <row r="494" spans="1:38">
      <c r="A494" s="663">
        <v>54632</v>
      </c>
      <c r="B494" s="663"/>
      <c r="C494" s="5" t="s">
        <v>3104</v>
      </c>
      <c r="D494" s="5" t="s">
        <v>868</v>
      </c>
      <c r="E494" s="5" t="s">
        <v>3110</v>
      </c>
      <c r="F494" s="132">
        <f>SUMIF('COLAR PLANO'!$A:$A,A494,'COLAR PLANO'!$D:$D)</f>
        <v>0</v>
      </c>
      <c r="G494" s="131">
        <f t="shared" si="151"/>
        <v>0</v>
      </c>
      <c r="H494" s="6">
        <v>0.17199999999999999</v>
      </c>
      <c r="I494" s="7">
        <f t="shared" si="152"/>
        <v>0</v>
      </c>
      <c r="J494" s="130">
        <f t="shared" si="153"/>
        <v>0</v>
      </c>
      <c r="K494" s="720">
        <v>1</v>
      </c>
      <c r="L494" s="720">
        <v>12</v>
      </c>
      <c r="M494" s="720">
        <v>12</v>
      </c>
      <c r="N494" s="7">
        <f t="shared" si="154"/>
        <v>0</v>
      </c>
      <c r="O494" s="7"/>
      <c r="P494" s="7">
        <f>IFERROR(G494/M494,0)</f>
        <v>0</v>
      </c>
      <c r="Q494" s="7"/>
      <c r="R494" s="7"/>
      <c r="S494" s="7"/>
      <c r="T494" s="7"/>
      <c r="U494" s="7" t="s">
        <v>2288</v>
      </c>
      <c r="V494" s="7" t="s">
        <v>2289</v>
      </c>
      <c r="W494" s="7" t="str">
        <f>Preencher!$B$3&amp;U494&amp;V494&amp;A494&amp;$W$6</f>
        <v>JARINU-FRG54632MQ.TUNEL DE CG (CONTINUO)</v>
      </c>
      <c r="X494" s="7" t="str">
        <f>Preencher!$B$3&amp;U494&amp;V494&amp;A494&amp;$X$6</f>
        <v>JARINU-FRG54632MQ.TUNEL DE CG (CONTINUO) (1)</v>
      </c>
      <c r="Y494" s="7" t="str">
        <f>Preencher!$B$3&amp;U494&amp;V494&amp;A494&amp;$Y$6</f>
        <v>JARINU-FRG54632MQ.TUNEL DE CG (CONTINUO) (2)</v>
      </c>
      <c r="Z494" s="7" t="str">
        <f>Preencher!$B$3&amp;U494&amp;V494&amp;A494&amp;$Z$6</f>
        <v>JARINU-FRG54632MQ.TUNEL DE CG (CONTINUO) (3)</v>
      </c>
      <c r="AA494" s="7" t="str">
        <f>Preencher!$B$3&amp;U494&amp;V494&amp;A494&amp;$AA$6</f>
        <v>JARINU-FRG54632MQ.TUNEL DE CG (ESTATICO)</v>
      </c>
      <c r="AB494" s="7" t="str">
        <f>Preencher!$B$3&amp;U494&amp;V494&amp;A494&amp;$AB$6</f>
        <v>JARINU-FRG54632MQ.TUNEL DE CG (ESTATICO) (1)</v>
      </c>
      <c r="AC494" s="7" t="str">
        <f>Preencher!$B$3&amp;U494&amp;V494&amp;A494&amp;$AC$6</f>
        <v>JARINU-FRG54632MQ.TUNEL DE CG (ESTATICO) (2)</v>
      </c>
      <c r="AD494" s="327">
        <f>IFERROR(SUMIF('BD Otimix'!A:A,'BD VOLUME'!X494,'BD Otimix'!O:O)+SUMIF('BD Otimix'!A:A,'BD VOLUME'!Y494,'BD Otimix'!O:O)+SUMIF('BD Otimix'!A:A,'BD VOLUME'!Z494,'BD Otimix'!O:O)+SUMIF('BD Otimix'!A:A,'BD VOLUME'!AA494,'BD Otimix'!O:O)+SUMIF('BD Otimix'!A:A,'BD VOLUME'!AB494,'BD Otimix'!O:O)+SUMIF('BD Otimix'!A:A,'BD VOLUME'!AC494,'BD Otimix'!O:O)+SUMIF('BD Otimix'!A:A,'BD VOLUME'!W494,'BD Otimix'!O:O),0)</f>
        <v>0</v>
      </c>
      <c r="AE494" s="327">
        <f t="shared" si="155"/>
        <v>0</v>
      </c>
      <c r="AF494" s="7" t="str">
        <f>Preencher!$B$3&amp;$U$8&amp;$V$8&amp;A494&amp;$AF$6</f>
        <v>JARINU-FRG54632MQ.GIROFREEZER</v>
      </c>
      <c r="AG494" s="7" t="str">
        <f>Preencher!$B$3&amp;$U$8&amp;$V$8&amp;A494&amp;$AG$6</f>
        <v>JARINU-FRG54632MQ.GIROFREEZER (1)</v>
      </c>
      <c r="AH494" s="7" t="str">
        <f>Preencher!$B$3&amp;$U$8&amp;$V$8&amp;A494&amp;$AH$6</f>
        <v>JARINU-FRG54632MQ.GIROFREEZER (2)</v>
      </c>
      <c r="AI494" s="7" t="str">
        <f>Preencher!$B$3&amp;$U$8&amp;$V$8&amp;A494&amp;$AI$6</f>
        <v>JARINU-FRG54632MQ.GIROFREEZER REV04</v>
      </c>
      <c r="AJ494" s="7" t="str">
        <f>Preencher!$B$3&amp;$U$8&amp;$V$8&amp;A494&amp;$AJ$6</f>
        <v>JARINU-FRG54632MQ.GIROFREEZER (3)</v>
      </c>
      <c r="AK494" s="327">
        <f>IFERROR(SUMIF('BD Otimix'!A:A,'BD VOLUME'!AG494,'BD Otimix'!O:O)+SUMIF('BD Otimix'!A:A,'BD VOLUME'!AH494,'BD Otimix'!O:O)+SUMIF('BD Otimix'!A:A,'BD VOLUME'!AI494,'BD Otimix'!O:O)+SUMIF('BD Otimix'!A:A,'BD VOLUME'!AJ494,'BD Otimix'!O:O)+SUMIF('BD Otimix'!A:A,'BD VOLUME'!AF494,'BD Otimix'!O:O),0)</f>
        <v>0</v>
      </c>
      <c r="AL494" s="7">
        <f t="shared" si="156"/>
        <v>0</v>
      </c>
    </row>
    <row r="495" spans="1:38">
      <c r="A495" s="647"/>
      <c r="B495" s="647"/>
      <c r="C495" s="5"/>
      <c r="D495" s="5"/>
      <c r="E495" s="5"/>
      <c r="F495" s="132">
        <f>SUMIF('COLAR PLANO'!$A:$A,A495,'COLAR PLANO'!$D:$D)</f>
        <v>0</v>
      </c>
      <c r="G495" s="131">
        <f t="shared" si="146"/>
        <v>0</v>
      </c>
      <c r="H495" s="6">
        <v>0.10963119955894558</v>
      </c>
      <c r="I495" s="7">
        <f t="shared" si="147"/>
        <v>0</v>
      </c>
      <c r="J495" s="130">
        <f t="shared" si="149"/>
        <v>0</v>
      </c>
      <c r="K495" s="647">
        <v>1</v>
      </c>
      <c r="L495" s="647">
        <v>12</v>
      </c>
      <c r="M495" s="647">
        <v>12</v>
      </c>
      <c r="N495" s="7">
        <f t="shared" ref="N495:N509" si="157">IFERROR(G495/K495,"-")</f>
        <v>0</v>
      </c>
      <c r="O495" s="7"/>
      <c r="P495" s="7">
        <f t="shared" si="150"/>
        <v>0</v>
      </c>
      <c r="Q495" s="7"/>
      <c r="R495" s="7"/>
      <c r="S495" s="7"/>
      <c r="T495" s="7"/>
      <c r="U495" s="7" t="s">
        <v>2288</v>
      </c>
      <c r="V495" s="7" t="s">
        <v>2289</v>
      </c>
      <c r="W495" s="7" t="str">
        <f>Preencher!$B$3&amp;U495&amp;V495&amp;A495&amp;$W$6</f>
        <v>JARINU-FRGMQ.TUNEL DE CG (CONTINUO)</v>
      </c>
      <c r="X495" s="7" t="str">
        <f>Preencher!$B$3&amp;U495&amp;V495&amp;A495&amp;$X$6</f>
        <v>JARINU-FRGMQ.TUNEL DE CG (CONTINUO) (1)</v>
      </c>
      <c r="Y495" s="7" t="str">
        <f>Preencher!$B$3&amp;U495&amp;V495&amp;A495&amp;$Y$6</f>
        <v>JARINU-FRGMQ.TUNEL DE CG (CONTINUO) (2)</v>
      </c>
      <c r="Z495" s="7" t="str">
        <f>Preencher!$B$3&amp;U495&amp;V495&amp;A495&amp;$Z$6</f>
        <v>JARINU-FRGMQ.TUNEL DE CG (CONTINUO) (3)</v>
      </c>
      <c r="AA495" s="7" t="str">
        <f>Preencher!$B$3&amp;U495&amp;V495&amp;A495&amp;$AA$6</f>
        <v>JARINU-FRGMQ.TUNEL DE CG (ESTATICO)</v>
      </c>
      <c r="AB495" s="7" t="str">
        <f>Preencher!$B$3&amp;U495&amp;V495&amp;A495&amp;$AB$6</f>
        <v>JARINU-FRGMQ.TUNEL DE CG (ESTATICO) (1)</v>
      </c>
      <c r="AC495" s="7" t="str">
        <f>Preencher!$B$3&amp;U495&amp;V495&amp;A495&amp;$AC$6</f>
        <v>JARINU-FRGMQ.TUNEL DE CG (ESTATICO) (2)</v>
      </c>
      <c r="AD495" s="327">
        <f>IFERROR(SUMIF('BD Otimix'!A:A,'BD VOLUME'!X495,'BD Otimix'!O:O)+SUMIF('BD Otimix'!A:A,'BD VOLUME'!Y495,'BD Otimix'!O:O)+SUMIF('BD Otimix'!A:A,'BD VOLUME'!Z495,'BD Otimix'!O:O)+SUMIF('BD Otimix'!A:A,'BD VOLUME'!AA495,'BD Otimix'!O:O)+SUMIF('BD Otimix'!A:A,'BD VOLUME'!AB495,'BD Otimix'!O:O)+SUMIF('BD Otimix'!A:A,'BD VOLUME'!AC495,'BD Otimix'!O:O)+SUMIF('BD Otimix'!A:A,'BD VOLUME'!W495,'BD Otimix'!O:O),0)</f>
        <v>0</v>
      </c>
      <c r="AE495" s="327">
        <f t="shared" si="144"/>
        <v>0</v>
      </c>
      <c r="AF495" s="7" t="str">
        <f>Preencher!$B$3&amp;$U$8&amp;$V$8&amp;A495&amp;$AF$6</f>
        <v>JARINU-FRGMQ.GIROFREEZER</v>
      </c>
      <c r="AG495" s="7" t="str">
        <f>Preencher!$B$3&amp;$U$8&amp;$V$8&amp;A495&amp;$AG$6</f>
        <v>JARINU-FRGMQ.GIROFREEZER (1)</v>
      </c>
      <c r="AH495" s="7" t="str">
        <f>Preencher!$B$3&amp;$U$8&amp;$V$8&amp;A495&amp;$AH$6</f>
        <v>JARINU-FRGMQ.GIROFREEZER (2)</v>
      </c>
      <c r="AI495" s="7" t="str">
        <f>Preencher!$B$3&amp;$U$8&amp;$V$8&amp;A495&amp;$AI$6</f>
        <v>JARINU-FRGMQ.GIROFREEZER REV04</v>
      </c>
      <c r="AJ495" s="7" t="str">
        <f>Preencher!$B$3&amp;$U$8&amp;$V$8&amp;A495&amp;$AJ$6</f>
        <v>JARINU-FRGMQ.GIROFREEZER (3)</v>
      </c>
      <c r="AK495" s="327">
        <f>IFERROR(SUMIF('BD Otimix'!A:A,'BD VOLUME'!AG495,'BD Otimix'!O:O)+SUMIF('BD Otimix'!A:A,'BD VOLUME'!AH495,'BD Otimix'!O:O)+SUMIF('BD Otimix'!A:A,'BD VOLUME'!AI495,'BD Otimix'!O:O)+SUMIF('BD Otimix'!A:A,'BD VOLUME'!AJ495,'BD Otimix'!O:O)+SUMIF('BD Otimix'!A:A,'BD VOLUME'!AF495,'BD Otimix'!O:O),0)</f>
        <v>0</v>
      </c>
      <c r="AL495" s="7">
        <f t="shared" si="145"/>
        <v>0</v>
      </c>
    </row>
    <row r="496" spans="1:38">
      <c r="A496" s="647">
        <v>55298</v>
      </c>
      <c r="B496" s="647" t="s">
        <v>2099</v>
      </c>
      <c r="C496" s="5" t="s">
        <v>2100</v>
      </c>
      <c r="D496" s="5" t="s">
        <v>868</v>
      </c>
      <c r="E496" s="5" t="s">
        <v>2138</v>
      </c>
      <c r="F496" s="132">
        <f>SUMIF('COLAR PLANO'!$A:$A,A496,'COLAR PLANO'!$D:$D)</f>
        <v>0</v>
      </c>
      <c r="G496" s="131">
        <f t="shared" si="146"/>
        <v>0</v>
      </c>
      <c r="H496" s="6">
        <v>0.10963119955894558</v>
      </c>
      <c r="I496" s="7">
        <f t="shared" si="147"/>
        <v>0</v>
      </c>
      <c r="J496" s="130">
        <f t="shared" si="149"/>
        <v>0</v>
      </c>
      <c r="K496" s="647">
        <v>18</v>
      </c>
      <c r="L496" s="647">
        <v>2.375</v>
      </c>
      <c r="M496" s="647">
        <v>6</v>
      </c>
      <c r="N496" s="7">
        <f t="shared" si="157"/>
        <v>0</v>
      </c>
      <c r="O496" s="7"/>
      <c r="P496" s="7">
        <f t="shared" si="150"/>
        <v>0</v>
      </c>
      <c r="Q496" s="7"/>
      <c r="R496" s="7"/>
      <c r="S496" s="7"/>
      <c r="T496" s="7"/>
      <c r="U496" s="7" t="s">
        <v>2288</v>
      </c>
      <c r="V496" s="7" t="s">
        <v>2289</v>
      </c>
      <c r="W496" s="7" t="str">
        <f>Preencher!$B$3&amp;U496&amp;V496&amp;A496&amp;$W$6</f>
        <v>JARINU-FRG55298MQ.TUNEL DE CG (CONTINUO)</v>
      </c>
      <c r="X496" s="7" t="str">
        <f>Preencher!$B$3&amp;U496&amp;V496&amp;A496&amp;$X$6</f>
        <v>JARINU-FRG55298MQ.TUNEL DE CG (CONTINUO) (1)</v>
      </c>
      <c r="Y496" s="7" t="str">
        <f>Preencher!$B$3&amp;U496&amp;V496&amp;A496&amp;$Y$6</f>
        <v>JARINU-FRG55298MQ.TUNEL DE CG (CONTINUO) (2)</v>
      </c>
      <c r="Z496" s="7" t="str">
        <f>Preencher!$B$3&amp;U496&amp;V496&amp;A496&amp;$Z$6</f>
        <v>JARINU-FRG55298MQ.TUNEL DE CG (CONTINUO) (3)</v>
      </c>
      <c r="AA496" s="7" t="str">
        <f>Preencher!$B$3&amp;U496&amp;V496&amp;A496&amp;$AA$6</f>
        <v>JARINU-FRG55298MQ.TUNEL DE CG (ESTATICO)</v>
      </c>
      <c r="AB496" s="7" t="str">
        <f>Preencher!$B$3&amp;U496&amp;V496&amp;A496&amp;$AB$6</f>
        <v>JARINU-FRG55298MQ.TUNEL DE CG (ESTATICO) (1)</v>
      </c>
      <c r="AC496" s="7" t="str">
        <f>Preencher!$B$3&amp;U496&amp;V496&amp;A496&amp;$AC$6</f>
        <v>JARINU-FRG55298MQ.TUNEL DE CG (ESTATICO) (2)</v>
      </c>
      <c r="AD496" s="327">
        <f>IFERROR(SUMIF('BD Otimix'!A:A,'BD VOLUME'!X496,'BD Otimix'!O:O)+SUMIF('BD Otimix'!A:A,'BD VOLUME'!Y496,'BD Otimix'!O:O)+SUMIF('BD Otimix'!A:A,'BD VOLUME'!Z496,'BD Otimix'!O:O)+SUMIF('BD Otimix'!A:A,'BD VOLUME'!AA496,'BD Otimix'!O:O)+SUMIF('BD Otimix'!A:A,'BD VOLUME'!AB496,'BD Otimix'!O:O)+SUMIF('BD Otimix'!A:A,'BD VOLUME'!AC496,'BD Otimix'!O:O)+SUMIF('BD Otimix'!A:A,'BD VOLUME'!W496,'BD Otimix'!O:O),0)</f>
        <v>0</v>
      </c>
      <c r="AE496" s="327">
        <f t="shared" si="144"/>
        <v>0</v>
      </c>
      <c r="AF496" s="7" t="str">
        <f>Preencher!$B$3&amp;$U$8&amp;$V$8&amp;A496&amp;$AF$6</f>
        <v>JARINU-FRG55298MQ.GIROFREEZER</v>
      </c>
      <c r="AG496" s="7" t="str">
        <f>Preencher!$B$3&amp;$U$8&amp;$V$8&amp;A496&amp;$AG$6</f>
        <v>JARINU-FRG55298MQ.GIROFREEZER (1)</v>
      </c>
      <c r="AH496" s="7" t="str">
        <f>Preencher!$B$3&amp;$U$8&amp;$V$8&amp;A496&amp;$AH$6</f>
        <v>JARINU-FRG55298MQ.GIROFREEZER (2)</v>
      </c>
      <c r="AI496" s="7" t="str">
        <f>Preencher!$B$3&amp;$U$8&amp;$V$8&amp;A496&amp;$AI$6</f>
        <v>JARINU-FRG55298MQ.GIROFREEZER REV04</v>
      </c>
      <c r="AJ496" s="7" t="str">
        <f>Preencher!$B$3&amp;$U$8&amp;$V$8&amp;A496&amp;$AJ$6</f>
        <v>JARINU-FRG55298MQ.GIROFREEZER (3)</v>
      </c>
      <c r="AK496" s="327">
        <f>IFERROR(SUMIF('BD Otimix'!A:A,'BD VOLUME'!AG496,'BD Otimix'!O:O)+SUMIF('BD Otimix'!A:A,'BD VOLUME'!AH496,'BD Otimix'!O:O)+SUMIF('BD Otimix'!A:A,'BD VOLUME'!AI496,'BD Otimix'!O:O)+SUMIF('BD Otimix'!A:A,'BD VOLUME'!AJ496,'BD Otimix'!O:O)+SUMIF('BD Otimix'!A:A,'BD VOLUME'!AF496,'BD Otimix'!O:O),0)</f>
        <v>0</v>
      </c>
      <c r="AL496" s="7">
        <f t="shared" si="145"/>
        <v>0</v>
      </c>
    </row>
    <row r="497" spans="1:38">
      <c r="A497" s="647">
        <v>963879</v>
      </c>
      <c r="B497" s="647">
        <v>58443.524999999994</v>
      </c>
      <c r="C497" s="5" t="s">
        <v>3186</v>
      </c>
      <c r="D497" s="5" t="s">
        <v>868</v>
      </c>
      <c r="E497" s="5" t="s">
        <v>3192</v>
      </c>
      <c r="F497" s="132">
        <f>SUMIF('COLAR PLANO'!$A:$A,A497,'COLAR PLANO'!$D:$D)</f>
        <v>0</v>
      </c>
      <c r="G497" s="131">
        <f t="shared" si="146"/>
        <v>0</v>
      </c>
      <c r="H497" s="6">
        <v>0.104759956667657</v>
      </c>
      <c r="I497" s="7">
        <f t="shared" si="147"/>
        <v>0</v>
      </c>
      <c r="J497" s="130">
        <f t="shared" si="149"/>
        <v>0</v>
      </c>
      <c r="K497" s="647">
        <v>1</v>
      </c>
      <c r="L497" s="647">
        <v>12</v>
      </c>
      <c r="M497" s="647">
        <v>12</v>
      </c>
      <c r="N497" s="7">
        <f t="shared" si="157"/>
        <v>0</v>
      </c>
      <c r="O497" s="7">
        <f t="shared" ref="O497:O504" si="158">IFERROR(G497/M497,0)</f>
        <v>0</v>
      </c>
      <c r="P497" s="7"/>
      <c r="Q497" s="7"/>
      <c r="R497" s="7"/>
      <c r="S497" s="7"/>
      <c r="T497" s="7"/>
      <c r="U497" s="7" t="s">
        <v>2288</v>
      </c>
      <c r="V497" s="7" t="s">
        <v>2289</v>
      </c>
      <c r="W497" s="7" t="str">
        <f>Preencher!$B$3&amp;U497&amp;V497&amp;A497&amp;$W$6</f>
        <v>JARINU-FRG963879MQ.TUNEL DE CG (CONTINUO)</v>
      </c>
      <c r="X497" s="7" t="str">
        <f>Preencher!$B$3&amp;U497&amp;V497&amp;A497&amp;$X$6</f>
        <v>JARINU-FRG963879MQ.TUNEL DE CG (CONTINUO) (1)</v>
      </c>
      <c r="Y497" s="7" t="str">
        <f>Preencher!$B$3&amp;U497&amp;V497&amp;A497&amp;$Y$6</f>
        <v>JARINU-FRG963879MQ.TUNEL DE CG (CONTINUO) (2)</v>
      </c>
      <c r="Z497" s="7" t="str">
        <f>Preencher!$B$3&amp;U497&amp;V497&amp;A497&amp;$Z$6</f>
        <v>JARINU-FRG963879MQ.TUNEL DE CG (CONTINUO) (3)</v>
      </c>
      <c r="AA497" s="7" t="str">
        <f>Preencher!$B$3&amp;U497&amp;V497&amp;A497&amp;$AA$6</f>
        <v>JARINU-FRG963879MQ.TUNEL DE CG (ESTATICO)</v>
      </c>
      <c r="AB497" s="7" t="str">
        <f>Preencher!$B$3&amp;U497&amp;V497&amp;A497&amp;$AB$6</f>
        <v>JARINU-FRG963879MQ.TUNEL DE CG (ESTATICO) (1)</v>
      </c>
      <c r="AC497" s="7" t="str">
        <f>Preencher!$B$3&amp;U497&amp;V497&amp;A497&amp;$AC$6</f>
        <v>JARINU-FRG963879MQ.TUNEL DE CG (ESTATICO) (2)</v>
      </c>
      <c r="AD497" s="327">
        <f>IFERROR(SUMIF('BD Otimix'!A:A,'BD VOLUME'!X497,'BD Otimix'!O:O)+SUMIF('BD Otimix'!A:A,'BD VOLUME'!Y497,'BD Otimix'!O:O)+SUMIF('BD Otimix'!A:A,'BD VOLUME'!Z497,'BD Otimix'!O:O)+SUMIF('BD Otimix'!A:A,'BD VOLUME'!AA497,'BD Otimix'!O:O)+SUMIF('BD Otimix'!A:A,'BD VOLUME'!AB497,'BD Otimix'!O:O)+SUMIF('BD Otimix'!A:A,'BD VOLUME'!AC497,'BD Otimix'!O:O)+SUMIF('BD Otimix'!A:A,'BD VOLUME'!W497,'BD Otimix'!O:O),0)</f>
        <v>0</v>
      </c>
      <c r="AE497" s="327">
        <f t="shared" si="144"/>
        <v>0</v>
      </c>
      <c r="AF497" s="7" t="str">
        <f>Preencher!$B$3&amp;$U$8&amp;$V$8&amp;A497&amp;$AF$6</f>
        <v>JARINU-FRG963879MQ.GIROFREEZER</v>
      </c>
      <c r="AG497" s="7" t="str">
        <f>Preencher!$B$3&amp;$U$8&amp;$V$8&amp;A497&amp;$AG$6</f>
        <v>JARINU-FRG963879MQ.GIROFREEZER (1)</v>
      </c>
      <c r="AH497" s="7" t="str">
        <f>Preencher!$B$3&amp;$U$8&amp;$V$8&amp;A497&amp;$AH$6</f>
        <v>JARINU-FRG963879MQ.GIROFREEZER (2)</v>
      </c>
      <c r="AI497" s="7" t="str">
        <f>Preencher!$B$3&amp;$U$8&amp;$V$8&amp;A497&amp;$AI$6</f>
        <v>JARINU-FRG963879MQ.GIROFREEZER REV04</v>
      </c>
      <c r="AJ497" s="7" t="str">
        <f>Preencher!$B$3&amp;$U$8&amp;$V$8&amp;A497&amp;$AJ$6</f>
        <v>JARINU-FRG963879MQ.GIROFREEZER (3)</v>
      </c>
      <c r="AK497" s="327">
        <f>IFERROR(SUMIF('BD Otimix'!A:A,'BD VOLUME'!AG497,'BD Otimix'!O:O)+SUMIF('BD Otimix'!A:A,'BD VOLUME'!AH497,'BD Otimix'!O:O)+SUMIF('BD Otimix'!A:A,'BD VOLUME'!AI497,'BD Otimix'!O:O)+SUMIF('BD Otimix'!A:A,'BD VOLUME'!AJ497,'BD Otimix'!O:O)+SUMIF('BD Otimix'!A:A,'BD VOLUME'!AF497,'BD Otimix'!O:O),0)</f>
        <v>0</v>
      </c>
      <c r="AL497" s="7">
        <f t="shared" si="145"/>
        <v>0</v>
      </c>
    </row>
    <row r="498" spans="1:38">
      <c r="A498" s="647">
        <v>962180</v>
      </c>
      <c r="B498" s="647">
        <v>38962.35</v>
      </c>
      <c r="C498" s="5" t="s">
        <v>3187</v>
      </c>
      <c r="D498" s="5" t="s">
        <v>868</v>
      </c>
      <c r="E498" s="5" t="s">
        <v>3192</v>
      </c>
      <c r="F498" s="132">
        <f>SUMIF('COLAR PLANO'!$A:$A,A498,'COLAR PLANO'!$D:$D)</f>
        <v>0</v>
      </c>
      <c r="G498" s="131">
        <f t="shared" ref="G498:G515" si="159">IFERROR(F498/($E$3*$C$3),0)</f>
        <v>0</v>
      </c>
      <c r="H498" s="6">
        <v>0.104759956667657</v>
      </c>
      <c r="I498" s="7">
        <f t="shared" ref="I498:I515" si="160">IFERROR(G498/$D$3/H498,0)</f>
        <v>0</v>
      </c>
      <c r="J498" s="130">
        <f t="shared" ref="J498:J515" si="161">IFERROR(I498/$B$472,0)</f>
        <v>0</v>
      </c>
      <c r="K498" s="647">
        <v>0.9</v>
      </c>
      <c r="L498" s="647">
        <v>12</v>
      </c>
      <c r="M498" s="647">
        <v>10.8</v>
      </c>
      <c r="N498" s="7">
        <f t="shared" si="157"/>
        <v>0</v>
      </c>
      <c r="O498" s="7">
        <f t="shared" si="158"/>
        <v>0</v>
      </c>
      <c r="P498" s="7"/>
      <c r="Q498" s="7"/>
      <c r="R498" s="7"/>
      <c r="S498" s="7"/>
      <c r="T498" s="7"/>
      <c r="U498" s="7" t="s">
        <v>2288</v>
      </c>
      <c r="V498" s="7" t="s">
        <v>2289</v>
      </c>
      <c r="W498" s="7" t="str">
        <f>Preencher!$B$3&amp;U498&amp;V498&amp;A498&amp;$W$6</f>
        <v>JARINU-FRG962180MQ.TUNEL DE CG (CONTINUO)</v>
      </c>
      <c r="X498" s="7" t="str">
        <f>Preencher!$B$3&amp;U498&amp;V498&amp;A498&amp;$X$6</f>
        <v>JARINU-FRG962180MQ.TUNEL DE CG (CONTINUO) (1)</v>
      </c>
      <c r="Y498" s="7" t="str">
        <f>Preencher!$B$3&amp;U498&amp;V498&amp;A498&amp;$Y$6</f>
        <v>JARINU-FRG962180MQ.TUNEL DE CG (CONTINUO) (2)</v>
      </c>
      <c r="Z498" s="7" t="str">
        <f>Preencher!$B$3&amp;U498&amp;V498&amp;A498&amp;$Z$6</f>
        <v>JARINU-FRG962180MQ.TUNEL DE CG (CONTINUO) (3)</v>
      </c>
      <c r="AA498" s="7" t="str">
        <f>Preencher!$B$3&amp;U498&amp;V498&amp;A498&amp;$AA$6</f>
        <v>JARINU-FRG962180MQ.TUNEL DE CG (ESTATICO)</v>
      </c>
      <c r="AB498" s="7" t="str">
        <f>Preencher!$B$3&amp;U498&amp;V498&amp;A498&amp;$AB$6</f>
        <v>JARINU-FRG962180MQ.TUNEL DE CG (ESTATICO) (1)</v>
      </c>
      <c r="AC498" s="7" t="str">
        <f>Preencher!$B$3&amp;U498&amp;V498&amp;A498&amp;$AC$6</f>
        <v>JARINU-FRG962180MQ.TUNEL DE CG (ESTATICO) (2)</v>
      </c>
      <c r="AD498" s="327">
        <f>IFERROR(SUMIF('BD Otimix'!A:A,'BD VOLUME'!X498,'BD Otimix'!O:O)+SUMIF('BD Otimix'!A:A,'BD VOLUME'!Y498,'BD Otimix'!O:O)+SUMIF('BD Otimix'!A:A,'BD VOLUME'!Z498,'BD Otimix'!O:O)+SUMIF('BD Otimix'!A:A,'BD VOLUME'!AA498,'BD Otimix'!O:O)+SUMIF('BD Otimix'!A:A,'BD VOLUME'!AB498,'BD Otimix'!O:O)+SUMIF('BD Otimix'!A:A,'BD VOLUME'!AC498,'BD Otimix'!O:O)+SUMIF('BD Otimix'!A:A,'BD VOLUME'!W498,'BD Otimix'!O:O),0)</f>
        <v>0</v>
      </c>
      <c r="AE498" s="327">
        <f t="shared" si="144"/>
        <v>0</v>
      </c>
      <c r="AF498" s="7" t="str">
        <f>Preencher!$B$3&amp;$U$8&amp;$V$8&amp;A498&amp;$AF$6</f>
        <v>JARINU-FRG962180MQ.GIROFREEZER</v>
      </c>
      <c r="AG498" s="7" t="str">
        <f>Preencher!$B$3&amp;$U$8&amp;$V$8&amp;A498&amp;$AG$6</f>
        <v>JARINU-FRG962180MQ.GIROFREEZER (1)</v>
      </c>
      <c r="AH498" s="7" t="str">
        <f>Preencher!$B$3&amp;$U$8&amp;$V$8&amp;A498&amp;$AH$6</f>
        <v>JARINU-FRG962180MQ.GIROFREEZER (2)</v>
      </c>
      <c r="AI498" s="7" t="str">
        <f>Preencher!$B$3&amp;$U$8&amp;$V$8&amp;A498&amp;$AI$6</f>
        <v>JARINU-FRG962180MQ.GIROFREEZER REV04</v>
      </c>
      <c r="AJ498" s="7" t="str">
        <f>Preencher!$B$3&amp;$U$8&amp;$V$8&amp;A498&amp;$AJ$6</f>
        <v>JARINU-FRG962180MQ.GIROFREEZER (3)</v>
      </c>
      <c r="AK498" s="327">
        <f>IFERROR(SUMIF('BD Otimix'!A:A,'BD VOLUME'!AG498,'BD Otimix'!O:O)+SUMIF('BD Otimix'!A:A,'BD VOLUME'!AH498,'BD Otimix'!O:O)+SUMIF('BD Otimix'!A:A,'BD VOLUME'!AI498,'BD Otimix'!O:O)+SUMIF('BD Otimix'!A:A,'BD VOLUME'!AJ498,'BD Otimix'!O:O)+SUMIF('BD Otimix'!A:A,'BD VOLUME'!AF498,'BD Otimix'!O:O),0)</f>
        <v>0</v>
      </c>
      <c r="AL498" s="7">
        <f t="shared" si="145"/>
        <v>0</v>
      </c>
    </row>
    <row r="499" spans="1:38">
      <c r="A499" s="253">
        <v>43033</v>
      </c>
      <c r="B499" s="253" t="s">
        <v>1022</v>
      </c>
      <c r="C499" s="5" t="s">
        <v>1666</v>
      </c>
      <c r="D499" s="5" t="s">
        <v>868</v>
      </c>
      <c r="E499" s="5" t="s">
        <v>1693</v>
      </c>
      <c r="F499" s="132">
        <f>SUMIF('COLAR PLANO'!$A:$A,A499,'COLAR PLANO'!$D:$D)</f>
        <v>0</v>
      </c>
      <c r="G499" s="131">
        <f t="shared" si="159"/>
        <v>0</v>
      </c>
      <c r="H499" s="6">
        <v>0.104759956667657</v>
      </c>
      <c r="I499" s="7">
        <f t="shared" si="160"/>
        <v>0</v>
      </c>
      <c r="J499" s="130">
        <f t="shared" si="161"/>
        <v>0</v>
      </c>
      <c r="K499" s="401">
        <v>0.65</v>
      </c>
      <c r="L499" s="584">
        <v>15</v>
      </c>
      <c r="M499" s="584">
        <v>9.75</v>
      </c>
      <c r="N499" s="7">
        <f t="shared" si="157"/>
        <v>0</v>
      </c>
      <c r="O499" s="7">
        <f t="shared" si="158"/>
        <v>0</v>
      </c>
      <c r="P499" s="7"/>
      <c r="Q499" s="7"/>
      <c r="R499" s="7"/>
      <c r="S499" s="7"/>
      <c r="T499" s="7"/>
      <c r="U499" s="7" t="s">
        <v>2288</v>
      </c>
      <c r="V499" s="7" t="s">
        <v>2289</v>
      </c>
      <c r="W499" s="7" t="str">
        <f>Preencher!$B$3&amp;U499&amp;V499&amp;A499&amp;$W$6</f>
        <v>JARINU-FRG43033MQ.TUNEL DE CG (CONTINUO)</v>
      </c>
      <c r="X499" s="7" t="str">
        <f>Preencher!$B$3&amp;U499&amp;V499&amp;A499&amp;$X$6</f>
        <v>JARINU-FRG43033MQ.TUNEL DE CG (CONTINUO) (1)</v>
      </c>
      <c r="Y499" s="7" t="str">
        <f>Preencher!$B$3&amp;U499&amp;V499&amp;A499&amp;$Y$6</f>
        <v>JARINU-FRG43033MQ.TUNEL DE CG (CONTINUO) (2)</v>
      </c>
      <c r="Z499" s="7" t="str">
        <f>Preencher!$B$3&amp;U499&amp;V499&amp;A499&amp;$Z$6</f>
        <v>JARINU-FRG43033MQ.TUNEL DE CG (CONTINUO) (3)</v>
      </c>
      <c r="AA499" s="7" t="str">
        <f>Preencher!$B$3&amp;U499&amp;V499&amp;A499&amp;$AA$6</f>
        <v>JARINU-FRG43033MQ.TUNEL DE CG (ESTATICO)</v>
      </c>
      <c r="AB499" s="7" t="str">
        <f>Preencher!$B$3&amp;U499&amp;V499&amp;A499&amp;$AB$6</f>
        <v>JARINU-FRG43033MQ.TUNEL DE CG (ESTATICO) (1)</v>
      </c>
      <c r="AC499" s="7" t="str">
        <f>Preencher!$B$3&amp;U499&amp;V499&amp;A499&amp;$AC$6</f>
        <v>JARINU-FRG43033MQ.TUNEL DE CG (ESTATICO) (2)</v>
      </c>
      <c r="AD499" s="327">
        <f>IFERROR(SUMIF('BD Otimix'!A:A,'BD VOLUME'!X499,'BD Otimix'!O:O)+SUMIF('BD Otimix'!A:A,'BD VOLUME'!Y499,'BD Otimix'!O:O)+SUMIF('BD Otimix'!A:A,'BD VOLUME'!Z499,'BD Otimix'!O:O)+SUMIF('BD Otimix'!A:A,'BD VOLUME'!AA499,'BD Otimix'!O:O)+SUMIF('BD Otimix'!A:A,'BD VOLUME'!AB499,'BD Otimix'!O:O)+SUMIF('BD Otimix'!A:A,'BD VOLUME'!AC499,'BD Otimix'!O:O)+SUMIF('BD Otimix'!A:A,'BD VOLUME'!W499,'BD Otimix'!O:O),0)</f>
        <v>0</v>
      </c>
      <c r="AE499" s="327">
        <f t="shared" si="144"/>
        <v>0</v>
      </c>
      <c r="AF499" s="7" t="str">
        <f>Preencher!$B$3&amp;$U$8&amp;$V$8&amp;A499&amp;$AF$6</f>
        <v>JARINU-FRG43033MQ.GIROFREEZER</v>
      </c>
      <c r="AG499" s="7" t="str">
        <f>Preencher!$B$3&amp;$U$8&amp;$V$8&amp;A499&amp;$AG$6</f>
        <v>JARINU-FRG43033MQ.GIROFREEZER (1)</v>
      </c>
      <c r="AH499" s="7" t="str">
        <f>Preencher!$B$3&amp;$U$8&amp;$V$8&amp;A499&amp;$AH$6</f>
        <v>JARINU-FRG43033MQ.GIROFREEZER (2)</v>
      </c>
      <c r="AI499" s="7" t="str">
        <f>Preencher!$B$3&amp;$U$8&amp;$V$8&amp;A499&amp;$AI$6</f>
        <v>JARINU-FRG43033MQ.GIROFREEZER REV04</v>
      </c>
      <c r="AJ499" s="7" t="str">
        <f>Preencher!$B$3&amp;$U$8&amp;$V$8&amp;A499&amp;$AJ$6</f>
        <v>JARINU-FRG43033MQ.GIROFREEZER (3)</v>
      </c>
      <c r="AK499" s="327">
        <f>IFERROR(SUMIF('BD Otimix'!A:A,'BD VOLUME'!AG499,'BD Otimix'!O:O)+SUMIF('BD Otimix'!A:A,'BD VOLUME'!AH499,'BD Otimix'!O:O)+SUMIF('BD Otimix'!A:A,'BD VOLUME'!AI499,'BD Otimix'!O:O)+SUMIF('BD Otimix'!A:A,'BD VOLUME'!AJ499,'BD Otimix'!O:O)+SUMIF('BD Otimix'!A:A,'BD VOLUME'!AF499,'BD Otimix'!O:O),0)</f>
        <v>0</v>
      </c>
      <c r="AL499" s="7">
        <f t="shared" si="145"/>
        <v>0</v>
      </c>
    </row>
    <row r="500" spans="1:38">
      <c r="A500" s="605">
        <v>729760</v>
      </c>
      <c r="B500" s="605" t="s">
        <v>2046</v>
      </c>
      <c r="C500" s="5" t="s">
        <v>2047</v>
      </c>
      <c r="D500" s="5" t="s">
        <v>868</v>
      </c>
      <c r="E500" s="5" t="s">
        <v>1693</v>
      </c>
      <c r="F500" s="132">
        <f>SUMIF('COLAR PLANO'!$A:$A,A500,'COLAR PLANO'!$D:$D)</f>
        <v>0</v>
      </c>
      <c r="G500" s="131">
        <f t="shared" si="159"/>
        <v>0</v>
      </c>
      <c r="H500" s="6">
        <v>0.104759956667657</v>
      </c>
      <c r="I500" s="7">
        <f t="shared" si="160"/>
        <v>0</v>
      </c>
      <c r="J500" s="130">
        <f t="shared" si="161"/>
        <v>0</v>
      </c>
      <c r="K500" s="605">
        <v>0.65</v>
      </c>
      <c r="L500" s="605">
        <v>15</v>
      </c>
      <c r="M500" s="605">
        <v>9.75</v>
      </c>
      <c r="N500" s="7">
        <f t="shared" si="157"/>
        <v>0</v>
      </c>
      <c r="O500" s="7">
        <f t="shared" si="158"/>
        <v>0</v>
      </c>
      <c r="P500" s="7"/>
      <c r="Q500" s="7"/>
      <c r="R500" s="7"/>
      <c r="S500" s="7"/>
      <c r="T500" s="7"/>
      <c r="U500" s="7" t="s">
        <v>2288</v>
      </c>
      <c r="V500" s="7" t="s">
        <v>2289</v>
      </c>
      <c r="W500" s="7" t="str">
        <f>Preencher!$B$3&amp;U500&amp;V500&amp;A500&amp;$W$6</f>
        <v>JARINU-FRG729760MQ.TUNEL DE CG (CONTINUO)</v>
      </c>
      <c r="X500" s="7" t="str">
        <f>Preencher!$B$3&amp;U500&amp;V500&amp;A500&amp;$X$6</f>
        <v>JARINU-FRG729760MQ.TUNEL DE CG (CONTINUO) (1)</v>
      </c>
      <c r="Y500" s="7" t="str">
        <f>Preencher!$B$3&amp;U500&amp;V500&amp;A500&amp;$Y$6</f>
        <v>JARINU-FRG729760MQ.TUNEL DE CG (CONTINUO) (2)</v>
      </c>
      <c r="Z500" s="7" t="str">
        <f>Preencher!$B$3&amp;U500&amp;V500&amp;A500&amp;$Z$6</f>
        <v>JARINU-FRG729760MQ.TUNEL DE CG (CONTINUO) (3)</v>
      </c>
      <c r="AA500" s="7" t="str">
        <f>Preencher!$B$3&amp;U500&amp;V500&amp;A500&amp;$AA$6</f>
        <v>JARINU-FRG729760MQ.TUNEL DE CG (ESTATICO)</v>
      </c>
      <c r="AB500" s="7" t="str">
        <f>Preencher!$B$3&amp;U500&amp;V500&amp;A500&amp;$AB$6</f>
        <v>JARINU-FRG729760MQ.TUNEL DE CG (ESTATICO) (1)</v>
      </c>
      <c r="AC500" s="7" t="str">
        <f>Preencher!$B$3&amp;U500&amp;V500&amp;A500&amp;$AC$6</f>
        <v>JARINU-FRG729760MQ.TUNEL DE CG (ESTATICO) (2)</v>
      </c>
      <c r="AD500" s="327">
        <f>IFERROR(SUMIF('BD Otimix'!A:A,'BD VOLUME'!X500,'BD Otimix'!O:O)+SUMIF('BD Otimix'!A:A,'BD VOLUME'!Y500,'BD Otimix'!O:O)+SUMIF('BD Otimix'!A:A,'BD VOLUME'!Z500,'BD Otimix'!O:O)+SUMIF('BD Otimix'!A:A,'BD VOLUME'!AA500,'BD Otimix'!O:O)+SUMIF('BD Otimix'!A:A,'BD VOLUME'!AB500,'BD Otimix'!O:O)+SUMIF('BD Otimix'!A:A,'BD VOLUME'!AC500,'BD Otimix'!O:O)+SUMIF('BD Otimix'!A:A,'BD VOLUME'!W500,'BD Otimix'!O:O),0)</f>
        <v>0</v>
      </c>
      <c r="AE500" s="327">
        <f t="shared" si="144"/>
        <v>0</v>
      </c>
      <c r="AF500" s="7" t="str">
        <f>Preencher!$B$3&amp;$U$8&amp;$V$8&amp;A500&amp;$AF$6</f>
        <v>JARINU-FRG729760MQ.GIROFREEZER</v>
      </c>
      <c r="AG500" s="7" t="str">
        <f>Preencher!$B$3&amp;$U$8&amp;$V$8&amp;A500&amp;$AG$6</f>
        <v>JARINU-FRG729760MQ.GIROFREEZER (1)</v>
      </c>
      <c r="AH500" s="7" t="str">
        <f>Preencher!$B$3&amp;$U$8&amp;$V$8&amp;A500&amp;$AH$6</f>
        <v>JARINU-FRG729760MQ.GIROFREEZER (2)</v>
      </c>
      <c r="AI500" s="7" t="str">
        <f>Preencher!$B$3&amp;$U$8&amp;$V$8&amp;A500&amp;$AI$6</f>
        <v>JARINU-FRG729760MQ.GIROFREEZER REV04</v>
      </c>
      <c r="AJ500" s="7" t="str">
        <f>Preencher!$B$3&amp;$U$8&amp;$V$8&amp;A500&amp;$AJ$6</f>
        <v>JARINU-FRG729760MQ.GIROFREEZER (3)</v>
      </c>
      <c r="AK500" s="327">
        <f>IFERROR(SUMIF('BD Otimix'!A:A,'BD VOLUME'!AG500,'BD Otimix'!O:O)+SUMIF('BD Otimix'!A:A,'BD VOLUME'!AH500,'BD Otimix'!O:O)+SUMIF('BD Otimix'!A:A,'BD VOLUME'!AI500,'BD Otimix'!O:O)+SUMIF('BD Otimix'!A:A,'BD VOLUME'!AJ500,'BD Otimix'!O:O)+SUMIF('BD Otimix'!A:A,'BD VOLUME'!AF500,'BD Otimix'!O:O),0)</f>
        <v>0</v>
      </c>
      <c r="AL500" s="7">
        <f t="shared" si="145"/>
        <v>0</v>
      </c>
    </row>
    <row r="501" spans="1:38">
      <c r="A501" s="730">
        <v>228388</v>
      </c>
      <c r="B501" s="730"/>
      <c r="C501" s="5" t="s">
        <v>3041</v>
      </c>
      <c r="D501" s="5" t="s">
        <v>868</v>
      </c>
      <c r="E501" s="5" t="s">
        <v>1079</v>
      </c>
      <c r="F501" s="132">
        <f>SUMIF('COLAR PLANO'!$A:$A,A501,'COLAR PLANO'!$D:$D)</f>
        <v>0</v>
      </c>
      <c r="G501" s="131">
        <f t="shared" si="159"/>
        <v>0</v>
      </c>
      <c r="H501" s="6">
        <v>0.1946</v>
      </c>
      <c r="I501" s="7">
        <f t="shared" si="160"/>
        <v>0</v>
      </c>
      <c r="J501" s="130">
        <f t="shared" si="161"/>
        <v>0</v>
      </c>
      <c r="K501" s="730">
        <v>7.5</v>
      </c>
      <c r="L501" s="730">
        <v>1</v>
      </c>
      <c r="M501" s="730">
        <v>7.5</v>
      </c>
      <c r="N501" s="7">
        <f t="shared" si="157"/>
        <v>0</v>
      </c>
      <c r="O501" s="7"/>
      <c r="P501" s="7">
        <f>IFERROR(G501/M501,0)</f>
        <v>0</v>
      </c>
      <c r="Q501" s="7"/>
      <c r="R501" s="7"/>
      <c r="S501" s="7"/>
      <c r="T501" s="7"/>
      <c r="U501" s="7" t="s">
        <v>2288</v>
      </c>
      <c r="V501" s="7" t="s">
        <v>2289</v>
      </c>
      <c r="W501" s="7" t="str">
        <f>Preencher!$B$3&amp;U501&amp;V501&amp;A501&amp;$W$6</f>
        <v>JARINU-FRG228388MQ.TUNEL DE CG (CONTINUO)</v>
      </c>
      <c r="X501" s="7" t="str">
        <f>Preencher!$B$3&amp;U501&amp;V501&amp;A501&amp;$X$6</f>
        <v>JARINU-FRG228388MQ.TUNEL DE CG (CONTINUO) (1)</v>
      </c>
      <c r="Y501" s="7" t="str">
        <f>Preencher!$B$3&amp;U501&amp;V501&amp;A501&amp;$Y$6</f>
        <v>JARINU-FRG228388MQ.TUNEL DE CG (CONTINUO) (2)</v>
      </c>
      <c r="Z501" s="7" t="str">
        <f>Preencher!$B$3&amp;U501&amp;V501&amp;A501&amp;$Z$6</f>
        <v>JARINU-FRG228388MQ.TUNEL DE CG (CONTINUO) (3)</v>
      </c>
      <c r="AA501" s="7" t="str">
        <f>Preencher!$B$3&amp;U501&amp;V501&amp;A501&amp;$AA$6</f>
        <v>JARINU-FRG228388MQ.TUNEL DE CG (ESTATICO)</v>
      </c>
      <c r="AB501" s="7" t="str">
        <f>Preencher!$B$3&amp;U501&amp;V501&amp;A501&amp;$AB$6</f>
        <v>JARINU-FRG228388MQ.TUNEL DE CG (ESTATICO) (1)</v>
      </c>
      <c r="AC501" s="7" t="str">
        <f>Preencher!$B$3&amp;U501&amp;V501&amp;A501&amp;$AC$6</f>
        <v>JARINU-FRG228388MQ.TUNEL DE CG (ESTATICO) (2)</v>
      </c>
      <c r="AD501" s="327">
        <f>IFERROR(SUMIF('BD Otimix'!A:A,'BD VOLUME'!X501,'BD Otimix'!O:O)+SUMIF('BD Otimix'!A:A,'BD VOLUME'!Y501,'BD Otimix'!O:O)+SUMIF('BD Otimix'!A:A,'BD VOLUME'!Z501,'BD Otimix'!O:O)+SUMIF('BD Otimix'!A:A,'BD VOLUME'!AA501,'BD Otimix'!O:O)+SUMIF('BD Otimix'!A:A,'BD VOLUME'!AB501,'BD Otimix'!O:O)+SUMIF('BD Otimix'!A:A,'BD VOLUME'!AC501,'BD Otimix'!O:O)+SUMIF('BD Otimix'!A:A,'BD VOLUME'!W501,'BD Otimix'!O:O),0)</f>
        <v>0</v>
      </c>
      <c r="AE501" s="327">
        <f t="shared" si="144"/>
        <v>0</v>
      </c>
      <c r="AF501" s="7" t="str">
        <f>Preencher!$B$3&amp;$U$8&amp;$V$8&amp;A501&amp;$AF$6</f>
        <v>JARINU-FRG228388MQ.GIROFREEZER</v>
      </c>
      <c r="AG501" s="7" t="str">
        <f>Preencher!$B$3&amp;$U$8&amp;$V$8&amp;A501&amp;$AG$6</f>
        <v>JARINU-FRG228388MQ.GIROFREEZER (1)</v>
      </c>
      <c r="AH501" s="7" t="str">
        <f>Preencher!$B$3&amp;$U$8&amp;$V$8&amp;A501&amp;$AH$6</f>
        <v>JARINU-FRG228388MQ.GIROFREEZER (2)</v>
      </c>
      <c r="AI501" s="7" t="str">
        <f>Preencher!$B$3&amp;$U$8&amp;$V$8&amp;A501&amp;$AI$6</f>
        <v>JARINU-FRG228388MQ.GIROFREEZER REV04</v>
      </c>
      <c r="AJ501" s="7" t="str">
        <f>Preencher!$B$3&amp;$U$8&amp;$V$8&amp;A501&amp;$AJ$6</f>
        <v>JARINU-FRG228388MQ.GIROFREEZER (3)</v>
      </c>
      <c r="AK501" s="327">
        <f>IFERROR(SUMIF('BD Otimix'!A:A,'BD VOLUME'!AG501,'BD Otimix'!O:O)+SUMIF('BD Otimix'!A:A,'BD VOLUME'!AH501,'BD Otimix'!O:O)+SUMIF('BD Otimix'!A:A,'BD VOLUME'!AI501,'BD Otimix'!O:O)+SUMIF('BD Otimix'!A:A,'BD VOLUME'!AJ501,'BD Otimix'!O:O)+SUMIF('BD Otimix'!A:A,'BD VOLUME'!AF501,'BD Otimix'!O:O),0)</f>
        <v>0</v>
      </c>
      <c r="AL501" s="7">
        <f t="shared" si="145"/>
        <v>0</v>
      </c>
    </row>
    <row r="502" spans="1:38">
      <c r="A502" s="730">
        <v>221559</v>
      </c>
      <c r="B502" s="730"/>
      <c r="C502" s="5" t="s">
        <v>2988</v>
      </c>
      <c r="D502" s="5" t="s">
        <v>868</v>
      </c>
      <c r="E502" s="5" t="s">
        <v>1080</v>
      </c>
      <c r="F502" s="132">
        <f>SUMIF('COLAR PLANO'!$A:$A,A502,'COLAR PLANO'!$D:$D)</f>
        <v>0</v>
      </c>
      <c r="G502" s="131">
        <f>IFERROR(F502/($E$3*$C$3),0)</f>
        <v>0</v>
      </c>
      <c r="H502" s="6">
        <v>0.1946</v>
      </c>
      <c r="I502" s="7">
        <f>IFERROR(G502/$D$3/H502,0)</f>
        <v>0</v>
      </c>
      <c r="J502" s="130">
        <f>IFERROR(I502/$B$472,0)</f>
        <v>0</v>
      </c>
      <c r="K502" s="730">
        <v>15</v>
      </c>
      <c r="L502" s="730">
        <v>1</v>
      </c>
      <c r="M502" s="730">
        <v>15</v>
      </c>
      <c r="N502" s="7">
        <f>IFERROR(G502/K502,"-")</f>
        <v>0</v>
      </c>
      <c r="P502" s="7">
        <f>IFERROR(G502/M502,0)</f>
        <v>0</v>
      </c>
      <c r="Q502" s="7"/>
      <c r="R502" s="7"/>
      <c r="S502" s="7"/>
      <c r="T502" s="7"/>
      <c r="U502" s="7" t="s">
        <v>2288</v>
      </c>
      <c r="V502" s="7" t="s">
        <v>2289</v>
      </c>
      <c r="W502" s="7" t="str">
        <f>Preencher!$B$3&amp;U502&amp;V502&amp;A502&amp;$W$6</f>
        <v>JARINU-FRG221559MQ.TUNEL DE CG (CONTINUO)</v>
      </c>
      <c r="X502" s="7" t="str">
        <f>Preencher!$B$3&amp;U502&amp;V502&amp;A502&amp;$X$6</f>
        <v>JARINU-FRG221559MQ.TUNEL DE CG (CONTINUO) (1)</v>
      </c>
      <c r="Y502" s="7" t="str">
        <f>Preencher!$B$3&amp;U502&amp;V502&amp;A502&amp;$Y$6</f>
        <v>JARINU-FRG221559MQ.TUNEL DE CG (CONTINUO) (2)</v>
      </c>
      <c r="Z502" s="7" t="str">
        <f>Preencher!$B$3&amp;U502&amp;V502&amp;A502&amp;$Z$6</f>
        <v>JARINU-FRG221559MQ.TUNEL DE CG (CONTINUO) (3)</v>
      </c>
      <c r="AA502" s="7" t="str">
        <f>Preencher!$B$3&amp;U502&amp;V502&amp;A502&amp;$AA$6</f>
        <v>JARINU-FRG221559MQ.TUNEL DE CG (ESTATICO)</v>
      </c>
      <c r="AB502" s="7" t="str">
        <f>Preencher!$B$3&amp;U502&amp;V502&amp;A502&amp;$AB$6</f>
        <v>JARINU-FRG221559MQ.TUNEL DE CG (ESTATICO) (1)</v>
      </c>
      <c r="AC502" s="7" t="str">
        <f>Preencher!$B$3&amp;U502&amp;V502&amp;A502&amp;$AC$6</f>
        <v>JARINU-FRG221559MQ.TUNEL DE CG (ESTATICO) (2)</v>
      </c>
      <c r="AD502" s="327">
        <f>IFERROR(SUMIF('BD Otimix'!A:A,'BD VOLUME'!X502,'BD Otimix'!O:O)+SUMIF('BD Otimix'!A:A,'BD VOLUME'!Y502,'BD Otimix'!O:O)+SUMIF('BD Otimix'!A:A,'BD VOLUME'!Z502,'BD Otimix'!O:O)+SUMIF('BD Otimix'!A:A,'BD VOLUME'!AA502,'BD Otimix'!O:O)+SUMIF('BD Otimix'!A:A,'BD VOLUME'!AB502,'BD Otimix'!O:O)+SUMIF('BD Otimix'!A:A,'BD VOLUME'!AC502,'BD Otimix'!O:O)+SUMIF('BD Otimix'!A:A,'BD VOLUME'!W502,'BD Otimix'!O:O),0)</f>
        <v>0</v>
      </c>
      <c r="AE502" s="327">
        <f>IFERROR(F502/$E$3/1000/AD502,0)</f>
        <v>0</v>
      </c>
      <c r="AF502" s="7" t="str">
        <f>Preencher!$B$3&amp;$U$8&amp;$V$8&amp;A502&amp;$AF$6</f>
        <v>JARINU-FRG221559MQ.GIROFREEZER</v>
      </c>
      <c r="AG502" s="7" t="str">
        <f>Preencher!$B$3&amp;$U$8&amp;$V$8&amp;A502&amp;$AG$6</f>
        <v>JARINU-FRG221559MQ.GIROFREEZER (1)</v>
      </c>
      <c r="AH502" s="7" t="str">
        <f>Preencher!$B$3&amp;$U$8&amp;$V$8&amp;A502&amp;$AH$6</f>
        <v>JARINU-FRG221559MQ.GIROFREEZER (2)</v>
      </c>
      <c r="AI502" s="7" t="str">
        <f>Preencher!$B$3&amp;$U$8&amp;$V$8&amp;A502&amp;$AI$6</f>
        <v>JARINU-FRG221559MQ.GIROFREEZER REV04</v>
      </c>
      <c r="AJ502" s="7" t="str">
        <f>Preencher!$B$3&amp;$U$8&amp;$V$8&amp;A502&amp;$AJ$6</f>
        <v>JARINU-FRG221559MQ.GIROFREEZER (3)</v>
      </c>
      <c r="AK502" s="327">
        <f>IFERROR(SUMIF('BD Otimix'!A:A,'BD VOLUME'!AG502,'BD Otimix'!O:O)+SUMIF('BD Otimix'!A:A,'BD VOLUME'!AH502,'BD Otimix'!O:O)+SUMIF('BD Otimix'!A:A,'BD VOLUME'!AI502,'BD Otimix'!O:O)+SUMIF('BD Otimix'!A:A,'BD VOLUME'!AJ502,'BD Otimix'!O:O)+SUMIF('BD Otimix'!A:A,'BD VOLUME'!AF502,'BD Otimix'!O:O),0)</f>
        <v>0</v>
      </c>
      <c r="AL502" s="7">
        <f>IFERROR(F502/$E$3/1000/AK502,0)</f>
        <v>0</v>
      </c>
    </row>
    <row r="503" spans="1:38">
      <c r="A503" s="647">
        <v>15229</v>
      </c>
      <c r="B503" s="647"/>
      <c r="C503" s="5" t="s">
        <v>2238</v>
      </c>
      <c r="D503" s="5" t="s">
        <v>868</v>
      </c>
      <c r="E503" s="5" t="s">
        <v>1653</v>
      </c>
      <c r="F503" s="132">
        <f>SUMIF('COLAR PLANO'!$A:$A,A503,'COLAR PLANO'!$D:$D)</f>
        <v>0</v>
      </c>
      <c r="G503" s="131">
        <f t="shared" si="159"/>
        <v>0</v>
      </c>
      <c r="H503" s="6">
        <v>0.104759956667657</v>
      </c>
      <c r="I503" s="7">
        <f t="shared" si="160"/>
        <v>0</v>
      </c>
      <c r="J503" s="130">
        <f t="shared" si="161"/>
        <v>0</v>
      </c>
      <c r="K503" s="647">
        <v>0.65</v>
      </c>
      <c r="L503" s="647">
        <v>10</v>
      </c>
      <c r="M503" s="647">
        <v>6.5</v>
      </c>
      <c r="N503" s="7">
        <f t="shared" si="157"/>
        <v>0</v>
      </c>
      <c r="O503" s="7">
        <f t="shared" si="158"/>
        <v>0</v>
      </c>
      <c r="P503" s="7"/>
      <c r="Q503" s="7"/>
      <c r="R503" s="7"/>
      <c r="S503" s="7"/>
      <c r="T503" s="7"/>
      <c r="U503" s="7" t="s">
        <v>2288</v>
      </c>
      <c r="V503" s="7" t="s">
        <v>2289</v>
      </c>
      <c r="W503" s="7" t="str">
        <f>Preencher!$B$3&amp;U503&amp;V503&amp;A503&amp;$W$6</f>
        <v>JARINU-FRG15229MQ.TUNEL DE CG (CONTINUO)</v>
      </c>
      <c r="X503" s="7" t="str">
        <f>Preencher!$B$3&amp;U503&amp;V503&amp;A503&amp;$X$6</f>
        <v>JARINU-FRG15229MQ.TUNEL DE CG (CONTINUO) (1)</v>
      </c>
      <c r="Y503" s="7" t="str">
        <f>Preencher!$B$3&amp;U503&amp;V503&amp;A503&amp;$Y$6</f>
        <v>JARINU-FRG15229MQ.TUNEL DE CG (CONTINUO) (2)</v>
      </c>
      <c r="Z503" s="7" t="str">
        <f>Preencher!$B$3&amp;U503&amp;V503&amp;A503&amp;$Z$6</f>
        <v>JARINU-FRG15229MQ.TUNEL DE CG (CONTINUO) (3)</v>
      </c>
      <c r="AA503" s="7" t="str">
        <f>Preencher!$B$3&amp;U503&amp;V503&amp;A503&amp;$AA$6</f>
        <v>JARINU-FRG15229MQ.TUNEL DE CG (ESTATICO)</v>
      </c>
      <c r="AB503" s="7" t="str">
        <f>Preencher!$B$3&amp;U503&amp;V503&amp;A503&amp;$AB$6</f>
        <v>JARINU-FRG15229MQ.TUNEL DE CG (ESTATICO) (1)</v>
      </c>
      <c r="AC503" s="7" t="str">
        <f>Preencher!$B$3&amp;U503&amp;V503&amp;A503&amp;$AC$6</f>
        <v>JARINU-FRG15229MQ.TUNEL DE CG (ESTATICO) (2)</v>
      </c>
      <c r="AD503" s="327">
        <f>IFERROR(SUMIF('BD Otimix'!A:A,'BD VOLUME'!X503,'BD Otimix'!O:O)+SUMIF('BD Otimix'!A:A,'BD VOLUME'!Y503,'BD Otimix'!O:O)+SUMIF('BD Otimix'!A:A,'BD VOLUME'!Z503,'BD Otimix'!O:O)+SUMIF('BD Otimix'!A:A,'BD VOLUME'!AA503,'BD Otimix'!O:O)+SUMIF('BD Otimix'!A:A,'BD VOLUME'!AB503,'BD Otimix'!O:O)+SUMIF('BD Otimix'!A:A,'BD VOLUME'!AC503,'BD Otimix'!O:O)+SUMIF('BD Otimix'!A:A,'BD VOLUME'!W503,'BD Otimix'!O:O),0)</f>
        <v>0</v>
      </c>
      <c r="AE503" s="327">
        <f t="shared" si="144"/>
        <v>0</v>
      </c>
      <c r="AF503" s="7" t="str">
        <f>Preencher!$B$3&amp;$U$8&amp;$V$8&amp;A503&amp;$AF$6</f>
        <v>JARINU-FRG15229MQ.GIROFREEZER</v>
      </c>
      <c r="AG503" s="7" t="str">
        <f>Preencher!$B$3&amp;$U$8&amp;$V$8&amp;A503&amp;$AG$6</f>
        <v>JARINU-FRG15229MQ.GIROFREEZER (1)</v>
      </c>
      <c r="AH503" s="7" t="str">
        <f>Preencher!$B$3&amp;$U$8&amp;$V$8&amp;A503&amp;$AH$6</f>
        <v>JARINU-FRG15229MQ.GIROFREEZER (2)</v>
      </c>
      <c r="AI503" s="7" t="str">
        <f>Preencher!$B$3&amp;$U$8&amp;$V$8&amp;A503&amp;$AI$6</f>
        <v>JARINU-FRG15229MQ.GIROFREEZER REV04</v>
      </c>
      <c r="AJ503" s="7" t="str">
        <f>Preencher!$B$3&amp;$U$8&amp;$V$8&amp;A503&amp;$AJ$6</f>
        <v>JARINU-FRG15229MQ.GIROFREEZER (3)</v>
      </c>
      <c r="AK503" s="327">
        <f>IFERROR(SUMIF('BD Otimix'!A:A,'BD VOLUME'!AG503,'BD Otimix'!O:O)+SUMIF('BD Otimix'!A:A,'BD VOLUME'!AH503,'BD Otimix'!O:O)+SUMIF('BD Otimix'!A:A,'BD VOLUME'!AI503,'BD Otimix'!O:O)+SUMIF('BD Otimix'!A:A,'BD VOLUME'!AJ503,'BD Otimix'!O:O)+SUMIF('BD Otimix'!A:A,'BD VOLUME'!AF503,'BD Otimix'!O:O),0)</f>
        <v>0</v>
      </c>
      <c r="AL503" s="7">
        <f t="shared" si="145"/>
        <v>0</v>
      </c>
    </row>
    <row r="504" spans="1:38">
      <c r="A504" s="647">
        <v>729752</v>
      </c>
      <c r="B504" s="647" t="s">
        <v>2338</v>
      </c>
      <c r="C504" s="5" t="s">
        <v>2261</v>
      </c>
      <c r="D504" s="5" t="s">
        <v>868</v>
      </c>
      <c r="E504" s="5" t="s">
        <v>2392</v>
      </c>
      <c r="F504" s="132">
        <f>SUMIF('COLAR PLANO'!$A:$A,A504,'COLAR PLANO'!$D:$D)</f>
        <v>0</v>
      </c>
      <c r="G504" s="131">
        <f t="shared" si="159"/>
        <v>0</v>
      </c>
      <c r="H504" s="6">
        <v>0.104759956667657</v>
      </c>
      <c r="I504" s="7">
        <f t="shared" si="160"/>
        <v>0</v>
      </c>
      <c r="J504" s="130">
        <f t="shared" si="161"/>
        <v>0</v>
      </c>
      <c r="K504" s="647">
        <v>0.65</v>
      </c>
      <c r="L504" s="647">
        <v>10</v>
      </c>
      <c r="M504" s="647">
        <v>6.5</v>
      </c>
      <c r="N504" s="7">
        <f t="shared" si="157"/>
        <v>0</v>
      </c>
      <c r="O504" s="7">
        <f t="shared" si="158"/>
        <v>0</v>
      </c>
      <c r="P504" s="7"/>
      <c r="Q504" s="7"/>
      <c r="R504" s="7"/>
      <c r="S504" s="7"/>
      <c r="T504" s="7"/>
      <c r="U504" s="7" t="s">
        <v>2288</v>
      </c>
      <c r="V504" s="7" t="s">
        <v>2289</v>
      </c>
      <c r="W504" s="7" t="str">
        <f>Preencher!$B$3&amp;U504&amp;V504&amp;A504&amp;$W$6</f>
        <v>JARINU-FRG729752MQ.TUNEL DE CG (CONTINUO)</v>
      </c>
      <c r="X504" s="7" t="str">
        <f>Preencher!$B$3&amp;U504&amp;V504&amp;A504&amp;$X$6</f>
        <v>JARINU-FRG729752MQ.TUNEL DE CG (CONTINUO) (1)</v>
      </c>
      <c r="Y504" s="7" t="str">
        <f>Preencher!$B$3&amp;U504&amp;V504&amp;A504&amp;$Y$6</f>
        <v>JARINU-FRG729752MQ.TUNEL DE CG (CONTINUO) (2)</v>
      </c>
      <c r="Z504" s="7" t="str">
        <f>Preencher!$B$3&amp;U504&amp;V504&amp;A504&amp;$Z$6</f>
        <v>JARINU-FRG729752MQ.TUNEL DE CG (CONTINUO) (3)</v>
      </c>
      <c r="AA504" s="7" t="str">
        <f>Preencher!$B$3&amp;U504&amp;V504&amp;A504&amp;$AA$6</f>
        <v>JARINU-FRG729752MQ.TUNEL DE CG (ESTATICO)</v>
      </c>
      <c r="AB504" s="7" t="str">
        <f>Preencher!$B$3&amp;U504&amp;V504&amp;A504&amp;$AB$6</f>
        <v>JARINU-FRG729752MQ.TUNEL DE CG (ESTATICO) (1)</v>
      </c>
      <c r="AC504" s="7" t="str">
        <f>Preencher!$B$3&amp;U504&amp;V504&amp;A504&amp;$AC$6</f>
        <v>JARINU-FRG729752MQ.TUNEL DE CG (ESTATICO) (2)</v>
      </c>
      <c r="AD504" s="327">
        <f>IFERROR(SUMIF('BD Otimix'!A:A,'BD VOLUME'!X504,'BD Otimix'!O:O)+SUMIF('BD Otimix'!A:A,'BD VOLUME'!Y504,'BD Otimix'!O:O)+SUMIF('BD Otimix'!A:A,'BD VOLUME'!Z504,'BD Otimix'!O:O)+SUMIF('BD Otimix'!A:A,'BD VOLUME'!AA504,'BD Otimix'!O:O)+SUMIF('BD Otimix'!A:A,'BD VOLUME'!AB504,'BD Otimix'!O:O)+SUMIF('BD Otimix'!A:A,'BD VOLUME'!AC504,'BD Otimix'!O:O)+SUMIF('BD Otimix'!A:A,'BD VOLUME'!W504,'BD Otimix'!O:O),0)</f>
        <v>0</v>
      </c>
      <c r="AE504" s="327">
        <f t="shared" si="144"/>
        <v>0</v>
      </c>
      <c r="AF504" s="7" t="str">
        <f>Preencher!$B$3&amp;$U$8&amp;$V$8&amp;A504&amp;$AF$6</f>
        <v>JARINU-FRG729752MQ.GIROFREEZER</v>
      </c>
      <c r="AG504" s="7" t="str">
        <f>Preencher!$B$3&amp;$U$8&amp;$V$8&amp;A504&amp;$AG$6</f>
        <v>JARINU-FRG729752MQ.GIROFREEZER (1)</v>
      </c>
      <c r="AH504" s="7" t="str">
        <f>Preencher!$B$3&amp;$U$8&amp;$V$8&amp;A504&amp;$AH$6</f>
        <v>JARINU-FRG729752MQ.GIROFREEZER (2)</v>
      </c>
      <c r="AI504" s="7" t="str">
        <f>Preencher!$B$3&amp;$U$8&amp;$V$8&amp;A504&amp;$AI$6</f>
        <v>JARINU-FRG729752MQ.GIROFREEZER REV04</v>
      </c>
      <c r="AJ504" s="7" t="str">
        <f>Preencher!$B$3&amp;$U$8&amp;$V$8&amp;A504&amp;$AJ$6</f>
        <v>JARINU-FRG729752MQ.GIROFREEZER (3)</v>
      </c>
      <c r="AK504" s="327">
        <f>IFERROR(SUMIF('BD Otimix'!A:A,'BD VOLUME'!AG504,'BD Otimix'!O:O)+SUMIF('BD Otimix'!A:A,'BD VOLUME'!AH504,'BD Otimix'!O:O)+SUMIF('BD Otimix'!A:A,'BD VOLUME'!AI504,'BD Otimix'!O:O)+SUMIF('BD Otimix'!A:A,'BD VOLUME'!AJ504,'BD Otimix'!O:O)+SUMIF('BD Otimix'!A:A,'BD VOLUME'!AF504,'BD Otimix'!O:O),0)</f>
        <v>0</v>
      </c>
      <c r="AL504" s="7">
        <f t="shared" si="145"/>
        <v>0</v>
      </c>
    </row>
    <row r="505" spans="1:38">
      <c r="A505" s="647">
        <v>209009</v>
      </c>
      <c r="B505" s="647"/>
      <c r="C505" s="5" t="s">
        <v>3144</v>
      </c>
      <c r="D505" s="5" t="s">
        <v>868</v>
      </c>
      <c r="E505" s="5" t="s">
        <v>1695</v>
      </c>
      <c r="F505" s="132">
        <f>SUMIF('COLAR PLANO'!$A:$A,A505,'COLAR PLANO'!$D:$D)</f>
        <v>0</v>
      </c>
      <c r="G505" s="131">
        <f t="shared" si="159"/>
        <v>0</v>
      </c>
      <c r="H505" s="6">
        <v>0.104759956667657</v>
      </c>
      <c r="I505" s="7">
        <f t="shared" si="160"/>
        <v>0</v>
      </c>
      <c r="J505" s="130">
        <f t="shared" si="161"/>
        <v>0</v>
      </c>
      <c r="K505" s="647">
        <v>1</v>
      </c>
      <c r="L505" s="647">
        <v>12</v>
      </c>
      <c r="M505" s="647">
        <v>12</v>
      </c>
      <c r="N505" s="7">
        <f t="shared" si="157"/>
        <v>0</v>
      </c>
      <c r="O505" s="7"/>
      <c r="P505" s="7">
        <f>IFERROR(G505/M505,0)</f>
        <v>0</v>
      </c>
      <c r="Q505" s="7"/>
      <c r="R505" s="7"/>
      <c r="S505" s="7"/>
      <c r="T505" s="7"/>
      <c r="U505" s="7" t="s">
        <v>2288</v>
      </c>
      <c r="V505" s="7" t="s">
        <v>2289</v>
      </c>
      <c r="W505" s="7" t="str">
        <f>Preencher!$B$3&amp;U505&amp;V505&amp;A505&amp;$W$6</f>
        <v>JARINU-FRG209009MQ.TUNEL DE CG (CONTINUO)</v>
      </c>
      <c r="X505" s="7" t="str">
        <f>Preencher!$B$3&amp;U505&amp;V505&amp;A505&amp;$X$6</f>
        <v>JARINU-FRG209009MQ.TUNEL DE CG (CONTINUO) (1)</v>
      </c>
      <c r="Y505" s="7" t="str">
        <f>Preencher!$B$3&amp;U505&amp;V505&amp;A505&amp;$Y$6</f>
        <v>JARINU-FRG209009MQ.TUNEL DE CG (CONTINUO) (2)</v>
      </c>
      <c r="Z505" s="7" t="str">
        <f>Preencher!$B$3&amp;U505&amp;V505&amp;A505&amp;$Z$6</f>
        <v>JARINU-FRG209009MQ.TUNEL DE CG (CONTINUO) (3)</v>
      </c>
      <c r="AA505" s="7" t="str">
        <f>Preencher!$B$3&amp;U505&amp;V505&amp;A505&amp;$AA$6</f>
        <v>JARINU-FRG209009MQ.TUNEL DE CG (ESTATICO)</v>
      </c>
      <c r="AB505" s="7" t="str">
        <f>Preencher!$B$3&amp;U505&amp;V505&amp;A505&amp;$AB$6</f>
        <v>JARINU-FRG209009MQ.TUNEL DE CG (ESTATICO) (1)</v>
      </c>
      <c r="AC505" s="7" t="str">
        <f>Preencher!$B$3&amp;U505&amp;V505&amp;A505&amp;$AC$6</f>
        <v>JARINU-FRG209009MQ.TUNEL DE CG (ESTATICO) (2)</v>
      </c>
      <c r="AD505" s="327">
        <f>IFERROR(SUMIF('BD Otimix'!A:A,'BD VOLUME'!X505,'BD Otimix'!O:O)+SUMIF('BD Otimix'!A:A,'BD VOLUME'!Y505,'BD Otimix'!O:O)+SUMIF('BD Otimix'!A:A,'BD VOLUME'!Z505,'BD Otimix'!O:O)+SUMIF('BD Otimix'!A:A,'BD VOLUME'!AA505,'BD Otimix'!O:O)+SUMIF('BD Otimix'!A:A,'BD VOLUME'!AB505,'BD Otimix'!O:O)+SUMIF('BD Otimix'!A:A,'BD VOLUME'!AC505,'BD Otimix'!O:O)+SUMIF('BD Otimix'!A:A,'BD VOLUME'!W505,'BD Otimix'!O:O),0)</f>
        <v>0</v>
      </c>
      <c r="AE505" s="327">
        <f t="shared" si="144"/>
        <v>0</v>
      </c>
      <c r="AF505" s="7" t="str">
        <f>Preencher!$B$3&amp;$U$8&amp;$V$8&amp;A505&amp;$AF$6</f>
        <v>JARINU-FRG209009MQ.GIROFREEZER</v>
      </c>
      <c r="AG505" s="7" t="str">
        <f>Preencher!$B$3&amp;$U$8&amp;$V$8&amp;A505&amp;$AG$6</f>
        <v>JARINU-FRG209009MQ.GIROFREEZER (1)</v>
      </c>
      <c r="AH505" s="7" t="str">
        <f>Preencher!$B$3&amp;$U$8&amp;$V$8&amp;A505&amp;$AH$6</f>
        <v>JARINU-FRG209009MQ.GIROFREEZER (2)</v>
      </c>
      <c r="AI505" s="7" t="str">
        <f>Preencher!$B$3&amp;$U$8&amp;$V$8&amp;A505&amp;$AI$6</f>
        <v>JARINU-FRG209009MQ.GIROFREEZER REV04</v>
      </c>
      <c r="AJ505" s="7" t="str">
        <f>Preencher!$B$3&amp;$U$8&amp;$V$8&amp;A505&amp;$AJ$6</f>
        <v>JARINU-FRG209009MQ.GIROFREEZER (3)</v>
      </c>
      <c r="AK505" s="327">
        <f>IFERROR(SUMIF('BD Otimix'!A:A,'BD VOLUME'!AG505,'BD Otimix'!O:O)+SUMIF('BD Otimix'!A:A,'BD VOLUME'!AH505,'BD Otimix'!O:O)+SUMIF('BD Otimix'!A:A,'BD VOLUME'!AI505,'BD Otimix'!O:O)+SUMIF('BD Otimix'!A:A,'BD VOLUME'!AJ505,'BD Otimix'!O:O)+SUMIF('BD Otimix'!A:A,'BD VOLUME'!AF505,'BD Otimix'!O:O),0)</f>
        <v>0</v>
      </c>
      <c r="AL505" s="7">
        <f t="shared" si="145"/>
        <v>0</v>
      </c>
    </row>
    <row r="506" spans="1:38">
      <c r="A506" s="580">
        <v>197726</v>
      </c>
      <c r="B506" s="580" t="s">
        <v>2050</v>
      </c>
      <c r="C506" s="5" t="s">
        <v>2051</v>
      </c>
      <c r="D506" s="5" t="s">
        <v>868</v>
      </c>
      <c r="E506" s="5" t="s">
        <v>1695</v>
      </c>
      <c r="F506" s="132">
        <f>SUMIF('COLAR PLANO'!$A:$A,A506,'COLAR PLANO'!$D:$D)</f>
        <v>0</v>
      </c>
      <c r="G506" s="131">
        <f t="shared" si="159"/>
        <v>0</v>
      </c>
      <c r="H506" s="6">
        <v>0.104759956667657</v>
      </c>
      <c r="I506" s="7">
        <f t="shared" si="160"/>
        <v>0</v>
      </c>
      <c r="J506" s="130">
        <f t="shared" si="161"/>
        <v>0</v>
      </c>
      <c r="K506" s="580">
        <v>1</v>
      </c>
      <c r="L506" s="580">
        <v>12</v>
      </c>
      <c r="M506" s="580">
        <v>12</v>
      </c>
      <c r="N506" s="7">
        <f t="shared" si="157"/>
        <v>0</v>
      </c>
      <c r="O506" s="7"/>
      <c r="P506" s="7">
        <f>IFERROR(G506/M506,0)</f>
        <v>0</v>
      </c>
      <c r="Q506" s="7"/>
      <c r="R506" s="7"/>
      <c r="S506" s="7"/>
      <c r="T506" s="7"/>
      <c r="U506" s="7" t="s">
        <v>2288</v>
      </c>
      <c r="V506" s="7" t="s">
        <v>2289</v>
      </c>
      <c r="W506" s="7" t="str">
        <f>Preencher!$B$3&amp;U506&amp;V506&amp;A506&amp;$W$6</f>
        <v>JARINU-FRG197726MQ.TUNEL DE CG (CONTINUO)</v>
      </c>
      <c r="X506" s="7" t="str">
        <f>Preencher!$B$3&amp;U506&amp;V506&amp;A506&amp;$X$6</f>
        <v>JARINU-FRG197726MQ.TUNEL DE CG (CONTINUO) (1)</v>
      </c>
      <c r="Y506" s="7" t="str">
        <f>Preencher!$B$3&amp;U506&amp;V506&amp;A506&amp;$Y$6</f>
        <v>JARINU-FRG197726MQ.TUNEL DE CG (CONTINUO) (2)</v>
      </c>
      <c r="Z506" s="7" t="str">
        <f>Preencher!$B$3&amp;U506&amp;V506&amp;A506&amp;$Z$6</f>
        <v>JARINU-FRG197726MQ.TUNEL DE CG (CONTINUO) (3)</v>
      </c>
      <c r="AA506" s="7" t="str">
        <f>Preencher!$B$3&amp;U506&amp;V506&amp;A506&amp;$AA$6</f>
        <v>JARINU-FRG197726MQ.TUNEL DE CG (ESTATICO)</v>
      </c>
      <c r="AB506" s="7" t="str">
        <f>Preencher!$B$3&amp;U506&amp;V506&amp;A506&amp;$AB$6</f>
        <v>JARINU-FRG197726MQ.TUNEL DE CG (ESTATICO) (1)</v>
      </c>
      <c r="AC506" s="7" t="str">
        <f>Preencher!$B$3&amp;U506&amp;V506&amp;A506&amp;$AC$6</f>
        <v>JARINU-FRG197726MQ.TUNEL DE CG (ESTATICO) (2)</v>
      </c>
      <c r="AD506" s="327">
        <f>IFERROR(SUMIF('BD Otimix'!A:A,'BD VOLUME'!X506,'BD Otimix'!O:O)+SUMIF('BD Otimix'!A:A,'BD VOLUME'!Y506,'BD Otimix'!O:O)+SUMIF('BD Otimix'!A:A,'BD VOLUME'!Z506,'BD Otimix'!O:O)+SUMIF('BD Otimix'!A:A,'BD VOLUME'!AA506,'BD Otimix'!O:O)+SUMIF('BD Otimix'!A:A,'BD VOLUME'!AB506,'BD Otimix'!O:O)+SUMIF('BD Otimix'!A:A,'BD VOLUME'!AC506,'BD Otimix'!O:O)+SUMIF('BD Otimix'!A:A,'BD VOLUME'!W506,'BD Otimix'!O:O),0)</f>
        <v>0</v>
      </c>
      <c r="AE506" s="327">
        <f t="shared" si="144"/>
        <v>0</v>
      </c>
      <c r="AF506" s="7" t="str">
        <f>Preencher!$B$3&amp;$U$8&amp;$V$8&amp;A506&amp;$AF$6</f>
        <v>JARINU-FRG197726MQ.GIROFREEZER</v>
      </c>
      <c r="AG506" s="7" t="str">
        <f>Preencher!$B$3&amp;$U$8&amp;$V$8&amp;A506&amp;$AG$6</f>
        <v>JARINU-FRG197726MQ.GIROFREEZER (1)</v>
      </c>
      <c r="AH506" s="7" t="str">
        <f>Preencher!$B$3&amp;$U$8&amp;$V$8&amp;A506&amp;$AH$6</f>
        <v>JARINU-FRG197726MQ.GIROFREEZER (2)</v>
      </c>
      <c r="AI506" s="7" t="str">
        <f>Preencher!$B$3&amp;$U$8&amp;$V$8&amp;A506&amp;$AI$6</f>
        <v>JARINU-FRG197726MQ.GIROFREEZER REV04</v>
      </c>
      <c r="AJ506" s="7" t="str">
        <f>Preencher!$B$3&amp;$U$8&amp;$V$8&amp;A506&amp;$AJ$6</f>
        <v>JARINU-FRG197726MQ.GIROFREEZER (3)</v>
      </c>
      <c r="AK506" s="327">
        <f>IFERROR(SUMIF('BD Otimix'!A:A,'BD VOLUME'!AG506,'BD Otimix'!O:O)+SUMIF('BD Otimix'!A:A,'BD VOLUME'!AH506,'BD Otimix'!O:O)+SUMIF('BD Otimix'!A:A,'BD VOLUME'!AI506,'BD Otimix'!O:O)+SUMIF('BD Otimix'!A:A,'BD VOLUME'!AJ506,'BD Otimix'!O:O)+SUMIF('BD Otimix'!A:A,'BD VOLUME'!AF506,'BD Otimix'!O:O),0)</f>
        <v>0</v>
      </c>
      <c r="AL506" s="7">
        <f t="shared" si="145"/>
        <v>0</v>
      </c>
    </row>
    <row r="507" spans="1:38">
      <c r="A507" s="647">
        <v>958590</v>
      </c>
      <c r="B507" s="647" t="s">
        <v>2339</v>
      </c>
      <c r="C507" s="5" t="s">
        <v>2275</v>
      </c>
      <c r="D507" s="5" t="s">
        <v>868</v>
      </c>
      <c r="E507" s="5" t="s">
        <v>1695</v>
      </c>
      <c r="F507" s="132">
        <f>SUMIF('COLAR PLANO'!$A:$A,A507,'COLAR PLANO'!$D:$D)</f>
        <v>0</v>
      </c>
      <c r="G507" s="131">
        <f t="shared" si="159"/>
        <v>0</v>
      </c>
      <c r="H507" s="6">
        <v>0.104759956667657</v>
      </c>
      <c r="I507" s="7">
        <f t="shared" si="160"/>
        <v>0</v>
      </c>
      <c r="J507" s="130">
        <f t="shared" si="161"/>
        <v>0</v>
      </c>
      <c r="K507" s="647">
        <v>1</v>
      </c>
      <c r="L507" s="647">
        <v>12</v>
      </c>
      <c r="M507" s="647">
        <v>12</v>
      </c>
      <c r="N507" s="7">
        <f t="shared" si="157"/>
        <v>0</v>
      </c>
      <c r="O507" s="7"/>
      <c r="P507" s="7">
        <f>IFERROR(G507/M507,0)</f>
        <v>0</v>
      </c>
      <c r="Q507" s="7"/>
      <c r="R507" s="7"/>
      <c r="S507" s="7"/>
      <c r="T507" s="7"/>
      <c r="U507" s="7" t="s">
        <v>2288</v>
      </c>
      <c r="V507" s="7" t="s">
        <v>2289</v>
      </c>
      <c r="W507" s="7" t="str">
        <f>Preencher!$B$3&amp;U507&amp;V507&amp;A507&amp;$W$6</f>
        <v>JARINU-FRG958590MQ.TUNEL DE CG (CONTINUO)</v>
      </c>
      <c r="X507" s="7" t="str">
        <f>Preencher!$B$3&amp;U507&amp;V507&amp;A507&amp;$X$6</f>
        <v>JARINU-FRG958590MQ.TUNEL DE CG (CONTINUO) (1)</v>
      </c>
      <c r="Y507" s="7" t="str">
        <f>Preencher!$B$3&amp;U507&amp;V507&amp;A507&amp;$Y$6</f>
        <v>JARINU-FRG958590MQ.TUNEL DE CG (CONTINUO) (2)</v>
      </c>
      <c r="Z507" s="7" t="str">
        <f>Preencher!$B$3&amp;U507&amp;V507&amp;A507&amp;$Z$6</f>
        <v>JARINU-FRG958590MQ.TUNEL DE CG (CONTINUO) (3)</v>
      </c>
      <c r="AA507" s="7" t="str">
        <f>Preencher!$B$3&amp;U507&amp;V507&amp;A507&amp;$AA$6</f>
        <v>JARINU-FRG958590MQ.TUNEL DE CG (ESTATICO)</v>
      </c>
      <c r="AB507" s="7" t="str">
        <f>Preencher!$B$3&amp;U507&amp;V507&amp;A507&amp;$AB$6</f>
        <v>JARINU-FRG958590MQ.TUNEL DE CG (ESTATICO) (1)</v>
      </c>
      <c r="AC507" s="7" t="str">
        <f>Preencher!$B$3&amp;U507&amp;V507&amp;A507&amp;$AC$6</f>
        <v>JARINU-FRG958590MQ.TUNEL DE CG (ESTATICO) (2)</v>
      </c>
      <c r="AD507" s="327">
        <f>IFERROR(SUMIF('BD Otimix'!A:A,'BD VOLUME'!X507,'BD Otimix'!O:O)+SUMIF('BD Otimix'!A:A,'BD VOLUME'!Y507,'BD Otimix'!O:O)+SUMIF('BD Otimix'!A:A,'BD VOLUME'!Z507,'BD Otimix'!O:O)+SUMIF('BD Otimix'!A:A,'BD VOLUME'!AA507,'BD Otimix'!O:O)+SUMIF('BD Otimix'!A:A,'BD VOLUME'!AB507,'BD Otimix'!O:O)+SUMIF('BD Otimix'!A:A,'BD VOLUME'!AC507,'BD Otimix'!O:O)+SUMIF('BD Otimix'!A:A,'BD VOLUME'!W507,'BD Otimix'!O:O),0)</f>
        <v>0</v>
      </c>
      <c r="AE507" s="327">
        <f t="shared" si="144"/>
        <v>0</v>
      </c>
      <c r="AF507" s="7" t="str">
        <f>Preencher!$B$3&amp;$U$8&amp;$V$8&amp;A507&amp;$AF$6</f>
        <v>JARINU-FRG958590MQ.GIROFREEZER</v>
      </c>
      <c r="AG507" s="7" t="str">
        <f>Preencher!$B$3&amp;$U$8&amp;$V$8&amp;A507&amp;$AG$6</f>
        <v>JARINU-FRG958590MQ.GIROFREEZER (1)</v>
      </c>
      <c r="AH507" s="7" t="str">
        <f>Preencher!$B$3&amp;$U$8&amp;$V$8&amp;A507&amp;$AH$6</f>
        <v>JARINU-FRG958590MQ.GIROFREEZER (2)</v>
      </c>
      <c r="AI507" s="7" t="str">
        <f>Preencher!$B$3&amp;$U$8&amp;$V$8&amp;A507&amp;$AI$6</f>
        <v>JARINU-FRG958590MQ.GIROFREEZER REV04</v>
      </c>
      <c r="AJ507" s="7" t="str">
        <f>Preencher!$B$3&amp;$U$8&amp;$V$8&amp;A507&amp;$AJ$6</f>
        <v>JARINU-FRG958590MQ.GIROFREEZER (3)</v>
      </c>
      <c r="AK507" s="327">
        <f>IFERROR(SUMIF('BD Otimix'!A:A,'BD VOLUME'!AG507,'BD Otimix'!O:O)+SUMIF('BD Otimix'!A:A,'BD VOLUME'!AH507,'BD Otimix'!O:O)+SUMIF('BD Otimix'!A:A,'BD VOLUME'!AI507,'BD Otimix'!O:O)+SUMIF('BD Otimix'!A:A,'BD VOLUME'!AJ507,'BD Otimix'!O:O)+SUMIF('BD Otimix'!A:A,'BD VOLUME'!AF507,'BD Otimix'!O:O),0)</f>
        <v>0</v>
      </c>
      <c r="AL507" s="7">
        <f t="shared" si="145"/>
        <v>0</v>
      </c>
    </row>
    <row r="508" spans="1:38">
      <c r="A508" s="401">
        <v>964603</v>
      </c>
      <c r="B508" s="401" t="s">
        <v>1022</v>
      </c>
      <c r="C508" s="5" t="s">
        <v>1687</v>
      </c>
      <c r="D508" s="5" t="s">
        <v>868</v>
      </c>
      <c r="E508" s="5" t="s">
        <v>1695</v>
      </c>
      <c r="F508" s="132">
        <f>SUMIF('COLAR PLANO'!$A:$A,A508,'COLAR PLANO'!$D:$D)</f>
        <v>0</v>
      </c>
      <c r="G508" s="131">
        <f t="shared" si="159"/>
        <v>0</v>
      </c>
      <c r="H508" s="6">
        <v>0.104759956667657</v>
      </c>
      <c r="I508" s="7">
        <f t="shared" si="160"/>
        <v>0</v>
      </c>
      <c r="J508" s="130">
        <f t="shared" si="161"/>
        <v>0</v>
      </c>
      <c r="K508" s="401">
        <v>1</v>
      </c>
      <c r="L508" s="401">
        <v>18</v>
      </c>
      <c r="M508" s="401">
        <v>18</v>
      </c>
      <c r="N508" s="7">
        <f t="shared" si="157"/>
        <v>0</v>
      </c>
      <c r="O508" s="7"/>
      <c r="P508" s="7">
        <f>IFERROR(G508/M508,0)</f>
        <v>0</v>
      </c>
      <c r="Q508" s="7"/>
      <c r="R508" s="7"/>
      <c r="S508" s="7"/>
      <c r="T508" s="7"/>
      <c r="U508" s="7" t="s">
        <v>2288</v>
      </c>
      <c r="V508" s="7" t="s">
        <v>2289</v>
      </c>
      <c r="W508" s="7" t="str">
        <f>Preencher!$B$3&amp;U508&amp;V508&amp;A508&amp;$W$6</f>
        <v>JARINU-FRG964603MQ.TUNEL DE CG (CONTINUO)</v>
      </c>
      <c r="X508" s="7" t="str">
        <f>Preencher!$B$3&amp;U508&amp;V508&amp;A508&amp;$X$6</f>
        <v>JARINU-FRG964603MQ.TUNEL DE CG (CONTINUO) (1)</v>
      </c>
      <c r="Y508" s="7" t="str">
        <f>Preencher!$B$3&amp;U508&amp;V508&amp;A508&amp;$Y$6</f>
        <v>JARINU-FRG964603MQ.TUNEL DE CG (CONTINUO) (2)</v>
      </c>
      <c r="Z508" s="7" t="str">
        <f>Preencher!$B$3&amp;U508&amp;V508&amp;A508&amp;$Z$6</f>
        <v>JARINU-FRG964603MQ.TUNEL DE CG (CONTINUO) (3)</v>
      </c>
      <c r="AA508" s="7" t="str">
        <f>Preencher!$B$3&amp;U508&amp;V508&amp;A508&amp;$AA$6</f>
        <v>JARINU-FRG964603MQ.TUNEL DE CG (ESTATICO)</v>
      </c>
      <c r="AB508" s="7" t="str">
        <f>Preencher!$B$3&amp;U508&amp;V508&amp;A508&amp;$AB$6</f>
        <v>JARINU-FRG964603MQ.TUNEL DE CG (ESTATICO) (1)</v>
      </c>
      <c r="AC508" s="7" t="str">
        <f>Preencher!$B$3&amp;U508&amp;V508&amp;A508&amp;$AC$6</f>
        <v>JARINU-FRG964603MQ.TUNEL DE CG (ESTATICO) (2)</v>
      </c>
      <c r="AD508" s="327">
        <f>IFERROR(SUMIF('BD Otimix'!A:A,'BD VOLUME'!X508,'BD Otimix'!O:O)+SUMIF('BD Otimix'!A:A,'BD VOLUME'!Y508,'BD Otimix'!O:O)+SUMIF('BD Otimix'!A:A,'BD VOLUME'!Z508,'BD Otimix'!O:O)+SUMIF('BD Otimix'!A:A,'BD VOLUME'!AA508,'BD Otimix'!O:O)+SUMIF('BD Otimix'!A:A,'BD VOLUME'!AB508,'BD Otimix'!O:O)+SUMIF('BD Otimix'!A:A,'BD VOLUME'!AC508,'BD Otimix'!O:O)+SUMIF('BD Otimix'!A:A,'BD VOLUME'!W508,'BD Otimix'!O:O),0)</f>
        <v>0</v>
      </c>
      <c r="AE508" s="327">
        <f t="shared" si="144"/>
        <v>0</v>
      </c>
      <c r="AF508" s="7" t="str">
        <f>Preencher!$B$3&amp;$U$8&amp;$V$8&amp;A508&amp;$AF$6</f>
        <v>JARINU-FRG964603MQ.GIROFREEZER</v>
      </c>
      <c r="AG508" s="7" t="str">
        <f>Preencher!$B$3&amp;$U$8&amp;$V$8&amp;A508&amp;$AG$6</f>
        <v>JARINU-FRG964603MQ.GIROFREEZER (1)</v>
      </c>
      <c r="AH508" s="7" t="str">
        <f>Preencher!$B$3&amp;$U$8&amp;$V$8&amp;A508&amp;$AH$6</f>
        <v>JARINU-FRG964603MQ.GIROFREEZER (2)</v>
      </c>
      <c r="AI508" s="7" t="str">
        <f>Preencher!$B$3&amp;$U$8&amp;$V$8&amp;A508&amp;$AI$6</f>
        <v>JARINU-FRG964603MQ.GIROFREEZER REV04</v>
      </c>
      <c r="AJ508" s="7" t="str">
        <f>Preencher!$B$3&amp;$U$8&amp;$V$8&amp;A508&amp;$AJ$6</f>
        <v>JARINU-FRG964603MQ.GIROFREEZER (3)</v>
      </c>
      <c r="AK508" s="327">
        <f>IFERROR(SUMIF('BD Otimix'!A:A,'BD VOLUME'!AG508,'BD Otimix'!O:O)+SUMIF('BD Otimix'!A:A,'BD VOLUME'!AH508,'BD Otimix'!O:O)+SUMIF('BD Otimix'!A:A,'BD VOLUME'!AI508,'BD Otimix'!O:O)+SUMIF('BD Otimix'!A:A,'BD VOLUME'!AJ508,'BD Otimix'!O:O)+SUMIF('BD Otimix'!A:A,'BD VOLUME'!AF508,'BD Otimix'!O:O),0)</f>
        <v>0</v>
      </c>
      <c r="AL508" s="7">
        <f t="shared" si="145"/>
        <v>0</v>
      </c>
    </row>
    <row r="509" spans="1:38">
      <c r="A509" s="580">
        <v>761168</v>
      </c>
      <c r="B509" s="580" t="s">
        <v>2048</v>
      </c>
      <c r="C509" s="5" t="s">
        <v>2049</v>
      </c>
      <c r="D509" s="5" t="s">
        <v>868</v>
      </c>
      <c r="E509" s="5" t="s">
        <v>2127</v>
      </c>
      <c r="F509" s="132">
        <f>SUMIF('COLAR PLANO'!$A:$A,A509,'COLAR PLANO'!$D:$D)</f>
        <v>0</v>
      </c>
      <c r="G509" s="131">
        <f t="shared" si="159"/>
        <v>0</v>
      </c>
      <c r="H509" s="6">
        <v>0.104759956667657</v>
      </c>
      <c r="I509" s="7">
        <f t="shared" si="160"/>
        <v>0</v>
      </c>
      <c r="J509" s="130">
        <f t="shared" si="161"/>
        <v>0</v>
      </c>
      <c r="K509" s="580">
        <v>1</v>
      </c>
      <c r="L509" s="580">
        <v>12</v>
      </c>
      <c r="M509" s="580">
        <v>12</v>
      </c>
      <c r="N509" s="7">
        <f t="shared" si="157"/>
        <v>0</v>
      </c>
      <c r="O509" s="7"/>
      <c r="P509" s="7">
        <f>IFERROR(G509/M509,0)</f>
        <v>0</v>
      </c>
      <c r="Q509" s="7"/>
      <c r="R509" s="7"/>
      <c r="S509" s="7"/>
      <c r="T509" s="7"/>
      <c r="U509" s="7" t="s">
        <v>2288</v>
      </c>
      <c r="V509" s="7" t="s">
        <v>2289</v>
      </c>
      <c r="W509" s="7" t="str">
        <f>Preencher!$B$3&amp;U509&amp;V509&amp;A509&amp;$W$6</f>
        <v>JARINU-FRG761168MQ.TUNEL DE CG (CONTINUO)</v>
      </c>
      <c r="X509" s="7" t="str">
        <f>Preencher!$B$3&amp;U509&amp;V509&amp;A509&amp;$X$6</f>
        <v>JARINU-FRG761168MQ.TUNEL DE CG (CONTINUO) (1)</v>
      </c>
      <c r="Y509" s="7" t="str">
        <f>Preencher!$B$3&amp;U509&amp;V509&amp;A509&amp;$Y$6</f>
        <v>JARINU-FRG761168MQ.TUNEL DE CG (CONTINUO) (2)</v>
      </c>
      <c r="Z509" s="7" t="str">
        <f>Preencher!$B$3&amp;U509&amp;V509&amp;A509&amp;$Z$6</f>
        <v>JARINU-FRG761168MQ.TUNEL DE CG (CONTINUO) (3)</v>
      </c>
      <c r="AA509" s="7" t="str">
        <f>Preencher!$B$3&amp;U509&amp;V509&amp;A509&amp;$AA$6</f>
        <v>JARINU-FRG761168MQ.TUNEL DE CG (ESTATICO)</v>
      </c>
      <c r="AB509" s="7" t="str">
        <f>Preencher!$B$3&amp;U509&amp;V509&amp;A509&amp;$AB$6</f>
        <v>JARINU-FRG761168MQ.TUNEL DE CG (ESTATICO) (1)</v>
      </c>
      <c r="AC509" s="7" t="str">
        <f>Preencher!$B$3&amp;U509&amp;V509&amp;A509&amp;$AC$6</f>
        <v>JARINU-FRG761168MQ.TUNEL DE CG (ESTATICO) (2)</v>
      </c>
      <c r="AD509" s="327">
        <f>IFERROR(SUMIF('BD Otimix'!A:A,'BD VOLUME'!X509,'BD Otimix'!O:O)+SUMIF('BD Otimix'!A:A,'BD VOLUME'!Y509,'BD Otimix'!O:O)+SUMIF('BD Otimix'!A:A,'BD VOLUME'!Z509,'BD Otimix'!O:O)+SUMIF('BD Otimix'!A:A,'BD VOLUME'!AA509,'BD Otimix'!O:O)+SUMIF('BD Otimix'!A:A,'BD VOLUME'!AB509,'BD Otimix'!O:O)+SUMIF('BD Otimix'!A:A,'BD VOLUME'!AC509,'BD Otimix'!O:O)+SUMIF('BD Otimix'!A:A,'BD VOLUME'!W509,'BD Otimix'!O:O),0)</f>
        <v>0</v>
      </c>
      <c r="AE509" s="327">
        <f t="shared" si="144"/>
        <v>0</v>
      </c>
      <c r="AF509" s="7" t="str">
        <f>Preencher!$B$3&amp;$U$8&amp;$V$8&amp;A509&amp;$AF$6</f>
        <v>JARINU-FRG761168MQ.GIROFREEZER</v>
      </c>
      <c r="AG509" s="7" t="str">
        <f>Preencher!$B$3&amp;$U$8&amp;$V$8&amp;A509&amp;$AG$6</f>
        <v>JARINU-FRG761168MQ.GIROFREEZER (1)</v>
      </c>
      <c r="AH509" s="7" t="str">
        <f>Preencher!$B$3&amp;$U$8&amp;$V$8&amp;A509&amp;$AH$6</f>
        <v>JARINU-FRG761168MQ.GIROFREEZER (2)</v>
      </c>
      <c r="AI509" s="7" t="str">
        <f>Preencher!$B$3&amp;$U$8&amp;$V$8&amp;A509&amp;$AI$6</f>
        <v>JARINU-FRG761168MQ.GIROFREEZER REV04</v>
      </c>
      <c r="AJ509" s="7" t="str">
        <f>Preencher!$B$3&amp;$U$8&amp;$V$8&amp;A509&amp;$AJ$6</f>
        <v>JARINU-FRG761168MQ.GIROFREEZER (3)</v>
      </c>
      <c r="AK509" s="327">
        <f>IFERROR(SUMIF('BD Otimix'!A:A,'BD VOLUME'!AG509,'BD Otimix'!O:O)+SUMIF('BD Otimix'!A:A,'BD VOLUME'!AH509,'BD Otimix'!O:O)+SUMIF('BD Otimix'!A:A,'BD VOLUME'!AI509,'BD Otimix'!O:O)+SUMIF('BD Otimix'!A:A,'BD VOLUME'!AJ509,'BD Otimix'!O:O)+SUMIF('BD Otimix'!A:A,'BD VOLUME'!AF509,'BD Otimix'!O:O),0)</f>
        <v>0</v>
      </c>
      <c r="AL509" s="7">
        <f t="shared" si="145"/>
        <v>0</v>
      </c>
    </row>
    <row r="510" spans="1:38">
      <c r="A510" s="401">
        <v>962112</v>
      </c>
      <c r="B510" s="401"/>
      <c r="C510" s="5" t="s">
        <v>1673</v>
      </c>
      <c r="D510" s="5" t="s">
        <v>868</v>
      </c>
      <c r="E510" s="5" t="s">
        <v>1699</v>
      </c>
      <c r="F510" s="132">
        <f>SUMIF('COLAR PLANO'!$A:$A,A510,'COLAR PLANO'!$D:$D)</f>
        <v>0</v>
      </c>
      <c r="G510" s="131">
        <f t="shared" si="159"/>
        <v>0</v>
      </c>
      <c r="H510" s="6">
        <v>0.104759956667657</v>
      </c>
      <c r="I510" s="7">
        <f t="shared" si="160"/>
        <v>0</v>
      </c>
      <c r="J510" s="130">
        <f t="shared" si="161"/>
        <v>0</v>
      </c>
      <c r="K510" s="404">
        <v>1</v>
      </c>
      <c r="L510" s="404">
        <v>18</v>
      </c>
      <c r="M510" s="401">
        <v>18</v>
      </c>
      <c r="N510" s="7">
        <f t="shared" ref="N510:N515" si="162">IFERROR(G510/K510,"-")</f>
        <v>0</v>
      </c>
      <c r="O510" s="7"/>
      <c r="P510" s="7">
        <f t="shared" ref="P510:P515" si="163">IFERROR(G510/M510,0)</f>
        <v>0</v>
      </c>
      <c r="Q510" s="7"/>
      <c r="R510" s="7"/>
      <c r="S510" s="7"/>
      <c r="T510" s="7"/>
      <c r="U510" s="7" t="s">
        <v>2288</v>
      </c>
      <c r="V510" s="7" t="s">
        <v>2289</v>
      </c>
      <c r="W510" s="7" t="str">
        <f>Preencher!$B$3&amp;U510&amp;V510&amp;A510&amp;$W$6</f>
        <v>JARINU-FRG962112MQ.TUNEL DE CG (CONTINUO)</v>
      </c>
      <c r="X510" s="7" t="str">
        <f>Preencher!$B$3&amp;U510&amp;V510&amp;A510&amp;$X$6</f>
        <v>JARINU-FRG962112MQ.TUNEL DE CG (CONTINUO) (1)</v>
      </c>
      <c r="Y510" s="7" t="str">
        <f>Preencher!$B$3&amp;U510&amp;V510&amp;A510&amp;$Y$6</f>
        <v>JARINU-FRG962112MQ.TUNEL DE CG (CONTINUO) (2)</v>
      </c>
      <c r="Z510" s="7" t="str">
        <f>Preencher!$B$3&amp;U510&amp;V510&amp;A510&amp;$Z$6</f>
        <v>JARINU-FRG962112MQ.TUNEL DE CG (CONTINUO) (3)</v>
      </c>
      <c r="AA510" s="7" t="str">
        <f>Preencher!$B$3&amp;U510&amp;V510&amp;A510&amp;$AA$6</f>
        <v>JARINU-FRG962112MQ.TUNEL DE CG (ESTATICO)</v>
      </c>
      <c r="AB510" s="7" t="str">
        <f>Preencher!$B$3&amp;U510&amp;V510&amp;A510&amp;$AB$6</f>
        <v>JARINU-FRG962112MQ.TUNEL DE CG (ESTATICO) (1)</v>
      </c>
      <c r="AC510" s="7" t="str">
        <f>Preencher!$B$3&amp;U510&amp;V510&amp;A510&amp;$AC$6</f>
        <v>JARINU-FRG962112MQ.TUNEL DE CG (ESTATICO) (2)</v>
      </c>
      <c r="AD510" s="327">
        <f>IFERROR(SUMIF('BD Otimix'!A:A,'BD VOLUME'!X510,'BD Otimix'!O:O)+SUMIF('BD Otimix'!A:A,'BD VOLUME'!Y510,'BD Otimix'!O:O)+SUMIF('BD Otimix'!A:A,'BD VOLUME'!Z510,'BD Otimix'!O:O)+SUMIF('BD Otimix'!A:A,'BD VOLUME'!AA510,'BD Otimix'!O:O)+SUMIF('BD Otimix'!A:A,'BD VOLUME'!AB510,'BD Otimix'!O:O)+SUMIF('BD Otimix'!A:A,'BD VOLUME'!AC510,'BD Otimix'!O:O)+SUMIF('BD Otimix'!A:A,'BD VOLUME'!W510,'BD Otimix'!O:O),0)</f>
        <v>0</v>
      </c>
      <c r="AE510" s="327">
        <f t="shared" si="144"/>
        <v>0</v>
      </c>
      <c r="AF510" s="7" t="str">
        <f>Preencher!$B$3&amp;$U$8&amp;$V$8&amp;A510&amp;$AF$6</f>
        <v>JARINU-FRG962112MQ.GIROFREEZER</v>
      </c>
      <c r="AG510" s="7" t="str">
        <f>Preencher!$B$3&amp;$U$8&amp;$V$8&amp;A510&amp;$AG$6</f>
        <v>JARINU-FRG962112MQ.GIROFREEZER (1)</v>
      </c>
      <c r="AH510" s="7" t="str">
        <f>Preencher!$B$3&amp;$U$8&amp;$V$8&amp;A510&amp;$AH$6</f>
        <v>JARINU-FRG962112MQ.GIROFREEZER (2)</v>
      </c>
      <c r="AI510" s="7" t="str">
        <f>Preencher!$B$3&amp;$U$8&amp;$V$8&amp;A510&amp;$AI$6</f>
        <v>JARINU-FRG962112MQ.GIROFREEZER REV04</v>
      </c>
      <c r="AJ510" s="7" t="str">
        <f>Preencher!$B$3&amp;$U$8&amp;$V$8&amp;A510&amp;$AJ$6</f>
        <v>JARINU-FRG962112MQ.GIROFREEZER (3)</v>
      </c>
      <c r="AK510" s="327">
        <f>IFERROR(SUMIF('BD Otimix'!A:A,'BD VOLUME'!AG510,'BD Otimix'!O:O)+SUMIF('BD Otimix'!A:A,'BD VOLUME'!AH510,'BD Otimix'!O:O)+SUMIF('BD Otimix'!A:A,'BD VOLUME'!AI510,'BD Otimix'!O:O)+SUMIF('BD Otimix'!A:A,'BD VOLUME'!AJ510,'BD Otimix'!O:O)+SUMIF('BD Otimix'!A:A,'BD VOLUME'!AF510,'BD Otimix'!O:O),0)</f>
        <v>0</v>
      </c>
      <c r="AL510" s="7">
        <f t="shared" si="145"/>
        <v>0</v>
      </c>
    </row>
    <row r="511" spans="1:38">
      <c r="A511" s="401">
        <v>962155</v>
      </c>
      <c r="B511" s="401"/>
      <c r="C511" s="5" t="s">
        <v>1676</v>
      </c>
      <c r="D511" s="5" t="s">
        <v>868</v>
      </c>
      <c r="E511" s="5" t="s">
        <v>1699</v>
      </c>
      <c r="F511" s="132">
        <f>SUMIF('COLAR PLANO'!$A:$A,A511,'COLAR PLANO'!$D:$D)</f>
        <v>0</v>
      </c>
      <c r="G511" s="131">
        <f t="shared" si="159"/>
        <v>0</v>
      </c>
      <c r="H511" s="6">
        <v>0.104759956667657</v>
      </c>
      <c r="I511" s="7">
        <f t="shared" si="160"/>
        <v>0</v>
      </c>
      <c r="J511" s="130">
        <f t="shared" si="161"/>
        <v>0</v>
      </c>
      <c r="K511" s="404">
        <v>1</v>
      </c>
      <c r="L511" s="404">
        <v>18</v>
      </c>
      <c r="M511" s="401">
        <v>18</v>
      </c>
      <c r="N511" s="7">
        <f t="shared" si="162"/>
        <v>0</v>
      </c>
      <c r="O511" s="7"/>
      <c r="P511" s="7">
        <f t="shared" si="163"/>
        <v>0</v>
      </c>
      <c r="Q511" s="7"/>
      <c r="R511" s="7"/>
      <c r="S511" s="7"/>
      <c r="T511" s="7"/>
      <c r="U511" s="7" t="s">
        <v>2288</v>
      </c>
      <c r="V511" s="7" t="s">
        <v>2289</v>
      </c>
      <c r="W511" s="7" t="str">
        <f>Preencher!$B$3&amp;U511&amp;V511&amp;A511&amp;$W$6</f>
        <v>JARINU-FRG962155MQ.TUNEL DE CG (CONTINUO)</v>
      </c>
      <c r="X511" s="7" t="str">
        <f>Preencher!$B$3&amp;U511&amp;V511&amp;A511&amp;$X$6</f>
        <v>JARINU-FRG962155MQ.TUNEL DE CG (CONTINUO) (1)</v>
      </c>
      <c r="Y511" s="7" t="str">
        <f>Preencher!$B$3&amp;U511&amp;V511&amp;A511&amp;$Y$6</f>
        <v>JARINU-FRG962155MQ.TUNEL DE CG (CONTINUO) (2)</v>
      </c>
      <c r="Z511" s="7" t="str">
        <f>Preencher!$B$3&amp;U511&amp;V511&amp;A511&amp;$Z$6</f>
        <v>JARINU-FRG962155MQ.TUNEL DE CG (CONTINUO) (3)</v>
      </c>
      <c r="AA511" s="7" t="str">
        <f>Preencher!$B$3&amp;U511&amp;V511&amp;A511&amp;$AA$6</f>
        <v>JARINU-FRG962155MQ.TUNEL DE CG (ESTATICO)</v>
      </c>
      <c r="AB511" s="7" t="str">
        <f>Preencher!$B$3&amp;U511&amp;V511&amp;A511&amp;$AB$6</f>
        <v>JARINU-FRG962155MQ.TUNEL DE CG (ESTATICO) (1)</v>
      </c>
      <c r="AC511" s="7" t="str">
        <f>Preencher!$B$3&amp;U511&amp;V511&amp;A511&amp;$AC$6</f>
        <v>JARINU-FRG962155MQ.TUNEL DE CG (ESTATICO) (2)</v>
      </c>
      <c r="AD511" s="327">
        <f>IFERROR(SUMIF('BD Otimix'!A:A,'BD VOLUME'!X511,'BD Otimix'!O:O)+SUMIF('BD Otimix'!A:A,'BD VOLUME'!Y511,'BD Otimix'!O:O)+SUMIF('BD Otimix'!A:A,'BD VOLUME'!Z511,'BD Otimix'!O:O)+SUMIF('BD Otimix'!A:A,'BD VOLUME'!AA511,'BD Otimix'!O:O)+SUMIF('BD Otimix'!A:A,'BD VOLUME'!AB511,'BD Otimix'!O:O)+SUMIF('BD Otimix'!A:A,'BD VOLUME'!AC511,'BD Otimix'!O:O)+SUMIF('BD Otimix'!A:A,'BD VOLUME'!W511,'BD Otimix'!O:O),0)</f>
        <v>0</v>
      </c>
      <c r="AE511" s="327">
        <f t="shared" si="144"/>
        <v>0</v>
      </c>
      <c r="AF511" s="7" t="str">
        <f>Preencher!$B$3&amp;$U$8&amp;$V$8&amp;A511&amp;$AF$6</f>
        <v>JARINU-FRG962155MQ.GIROFREEZER</v>
      </c>
      <c r="AG511" s="7" t="str">
        <f>Preencher!$B$3&amp;$U$8&amp;$V$8&amp;A511&amp;$AG$6</f>
        <v>JARINU-FRG962155MQ.GIROFREEZER (1)</v>
      </c>
      <c r="AH511" s="7" t="str">
        <f>Preencher!$B$3&amp;$U$8&amp;$V$8&amp;A511&amp;$AH$6</f>
        <v>JARINU-FRG962155MQ.GIROFREEZER (2)</v>
      </c>
      <c r="AI511" s="7" t="str">
        <f>Preencher!$B$3&amp;$U$8&amp;$V$8&amp;A511&amp;$AI$6</f>
        <v>JARINU-FRG962155MQ.GIROFREEZER REV04</v>
      </c>
      <c r="AJ511" s="7" t="str">
        <f>Preencher!$B$3&amp;$U$8&amp;$V$8&amp;A511&amp;$AJ$6</f>
        <v>JARINU-FRG962155MQ.GIROFREEZER (3)</v>
      </c>
      <c r="AK511" s="327">
        <f>IFERROR(SUMIF('BD Otimix'!A:A,'BD VOLUME'!AG511,'BD Otimix'!O:O)+SUMIF('BD Otimix'!A:A,'BD VOLUME'!AH511,'BD Otimix'!O:O)+SUMIF('BD Otimix'!A:A,'BD VOLUME'!AI511,'BD Otimix'!O:O)+SUMIF('BD Otimix'!A:A,'BD VOLUME'!AJ511,'BD Otimix'!O:O)+SUMIF('BD Otimix'!A:A,'BD VOLUME'!AF511,'BD Otimix'!O:O),0)</f>
        <v>0</v>
      </c>
      <c r="AL511" s="7">
        <f t="shared" si="145"/>
        <v>0</v>
      </c>
    </row>
    <row r="512" spans="1:38">
      <c r="A512" s="401">
        <v>964611</v>
      </c>
      <c r="B512" s="401"/>
      <c r="C512" s="5" t="s">
        <v>1688</v>
      </c>
      <c r="D512" s="5" t="s">
        <v>868</v>
      </c>
      <c r="E512" s="5" t="s">
        <v>1699</v>
      </c>
      <c r="F512" s="132">
        <f>SUMIF('COLAR PLANO'!$A:$A,A512,'COLAR PLANO'!$D:$D)</f>
        <v>0</v>
      </c>
      <c r="G512" s="131">
        <f t="shared" si="159"/>
        <v>0</v>
      </c>
      <c r="H512" s="6">
        <v>0.104759956667657</v>
      </c>
      <c r="I512" s="7">
        <f t="shared" si="160"/>
        <v>0</v>
      </c>
      <c r="J512" s="130">
        <f t="shared" si="161"/>
        <v>0</v>
      </c>
      <c r="K512" s="404">
        <v>1</v>
      </c>
      <c r="L512" s="404">
        <v>18</v>
      </c>
      <c r="M512" s="401">
        <v>18</v>
      </c>
      <c r="N512" s="7">
        <f t="shared" si="162"/>
        <v>0</v>
      </c>
      <c r="O512" s="7"/>
      <c r="P512" s="7">
        <f t="shared" si="163"/>
        <v>0</v>
      </c>
      <c r="Q512" s="7"/>
      <c r="R512" s="7"/>
      <c r="S512" s="7"/>
      <c r="T512" s="7"/>
      <c r="U512" s="7" t="s">
        <v>2288</v>
      </c>
      <c r="V512" s="7" t="s">
        <v>2289</v>
      </c>
      <c r="W512" s="7" t="str">
        <f>Preencher!$B$3&amp;U512&amp;V512&amp;A512&amp;$W$6</f>
        <v>JARINU-FRG964611MQ.TUNEL DE CG (CONTINUO)</v>
      </c>
      <c r="X512" s="7" t="str">
        <f>Preencher!$B$3&amp;U512&amp;V512&amp;A512&amp;$X$6</f>
        <v>JARINU-FRG964611MQ.TUNEL DE CG (CONTINUO) (1)</v>
      </c>
      <c r="Y512" s="7" t="str">
        <f>Preencher!$B$3&amp;U512&amp;V512&amp;A512&amp;$Y$6</f>
        <v>JARINU-FRG964611MQ.TUNEL DE CG (CONTINUO) (2)</v>
      </c>
      <c r="Z512" s="7" t="str">
        <f>Preencher!$B$3&amp;U512&amp;V512&amp;A512&amp;$Z$6</f>
        <v>JARINU-FRG964611MQ.TUNEL DE CG (CONTINUO) (3)</v>
      </c>
      <c r="AA512" s="7" t="str">
        <f>Preencher!$B$3&amp;U512&amp;V512&amp;A512&amp;$AA$6</f>
        <v>JARINU-FRG964611MQ.TUNEL DE CG (ESTATICO)</v>
      </c>
      <c r="AB512" s="7" t="str">
        <f>Preencher!$B$3&amp;U512&amp;V512&amp;A512&amp;$AB$6</f>
        <v>JARINU-FRG964611MQ.TUNEL DE CG (ESTATICO) (1)</v>
      </c>
      <c r="AC512" s="7" t="str">
        <f>Preencher!$B$3&amp;U512&amp;V512&amp;A512&amp;$AC$6</f>
        <v>JARINU-FRG964611MQ.TUNEL DE CG (ESTATICO) (2)</v>
      </c>
      <c r="AD512" s="327">
        <f>IFERROR(SUMIF('BD Otimix'!A:A,'BD VOLUME'!X512,'BD Otimix'!O:O)+SUMIF('BD Otimix'!A:A,'BD VOLUME'!Y512,'BD Otimix'!O:O)+SUMIF('BD Otimix'!A:A,'BD VOLUME'!Z512,'BD Otimix'!O:O)+SUMIF('BD Otimix'!A:A,'BD VOLUME'!AA512,'BD Otimix'!O:O)+SUMIF('BD Otimix'!A:A,'BD VOLUME'!AB512,'BD Otimix'!O:O)+SUMIF('BD Otimix'!A:A,'BD VOLUME'!AC512,'BD Otimix'!O:O)+SUMIF('BD Otimix'!A:A,'BD VOLUME'!W512,'BD Otimix'!O:O),0)</f>
        <v>0</v>
      </c>
      <c r="AE512" s="327">
        <f t="shared" si="144"/>
        <v>0</v>
      </c>
      <c r="AF512" s="7" t="str">
        <f>Preencher!$B$3&amp;$U$8&amp;$V$8&amp;A512&amp;$AF$6</f>
        <v>JARINU-FRG964611MQ.GIROFREEZER</v>
      </c>
      <c r="AG512" s="7" t="str">
        <f>Preencher!$B$3&amp;$U$8&amp;$V$8&amp;A512&amp;$AG$6</f>
        <v>JARINU-FRG964611MQ.GIROFREEZER (1)</v>
      </c>
      <c r="AH512" s="7" t="str">
        <f>Preencher!$B$3&amp;$U$8&amp;$V$8&amp;A512&amp;$AH$6</f>
        <v>JARINU-FRG964611MQ.GIROFREEZER (2)</v>
      </c>
      <c r="AI512" s="7" t="str">
        <f>Preencher!$B$3&amp;$U$8&amp;$V$8&amp;A512&amp;$AI$6</f>
        <v>JARINU-FRG964611MQ.GIROFREEZER REV04</v>
      </c>
      <c r="AJ512" s="7" t="str">
        <f>Preencher!$B$3&amp;$U$8&amp;$V$8&amp;A512&amp;$AJ$6</f>
        <v>JARINU-FRG964611MQ.GIROFREEZER (3)</v>
      </c>
      <c r="AK512" s="327">
        <f>IFERROR(SUMIF('BD Otimix'!A:A,'BD VOLUME'!AG512,'BD Otimix'!O:O)+SUMIF('BD Otimix'!A:A,'BD VOLUME'!AH512,'BD Otimix'!O:O)+SUMIF('BD Otimix'!A:A,'BD VOLUME'!AI512,'BD Otimix'!O:O)+SUMIF('BD Otimix'!A:A,'BD VOLUME'!AJ512,'BD Otimix'!O:O)+SUMIF('BD Otimix'!A:A,'BD VOLUME'!AF512,'BD Otimix'!O:O),0)</f>
        <v>0</v>
      </c>
      <c r="AL512" s="7">
        <f t="shared" si="145"/>
        <v>0</v>
      </c>
    </row>
    <row r="513" spans="1:38">
      <c r="A513" s="647">
        <v>40431</v>
      </c>
      <c r="B513" s="647"/>
      <c r="C513" s="5" t="s">
        <v>1664</v>
      </c>
      <c r="D513" s="5" t="s">
        <v>868</v>
      </c>
      <c r="E513" s="5" t="s">
        <v>1696</v>
      </c>
      <c r="F513" s="132">
        <f>SUMIF('COLAR PLANO'!$A:$A,A513,'COLAR PLANO'!$D:$D)</f>
        <v>0</v>
      </c>
      <c r="G513" s="131">
        <f t="shared" si="159"/>
        <v>0</v>
      </c>
      <c r="H513" s="6">
        <v>0.104759956667657</v>
      </c>
      <c r="I513" s="7">
        <f t="shared" si="160"/>
        <v>0</v>
      </c>
      <c r="J513" s="130">
        <f t="shared" si="161"/>
        <v>0</v>
      </c>
      <c r="K513" s="647">
        <v>18</v>
      </c>
      <c r="L513" s="647">
        <v>1</v>
      </c>
      <c r="M513" s="647">
        <v>18</v>
      </c>
      <c r="N513" s="7">
        <f t="shared" si="162"/>
        <v>0</v>
      </c>
      <c r="O513" s="7"/>
      <c r="P513" s="7">
        <f t="shared" si="163"/>
        <v>0</v>
      </c>
      <c r="Q513" s="7"/>
      <c r="R513" s="7"/>
      <c r="S513" s="7"/>
      <c r="T513" s="7"/>
      <c r="U513" s="7" t="s">
        <v>2288</v>
      </c>
      <c r="V513" s="7" t="s">
        <v>2289</v>
      </c>
      <c r="W513" s="7" t="str">
        <f>Preencher!$B$3&amp;U513&amp;V513&amp;A513&amp;$W$6</f>
        <v>JARINU-FRG40431MQ.TUNEL DE CG (CONTINUO)</v>
      </c>
      <c r="X513" s="7" t="str">
        <f>Preencher!$B$3&amp;U513&amp;V513&amp;A513&amp;$X$6</f>
        <v>JARINU-FRG40431MQ.TUNEL DE CG (CONTINUO) (1)</v>
      </c>
      <c r="Y513" s="7" t="str">
        <f>Preencher!$B$3&amp;U513&amp;V513&amp;A513&amp;$Y$6</f>
        <v>JARINU-FRG40431MQ.TUNEL DE CG (CONTINUO) (2)</v>
      </c>
      <c r="Z513" s="7" t="str">
        <f>Preencher!$B$3&amp;U513&amp;V513&amp;A513&amp;$Z$6</f>
        <v>JARINU-FRG40431MQ.TUNEL DE CG (CONTINUO) (3)</v>
      </c>
      <c r="AA513" s="7" t="str">
        <f>Preencher!$B$3&amp;U513&amp;V513&amp;A513&amp;$AA$6</f>
        <v>JARINU-FRG40431MQ.TUNEL DE CG (ESTATICO)</v>
      </c>
      <c r="AB513" s="7" t="str">
        <f>Preencher!$B$3&amp;U513&amp;V513&amp;A513&amp;$AB$6</f>
        <v>JARINU-FRG40431MQ.TUNEL DE CG (ESTATICO) (1)</v>
      </c>
      <c r="AC513" s="7" t="str">
        <f>Preencher!$B$3&amp;U513&amp;V513&amp;A513&amp;$AC$6</f>
        <v>JARINU-FRG40431MQ.TUNEL DE CG (ESTATICO) (2)</v>
      </c>
      <c r="AD513" s="327">
        <f>IFERROR(SUMIF('BD Otimix'!A:A,'BD VOLUME'!X513,'BD Otimix'!O:O)+SUMIF('BD Otimix'!A:A,'BD VOLUME'!Y513,'BD Otimix'!O:O)+SUMIF('BD Otimix'!A:A,'BD VOLUME'!Z513,'BD Otimix'!O:O)+SUMIF('BD Otimix'!A:A,'BD VOLUME'!AA513,'BD Otimix'!O:O)+SUMIF('BD Otimix'!A:A,'BD VOLUME'!AB513,'BD Otimix'!O:O)+SUMIF('BD Otimix'!A:A,'BD VOLUME'!AC513,'BD Otimix'!O:O)+SUMIF('BD Otimix'!A:A,'BD VOLUME'!W513,'BD Otimix'!O:O),0)</f>
        <v>0</v>
      </c>
      <c r="AE513" s="327">
        <f t="shared" si="144"/>
        <v>0</v>
      </c>
      <c r="AF513" s="7" t="str">
        <f>Preencher!$B$3&amp;$U$8&amp;$V$8&amp;A513&amp;$AF$6</f>
        <v>JARINU-FRG40431MQ.GIROFREEZER</v>
      </c>
      <c r="AG513" s="7" t="str">
        <f>Preencher!$B$3&amp;$U$8&amp;$V$8&amp;A513&amp;$AG$6</f>
        <v>JARINU-FRG40431MQ.GIROFREEZER (1)</v>
      </c>
      <c r="AH513" s="7" t="str">
        <f>Preencher!$B$3&amp;$U$8&amp;$V$8&amp;A513&amp;$AH$6</f>
        <v>JARINU-FRG40431MQ.GIROFREEZER (2)</v>
      </c>
      <c r="AI513" s="7" t="str">
        <f>Preencher!$B$3&amp;$U$8&amp;$V$8&amp;A513&amp;$AI$6</f>
        <v>JARINU-FRG40431MQ.GIROFREEZER REV04</v>
      </c>
      <c r="AJ513" s="7" t="str">
        <f>Preencher!$B$3&amp;$U$8&amp;$V$8&amp;A513&amp;$AJ$6</f>
        <v>JARINU-FRG40431MQ.GIROFREEZER (3)</v>
      </c>
      <c r="AK513" s="327">
        <f>IFERROR(SUMIF('BD Otimix'!A:A,'BD VOLUME'!AG513,'BD Otimix'!O:O)+SUMIF('BD Otimix'!A:A,'BD VOLUME'!AH513,'BD Otimix'!O:O)+SUMIF('BD Otimix'!A:A,'BD VOLUME'!AI513,'BD Otimix'!O:O)+SUMIF('BD Otimix'!A:A,'BD VOLUME'!AJ513,'BD Otimix'!O:O)+SUMIF('BD Otimix'!A:A,'BD VOLUME'!AF513,'BD Otimix'!O:O),0)</f>
        <v>0</v>
      </c>
      <c r="AL513" s="7">
        <f t="shared" si="145"/>
        <v>0</v>
      </c>
    </row>
    <row r="514" spans="1:38">
      <c r="A514" s="647">
        <v>977284</v>
      </c>
      <c r="B514" s="647" t="s">
        <v>2340</v>
      </c>
      <c r="C514" s="5" t="s">
        <v>2341</v>
      </c>
      <c r="D514" s="5" t="s">
        <v>868</v>
      </c>
      <c r="E514" s="5" t="s">
        <v>2411</v>
      </c>
      <c r="F514" s="132">
        <f>SUMIF('COLAR PLANO'!$A:$A,A514,'COLAR PLANO'!$D:$D)</f>
        <v>0</v>
      </c>
      <c r="G514" s="131">
        <f t="shared" si="159"/>
        <v>0</v>
      </c>
      <c r="H514" s="6">
        <v>0.104759956667657</v>
      </c>
      <c r="I514" s="7">
        <f t="shared" si="160"/>
        <v>0</v>
      </c>
      <c r="J514" s="130">
        <f t="shared" si="161"/>
        <v>0</v>
      </c>
      <c r="K514" s="647">
        <v>18</v>
      </c>
      <c r="L514" s="647">
        <v>1</v>
      </c>
      <c r="M514" s="647">
        <v>18</v>
      </c>
      <c r="N514" s="7">
        <f>IFERROR(G514/K514,"-")</f>
        <v>0</v>
      </c>
      <c r="O514" s="7"/>
      <c r="P514" s="7">
        <f>IFERROR(G514/M514,0)</f>
        <v>0</v>
      </c>
      <c r="Q514" s="7"/>
      <c r="R514" s="7"/>
      <c r="S514" s="7"/>
      <c r="T514" s="7"/>
      <c r="U514" s="7" t="s">
        <v>2288</v>
      </c>
      <c r="V514" s="7" t="s">
        <v>2289</v>
      </c>
      <c r="W514" s="7" t="str">
        <f>Preencher!$B$3&amp;U514&amp;V514&amp;A514&amp;$W$6</f>
        <v>JARINU-FRG977284MQ.TUNEL DE CG (CONTINUO)</v>
      </c>
      <c r="X514" s="7" t="str">
        <f>Preencher!$B$3&amp;U514&amp;V514&amp;A514&amp;$X$6</f>
        <v>JARINU-FRG977284MQ.TUNEL DE CG (CONTINUO) (1)</v>
      </c>
      <c r="Y514" s="7" t="str">
        <f>Preencher!$B$3&amp;U514&amp;V514&amp;A514&amp;$Y$6</f>
        <v>JARINU-FRG977284MQ.TUNEL DE CG (CONTINUO) (2)</v>
      </c>
      <c r="Z514" s="7" t="str">
        <f>Preencher!$B$3&amp;U514&amp;V514&amp;A514&amp;$Z$6</f>
        <v>JARINU-FRG977284MQ.TUNEL DE CG (CONTINUO) (3)</v>
      </c>
      <c r="AA514" s="7" t="str">
        <f>Preencher!$B$3&amp;U514&amp;V514&amp;A514&amp;$AA$6</f>
        <v>JARINU-FRG977284MQ.TUNEL DE CG (ESTATICO)</v>
      </c>
      <c r="AB514" s="7" t="str">
        <f>Preencher!$B$3&amp;U514&amp;V514&amp;A514&amp;$AB$6</f>
        <v>JARINU-FRG977284MQ.TUNEL DE CG (ESTATICO) (1)</v>
      </c>
      <c r="AC514" s="7" t="str">
        <f>Preencher!$B$3&amp;U514&amp;V514&amp;A514&amp;$AC$6</f>
        <v>JARINU-FRG977284MQ.TUNEL DE CG (ESTATICO) (2)</v>
      </c>
      <c r="AD514" s="327">
        <f>IFERROR(SUMIF('BD Otimix'!A:A,'BD VOLUME'!X514,'BD Otimix'!O:O)+SUMIF('BD Otimix'!A:A,'BD VOLUME'!Y514,'BD Otimix'!O:O)+SUMIF('BD Otimix'!A:A,'BD VOLUME'!Z514,'BD Otimix'!O:O)+SUMIF('BD Otimix'!A:A,'BD VOLUME'!AA514,'BD Otimix'!O:O)+SUMIF('BD Otimix'!A:A,'BD VOLUME'!AB514,'BD Otimix'!O:O)+SUMIF('BD Otimix'!A:A,'BD VOLUME'!AC514,'BD Otimix'!O:O)+SUMIF('BD Otimix'!A:A,'BD VOLUME'!W514,'BD Otimix'!O:O),0)</f>
        <v>0</v>
      </c>
      <c r="AE514" s="327">
        <f t="shared" si="144"/>
        <v>0</v>
      </c>
      <c r="AF514" s="7" t="str">
        <f>Preencher!$B$3&amp;$U$8&amp;$V$8&amp;A514&amp;$AF$6</f>
        <v>JARINU-FRG977284MQ.GIROFREEZER</v>
      </c>
      <c r="AG514" s="7" t="str">
        <f>Preencher!$B$3&amp;$U$8&amp;$V$8&amp;A514&amp;$AG$6</f>
        <v>JARINU-FRG977284MQ.GIROFREEZER (1)</v>
      </c>
      <c r="AH514" s="7" t="str">
        <f>Preencher!$B$3&amp;$U$8&amp;$V$8&amp;A514&amp;$AH$6</f>
        <v>JARINU-FRG977284MQ.GIROFREEZER (2)</v>
      </c>
      <c r="AI514" s="7" t="str">
        <f>Preencher!$B$3&amp;$U$8&amp;$V$8&amp;A514&amp;$AI$6</f>
        <v>JARINU-FRG977284MQ.GIROFREEZER REV04</v>
      </c>
      <c r="AJ514" s="7" t="str">
        <f>Preencher!$B$3&amp;$U$8&amp;$V$8&amp;A514&amp;$AJ$6</f>
        <v>JARINU-FRG977284MQ.GIROFREEZER (3)</v>
      </c>
      <c r="AK514" s="327">
        <f>IFERROR(SUMIF('BD Otimix'!A:A,'BD VOLUME'!AG514,'BD Otimix'!O:O)+SUMIF('BD Otimix'!A:A,'BD VOLUME'!AH514,'BD Otimix'!O:O)+SUMIF('BD Otimix'!A:A,'BD VOLUME'!AI514,'BD Otimix'!O:O)+SUMIF('BD Otimix'!A:A,'BD VOLUME'!AJ514,'BD Otimix'!O:O)+SUMIF('BD Otimix'!A:A,'BD VOLUME'!AF514,'BD Otimix'!O:O),0)</f>
        <v>0</v>
      </c>
      <c r="AL514" s="7">
        <f t="shared" si="145"/>
        <v>0</v>
      </c>
    </row>
    <row r="515" spans="1:38">
      <c r="A515" s="401">
        <v>864048</v>
      </c>
      <c r="B515" s="401" t="s">
        <v>3081</v>
      </c>
      <c r="C515" s="5" t="s">
        <v>3079</v>
      </c>
      <c r="D515" s="5" t="s">
        <v>868</v>
      </c>
      <c r="E515" s="5" t="s">
        <v>1083</v>
      </c>
      <c r="F515" s="132">
        <f>SUMIF('COLAR PLANO'!$A:$A,A515,'COLAR PLANO'!$D:$D)</f>
        <v>0</v>
      </c>
      <c r="G515" s="131">
        <f t="shared" si="159"/>
        <v>0</v>
      </c>
      <c r="H515" s="6">
        <v>0.19983298371504893</v>
      </c>
      <c r="I515" s="7">
        <f t="shared" si="160"/>
        <v>0</v>
      </c>
      <c r="J515" s="130">
        <f t="shared" si="161"/>
        <v>0</v>
      </c>
      <c r="K515" s="401">
        <v>2</v>
      </c>
      <c r="L515" s="401">
        <v>6</v>
      </c>
      <c r="M515" s="401">
        <v>12</v>
      </c>
      <c r="N515" s="7">
        <f t="shared" si="162"/>
        <v>0</v>
      </c>
      <c r="O515" s="7"/>
      <c r="P515" s="7">
        <f t="shared" si="163"/>
        <v>0</v>
      </c>
      <c r="Q515" s="7"/>
      <c r="R515" s="7"/>
      <c r="S515" s="7"/>
      <c r="T515" s="7"/>
      <c r="U515" s="7" t="s">
        <v>2288</v>
      </c>
      <c r="V515" s="7" t="s">
        <v>2289</v>
      </c>
      <c r="W515" s="7" t="str">
        <f>Preencher!$B$3&amp;U515&amp;V515&amp;A515&amp;$W$6</f>
        <v>JARINU-FRG864048MQ.TUNEL DE CG (CONTINUO)</v>
      </c>
      <c r="X515" s="7" t="str">
        <f>Preencher!$B$3&amp;U515&amp;V515&amp;A515&amp;$X$6</f>
        <v>JARINU-FRG864048MQ.TUNEL DE CG (CONTINUO) (1)</v>
      </c>
      <c r="Y515" s="7" t="str">
        <f>Preencher!$B$3&amp;U515&amp;V515&amp;A515&amp;$Y$6</f>
        <v>JARINU-FRG864048MQ.TUNEL DE CG (CONTINUO) (2)</v>
      </c>
      <c r="Z515" s="7" t="str">
        <f>Preencher!$B$3&amp;U515&amp;V515&amp;A515&amp;$Z$6</f>
        <v>JARINU-FRG864048MQ.TUNEL DE CG (CONTINUO) (3)</v>
      </c>
      <c r="AA515" s="7" t="str">
        <f>Preencher!$B$3&amp;U515&amp;V515&amp;A515&amp;$AA$6</f>
        <v>JARINU-FRG864048MQ.TUNEL DE CG (ESTATICO)</v>
      </c>
      <c r="AB515" s="7" t="str">
        <f>Preencher!$B$3&amp;U515&amp;V515&amp;A515&amp;$AB$6</f>
        <v>JARINU-FRG864048MQ.TUNEL DE CG (ESTATICO) (1)</v>
      </c>
      <c r="AC515" s="7" t="str">
        <f>Preencher!$B$3&amp;U515&amp;V515&amp;A515&amp;$AC$6</f>
        <v>JARINU-FRG864048MQ.TUNEL DE CG (ESTATICO) (2)</v>
      </c>
      <c r="AD515" s="327">
        <f>IFERROR(SUMIF('BD Otimix'!A:A,'BD VOLUME'!X515,'BD Otimix'!O:O)+SUMIF('BD Otimix'!A:A,'BD VOLUME'!Y515,'BD Otimix'!O:O)+SUMIF('BD Otimix'!A:A,'BD VOLUME'!Z515,'BD Otimix'!O:O)+SUMIF('BD Otimix'!A:A,'BD VOLUME'!AA515,'BD Otimix'!O:O)+SUMIF('BD Otimix'!A:A,'BD VOLUME'!AB515,'BD Otimix'!O:O)+SUMIF('BD Otimix'!A:A,'BD VOLUME'!AC515,'BD Otimix'!O:O)+SUMIF('BD Otimix'!A:A,'BD VOLUME'!W515,'BD Otimix'!O:O),0)</f>
        <v>0</v>
      </c>
      <c r="AE515" s="327">
        <f t="shared" si="144"/>
        <v>0</v>
      </c>
      <c r="AF515" s="7" t="str">
        <f>Preencher!$B$3&amp;$U$8&amp;$V$8&amp;A515&amp;$AF$6</f>
        <v>JARINU-FRG864048MQ.GIROFREEZER</v>
      </c>
      <c r="AG515" s="7" t="str">
        <f>Preencher!$B$3&amp;$U$8&amp;$V$8&amp;A515&amp;$AG$6</f>
        <v>JARINU-FRG864048MQ.GIROFREEZER (1)</v>
      </c>
      <c r="AH515" s="7" t="str">
        <f>Preencher!$B$3&amp;$U$8&amp;$V$8&amp;A515&amp;$AH$6</f>
        <v>JARINU-FRG864048MQ.GIROFREEZER (2)</v>
      </c>
      <c r="AI515" s="7" t="str">
        <f>Preencher!$B$3&amp;$U$8&amp;$V$8&amp;A515&amp;$AI$6</f>
        <v>JARINU-FRG864048MQ.GIROFREEZER REV04</v>
      </c>
      <c r="AJ515" s="7" t="str">
        <f>Preencher!$B$3&amp;$U$8&amp;$V$8&amp;A515&amp;$AJ$6</f>
        <v>JARINU-FRG864048MQ.GIROFREEZER (3)</v>
      </c>
      <c r="AK515" s="327">
        <f>IFERROR(SUMIF('BD Otimix'!A:A,'BD VOLUME'!AG515,'BD Otimix'!O:O)+SUMIF('BD Otimix'!A:A,'BD VOLUME'!AH515,'BD Otimix'!O:O)+SUMIF('BD Otimix'!A:A,'BD VOLUME'!AI515,'BD Otimix'!O:O)+SUMIF('BD Otimix'!A:A,'BD VOLUME'!AJ515,'BD Otimix'!O:O)+SUMIF('BD Otimix'!A:A,'BD VOLUME'!AF515,'BD Otimix'!O:O),0)</f>
        <v>0</v>
      </c>
      <c r="AL515" s="7">
        <f t="shared" si="145"/>
        <v>0</v>
      </c>
    </row>
    <row r="516" spans="1:38">
      <c r="A516" s="580">
        <v>42803</v>
      </c>
      <c r="B516" s="580" t="s">
        <v>2063</v>
      </c>
      <c r="C516" s="5" t="s">
        <v>2064</v>
      </c>
      <c r="D516" s="5" t="s">
        <v>868</v>
      </c>
      <c r="E516" s="5" t="s">
        <v>1083</v>
      </c>
      <c r="F516" s="132">
        <f>SUMIF('COLAR PLANO'!$A:$A,A516,'COLAR PLANO'!$D:$D)</f>
        <v>0</v>
      </c>
      <c r="G516" s="131">
        <f t="shared" ref="G516:G523" si="164">IFERROR(F516/($E$3*$C$3),0)</f>
        <v>0</v>
      </c>
      <c r="H516" s="6">
        <v>0.19787383681588178</v>
      </c>
      <c r="I516" s="7">
        <f t="shared" ref="I516:I523" si="165">IFERROR(G516/$D$3/H516,0)</f>
        <v>0</v>
      </c>
      <c r="J516" s="130">
        <f t="shared" ref="J516:J523" si="166">IFERROR(I516/$B$472,0)</f>
        <v>0</v>
      </c>
      <c r="K516" s="580">
        <v>2</v>
      </c>
      <c r="L516" s="580">
        <v>6</v>
      </c>
      <c r="M516" s="580">
        <v>12</v>
      </c>
      <c r="N516" s="7">
        <f t="shared" ref="N516:N523" si="167">IFERROR(G516/K516,"-")</f>
        <v>0</v>
      </c>
      <c r="O516" s="7"/>
      <c r="P516" s="7">
        <f t="shared" ref="P516:P523" si="168">IFERROR(G516/M516,0)</f>
        <v>0</v>
      </c>
      <c r="Q516" s="7"/>
      <c r="R516" s="7"/>
      <c r="S516" s="7"/>
      <c r="T516" s="7"/>
      <c r="U516" s="7" t="s">
        <v>2288</v>
      </c>
      <c r="V516" s="7" t="s">
        <v>2289</v>
      </c>
      <c r="W516" s="7" t="str">
        <f>Preencher!$B$3&amp;U516&amp;V516&amp;A516&amp;$W$6</f>
        <v>JARINU-FRG42803MQ.TUNEL DE CG (CONTINUO)</v>
      </c>
      <c r="X516" s="7" t="str">
        <f>Preencher!$B$3&amp;U516&amp;V516&amp;A516&amp;$X$6</f>
        <v>JARINU-FRG42803MQ.TUNEL DE CG (CONTINUO) (1)</v>
      </c>
      <c r="Y516" s="7" t="str">
        <f>Preencher!$B$3&amp;U516&amp;V516&amp;A516&amp;$Y$6</f>
        <v>JARINU-FRG42803MQ.TUNEL DE CG (CONTINUO) (2)</v>
      </c>
      <c r="Z516" s="7" t="str">
        <f>Preencher!$B$3&amp;U516&amp;V516&amp;A516&amp;$Z$6</f>
        <v>JARINU-FRG42803MQ.TUNEL DE CG (CONTINUO) (3)</v>
      </c>
      <c r="AA516" s="7" t="str">
        <f>Preencher!$B$3&amp;U516&amp;V516&amp;A516&amp;$AA$6</f>
        <v>JARINU-FRG42803MQ.TUNEL DE CG (ESTATICO)</v>
      </c>
      <c r="AB516" s="7" t="str">
        <f>Preencher!$B$3&amp;U516&amp;V516&amp;A516&amp;$AB$6</f>
        <v>JARINU-FRG42803MQ.TUNEL DE CG (ESTATICO) (1)</v>
      </c>
      <c r="AC516" s="7" t="str">
        <f>Preencher!$B$3&amp;U516&amp;V516&amp;A516&amp;$AC$6</f>
        <v>JARINU-FRG42803MQ.TUNEL DE CG (ESTATICO) (2)</v>
      </c>
      <c r="AD516" s="327">
        <f>IFERROR(SUMIF('BD Otimix'!A:A,'BD VOLUME'!X516,'BD Otimix'!O:O)+SUMIF('BD Otimix'!A:A,'BD VOLUME'!Y516,'BD Otimix'!O:O)+SUMIF('BD Otimix'!A:A,'BD VOLUME'!Z516,'BD Otimix'!O:O)+SUMIF('BD Otimix'!A:A,'BD VOLUME'!AA516,'BD Otimix'!O:O)+SUMIF('BD Otimix'!A:A,'BD VOLUME'!AB516,'BD Otimix'!O:O)+SUMIF('BD Otimix'!A:A,'BD VOLUME'!AC516,'BD Otimix'!O:O)+SUMIF('BD Otimix'!A:A,'BD VOLUME'!W516,'BD Otimix'!O:O),0)</f>
        <v>0</v>
      </c>
      <c r="AE516" s="327">
        <f t="shared" si="144"/>
        <v>0</v>
      </c>
      <c r="AF516" s="7" t="str">
        <f>Preencher!$B$3&amp;$U$8&amp;$V$8&amp;A516&amp;$AF$6</f>
        <v>JARINU-FRG42803MQ.GIROFREEZER</v>
      </c>
      <c r="AG516" s="7" t="str">
        <f>Preencher!$B$3&amp;$U$8&amp;$V$8&amp;A516&amp;$AG$6</f>
        <v>JARINU-FRG42803MQ.GIROFREEZER (1)</v>
      </c>
      <c r="AH516" s="7" t="str">
        <f>Preencher!$B$3&amp;$U$8&amp;$V$8&amp;A516&amp;$AH$6</f>
        <v>JARINU-FRG42803MQ.GIROFREEZER (2)</v>
      </c>
      <c r="AI516" s="7" t="str">
        <f>Preencher!$B$3&amp;$U$8&amp;$V$8&amp;A516&amp;$AI$6</f>
        <v>JARINU-FRG42803MQ.GIROFREEZER REV04</v>
      </c>
      <c r="AJ516" s="7" t="str">
        <f>Preencher!$B$3&amp;$U$8&amp;$V$8&amp;A516&amp;$AJ$6</f>
        <v>JARINU-FRG42803MQ.GIROFREEZER (3)</v>
      </c>
      <c r="AK516" s="327">
        <f>IFERROR(SUMIF('BD Otimix'!A:A,'BD VOLUME'!AG516,'BD Otimix'!O:O)+SUMIF('BD Otimix'!A:A,'BD VOLUME'!AH516,'BD Otimix'!O:O)+SUMIF('BD Otimix'!A:A,'BD VOLUME'!AI516,'BD Otimix'!O:O)+SUMIF('BD Otimix'!A:A,'BD VOLUME'!AJ516,'BD Otimix'!O:O)+SUMIF('BD Otimix'!A:A,'BD VOLUME'!AF516,'BD Otimix'!O:O),0)</f>
        <v>0</v>
      </c>
      <c r="AL516" s="7">
        <f t="shared" si="145"/>
        <v>0</v>
      </c>
    </row>
    <row r="517" spans="1:38">
      <c r="A517" s="580">
        <v>42811</v>
      </c>
      <c r="B517" s="580" t="s">
        <v>2065</v>
      </c>
      <c r="C517" s="5" t="s">
        <v>2066</v>
      </c>
      <c r="D517" s="5" t="s">
        <v>868</v>
      </c>
      <c r="E517" s="5" t="s">
        <v>1083</v>
      </c>
      <c r="F517" s="132">
        <f>SUMIF('COLAR PLANO'!$A:$A,A517,'COLAR PLANO'!$D:$D)</f>
        <v>0</v>
      </c>
      <c r="G517" s="131">
        <f t="shared" si="164"/>
        <v>0</v>
      </c>
      <c r="H517" s="6">
        <v>0.19314001296861188</v>
      </c>
      <c r="I517" s="7">
        <f t="shared" si="165"/>
        <v>0</v>
      </c>
      <c r="J517" s="130">
        <f t="shared" si="166"/>
        <v>0</v>
      </c>
      <c r="K517" s="580">
        <v>2</v>
      </c>
      <c r="L517" s="580">
        <v>6</v>
      </c>
      <c r="M517" s="580">
        <v>12</v>
      </c>
      <c r="N517" s="7">
        <f t="shared" si="167"/>
        <v>0</v>
      </c>
      <c r="O517" s="7"/>
      <c r="P517" s="7">
        <f t="shared" si="168"/>
        <v>0</v>
      </c>
      <c r="Q517" s="7"/>
      <c r="R517" s="7"/>
      <c r="S517" s="7"/>
      <c r="T517" s="7"/>
      <c r="U517" s="7" t="s">
        <v>2288</v>
      </c>
      <c r="V517" s="7" t="s">
        <v>2289</v>
      </c>
      <c r="W517" s="7" t="str">
        <f>Preencher!$B$3&amp;U517&amp;V517&amp;A517&amp;$W$6</f>
        <v>JARINU-FRG42811MQ.TUNEL DE CG (CONTINUO)</v>
      </c>
      <c r="X517" s="7" t="str">
        <f>Preencher!$B$3&amp;U517&amp;V517&amp;A517&amp;$X$6</f>
        <v>JARINU-FRG42811MQ.TUNEL DE CG (CONTINUO) (1)</v>
      </c>
      <c r="Y517" s="7" t="str">
        <f>Preencher!$B$3&amp;U517&amp;V517&amp;A517&amp;$Y$6</f>
        <v>JARINU-FRG42811MQ.TUNEL DE CG (CONTINUO) (2)</v>
      </c>
      <c r="Z517" s="7" t="str">
        <f>Preencher!$B$3&amp;U517&amp;V517&amp;A517&amp;$Z$6</f>
        <v>JARINU-FRG42811MQ.TUNEL DE CG (CONTINUO) (3)</v>
      </c>
      <c r="AA517" s="7" t="str">
        <f>Preencher!$B$3&amp;U517&amp;V517&amp;A517&amp;$AA$6</f>
        <v>JARINU-FRG42811MQ.TUNEL DE CG (ESTATICO)</v>
      </c>
      <c r="AB517" s="7" t="str">
        <f>Preencher!$B$3&amp;U517&amp;V517&amp;A517&amp;$AB$6</f>
        <v>JARINU-FRG42811MQ.TUNEL DE CG (ESTATICO) (1)</v>
      </c>
      <c r="AC517" s="7" t="str">
        <f>Preencher!$B$3&amp;U517&amp;V517&amp;A517&amp;$AC$6</f>
        <v>JARINU-FRG42811MQ.TUNEL DE CG (ESTATICO) (2)</v>
      </c>
      <c r="AD517" s="327">
        <f>IFERROR(SUMIF('BD Otimix'!A:A,'BD VOLUME'!X517,'BD Otimix'!O:O)+SUMIF('BD Otimix'!A:A,'BD VOLUME'!Y517,'BD Otimix'!O:O)+SUMIF('BD Otimix'!A:A,'BD VOLUME'!Z517,'BD Otimix'!O:O)+SUMIF('BD Otimix'!A:A,'BD VOLUME'!AA517,'BD Otimix'!O:O)+SUMIF('BD Otimix'!A:A,'BD VOLUME'!AB517,'BD Otimix'!O:O)+SUMIF('BD Otimix'!A:A,'BD VOLUME'!AC517,'BD Otimix'!O:O)+SUMIF('BD Otimix'!A:A,'BD VOLUME'!W517,'BD Otimix'!O:O),0)</f>
        <v>0</v>
      </c>
      <c r="AE517" s="327">
        <f t="shared" si="144"/>
        <v>0</v>
      </c>
      <c r="AF517" s="7" t="str">
        <f>Preencher!$B$3&amp;$U$8&amp;$V$8&amp;A517&amp;$AF$6</f>
        <v>JARINU-FRG42811MQ.GIROFREEZER</v>
      </c>
      <c r="AG517" s="7" t="str">
        <f>Preencher!$B$3&amp;$U$8&amp;$V$8&amp;A517&amp;$AG$6</f>
        <v>JARINU-FRG42811MQ.GIROFREEZER (1)</v>
      </c>
      <c r="AH517" s="7" t="str">
        <f>Preencher!$B$3&amp;$U$8&amp;$V$8&amp;A517&amp;$AH$6</f>
        <v>JARINU-FRG42811MQ.GIROFREEZER (2)</v>
      </c>
      <c r="AI517" s="7" t="str">
        <f>Preencher!$B$3&amp;$U$8&amp;$V$8&amp;A517&amp;$AI$6</f>
        <v>JARINU-FRG42811MQ.GIROFREEZER REV04</v>
      </c>
      <c r="AJ517" s="7" t="str">
        <f>Preencher!$B$3&amp;$U$8&amp;$V$8&amp;A517&amp;$AJ$6</f>
        <v>JARINU-FRG42811MQ.GIROFREEZER (3)</v>
      </c>
      <c r="AK517" s="327">
        <f>IFERROR(SUMIF('BD Otimix'!A:A,'BD VOLUME'!AG517,'BD Otimix'!O:O)+SUMIF('BD Otimix'!A:A,'BD VOLUME'!AH517,'BD Otimix'!O:O)+SUMIF('BD Otimix'!A:A,'BD VOLUME'!AI517,'BD Otimix'!O:O)+SUMIF('BD Otimix'!A:A,'BD VOLUME'!AJ517,'BD Otimix'!O:O)+SUMIF('BD Otimix'!A:A,'BD VOLUME'!AF517,'BD Otimix'!O:O),0)</f>
        <v>0</v>
      </c>
      <c r="AL517" s="7">
        <f t="shared" si="145"/>
        <v>0</v>
      </c>
    </row>
    <row r="518" spans="1:38">
      <c r="A518" s="580">
        <v>42820</v>
      </c>
      <c r="B518" s="580" t="s">
        <v>2067</v>
      </c>
      <c r="C518" s="5" t="s">
        <v>2068</v>
      </c>
      <c r="D518" s="5" t="s">
        <v>868</v>
      </c>
      <c r="E518" s="5" t="s">
        <v>1083</v>
      </c>
      <c r="F518" s="132">
        <f>SUMIF('COLAR PLANO'!$A:$A,A518,'COLAR PLANO'!$D:$D)</f>
        <v>0</v>
      </c>
      <c r="G518" s="131">
        <f t="shared" si="164"/>
        <v>0</v>
      </c>
      <c r="H518" s="6">
        <v>0.19222029862114229</v>
      </c>
      <c r="I518" s="7">
        <f t="shared" si="165"/>
        <v>0</v>
      </c>
      <c r="J518" s="130">
        <f t="shared" si="166"/>
        <v>0</v>
      </c>
      <c r="K518" s="580">
        <v>2</v>
      </c>
      <c r="L518" s="580">
        <v>6</v>
      </c>
      <c r="M518" s="580">
        <v>12</v>
      </c>
      <c r="N518" s="7">
        <f t="shared" si="167"/>
        <v>0</v>
      </c>
      <c r="O518" s="7"/>
      <c r="P518" s="7">
        <f t="shared" si="168"/>
        <v>0</v>
      </c>
      <c r="Q518" s="7"/>
      <c r="R518" s="7"/>
      <c r="S518" s="7"/>
      <c r="T518" s="7"/>
      <c r="U518" s="7" t="s">
        <v>2288</v>
      </c>
      <c r="V518" s="7" t="s">
        <v>2289</v>
      </c>
      <c r="W518" s="7" t="str">
        <f>Preencher!$B$3&amp;U518&amp;V518&amp;A518&amp;$W$6</f>
        <v>JARINU-FRG42820MQ.TUNEL DE CG (CONTINUO)</v>
      </c>
      <c r="X518" s="7" t="str">
        <f>Preencher!$B$3&amp;U518&amp;V518&amp;A518&amp;$X$6</f>
        <v>JARINU-FRG42820MQ.TUNEL DE CG (CONTINUO) (1)</v>
      </c>
      <c r="Y518" s="7" t="str">
        <f>Preencher!$B$3&amp;U518&amp;V518&amp;A518&amp;$Y$6</f>
        <v>JARINU-FRG42820MQ.TUNEL DE CG (CONTINUO) (2)</v>
      </c>
      <c r="Z518" s="7" t="str">
        <f>Preencher!$B$3&amp;U518&amp;V518&amp;A518&amp;$Z$6</f>
        <v>JARINU-FRG42820MQ.TUNEL DE CG (CONTINUO) (3)</v>
      </c>
      <c r="AA518" s="7" t="str">
        <f>Preencher!$B$3&amp;U518&amp;V518&amp;A518&amp;$AA$6</f>
        <v>JARINU-FRG42820MQ.TUNEL DE CG (ESTATICO)</v>
      </c>
      <c r="AB518" s="7" t="str">
        <f>Preencher!$B$3&amp;U518&amp;V518&amp;A518&amp;$AB$6</f>
        <v>JARINU-FRG42820MQ.TUNEL DE CG (ESTATICO) (1)</v>
      </c>
      <c r="AC518" s="7" t="str">
        <f>Preencher!$B$3&amp;U518&amp;V518&amp;A518&amp;$AC$6</f>
        <v>JARINU-FRG42820MQ.TUNEL DE CG (ESTATICO) (2)</v>
      </c>
      <c r="AD518" s="327">
        <f>IFERROR(SUMIF('BD Otimix'!A:A,'BD VOLUME'!X518,'BD Otimix'!O:O)+SUMIF('BD Otimix'!A:A,'BD VOLUME'!Y518,'BD Otimix'!O:O)+SUMIF('BD Otimix'!A:A,'BD VOLUME'!Z518,'BD Otimix'!O:O)+SUMIF('BD Otimix'!A:A,'BD VOLUME'!AA518,'BD Otimix'!O:O)+SUMIF('BD Otimix'!A:A,'BD VOLUME'!AB518,'BD Otimix'!O:O)+SUMIF('BD Otimix'!A:A,'BD VOLUME'!AC518,'BD Otimix'!O:O)+SUMIF('BD Otimix'!A:A,'BD VOLUME'!W518,'BD Otimix'!O:O),0)</f>
        <v>0</v>
      </c>
      <c r="AE518" s="327">
        <f t="shared" si="144"/>
        <v>0</v>
      </c>
      <c r="AF518" s="7" t="str">
        <f>Preencher!$B$3&amp;$U$8&amp;$V$8&amp;A518&amp;$AF$6</f>
        <v>JARINU-FRG42820MQ.GIROFREEZER</v>
      </c>
      <c r="AG518" s="7" t="str">
        <f>Preencher!$B$3&amp;$U$8&amp;$V$8&amp;A518&amp;$AG$6</f>
        <v>JARINU-FRG42820MQ.GIROFREEZER (1)</v>
      </c>
      <c r="AH518" s="7" t="str">
        <f>Preencher!$B$3&amp;$U$8&amp;$V$8&amp;A518&amp;$AH$6</f>
        <v>JARINU-FRG42820MQ.GIROFREEZER (2)</v>
      </c>
      <c r="AI518" s="7" t="str">
        <f>Preencher!$B$3&amp;$U$8&amp;$V$8&amp;A518&amp;$AI$6</f>
        <v>JARINU-FRG42820MQ.GIROFREEZER REV04</v>
      </c>
      <c r="AJ518" s="7" t="str">
        <f>Preencher!$B$3&amp;$U$8&amp;$V$8&amp;A518&amp;$AJ$6</f>
        <v>JARINU-FRG42820MQ.GIROFREEZER (3)</v>
      </c>
      <c r="AK518" s="327">
        <f>IFERROR(SUMIF('BD Otimix'!A:A,'BD VOLUME'!AG518,'BD Otimix'!O:O)+SUMIF('BD Otimix'!A:A,'BD VOLUME'!AH518,'BD Otimix'!O:O)+SUMIF('BD Otimix'!A:A,'BD VOLUME'!AI518,'BD Otimix'!O:O)+SUMIF('BD Otimix'!A:A,'BD VOLUME'!AJ518,'BD Otimix'!O:O)+SUMIF('BD Otimix'!A:A,'BD VOLUME'!AF518,'BD Otimix'!O:O),0)</f>
        <v>0</v>
      </c>
      <c r="AL518" s="7">
        <f t="shared" si="145"/>
        <v>0</v>
      </c>
    </row>
    <row r="519" spans="1:38">
      <c r="A519" s="580">
        <v>42838</v>
      </c>
      <c r="B519" s="580" t="s">
        <v>2069</v>
      </c>
      <c r="C519" s="5" t="s">
        <v>2070</v>
      </c>
      <c r="D519" s="5" t="s">
        <v>868</v>
      </c>
      <c r="E519" s="5" t="s">
        <v>1083</v>
      </c>
      <c r="F519" s="132">
        <f>SUMIF('COLAR PLANO'!$A:$A,A519,'COLAR PLANO'!$D:$D)</f>
        <v>0</v>
      </c>
      <c r="G519" s="131">
        <f t="shared" si="164"/>
        <v>0</v>
      </c>
      <c r="H519" s="6">
        <v>0.19500610005043423</v>
      </c>
      <c r="I519" s="7">
        <f t="shared" si="165"/>
        <v>0</v>
      </c>
      <c r="J519" s="130">
        <f t="shared" si="166"/>
        <v>0</v>
      </c>
      <c r="K519" s="580">
        <v>2</v>
      </c>
      <c r="L519" s="580">
        <v>6</v>
      </c>
      <c r="M519" s="580">
        <v>12</v>
      </c>
      <c r="N519" s="7">
        <f t="shared" si="167"/>
        <v>0</v>
      </c>
      <c r="O519" s="7"/>
      <c r="P519" s="7">
        <f t="shared" si="168"/>
        <v>0</v>
      </c>
      <c r="Q519" s="7"/>
      <c r="R519" s="7"/>
      <c r="S519" s="7"/>
      <c r="T519" s="7"/>
      <c r="U519" s="7" t="s">
        <v>2288</v>
      </c>
      <c r="V519" s="7" t="s">
        <v>2289</v>
      </c>
      <c r="W519" s="7" t="str">
        <f>Preencher!$B$3&amp;U519&amp;V519&amp;A519&amp;$W$6</f>
        <v>JARINU-FRG42838MQ.TUNEL DE CG (CONTINUO)</v>
      </c>
      <c r="X519" s="7" t="str">
        <f>Preencher!$B$3&amp;U519&amp;V519&amp;A519&amp;$X$6</f>
        <v>JARINU-FRG42838MQ.TUNEL DE CG (CONTINUO) (1)</v>
      </c>
      <c r="Y519" s="7" t="str">
        <f>Preencher!$B$3&amp;U519&amp;V519&amp;A519&amp;$Y$6</f>
        <v>JARINU-FRG42838MQ.TUNEL DE CG (CONTINUO) (2)</v>
      </c>
      <c r="Z519" s="7" t="str">
        <f>Preencher!$B$3&amp;U519&amp;V519&amp;A519&amp;$Z$6</f>
        <v>JARINU-FRG42838MQ.TUNEL DE CG (CONTINUO) (3)</v>
      </c>
      <c r="AA519" s="7" t="str">
        <f>Preencher!$B$3&amp;U519&amp;V519&amp;A519&amp;$AA$6</f>
        <v>JARINU-FRG42838MQ.TUNEL DE CG (ESTATICO)</v>
      </c>
      <c r="AB519" s="7" t="str">
        <f>Preencher!$B$3&amp;U519&amp;V519&amp;A519&amp;$AB$6</f>
        <v>JARINU-FRG42838MQ.TUNEL DE CG (ESTATICO) (1)</v>
      </c>
      <c r="AC519" s="7" t="str">
        <f>Preencher!$B$3&amp;U519&amp;V519&amp;A519&amp;$AC$6</f>
        <v>JARINU-FRG42838MQ.TUNEL DE CG (ESTATICO) (2)</v>
      </c>
      <c r="AD519" s="327">
        <f>IFERROR(SUMIF('BD Otimix'!A:A,'BD VOLUME'!X519,'BD Otimix'!O:O)+SUMIF('BD Otimix'!A:A,'BD VOLUME'!Y519,'BD Otimix'!O:O)+SUMIF('BD Otimix'!A:A,'BD VOLUME'!Z519,'BD Otimix'!O:O)+SUMIF('BD Otimix'!A:A,'BD VOLUME'!AA519,'BD Otimix'!O:O)+SUMIF('BD Otimix'!A:A,'BD VOLUME'!AB519,'BD Otimix'!O:O)+SUMIF('BD Otimix'!A:A,'BD VOLUME'!AC519,'BD Otimix'!O:O)+SUMIF('BD Otimix'!A:A,'BD VOLUME'!W519,'BD Otimix'!O:O),0)</f>
        <v>0</v>
      </c>
      <c r="AE519" s="327">
        <f t="shared" si="144"/>
        <v>0</v>
      </c>
      <c r="AF519" s="7" t="str">
        <f>Preencher!$B$3&amp;$U$8&amp;$V$8&amp;A519&amp;$AF$6</f>
        <v>JARINU-FRG42838MQ.GIROFREEZER</v>
      </c>
      <c r="AG519" s="7" t="str">
        <f>Preencher!$B$3&amp;$U$8&amp;$V$8&amp;A519&amp;$AG$6</f>
        <v>JARINU-FRG42838MQ.GIROFREEZER (1)</v>
      </c>
      <c r="AH519" s="7" t="str">
        <f>Preencher!$B$3&amp;$U$8&amp;$V$8&amp;A519&amp;$AH$6</f>
        <v>JARINU-FRG42838MQ.GIROFREEZER (2)</v>
      </c>
      <c r="AI519" s="7" t="str">
        <f>Preencher!$B$3&amp;$U$8&amp;$V$8&amp;A519&amp;$AI$6</f>
        <v>JARINU-FRG42838MQ.GIROFREEZER REV04</v>
      </c>
      <c r="AJ519" s="7" t="str">
        <f>Preencher!$B$3&amp;$U$8&amp;$V$8&amp;A519&amp;$AJ$6</f>
        <v>JARINU-FRG42838MQ.GIROFREEZER (3)</v>
      </c>
      <c r="AK519" s="327">
        <f>IFERROR(SUMIF('BD Otimix'!A:A,'BD VOLUME'!AG519,'BD Otimix'!O:O)+SUMIF('BD Otimix'!A:A,'BD VOLUME'!AH519,'BD Otimix'!O:O)+SUMIF('BD Otimix'!A:A,'BD VOLUME'!AI519,'BD Otimix'!O:O)+SUMIF('BD Otimix'!A:A,'BD VOLUME'!AJ519,'BD Otimix'!O:O)+SUMIF('BD Otimix'!A:A,'BD VOLUME'!AF519,'BD Otimix'!O:O),0)</f>
        <v>0</v>
      </c>
      <c r="AL519" s="7">
        <f t="shared" si="145"/>
        <v>0</v>
      </c>
    </row>
    <row r="520" spans="1:38">
      <c r="A520" s="580">
        <v>42846</v>
      </c>
      <c r="B520" s="580" t="s">
        <v>2071</v>
      </c>
      <c r="C520" s="5" t="s">
        <v>2072</v>
      </c>
      <c r="D520" s="5" t="s">
        <v>868</v>
      </c>
      <c r="E520" s="5" t="s">
        <v>1083</v>
      </c>
      <c r="F520" s="132">
        <f>SUMIF('COLAR PLANO'!$A:$A,A520,'COLAR PLANO'!$D:$D)</f>
        <v>0</v>
      </c>
      <c r="G520" s="131">
        <f t="shared" si="164"/>
        <v>0</v>
      </c>
      <c r="H520" s="6">
        <v>0.19983298371504893</v>
      </c>
      <c r="I520" s="7">
        <f t="shared" si="165"/>
        <v>0</v>
      </c>
      <c r="J520" s="130">
        <f t="shared" si="166"/>
        <v>0</v>
      </c>
      <c r="K520" s="580">
        <v>2</v>
      </c>
      <c r="L520" s="580">
        <v>6</v>
      </c>
      <c r="M520" s="580">
        <v>12</v>
      </c>
      <c r="N520" s="7">
        <f t="shared" si="167"/>
        <v>0</v>
      </c>
      <c r="O520" s="7"/>
      <c r="P520" s="7">
        <f t="shared" si="168"/>
        <v>0</v>
      </c>
      <c r="Q520" s="7"/>
      <c r="R520" s="7"/>
      <c r="S520" s="7"/>
      <c r="T520" s="7"/>
      <c r="U520" s="7" t="s">
        <v>2288</v>
      </c>
      <c r="V520" s="7" t="s">
        <v>2289</v>
      </c>
      <c r="W520" s="7" t="str">
        <f>Preencher!$B$3&amp;U520&amp;V520&amp;A520&amp;$W$6</f>
        <v>JARINU-FRG42846MQ.TUNEL DE CG (CONTINUO)</v>
      </c>
      <c r="X520" s="7" t="str">
        <f>Preencher!$B$3&amp;U520&amp;V520&amp;A520&amp;$X$6</f>
        <v>JARINU-FRG42846MQ.TUNEL DE CG (CONTINUO) (1)</v>
      </c>
      <c r="Y520" s="7" t="str">
        <f>Preencher!$B$3&amp;U520&amp;V520&amp;A520&amp;$Y$6</f>
        <v>JARINU-FRG42846MQ.TUNEL DE CG (CONTINUO) (2)</v>
      </c>
      <c r="Z520" s="7" t="str">
        <f>Preencher!$B$3&amp;U520&amp;V520&amp;A520&amp;$Z$6</f>
        <v>JARINU-FRG42846MQ.TUNEL DE CG (CONTINUO) (3)</v>
      </c>
      <c r="AA520" s="7" t="str">
        <f>Preencher!$B$3&amp;U520&amp;V520&amp;A520&amp;$AA$6</f>
        <v>JARINU-FRG42846MQ.TUNEL DE CG (ESTATICO)</v>
      </c>
      <c r="AB520" s="7" t="str">
        <f>Preencher!$B$3&amp;U520&amp;V520&amp;A520&amp;$AB$6</f>
        <v>JARINU-FRG42846MQ.TUNEL DE CG (ESTATICO) (1)</v>
      </c>
      <c r="AC520" s="7" t="str">
        <f>Preencher!$B$3&amp;U520&amp;V520&amp;A520&amp;$AC$6</f>
        <v>JARINU-FRG42846MQ.TUNEL DE CG (ESTATICO) (2)</v>
      </c>
      <c r="AD520" s="327">
        <f>IFERROR(SUMIF('BD Otimix'!A:A,'BD VOLUME'!X520,'BD Otimix'!O:O)+SUMIF('BD Otimix'!A:A,'BD VOLUME'!Y520,'BD Otimix'!O:O)+SUMIF('BD Otimix'!A:A,'BD VOLUME'!Z520,'BD Otimix'!O:O)+SUMIF('BD Otimix'!A:A,'BD VOLUME'!AA520,'BD Otimix'!O:O)+SUMIF('BD Otimix'!A:A,'BD VOLUME'!AB520,'BD Otimix'!O:O)+SUMIF('BD Otimix'!A:A,'BD VOLUME'!AC520,'BD Otimix'!O:O)+SUMIF('BD Otimix'!A:A,'BD VOLUME'!W520,'BD Otimix'!O:O),0)</f>
        <v>0</v>
      </c>
      <c r="AE520" s="327">
        <f t="shared" si="144"/>
        <v>0</v>
      </c>
      <c r="AF520" s="7" t="str">
        <f>Preencher!$B$3&amp;$U$8&amp;$V$8&amp;A520&amp;$AF$6</f>
        <v>JARINU-FRG42846MQ.GIROFREEZER</v>
      </c>
      <c r="AG520" s="7" t="str">
        <f>Preencher!$B$3&amp;$U$8&amp;$V$8&amp;A520&amp;$AG$6</f>
        <v>JARINU-FRG42846MQ.GIROFREEZER (1)</v>
      </c>
      <c r="AH520" s="7" t="str">
        <f>Preencher!$B$3&amp;$U$8&amp;$V$8&amp;A520&amp;$AH$6</f>
        <v>JARINU-FRG42846MQ.GIROFREEZER (2)</v>
      </c>
      <c r="AI520" s="7" t="str">
        <f>Preencher!$B$3&amp;$U$8&amp;$V$8&amp;A520&amp;$AI$6</f>
        <v>JARINU-FRG42846MQ.GIROFREEZER REV04</v>
      </c>
      <c r="AJ520" s="7" t="str">
        <f>Preencher!$B$3&amp;$U$8&amp;$V$8&amp;A520&amp;$AJ$6</f>
        <v>JARINU-FRG42846MQ.GIROFREEZER (3)</v>
      </c>
      <c r="AK520" s="327">
        <f>IFERROR(SUMIF('BD Otimix'!A:A,'BD VOLUME'!AG520,'BD Otimix'!O:O)+SUMIF('BD Otimix'!A:A,'BD VOLUME'!AH520,'BD Otimix'!O:O)+SUMIF('BD Otimix'!A:A,'BD VOLUME'!AI520,'BD Otimix'!O:O)+SUMIF('BD Otimix'!A:A,'BD VOLUME'!AJ520,'BD Otimix'!O:O)+SUMIF('BD Otimix'!A:A,'BD VOLUME'!AF520,'BD Otimix'!O:O),0)</f>
        <v>0</v>
      </c>
      <c r="AL520" s="7">
        <f t="shared" si="145"/>
        <v>0</v>
      </c>
    </row>
    <row r="521" spans="1:38">
      <c r="A521" s="580">
        <v>42854</v>
      </c>
      <c r="B521" s="580" t="s">
        <v>2073</v>
      </c>
      <c r="C521" s="5" t="s">
        <v>2074</v>
      </c>
      <c r="D521" s="5" t="s">
        <v>868</v>
      </c>
      <c r="E521" s="5" t="s">
        <v>1083</v>
      </c>
      <c r="F521" s="132">
        <f>SUMIF('COLAR PLANO'!$A:$A,A521,'COLAR PLANO'!$D:$D)</f>
        <v>0</v>
      </c>
      <c r="G521" s="131">
        <f t="shared" si="164"/>
        <v>0</v>
      </c>
      <c r="H521" s="6">
        <v>0.18873115128643511</v>
      </c>
      <c r="I521" s="7">
        <f t="shared" si="165"/>
        <v>0</v>
      </c>
      <c r="J521" s="130">
        <f t="shared" si="166"/>
        <v>0</v>
      </c>
      <c r="K521" s="580">
        <v>2</v>
      </c>
      <c r="L521" s="580">
        <v>6</v>
      </c>
      <c r="M521" s="580">
        <v>12</v>
      </c>
      <c r="N521" s="7">
        <f t="shared" si="167"/>
        <v>0</v>
      </c>
      <c r="O521" s="7"/>
      <c r="P521" s="7">
        <f t="shared" si="168"/>
        <v>0</v>
      </c>
      <c r="Q521" s="7"/>
      <c r="R521" s="7"/>
      <c r="S521" s="7"/>
      <c r="T521" s="7"/>
      <c r="U521" s="7" t="s">
        <v>2288</v>
      </c>
      <c r="V521" s="7" t="s">
        <v>2289</v>
      </c>
      <c r="W521" s="7" t="str">
        <f>Preencher!$B$3&amp;U521&amp;V521&amp;A521&amp;$W$6</f>
        <v>JARINU-FRG42854MQ.TUNEL DE CG (CONTINUO)</v>
      </c>
      <c r="X521" s="7" t="str">
        <f>Preencher!$B$3&amp;U521&amp;V521&amp;A521&amp;$X$6</f>
        <v>JARINU-FRG42854MQ.TUNEL DE CG (CONTINUO) (1)</v>
      </c>
      <c r="Y521" s="7" t="str">
        <f>Preencher!$B$3&amp;U521&amp;V521&amp;A521&amp;$Y$6</f>
        <v>JARINU-FRG42854MQ.TUNEL DE CG (CONTINUO) (2)</v>
      </c>
      <c r="Z521" s="7" t="str">
        <f>Preencher!$B$3&amp;U521&amp;V521&amp;A521&amp;$Z$6</f>
        <v>JARINU-FRG42854MQ.TUNEL DE CG (CONTINUO) (3)</v>
      </c>
      <c r="AA521" s="7" t="str">
        <f>Preencher!$B$3&amp;U521&amp;V521&amp;A521&amp;$AA$6</f>
        <v>JARINU-FRG42854MQ.TUNEL DE CG (ESTATICO)</v>
      </c>
      <c r="AB521" s="7" t="str">
        <f>Preencher!$B$3&amp;U521&amp;V521&amp;A521&amp;$AB$6</f>
        <v>JARINU-FRG42854MQ.TUNEL DE CG (ESTATICO) (1)</v>
      </c>
      <c r="AC521" s="7" t="str">
        <f>Preencher!$B$3&amp;U521&amp;V521&amp;A521&amp;$AC$6</f>
        <v>JARINU-FRG42854MQ.TUNEL DE CG (ESTATICO) (2)</v>
      </c>
      <c r="AD521" s="327">
        <f>IFERROR(SUMIF('BD Otimix'!A:A,'BD VOLUME'!X521,'BD Otimix'!O:O)+SUMIF('BD Otimix'!A:A,'BD VOLUME'!Y521,'BD Otimix'!O:O)+SUMIF('BD Otimix'!A:A,'BD VOLUME'!Z521,'BD Otimix'!O:O)+SUMIF('BD Otimix'!A:A,'BD VOLUME'!AA521,'BD Otimix'!O:O)+SUMIF('BD Otimix'!A:A,'BD VOLUME'!AB521,'BD Otimix'!O:O)+SUMIF('BD Otimix'!A:A,'BD VOLUME'!AC521,'BD Otimix'!O:O)+SUMIF('BD Otimix'!A:A,'BD VOLUME'!W521,'BD Otimix'!O:O),0)</f>
        <v>0</v>
      </c>
      <c r="AE521" s="327">
        <f t="shared" si="144"/>
        <v>0</v>
      </c>
      <c r="AF521" s="7" t="str">
        <f>Preencher!$B$3&amp;$U$8&amp;$V$8&amp;A521&amp;$AF$6</f>
        <v>JARINU-FRG42854MQ.GIROFREEZER</v>
      </c>
      <c r="AG521" s="7" t="str">
        <f>Preencher!$B$3&amp;$U$8&amp;$V$8&amp;A521&amp;$AG$6</f>
        <v>JARINU-FRG42854MQ.GIROFREEZER (1)</v>
      </c>
      <c r="AH521" s="7" t="str">
        <f>Preencher!$B$3&amp;$U$8&amp;$V$8&amp;A521&amp;$AH$6</f>
        <v>JARINU-FRG42854MQ.GIROFREEZER (2)</v>
      </c>
      <c r="AI521" s="7" t="str">
        <f>Preencher!$B$3&amp;$U$8&amp;$V$8&amp;A521&amp;$AI$6</f>
        <v>JARINU-FRG42854MQ.GIROFREEZER REV04</v>
      </c>
      <c r="AJ521" s="7" t="str">
        <f>Preencher!$B$3&amp;$U$8&amp;$V$8&amp;A521&amp;$AJ$6</f>
        <v>JARINU-FRG42854MQ.GIROFREEZER (3)</v>
      </c>
      <c r="AK521" s="327">
        <f>IFERROR(SUMIF('BD Otimix'!A:A,'BD VOLUME'!AG521,'BD Otimix'!O:O)+SUMIF('BD Otimix'!A:A,'BD VOLUME'!AH521,'BD Otimix'!O:O)+SUMIF('BD Otimix'!A:A,'BD VOLUME'!AI521,'BD Otimix'!O:O)+SUMIF('BD Otimix'!A:A,'BD VOLUME'!AJ521,'BD Otimix'!O:O)+SUMIF('BD Otimix'!A:A,'BD VOLUME'!AF521,'BD Otimix'!O:O),0)</f>
        <v>0</v>
      </c>
      <c r="AL521" s="7">
        <f t="shared" si="145"/>
        <v>0</v>
      </c>
    </row>
    <row r="522" spans="1:38">
      <c r="A522" s="580">
        <v>42862</v>
      </c>
      <c r="B522" s="580" t="s">
        <v>2075</v>
      </c>
      <c r="C522" s="5" t="s">
        <v>2076</v>
      </c>
      <c r="D522" s="5" t="s">
        <v>868</v>
      </c>
      <c r="E522" s="5" t="s">
        <v>1083</v>
      </c>
      <c r="F522" s="132">
        <f>SUMIF('COLAR PLANO'!$A:$A,A522,'COLAR PLANO'!$D:$D)</f>
        <v>0</v>
      </c>
      <c r="G522" s="131">
        <f t="shared" si="164"/>
        <v>0</v>
      </c>
      <c r="H522" s="6">
        <v>0.19687978691137825</v>
      </c>
      <c r="I522" s="7">
        <f t="shared" si="165"/>
        <v>0</v>
      </c>
      <c r="J522" s="130">
        <f t="shared" si="166"/>
        <v>0</v>
      </c>
      <c r="K522" s="580">
        <v>2</v>
      </c>
      <c r="L522" s="580">
        <v>6</v>
      </c>
      <c r="M522" s="580">
        <v>12</v>
      </c>
      <c r="N522" s="7">
        <f t="shared" si="167"/>
        <v>0</v>
      </c>
      <c r="O522" s="7"/>
      <c r="P522" s="7">
        <f t="shared" si="168"/>
        <v>0</v>
      </c>
      <c r="Q522" s="7"/>
      <c r="R522" s="7"/>
      <c r="S522" s="7"/>
      <c r="T522" s="7"/>
      <c r="U522" s="7" t="s">
        <v>2288</v>
      </c>
      <c r="V522" s="7" t="s">
        <v>2289</v>
      </c>
      <c r="W522" s="7" t="str">
        <f>Preencher!$B$3&amp;U522&amp;V522&amp;A522&amp;$W$6</f>
        <v>JARINU-FRG42862MQ.TUNEL DE CG (CONTINUO)</v>
      </c>
      <c r="X522" s="7" t="str">
        <f>Preencher!$B$3&amp;U522&amp;V522&amp;A522&amp;$X$6</f>
        <v>JARINU-FRG42862MQ.TUNEL DE CG (CONTINUO) (1)</v>
      </c>
      <c r="Y522" s="7" t="str">
        <f>Preencher!$B$3&amp;U522&amp;V522&amp;A522&amp;$Y$6</f>
        <v>JARINU-FRG42862MQ.TUNEL DE CG (CONTINUO) (2)</v>
      </c>
      <c r="Z522" s="7" t="str">
        <f>Preencher!$B$3&amp;U522&amp;V522&amp;A522&amp;$Z$6</f>
        <v>JARINU-FRG42862MQ.TUNEL DE CG (CONTINUO) (3)</v>
      </c>
      <c r="AA522" s="7" t="str">
        <f>Preencher!$B$3&amp;U522&amp;V522&amp;A522&amp;$AA$6</f>
        <v>JARINU-FRG42862MQ.TUNEL DE CG (ESTATICO)</v>
      </c>
      <c r="AB522" s="7" t="str">
        <f>Preencher!$B$3&amp;U522&amp;V522&amp;A522&amp;$AB$6</f>
        <v>JARINU-FRG42862MQ.TUNEL DE CG (ESTATICO) (1)</v>
      </c>
      <c r="AC522" s="7" t="str">
        <f>Preencher!$B$3&amp;U522&amp;V522&amp;A522&amp;$AC$6</f>
        <v>JARINU-FRG42862MQ.TUNEL DE CG (ESTATICO) (2)</v>
      </c>
      <c r="AD522" s="327">
        <f>IFERROR(SUMIF('BD Otimix'!A:A,'BD VOLUME'!X522,'BD Otimix'!O:O)+SUMIF('BD Otimix'!A:A,'BD VOLUME'!Y522,'BD Otimix'!O:O)+SUMIF('BD Otimix'!A:A,'BD VOLUME'!Z522,'BD Otimix'!O:O)+SUMIF('BD Otimix'!A:A,'BD VOLUME'!AA522,'BD Otimix'!O:O)+SUMIF('BD Otimix'!A:A,'BD VOLUME'!AB522,'BD Otimix'!O:O)+SUMIF('BD Otimix'!A:A,'BD VOLUME'!AC522,'BD Otimix'!O:O)+SUMIF('BD Otimix'!A:A,'BD VOLUME'!W522,'BD Otimix'!O:O),0)</f>
        <v>0</v>
      </c>
      <c r="AE522" s="327">
        <f t="shared" si="144"/>
        <v>0</v>
      </c>
      <c r="AF522" s="7" t="str">
        <f>Preencher!$B$3&amp;$U$8&amp;$V$8&amp;A522&amp;$AF$6</f>
        <v>JARINU-FRG42862MQ.GIROFREEZER</v>
      </c>
      <c r="AG522" s="7" t="str">
        <f>Preencher!$B$3&amp;$U$8&amp;$V$8&amp;A522&amp;$AG$6</f>
        <v>JARINU-FRG42862MQ.GIROFREEZER (1)</v>
      </c>
      <c r="AH522" s="7" t="str">
        <f>Preencher!$B$3&amp;$U$8&amp;$V$8&amp;A522&amp;$AH$6</f>
        <v>JARINU-FRG42862MQ.GIROFREEZER (2)</v>
      </c>
      <c r="AI522" s="7" t="str">
        <f>Preencher!$B$3&amp;$U$8&amp;$V$8&amp;A522&amp;$AI$6</f>
        <v>JARINU-FRG42862MQ.GIROFREEZER REV04</v>
      </c>
      <c r="AJ522" s="7" t="str">
        <f>Preencher!$B$3&amp;$U$8&amp;$V$8&amp;A522&amp;$AJ$6</f>
        <v>JARINU-FRG42862MQ.GIROFREEZER (3)</v>
      </c>
      <c r="AK522" s="327">
        <f>IFERROR(SUMIF('BD Otimix'!A:A,'BD VOLUME'!AG522,'BD Otimix'!O:O)+SUMIF('BD Otimix'!A:A,'BD VOLUME'!AH522,'BD Otimix'!O:O)+SUMIF('BD Otimix'!A:A,'BD VOLUME'!AI522,'BD Otimix'!O:O)+SUMIF('BD Otimix'!A:A,'BD VOLUME'!AJ522,'BD Otimix'!O:O)+SUMIF('BD Otimix'!A:A,'BD VOLUME'!AF522,'BD Otimix'!O:O),0)</f>
        <v>0</v>
      </c>
      <c r="AL522" s="7">
        <f t="shared" si="145"/>
        <v>0</v>
      </c>
    </row>
    <row r="523" spans="1:38">
      <c r="A523" s="580">
        <v>50580</v>
      </c>
      <c r="B523" s="580" t="s">
        <v>2077</v>
      </c>
      <c r="C523" s="5" t="s">
        <v>2078</v>
      </c>
      <c r="D523" s="5" t="s">
        <v>868</v>
      </c>
      <c r="E523" s="5" t="s">
        <v>1083</v>
      </c>
      <c r="F523" s="132">
        <f>SUMIF('COLAR PLANO'!$A:$A,A523,'COLAR PLANO'!$D:$D)</f>
        <v>0</v>
      </c>
      <c r="G523" s="131">
        <f t="shared" si="164"/>
        <v>0</v>
      </c>
      <c r="H523" s="6">
        <v>0.19983298371504893</v>
      </c>
      <c r="I523" s="7">
        <f t="shared" si="165"/>
        <v>0</v>
      </c>
      <c r="J523" s="130">
        <f t="shared" si="166"/>
        <v>0</v>
      </c>
      <c r="K523" s="580">
        <v>2</v>
      </c>
      <c r="L523" s="580">
        <v>6</v>
      </c>
      <c r="M523" s="580">
        <v>12</v>
      </c>
      <c r="N523" s="7">
        <f t="shared" si="167"/>
        <v>0</v>
      </c>
      <c r="O523" s="7"/>
      <c r="P523" s="7">
        <f t="shared" si="168"/>
        <v>0</v>
      </c>
      <c r="Q523" s="7"/>
      <c r="R523" s="7"/>
      <c r="S523" s="7"/>
      <c r="T523" s="7"/>
      <c r="U523" s="7" t="s">
        <v>2288</v>
      </c>
      <c r="V523" s="7" t="s">
        <v>2289</v>
      </c>
      <c r="W523" s="7" t="str">
        <f>Preencher!$B$3&amp;U523&amp;V523&amp;A523&amp;$W$6</f>
        <v>JARINU-FRG50580MQ.TUNEL DE CG (CONTINUO)</v>
      </c>
      <c r="X523" s="7" t="str">
        <f>Preencher!$B$3&amp;U523&amp;V523&amp;A523&amp;$X$6</f>
        <v>JARINU-FRG50580MQ.TUNEL DE CG (CONTINUO) (1)</v>
      </c>
      <c r="Y523" s="7" t="str">
        <f>Preencher!$B$3&amp;U523&amp;V523&amp;A523&amp;$Y$6</f>
        <v>JARINU-FRG50580MQ.TUNEL DE CG (CONTINUO) (2)</v>
      </c>
      <c r="Z523" s="7" t="str">
        <f>Preencher!$B$3&amp;U523&amp;V523&amp;A523&amp;$Z$6</f>
        <v>JARINU-FRG50580MQ.TUNEL DE CG (CONTINUO) (3)</v>
      </c>
      <c r="AA523" s="7" t="str">
        <f>Preencher!$B$3&amp;U523&amp;V523&amp;A523&amp;$AA$6</f>
        <v>JARINU-FRG50580MQ.TUNEL DE CG (ESTATICO)</v>
      </c>
      <c r="AB523" s="7" t="str">
        <f>Preencher!$B$3&amp;U523&amp;V523&amp;A523&amp;$AB$6</f>
        <v>JARINU-FRG50580MQ.TUNEL DE CG (ESTATICO) (1)</v>
      </c>
      <c r="AC523" s="7" t="str">
        <f>Preencher!$B$3&amp;U523&amp;V523&amp;A523&amp;$AC$6</f>
        <v>JARINU-FRG50580MQ.TUNEL DE CG (ESTATICO) (2)</v>
      </c>
      <c r="AD523" s="327">
        <f>IFERROR(SUMIF('BD Otimix'!A:A,'BD VOLUME'!X523,'BD Otimix'!O:O)+SUMIF('BD Otimix'!A:A,'BD VOLUME'!Y523,'BD Otimix'!O:O)+SUMIF('BD Otimix'!A:A,'BD VOLUME'!Z523,'BD Otimix'!O:O)+SUMIF('BD Otimix'!A:A,'BD VOLUME'!AA523,'BD Otimix'!O:O)+SUMIF('BD Otimix'!A:A,'BD VOLUME'!AB523,'BD Otimix'!O:O)+SUMIF('BD Otimix'!A:A,'BD VOLUME'!AC523,'BD Otimix'!O:O)+SUMIF('BD Otimix'!A:A,'BD VOLUME'!W523,'BD Otimix'!O:O),0)</f>
        <v>0</v>
      </c>
      <c r="AE523" s="327">
        <f t="shared" si="144"/>
        <v>0</v>
      </c>
      <c r="AF523" s="7" t="str">
        <f>Preencher!$B$3&amp;$U$8&amp;$V$8&amp;A523&amp;$AF$6</f>
        <v>JARINU-FRG50580MQ.GIROFREEZER</v>
      </c>
      <c r="AG523" s="7" t="str">
        <f>Preencher!$B$3&amp;$U$8&amp;$V$8&amp;A523&amp;$AG$6</f>
        <v>JARINU-FRG50580MQ.GIROFREEZER (1)</v>
      </c>
      <c r="AH523" s="7" t="str">
        <f>Preencher!$B$3&amp;$U$8&amp;$V$8&amp;A523&amp;$AH$6</f>
        <v>JARINU-FRG50580MQ.GIROFREEZER (2)</v>
      </c>
      <c r="AI523" s="7" t="str">
        <f>Preencher!$B$3&amp;$U$8&amp;$V$8&amp;A523&amp;$AI$6</f>
        <v>JARINU-FRG50580MQ.GIROFREEZER REV04</v>
      </c>
      <c r="AJ523" s="7" t="str">
        <f>Preencher!$B$3&amp;$U$8&amp;$V$8&amp;A523&amp;$AJ$6</f>
        <v>JARINU-FRG50580MQ.GIROFREEZER (3)</v>
      </c>
      <c r="AK523" s="327">
        <f>IFERROR(SUMIF('BD Otimix'!A:A,'BD VOLUME'!AG523,'BD Otimix'!O:O)+SUMIF('BD Otimix'!A:A,'BD VOLUME'!AH523,'BD Otimix'!O:O)+SUMIF('BD Otimix'!A:A,'BD VOLUME'!AI523,'BD Otimix'!O:O)+SUMIF('BD Otimix'!A:A,'BD VOLUME'!AJ523,'BD Otimix'!O:O)+SUMIF('BD Otimix'!A:A,'BD VOLUME'!AF523,'BD Otimix'!O:O),0)</f>
        <v>0</v>
      </c>
      <c r="AL523" s="7">
        <f t="shared" si="145"/>
        <v>0</v>
      </c>
    </row>
    <row r="524" spans="1:38">
      <c r="A524" s="401">
        <v>963909</v>
      </c>
      <c r="B524" s="401"/>
      <c r="C524" s="5" t="s">
        <v>1682</v>
      </c>
      <c r="D524" s="5" t="s">
        <v>868</v>
      </c>
      <c r="E524" s="5" t="s">
        <v>1084</v>
      </c>
      <c r="F524" s="132">
        <f>SUMIF('COLAR PLANO'!$A:$A,A524,'COLAR PLANO'!$D:$D)</f>
        <v>0</v>
      </c>
      <c r="G524" s="131">
        <f>IFERROR(F524/($E$3*$C$3),0)</f>
        <v>0</v>
      </c>
      <c r="H524" s="6">
        <v>0.19983298371504893</v>
      </c>
      <c r="I524" s="7">
        <f t="shared" ref="I524:I539" si="169">IFERROR(G524/$D$3/H524,0)</f>
        <v>0</v>
      </c>
      <c r="J524" s="130">
        <f t="shared" ref="J524:J530" si="170">IFERROR(I524/$B$472,0)</f>
        <v>0</v>
      </c>
      <c r="K524" s="401">
        <v>18</v>
      </c>
      <c r="L524" s="401">
        <v>1</v>
      </c>
      <c r="M524" s="401">
        <v>18</v>
      </c>
      <c r="N524" s="7">
        <f t="shared" ref="N524:N529" si="171">IFERROR(G524/K524,"-")</f>
        <v>0</v>
      </c>
      <c r="O524" s="7"/>
      <c r="P524" s="7">
        <f t="shared" ref="P524:P529" si="172">IFERROR(G524/M524,0)</f>
        <v>0</v>
      </c>
      <c r="Q524" s="7"/>
      <c r="R524" s="7"/>
      <c r="S524" s="7"/>
      <c r="T524" s="7"/>
      <c r="U524" s="7" t="s">
        <v>2288</v>
      </c>
      <c r="V524" s="7" t="s">
        <v>2289</v>
      </c>
      <c r="W524" s="7" t="str">
        <f>Preencher!$B$3&amp;U524&amp;V524&amp;A524&amp;$W$6</f>
        <v>JARINU-FRG963909MQ.TUNEL DE CG (CONTINUO)</v>
      </c>
      <c r="X524" s="7" t="str">
        <f>Preencher!$B$3&amp;U524&amp;V524&amp;A524&amp;$X$6</f>
        <v>JARINU-FRG963909MQ.TUNEL DE CG (CONTINUO) (1)</v>
      </c>
      <c r="Y524" s="7" t="str">
        <f>Preencher!$B$3&amp;U524&amp;V524&amp;A524&amp;$Y$6</f>
        <v>JARINU-FRG963909MQ.TUNEL DE CG (CONTINUO) (2)</v>
      </c>
      <c r="Z524" s="7" t="str">
        <f>Preencher!$B$3&amp;U524&amp;V524&amp;A524&amp;$Z$6</f>
        <v>JARINU-FRG963909MQ.TUNEL DE CG (CONTINUO) (3)</v>
      </c>
      <c r="AA524" s="7" t="str">
        <f>Preencher!$B$3&amp;U524&amp;V524&amp;A524&amp;$AA$6</f>
        <v>JARINU-FRG963909MQ.TUNEL DE CG (ESTATICO)</v>
      </c>
      <c r="AB524" s="7" t="str">
        <f>Preencher!$B$3&amp;U524&amp;V524&amp;A524&amp;$AB$6</f>
        <v>JARINU-FRG963909MQ.TUNEL DE CG (ESTATICO) (1)</v>
      </c>
      <c r="AC524" s="7" t="str">
        <f>Preencher!$B$3&amp;U524&amp;V524&amp;A524&amp;$AC$6</f>
        <v>JARINU-FRG963909MQ.TUNEL DE CG (ESTATICO) (2)</v>
      </c>
      <c r="AD524" s="327">
        <f>IFERROR(SUMIF('BD Otimix'!A:A,'BD VOLUME'!X524,'BD Otimix'!O:O)+SUMIF('BD Otimix'!A:A,'BD VOLUME'!Y524,'BD Otimix'!O:O)+SUMIF('BD Otimix'!A:A,'BD VOLUME'!Z524,'BD Otimix'!O:O)+SUMIF('BD Otimix'!A:A,'BD VOLUME'!AA524,'BD Otimix'!O:O)+SUMIF('BD Otimix'!A:A,'BD VOLUME'!AB524,'BD Otimix'!O:O)+SUMIF('BD Otimix'!A:A,'BD VOLUME'!AC524,'BD Otimix'!O:O)+SUMIF('BD Otimix'!A:A,'BD VOLUME'!W524,'BD Otimix'!O:O),0)</f>
        <v>0</v>
      </c>
      <c r="AE524" s="327">
        <f t="shared" si="144"/>
        <v>0</v>
      </c>
      <c r="AF524" s="7" t="str">
        <f>Preencher!$B$3&amp;$U$8&amp;$V$8&amp;A524&amp;$AF$6</f>
        <v>JARINU-FRG963909MQ.GIROFREEZER</v>
      </c>
      <c r="AG524" s="7" t="str">
        <f>Preencher!$B$3&amp;$U$8&amp;$V$8&amp;A524&amp;$AG$6</f>
        <v>JARINU-FRG963909MQ.GIROFREEZER (1)</v>
      </c>
      <c r="AH524" s="7" t="str">
        <f>Preencher!$B$3&amp;$U$8&amp;$V$8&amp;A524&amp;$AH$6</f>
        <v>JARINU-FRG963909MQ.GIROFREEZER (2)</v>
      </c>
      <c r="AI524" s="7" t="str">
        <f>Preencher!$B$3&amp;$U$8&amp;$V$8&amp;A524&amp;$AI$6</f>
        <v>JARINU-FRG963909MQ.GIROFREEZER REV04</v>
      </c>
      <c r="AJ524" s="7" t="str">
        <f>Preencher!$B$3&amp;$U$8&amp;$V$8&amp;A524&amp;$AJ$6</f>
        <v>JARINU-FRG963909MQ.GIROFREEZER (3)</v>
      </c>
      <c r="AK524" s="327">
        <f>IFERROR(SUMIF('BD Otimix'!A:A,'BD VOLUME'!AG524,'BD Otimix'!O:O)+SUMIF('BD Otimix'!A:A,'BD VOLUME'!AH524,'BD Otimix'!O:O)+SUMIF('BD Otimix'!A:A,'BD VOLUME'!AI524,'BD Otimix'!O:O)+SUMIF('BD Otimix'!A:A,'BD VOLUME'!AJ524,'BD Otimix'!O:O)+SUMIF('BD Otimix'!A:A,'BD VOLUME'!AF524,'BD Otimix'!O:O),0)</f>
        <v>0</v>
      </c>
      <c r="AL524" s="7">
        <f t="shared" si="145"/>
        <v>0</v>
      </c>
    </row>
    <row r="525" spans="1:38">
      <c r="A525" s="733">
        <v>221999</v>
      </c>
      <c r="B525" s="733" t="s">
        <v>3000</v>
      </c>
      <c r="C525" s="5" t="s">
        <v>3001</v>
      </c>
      <c r="D525" s="5" t="s">
        <v>868</v>
      </c>
      <c r="E525" s="5" t="s">
        <v>2128</v>
      </c>
      <c r="F525" s="132">
        <f>SUMIF('COLAR PLANO'!$A:$A,A525,'COLAR PLANO'!$D:$D)</f>
        <v>0</v>
      </c>
      <c r="G525" s="131">
        <f>IFERROR(F525/($E$3*$C$3),0)</f>
        <v>0</v>
      </c>
      <c r="H525" s="6">
        <v>0.17199999999999999</v>
      </c>
      <c r="I525" s="7">
        <f>IFERROR(G525/$D$3/H525,0)</f>
        <v>0</v>
      </c>
      <c r="J525" s="130">
        <f>IFERROR(I525/$B$472,0)</f>
        <v>0</v>
      </c>
      <c r="K525" s="733">
        <v>18</v>
      </c>
      <c r="L525" s="733">
        <v>1</v>
      </c>
      <c r="M525" s="733">
        <v>18</v>
      </c>
      <c r="N525" s="7">
        <f t="shared" si="171"/>
        <v>0</v>
      </c>
      <c r="O525" s="7"/>
      <c r="P525" s="7">
        <f t="shared" si="172"/>
        <v>0</v>
      </c>
      <c r="Q525" s="7"/>
      <c r="R525" s="7"/>
      <c r="S525" s="7"/>
      <c r="T525" s="7"/>
      <c r="U525" s="7" t="s">
        <v>2288</v>
      </c>
      <c r="V525" s="7" t="s">
        <v>2289</v>
      </c>
      <c r="W525" s="7" t="str">
        <f>Preencher!$B$3&amp;U525&amp;V525&amp;A525&amp;$W$6</f>
        <v>JARINU-FRG221999MQ.TUNEL DE CG (CONTINUO)</v>
      </c>
      <c r="X525" s="7" t="str">
        <f>Preencher!$B$3&amp;U525&amp;V525&amp;A525&amp;$X$6</f>
        <v>JARINU-FRG221999MQ.TUNEL DE CG (CONTINUO) (1)</v>
      </c>
      <c r="Y525" s="7" t="str">
        <f>Preencher!$B$3&amp;U525&amp;V525&amp;A525&amp;$Y$6</f>
        <v>JARINU-FRG221999MQ.TUNEL DE CG (CONTINUO) (2)</v>
      </c>
      <c r="Z525" s="7" t="str">
        <f>Preencher!$B$3&amp;U525&amp;V525&amp;A525&amp;$Z$6</f>
        <v>JARINU-FRG221999MQ.TUNEL DE CG (CONTINUO) (3)</v>
      </c>
      <c r="AA525" s="7" t="str">
        <f>Preencher!$B$3&amp;U525&amp;V525&amp;A525&amp;$AA$6</f>
        <v>JARINU-FRG221999MQ.TUNEL DE CG (ESTATICO)</v>
      </c>
      <c r="AB525" s="7" t="str">
        <f>Preencher!$B$3&amp;U525&amp;V525&amp;A525&amp;$AB$6</f>
        <v>JARINU-FRG221999MQ.TUNEL DE CG (ESTATICO) (1)</v>
      </c>
      <c r="AC525" s="7" t="str">
        <f>Preencher!$B$3&amp;U525&amp;V525&amp;A525&amp;$AC$6</f>
        <v>JARINU-FRG221999MQ.TUNEL DE CG (ESTATICO) (2)</v>
      </c>
      <c r="AD525" s="327">
        <f>IFERROR(SUMIF('BD Otimix'!A:A,'BD VOLUME'!X525,'BD Otimix'!O:O)+SUMIF('BD Otimix'!A:A,'BD VOLUME'!Y525,'BD Otimix'!O:O)+SUMIF('BD Otimix'!A:A,'BD VOLUME'!Z525,'BD Otimix'!O:O)+SUMIF('BD Otimix'!A:A,'BD VOLUME'!AA525,'BD Otimix'!O:O)+SUMIF('BD Otimix'!A:A,'BD VOLUME'!AB525,'BD Otimix'!O:O)+SUMIF('BD Otimix'!A:A,'BD VOLUME'!AC525,'BD Otimix'!O:O)+SUMIF('BD Otimix'!A:A,'BD VOLUME'!W525,'BD Otimix'!O:O),0)</f>
        <v>0</v>
      </c>
      <c r="AE525" s="327">
        <f>IFERROR(F525/$E$3/1000/AD525,0)</f>
        <v>0</v>
      </c>
      <c r="AF525" s="7" t="str">
        <f>Preencher!$B$3&amp;$U$8&amp;$V$8&amp;A525&amp;$AF$6</f>
        <v>JARINU-FRG221999MQ.GIROFREEZER</v>
      </c>
      <c r="AG525" s="7" t="str">
        <f>Preencher!$B$3&amp;$U$8&amp;$V$8&amp;A525&amp;$AG$6</f>
        <v>JARINU-FRG221999MQ.GIROFREEZER (1)</v>
      </c>
      <c r="AH525" s="7" t="str">
        <f>Preencher!$B$3&amp;$U$8&amp;$V$8&amp;A525&amp;$AH$6</f>
        <v>JARINU-FRG221999MQ.GIROFREEZER (2)</v>
      </c>
      <c r="AI525" s="7" t="str">
        <f>Preencher!$B$3&amp;$U$8&amp;$V$8&amp;A525&amp;$AI$6</f>
        <v>JARINU-FRG221999MQ.GIROFREEZER REV04</v>
      </c>
      <c r="AJ525" s="7" t="str">
        <f>Preencher!$B$3&amp;$U$8&amp;$V$8&amp;A525&amp;$AJ$6</f>
        <v>JARINU-FRG221999MQ.GIROFREEZER (3)</v>
      </c>
      <c r="AK525" s="327">
        <f>IFERROR(SUMIF('BD Otimix'!A:A,'BD VOLUME'!AG525,'BD Otimix'!O:O)+SUMIF('BD Otimix'!A:A,'BD VOLUME'!AH525,'BD Otimix'!O:O)+SUMIF('BD Otimix'!A:A,'BD VOLUME'!AI525,'BD Otimix'!O:O)+SUMIF('BD Otimix'!A:A,'BD VOLUME'!AJ525,'BD Otimix'!O:O)+SUMIF('BD Otimix'!A:A,'BD VOLUME'!AF525,'BD Otimix'!O:O),0)</f>
        <v>0</v>
      </c>
      <c r="AL525" s="7">
        <f>IFERROR(F525/$E$3/1000/AK525,0)</f>
        <v>0</v>
      </c>
    </row>
    <row r="526" spans="1:38">
      <c r="A526" s="401">
        <v>964662</v>
      </c>
      <c r="B526" s="401"/>
      <c r="C526" s="5" t="s">
        <v>1689</v>
      </c>
      <c r="D526" s="5" t="s">
        <v>868</v>
      </c>
      <c r="E526" s="5" t="s">
        <v>1084</v>
      </c>
      <c r="F526" s="132">
        <f>SUMIF('COLAR PLANO'!$A:$A,A526,'COLAR PLANO'!$D:$D)</f>
        <v>0</v>
      </c>
      <c r="G526" s="131">
        <f>IFERROR(F526/($E$3*$C$3),0)</f>
        <v>0</v>
      </c>
      <c r="H526" s="6">
        <v>0.19983298371504893</v>
      </c>
      <c r="I526" s="7">
        <f t="shared" si="169"/>
        <v>0</v>
      </c>
      <c r="J526" s="130">
        <f t="shared" si="170"/>
        <v>0</v>
      </c>
      <c r="K526" s="401">
        <v>18</v>
      </c>
      <c r="L526" s="401">
        <v>1</v>
      </c>
      <c r="M526" s="401">
        <v>18</v>
      </c>
      <c r="N526" s="7">
        <f t="shared" si="171"/>
        <v>0</v>
      </c>
      <c r="O526" s="7"/>
      <c r="P526" s="7">
        <f t="shared" si="172"/>
        <v>0</v>
      </c>
      <c r="Q526" s="7"/>
      <c r="R526" s="7"/>
      <c r="S526" s="7"/>
      <c r="T526" s="7"/>
      <c r="U526" s="7" t="s">
        <v>2288</v>
      </c>
      <c r="V526" s="7" t="s">
        <v>2289</v>
      </c>
      <c r="W526" s="7" t="str">
        <f>Preencher!$B$3&amp;U526&amp;V526&amp;A526&amp;$W$6</f>
        <v>JARINU-FRG964662MQ.TUNEL DE CG (CONTINUO)</v>
      </c>
      <c r="X526" s="7" t="str">
        <f>Preencher!$B$3&amp;U526&amp;V526&amp;A526&amp;$X$6</f>
        <v>JARINU-FRG964662MQ.TUNEL DE CG (CONTINUO) (1)</v>
      </c>
      <c r="Y526" s="7" t="str">
        <f>Preencher!$B$3&amp;U526&amp;V526&amp;A526&amp;$Y$6</f>
        <v>JARINU-FRG964662MQ.TUNEL DE CG (CONTINUO) (2)</v>
      </c>
      <c r="Z526" s="7" t="str">
        <f>Preencher!$B$3&amp;U526&amp;V526&amp;A526&amp;$Z$6</f>
        <v>JARINU-FRG964662MQ.TUNEL DE CG (CONTINUO) (3)</v>
      </c>
      <c r="AA526" s="7" t="str">
        <f>Preencher!$B$3&amp;U526&amp;V526&amp;A526&amp;$AA$6</f>
        <v>JARINU-FRG964662MQ.TUNEL DE CG (ESTATICO)</v>
      </c>
      <c r="AB526" s="7" t="str">
        <f>Preencher!$B$3&amp;U526&amp;V526&amp;A526&amp;$AB$6</f>
        <v>JARINU-FRG964662MQ.TUNEL DE CG (ESTATICO) (1)</v>
      </c>
      <c r="AC526" s="7" t="str">
        <f>Preencher!$B$3&amp;U526&amp;V526&amp;A526&amp;$AC$6</f>
        <v>JARINU-FRG964662MQ.TUNEL DE CG (ESTATICO) (2)</v>
      </c>
      <c r="AD526" s="327">
        <f>IFERROR(SUMIF('BD Otimix'!A:A,'BD VOLUME'!X526,'BD Otimix'!O:O)+SUMIF('BD Otimix'!A:A,'BD VOLUME'!Y526,'BD Otimix'!O:O)+SUMIF('BD Otimix'!A:A,'BD VOLUME'!Z526,'BD Otimix'!O:O)+SUMIF('BD Otimix'!A:A,'BD VOLUME'!AA526,'BD Otimix'!O:O)+SUMIF('BD Otimix'!A:A,'BD VOLUME'!AB526,'BD Otimix'!O:O)+SUMIF('BD Otimix'!A:A,'BD VOLUME'!AC526,'BD Otimix'!O:O)+SUMIF('BD Otimix'!A:A,'BD VOLUME'!W526,'BD Otimix'!O:O),0)</f>
        <v>0</v>
      </c>
      <c r="AE526" s="327">
        <f t="shared" si="144"/>
        <v>0</v>
      </c>
      <c r="AF526" s="7" t="str">
        <f>Preencher!$B$3&amp;$U$8&amp;$V$8&amp;A526&amp;$AF$6</f>
        <v>JARINU-FRG964662MQ.GIROFREEZER</v>
      </c>
      <c r="AG526" s="7" t="str">
        <f>Preencher!$B$3&amp;$U$8&amp;$V$8&amp;A526&amp;$AG$6</f>
        <v>JARINU-FRG964662MQ.GIROFREEZER (1)</v>
      </c>
      <c r="AH526" s="7" t="str">
        <f>Preencher!$B$3&amp;$U$8&amp;$V$8&amp;A526&amp;$AH$6</f>
        <v>JARINU-FRG964662MQ.GIROFREEZER (2)</v>
      </c>
      <c r="AI526" s="7" t="str">
        <f>Preencher!$B$3&amp;$U$8&amp;$V$8&amp;A526&amp;$AI$6</f>
        <v>JARINU-FRG964662MQ.GIROFREEZER REV04</v>
      </c>
      <c r="AJ526" s="7" t="str">
        <f>Preencher!$B$3&amp;$U$8&amp;$V$8&amp;A526&amp;$AJ$6</f>
        <v>JARINU-FRG964662MQ.GIROFREEZER (3)</v>
      </c>
      <c r="AK526" s="327">
        <f>IFERROR(SUMIF('BD Otimix'!A:A,'BD VOLUME'!AG526,'BD Otimix'!O:O)+SUMIF('BD Otimix'!A:A,'BD VOLUME'!AH526,'BD Otimix'!O:O)+SUMIF('BD Otimix'!A:A,'BD VOLUME'!AI526,'BD Otimix'!O:O)+SUMIF('BD Otimix'!A:A,'BD VOLUME'!AJ526,'BD Otimix'!O:O)+SUMIF('BD Otimix'!A:A,'BD VOLUME'!AF526,'BD Otimix'!O:O),0)</f>
        <v>0</v>
      </c>
      <c r="AL526" s="7">
        <f t="shared" si="145"/>
        <v>0</v>
      </c>
    </row>
    <row r="527" spans="1:38">
      <c r="A527" s="580">
        <v>55553</v>
      </c>
      <c r="B527" s="580"/>
      <c r="C527" s="5" t="s">
        <v>3152</v>
      </c>
      <c r="D527" s="5" t="s">
        <v>868</v>
      </c>
      <c r="E527" s="5" t="s">
        <v>2128</v>
      </c>
      <c r="F527" s="132">
        <f>SUMIF('COLAR PLANO'!$A:$A,A527,'COLAR PLANO'!$D:$D)</f>
        <v>0</v>
      </c>
      <c r="G527" s="131">
        <f>IFERROR(F527/($E$3*$C$3),0)</f>
        <v>0</v>
      </c>
      <c r="H527" s="6">
        <v>0.17199999999999999</v>
      </c>
      <c r="I527" s="7">
        <f t="shared" si="169"/>
        <v>0</v>
      </c>
      <c r="J527" s="130">
        <f t="shared" si="170"/>
        <v>0</v>
      </c>
      <c r="K527" s="580">
        <v>18</v>
      </c>
      <c r="L527" s="580">
        <v>1</v>
      </c>
      <c r="M527" s="580">
        <v>18</v>
      </c>
      <c r="N527" s="7">
        <f t="shared" si="171"/>
        <v>0</v>
      </c>
      <c r="O527" s="7"/>
      <c r="P527" s="7">
        <f t="shared" si="172"/>
        <v>0</v>
      </c>
      <c r="Q527" s="7"/>
      <c r="R527" s="7"/>
      <c r="S527" s="7"/>
      <c r="T527" s="7"/>
      <c r="U527" s="7" t="s">
        <v>2288</v>
      </c>
      <c r="V527" s="7" t="s">
        <v>2289</v>
      </c>
      <c r="W527" s="7" t="str">
        <f>Preencher!$B$3&amp;U527&amp;V527&amp;A527&amp;$W$6</f>
        <v>JARINU-FRG55553MQ.TUNEL DE CG (CONTINUO)</v>
      </c>
      <c r="X527" s="7" t="str">
        <f>Preencher!$B$3&amp;U527&amp;V527&amp;A527&amp;$X$6</f>
        <v>JARINU-FRG55553MQ.TUNEL DE CG (CONTINUO) (1)</v>
      </c>
      <c r="Y527" s="7" t="str">
        <f>Preencher!$B$3&amp;U527&amp;V527&amp;A527&amp;$Y$6</f>
        <v>JARINU-FRG55553MQ.TUNEL DE CG (CONTINUO) (2)</v>
      </c>
      <c r="Z527" s="7" t="str">
        <f>Preencher!$B$3&amp;U527&amp;V527&amp;A527&amp;$Z$6</f>
        <v>JARINU-FRG55553MQ.TUNEL DE CG (CONTINUO) (3)</v>
      </c>
      <c r="AA527" s="7" t="str">
        <f>Preencher!$B$3&amp;U527&amp;V527&amp;A527&amp;$AA$6</f>
        <v>JARINU-FRG55553MQ.TUNEL DE CG (ESTATICO)</v>
      </c>
      <c r="AB527" s="7" t="str">
        <f>Preencher!$B$3&amp;U527&amp;V527&amp;A527&amp;$AB$6</f>
        <v>JARINU-FRG55553MQ.TUNEL DE CG (ESTATICO) (1)</v>
      </c>
      <c r="AC527" s="7" t="str">
        <f>Preencher!$B$3&amp;U527&amp;V527&amp;A527&amp;$AC$6</f>
        <v>JARINU-FRG55553MQ.TUNEL DE CG (ESTATICO) (2)</v>
      </c>
      <c r="AD527" s="327">
        <f>IFERROR(SUMIF('BD Otimix'!A:A,'BD VOLUME'!X527,'BD Otimix'!O:O)+SUMIF('BD Otimix'!A:A,'BD VOLUME'!Y527,'BD Otimix'!O:O)+SUMIF('BD Otimix'!A:A,'BD VOLUME'!Z527,'BD Otimix'!O:O)+SUMIF('BD Otimix'!A:A,'BD VOLUME'!AA527,'BD Otimix'!O:O)+SUMIF('BD Otimix'!A:A,'BD VOLUME'!AB527,'BD Otimix'!O:O)+SUMIF('BD Otimix'!A:A,'BD VOLUME'!AC527,'BD Otimix'!O:O)+SUMIF('BD Otimix'!A:A,'BD VOLUME'!W527,'BD Otimix'!O:O),0)</f>
        <v>0</v>
      </c>
      <c r="AE527" s="327">
        <f t="shared" si="144"/>
        <v>0</v>
      </c>
      <c r="AF527" s="7" t="str">
        <f>Preencher!$B$3&amp;$U$8&amp;$V$8&amp;A527&amp;$AF$6</f>
        <v>JARINU-FRG55553MQ.GIROFREEZER</v>
      </c>
      <c r="AG527" s="7" t="str">
        <f>Preencher!$B$3&amp;$U$8&amp;$V$8&amp;A527&amp;$AG$6</f>
        <v>JARINU-FRG55553MQ.GIROFREEZER (1)</v>
      </c>
      <c r="AH527" s="7" t="str">
        <f>Preencher!$B$3&amp;$U$8&amp;$V$8&amp;A527&amp;$AH$6</f>
        <v>JARINU-FRG55553MQ.GIROFREEZER (2)</v>
      </c>
      <c r="AI527" s="7" t="str">
        <f>Preencher!$B$3&amp;$U$8&amp;$V$8&amp;A527&amp;$AI$6</f>
        <v>JARINU-FRG55553MQ.GIROFREEZER REV04</v>
      </c>
      <c r="AJ527" s="7" t="str">
        <f>Preencher!$B$3&amp;$U$8&amp;$V$8&amp;A527&amp;$AJ$6</f>
        <v>JARINU-FRG55553MQ.GIROFREEZER (3)</v>
      </c>
      <c r="AK527" s="327">
        <f>IFERROR(SUMIF('BD Otimix'!A:A,'BD VOLUME'!AG527,'BD Otimix'!O:O)+SUMIF('BD Otimix'!A:A,'BD VOLUME'!AH527,'BD Otimix'!O:O)+SUMIF('BD Otimix'!A:A,'BD VOLUME'!AI527,'BD Otimix'!O:O)+SUMIF('BD Otimix'!A:A,'BD VOLUME'!AJ527,'BD Otimix'!O:O)+SUMIF('BD Otimix'!A:A,'BD VOLUME'!AF527,'BD Otimix'!O:O),0)</f>
        <v>0</v>
      </c>
      <c r="AL527" s="7">
        <f t="shared" si="145"/>
        <v>0</v>
      </c>
    </row>
    <row r="528" spans="1:38">
      <c r="A528" s="580">
        <v>13102</v>
      </c>
      <c r="B528" s="580" t="s">
        <v>2061</v>
      </c>
      <c r="C528" s="5" t="s">
        <v>2062</v>
      </c>
      <c r="D528" s="5" t="s">
        <v>868</v>
      </c>
      <c r="E528" s="5" t="s">
        <v>2128</v>
      </c>
      <c r="F528" s="132">
        <f>SUMIF('COLAR PLANO'!$A:$A,A528,'COLAR PLANO'!$D:$D)</f>
        <v>0</v>
      </c>
      <c r="G528" s="131">
        <f>IFERROR(F528/($E$3*$C$3),0)</f>
        <v>0</v>
      </c>
      <c r="H528" s="6">
        <v>0.17199999999999999</v>
      </c>
      <c r="I528" s="7">
        <f>IFERROR(G528/$D$3/H528,0)</f>
        <v>0</v>
      </c>
      <c r="J528" s="130">
        <f>IFERROR(I528/$B$472,0)</f>
        <v>0</v>
      </c>
      <c r="K528" s="786">
        <v>10</v>
      </c>
      <c r="L528" s="786">
        <v>1</v>
      </c>
      <c r="M528" s="786">
        <v>10</v>
      </c>
      <c r="N528" s="7">
        <f>IFERROR(G528/K528,"-")</f>
        <v>0</v>
      </c>
      <c r="O528" s="7"/>
      <c r="P528" s="7">
        <f>IFERROR(G528/M528,0)</f>
        <v>0</v>
      </c>
      <c r="Q528" s="7"/>
      <c r="R528" s="7"/>
      <c r="S528" s="7"/>
      <c r="T528" s="7"/>
      <c r="U528" s="7" t="s">
        <v>2288</v>
      </c>
      <c r="V528" s="7" t="s">
        <v>2289</v>
      </c>
      <c r="W528" s="7" t="str">
        <f>Preencher!$B$3&amp;U528&amp;V528&amp;A528&amp;$W$6</f>
        <v>JARINU-FRG13102MQ.TUNEL DE CG (CONTINUO)</v>
      </c>
      <c r="X528" s="7" t="str">
        <f>Preencher!$B$3&amp;U528&amp;V528&amp;A528&amp;$X$6</f>
        <v>JARINU-FRG13102MQ.TUNEL DE CG (CONTINUO) (1)</v>
      </c>
      <c r="Y528" s="7" t="str">
        <f>Preencher!$B$3&amp;U528&amp;V528&amp;A528&amp;$Y$6</f>
        <v>JARINU-FRG13102MQ.TUNEL DE CG (CONTINUO) (2)</v>
      </c>
      <c r="Z528" s="7" t="str">
        <f>Preencher!$B$3&amp;U528&amp;V528&amp;A528&amp;$Z$6</f>
        <v>JARINU-FRG13102MQ.TUNEL DE CG (CONTINUO) (3)</v>
      </c>
      <c r="AA528" s="7" t="str">
        <f>Preencher!$B$3&amp;U528&amp;V528&amp;A528&amp;$AA$6</f>
        <v>JARINU-FRG13102MQ.TUNEL DE CG (ESTATICO)</v>
      </c>
      <c r="AB528" s="7" t="str">
        <f>Preencher!$B$3&amp;U528&amp;V528&amp;A528&amp;$AB$6</f>
        <v>JARINU-FRG13102MQ.TUNEL DE CG (ESTATICO) (1)</v>
      </c>
      <c r="AC528" s="7" t="str">
        <f>Preencher!$B$3&amp;U528&amp;V528&amp;A528&amp;$AC$6</f>
        <v>JARINU-FRG13102MQ.TUNEL DE CG (ESTATICO) (2)</v>
      </c>
      <c r="AD528" s="327">
        <f>IFERROR(SUMIF('BD Otimix'!A:A,'BD VOLUME'!X528,'BD Otimix'!O:O)+SUMIF('BD Otimix'!A:A,'BD VOLUME'!Y528,'BD Otimix'!O:O)+SUMIF('BD Otimix'!A:A,'BD VOLUME'!Z528,'BD Otimix'!O:O)+SUMIF('BD Otimix'!A:A,'BD VOLUME'!AA528,'BD Otimix'!O:O)+SUMIF('BD Otimix'!A:A,'BD VOLUME'!AB528,'BD Otimix'!O:O)+SUMIF('BD Otimix'!A:A,'BD VOLUME'!AC528,'BD Otimix'!O:O)+SUMIF('BD Otimix'!A:A,'BD VOLUME'!W528,'BD Otimix'!O:O),0)</f>
        <v>0</v>
      </c>
      <c r="AE528" s="327">
        <f>IFERROR(F528/$E$3/1000/AD528,0)</f>
        <v>0</v>
      </c>
      <c r="AF528" s="7" t="str">
        <f>Preencher!$B$3&amp;$U$8&amp;$V$8&amp;A528&amp;$AF$6</f>
        <v>JARINU-FRG13102MQ.GIROFREEZER</v>
      </c>
      <c r="AG528" s="7" t="str">
        <f>Preencher!$B$3&amp;$U$8&amp;$V$8&amp;A528&amp;$AG$6</f>
        <v>JARINU-FRG13102MQ.GIROFREEZER (1)</v>
      </c>
      <c r="AH528" s="7" t="str">
        <f>Preencher!$B$3&amp;$U$8&amp;$V$8&amp;A528&amp;$AH$6</f>
        <v>JARINU-FRG13102MQ.GIROFREEZER (2)</v>
      </c>
      <c r="AI528" s="7" t="str">
        <f>Preencher!$B$3&amp;$U$8&amp;$V$8&amp;A528&amp;$AI$6</f>
        <v>JARINU-FRG13102MQ.GIROFREEZER REV04</v>
      </c>
      <c r="AJ528" s="7" t="str">
        <f>Preencher!$B$3&amp;$U$8&amp;$V$8&amp;A528&amp;$AJ$6</f>
        <v>JARINU-FRG13102MQ.GIROFREEZER (3)</v>
      </c>
      <c r="AK528" s="327">
        <f>IFERROR(SUMIF('BD Otimix'!A:A,'BD VOLUME'!AG528,'BD Otimix'!O:O)+SUMIF('BD Otimix'!A:A,'BD VOLUME'!AH528,'BD Otimix'!O:O)+SUMIF('BD Otimix'!A:A,'BD VOLUME'!AI528,'BD Otimix'!O:O)+SUMIF('BD Otimix'!A:A,'BD VOLUME'!AJ528,'BD Otimix'!O:O)+SUMIF('BD Otimix'!A:A,'BD VOLUME'!AF528,'BD Otimix'!O:O),0)</f>
        <v>0</v>
      </c>
      <c r="AL528" s="7">
        <f>IFERROR(F528/$E$3/1000/AK528,0)</f>
        <v>0</v>
      </c>
    </row>
    <row r="529" spans="1:38">
      <c r="A529" s="580">
        <v>13404</v>
      </c>
      <c r="B529" s="580" t="s">
        <v>2079</v>
      </c>
      <c r="C529" s="5" t="s">
        <v>2080</v>
      </c>
      <c r="D529" s="5" t="s">
        <v>868</v>
      </c>
      <c r="E529" s="5" t="s">
        <v>2128</v>
      </c>
      <c r="F529" s="132">
        <f>SUMIF('COLAR PLANO'!$A:$A,A529,'COLAR PLANO'!$D:$D)</f>
        <v>0</v>
      </c>
      <c r="G529" s="131">
        <f t="shared" ref="G529:G539" si="173">IFERROR(F529/($E$3*$C$3),0)</f>
        <v>0</v>
      </c>
      <c r="H529" s="6">
        <v>0.17199999999999999</v>
      </c>
      <c r="I529" s="7">
        <f t="shared" si="169"/>
        <v>0</v>
      </c>
      <c r="J529" s="130">
        <f t="shared" si="170"/>
        <v>0</v>
      </c>
      <c r="K529" s="580">
        <v>18</v>
      </c>
      <c r="L529" s="580">
        <v>1</v>
      </c>
      <c r="M529" s="580">
        <v>18</v>
      </c>
      <c r="N529" s="7">
        <f t="shared" si="171"/>
        <v>0</v>
      </c>
      <c r="O529" s="7"/>
      <c r="P529" s="7">
        <f t="shared" si="172"/>
        <v>0</v>
      </c>
      <c r="Q529" s="7"/>
      <c r="R529" s="7"/>
      <c r="S529" s="7"/>
      <c r="T529" s="7"/>
      <c r="U529" s="7" t="s">
        <v>2288</v>
      </c>
      <c r="V529" s="7" t="s">
        <v>2289</v>
      </c>
      <c r="W529" s="7" t="str">
        <f>Preencher!$B$3&amp;U529&amp;V529&amp;A529&amp;$W$6</f>
        <v>JARINU-FRG13404MQ.TUNEL DE CG (CONTINUO)</v>
      </c>
      <c r="X529" s="7" t="str">
        <f>Preencher!$B$3&amp;U529&amp;V529&amp;A529&amp;$X$6</f>
        <v>JARINU-FRG13404MQ.TUNEL DE CG (CONTINUO) (1)</v>
      </c>
      <c r="Y529" s="7" t="str">
        <f>Preencher!$B$3&amp;U529&amp;V529&amp;A529&amp;$Y$6</f>
        <v>JARINU-FRG13404MQ.TUNEL DE CG (CONTINUO) (2)</v>
      </c>
      <c r="Z529" s="7" t="str">
        <f>Preencher!$B$3&amp;U529&amp;V529&amp;A529&amp;$Z$6</f>
        <v>JARINU-FRG13404MQ.TUNEL DE CG (CONTINUO) (3)</v>
      </c>
      <c r="AA529" s="7" t="str">
        <f>Preencher!$B$3&amp;U529&amp;V529&amp;A529&amp;$AA$6</f>
        <v>JARINU-FRG13404MQ.TUNEL DE CG (ESTATICO)</v>
      </c>
      <c r="AB529" s="7" t="str">
        <f>Preencher!$B$3&amp;U529&amp;V529&amp;A529&amp;$AB$6</f>
        <v>JARINU-FRG13404MQ.TUNEL DE CG (ESTATICO) (1)</v>
      </c>
      <c r="AC529" s="7" t="str">
        <f>Preencher!$B$3&amp;U529&amp;V529&amp;A529&amp;$AC$6</f>
        <v>JARINU-FRG13404MQ.TUNEL DE CG (ESTATICO) (2)</v>
      </c>
      <c r="AD529" s="327">
        <f>IFERROR(SUMIF('BD Otimix'!A:A,'BD VOLUME'!X529,'BD Otimix'!O:O)+SUMIF('BD Otimix'!A:A,'BD VOLUME'!Y529,'BD Otimix'!O:O)+SUMIF('BD Otimix'!A:A,'BD VOLUME'!Z529,'BD Otimix'!O:O)+SUMIF('BD Otimix'!A:A,'BD VOLUME'!AA529,'BD Otimix'!O:O)+SUMIF('BD Otimix'!A:A,'BD VOLUME'!AB529,'BD Otimix'!O:O)+SUMIF('BD Otimix'!A:A,'BD VOLUME'!AC529,'BD Otimix'!O:O)+SUMIF('BD Otimix'!A:A,'BD VOLUME'!W529,'BD Otimix'!O:O),0)</f>
        <v>0</v>
      </c>
      <c r="AE529" s="327">
        <f t="shared" si="144"/>
        <v>0</v>
      </c>
      <c r="AF529" s="7" t="str">
        <f>Preencher!$B$3&amp;$U$8&amp;$V$8&amp;A529&amp;$AF$6</f>
        <v>JARINU-FRG13404MQ.GIROFREEZER</v>
      </c>
      <c r="AG529" s="7" t="str">
        <f>Preencher!$B$3&amp;$U$8&amp;$V$8&amp;A529&amp;$AG$6</f>
        <v>JARINU-FRG13404MQ.GIROFREEZER (1)</v>
      </c>
      <c r="AH529" s="7" t="str">
        <f>Preencher!$B$3&amp;$U$8&amp;$V$8&amp;A529&amp;$AH$6</f>
        <v>JARINU-FRG13404MQ.GIROFREEZER (2)</v>
      </c>
      <c r="AI529" s="7" t="str">
        <f>Preencher!$B$3&amp;$U$8&amp;$V$8&amp;A529&amp;$AI$6</f>
        <v>JARINU-FRG13404MQ.GIROFREEZER REV04</v>
      </c>
      <c r="AJ529" s="7" t="str">
        <f>Preencher!$B$3&amp;$U$8&amp;$V$8&amp;A529&amp;$AJ$6</f>
        <v>JARINU-FRG13404MQ.GIROFREEZER (3)</v>
      </c>
      <c r="AK529" s="327">
        <f>IFERROR(SUMIF('BD Otimix'!A:A,'BD VOLUME'!AG529,'BD Otimix'!O:O)+SUMIF('BD Otimix'!A:A,'BD VOLUME'!AH529,'BD Otimix'!O:O)+SUMIF('BD Otimix'!A:A,'BD VOLUME'!AI529,'BD Otimix'!O:O)+SUMIF('BD Otimix'!A:A,'BD VOLUME'!AJ529,'BD Otimix'!O:O)+SUMIF('BD Otimix'!A:A,'BD VOLUME'!AF529,'BD Otimix'!O:O),0)</f>
        <v>0</v>
      </c>
      <c r="AL529" s="7">
        <f t="shared" si="145"/>
        <v>0</v>
      </c>
    </row>
    <row r="530" spans="1:38">
      <c r="A530" s="647">
        <v>40043</v>
      </c>
      <c r="B530" s="647" t="s">
        <v>1022</v>
      </c>
      <c r="C530" s="5" t="s">
        <v>1657</v>
      </c>
      <c r="D530" s="5" t="s">
        <v>868</v>
      </c>
      <c r="E530" s="5" t="s">
        <v>1691</v>
      </c>
      <c r="F530" s="132">
        <f>SUMIF('COLAR PLANO'!$A:$A,A530,'COLAR PLANO'!$D:$D)</f>
        <v>0</v>
      </c>
      <c r="G530" s="131">
        <f t="shared" si="173"/>
        <v>0</v>
      </c>
      <c r="H530" s="6">
        <v>0.24541238744251673</v>
      </c>
      <c r="I530" s="7">
        <f t="shared" si="169"/>
        <v>0</v>
      </c>
      <c r="J530" s="130">
        <f t="shared" si="170"/>
        <v>0</v>
      </c>
      <c r="K530" s="647">
        <v>0.65</v>
      </c>
      <c r="L530" s="647">
        <v>18</v>
      </c>
      <c r="M530" s="647">
        <v>12</v>
      </c>
      <c r="N530" s="7">
        <f t="shared" ref="N530:N539" si="174">IFERROR(G530/K530,"-")</f>
        <v>0</v>
      </c>
      <c r="O530" s="7">
        <f>IFERROR(G530/M530,0)</f>
        <v>0</v>
      </c>
      <c r="P530" s="7"/>
      <c r="Q530" s="7"/>
      <c r="R530" s="7"/>
      <c r="S530" s="7"/>
      <c r="T530" s="7"/>
      <c r="U530" s="7" t="s">
        <v>2288</v>
      </c>
      <c r="V530" s="7" t="s">
        <v>2289</v>
      </c>
      <c r="W530" s="7" t="str">
        <f>Preencher!$B$3&amp;U530&amp;V530&amp;A530&amp;$W$6</f>
        <v>JARINU-FRG40043MQ.TUNEL DE CG (CONTINUO)</v>
      </c>
      <c r="X530" s="7" t="str">
        <f>Preencher!$B$3&amp;U530&amp;V530&amp;A530&amp;$X$6</f>
        <v>JARINU-FRG40043MQ.TUNEL DE CG (CONTINUO) (1)</v>
      </c>
      <c r="Y530" s="7" t="str">
        <f>Preencher!$B$3&amp;U530&amp;V530&amp;A530&amp;$Y$6</f>
        <v>JARINU-FRG40043MQ.TUNEL DE CG (CONTINUO) (2)</v>
      </c>
      <c r="Z530" s="7" t="str">
        <f>Preencher!$B$3&amp;U530&amp;V530&amp;A530&amp;$Z$6</f>
        <v>JARINU-FRG40043MQ.TUNEL DE CG (CONTINUO) (3)</v>
      </c>
      <c r="AA530" s="7" t="str">
        <f>Preencher!$B$3&amp;U530&amp;V530&amp;A530&amp;$AA$6</f>
        <v>JARINU-FRG40043MQ.TUNEL DE CG (ESTATICO)</v>
      </c>
      <c r="AB530" s="7" t="str">
        <f>Preencher!$B$3&amp;U530&amp;V530&amp;A530&amp;$AB$6</f>
        <v>JARINU-FRG40043MQ.TUNEL DE CG (ESTATICO) (1)</v>
      </c>
      <c r="AC530" s="7" t="str">
        <f>Preencher!$B$3&amp;U530&amp;V530&amp;A530&amp;$AC$6</f>
        <v>JARINU-FRG40043MQ.TUNEL DE CG (ESTATICO) (2)</v>
      </c>
      <c r="AD530" s="327">
        <f>IFERROR(SUMIF('BD Otimix'!A:A,'BD VOLUME'!X530,'BD Otimix'!O:O)+SUMIF('BD Otimix'!A:A,'BD VOLUME'!Y530,'BD Otimix'!O:O)+SUMIF('BD Otimix'!A:A,'BD VOLUME'!Z530,'BD Otimix'!O:O)+SUMIF('BD Otimix'!A:A,'BD VOLUME'!AA530,'BD Otimix'!O:O)+SUMIF('BD Otimix'!A:A,'BD VOLUME'!AB530,'BD Otimix'!O:O)+SUMIF('BD Otimix'!A:A,'BD VOLUME'!AC530,'BD Otimix'!O:O)+SUMIF('BD Otimix'!A:A,'BD VOLUME'!W530,'BD Otimix'!O:O),0)</f>
        <v>0</v>
      </c>
      <c r="AE530" s="327">
        <f t="shared" si="144"/>
        <v>0</v>
      </c>
      <c r="AF530" s="7" t="str">
        <f>Preencher!$B$3&amp;$U$8&amp;$V$8&amp;A530&amp;$AF$6</f>
        <v>JARINU-FRG40043MQ.GIROFREEZER</v>
      </c>
      <c r="AG530" s="7" t="str">
        <f>Preencher!$B$3&amp;$U$8&amp;$V$8&amp;A530&amp;$AG$6</f>
        <v>JARINU-FRG40043MQ.GIROFREEZER (1)</v>
      </c>
      <c r="AH530" s="7" t="str">
        <f>Preencher!$B$3&amp;$U$8&amp;$V$8&amp;A530&amp;$AH$6</f>
        <v>JARINU-FRG40043MQ.GIROFREEZER (2)</v>
      </c>
      <c r="AI530" s="7" t="str">
        <f>Preencher!$B$3&amp;$U$8&amp;$V$8&amp;A530&amp;$AI$6</f>
        <v>JARINU-FRG40043MQ.GIROFREEZER REV04</v>
      </c>
      <c r="AJ530" s="7" t="str">
        <f>Preencher!$B$3&amp;$U$8&amp;$V$8&amp;A530&amp;$AJ$6</f>
        <v>JARINU-FRG40043MQ.GIROFREEZER (3)</v>
      </c>
      <c r="AK530" s="327">
        <f>IFERROR(SUMIF('BD Otimix'!A:A,'BD VOLUME'!AG530,'BD Otimix'!O:O)+SUMIF('BD Otimix'!A:A,'BD VOLUME'!AH530,'BD Otimix'!O:O)+SUMIF('BD Otimix'!A:A,'BD VOLUME'!AI530,'BD Otimix'!O:O)+SUMIF('BD Otimix'!A:A,'BD VOLUME'!AJ530,'BD Otimix'!O:O)+SUMIF('BD Otimix'!A:A,'BD VOLUME'!AF530,'BD Otimix'!O:O),0)</f>
        <v>0</v>
      </c>
      <c r="AL530" s="7">
        <f t="shared" si="145"/>
        <v>0</v>
      </c>
    </row>
    <row r="531" spans="1:38">
      <c r="A531" s="647">
        <v>43032</v>
      </c>
      <c r="B531" s="647" t="s">
        <v>1022</v>
      </c>
      <c r="C531" s="5" t="s">
        <v>1665</v>
      </c>
      <c r="D531" s="5" t="s">
        <v>868</v>
      </c>
      <c r="E531" s="5" t="s">
        <v>1691</v>
      </c>
      <c r="F531" s="132">
        <f>SUMIF('COLAR PLANO'!$A:$A,A531,'COLAR PLANO'!$D:$D)</f>
        <v>0</v>
      </c>
      <c r="G531" s="131">
        <f t="shared" si="173"/>
        <v>0</v>
      </c>
      <c r="H531" s="6">
        <v>0.24541238744251673</v>
      </c>
      <c r="I531" s="7">
        <f t="shared" si="169"/>
        <v>0</v>
      </c>
      <c r="J531" s="130">
        <f t="shared" ref="J531:J540" si="175">IFERROR(I531/$B$472,0)</f>
        <v>0</v>
      </c>
      <c r="K531" s="647">
        <v>0.65</v>
      </c>
      <c r="L531" s="647">
        <v>15</v>
      </c>
      <c r="M531" s="647">
        <v>9.75</v>
      </c>
      <c r="N531" s="7">
        <f t="shared" si="174"/>
        <v>0</v>
      </c>
      <c r="O531" s="7">
        <f>IFERROR(G531/M531,0)</f>
        <v>0</v>
      </c>
      <c r="P531" s="7"/>
      <c r="Q531" s="7"/>
      <c r="R531" s="7"/>
      <c r="S531" s="7"/>
      <c r="T531" s="7"/>
      <c r="U531" s="7" t="s">
        <v>2288</v>
      </c>
      <c r="V531" s="7" t="s">
        <v>2289</v>
      </c>
      <c r="W531" s="7" t="str">
        <f>Preencher!$B$3&amp;U531&amp;V531&amp;A531&amp;$W$6</f>
        <v>JARINU-FRG43032MQ.TUNEL DE CG (CONTINUO)</v>
      </c>
      <c r="X531" s="7" t="str">
        <f>Preencher!$B$3&amp;U531&amp;V531&amp;A531&amp;$X$6</f>
        <v>JARINU-FRG43032MQ.TUNEL DE CG (CONTINUO) (1)</v>
      </c>
      <c r="Y531" s="7" t="str">
        <f>Preencher!$B$3&amp;U531&amp;V531&amp;A531&amp;$Y$6</f>
        <v>JARINU-FRG43032MQ.TUNEL DE CG (CONTINUO) (2)</v>
      </c>
      <c r="Z531" s="7" t="str">
        <f>Preencher!$B$3&amp;U531&amp;V531&amp;A531&amp;$Z$6</f>
        <v>JARINU-FRG43032MQ.TUNEL DE CG (CONTINUO) (3)</v>
      </c>
      <c r="AA531" s="7" t="str">
        <f>Preencher!$B$3&amp;U531&amp;V531&amp;A531&amp;$AA$6</f>
        <v>JARINU-FRG43032MQ.TUNEL DE CG (ESTATICO)</v>
      </c>
      <c r="AB531" s="7" t="str">
        <f>Preencher!$B$3&amp;U531&amp;V531&amp;A531&amp;$AB$6</f>
        <v>JARINU-FRG43032MQ.TUNEL DE CG (ESTATICO) (1)</v>
      </c>
      <c r="AC531" s="7" t="str">
        <f>Preencher!$B$3&amp;U531&amp;V531&amp;A531&amp;$AC$6</f>
        <v>JARINU-FRG43032MQ.TUNEL DE CG (ESTATICO) (2)</v>
      </c>
      <c r="AD531" s="327">
        <f>IFERROR(SUMIF('BD Otimix'!A:A,'BD VOLUME'!X531,'BD Otimix'!O:O)+SUMIF('BD Otimix'!A:A,'BD VOLUME'!Y531,'BD Otimix'!O:O)+SUMIF('BD Otimix'!A:A,'BD VOLUME'!Z531,'BD Otimix'!O:O)+SUMIF('BD Otimix'!A:A,'BD VOLUME'!AA531,'BD Otimix'!O:O)+SUMIF('BD Otimix'!A:A,'BD VOLUME'!AB531,'BD Otimix'!O:O)+SUMIF('BD Otimix'!A:A,'BD VOLUME'!AC531,'BD Otimix'!O:O)+SUMIF('BD Otimix'!A:A,'BD VOLUME'!W531,'BD Otimix'!O:O),0)</f>
        <v>0</v>
      </c>
      <c r="AE531" s="327">
        <f t="shared" si="144"/>
        <v>0</v>
      </c>
      <c r="AF531" s="7" t="str">
        <f>Preencher!$B$3&amp;$U$8&amp;$V$8&amp;A531&amp;$AF$6</f>
        <v>JARINU-FRG43032MQ.GIROFREEZER</v>
      </c>
      <c r="AG531" s="7" t="str">
        <f>Preencher!$B$3&amp;$U$8&amp;$V$8&amp;A531&amp;$AG$6</f>
        <v>JARINU-FRG43032MQ.GIROFREEZER (1)</v>
      </c>
      <c r="AH531" s="7" t="str">
        <f>Preencher!$B$3&amp;$U$8&amp;$V$8&amp;A531&amp;$AH$6</f>
        <v>JARINU-FRG43032MQ.GIROFREEZER (2)</v>
      </c>
      <c r="AI531" s="7" t="str">
        <f>Preencher!$B$3&amp;$U$8&amp;$V$8&amp;A531&amp;$AI$6</f>
        <v>JARINU-FRG43032MQ.GIROFREEZER REV04</v>
      </c>
      <c r="AJ531" s="7" t="str">
        <f>Preencher!$B$3&amp;$U$8&amp;$V$8&amp;A531&amp;$AJ$6</f>
        <v>JARINU-FRG43032MQ.GIROFREEZER (3)</v>
      </c>
      <c r="AK531" s="327">
        <f>IFERROR(SUMIF('BD Otimix'!A:A,'BD VOLUME'!AG531,'BD Otimix'!O:O)+SUMIF('BD Otimix'!A:A,'BD VOLUME'!AH531,'BD Otimix'!O:O)+SUMIF('BD Otimix'!A:A,'BD VOLUME'!AI531,'BD Otimix'!O:O)+SUMIF('BD Otimix'!A:A,'BD VOLUME'!AJ531,'BD Otimix'!O:O)+SUMIF('BD Otimix'!A:A,'BD VOLUME'!AF531,'BD Otimix'!O:O),0)</f>
        <v>0</v>
      </c>
      <c r="AL531" s="7">
        <f t="shared" si="145"/>
        <v>0</v>
      </c>
    </row>
    <row r="532" spans="1:38">
      <c r="A532" s="647">
        <v>729779</v>
      </c>
      <c r="B532" s="647" t="s">
        <v>2106</v>
      </c>
      <c r="C532" s="5" t="s">
        <v>2107</v>
      </c>
      <c r="D532" s="5" t="s">
        <v>868</v>
      </c>
      <c r="E532" s="5" t="s">
        <v>1691</v>
      </c>
      <c r="F532" s="132">
        <f>SUMIF('COLAR PLANO'!$A:$A,A532,'COLAR PLANO'!$D:$D)</f>
        <v>0</v>
      </c>
      <c r="G532" s="131">
        <f t="shared" si="173"/>
        <v>0</v>
      </c>
      <c r="H532" s="6">
        <v>0.24541238744251673</v>
      </c>
      <c r="I532" s="7">
        <f t="shared" si="169"/>
        <v>0</v>
      </c>
      <c r="J532" s="130">
        <f t="shared" si="175"/>
        <v>0</v>
      </c>
      <c r="K532" s="647">
        <v>0.65</v>
      </c>
      <c r="L532" s="647">
        <v>15</v>
      </c>
      <c r="M532" s="647">
        <v>9.75</v>
      </c>
      <c r="N532" s="7">
        <f t="shared" si="174"/>
        <v>0</v>
      </c>
      <c r="O532" s="7">
        <f>IFERROR(G532/M532,0)</f>
        <v>0</v>
      </c>
      <c r="P532" s="7"/>
      <c r="Q532" s="7"/>
      <c r="R532" s="7"/>
      <c r="S532" s="7"/>
      <c r="T532" s="7"/>
      <c r="U532" s="7" t="s">
        <v>2288</v>
      </c>
      <c r="V532" s="7" t="s">
        <v>2289</v>
      </c>
      <c r="W532" s="7" t="str">
        <f>Preencher!$B$3&amp;U532&amp;V532&amp;A532&amp;$W$6</f>
        <v>JARINU-FRG729779MQ.TUNEL DE CG (CONTINUO)</v>
      </c>
      <c r="X532" s="7" t="str">
        <f>Preencher!$B$3&amp;U532&amp;V532&amp;A532&amp;$X$6</f>
        <v>JARINU-FRG729779MQ.TUNEL DE CG (CONTINUO) (1)</v>
      </c>
      <c r="Y532" s="7" t="str">
        <f>Preencher!$B$3&amp;U532&amp;V532&amp;A532&amp;$Y$6</f>
        <v>JARINU-FRG729779MQ.TUNEL DE CG (CONTINUO) (2)</v>
      </c>
      <c r="Z532" s="7" t="str">
        <f>Preencher!$B$3&amp;U532&amp;V532&amp;A532&amp;$Z$6</f>
        <v>JARINU-FRG729779MQ.TUNEL DE CG (CONTINUO) (3)</v>
      </c>
      <c r="AA532" s="7" t="str">
        <f>Preencher!$B$3&amp;U532&amp;V532&amp;A532&amp;$AA$6</f>
        <v>JARINU-FRG729779MQ.TUNEL DE CG (ESTATICO)</v>
      </c>
      <c r="AB532" s="7" t="str">
        <f>Preencher!$B$3&amp;U532&amp;V532&amp;A532&amp;$AB$6</f>
        <v>JARINU-FRG729779MQ.TUNEL DE CG (ESTATICO) (1)</v>
      </c>
      <c r="AC532" s="7" t="str">
        <f>Preencher!$B$3&amp;U532&amp;V532&amp;A532&amp;$AC$6</f>
        <v>JARINU-FRG729779MQ.TUNEL DE CG (ESTATICO) (2)</v>
      </c>
      <c r="AD532" s="327">
        <f>IFERROR(SUMIF('BD Otimix'!A:A,'BD VOLUME'!X532,'BD Otimix'!O:O)+SUMIF('BD Otimix'!A:A,'BD VOLUME'!Y532,'BD Otimix'!O:O)+SUMIF('BD Otimix'!A:A,'BD VOLUME'!Z532,'BD Otimix'!O:O)+SUMIF('BD Otimix'!A:A,'BD VOLUME'!AA532,'BD Otimix'!O:O)+SUMIF('BD Otimix'!A:A,'BD VOLUME'!AB532,'BD Otimix'!O:O)+SUMIF('BD Otimix'!A:A,'BD VOLUME'!AC532,'BD Otimix'!O:O)+SUMIF('BD Otimix'!A:A,'BD VOLUME'!W532,'BD Otimix'!O:O),0)</f>
        <v>0</v>
      </c>
      <c r="AE532" s="327">
        <f t="shared" si="144"/>
        <v>0</v>
      </c>
      <c r="AF532" s="7" t="str">
        <f>Preencher!$B$3&amp;$U$8&amp;$V$8&amp;A532&amp;$AF$6</f>
        <v>JARINU-FRG729779MQ.GIROFREEZER</v>
      </c>
      <c r="AG532" s="7" t="str">
        <f>Preencher!$B$3&amp;$U$8&amp;$V$8&amp;A532&amp;$AG$6</f>
        <v>JARINU-FRG729779MQ.GIROFREEZER (1)</v>
      </c>
      <c r="AH532" s="7" t="str">
        <f>Preencher!$B$3&amp;$U$8&amp;$V$8&amp;A532&amp;$AH$6</f>
        <v>JARINU-FRG729779MQ.GIROFREEZER (2)</v>
      </c>
      <c r="AI532" s="7" t="str">
        <f>Preencher!$B$3&amp;$U$8&amp;$V$8&amp;A532&amp;$AI$6</f>
        <v>JARINU-FRG729779MQ.GIROFREEZER REV04</v>
      </c>
      <c r="AJ532" s="7" t="str">
        <f>Preencher!$B$3&amp;$U$8&amp;$V$8&amp;A532&amp;$AJ$6</f>
        <v>JARINU-FRG729779MQ.GIROFREEZER (3)</v>
      </c>
      <c r="AK532" s="327">
        <f>IFERROR(SUMIF('BD Otimix'!A:A,'BD VOLUME'!AG532,'BD Otimix'!O:O)+SUMIF('BD Otimix'!A:A,'BD VOLUME'!AH532,'BD Otimix'!O:O)+SUMIF('BD Otimix'!A:A,'BD VOLUME'!AI532,'BD Otimix'!O:O)+SUMIF('BD Otimix'!A:A,'BD VOLUME'!AJ532,'BD Otimix'!O:O)+SUMIF('BD Otimix'!A:A,'BD VOLUME'!AF532,'BD Otimix'!O:O),0)</f>
        <v>0</v>
      </c>
      <c r="AL532" s="7">
        <f t="shared" si="145"/>
        <v>0</v>
      </c>
    </row>
    <row r="533" spans="1:38">
      <c r="A533" s="647">
        <v>43156</v>
      </c>
      <c r="B533" s="647"/>
      <c r="C533" s="5" t="s">
        <v>1669</v>
      </c>
      <c r="D533" s="5" t="s">
        <v>868</v>
      </c>
      <c r="E533" s="5" t="s">
        <v>1734</v>
      </c>
      <c r="F533" s="132">
        <f>SUMIF('COLAR PLANO'!$A:$A,A533,'COLAR PLANO'!$D:$D)</f>
        <v>0</v>
      </c>
      <c r="G533" s="131">
        <f t="shared" si="173"/>
        <v>0</v>
      </c>
      <c r="H533" s="6">
        <v>0.24541238744251673</v>
      </c>
      <c r="I533" s="7">
        <f t="shared" si="169"/>
        <v>0</v>
      </c>
      <c r="J533" s="130">
        <f t="shared" si="175"/>
        <v>0</v>
      </c>
      <c r="K533" s="647">
        <v>15</v>
      </c>
      <c r="L533" s="647">
        <v>1</v>
      </c>
      <c r="M533" s="647">
        <v>15</v>
      </c>
      <c r="N533" s="7">
        <f t="shared" si="174"/>
        <v>0</v>
      </c>
      <c r="O533" s="7"/>
      <c r="P533" s="7">
        <f t="shared" ref="P533:P540" si="176">IFERROR(G533/M533,0)</f>
        <v>0</v>
      </c>
      <c r="Q533" s="7"/>
      <c r="R533" s="7"/>
      <c r="S533" s="7"/>
      <c r="T533" s="7"/>
      <c r="U533" s="7" t="s">
        <v>2288</v>
      </c>
      <c r="V533" s="7" t="s">
        <v>2289</v>
      </c>
      <c r="W533" s="7" t="str">
        <f>Preencher!$B$3&amp;U533&amp;V533&amp;A533&amp;$W$6</f>
        <v>JARINU-FRG43156MQ.TUNEL DE CG (CONTINUO)</v>
      </c>
      <c r="X533" s="7" t="str">
        <f>Preencher!$B$3&amp;U533&amp;V533&amp;A533&amp;$X$6</f>
        <v>JARINU-FRG43156MQ.TUNEL DE CG (CONTINUO) (1)</v>
      </c>
      <c r="Y533" s="7" t="str">
        <f>Preencher!$B$3&amp;U533&amp;V533&amp;A533&amp;$Y$6</f>
        <v>JARINU-FRG43156MQ.TUNEL DE CG (CONTINUO) (2)</v>
      </c>
      <c r="Z533" s="7" t="str">
        <f>Preencher!$B$3&amp;U533&amp;V533&amp;A533&amp;$Z$6</f>
        <v>JARINU-FRG43156MQ.TUNEL DE CG (CONTINUO) (3)</v>
      </c>
      <c r="AA533" s="7" t="str">
        <f>Preencher!$B$3&amp;U533&amp;V533&amp;A533&amp;$AA$6</f>
        <v>JARINU-FRG43156MQ.TUNEL DE CG (ESTATICO)</v>
      </c>
      <c r="AB533" s="7" t="str">
        <f>Preencher!$B$3&amp;U533&amp;V533&amp;A533&amp;$AB$6</f>
        <v>JARINU-FRG43156MQ.TUNEL DE CG (ESTATICO) (1)</v>
      </c>
      <c r="AC533" s="7" t="str">
        <f>Preencher!$B$3&amp;U533&amp;V533&amp;A533&amp;$AC$6</f>
        <v>JARINU-FRG43156MQ.TUNEL DE CG (ESTATICO) (2)</v>
      </c>
      <c r="AD533" s="327">
        <f>IFERROR(SUMIF('BD Otimix'!A:A,'BD VOLUME'!X533,'BD Otimix'!O:O)+SUMIF('BD Otimix'!A:A,'BD VOLUME'!Y533,'BD Otimix'!O:O)+SUMIF('BD Otimix'!A:A,'BD VOLUME'!Z533,'BD Otimix'!O:O)+SUMIF('BD Otimix'!A:A,'BD VOLUME'!AA533,'BD Otimix'!O:O)+SUMIF('BD Otimix'!A:A,'BD VOLUME'!AB533,'BD Otimix'!O:O)+SUMIF('BD Otimix'!A:A,'BD VOLUME'!AC533,'BD Otimix'!O:O)+SUMIF('BD Otimix'!A:A,'BD VOLUME'!W533,'BD Otimix'!O:O),0)</f>
        <v>0</v>
      </c>
      <c r="AE533" s="327">
        <f t="shared" si="144"/>
        <v>0</v>
      </c>
      <c r="AF533" s="7" t="str">
        <f>Preencher!$B$3&amp;$U$8&amp;$V$8&amp;A533&amp;$AF$6</f>
        <v>JARINU-FRG43156MQ.GIROFREEZER</v>
      </c>
      <c r="AG533" s="7" t="str">
        <f>Preencher!$B$3&amp;$U$8&amp;$V$8&amp;A533&amp;$AG$6</f>
        <v>JARINU-FRG43156MQ.GIROFREEZER (1)</v>
      </c>
      <c r="AH533" s="7" t="str">
        <f>Preencher!$B$3&amp;$U$8&amp;$V$8&amp;A533&amp;$AH$6</f>
        <v>JARINU-FRG43156MQ.GIROFREEZER (2)</v>
      </c>
      <c r="AI533" s="7" t="str">
        <f>Preencher!$B$3&amp;$U$8&amp;$V$8&amp;A533&amp;$AI$6</f>
        <v>JARINU-FRG43156MQ.GIROFREEZER REV04</v>
      </c>
      <c r="AJ533" s="7" t="str">
        <f>Preencher!$B$3&amp;$U$8&amp;$V$8&amp;A533&amp;$AJ$6</f>
        <v>JARINU-FRG43156MQ.GIROFREEZER (3)</v>
      </c>
      <c r="AK533" s="327">
        <f>IFERROR(SUMIF('BD Otimix'!A:A,'BD VOLUME'!AG533,'BD Otimix'!O:O)+SUMIF('BD Otimix'!A:A,'BD VOLUME'!AH533,'BD Otimix'!O:O)+SUMIF('BD Otimix'!A:A,'BD VOLUME'!AI533,'BD Otimix'!O:O)+SUMIF('BD Otimix'!A:A,'BD VOLUME'!AJ533,'BD Otimix'!O:O)+SUMIF('BD Otimix'!A:A,'BD VOLUME'!AF533,'BD Otimix'!O:O),0)</f>
        <v>0</v>
      </c>
      <c r="AL533" s="7">
        <f t="shared" si="145"/>
        <v>0</v>
      </c>
    </row>
    <row r="534" spans="1:38">
      <c r="A534" s="740">
        <v>221758</v>
      </c>
      <c r="B534" s="740" t="s">
        <v>3007</v>
      </c>
      <c r="C534" s="5" t="s">
        <v>3008</v>
      </c>
      <c r="D534" s="5" t="s">
        <v>868</v>
      </c>
      <c r="E534" s="5" t="s">
        <v>2410</v>
      </c>
      <c r="F534" s="132">
        <f>SUMIF('COLAR PLANO'!$A:$A,A534,'COLAR PLANO'!$D:$D)</f>
        <v>0</v>
      </c>
      <c r="G534" s="131">
        <f t="shared" si="173"/>
        <v>0</v>
      </c>
      <c r="H534" s="6">
        <v>0.14065243077485973</v>
      </c>
      <c r="I534" s="7">
        <f t="shared" si="169"/>
        <v>0</v>
      </c>
      <c r="J534" s="130">
        <f t="shared" si="175"/>
        <v>0</v>
      </c>
      <c r="K534" s="740">
        <v>1</v>
      </c>
      <c r="L534" s="740">
        <v>18</v>
      </c>
      <c r="M534" s="740">
        <v>18</v>
      </c>
      <c r="N534" s="7">
        <f t="shared" si="174"/>
        <v>0</v>
      </c>
      <c r="O534" s="7"/>
      <c r="P534" s="7">
        <f>IFERROR(G534/M534,0)</f>
        <v>0</v>
      </c>
      <c r="Q534" s="7"/>
      <c r="R534" s="7"/>
      <c r="S534" s="7"/>
      <c r="T534" s="7"/>
      <c r="U534" s="7" t="s">
        <v>2288</v>
      </c>
      <c r="V534" s="7" t="s">
        <v>2289</v>
      </c>
      <c r="W534" s="7" t="str">
        <f>Preencher!$B$3&amp;U534&amp;V534&amp;A534&amp;$W$6</f>
        <v>JARINU-FRG221758MQ.TUNEL DE CG (CONTINUO)</v>
      </c>
      <c r="X534" s="7" t="str">
        <f>Preencher!$B$3&amp;U534&amp;V534&amp;A534&amp;$X$6</f>
        <v>JARINU-FRG221758MQ.TUNEL DE CG (CONTINUO) (1)</v>
      </c>
      <c r="Y534" s="7" t="str">
        <f>Preencher!$B$3&amp;U534&amp;V534&amp;A534&amp;$Y$6</f>
        <v>JARINU-FRG221758MQ.TUNEL DE CG (CONTINUO) (2)</v>
      </c>
      <c r="Z534" s="7" t="str">
        <f>Preencher!$B$3&amp;U534&amp;V534&amp;A534&amp;$Z$6</f>
        <v>JARINU-FRG221758MQ.TUNEL DE CG (CONTINUO) (3)</v>
      </c>
      <c r="AA534" s="7" t="str">
        <f>Preencher!$B$3&amp;U534&amp;V534&amp;A534&amp;$AA$6</f>
        <v>JARINU-FRG221758MQ.TUNEL DE CG (ESTATICO)</v>
      </c>
      <c r="AB534" s="7" t="str">
        <f>Preencher!$B$3&amp;U534&amp;V534&amp;A534&amp;$AB$6</f>
        <v>JARINU-FRG221758MQ.TUNEL DE CG (ESTATICO) (1)</v>
      </c>
      <c r="AC534" s="7" t="str">
        <f>Preencher!$B$3&amp;U534&amp;V534&amp;A534&amp;$AC$6</f>
        <v>JARINU-FRG221758MQ.TUNEL DE CG (ESTATICO) (2)</v>
      </c>
      <c r="AD534" s="327">
        <f>IFERROR(SUMIF('BD Otimix'!A:A,'BD VOLUME'!X534,'BD Otimix'!O:O)+SUMIF('BD Otimix'!A:A,'BD VOLUME'!Y534,'BD Otimix'!O:O)+SUMIF('BD Otimix'!A:A,'BD VOLUME'!Z534,'BD Otimix'!O:O)+SUMIF('BD Otimix'!A:A,'BD VOLUME'!AA534,'BD Otimix'!O:O)+SUMIF('BD Otimix'!A:A,'BD VOLUME'!AB534,'BD Otimix'!O:O)+SUMIF('BD Otimix'!A:A,'BD VOLUME'!AC534,'BD Otimix'!O:O)+SUMIF('BD Otimix'!A:A,'BD VOLUME'!W534,'BD Otimix'!O:O),0)</f>
        <v>0</v>
      </c>
      <c r="AE534" s="327">
        <f t="shared" si="144"/>
        <v>0</v>
      </c>
      <c r="AF534" s="7" t="str">
        <f>Preencher!$B$3&amp;$U$8&amp;$V$8&amp;A534&amp;$AF$6</f>
        <v>JARINU-FRG221758MQ.GIROFREEZER</v>
      </c>
      <c r="AG534" s="7" t="str">
        <f>Preencher!$B$3&amp;$U$8&amp;$V$8&amp;A534&amp;$AG$6</f>
        <v>JARINU-FRG221758MQ.GIROFREEZER (1)</v>
      </c>
      <c r="AH534" s="7" t="str">
        <f>Preencher!$B$3&amp;$U$8&amp;$V$8&amp;A534&amp;$AH$6</f>
        <v>JARINU-FRG221758MQ.GIROFREEZER (2)</v>
      </c>
      <c r="AI534" s="7" t="str">
        <f>Preencher!$B$3&amp;$U$8&amp;$V$8&amp;A534&amp;$AI$6</f>
        <v>JARINU-FRG221758MQ.GIROFREEZER REV04</v>
      </c>
      <c r="AJ534" s="7" t="str">
        <f>Preencher!$B$3&amp;$U$8&amp;$V$8&amp;A534&amp;$AJ$6</f>
        <v>JARINU-FRG221758MQ.GIROFREEZER (3)</v>
      </c>
      <c r="AK534" s="327">
        <f>IFERROR(SUMIF('BD Otimix'!A:A,'BD VOLUME'!AG534,'BD Otimix'!O:O)+SUMIF('BD Otimix'!A:A,'BD VOLUME'!AH534,'BD Otimix'!O:O)+SUMIF('BD Otimix'!A:A,'BD VOLUME'!AI534,'BD Otimix'!O:O)+SUMIF('BD Otimix'!A:A,'BD VOLUME'!AJ534,'BD Otimix'!O:O)+SUMIF('BD Otimix'!A:A,'BD VOLUME'!AF534,'BD Otimix'!O:O),0)</f>
        <v>0</v>
      </c>
      <c r="AL534" s="7">
        <f t="shared" si="145"/>
        <v>0</v>
      </c>
    </row>
    <row r="535" spans="1:38">
      <c r="A535" s="740">
        <v>997006</v>
      </c>
      <c r="B535" s="740"/>
      <c r="C535" s="5" t="s">
        <v>2433</v>
      </c>
      <c r="D535" s="5" t="s">
        <v>868</v>
      </c>
      <c r="E535" s="5" t="s">
        <v>1734</v>
      </c>
      <c r="F535" s="132">
        <f>SUMIF('COLAR PLANO'!$A:$A,A535,'COLAR PLANO'!$D:$D)</f>
        <v>0</v>
      </c>
      <c r="G535" s="131">
        <f>IFERROR(F535/($E$3*$C$3),0)</f>
        <v>0</v>
      </c>
      <c r="H535" s="6">
        <v>0.24541238744251673</v>
      </c>
      <c r="I535" s="7">
        <f>IFERROR(G535/$D$3/H535,0)</f>
        <v>0</v>
      </c>
      <c r="J535" s="130">
        <f>IFERROR(I535/$B$472,0)</f>
        <v>0</v>
      </c>
      <c r="K535" s="740">
        <v>15</v>
      </c>
      <c r="L535" s="740">
        <v>1</v>
      </c>
      <c r="M535" s="740">
        <v>15</v>
      </c>
      <c r="N535" s="7">
        <f>IFERROR(G535/K535,"-")</f>
        <v>0</v>
      </c>
      <c r="O535" s="7"/>
      <c r="P535" s="7">
        <f>IFERROR(G535/M535,0)</f>
        <v>0</v>
      </c>
      <c r="Q535" s="7"/>
      <c r="R535" s="7"/>
      <c r="S535" s="7"/>
      <c r="T535" s="7"/>
      <c r="U535" s="7" t="s">
        <v>2288</v>
      </c>
      <c r="V535" s="7" t="s">
        <v>2289</v>
      </c>
      <c r="W535" s="7" t="str">
        <f>Preencher!$B$3&amp;U535&amp;V535&amp;A535&amp;$W$6</f>
        <v>JARINU-FRG997006MQ.TUNEL DE CG (CONTINUO)</v>
      </c>
      <c r="X535" s="7" t="str">
        <f>Preencher!$B$3&amp;U535&amp;V535&amp;A535&amp;$X$6</f>
        <v>JARINU-FRG997006MQ.TUNEL DE CG (CONTINUO) (1)</v>
      </c>
      <c r="Y535" s="7" t="str">
        <f>Preencher!$B$3&amp;U535&amp;V535&amp;A535&amp;$Y$6</f>
        <v>JARINU-FRG997006MQ.TUNEL DE CG (CONTINUO) (2)</v>
      </c>
      <c r="Z535" s="7" t="str">
        <f>Preencher!$B$3&amp;U535&amp;V535&amp;A535&amp;$Z$6</f>
        <v>JARINU-FRG997006MQ.TUNEL DE CG (CONTINUO) (3)</v>
      </c>
      <c r="AA535" s="7" t="str">
        <f>Preencher!$B$3&amp;U535&amp;V535&amp;A535&amp;$AA$6</f>
        <v>JARINU-FRG997006MQ.TUNEL DE CG (ESTATICO)</v>
      </c>
      <c r="AB535" s="7" t="str">
        <f>Preencher!$B$3&amp;U535&amp;V535&amp;A535&amp;$AB$6</f>
        <v>JARINU-FRG997006MQ.TUNEL DE CG (ESTATICO) (1)</v>
      </c>
      <c r="AC535" s="7" t="str">
        <f>Preencher!$B$3&amp;U535&amp;V535&amp;A535&amp;$AC$6</f>
        <v>JARINU-FRG997006MQ.TUNEL DE CG (ESTATICO) (2)</v>
      </c>
      <c r="AD535" s="327">
        <f>IFERROR(SUMIF('BD Otimix'!A:A,'BD VOLUME'!X535,'BD Otimix'!O:O)+SUMIF('BD Otimix'!A:A,'BD VOLUME'!Y535,'BD Otimix'!O:O)+SUMIF('BD Otimix'!A:A,'BD VOLUME'!Z535,'BD Otimix'!O:O)+SUMIF('BD Otimix'!A:A,'BD VOLUME'!AA535,'BD Otimix'!O:O)+SUMIF('BD Otimix'!A:A,'BD VOLUME'!AB535,'BD Otimix'!O:O)+SUMIF('BD Otimix'!A:A,'BD VOLUME'!AC535,'BD Otimix'!O:O)+SUMIF('BD Otimix'!A:A,'BD VOLUME'!W535,'BD Otimix'!O:O),0)</f>
        <v>0</v>
      </c>
      <c r="AE535" s="327">
        <f>IFERROR(F535/$E$3/1000/AD535,0)</f>
        <v>0</v>
      </c>
      <c r="AF535" s="7" t="str">
        <f>Preencher!$B$3&amp;$U$8&amp;$V$8&amp;A535&amp;$AF$6</f>
        <v>JARINU-FRG997006MQ.GIROFREEZER</v>
      </c>
      <c r="AG535" s="7" t="str">
        <f>Preencher!$B$3&amp;$U$8&amp;$V$8&amp;A535&amp;$AG$6</f>
        <v>JARINU-FRG997006MQ.GIROFREEZER (1)</v>
      </c>
      <c r="AH535" s="7" t="str">
        <f>Preencher!$B$3&amp;$U$8&amp;$V$8&amp;A535&amp;$AH$6</f>
        <v>JARINU-FRG997006MQ.GIROFREEZER (2)</v>
      </c>
      <c r="AI535" s="7" t="str">
        <f>Preencher!$B$3&amp;$U$8&amp;$V$8&amp;A535&amp;$AI$6</f>
        <v>JARINU-FRG997006MQ.GIROFREEZER REV04</v>
      </c>
      <c r="AJ535" s="7" t="str">
        <f>Preencher!$B$3&amp;$U$8&amp;$V$8&amp;A535&amp;$AJ$6</f>
        <v>JARINU-FRG997006MQ.GIROFREEZER (3)</v>
      </c>
      <c r="AK535" s="327">
        <f>IFERROR(SUMIF('BD Otimix'!A:A,'BD VOLUME'!AG535,'BD Otimix'!O:O)+SUMIF('BD Otimix'!A:A,'BD VOLUME'!AH535,'BD Otimix'!O:O)+SUMIF('BD Otimix'!A:A,'BD VOLUME'!AI535,'BD Otimix'!O:O)+SUMIF('BD Otimix'!A:A,'BD VOLUME'!AJ535,'BD Otimix'!O:O)+SUMIF('BD Otimix'!A:A,'BD VOLUME'!AF535,'BD Otimix'!O:O),0)</f>
        <v>0</v>
      </c>
      <c r="AL535" s="7">
        <f>IFERROR(F535/$E$3/1000/AK535,0)</f>
        <v>0</v>
      </c>
    </row>
    <row r="536" spans="1:38">
      <c r="A536" s="647">
        <v>44377</v>
      </c>
      <c r="B536" s="647"/>
      <c r="C536" s="5" t="s">
        <v>3124</v>
      </c>
      <c r="D536" s="5" t="s">
        <v>868</v>
      </c>
      <c r="E536" s="5" t="s">
        <v>1734</v>
      </c>
      <c r="F536" s="132">
        <f>SUMIF('COLAR PLANO'!$A:$A,A536,'COLAR PLANO'!$D:$D)</f>
        <v>0</v>
      </c>
      <c r="G536" s="131">
        <f t="shared" si="173"/>
        <v>0</v>
      </c>
      <c r="H536" s="6">
        <v>0.24541238744251673</v>
      </c>
      <c r="I536" s="7">
        <f t="shared" si="169"/>
        <v>0</v>
      </c>
      <c r="J536" s="130">
        <f t="shared" si="175"/>
        <v>0</v>
      </c>
      <c r="K536" s="647">
        <v>15</v>
      </c>
      <c r="L536" s="647">
        <v>1</v>
      </c>
      <c r="M536" s="647">
        <v>15</v>
      </c>
      <c r="N536" s="7">
        <f t="shared" si="174"/>
        <v>0</v>
      </c>
      <c r="O536" s="7"/>
      <c r="P536" s="7">
        <f t="shared" si="176"/>
        <v>0</v>
      </c>
      <c r="Q536" s="7"/>
      <c r="R536" s="7"/>
      <c r="S536" s="7"/>
      <c r="T536" s="7"/>
      <c r="U536" s="7" t="s">
        <v>2288</v>
      </c>
      <c r="V536" s="7" t="s">
        <v>2289</v>
      </c>
      <c r="W536" s="7" t="str">
        <f>Preencher!$B$3&amp;U536&amp;V536&amp;A536&amp;$W$6</f>
        <v>JARINU-FRG44377MQ.TUNEL DE CG (CONTINUO)</v>
      </c>
      <c r="X536" s="7" t="str">
        <f>Preencher!$B$3&amp;U536&amp;V536&amp;A536&amp;$X$6</f>
        <v>JARINU-FRG44377MQ.TUNEL DE CG (CONTINUO) (1)</v>
      </c>
      <c r="Y536" s="7" t="str">
        <f>Preencher!$B$3&amp;U536&amp;V536&amp;A536&amp;$Y$6</f>
        <v>JARINU-FRG44377MQ.TUNEL DE CG (CONTINUO) (2)</v>
      </c>
      <c r="Z536" s="7" t="str">
        <f>Preencher!$B$3&amp;U536&amp;V536&amp;A536&amp;$Z$6</f>
        <v>JARINU-FRG44377MQ.TUNEL DE CG (CONTINUO) (3)</v>
      </c>
      <c r="AA536" s="7" t="str">
        <f>Preencher!$B$3&amp;U536&amp;V536&amp;A536&amp;$AA$6</f>
        <v>JARINU-FRG44377MQ.TUNEL DE CG (ESTATICO)</v>
      </c>
      <c r="AB536" s="7" t="str">
        <f>Preencher!$B$3&amp;U536&amp;V536&amp;A536&amp;$AB$6</f>
        <v>JARINU-FRG44377MQ.TUNEL DE CG (ESTATICO) (1)</v>
      </c>
      <c r="AC536" s="7" t="str">
        <f>Preencher!$B$3&amp;U536&amp;V536&amp;A536&amp;$AC$6</f>
        <v>JARINU-FRG44377MQ.TUNEL DE CG (ESTATICO) (2)</v>
      </c>
      <c r="AD536" s="327">
        <f>IFERROR(SUMIF('BD Otimix'!A:A,'BD VOLUME'!X536,'BD Otimix'!O:O)+SUMIF('BD Otimix'!A:A,'BD VOLUME'!Y536,'BD Otimix'!O:O)+SUMIF('BD Otimix'!A:A,'BD VOLUME'!Z536,'BD Otimix'!O:O)+SUMIF('BD Otimix'!A:A,'BD VOLUME'!AA536,'BD Otimix'!O:O)+SUMIF('BD Otimix'!A:A,'BD VOLUME'!AB536,'BD Otimix'!O:O)+SUMIF('BD Otimix'!A:A,'BD VOLUME'!AC536,'BD Otimix'!O:O)+SUMIF('BD Otimix'!A:A,'BD VOLUME'!W536,'BD Otimix'!O:O),0)</f>
        <v>0</v>
      </c>
      <c r="AE536" s="327">
        <f t="shared" si="144"/>
        <v>0</v>
      </c>
      <c r="AF536" s="7" t="str">
        <f>Preencher!$B$3&amp;$U$8&amp;$V$8&amp;A536&amp;$AF$6</f>
        <v>JARINU-FRG44377MQ.GIROFREEZER</v>
      </c>
      <c r="AG536" s="7" t="str">
        <f>Preencher!$B$3&amp;$U$8&amp;$V$8&amp;A536&amp;$AG$6</f>
        <v>JARINU-FRG44377MQ.GIROFREEZER (1)</v>
      </c>
      <c r="AH536" s="7" t="str">
        <f>Preencher!$B$3&amp;$U$8&amp;$V$8&amp;A536&amp;$AH$6</f>
        <v>JARINU-FRG44377MQ.GIROFREEZER (2)</v>
      </c>
      <c r="AI536" s="7" t="str">
        <f>Preencher!$B$3&amp;$U$8&amp;$V$8&amp;A536&amp;$AI$6</f>
        <v>JARINU-FRG44377MQ.GIROFREEZER REV04</v>
      </c>
      <c r="AJ536" s="7" t="str">
        <f>Preencher!$B$3&amp;$U$8&amp;$V$8&amp;A536&amp;$AJ$6</f>
        <v>JARINU-FRG44377MQ.GIROFREEZER (3)</v>
      </c>
      <c r="AK536" s="327">
        <f>IFERROR(SUMIF('BD Otimix'!A:A,'BD VOLUME'!AG536,'BD Otimix'!O:O)+SUMIF('BD Otimix'!A:A,'BD VOLUME'!AH536,'BD Otimix'!O:O)+SUMIF('BD Otimix'!A:A,'BD VOLUME'!AI536,'BD Otimix'!O:O)+SUMIF('BD Otimix'!A:A,'BD VOLUME'!AJ536,'BD Otimix'!O:O)+SUMIF('BD Otimix'!A:A,'BD VOLUME'!AF536,'BD Otimix'!O:O),0)</f>
        <v>0</v>
      </c>
      <c r="AL536" s="7">
        <f t="shared" si="145"/>
        <v>0</v>
      </c>
    </row>
    <row r="537" spans="1:38">
      <c r="A537" s="647">
        <v>213339</v>
      </c>
      <c r="B537" s="647"/>
      <c r="C537" s="5" t="s">
        <v>2433</v>
      </c>
      <c r="D537" s="5" t="s">
        <v>868</v>
      </c>
      <c r="E537" s="5" t="s">
        <v>1733</v>
      </c>
      <c r="F537" s="132">
        <f>SUMIF('COLAR PLANO'!$A:$A,A537,'COLAR PLANO'!$D:$D)</f>
        <v>0</v>
      </c>
      <c r="G537" s="131">
        <f t="shared" si="173"/>
        <v>0</v>
      </c>
      <c r="H537" s="6">
        <v>0.24541238744251673</v>
      </c>
      <c r="I537" s="7">
        <f t="shared" si="169"/>
        <v>0</v>
      </c>
      <c r="J537" s="130">
        <f t="shared" si="175"/>
        <v>0</v>
      </c>
      <c r="K537" s="647">
        <v>10</v>
      </c>
      <c r="L537" s="647">
        <v>1</v>
      </c>
      <c r="M537" s="647">
        <v>10</v>
      </c>
      <c r="N537" s="7">
        <f t="shared" si="174"/>
        <v>0</v>
      </c>
      <c r="O537" s="7"/>
      <c r="P537" s="7">
        <f t="shared" si="176"/>
        <v>0</v>
      </c>
      <c r="Q537" s="7"/>
      <c r="R537" s="7"/>
      <c r="S537" s="7"/>
      <c r="T537" s="7"/>
      <c r="U537" s="7" t="s">
        <v>2288</v>
      </c>
      <c r="V537" s="7" t="s">
        <v>2289</v>
      </c>
      <c r="W537" s="7" t="str">
        <f>Preencher!$B$3&amp;U537&amp;V537&amp;A537&amp;$W$6</f>
        <v>JARINU-FRG213339MQ.TUNEL DE CG (CONTINUO)</v>
      </c>
      <c r="X537" s="7" t="str">
        <f>Preencher!$B$3&amp;U537&amp;V537&amp;A537&amp;$X$6</f>
        <v>JARINU-FRG213339MQ.TUNEL DE CG (CONTINUO) (1)</v>
      </c>
      <c r="Y537" s="7" t="str">
        <f>Preencher!$B$3&amp;U537&amp;V537&amp;A537&amp;$Y$6</f>
        <v>JARINU-FRG213339MQ.TUNEL DE CG (CONTINUO) (2)</v>
      </c>
      <c r="Z537" s="7" t="str">
        <f>Preencher!$B$3&amp;U537&amp;V537&amp;A537&amp;$Z$6</f>
        <v>JARINU-FRG213339MQ.TUNEL DE CG (CONTINUO) (3)</v>
      </c>
      <c r="AA537" s="7" t="str">
        <f>Preencher!$B$3&amp;U537&amp;V537&amp;A537&amp;$AA$6</f>
        <v>JARINU-FRG213339MQ.TUNEL DE CG (ESTATICO)</v>
      </c>
      <c r="AB537" s="7" t="str">
        <f>Preencher!$B$3&amp;U537&amp;V537&amp;A537&amp;$AB$6</f>
        <v>JARINU-FRG213339MQ.TUNEL DE CG (ESTATICO) (1)</v>
      </c>
      <c r="AC537" s="7" t="str">
        <f>Preencher!$B$3&amp;U537&amp;V537&amp;A537&amp;$AC$6</f>
        <v>JARINU-FRG213339MQ.TUNEL DE CG (ESTATICO) (2)</v>
      </c>
      <c r="AD537" s="327">
        <f>IFERROR(SUMIF('BD Otimix'!A:A,'BD VOLUME'!X537,'BD Otimix'!O:O)+SUMIF('BD Otimix'!A:A,'BD VOLUME'!Y537,'BD Otimix'!O:O)+SUMIF('BD Otimix'!A:A,'BD VOLUME'!Z537,'BD Otimix'!O:O)+SUMIF('BD Otimix'!A:A,'BD VOLUME'!AA537,'BD Otimix'!O:O)+SUMIF('BD Otimix'!A:A,'BD VOLUME'!AB537,'BD Otimix'!O:O)+SUMIF('BD Otimix'!A:A,'BD VOLUME'!AC537,'BD Otimix'!O:O)+SUMIF('BD Otimix'!A:A,'BD VOLUME'!W537,'BD Otimix'!O:O),0)</f>
        <v>0</v>
      </c>
      <c r="AE537" s="327">
        <f t="shared" si="144"/>
        <v>0</v>
      </c>
      <c r="AF537" s="7" t="str">
        <f>Preencher!$B$3&amp;$U$8&amp;$V$8&amp;A537&amp;$AF$6</f>
        <v>JARINU-FRG213339MQ.GIROFREEZER</v>
      </c>
      <c r="AG537" s="7" t="str">
        <f>Preencher!$B$3&amp;$U$8&amp;$V$8&amp;A537&amp;$AG$6</f>
        <v>JARINU-FRG213339MQ.GIROFREEZER (1)</v>
      </c>
      <c r="AH537" s="7" t="str">
        <f>Preencher!$B$3&amp;$U$8&amp;$V$8&amp;A537&amp;$AH$6</f>
        <v>JARINU-FRG213339MQ.GIROFREEZER (2)</v>
      </c>
      <c r="AI537" s="7" t="str">
        <f>Preencher!$B$3&amp;$U$8&amp;$V$8&amp;A537&amp;$AI$6</f>
        <v>JARINU-FRG213339MQ.GIROFREEZER REV04</v>
      </c>
      <c r="AJ537" s="7" t="str">
        <f>Preencher!$B$3&amp;$U$8&amp;$V$8&amp;A537&amp;$AJ$6</f>
        <v>JARINU-FRG213339MQ.GIROFREEZER (3)</v>
      </c>
      <c r="AK537" s="327">
        <f>IFERROR(SUMIF('BD Otimix'!A:A,'BD VOLUME'!AG537,'BD Otimix'!O:O)+SUMIF('BD Otimix'!A:A,'BD VOLUME'!AH537,'BD Otimix'!O:O)+SUMIF('BD Otimix'!A:A,'BD VOLUME'!AI537,'BD Otimix'!O:O)+SUMIF('BD Otimix'!A:A,'BD VOLUME'!AJ537,'BD Otimix'!O:O)+SUMIF('BD Otimix'!A:A,'BD VOLUME'!AF537,'BD Otimix'!O:O),0)</f>
        <v>0</v>
      </c>
      <c r="AL537" s="7">
        <f t="shared" si="145"/>
        <v>0</v>
      </c>
    </row>
    <row r="538" spans="1:38">
      <c r="A538" s="647">
        <v>929905</v>
      </c>
      <c r="B538" s="647">
        <v>929905</v>
      </c>
      <c r="C538" s="5" t="s">
        <v>3185</v>
      </c>
      <c r="D538" s="5" t="s">
        <v>868</v>
      </c>
      <c r="E538" s="5" t="s">
        <v>988</v>
      </c>
      <c r="F538" s="132">
        <f>SUMIF('COLAR PLANO'!$A:$A,A538,'COLAR PLANO'!$D:$D)</f>
        <v>0</v>
      </c>
      <c r="G538" s="131">
        <f t="shared" si="173"/>
        <v>0</v>
      </c>
      <c r="H538" s="6">
        <v>0.24541238744251673</v>
      </c>
      <c r="I538" s="7">
        <f t="shared" si="169"/>
        <v>0</v>
      </c>
      <c r="J538" s="130">
        <f t="shared" si="175"/>
        <v>0</v>
      </c>
      <c r="K538" s="647">
        <v>1</v>
      </c>
      <c r="L538" s="647">
        <v>18</v>
      </c>
      <c r="M538" s="647">
        <v>18</v>
      </c>
      <c r="N538" s="7">
        <f t="shared" si="174"/>
        <v>0</v>
      </c>
      <c r="O538" s="7"/>
      <c r="P538" s="7">
        <f t="shared" si="176"/>
        <v>0</v>
      </c>
      <c r="Q538" s="7"/>
      <c r="R538" s="7"/>
      <c r="S538" s="7"/>
      <c r="T538" s="7"/>
      <c r="U538" s="7" t="s">
        <v>2288</v>
      </c>
      <c r="V538" s="7" t="s">
        <v>2289</v>
      </c>
      <c r="W538" s="7" t="str">
        <f>Preencher!$B$3&amp;U538&amp;V538&amp;A538&amp;$W$6</f>
        <v>JARINU-FRG929905MQ.TUNEL DE CG (CONTINUO)</v>
      </c>
      <c r="X538" s="7" t="str">
        <f>Preencher!$B$3&amp;U538&amp;V538&amp;A538&amp;$X$6</f>
        <v>JARINU-FRG929905MQ.TUNEL DE CG (CONTINUO) (1)</v>
      </c>
      <c r="Y538" s="7" t="str">
        <f>Preencher!$B$3&amp;U538&amp;V538&amp;A538&amp;$Y$6</f>
        <v>JARINU-FRG929905MQ.TUNEL DE CG (CONTINUO) (2)</v>
      </c>
      <c r="Z538" s="7" t="str">
        <f>Preencher!$B$3&amp;U538&amp;V538&amp;A538&amp;$Z$6</f>
        <v>JARINU-FRG929905MQ.TUNEL DE CG (CONTINUO) (3)</v>
      </c>
      <c r="AA538" s="7" t="str">
        <f>Preencher!$B$3&amp;U538&amp;V538&amp;A538&amp;$AA$6</f>
        <v>JARINU-FRG929905MQ.TUNEL DE CG (ESTATICO)</v>
      </c>
      <c r="AB538" s="7" t="str">
        <f>Preencher!$B$3&amp;U538&amp;V538&amp;A538&amp;$AB$6</f>
        <v>JARINU-FRG929905MQ.TUNEL DE CG (ESTATICO) (1)</v>
      </c>
      <c r="AC538" s="7" t="str">
        <f>Preencher!$B$3&amp;U538&amp;V538&amp;A538&amp;$AC$6</f>
        <v>JARINU-FRG929905MQ.TUNEL DE CG (ESTATICO) (2)</v>
      </c>
      <c r="AD538" s="327">
        <f>IFERROR(SUMIF('BD Otimix'!A:A,'BD VOLUME'!X538,'BD Otimix'!O:O)+SUMIF('BD Otimix'!A:A,'BD VOLUME'!Y538,'BD Otimix'!O:O)+SUMIF('BD Otimix'!A:A,'BD VOLUME'!Z538,'BD Otimix'!O:O)+SUMIF('BD Otimix'!A:A,'BD VOLUME'!AA538,'BD Otimix'!O:O)+SUMIF('BD Otimix'!A:A,'BD VOLUME'!AB538,'BD Otimix'!O:O)+SUMIF('BD Otimix'!A:A,'BD VOLUME'!AC538,'BD Otimix'!O:O)+SUMIF('BD Otimix'!A:A,'BD VOLUME'!W538,'BD Otimix'!O:O),0)</f>
        <v>0</v>
      </c>
      <c r="AE538" s="327">
        <f t="shared" si="144"/>
        <v>0</v>
      </c>
      <c r="AF538" s="7" t="str">
        <f>Preencher!$B$3&amp;$U$8&amp;$V$8&amp;A538&amp;$AF$6</f>
        <v>JARINU-FRG929905MQ.GIROFREEZER</v>
      </c>
      <c r="AG538" s="7" t="str">
        <f>Preencher!$B$3&amp;$U$8&amp;$V$8&amp;A538&amp;$AG$6</f>
        <v>JARINU-FRG929905MQ.GIROFREEZER (1)</v>
      </c>
      <c r="AH538" s="7" t="str">
        <f>Preencher!$B$3&amp;$U$8&amp;$V$8&amp;A538&amp;$AH$6</f>
        <v>JARINU-FRG929905MQ.GIROFREEZER (2)</v>
      </c>
      <c r="AI538" s="7" t="str">
        <f>Preencher!$B$3&amp;$U$8&amp;$V$8&amp;A538&amp;$AI$6</f>
        <v>JARINU-FRG929905MQ.GIROFREEZER REV04</v>
      </c>
      <c r="AJ538" s="7" t="str">
        <f>Preencher!$B$3&amp;$U$8&amp;$V$8&amp;A538&amp;$AJ$6</f>
        <v>JARINU-FRG929905MQ.GIROFREEZER (3)</v>
      </c>
      <c r="AK538" s="327">
        <f>IFERROR(SUMIF('BD Otimix'!A:A,'BD VOLUME'!AG538,'BD Otimix'!O:O)+SUMIF('BD Otimix'!A:A,'BD VOLUME'!AH538,'BD Otimix'!O:O)+SUMIF('BD Otimix'!A:A,'BD VOLUME'!AI538,'BD Otimix'!O:O)+SUMIF('BD Otimix'!A:A,'BD VOLUME'!AJ538,'BD Otimix'!O:O)+SUMIF('BD Otimix'!A:A,'BD VOLUME'!AF538,'BD Otimix'!O:O),0)</f>
        <v>0</v>
      </c>
      <c r="AL538" s="7">
        <f t="shared" si="145"/>
        <v>0</v>
      </c>
    </row>
    <row r="539" spans="1:38">
      <c r="A539" s="647">
        <v>962236</v>
      </c>
      <c r="B539" s="647"/>
      <c r="C539" s="5" t="s">
        <v>1680</v>
      </c>
      <c r="D539" s="5" t="s">
        <v>868</v>
      </c>
      <c r="E539" s="5" t="s">
        <v>988</v>
      </c>
      <c r="F539" s="132">
        <f>SUMIF('COLAR PLANO'!$A:$A,A539,'COLAR PLANO'!$D:$D)</f>
        <v>0</v>
      </c>
      <c r="G539" s="131">
        <f t="shared" si="173"/>
        <v>0</v>
      </c>
      <c r="H539" s="6">
        <v>0.24541238744251673</v>
      </c>
      <c r="I539" s="7">
        <f t="shared" si="169"/>
        <v>0</v>
      </c>
      <c r="J539" s="130">
        <f t="shared" si="175"/>
        <v>0</v>
      </c>
      <c r="K539" s="647">
        <v>1</v>
      </c>
      <c r="L539" s="647">
        <v>18</v>
      </c>
      <c r="M539" s="647">
        <v>18</v>
      </c>
      <c r="N539" s="7">
        <f t="shared" si="174"/>
        <v>0</v>
      </c>
      <c r="O539" s="7"/>
      <c r="P539" s="7">
        <f t="shared" si="176"/>
        <v>0</v>
      </c>
      <c r="Q539" s="7"/>
      <c r="R539" s="7"/>
      <c r="S539" s="7"/>
      <c r="T539" s="7"/>
      <c r="U539" s="7" t="s">
        <v>2288</v>
      </c>
      <c r="V539" s="7" t="s">
        <v>2289</v>
      </c>
      <c r="W539" s="7" t="str">
        <f>Preencher!$B$3&amp;U539&amp;V539&amp;A539&amp;$W$6</f>
        <v>JARINU-FRG962236MQ.TUNEL DE CG (CONTINUO)</v>
      </c>
      <c r="X539" s="7" t="str">
        <f>Preencher!$B$3&amp;U539&amp;V539&amp;A539&amp;$X$6</f>
        <v>JARINU-FRG962236MQ.TUNEL DE CG (CONTINUO) (1)</v>
      </c>
      <c r="Y539" s="7" t="str">
        <f>Preencher!$B$3&amp;U539&amp;V539&amp;A539&amp;$Y$6</f>
        <v>JARINU-FRG962236MQ.TUNEL DE CG (CONTINUO) (2)</v>
      </c>
      <c r="Z539" s="7" t="str">
        <f>Preencher!$B$3&amp;U539&amp;V539&amp;A539&amp;$Z$6</f>
        <v>JARINU-FRG962236MQ.TUNEL DE CG (CONTINUO) (3)</v>
      </c>
      <c r="AA539" s="7" t="str">
        <f>Preencher!$B$3&amp;U539&amp;V539&amp;A539&amp;$AA$6</f>
        <v>JARINU-FRG962236MQ.TUNEL DE CG (ESTATICO)</v>
      </c>
      <c r="AB539" s="7" t="str">
        <f>Preencher!$B$3&amp;U539&amp;V539&amp;A539&amp;$AB$6</f>
        <v>JARINU-FRG962236MQ.TUNEL DE CG (ESTATICO) (1)</v>
      </c>
      <c r="AC539" s="7" t="str">
        <f>Preencher!$B$3&amp;U539&amp;V539&amp;A539&amp;$AC$6</f>
        <v>JARINU-FRG962236MQ.TUNEL DE CG (ESTATICO) (2)</v>
      </c>
      <c r="AD539" s="327">
        <f>IFERROR(SUMIF('BD Otimix'!A:A,'BD VOLUME'!X539,'BD Otimix'!O:O)+SUMIF('BD Otimix'!A:A,'BD VOLUME'!Y539,'BD Otimix'!O:O)+SUMIF('BD Otimix'!A:A,'BD VOLUME'!Z539,'BD Otimix'!O:O)+SUMIF('BD Otimix'!A:A,'BD VOLUME'!AA539,'BD Otimix'!O:O)+SUMIF('BD Otimix'!A:A,'BD VOLUME'!AB539,'BD Otimix'!O:O)+SUMIF('BD Otimix'!A:A,'BD VOLUME'!AC539,'BD Otimix'!O:O)+SUMIF('BD Otimix'!A:A,'BD VOLUME'!W539,'BD Otimix'!O:O),0)</f>
        <v>0</v>
      </c>
      <c r="AE539" s="327">
        <f t="shared" si="144"/>
        <v>0</v>
      </c>
      <c r="AF539" s="7" t="str">
        <f>Preencher!$B$3&amp;$U$8&amp;$V$8&amp;A539&amp;$AF$6</f>
        <v>JARINU-FRG962236MQ.GIROFREEZER</v>
      </c>
      <c r="AG539" s="7" t="str">
        <f>Preencher!$B$3&amp;$U$8&amp;$V$8&amp;A539&amp;$AG$6</f>
        <v>JARINU-FRG962236MQ.GIROFREEZER (1)</v>
      </c>
      <c r="AH539" s="7" t="str">
        <f>Preencher!$B$3&amp;$U$8&amp;$V$8&amp;A539&amp;$AH$6</f>
        <v>JARINU-FRG962236MQ.GIROFREEZER (2)</v>
      </c>
      <c r="AI539" s="7" t="str">
        <f>Preencher!$B$3&amp;$U$8&amp;$V$8&amp;A539&amp;$AI$6</f>
        <v>JARINU-FRG962236MQ.GIROFREEZER REV04</v>
      </c>
      <c r="AJ539" s="7" t="str">
        <f>Preencher!$B$3&amp;$U$8&amp;$V$8&amp;A539&amp;$AJ$6</f>
        <v>JARINU-FRG962236MQ.GIROFREEZER (3)</v>
      </c>
      <c r="AK539" s="327">
        <f>IFERROR(SUMIF('BD Otimix'!A:A,'BD VOLUME'!AG539,'BD Otimix'!O:O)+SUMIF('BD Otimix'!A:A,'BD VOLUME'!AH539,'BD Otimix'!O:O)+SUMIF('BD Otimix'!A:A,'BD VOLUME'!AI539,'BD Otimix'!O:O)+SUMIF('BD Otimix'!A:A,'BD VOLUME'!AJ539,'BD Otimix'!O:O)+SUMIF('BD Otimix'!A:A,'BD VOLUME'!AF539,'BD Otimix'!O:O),0)</f>
        <v>0</v>
      </c>
      <c r="AL539" s="7">
        <f t="shared" si="145"/>
        <v>0</v>
      </c>
    </row>
    <row r="540" spans="1:38">
      <c r="A540" s="253">
        <v>998042</v>
      </c>
      <c r="B540" s="253"/>
      <c r="C540" s="5" t="s">
        <v>3114</v>
      </c>
      <c r="D540" s="5" t="s">
        <v>868</v>
      </c>
      <c r="E540" s="5" t="s">
        <v>2399</v>
      </c>
      <c r="F540" s="132">
        <f>SUMIF('COLAR PLANO'!$A:$A,A540,'COLAR PLANO'!$D:$D)</f>
        <v>0</v>
      </c>
      <c r="G540" s="131">
        <f>IFERROR(F540/($E$3*$C$3),0)</f>
        <v>0</v>
      </c>
      <c r="H540" s="6">
        <v>0.17199999999999999</v>
      </c>
      <c r="I540" s="7">
        <f>IFERROR(G540/$D$3/H540,0)</f>
        <v>0</v>
      </c>
      <c r="J540" s="130">
        <f t="shared" si="175"/>
        <v>0</v>
      </c>
      <c r="K540" s="651">
        <v>1</v>
      </c>
      <c r="L540" s="651">
        <v>12</v>
      </c>
      <c r="M540" s="651">
        <v>12</v>
      </c>
      <c r="N540" s="7">
        <f>IFERROR(G540/K540,"-")</f>
        <v>0</v>
      </c>
      <c r="O540" s="7"/>
      <c r="P540" s="7">
        <f t="shared" si="176"/>
        <v>0</v>
      </c>
      <c r="Q540" s="7"/>
      <c r="R540" s="7"/>
      <c r="S540" s="7"/>
      <c r="T540" s="7"/>
      <c r="U540" s="7" t="s">
        <v>2288</v>
      </c>
      <c r="V540" s="7" t="s">
        <v>2289</v>
      </c>
      <c r="W540" s="7" t="str">
        <f>Preencher!$B$3&amp;U540&amp;V540&amp;A540&amp;$W$6</f>
        <v>JARINU-FRG998042MQ.TUNEL DE CG (CONTINUO)</v>
      </c>
      <c r="X540" s="7" t="str">
        <f>Preencher!$B$3&amp;U540&amp;V540&amp;A540&amp;$X$6</f>
        <v>JARINU-FRG998042MQ.TUNEL DE CG (CONTINUO) (1)</v>
      </c>
      <c r="Y540" s="7" t="str">
        <f>Preencher!$B$3&amp;U540&amp;V540&amp;A540&amp;$Y$6</f>
        <v>JARINU-FRG998042MQ.TUNEL DE CG (CONTINUO) (2)</v>
      </c>
      <c r="Z540" s="7" t="str">
        <f>Preencher!$B$3&amp;U540&amp;V540&amp;A540&amp;$Z$6</f>
        <v>JARINU-FRG998042MQ.TUNEL DE CG (CONTINUO) (3)</v>
      </c>
      <c r="AA540" s="7" t="str">
        <f>Preencher!$B$3&amp;U540&amp;V540&amp;A540&amp;$AA$6</f>
        <v>JARINU-FRG998042MQ.TUNEL DE CG (ESTATICO)</v>
      </c>
      <c r="AB540" s="7" t="str">
        <f>Preencher!$B$3&amp;U540&amp;V540&amp;A540&amp;$AB$6</f>
        <v>JARINU-FRG998042MQ.TUNEL DE CG (ESTATICO) (1)</v>
      </c>
      <c r="AC540" s="7" t="str">
        <f>Preencher!$B$3&amp;U540&amp;V540&amp;A540&amp;$AC$6</f>
        <v>JARINU-FRG998042MQ.TUNEL DE CG (ESTATICO) (2)</v>
      </c>
      <c r="AD540" s="327">
        <f>IFERROR(SUMIF('BD Otimix'!A:A,'BD VOLUME'!X540,'BD Otimix'!O:O)+SUMIF('BD Otimix'!A:A,'BD VOLUME'!Y540,'BD Otimix'!O:O)+SUMIF('BD Otimix'!A:A,'BD VOLUME'!Z540,'BD Otimix'!O:O)+SUMIF('BD Otimix'!A:A,'BD VOLUME'!AA540,'BD Otimix'!O:O)+SUMIF('BD Otimix'!A:A,'BD VOLUME'!AB540,'BD Otimix'!O:O)+SUMIF('BD Otimix'!A:A,'BD VOLUME'!AC540,'BD Otimix'!O:O)+SUMIF('BD Otimix'!A:A,'BD VOLUME'!W540,'BD Otimix'!O:O),0)</f>
        <v>0</v>
      </c>
      <c r="AE540" s="327">
        <f t="shared" si="144"/>
        <v>0</v>
      </c>
      <c r="AF540" s="7" t="str">
        <f>Preencher!$B$3&amp;$U$8&amp;$V$8&amp;A540&amp;$AF$6</f>
        <v>JARINU-FRG998042MQ.GIROFREEZER</v>
      </c>
      <c r="AG540" s="7" t="str">
        <f>Preencher!$B$3&amp;$U$8&amp;$V$8&amp;A540&amp;$AG$6</f>
        <v>JARINU-FRG998042MQ.GIROFREEZER (1)</v>
      </c>
      <c r="AH540" s="7" t="str">
        <f>Preencher!$B$3&amp;$U$8&amp;$V$8&amp;A540&amp;$AH$6</f>
        <v>JARINU-FRG998042MQ.GIROFREEZER (2)</v>
      </c>
      <c r="AI540" s="7" t="str">
        <f>Preencher!$B$3&amp;$U$8&amp;$V$8&amp;A540&amp;$AI$6</f>
        <v>JARINU-FRG998042MQ.GIROFREEZER REV04</v>
      </c>
      <c r="AJ540" s="7" t="str">
        <f>Preencher!$B$3&amp;$U$8&amp;$V$8&amp;A540&amp;$AJ$6</f>
        <v>JARINU-FRG998042MQ.GIROFREEZER (3)</v>
      </c>
      <c r="AK540" s="327">
        <f>IFERROR(SUMIF('BD Otimix'!A:A,'BD VOLUME'!AG540,'BD Otimix'!O:O)+SUMIF('BD Otimix'!A:A,'BD VOLUME'!AH540,'BD Otimix'!O:O)+SUMIF('BD Otimix'!A:A,'BD VOLUME'!AI540,'BD Otimix'!O:O)+SUMIF('BD Otimix'!A:A,'BD VOLUME'!AJ540,'BD Otimix'!O:O)+SUMIF('BD Otimix'!A:A,'BD VOLUME'!AF540,'BD Otimix'!O:O),0)</f>
        <v>0</v>
      </c>
      <c r="AL540" s="7">
        <f t="shared" si="145"/>
        <v>0</v>
      </c>
    </row>
    <row r="541" spans="1:38">
      <c r="A541" s="651">
        <v>863556</v>
      </c>
      <c r="B541" s="651" t="s">
        <v>2351</v>
      </c>
      <c r="C541" s="5" t="s">
        <v>2352</v>
      </c>
      <c r="D541" s="5" t="s">
        <v>868</v>
      </c>
      <c r="E541" s="5" t="s">
        <v>1083</v>
      </c>
      <c r="F541" s="132">
        <f>SUMIF('COLAR PLANO'!$A:$A,A541,'COLAR PLANO'!$D:$D)</f>
        <v>0</v>
      </c>
      <c r="G541" s="131">
        <f t="shared" ref="G541:G552" si="177">IFERROR(F541/($E$3*$C$3),0)</f>
        <v>0</v>
      </c>
      <c r="H541" s="6">
        <v>0.19983298371504893</v>
      </c>
      <c r="I541" s="7">
        <f>IFERROR(G541/$D$3/H541,0)</f>
        <v>0</v>
      </c>
      <c r="J541" s="130">
        <f>IFERROR(I541/$B$472,0)</f>
        <v>0</v>
      </c>
      <c r="K541" s="651">
        <v>2</v>
      </c>
      <c r="L541" s="651">
        <v>6</v>
      </c>
      <c r="M541" s="651">
        <v>12</v>
      </c>
      <c r="N541" s="7">
        <f t="shared" ref="N541:N550" si="178">IFERROR(G541/K541,"-")</f>
        <v>0</v>
      </c>
      <c r="O541" s="7"/>
      <c r="P541" s="7">
        <f t="shared" ref="P541:P554" si="179">IFERROR(G541/M541,0)</f>
        <v>0</v>
      </c>
      <c r="Q541" s="7"/>
      <c r="R541" s="7"/>
      <c r="S541" s="7"/>
      <c r="T541" s="7"/>
      <c r="U541" s="7" t="s">
        <v>2288</v>
      </c>
      <c r="V541" s="7" t="s">
        <v>2289</v>
      </c>
      <c r="W541" s="7" t="str">
        <f>Preencher!$B$3&amp;U541&amp;V541&amp;A541&amp;$W$6</f>
        <v>JARINU-FRG863556MQ.TUNEL DE CG (CONTINUO)</v>
      </c>
      <c r="X541" s="7" t="str">
        <f>Preencher!$B$3&amp;U541&amp;V541&amp;A541&amp;$X$6</f>
        <v>JARINU-FRG863556MQ.TUNEL DE CG (CONTINUO) (1)</v>
      </c>
      <c r="Y541" s="7" t="str">
        <f>Preencher!$B$3&amp;U541&amp;V541&amp;A541&amp;$Y$6</f>
        <v>JARINU-FRG863556MQ.TUNEL DE CG (CONTINUO) (2)</v>
      </c>
      <c r="Z541" s="7" t="str">
        <f>Preencher!$B$3&amp;U541&amp;V541&amp;A541&amp;$Z$6</f>
        <v>JARINU-FRG863556MQ.TUNEL DE CG (CONTINUO) (3)</v>
      </c>
      <c r="AA541" s="7" t="str">
        <f>Preencher!$B$3&amp;U541&amp;V541&amp;A541&amp;$AA$6</f>
        <v>JARINU-FRG863556MQ.TUNEL DE CG (ESTATICO)</v>
      </c>
      <c r="AB541" s="7" t="str">
        <f>Preencher!$B$3&amp;U541&amp;V541&amp;A541&amp;$AB$6</f>
        <v>JARINU-FRG863556MQ.TUNEL DE CG (ESTATICO) (1)</v>
      </c>
      <c r="AC541" s="7" t="str">
        <f>Preencher!$B$3&amp;U541&amp;V541&amp;A541&amp;$AC$6</f>
        <v>JARINU-FRG863556MQ.TUNEL DE CG (ESTATICO) (2)</v>
      </c>
      <c r="AD541" s="327">
        <f>IFERROR(SUMIF('BD Otimix'!A:A,'BD VOLUME'!X541,'BD Otimix'!O:O)+SUMIF('BD Otimix'!A:A,'BD VOLUME'!Y541,'BD Otimix'!O:O)+SUMIF('BD Otimix'!A:A,'BD VOLUME'!Z541,'BD Otimix'!O:O)+SUMIF('BD Otimix'!A:A,'BD VOLUME'!AA541,'BD Otimix'!O:O)+SUMIF('BD Otimix'!A:A,'BD VOLUME'!AB541,'BD Otimix'!O:O)+SUMIF('BD Otimix'!A:A,'BD VOLUME'!AC541,'BD Otimix'!O:O)+SUMIF('BD Otimix'!A:A,'BD VOLUME'!W541,'BD Otimix'!O:O),0)</f>
        <v>0</v>
      </c>
      <c r="AE541" s="327">
        <f t="shared" si="144"/>
        <v>0</v>
      </c>
      <c r="AF541" s="7" t="str">
        <f>Preencher!$B$3&amp;$U$8&amp;$V$8&amp;A541&amp;$AF$6</f>
        <v>JARINU-FRG863556MQ.GIROFREEZER</v>
      </c>
      <c r="AG541" s="7" t="str">
        <f>Preencher!$B$3&amp;$U$8&amp;$V$8&amp;A541&amp;$AG$6</f>
        <v>JARINU-FRG863556MQ.GIROFREEZER (1)</v>
      </c>
      <c r="AH541" s="7" t="str">
        <f>Preencher!$B$3&amp;$U$8&amp;$V$8&amp;A541&amp;$AH$6</f>
        <v>JARINU-FRG863556MQ.GIROFREEZER (2)</v>
      </c>
      <c r="AI541" s="7" t="str">
        <f>Preencher!$B$3&amp;$U$8&amp;$V$8&amp;A541&amp;$AI$6</f>
        <v>JARINU-FRG863556MQ.GIROFREEZER REV04</v>
      </c>
      <c r="AJ541" s="7" t="str">
        <f>Preencher!$B$3&amp;$U$8&amp;$V$8&amp;A541&amp;$AJ$6</f>
        <v>JARINU-FRG863556MQ.GIROFREEZER (3)</v>
      </c>
      <c r="AK541" s="327">
        <f>IFERROR(SUMIF('BD Otimix'!A:A,'BD VOLUME'!AG541,'BD Otimix'!O:O)+SUMIF('BD Otimix'!A:A,'BD VOLUME'!AH541,'BD Otimix'!O:O)+SUMIF('BD Otimix'!A:A,'BD VOLUME'!AI541,'BD Otimix'!O:O)+SUMIF('BD Otimix'!A:A,'BD VOLUME'!AJ541,'BD Otimix'!O:O)+SUMIF('BD Otimix'!A:A,'BD VOLUME'!AF541,'BD Otimix'!O:O),0)</f>
        <v>0</v>
      </c>
      <c r="AL541" s="7">
        <f t="shared" si="145"/>
        <v>0</v>
      </c>
    </row>
    <row r="542" spans="1:38">
      <c r="A542" s="651">
        <v>863602</v>
      </c>
      <c r="B542" s="651" t="s">
        <v>2353</v>
      </c>
      <c r="C542" s="5" t="s">
        <v>2354</v>
      </c>
      <c r="D542" s="5" t="s">
        <v>868</v>
      </c>
      <c r="E542" s="5" t="s">
        <v>1083</v>
      </c>
      <c r="F542" s="132">
        <f>SUMIF('COLAR PLANO'!$A:$A,A542,'COLAR PLANO'!$D:$D)</f>
        <v>0</v>
      </c>
      <c r="G542" s="131">
        <f t="shared" si="177"/>
        <v>0</v>
      </c>
      <c r="H542" s="6">
        <v>0.19787383681588178</v>
      </c>
      <c r="I542" s="7">
        <f t="shared" ref="I542:I552" si="180">IFERROR(G542/$D$3/H542,0)</f>
        <v>0</v>
      </c>
      <c r="J542" s="130">
        <f t="shared" ref="J542:J552" si="181">IFERROR(I542/$B$472,0)</f>
        <v>0</v>
      </c>
      <c r="K542" s="651">
        <v>2</v>
      </c>
      <c r="L542" s="651">
        <v>6</v>
      </c>
      <c r="M542" s="651">
        <v>12</v>
      </c>
      <c r="N542" s="7">
        <f t="shared" si="178"/>
        <v>0</v>
      </c>
      <c r="O542" s="7"/>
      <c r="P542" s="7">
        <f t="shared" si="179"/>
        <v>0</v>
      </c>
      <c r="Q542" s="7"/>
      <c r="R542" s="7"/>
      <c r="S542" s="7"/>
      <c r="T542" s="7"/>
      <c r="U542" s="7" t="s">
        <v>2288</v>
      </c>
      <c r="V542" s="7" t="s">
        <v>2289</v>
      </c>
      <c r="W542" s="7" t="str">
        <f>Preencher!$B$3&amp;U542&amp;V542&amp;A542&amp;$W$6</f>
        <v>JARINU-FRG863602MQ.TUNEL DE CG (CONTINUO)</v>
      </c>
      <c r="X542" s="7" t="str">
        <f>Preencher!$B$3&amp;U542&amp;V542&amp;A542&amp;$X$6</f>
        <v>JARINU-FRG863602MQ.TUNEL DE CG (CONTINUO) (1)</v>
      </c>
      <c r="Y542" s="7" t="str">
        <f>Preencher!$B$3&amp;U542&amp;V542&amp;A542&amp;$Y$6</f>
        <v>JARINU-FRG863602MQ.TUNEL DE CG (CONTINUO) (2)</v>
      </c>
      <c r="Z542" s="7" t="str">
        <f>Preencher!$B$3&amp;U542&amp;V542&amp;A542&amp;$Z$6</f>
        <v>JARINU-FRG863602MQ.TUNEL DE CG (CONTINUO) (3)</v>
      </c>
      <c r="AA542" s="7" t="str">
        <f>Preencher!$B$3&amp;U542&amp;V542&amp;A542&amp;$AA$6</f>
        <v>JARINU-FRG863602MQ.TUNEL DE CG (ESTATICO)</v>
      </c>
      <c r="AB542" s="7" t="str">
        <f>Preencher!$B$3&amp;U542&amp;V542&amp;A542&amp;$AB$6</f>
        <v>JARINU-FRG863602MQ.TUNEL DE CG (ESTATICO) (1)</v>
      </c>
      <c r="AC542" s="7" t="str">
        <f>Preencher!$B$3&amp;U542&amp;V542&amp;A542&amp;$AC$6</f>
        <v>JARINU-FRG863602MQ.TUNEL DE CG (ESTATICO) (2)</v>
      </c>
      <c r="AD542" s="327">
        <f>IFERROR(SUMIF('BD Otimix'!A:A,'BD VOLUME'!X542,'BD Otimix'!O:O)+SUMIF('BD Otimix'!A:A,'BD VOLUME'!Y542,'BD Otimix'!O:O)+SUMIF('BD Otimix'!A:A,'BD VOLUME'!Z542,'BD Otimix'!O:O)+SUMIF('BD Otimix'!A:A,'BD VOLUME'!AA542,'BD Otimix'!O:O)+SUMIF('BD Otimix'!A:A,'BD VOLUME'!AB542,'BD Otimix'!O:O)+SUMIF('BD Otimix'!A:A,'BD VOLUME'!AC542,'BD Otimix'!O:O)+SUMIF('BD Otimix'!A:A,'BD VOLUME'!W542,'BD Otimix'!O:O),0)</f>
        <v>0</v>
      </c>
      <c r="AE542" s="327">
        <f t="shared" ref="AE542:AE556" si="182">IFERROR(F542/$E$3/1000/AD542,0)</f>
        <v>0</v>
      </c>
      <c r="AF542" s="7" t="str">
        <f>Preencher!$B$3&amp;$U$8&amp;$V$8&amp;A542&amp;$AF$6</f>
        <v>JARINU-FRG863602MQ.GIROFREEZER</v>
      </c>
      <c r="AG542" s="7" t="str">
        <f>Preencher!$B$3&amp;$U$8&amp;$V$8&amp;A542&amp;$AG$6</f>
        <v>JARINU-FRG863602MQ.GIROFREEZER (1)</v>
      </c>
      <c r="AH542" s="7" t="str">
        <f>Preencher!$B$3&amp;$U$8&amp;$V$8&amp;A542&amp;$AH$6</f>
        <v>JARINU-FRG863602MQ.GIROFREEZER (2)</v>
      </c>
      <c r="AI542" s="7" t="str">
        <f>Preencher!$B$3&amp;$U$8&amp;$V$8&amp;A542&amp;$AI$6</f>
        <v>JARINU-FRG863602MQ.GIROFREEZER REV04</v>
      </c>
      <c r="AJ542" s="7" t="str">
        <f>Preencher!$B$3&amp;$U$8&amp;$V$8&amp;A542&amp;$AJ$6</f>
        <v>JARINU-FRG863602MQ.GIROFREEZER (3)</v>
      </c>
      <c r="AK542" s="327">
        <f>IFERROR(SUMIF('BD Otimix'!A:A,'BD VOLUME'!AG542,'BD Otimix'!O:O)+SUMIF('BD Otimix'!A:A,'BD VOLUME'!AH542,'BD Otimix'!O:O)+SUMIF('BD Otimix'!A:A,'BD VOLUME'!AI542,'BD Otimix'!O:O)+SUMIF('BD Otimix'!A:A,'BD VOLUME'!AJ542,'BD Otimix'!O:O)+SUMIF('BD Otimix'!A:A,'BD VOLUME'!AF542,'BD Otimix'!O:O),0)</f>
        <v>0</v>
      </c>
      <c r="AL542" s="7">
        <f t="shared" ref="AL542:AL556" si="183">IFERROR(F542/$E$3/1000/AK542,0)</f>
        <v>0</v>
      </c>
    </row>
    <row r="543" spans="1:38">
      <c r="A543" s="651">
        <v>863610</v>
      </c>
      <c r="B543" s="651" t="s">
        <v>2355</v>
      </c>
      <c r="C543" s="5" t="s">
        <v>2356</v>
      </c>
      <c r="D543" s="5" t="s">
        <v>868</v>
      </c>
      <c r="E543" s="5" t="s">
        <v>1083</v>
      </c>
      <c r="F543" s="132">
        <f>SUMIF('COLAR PLANO'!$A:$A,A543,'COLAR PLANO'!$D:$D)</f>
        <v>0</v>
      </c>
      <c r="G543" s="131">
        <f t="shared" si="177"/>
        <v>0</v>
      </c>
      <c r="H543" s="6">
        <v>0.19314001296861188</v>
      </c>
      <c r="I543" s="7">
        <f t="shared" si="180"/>
        <v>0</v>
      </c>
      <c r="J543" s="130">
        <f t="shared" si="181"/>
        <v>0</v>
      </c>
      <c r="K543" s="651">
        <v>2</v>
      </c>
      <c r="L543" s="651">
        <v>6</v>
      </c>
      <c r="M543" s="651">
        <v>12</v>
      </c>
      <c r="N543" s="7">
        <f t="shared" si="178"/>
        <v>0</v>
      </c>
      <c r="O543" s="7"/>
      <c r="P543" s="7">
        <f t="shared" si="179"/>
        <v>0</v>
      </c>
      <c r="Q543" s="7"/>
      <c r="R543" s="7"/>
      <c r="S543" s="7"/>
      <c r="T543" s="7"/>
      <c r="U543" s="7" t="s">
        <v>2288</v>
      </c>
      <c r="V543" s="7" t="s">
        <v>2289</v>
      </c>
      <c r="W543" s="7" t="str">
        <f>Preencher!$B$3&amp;U543&amp;V543&amp;A543&amp;$W$6</f>
        <v>JARINU-FRG863610MQ.TUNEL DE CG (CONTINUO)</v>
      </c>
      <c r="X543" s="7" t="str">
        <f>Preencher!$B$3&amp;U543&amp;V543&amp;A543&amp;$X$6</f>
        <v>JARINU-FRG863610MQ.TUNEL DE CG (CONTINUO) (1)</v>
      </c>
      <c r="Y543" s="7" t="str">
        <f>Preencher!$B$3&amp;U543&amp;V543&amp;A543&amp;$Y$6</f>
        <v>JARINU-FRG863610MQ.TUNEL DE CG (CONTINUO) (2)</v>
      </c>
      <c r="Z543" s="7" t="str">
        <f>Preencher!$B$3&amp;U543&amp;V543&amp;A543&amp;$Z$6</f>
        <v>JARINU-FRG863610MQ.TUNEL DE CG (CONTINUO) (3)</v>
      </c>
      <c r="AA543" s="7" t="str">
        <f>Preencher!$B$3&amp;U543&amp;V543&amp;A543&amp;$AA$6</f>
        <v>JARINU-FRG863610MQ.TUNEL DE CG (ESTATICO)</v>
      </c>
      <c r="AB543" s="7" t="str">
        <f>Preencher!$B$3&amp;U543&amp;V543&amp;A543&amp;$AB$6</f>
        <v>JARINU-FRG863610MQ.TUNEL DE CG (ESTATICO) (1)</v>
      </c>
      <c r="AC543" s="7" t="str">
        <f>Preencher!$B$3&amp;U543&amp;V543&amp;A543&amp;$AC$6</f>
        <v>JARINU-FRG863610MQ.TUNEL DE CG (ESTATICO) (2)</v>
      </c>
      <c r="AD543" s="327">
        <f>IFERROR(SUMIF('BD Otimix'!A:A,'BD VOLUME'!X543,'BD Otimix'!O:O)+SUMIF('BD Otimix'!A:A,'BD VOLUME'!Y543,'BD Otimix'!O:O)+SUMIF('BD Otimix'!A:A,'BD VOLUME'!Z543,'BD Otimix'!O:O)+SUMIF('BD Otimix'!A:A,'BD VOLUME'!AA543,'BD Otimix'!O:O)+SUMIF('BD Otimix'!A:A,'BD VOLUME'!AB543,'BD Otimix'!O:O)+SUMIF('BD Otimix'!A:A,'BD VOLUME'!AC543,'BD Otimix'!O:O)+SUMIF('BD Otimix'!A:A,'BD VOLUME'!W543,'BD Otimix'!O:O),0)</f>
        <v>0</v>
      </c>
      <c r="AE543" s="327">
        <f t="shared" si="182"/>
        <v>0</v>
      </c>
      <c r="AF543" s="7" t="str">
        <f>Preencher!$B$3&amp;$U$8&amp;$V$8&amp;A543&amp;$AF$6</f>
        <v>JARINU-FRG863610MQ.GIROFREEZER</v>
      </c>
      <c r="AG543" s="7" t="str">
        <f>Preencher!$B$3&amp;$U$8&amp;$V$8&amp;A543&amp;$AG$6</f>
        <v>JARINU-FRG863610MQ.GIROFREEZER (1)</v>
      </c>
      <c r="AH543" s="7" t="str">
        <f>Preencher!$B$3&amp;$U$8&amp;$V$8&amp;A543&amp;$AH$6</f>
        <v>JARINU-FRG863610MQ.GIROFREEZER (2)</v>
      </c>
      <c r="AI543" s="7" t="str">
        <f>Preencher!$B$3&amp;$U$8&amp;$V$8&amp;A543&amp;$AI$6</f>
        <v>JARINU-FRG863610MQ.GIROFREEZER REV04</v>
      </c>
      <c r="AJ543" s="7" t="str">
        <f>Preencher!$B$3&amp;$U$8&amp;$V$8&amp;A543&amp;$AJ$6</f>
        <v>JARINU-FRG863610MQ.GIROFREEZER (3)</v>
      </c>
      <c r="AK543" s="327">
        <f>IFERROR(SUMIF('BD Otimix'!A:A,'BD VOLUME'!AG543,'BD Otimix'!O:O)+SUMIF('BD Otimix'!A:A,'BD VOLUME'!AH543,'BD Otimix'!O:O)+SUMIF('BD Otimix'!A:A,'BD VOLUME'!AI543,'BD Otimix'!O:O)+SUMIF('BD Otimix'!A:A,'BD VOLUME'!AJ543,'BD Otimix'!O:O)+SUMIF('BD Otimix'!A:A,'BD VOLUME'!AF543,'BD Otimix'!O:O),0)</f>
        <v>0</v>
      </c>
      <c r="AL543" s="7">
        <f t="shared" si="183"/>
        <v>0</v>
      </c>
    </row>
    <row r="544" spans="1:38">
      <c r="A544" s="651">
        <v>863645</v>
      </c>
      <c r="B544" s="651" t="s">
        <v>2357</v>
      </c>
      <c r="C544" s="5" t="s">
        <v>2227</v>
      </c>
      <c r="D544" s="5" t="s">
        <v>868</v>
      </c>
      <c r="E544" s="5" t="s">
        <v>1083</v>
      </c>
      <c r="F544" s="132">
        <f>SUMIF('COLAR PLANO'!$A:$A,A544,'COLAR PLANO'!$D:$D)</f>
        <v>0</v>
      </c>
      <c r="G544" s="131">
        <f t="shared" si="177"/>
        <v>0</v>
      </c>
      <c r="H544" s="6">
        <v>0.19222029862114229</v>
      </c>
      <c r="I544" s="7">
        <f t="shared" si="180"/>
        <v>0</v>
      </c>
      <c r="J544" s="130">
        <f t="shared" si="181"/>
        <v>0</v>
      </c>
      <c r="K544" s="651">
        <v>2</v>
      </c>
      <c r="L544" s="651">
        <v>6</v>
      </c>
      <c r="M544" s="651">
        <v>12</v>
      </c>
      <c r="N544" s="7">
        <f t="shared" si="178"/>
        <v>0</v>
      </c>
      <c r="O544" s="7"/>
      <c r="P544" s="7">
        <f t="shared" si="179"/>
        <v>0</v>
      </c>
      <c r="Q544" s="7"/>
      <c r="R544" s="7"/>
      <c r="S544" s="7"/>
      <c r="T544" s="7"/>
      <c r="U544" s="7" t="s">
        <v>2288</v>
      </c>
      <c r="V544" s="7" t="s">
        <v>2289</v>
      </c>
      <c r="W544" s="7" t="str">
        <f>Preencher!$B$3&amp;U544&amp;V544&amp;A544&amp;$W$6</f>
        <v>JARINU-FRG863645MQ.TUNEL DE CG (CONTINUO)</v>
      </c>
      <c r="X544" s="7" t="str">
        <f>Preencher!$B$3&amp;U544&amp;V544&amp;A544&amp;$X$6</f>
        <v>JARINU-FRG863645MQ.TUNEL DE CG (CONTINUO) (1)</v>
      </c>
      <c r="Y544" s="7" t="str">
        <f>Preencher!$B$3&amp;U544&amp;V544&amp;A544&amp;$Y$6</f>
        <v>JARINU-FRG863645MQ.TUNEL DE CG (CONTINUO) (2)</v>
      </c>
      <c r="Z544" s="7" t="str">
        <f>Preencher!$B$3&amp;U544&amp;V544&amp;A544&amp;$Z$6</f>
        <v>JARINU-FRG863645MQ.TUNEL DE CG (CONTINUO) (3)</v>
      </c>
      <c r="AA544" s="7" t="str">
        <f>Preencher!$B$3&amp;U544&amp;V544&amp;A544&amp;$AA$6</f>
        <v>JARINU-FRG863645MQ.TUNEL DE CG (ESTATICO)</v>
      </c>
      <c r="AB544" s="7" t="str">
        <f>Preencher!$B$3&amp;U544&amp;V544&amp;A544&amp;$AB$6</f>
        <v>JARINU-FRG863645MQ.TUNEL DE CG (ESTATICO) (1)</v>
      </c>
      <c r="AC544" s="7" t="str">
        <f>Preencher!$B$3&amp;U544&amp;V544&amp;A544&amp;$AC$6</f>
        <v>JARINU-FRG863645MQ.TUNEL DE CG (ESTATICO) (2)</v>
      </c>
      <c r="AD544" s="327">
        <f>IFERROR(SUMIF('BD Otimix'!A:A,'BD VOLUME'!X544,'BD Otimix'!O:O)+SUMIF('BD Otimix'!A:A,'BD VOLUME'!Y544,'BD Otimix'!O:O)+SUMIF('BD Otimix'!A:A,'BD VOLUME'!Z544,'BD Otimix'!O:O)+SUMIF('BD Otimix'!A:A,'BD VOLUME'!AA544,'BD Otimix'!O:O)+SUMIF('BD Otimix'!A:A,'BD VOLUME'!AB544,'BD Otimix'!O:O)+SUMIF('BD Otimix'!A:A,'BD VOLUME'!AC544,'BD Otimix'!O:O)+SUMIF('BD Otimix'!A:A,'BD VOLUME'!W544,'BD Otimix'!O:O),0)</f>
        <v>0</v>
      </c>
      <c r="AE544" s="327">
        <f t="shared" si="182"/>
        <v>0</v>
      </c>
      <c r="AF544" s="7" t="str">
        <f>Preencher!$B$3&amp;$U$8&amp;$V$8&amp;A544&amp;$AF$6</f>
        <v>JARINU-FRG863645MQ.GIROFREEZER</v>
      </c>
      <c r="AG544" s="7" t="str">
        <f>Preencher!$B$3&amp;$U$8&amp;$V$8&amp;A544&amp;$AG$6</f>
        <v>JARINU-FRG863645MQ.GIROFREEZER (1)</v>
      </c>
      <c r="AH544" s="7" t="str">
        <f>Preencher!$B$3&amp;$U$8&amp;$V$8&amp;A544&amp;$AH$6</f>
        <v>JARINU-FRG863645MQ.GIROFREEZER (2)</v>
      </c>
      <c r="AI544" s="7" t="str">
        <f>Preencher!$B$3&amp;$U$8&amp;$V$8&amp;A544&amp;$AI$6</f>
        <v>JARINU-FRG863645MQ.GIROFREEZER REV04</v>
      </c>
      <c r="AJ544" s="7" t="str">
        <f>Preencher!$B$3&amp;$U$8&amp;$V$8&amp;A544&amp;$AJ$6</f>
        <v>JARINU-FRG863645MQ.GIROFREEZER (3)</v>
      </c>
      <c r="AK544" s="327">
        <f>IFERROR(SUMIF('BD Otimix'!A:A,'BD VOLUME'!AG544,'BD Otimix'!O:O)+SUMIF('BD Otimix'!A:A,'BD VOLUME'!AH544,'BD Otimix'!O:O)+SUMIF('BD Otimix'!A:A,'BD VOLUME'!AI544,'BD Otimix'!O:O)+SUMIF('BD Otimix'!A:A,'BD VOLUME'!AJ544,'BD Otimix'!O:O)+SUMIF('BD Otimix'!A:A,'BD VOLUME'!AF544,'BD Otimix'!O:O),0)</f>
        <v>0</v>
      </c>
      <c r="AL544" s="7">
        <f t="shared" si="183"/>
        <v>0</v>
      </c>
    </row>
    <row r="545" spans="1:38">
      <c r="A545" s="701">
        <v>124557</v>
      </c>
      <c r="B545" s="701" t="s">
        <v>2596</v>
      </c>
      <c r="C545" s="5" t="s">
        <v>2597</v>
      </c>
      <c r="D545" s="5" t="s">
        <v>868</v>
      </c>
      <c r="E545" s="5" t="s">
        <v>2393</v>
      </c>
      <c r="F545" s="132">
        <f>SUMIF('COLAR PLANO'!$A:$A,A545,'COLAR PLANO'!$D:$D)</f>
        <v>0</v>
      </c>
      <c r="G545" s="131">
        <f t="shared" si="177"/>
        <v>0</v>
      </c>
      <c r="H545" s="6">
        <v>0.104759956667657</v>
      </c>
      <c r="I545" s="7">
        <f t="shared" si="180"/>
        <v>0</v>
      </c>
      <c r="J545" s="130">
        <f t="shared" si="181"/>
        <v>0</v>
      </c>
      <c r="K545" s="701">
        <v>1</v>
      </c>
      <c r="L545" s="701">
        <v>12</v>
      </c>
      <c r="M545" s="701">
        <v>12</v>
      </c>
      <c r="N545" s="7">
        <f t="shared" si="178"/>
        <v>0</v>
      </c>
      <c r="O545" s="7">
        <f>IFERROR(G545/M545,0)</f>
        <v>0</v>
      </c>
      <c r="P545" s="7"/>
      <c r="Q545" s="7"/>
      <c r="R545" s="7"/>
      <c r="S545" s="7"/>
      <c r="T545" s="7"/>
      <c r="U545" s="7" t="s">
        <v>2288</v>
      </c>
      <c r="V545" s="7" t="s">
        <v>2289</v>
      </c>
      <c r="W545" s="7" t="str">
        <f>Preencher!$B$3&amp;U545&amp;V545&amp;A545&amp;$W$6</f>
        <v>JARINU-FRG124557MQ.TUNEL DE CG (CONTINUO)</v>
      </c>
      <c r="X545" s="7" t="str">
        <f>Preencher!$B$3&amp;U545&amp;V545&amp;A545&amp;$X$6</f>
        <v>JARINU-FRG124557MQ.TUNEL DE CG (CONTINUO) (1)</v>
      </c>
      <c r="Y545" s="7" t="str">
        <f>Preencher!$B$3&amp;U545&amp;V545&amp;A545&amp;$Y$6</f>
        <v>JARINU-FRG124557MQ.TUNEL DE CG (CONTINUO) (2)</v>
      </c>
      <c r="Z545" s="7" t="str">
        <f>Preencher!$B$3&amp;U545&amp;V545&amp;A545&amp;$Z$6</f>
        <v>JARINU-FRG124557MQ.TUNEL DE CG (CONTINUO) (3)</v>
      </c>
      <c r="AA545" s="7" t="str">
        <f>Preencher!$B$3&amp;U545&amp;V545&amp;A545&amp;$AA$6</f>
        <v>JARINU-FRG124557MQ.TUNEL DE CG (ESTATICO)</v>
      </c>
      <c r="AB545" s="7" t="str">
        <f>Preencher!$B$3&amp;U545&amp;V545&amp;A545&amp;$AB$6</f>
        <v>JARINU-FRG124557MQ.TUNEL DE CG (ESTATICO) (1)</v>
      </c>
      <c r="AC545" s="7" t="str">
        <f>Preencher!$B$3&amp;U545&amp;V545&amp;A545&amp;$AC$6</f>
        <v>JARINU-FRG124557MQ.TUNEL DE CG (ESTATICO) (2)</v>
      </c>
      <c r="AD545" s="327">
        <f>IFERROR(SUMIF('BD Otimix'!A:A,'BD VOLUME'!X545,'BD Otimix'!O:O)+SUMIF('BD Otimix'!A:A,'BD VOLUME'!Y545,'BD Otimix'!O:O)+SUMIF('BD Otimix'!A:A,'BD VOLUME'!Z545,'BD Otimix'!O:O)+SUMIF('BD Otimix'!A:A,'BD VOLUME'!AA545,'BD Otimix'!O:O)+SUMIF('BD Otimix'!A:A,'BD VOLUME'!AB545,'BD Otimix'!O:O)+SUMIF('BD Otimix'!A:A,'BD VOLUME'!AC545,'BD Otimix'!O:O)+SUMIF('BD Otimix'!A:A,'BD VOLUME'!W545,'BD Otimix'!O:O),0)</f>
        <v>0</v>
      </c>
      <c r="AE545" s="327">
        <f t="shared" si="182"/>
        <v>0</v>
      </c>
      <c r="AF545" s="7" t="str">
        <f>Preencher!$B$3&amp;$U$8&amp;$V$8&amp;A545&amp;$AF$6</f>
        <v>JARINU-FRG124557MQ.GIROFREEZER</v>
      </c>
      <c r="AG545" s="7" t="str">
        <f>Preencher!$B$3&amp;$U$8&amp;$V$8&amp;A545&amp;$AG$6</f>
        <v>JARINU-FRG124557MQ.GIROFREEZER (1)</v>
      </c>
      <c r="AH545" s="7" t="str">
        <f>Preencher!$B$3&amp;$U$8&amp;$V$8&amp;A545&amp;$AH$6</f>
        <v>JARINU-FRG124557MQ.GIROFREEZER (2)</v>
      </c>
      <c r="AI545" s="7" t="str">
        <f>Preencher!$B$3&amp;$U$8&amp;$V$8&amp;A545&amp;$AI$6</f>
        <v>JARINU-FRG124557MQ.GIROFREEZER REV04</v>
      </c>
      <c r="AJ545" s="7" t="str">
        <f>Preencher!$B$3&amp;$U$8&amp;$V$8&amp;A545&amp;$AJ$6</f>
        <v>JARINU-FRG124557MQ.GIROFREEZER (3)</v>
      </c>
      <c r="AK545" s="327">
        <f>IFERROR(SUMIF('BD Otimix'!A:A,'BD VOLUME'!AG545,'BD Otimix'!O:O)+SUMIF('BD Otimix'!A:A,'BD VOLUME'!AH545,'BD Otimix'!O:O)+SUMIF('BD Otimix'!A:A,'BD VOLUME'!AI545,'BD Otimix'!O:O)+SUMIF('BD Otimix'!A:A,'BD VOLUME'!AJ545,'BD Otimix'!O:O)+SUMIF('BD Otimix'!A:A,'BD VOLUME'!AF545,'BD Otimix'!O:O),0)</f>
        <v>0</v>
      </c>
      <c r="AL545" s="7">
        <f t="shared" si="183"/>
        <v>0</v>
      </c>
    </row>
    <row r="546" spans="1:38">
      <c r="A546" s="651">
        <v>53945</v>
      </c>
      <c r="B546" s="651" t="s">
        <v>2359</v>
      </c>
      <c r="C546" s="5" t="s">
        <v>2360</v>
      </c>
      <c r="D546" s="5" t="s">
        <v>868</v>
      </c>
      <c r="E546" s="5" t="s">
        <v>1083</v>
      </c>
      <c r="F546" s="132">
        <f>SUMIF('COLAR PLANO'!$A:$A,A546,'COLAR PLANO'!$D:$D)</f>
        <v>0</v>
      </c>
      <c r="G546" s="131">
        <f t="shared" si="177"/>
        <v>0</v>
      </c>
      <c r="H546" s="6">
        <v>0.19983298371504893</v>
      </c>
      <c r="I546" s="7">
        <f t="shared" si="180"/>
        <v>0</v>
      </c>
      <c r="J546" s="130">
        <f t="shared" si="181"/>
        <v>0</v>
      </c>
      <c r="K546" s="651">
        <v>2</v>
      </c>
      <c r="L546" s="651">
        <v>6</v>
      </c>
      <c r="M546" s="651">
        <v>12</v>
      </c>
      <c r="N546" s="7">
        <f t="shared" si="178"/>
        <v>0</v>
      </c>
      <c r="O546" s="7"/>
      <c r="P546" s="7">
        <f t="shared" si="179"/>
        <v>0</v>
      </c>
      <c r="Q546" s="7"/>
      <c r="R546" s="7"/>
      <c r="S546" s="7"/>
      <c r="T546" s="7"/>
      <c r="U546" s="7" t="s">
        <v>2288</v>
      </c>
      <c r="V546" s="7" t="s">
        <v>2289</v>
      </c>
      <c r="W546" s="7" t="str">
        <f>Preencher!$B$3&amp;U546&amp;V546&amp;A546&amp;$W$6</f>
        <v>JARINU-FRG53945MQ.TUNEL DE CG (CONTINUO)</v>
      </c>
      <c r="X546" s="7" t="str">
        <f>Preencher!$B$3&amp;U546&amp;V546&amp;A546&amp;$X$6</f>
        <v>JARINU-FRG53945MQ.TUNEL DE CG (CONTINUO) (1)</v>
      </c>
      <c r="Y546" s="7" t="str">
        <f>Preencher!$B$3&amp;U546&amp;V546&amp;A546&amp;$Y$6</f>
        <v>JARINU-FRG53945MQ.TUNEL DE CG (CONTINUO) (2)</v>
      </c>
      <c r="Z546" s="7" t="str">
        <f>Preencher!$B$3&amp;U546&amp;V546&amp;A546&amp;$Z$6</f>
        <v>JARINU-FRG53945MQ.TUNEL DE CG (CONTINUO) (3)</v>
      </c>
      <c r="AA546" s="7" t="str">
        <f>Preencher!$B$3&amp;U546&amp;V546&amp;A546&amp;$AA$6</f>
        <v>JARINU-FRG53945MQ.TUNEL DE CG (ESTATICO)</v>
      </c>
      <c r="AB546" s="7" t="str">
        <f>Preencher!$B$3&amp;U546&amp;V546&amp;A546&amp;$AB$6</f>
        <v>JARINU-FRG53945MQ.TUNEL DE CG (ESTATICO) (1)</v>
      </c>
      <c r="AC546" s="7" t="str">
        <f>Preencher!$B$3&amp;U546&amp;V546&amp;A546&amp;$AC$6</f>
        <v>JARINU-FRG53945MQ.TUNEL DE CG (ESTATICO) (2)</v>
      </c>
      <c r="AD546" s="327">
        <f>IFERROR(SUMIF('BD Otimix'!A:A,'BD VOLUME'!X546,'BD Otimix'!O:O)+SUMIF('BD Otimix'!A:A,'BD VOLUME'!Y546,'BD Otimix'!O:O)+SUMIF('BD Otimix'!A:A,'BD VOLUME'!Z546,'BD Otimix'!O:O)+SUMIF('BD Otimix'!A:A,'BD VOLUME'!AA546,'BD Otimix'!O:O)+SUMIF('BD Otimix'!A:A,'BD VOLUME'!AB546,'BD Otimix'!O:O)+SUMIF('BD Otimix'!A:A,'BD VOLUME'!AC546,'BD Otimix'!O:O)+SUMIF('BD Otimix'!A:A,'BD VOLUME'!W546,'BD Otimix'!O:O),0)</f>
        <v>0</v>
      </c>
      <c r="AE546" s="327">
        <f t="shared" si="182"/>
        <v>0</v>
      </c>
      <c r="AF546" s="7" t="str">
        <f>Preencher!$B$3&amp;$U$8&amp;$V$8&amp;A546&amp;$AF$6</f>
        <v>JARINU-FRG53945MQ.GIROFREEZER</v>
      </c>
      <c r="AG546" s="7" t="str">
        <f>Preencher!$B$3&amp;$U$8&amp;$V$8&amp;A546&amp;$AG$6</f>
        <v>JARINU-FRG53945MQ.GIROFREEZER (1)</v>
      </c>
      <c r="AH546" s="7" t="str">
        <f>Preencher!$B$3&amp;$U$8&amp;$V$8&amp;A546&amp;$AH$6</f>
        <v>JARINU-FRG53945MQ.GIROFREEZER (2)</v>
      </c>
      <c r="AI546" s="7" t="str">
        <f>Preencher!$B$3&amp;$U$8&amp;$V$8&amp;A546&amp;$AI$6</f>
        <v>JARINU-FRG53945MQ.GIROFREEZER REV04</v>
      </c>
      <c r="AJ546" s="7" t="str">
        <f>Preencher!$B$3&amp;$U$8&amp;$V$8&amp;A546&amp;$AJ$6</f>
        <v>JARINU-FRG53945MQ.GIROFREEZER (3)</v>
      </c>
      <c r="AK546" s="327">
        <f>IFERROR(SUMIF('BD Otimix'!A:A,'BD VOLUME'!AG546,'BD Otimix'!O:O)+SUMIF('BD Otimix'!A:A,'BD VOLUME'!AH546,'BD Otimix'!O:O)+SUMIF('BD Otimix'!A:A,'BD VOLUME'!AI546,'BD Otimix'!O:O)+SUMIF('BD Otimix'!A:A,'BD VOLUME'!AJ546,'BD Otimix'!O:O)+SUMIF('BD Otimix'!A:A,'BD VOLUME'!AF546,'BD Otimix'!O:O),0)</f>
        <v>0</v>
      </c>
      <c r="AL546" s="7">
        <f t="shared" si="183"/>
        <v>0</v>
      </c>
    </row>
    <row r="547" spans="1:38">
      <c r="A547" s="750">
        <v>926965</v>
      </c>
      <c r="B547" s="750" t="s">
        <v>3020</v>
      </c>
      <c r="C547" s="5" t="s">
        <v>3021</v>
      </c>
      <c r="D547" s="5" t="s">
        <v>868</v>
      </c>
      <c r="E547" s="5" t="s">
        <v>1083</v>
      </c>
      <c r="F547" s="132">
        <f>SUMIF('COLAR PLANO'!$A:$A,A547,'COLAR PLANO'!$D:$D)</f>
        <v>0</v>
      </c>
      <c r="G547" s="131">
        <f t="shared" si="177"/>
        <v>0</v>
      </c>
      <c r="H547" s="6">
        <v>0.19983298371504893</v>
      </c>
      <c r="I547" s="7">
        <f t="shared" si="180"/>
        <v>0</v>
      </c>
      <c r="J547" s="130">
        <f t="shared" si="181"/>
        <v>0</v>
      </c>
      <c r="K547" s="750">
        <v>2</v>
      </c>
      <c r="L547" s="750">
        <v>6</v>
      </c>
      <c r="M547" s="750">
        <v>12</v>
      </c>
      <c r="N547" s="7">
        <f t="shared" si="178"/>
        <v>0</v>
      </c>
      <c r="O547" s="7"/>
      <c r="P547" s="7">
        <f t="shared" si="179"/>
        <v>0</v>
      </c>
      <c r="Q547" s="7"/>
      <c r="R547" s="7"/>
      <c r="S547" s="7"/>
      <c r="T547" s="7"/>
      <c r="U547" s="7" t="s">
        <v>2288</v>
      </c>
      <c r="V547" s="7" t="s">
        <v>2289</v>
      </c>
      <c r="W547" s="7" t="str">
        <f>Preencher!$B$3&amp;U547&amp;V547&amp;A547&amp;$W$6</f>
        <v>JARINU-FRG926965MQ.TUNEL DE CG (CONTINUO)</v>
      </c>
      <c r="X547" s="7" t="str">
        <f>Preencher!$B$3&amp;U547&amp;V547&amp;A547&amp;$X$6</f>
        <v>JARINU-FRG926965MQ.TUNEL DE CG (CONTINUO) (1)</v>
      </c>
      <c r="Y547" s="7" t="str">
        <f>Preencher!$B$3&amp;U547&amp;V547&amp;A547&amp;$Y$6</f>
        <v>JARINU-FRG926965MQ.TUNEL DE CG (CONTINUO) (2)</v>
      </c>
      <c r="Z547" s="7" t="str">
        <f>Preencher!$B$3&amp;U547&amp;V547&amp;A547&amp;$Z$6</f>
        <v>JARINU-FRG926965MQ.TUNEL DE CG (CONTINUO) (3)</v>
      </c>
      <c r="AA547" s="7" t="str">
        <f>Preencher!$B$3&amp;U547&amp;V547&amp;A547&amp;$AA$6</f>
        <v>JARINU-FRG926965MQ.TUNEL DE CG (ESTATICO)</v>
      </c>
      <c r="AB547" s="7" t="str">
        <f>Preencher!$B$3&amp;U547&amp;V547&amp;A547&amp;$AB$6</f>
        <v>JARINU-FRG926965MQ.TUNEL DE CG (ESTATICO) (1)</v>
      </c>
      <c r="AC547" s="7" t="str">
        <f>Preencher!$B$3&amp;U547&amp;V547&amp;A547&amp;$AC$6</f>
        <v>JARINU-FRG926965MQ.TUNEL DE CG (ESTATICO) (2)</v>
      </c>
      <c r="AD547" s="327">
        <f>IFERROR(SUMIF('BD Otimix'!A:A,'BD VOLUME'!X547,'BD Otimix'!O:O)+SUMIF('BD Otimix'!A:A,'BD VOLUME'!Y547,'BD Otimix'!O:O)+SUMIF('BD Otimix'!A:A,'BD VOLUME'!Z547,'BD Otimix'!O:O)+SUMIF('BD Otimix'!A:A,'BD VOLUME'!AA547,'BD Otimix'!O:O)+SUMIF('BD Otimix'!A:A,'BD VOLUME'!AB547,'BD Otimix'!O:O)+SUMIF('BD Otimix'!A:A,'BD VOLUME'!AC547,'BD Otimix'!O:O)+SUMIF('BD Otimix'!A:A,'BD VOLUME'!W547,'BD Otimix'!O:O),0)</f>
        <v>0</v>
      </c>
      <c r="AE547" s="327">
        <f t="shared" si="182"/>
        <v>0</v>
      </c>
      <c r="AF547" s="7" t="str">
        <f>Preencher!$B$3&amp;$U$8&amp;$V$8&amp;A547&amp;$AF$6</f>
        <v>JARINU-FRG926965MQ.GIROFREEZER</v>
      </c>
      <c r="AG547" s="7" t="str">
        <f>Preencher!$B$3&amp;$U$8&amp;$V$8&amp;A547&amp;$AG$6</f>
        <v>JARINU-FRG926965MQ.GIROFREEZER (1)</v>
      </c>
      <c r="AH547" s="7" t="str">
        <f>Preencher!$B$3&amp;$U$8&amp;$V$8&amp;A547&amp;$AH$6</f>
        <v>JARINU-FRG926965MQ.GIROFREEZER (2)</v>
      </c>
      <c r="AI547" s="7" t="str">
        <f>Preencher!$B$3&amp;$U$8&amp;$V$8&amp;A547&amp;$AI$6</f>
        <v>JARINU-FRG926965MQ.GIROFREEZER REV04</v>
      </c>
      <c r="AJ547" s="7" t="str">
        <f>Preencher!$B$3&amp;$U$8&amp;$V$8&amp;A547&amp;$AJ$6</f>
        <v>JARINU-FRG926965MQ.GIROFREEZER (3)</v>
      </c>
      <c r="AK547" s="327">
        <f>IFERROR(SUMIF('BD Otimix'!A:A,'BD VOLUME'!AG547,'BD Otimix'!O:O)+SUMIF('BD Otimix'!A:A,'BD VOLUME'!AH547,'BD Otimix'!O:O)+SUMIF('BD Otimix'!A:A,'BD VOLUME'!AI547,'BD Otimix'!O:O)+SUMIF('BD Otimix'!A:A,'BD VOLUME'!AJ547,'BD Otimix'!O:O)+SUMIF('BD Otimix'!A:A,'BD VOLUME'!AF547,'BD Otimix'!O:O),0)</f>
        <v>0</v>
      </c>
      <c r="AL547" s="7">
        <f t="shared" si="183"/>
        <v>0</v>
      </c>
    </row>
    <row r="548" spans="1:38">
      <c r="A548" s="651">
        <v>48720</v>
      </c>
      <c r="B548" s="651" t="s">
        <v>2361</v>
      </c>
      <c r="C548" s="5" t="s">
        <v>2362</v>
      </c>
      <c r="D548" s="5" t="s">
        <v>868</v>
      </c>
      <c r="E548" s="5" t="s">
        <v>1083</v>
      </c>
      <c r="F548" s="132">
        <f>SUMIF('COLAR PLANO'!$A:$A,A548,'COLAR PLANO'!$D:$D)</f>
        <v>0</v>
      </c>
      <c r="G548" s="131">
        <f t="shared" si="177"/>
        <v>0</v>
      </c>
      <c r="H548" s="6">
        <v>0.18873115128643511</v>
      </c>
      <c r="I548" s="7">
        <f t="shared" si="180"/>
        <v>0</v>
      </c>
      <c r="J548" s="130">
        <f t="shared" si="181"/>
        <v>0</v>
      </c>
      <c r="K548" s="651">
        <v>2</v>
      </c>
      <c r="L548" s="651">
        <v>6</v>
      </c>
      <c r="M548" s="651">
        <v>12</v>
      </c>
      <c r="N548" s="7">
        <f t="shared" si="178"/>
        <v>0</v>
      </c>
      <c r="O548" s="7"/>
      <c r="P548" s="7">
        <f t="shared" si="179"/>
        <v>0</v>
      </c>
      <c r="Q548" s="7"/>
      <c r="R548" s="7"/>
      <c r="S548" s="7"/>
      <c r="T548" s="7"/>
      <c r="U548" s="7" t="s">
        <v>2288</v>
      </c>
      <c r="V548" s="7" t="s">
        <v>2289</v>
      </c>
      <c r="W548" s="7" t="str">
        <f>Preencher!$B$3&amp;U548&amp;V548&amp;A548&amp;$W$6</f>
        <v>JARINU-FRG48720MQ.TUNEL DE CG (CONTINUO)</v>
      </c>
      <c r="X548" s="7" t="str">
        <f>Preencher!$B$3&amp;U548&amp;V548&amp;A548&amp;$X$6</f>
        <v>JARINU-FRG48720MQ.TUNEL DE CG (CONTINUO) (1)</v>
      </c>
      <c r="Y548" s="7" t="str">
        <f>Preencher!$B$3&amp;U548&amp;V548&amp;A548&amp;$Y$6</f>
        <v>JARINU-FRG48720MQ.TUNEL DE CG (CONTINUO) (2)</v>
      </c>
      <c r="Z548" s="7" t="str">
        <f>Preencher!$B$3&amp;U548&amp;V548&amp;A548&amp;$Z$6</f>
        <v>JARINU-FRG48720MQ.TUNEL DE CG (CONTINUO) (3)</v>
      </c>
      <c r="AA548" s="7" t="str">
        <f>Preencher!$B$3&amp;U548&amp;V548&amp;A548&amp;$AA$6</f>
        <v>JARINU-FRG48720MQ.TUNEL DE CG (ESTATICO)</v>
      </c>
      <c r="AB548" s="7" t="str">
        <f>Preencher!$B$3&amp;U548&amp;V548&amp;A548&amp;$AB$6</f>
        <v>JARINU-FRG48720MQ.TUNEL DE CG (ESTATICO) (1)</v>
      </c>
      <c r="AC548" s="7" t="str">
        <f>Preencher!$B$3&amp;U548&amp;V548&amp;A548&amp;$AC$6</f>
        <v>JARINU-FRG48720MQ.TUNEL DE CG (ESTATICO) (2)</v>
      </c>
      <c r="AD548" s="327">
        <f>IFERROR(SUMIF('BD Otimix'!A:A,'BD VOLUME'!X548,'BD Otimix'!O:O)+SUMIF('BD Otimix'!A:A,'BD VOLUME'!Y548,'BD Otimix'!O:O)+SUMIF('BD Otimix'!A:A,'BD VOLUME'!Z548,'BD Otimix'!O:O)+SUMIF('BD Otimix'!A:A,'BD VOLUME'!AA548,'BD Otimix'!O:O)+SUMIF('BD Otimix'!A:A,'BD VOLUME'!AB548,'BD Otimix'!O:O)+SUMIF('BD Otimix'!A:A,'BD VOLUME'!AC548,'BD Otimix'!O:O)+SUMIF('BD Otimix'!A:A,'BD VOLUME'!W548,'BD Otimix'!O:O),0)</f>
        <v>0</v>
      </c>
      <c r="AE548" s="327">
        <f t="shared" si="182"/>
        <v>0</v>
      </c>
      <c r="AF548" s="7" t="str">
        <f>Preencher!$B$3&amp;$U$8&amp;$V$8&amp;A548&amp;$AF$6</f>
        <v>JARINU-FRG48720MQ.GIROFREEZER</v>
      </c>
      <c r="AG548" s="7" t="str">
        <f>Preencher!$B$3&amp;$U$8&amp;$V$8&amp;A548&amp;$AG$6</f>
        <v>JARINU-FRG48720MQ.GIROFREEZER (1)</v>
      </c>
      <c r="AH548" s="7" t="str">
        <f>Preencher!$B$3&amp;$U$8&amp;$V$8&amp;A548&amp;$AH$6</f>
        <v>JARINU-FRG48720MQ.GIROFREEZER (2)</v>
      </c>
      <c r="AI548" s="7" t="str">
        <f>Preencher!$B$3&amp;$U$8&amp;$V$8&amp;A548&amp;$AI$6</f>
        <v>JARINU-FRG48720MQ.GIROFREEZER REV04</v>
      </c>
      <c r="AJ548" s="7" t="str">
        <f>Preencher!$B$3&amp;$U$8&amp;$V$8&amp;A548&amp;$AJ$6</f>
        <v>JARINU-FRG48720MQ.GIROFREEZER (3)</v>
      </c>
      <c r="AK548" s="327">
        <f>IFERROR(SUMIF('BD Otimix'!A:A,'BD VOLUME'!AG548,'BD Otimix'!O:O)+SUMIF('BD Otimix'!A:A,'BD VOLUME'!AH548,'BD Otimix'!O:O)+SUMIF('BD Otimix'!A:A,'BD VOLUME'!AI548,'BD Otimix'!O:O)+SUMIF('BD Otimix'!A:A,'BD VOLUME'!AJ548,'BD Otimix'!O:O)+SUMIF('BD Otimix'!A:A,'BD VOLUME'!AF548,'BD Otimix'!O:O),0)</f>
        <v>0</v>
      </c>
      <c r="AL548" s="7">
        <f t="shared" si="183"/>
        <v>0</v>
      </c>
    </row>
    <row r="549" spans="1:38">
      <c r="A549" s="651">
        <v>40690</v>
      </c>
      <c r="B549" s="651" t="s">
        <v>2397</v>
      </c>
      <c r="C549" s="5" t="s">
        <v>2398</v>
      </c>
      <c r="D549" s="5" t="s">
        <v>868</v>
      </c>
      <c r="E549" s="5" t="s">
        <v>1651</v>
      </c>
      <c r="F549" s="132">
        <f>SUMIF('COLAR PLANO'!$A:$A,A549,'COLAR PLANO'!$D:$D)</f>
        <v>0</v>
      </c>
      <c r="G549" s="131">
        <f t="shared" si="177"/>
        <v>0</v>
      </c>
      <c r="H549" s="6">
        <v>0.104759956667657</v>
      </c>
      <c r="I549" s="7">
        <f t="shared" si="180"/>
        <v>0</v>
      </c>
      <c r="J549" s="130">
        <f t="shared" si="181"/>
        <v>0</v>
      </c>
      <c r="K549" s="651">
        <v>2</v>
      </c>
      <c r="L549" s="651">
        <v>6</v>
      </c>
      <c r="M549" s="651">
        <v>12</v>
      </c>
      <c r="N549" s="7">
        <f t="shared" si="178"/>
        <v>0</v>
      </c>
      <c r="O549" s="7"/>
      <c r="P549" s="7">
        <f t="shared" si="179"/>
        <v>0</v>
      </c>
      <c r="Q549" s="7"/>
      <c r="R549" s="7"/>
      <c r="S549" s="7"/>
      <c r="T549" s="7"/>
      <c r="U549" s="7" t="s">
        <v>2288</v>
      </c>
      <c r="V549" s="7" t="s">
        <v>2289</v>
      </c>
      <c r="W549" s="7" t="str">
        <f>Preencher!$B$3&amp;U549&amp;V549&amp;A549&amp;$W$6</f>
        <v>JARINU-FRG40690MQ.TUNEL DE CG (CONTINUO)</v>
      </c>
      <c r="X549" s="7" t="str">
        <f>Preencher!$B$3&amp;U549&amp;V549&amp;A549&amp;$X$6</f>
        <v>JARINU-FRG40690MQ.TUNEL DE CG (CONTINUO) (1)</v>
      </c>
      <c r="Y549" s="7" t="str">
        <f>Preencher!$B$3&amp;U549&amp;V549&amp;A549&amp;$Y$6</f>
        <v>JARINU-FRG40690MQ.TUNEL DE CG (CONTINUO) (2)</v>
      </c>
      <c r="Z549" s="7" t="str">
        <f>Preencher!$B$3&amp;U549&amp;V549&amp;A549&amp;$Z$6</f>
        <v>JARINU-FRG40690MQ.TUNEL DE CG (CONTINUO) (3)</v>
      </c>
      <c r="AA549" s="7" t="str">
        <f>Preencher!$B$3&amp;U549&amp;V549&amp;A549&amp;$AA$6</f>
        <v>JARINU-FRG40690MQ.TUNEL DE CG (ESTATICO)</v>
      </c>
      <c r="AB549" s="7" t="str">
        <f>Preencher!$B$3&amp;U549&amp;V549&amp;A549&amp;$AB$6</f>
        <v>JARINU-FRG40690MQ.TUNEL DE CG (ESTATICO) (1)</v>
      </c>
      <c r="AC549" s="7" t="str">
        <f>Preencher!$B$3&amp;U549&amp;V549&amp;A549&amp;$AC$6</f>
        <v>JARINU-FRG40690MQ.TUNEL DE CG (ESTATICO) (2)</v>
      </c>
      <c r="AD549" s="327">
        <f>IFERROR(SUMIF('BD Otimix'!A:A,'BD VOLUME'!X549,'BD Otimix'!O:O)+SUMIF('BD Otimix'!A:A,'BD VOLUME'!Y549,'BD Otimix'!O:O)+SUMIF('BD Otimix'!A:A,'BD VOLUME'!Z549,'BD Otimix'!O:O)+SUMIF('BD Otimix'!A:A,'BD VOLUME'!AA549,'BD Otimix'!O:O)+SUMIF('BD Otimix'!A:A,'BD VOLUME'!AB549,'BD Otimix'!O:O)+SUMIF('BD Otimix'!A:A,'BD VOLUME'!AC549,'BD Otimix'!O:O)+SUMIF('BD Otimix'!A:A,'BD VOLUME'!W549,'BD Otimix'!O:O),0)</f>
        <v>0</v>
      </c>
      <c r="AE549" s="327">
        <f t="shared" si="182"/>
        <v>0</v>
      </c>
      <c r="AF549" s="7" t="str">
        <f>Preencher!$B$3&amp;$U$8&amp;$V$8&amp;A549&amp;$AF$6</f>
        <v>JARINU-FRG40690MQ.GIROFREEZER</v>
      </c>
      <c r="AG549" s="7" t="str">
        <f>Preencher!$B$3&amp;$U$8&amp;$V$8&amp;A549&amp;$AG$6</f>
        <v>JARINU-FRG40690MQ.GIROFREEZER (1)</v>
      </c>
      <c r="AH549" s="7" t="str">
        <f>Preencher!$B$3&amp;$U$8&amp;$V$8&amp;A549&amp;$AH$6</f>
        <v>JARINU-FRG40690MQ.GIROFREEZER (2)</v>
      </c>
      <c r="AI549" s="7" t="str">
        <f>Preencher!$B$3&amp;$U$8&amp;$V$8&amp;A549&amp;$AI$6</f>
        <v>JARINU-FRG40690MQ.GIROFREEZER REV04</v>
      </c>
      <c r="AJ549" s="7" t="str">
        <f>Preencher!$B$3&amp;$U$8&amp;$V$8&amp;A549&amp;$AJ$6</f>
        <v>JARINU-FRG40690MQ.GIROFREEZER (3)</v>
      </c>
      <c r="AK549" s="327">
        <f>IFERROR(SUMIF('BD Otimix'!A:A,'BD VOLUME'!AG549,'BD Otimix'!O:O)+SUMIF('BD Otimix'!A:A,'BD VOLUME'!AH549,'BD Otimix'!O:O)+SUMIF('BD Otimix'!A:A,'BD VOLUME'!AI549,'BD Otimix'!O:O)+SUMIF('BD Otimix'!A:A,'BD VOLUME'!AJ549,'BD Otimix'!O:O)+SUMIF('BD Otimix'!A:A,'BD VOLUME'!AF549,'BD Otimix'!O:O),0)</f>
        <v>0</v>
      </c>
      <c r="AL549" s="7">
        <f t="shared" si="183"/>
        <v>0</v>
      </c>
    </row>
    <row r="550" spans="1:38">
      <c r="A550" s="740">
        <v>221739</v>
      </c>
      <c r="B550" s="740"/>
      <c r="C550" s="5" t="s">
        <v>3049</v>
      </c>
      <c r="D550" s="5" t="s">
        <v>868</v>
      </c>
      <c r="E550" s="5" t="s">
        <v>1695</v>
      </c>
      <c r="F550" s="132">
        <f>SUMIF('COLAR PLANO'!$A:$A,A550,'COLAR PLANO'!$D:$D)</f>
        <v>0</v>
      </c>
      <c r="G550" s="131">
        <f t="shared" si="177"/>
        <v>0</v>
      </c>
      <c r="H550" s="6">
        <v>0.104759956667657</v>
      </c>
      <c r="I550" s="7">
        <f t="shared" si="180"/>
        <v>0</v>
      </c>
      <c r="J550" s="130">
        <f t="shared" si="181"/>
        <v>0</v>
      </c>
      <c r="K550" s="740">
        <v>1</v>
      </c>
      <c r="L550" s="740">
        <v>12</v>
      </c>
      <c r="M550" s="740">
        <v>12</v>
      </c>
      <c r="N550" s="7">
        <f t="shared" si="178"/>
        <v>0</v>
      </c>
      <c r="O550" s="7"/>
      <c r="P550" s="7">
        <f>IFERROR(G550/M550,0)</f>
        <v>0</v>
      </c>
      <c r="Q550" s="7"/>
      <c r="R550" s="7"/>
      <c r="S550" s="7"/>
      <c r="T550" s="7"/>
      <c r="U550" s="7" t="s">
        <v>2288</v>
      </c>
      <c r="V550" s="7" t="s">
        <v>2289</v>
      </c>
      <c r="W550" s="7" t="str">
        <f>Preencher!$B$3&amp;U550&amp;V550&amp;A550&amp;$W$6</f>
        <v>JARINU-FRG221739MQ.TUNEL DE CG (CONTINUO)</v>
      </c>
      <c r="X550" s="7" t="str">
        <f>Preencher!$B$3&amp;U550&amp;V550&amp;A550&amp;$X$6</f>
        <v>JARINU-FRG221739MQ.TUNEL DE CG (CONTINUO) (1)</v>
      </c>
      <c r="Y550" s="7" t="str">
        <f>Preencher!$B$3&amp;U550&amp;V550&amp;A550&amp;$Y$6</f>
        <v>JARINU-FRG221739MQ.TUNEL DE CG (CONTINUO) (2)</v>
      </c>
      <c r="Z550" s="7" t="str">
        <f>Preencher!$B$3&amp;U550&amp;V550&amp;A550&amp;$Z$6</f>
        <v>JARINU-FRG221739MQ.TUNEL DE CG (CONTINUO) (3)</v>
      </c>
      <c r="AA550" s="7" t="str">
        <f>Preencher!$B$3&amp;U550&amp;V550&amp;A550&amp;$AA$6</f>
        <v>JARINU-FRG221739MQ.TUNEL DE CG (ESTATICO)</v>
      </c>
      <c r="AB550" s="7" t="str">
        <f>Preencher!$B$3&amp;U550&amp;V550&amp;A550&amp;$AB$6</f>
        <v>JARINU-FRG221739MQ.TUNEL DE CG (ESTATICO) (1)</v>
      </c>
      <c r="AC550" s="7" t="str">
        <f>Preencher!$B$3&amp;U550&amp;V550&amp;A550&amp;$AC$6</f>
        <v>JARINU-FRG221739MQ.TUNEL DE CG (ESTATICO) (2)</v>
      </c>
      <c r="AD550" s="327">
        <f>IFERROR(SUMIF('BD Otimix'!A:A,'BD VOLUME'!X550,'BD Otimix'!O:O)+SUMIF('BD Otimix'!A:A,'BD VOLUME'!Y550,'BD Otimix'!O:O)+SUMIF('BD Otimix'!A:A,'BD VOLUME'!Z550,'BD Otimix'!O:O)+SUMIF('BD Otimix'!A:A,'BD VOLUME'!AA550,'BD Otimix'!O:O)+SUMIF('BD Otimix'!A:A,'BD VOLUME'!AB550,'BD Otimix'!O:O)+SUMIF('BD Otimix'!A:A,'BD VOLUME'!AC550,'BD Otimix'!O:O)+SUMIF('BD Otimix'!A:A,'BD VOLUME'!W550,'BD Otimix'!O:O),0)</f>
        <v>0</v>
      </c>
      <c r="AE550" s="327">
        <f t="shared" si="182"/>
        <v>0</v>
      </c>
      <c r="AF550" s="7" t="str">
        <f>Preencher!$B$3&amp;$U$8&amp;$V$8&amp;A550&amp;$AF$6</f>
        <v>JARINU-FRG221739MQ.GIROFREEZER</v>
      </c>
      <c r="AG550" s="7" t="str">
        <f>Preencher!$B$3&amp;$U$8&amp;$V$8&amp;A550&amp;$AG$6</f>
        <v>JARINU-FRG221739MQ.GIROFREEZER (1)</v>
      </c>
      <c r="AH550" s="7" t="str">
        <f>Preencher!$B$3&amp;$U$8&amp;$V$8&amp;A550&amp;$AH$6</f>
        <v>JARINU-FRG221739MQ.GIROFREEZER (2)</v>
      </c>
      <c r="AI550" s="7" t="str">
        <f>Preencher!$B$3&amp;$U$8&amp;$V$8&amp;A550&amp;$AI$6</f>
        <v>JARINU-FRG221739MQ.GIROFREEZER REV04</v>
      </c>
      <c r="AJ550" s="7" t="str">
        <f>Preencher!$B$3&amp;$U$8&amp;$V$8&amp;A550&amp;$AJ$6</f>
        <v>JARINU-FRG221739MQ.GIROFREEZER (3)</v>
      </c>
      <c r="AK550" s="327">
        <f>IFERROR(SUMIF('BD Otimix'!A:A,'BD VOLUME'!AG550,'BD Otimix'!O:O)+SUMIF('BD Otimix'!A:A,'BD VOLUME'!AH550,'BD Otimix'!O:O)+SUMIF('BD Otimix'!A:A,'BD VOLUME'!AI550,'BD Otimix'!O:O)+SUMIF('BD Otimix'!A:A,'BD VOLUME'!AJ550,'BD Otimix'!O:O)+SUMIF('BD Otimix'!A:A,'BD VOLUME'!AF550,'BD Otimix'!O:O),0)</f>
        <v>0</v>
      </c>
      <c r="AL550" s="7">
        <f t="shared" si="183"/>
        <v>0</v>
      </c>
    </row>
    <row r="551" spans="1:38">
      <c r="A551" s="740">
        <v>223329</v>
      </c>
      <c r="B551" s="740" t="s">
        <v>3015</v>
      </c>
      <c r="C551" s="5" t="s">
        <v>3016</v>
      </c>
      <c r="D551" s="5" t="s">
        <v>868</v>
      </c>
      <c r="E551" s="5" t="s">
        <v>1694</v>
      </c>
      <c r="F551" s="132">
        <f>SUMIF('COLAR PLANO'!$A:$A,A551,'COLAR PLANO'!$D:$D)</f>
        <v>0</v>
      </c>
      <c r="G551" s="131">
        <f>IFERROR(F551/($E$3*$C$3),0)</f>
        <v>0</v>
      </c>
      <c r="H551" s="6">
        <v>0.14065243077485973</v>
      </c>
      <c r="I551" s="7">
        <f>IFERROR(G551/$D$3/H551,0)</f>
        <v>0</v>
      </c>
      <c r="J551" s="130">
        <f>IFERROR(I551/$B$472,0)</f>
        <v>0</v>
      </c>
      <c r="K551" s="740">
        <v>1</v>
      </c>
      <c r="L551" s="740">
        <v>12</v>
      </c>
      <c r="M551" s="740">
        <v>12</v>
      </c>
      <c r="N551" s="7">
        <f>IFERROR(G551/K551,"-")</f>
        <v>0</v>
      </c>
      <c r="O551" s="7"/>
      <c r="P551" s="7">
        <f>IFERROR(G551/M551,0)</f>
        <v>0</v>
      </c>
      <c r="Q551" s="7"/>
      <c r="R551" s="7"/>
      <c r="S551" s="7"/>
      <c r="T551" s="7"/>
      <c r="U551" s="7" t="s">
        <v>2288</v>
      </c>
      <c r="V551" s="7" t="s">
        <v>2289</v>
      </c>
      <c r="W551" s="7" t="str">
        <f>Preencher!$B$3&amp;U551&amp;V551&amp;A551&amp;$W$6</f>
        <v>JARINU-FRG223329MQ.TUNEL DE CG (CONTINUO)</v>
      </c>
      <c r="X551" s="7" t="str">
        <f>Preencher!$B$3&amp;U551&amp;V551&amp;A551&amp;$X$6</f>
        <v>JARINU-FRG223329MQ.TUNEL DE CG (CONTINUO) (1)</v>
      </c>
      <c r="Y551" s="7" t="str">
        <f>Preencher!$B$3&amp;U551&amp;V551&amp;A551&amp;$Y$6</f>
        <v>JARINU-FRG223329MQ.TUNEL DE CG (CONTINUO) (2)</v>
      </c>
      <c r="Z551" s="7" t="str">
        <f>Preencher!$B$3&amp;U551&amp;V551&amp;A551&amp;$Z$6</f>
        <v>JARINU-FRG223329MQ.TUNEL DE CG (CONTINUO) (3)</v>
      </c>
      <c r="AA551" s="7" t="str">
        <f>Preencher!$B$3&amp;U551&amp;V551&amp;A551&amp;$AA$6</f>
        <v>JARINU-FRG223329MQ.TUNEL DE CG (ESTATICO)</v>
      </c>
      <c r="AB551" s="7" t="str">
        <f>Preencher!$B$3&amp;U551&amp;V551&amp;A551&amp;$AB$6</f>
        <v>JARINU-FRG223329MQ.TUNEL DE CG (ESTATICO) (1)</v>
      </c>
      <c r="AC551" s="7" t="str">
        <f>Preencher!$B$3&amp;U551&amp;V551&amp;A551&amp;$AC$6</f>
        <v>JARINU-FRG223329MQ.TUNEL DE CG (ESTATICO) (2)</v>
      </c>
      <c r="AD551" s="327">
        <f>IFERROR(SUMIF('BD Otimix'!A:A,'BD VOLUME'!X551,'BD Otimix'!O:O)+SUMIF('BD Otimix'!A:A,'BD VOLUME'!Y551,'BD Otimix'!O:O)+SUMIF('BD Otimix'!A:A,'BD VOLUME'!Z551,'BD Otimix'!O:O)+SUMIF('BD Otimix'!A:A,'BD VOLUME'!AA551,'BD Otimix'!O:O)+SUMIF('BD Otimix'!A:A,'BD VOLUME'!AB551,'BD Otimix'!O:O)+SUMIF('BD Otimix'!A:A,'BD VOLUME'!AC551,'BD Otimix'!O:O)+SUMIF('BD Otimix'!A:A,'BD VOLUME'!W551,'BD Otimix'!O:O),0)</f>
        <v>0</v>
      </c>
      <c r="AE551" s="327">
        <f>IFERROR(F551/$E$3/1000/AD551,0)</f>
        <v>0</v>
      </c>
      <c r="AF551" s="7" t="str">
        <f>Preencher!$B$3&amp;$U$8&amp;$V$8&amp;A551&amp;$AF$6</f>
        <v>JARINU-FRG223329MQ.GIROFREEZER</v>
      </c>
      <c r="AG551" s="7" t="str">
        <f>Preencher!$B$3&amp;$U$8&amp;$V$8&amp;A551&amp;$AG$6</f>
        <v>JARINU-FRG223329MQ.GIROFREEZER (1)</v>
      </c>
      <c r="AH551" s="7" t="str">
        <f>Preencher!$B$3&amp;$U$8&amp;$V$8&amp;A551&amp;$AH$6</f>
        <v>JARINU-FRG223329MQ.GIROFREEZER (2)</v>
      </c>
      <c r="AI551" s="7" t="str">
        <f>Preencher!$B$3&amp;$U$8&amp;$V$8&amp;A551&amp;$AI$6</f>
        <v>JARINU-FRG223329MQ.GIROFREEZER REV04</v>
      </c>
      <c r="AJ551" s="7" t="str">
        <f>Preencher!$B$3&amp;$U$8&amp;$V$8&amp;A551&amp;$AJ$6</f>
        <v>JARINU-FRG223329MQ.GIROFREEZER (3)</v>
      </c>
      <c r="AK551" s="327">
        <f>IFERROR(SUMIF('BD Otimix'!A:A,'BD VOLUME'!AG551,'BD Otimix'!O:O)+SUMIF('BD Otimix'!A:A,'BD VOLUME'!AH551,'BD Otimix'!O:O)+SUMIF('BD Otimix'!A:A,'BD VOLUME'!AI551,'BD Otimix'!O:O)+SUMIF('BD Otimix'!A:A,'BD VOLUME'!AJ551,'BD Otimix'!O:O)+SUMIF('BD Otimix'!A:A,'BD VOLUME'!AF551,'BD Otimix'!O:O),0)</f>
        <v>0</v>
      </c>
      <c r="AL551" s="7">
        <f>IFERROR(F551/$E$3/1000/AK551,0)</f>
        <v>0</v>
      </c>
    </row>
    <row r="552" spans="1:38">
      <c r="A552" s="651">
        <v>958581</v>
      </c>
      <c r="B552" s="651" t="s">
        <v>2373</v>
      </c>
      <c r="C552" s="5" t="s">
        <v>2274</v>
      </c>
      <c r="D552" s="5" t="s">
        <v>868</v>
      </c>
      <c r="E552" s="5" t="s">
        <v>2399</v>
      </c>
      <c r="F552" s="132">
        <f>SUMIF('COLAR PLANO'!$A:$A,A552,'COLAR PLANO'!$D:$D)</f>
        <v>0</v>
      </c>
      <c r="G552" s="131">
        <f t="shared" si="177"/>
        <v>0</v>
      </c>
      <c r="H552" s="6">
        <v>0.17199999999999999</v>
      </c>
      <c r="I552" s="7">
        <f t="shared" si="180"/>
        <v>0</v>
      </c>
      <c r="J552" s="130">
        <f t="shared" si="181"/>
        <v>0</v>
      </c>
      <c r="K552" s="651">
        <v>1</v>
      </c>
      <c r="L552" s="651">
        <v>12</v>
      </c>
      <c r="M552" s="651">
        <v>12</v>
      </c>
      <c r="N552" s="7">
        <f t="shared" ref="N552:N596" si="184">IFERROR(G552/K552,"-")</f>
        <v>0</v>
      </c>
      <c r="O552" s="7"/>
      <c r="P552" s="7">
        <f t="shared" si="179"/>
        <v>0</v>
      </c>
      <c r="Q552" s="7"/>
      <c r="R552" s="7"/>
      <c r="S552" s="7"/>
      <c r="T552" s="7"/>
      <c r="U552" s="7" t="s">
        <v>2288</v>
      </c>
      <c r="V552" s="7" t="s">
        <v>2289</v>
      </c>
      <c r="W552" s="7" t="str">
        <f>Preencher!$B$3&amp;U552&amp;V552&amp;A552&amp;$W$6</f>
        <v>JARINU-FRG958581MQ.TUNEL DE CG (CONTINUO)</v>
      </c>
      <c r="X552" s="7" t="str">
        <f>Preencher!$B$3&amp;U552&amp;V552&amp;A552&amp;$X$6</f>
        <v>JARINU-FRG958581MQ.TUNEL DE CG (CONTINUO) (1)</v>
      </c>
      <c r="Y552" s="7" t="str">
        <f>Preencher!$B$3&amp;U552&amp;V552&amp;A552&amp;$Y$6</f>
        <v>JARINU-FRG958581MQ.TUNEL DE CG (CONTINUO) (2)</v>
      </c>
      <c r="Z552" s="7" t="str">
        <f>Preencher!$B$3&amp;U552&amp;V552&amp;A552&amp;$Z$6</f>
        <v>JARINU-FRG958581MQ.TUNEL DE CG (CONTINUO) (3)</v>
      </c>
      <c r="AA552" s="7" t="str">
        <f>Preencher!$B$3&amp;U552&amp;V552&amp;A552&amp;$AA$6</f>
        <v>JARINU-FRG958581MQ.TUNEL DE CG (ESTATICO)</v>
      </c>
      <c r="AB552" s="7" t="str">
        <f>Preencher!$B$3&amp;U552&amp;V552&amp;A552&amp;$AB$6</f>
        <v>JARINU-FRG958581MQ.TUNEL DE CG (ESTATICO) (1)</v>
      </c>
      <c r="AC552" s="7" t="str">
        <f>Preencher!$B$3&amp;U552&amp;V552&amp;A552&amp;$AC$6</f>
        <v>JARINU-FRG958581MQ.TUNEL DE CG (ESTATICO) (2)</v>
      </c>
      <c r="AD552" s="327">
        <f>IFERROR(SUMIF('BD Otimix'!A:A,'BD VOLUME'!X552,'BD Otimix'!O:O)+SUMIF('BD Otimix'!A:A,'BD VOLUME'!Y552,'BD Otimix'!O:O)+SUMIF('BD Otimix'!A:A,'BD VOLUME'!Z552,'BD Otimix'!O:O)+SUMIF('BD Otimix'!A:A,'BD VOLUME'!AA552,'BD Otimix'!O:O)+SUMIF('BD Otimix'!A:A,'BD VOLUME'!AB552,'BD Otimix'!O:O)+SUMIF('BD Otimix'!A:A,'BD VOLUME'!AC552,'BD Otimix'!O:O)+SUMIF('BD Otimix'!A:A,'BD VOLUME'!W552,'BD Otimix'!O:O),0)</f>
        <v>0</v>
      </c>
      <c r="AE552" s="327">
        <f t="shared" si="182"/>
        <v>0</v>
      </c>
      <c r="AF552" s="7" t="str">
        <f>Preencher!$B$3&amp;$U$8&amp;$V$8&amp;A552&amp;$AF$6</f>
        <v>JARINU-FRG958581MQ.GIROFREEZER</v>
      </c>
      <c r="AG552" s="7" t="str">
        <f>Preencher!$B$3&amp;$U$8&amp;$V$8&amp;A552&amp;$AG$6</f>
        <v>JARINU-FRG958581MQ.GIROFREEZER (1)</v>
      </c>
      <c r="AH552" s="7" t="str">
        <f>Preencher!$B$3&amp;$U$8&amp;$V$8&amp;A552&amp;$AH$6</f>
        <v>JARINU-FRG958581MQ.GIROFREEZER (2)</v>
      </c>
      <c r="AI552" s="7" t="str">
        <f>Preencher!$B$3&amp;$U$8&amp;$V$8&amp;A552&amp;$AI$6</f>
        <v>JARINU-FRG958581MQ.GIROFREEZER REV04</v>
      </c>
      <c r="AJ552" s="7" t="str">
        <f>Preencher!$B$3&amp;$U$8&amp;$V$8&amp;A552&amp;$AJ$6</f>
        <v>JARINU-FRG958581MQ.GIROFREEZER (3)</v>
      </c>
      <c r="AK552" s="327">
        <f>IFERROR(SUMIF('BD Otimix'!A:A,'BD VOLUME'!AG552,'BD Otimix'!O:O)+SUMIF('BD Otimix'!A:A,'BD VOLUME'!AH552,'BD Otimix'!O:O)+SUMIF('BD Otimix'!A:A,'BD VOLUME'!AI552,'BD Otimix'!O:O)+SUMIF('BD Otimix'!A:A,'BD VOLUME'!AJ552,'BD Otimix'!O:O)+SUMIF('BD Otimix'!A:A,'BD VOLUME'!AF552,'BD Otimix'!O:O),0)</f>
        <v>0</v>
      </c>
      <c r="AL552" s="7">
        <f t="shared" si="183"/>
        <v>0</v>
      </c>
    </row>
    <row r="553" spans="1:38">
      <c r="A553" s="651">
        <v>13188</v>
      </c>
      <c r="B553" s="651" t="s">
        <v>2374</v>
      </c>
      <c r="C553" s="5" t="s">
        <v>2237</v>
      </c>
      <c r="D553" s="5" t="s">
        <v>868</v>
      </c>
      <c r="E553" s="5" t="s">
        <v>1641</v>
      </c>
      <c r="F553" s="132">
        <f>SUMIF('COLAR PLANO'!$A:$A,A553,'COLAR PLANO'!$D:$D)</f>
        <v>0</v>
      </c>
      <c r="G553" s="131">
        <f t="shared" ref="G553:G596" si="185">IFERROR(F553/($E$3*$C$3),0)</f>
        <v>0</v>
      </c>
      <c r="H553" s="6">
        <v>0.14065243077485973</v>
      </c>
      <c r="I553" s="7">
        <f t="shared" ref="I553:I596" si="186">IFERROR(G553/$D$3/H553,0)</f>
        <v>0</v>
      </c>
      <c r="J553" s="130">
        <f t="shared" ref="J553:J596" si="187">IFERROR(I553/$B$472,0)</f>
        <v>0</v>
      </c>
      <c r="K553" s="651">
        <v>1</v>
      </c>
      <c r="L553" s="651">
        <v>12</v>
      </c>
      <c r="M553" s="651">
        <v>12</v>
      </c>
      <c r="N553" s="7">
        <f t="shared" si="184"/>
        <v>0</v>
      </c>
      <c r="O553" s="7">
        <f>IFERROR(G553/M553,0)</f>
        <v>0</v>
      </c>
      <c r="P553" s="7"/>
      <c r="Q553" s="7"/>
      <c r="R553" s="7"/>
      <c r="S553" s="7"/>
      <c r="T553" s="7"/>
      <c r="U553" s="7" t="s">
        <v>2288</v>
      </c>
      <c r="V553" s="7" t="s">
        <v>2289</v>
      </c>
      <c r="W553" s="7" t="str">
        <f>Preencher!$B$3&amp;U553&amp;V553&amp;A553&amp;$W$6</f>
        <v>JARINU-FRG13188MQ.TUNEL DE CG (CONTINUO)</v>
      </c>
      <c r="X553" s="7" t="str">
        <f>Preencher!$B$3&amp;U553&amp;V553&amp;A553&amp;$X$6</f>
        <v>JARINU-FRG13188MQ.TUNEL DE CG (CONTINUO) (1)</v>
      </c>
      <c r="Y553" s="7" t="str">
        <f>Preencher!$B$3&amp;U553&amp;V553&amp;A553&amp;$Y$6</f>
        <v>JARINU-FRG13188MQ.TUNEL DE CG (CONTINUO) (2)</v>
      </c>
      <c r="Z553" s="7" t="str">
        <f>Preencher!$B$3&amp;U553&amp;V553&amp;A553&amp;$Z$6</f>
        <v>JARINU-FRG13188MQ.TUNEL DE CG (CONTINUO) (3)</v>
      </c>
      <c r="AA553" s="7" t="str">
        <f>Preencher!$B$3&amp;U553&amp;V553&amp;A553&amp;$AA$6</f>
        <v>JARINU-FRG13188MQ.TUNEL DE CG (ESTATICO)</v>
      </c>
      <c r="AB553" s="7" t="str">
        <f>Preencher!$B$3&amp;U553&amp;V553&amp;A553&amp;$AB$6</f>
        <v>JARINU-FRG13188MQ.TUNEL DE CG (ESTATICO) (1)</v>
      </c>
      <c r="AC553" s="7" t="str">
        <f>Preencher!$B$3&amp;U553&amp;V553&amp;A553&amp;$AC$6</f>
        <v>JARINU-FRG13188MQ.TUNEL DE CG (ESTATICO) (2)</v>
      </c>
      <c r="AD553" s="327">
        <f>IFERROR(SUMIF('BD Otimix'!A:A,'BD VOLUME'!X553,'BD Otimix'!O:O)+SUMIF('BD Otimix'!A:A,'BD VOLUME'!Y553,'BD Otimix'!O:O)+SUMIF('BD Otimix'!A:A,'BD VOLUME'!Z553,'BD Otimix'!O:O)+SUMIF('BD Otimix'!A:A,'BD VOLUME'!AA553,'BD Otimix'!O:O)+SUMIF('BD Otimix'!A:A,'BD VOLUME'!AB553,'BD Otimix'!O:O)+SUMIF('BD Otimix'!A:A,'BD VOLUME'!AC553,'BD Otimix'!O:O)+SUMIF('BD Otimix'!A:A,'BD VOLUME'!W553,'BD Otimix'!O:O),0)</f>
        <v>0</v>
      </c>
      <c r="AE553" s="327">
        <f t="shared" si="182"/>
        <v>0</v>
      </c>
      <c r="AF553" s="7" t="str">
        <f>Preencher!$B$3&amp;$U$8&amp;$V$8&amp;A553&amp;$AF$6</f>
        <v>JARINU-FRG13188MQ.GIROFREEZER</v>
      </c>
      <c r="AG553" s="7" t="str">
        <f>Preencher!$B$3&amp;$U$8&amp;$V$8&amp;A553&amp;$AG$6</f>
        <v>JARINU-FRG13188MQ.GIROFREEZER (1)</v>
      </c>
      <c r="AH553" s="7" t="str">
        <f>Preencher!$B$3&amp;$U$8&amp;$V$8&amp;A553&amp;$AH$6</f>
        <v>JARINU-FRG13188MQ.GIROFREEZER (2)</v>
      </c>
      <c r="AI553" s="7" t="str">
        <f>Preencher!$B$3&amp;$U$8&amp;$V$8&amp;A553&amp;$AI$6</f>
        <v>JARINU-FRG13188MQ.GIROFREEZER REV04</v>
      </c>
      <c r="AJ553" s="7" t="str">
        <f>Preencher!$B$3&amp;$U$8&amp;$V$8&amp;A553&amp;$AJ$6</f>
        <v>JARINU-FRG13188MQ.GIROFREEZER (3)</v>
      </c>
      <c r="AK553" s="327">
        <f>IFERROR(SUMIF('BD Otimix'!A:A,'BD VOLUME'!AG553,'BD Otimix'!O:O)+SUMIF('BD Otimix'!A:A,'BD VOLUME'!AH553,'BD Otimix'!O:O)+SUMIF('BD Otimix'!A:A,'BD VOLUME'!AI553,'BD Otimix'!O:O)+SUMIF('BD Otimix'!A:A,'BD VOLUME'!AJ553,'BD Otimix'!O:O)+SUMIF('BD Otimix'!A:A,'BD VOLUME'!AF553,'BD Otimix'!O:O),0)</f>
        <v>0</v>
      </c>
      <c r="AL553" s="7">
        <f t="shared" si="183"/>
        <v>0</v>
      </c>
    </row>
    <row r="554" spans="1:38">
      <c r="A554" s="651">
        <v>958603</v>
      </c>
      <c r="B554" s="651" t="s">
        <v>2375</v>
      </c>
      <c r="C554" s="5" t="s">
        <v>2276</v>
      </c>
      <c r="D554" s="5" t="s">
        <v>868</v>
      </c>
      <c r="E554" s="5" t="s">
        <v>2400</v>
      </c>
      <c r="F554" s="132">
        <f>SUMIF('COLAR PLANO'!$A:$A,A554,'COLAR PLANO'!$D:$D)</f>
        <v>0</v>
      </c>
      <c r="G554" s="131">
        <f t="shared" si="185"/>
        <v>0</v>
      </c>
      <c r="H554" s="6">
        <v>0.14065243077485973</v>
      </c>
      <c r="I554" s="7">
        <f t="shared" si="186"/>
        <v>0</v>
      </c>
      <c r="J554" s="130">
        <f t="shared" si="187"/>
        <v>0</v>
      </c>
      <c r="K554" s="651">
        <v>1</v>
      </c>
      <c r="L554" s="651">
        <v>12</v>
      </c>
      <c r="M554" s="651">
        <v>12</v>
      </c>
      <c r="N554" s="7">
        <f t="shared" si="184"/>
        <v>0</v>
      </c>
      <c r="O554" s="7"/>
      <c r="P554" s="7">
        <f t="shared" si="179"/>
        <v>0</v>
      </c>
      <c r="Q554" s="7"/>
      <c r="R554" s="7"/>
      <c r="S554" s="7"/>
      <c r="T554" s="7"/>
      <c r="U554" s="7" t="s">
        <v>2288</v>
      </c>
      <c r="V554" s="7" t="s">
        <v>2289</v>
      </c>
      <c r="W554" s="7" t="str">
        <f>Preencher!$B$3&amp;U554&amp;V554&amp;A554&amp;$W$6</f>
        <v>JARINU-FRG958603MQ.TUNEL DE CG (CONTINUO)</v>
      </c>
      <c r="X554" s="7" t="str">
        <f>Preencher!$B$3&amp;U554&amp;V554&amp;A554&amp;$X$6</f>
        <v>JARINU-FRG958603MQ.TUNEL DE CG (CONTINUO) (1)</v>
      </c>
      <c r="Y554" s="7" t="str">
        <f>Preencher!$B$3&amp;U554&amp;V554&amp;A554&amp;$Y$6</f>
        <v>JARINU-FRG958603MQ.TUNEL DE CG (CONTINUO) (2)</v>
      </c>
      <c r="Z554" s="7" t="str">
        <f>Preencher!$B$3&amp;U554&amp;V554&amp;A554&amp;$Z$6</f>
        <v>JARINU-FRG958603MQ.TUNEL DE CG (CONTINUO) (3)</v>
      </c>
      <c r="AA554" s="7" t="str">
        <f>Preencher!$B$3&amp;U554&amp;V554&amp;A554&amp;$AA$6</f>
        <v>JARINU-FRG958603MQ.TUNEL DE CG (ESTATICO)</v>
      </c>
      <c r="AB554" s="7" t="str">
        <f>Preencher!$B$3&amp;U554&amp;V554&amp;A554&amp;$AB$6</f>
        <v>JARINU-FRG958603MQ.TUNEL DE CG (ESTATICO) (1)</v>
      </c>
      <c r="AC554" s="7" t="str">
        <f>Preencher!$B$3&amp;U554&amp;V554&amp;A554&amp;$AC$6</f>
        <v>JARINU-FRG958603MQ.TUNEL DE CG (ESTATICO) (2)</v>
      </c>
      <c r="AD554" s="327">
        <f>IFERROR(SUMIF('BD Otimix'!A:A,'BD VOLUME'!X554,'BD Otimix'!O:O)+SUMIF('BD Otimix'!A:A,'BD VOLUME'!Y554,'BD Otimix'!O:O)+SUMIF('BD Otimix'!A:A,'BD VOLUME'!Z554,'BD Otimix'!O:O)+SUMIF('BD Otimix'!A:A,'BD VOLUME'!AA554,'BD Otimix'!O:O)+SUMIF('BD Otimix'!A:A,'BD VOLUME'!AB554,'BD Otimix'!O:O)+SUMIF('BD Otimix'!A:A,'BD VOLUME'!AC554,'BD Otimix'!O:O)+SUMIF('BD Otimix'!A:A,'BD VOLUME'!W554,'BD Otimix'!O:O),0)</f>
        <v>0</v>
      </c>
      <c r="AE554" s="327">
        <f t="shared" si="182"/>
        <v>0</v>
      </c>
      <c r="AF554" s="7" t="str">
        <f>Preencher!$B$3&amp;$U$8&amp;$V$8&amp;A554&amp;$AF$6</f>
        <v>JARINU-FRG958603MQ.GIROFREEZER</v>
      </c>
      <c r="AG554" s="7" t="str">
        <f>Preencher!$B$3&amp;$U$8&amp;$V$8&amp;A554&amp;$AG$6</f>
        <v>JARINU-FRG958603MQ.GIROFREEZER (1)</v>
      </c>
      <c r="AH554" s="7" t="str">
        <f>Preencher!$B$3&amp;$U$8&amp;$V$8&amp;A554&amp;$AH$6</f>
        <v>JARINU-FRG958603MQ.GIROFREEZER (2)</v>
      </c>
      <c r="AI554" s="7" t="str">
        <f>Preencher!$B$3&amp;$U$8&amp;$V$8&amp;A554&amp;$AI$6</f>
        <v>JARINU-FRG958603MQ.GIROFREEZER REV04</v>
      </c>
      <c r="AJ554" s="7" t="str">
        <f>Preencher!$B$3&amp;$U$8&amp;$V$8&amp;A554&amp;$AJ$6</f>
        <v>JARINU-FRG958603MQ.GIROFREEZER (3)</v>
      </c>
      <c r="AK554" s="327">
        <f>IFERROR(SUMIF('BD Otimix'!A:A,'BD VOLUME'!AG554,'BD Otimix'!O:O)+SUMIF('BD Otimix'!A:A,'BD VOLUME'!AH554,'BD Otimix'!O:O)+SUMIF('BD Otimix'!A:A,'BD VOLUME'!AI554,'BD Otimix'!O:O)+SUMIF('BD Otimix'!A:A,'BD VOLUME'!AJ554,'BD Otimix'!O:O)+SUMIF('BD Otimix'!A:A,'BD VOLUME'!AF554,'BD Otimix'!O:O),0)</f>
        <v>0</v>
      </c>
      <c r="AL554" s="7">
        <f t="shared" si="183"/>
        <v>0</v>
      </c>
    </row>
    <row r="555" spans="1:38">
      <c r="A555" s="789">
        <v>209299</v>
      </c>
      <c r="B555" s="789"/>
      <c r="C555" s="5" t="s">
        <v>3113</v>
      </c>
      <c r="D555" s="5" t="s">
        <v>868</v>
      </c>
      <c r="E555" s="5" t="s">
        <v>2400</v>
      </c>
      <c r="F555" s="132">
        <f>SUMIF('COLAR PLANO'!$A:$A,A555,'COLAR PLANO'!$D:$D)</f>
        <v>0</v>
      </c>
      <c r="G555" s="131">
        <f>IFERROR(F555/($E$3*$C$3),0)</f>
        <v>0</v>
      </c>
      <c r="H555" s="6">
        <v>0.14065243077485973</v>
      </c>
      <c r="I555" s="7">
        <f>IFERROR(G555/$D$3/H555,0)</f>
        <v>0</v>
      </c>
      <c r="J555" s="130">
        <f>IFERROR(I555/$B$472,0)</f>
        <v>0</v>
      </c>
      <c r="K555" s="789">
        <v>1</v>
      </c>
      <c r="L555" s="789">
        <v>12</v>
      </c>
      <c r="M555" s="789">
        <v>12</v>
      </c>
      <c r="N555" s="7">
        <f>IFERROR(G555/K555,"-")</f>
        <v>0</v>
      </c>
      <c r="O555" s="7"/>
      <c r="P555" s="7">
        <f>IFERROR(G555/M555,0)</f>
        <v>0</v>
      </c>
      <c r="Q555" s="7"/>
      <c r="R555" s="7"/>
      <c r="S555" s="7"/>
      <c r="T555" s="7"/>
      <c r="U555" s="7" t="s">
        <v>2288</v>
      </c>
      <c r="V555" s="7" t="s">
        <v>2289</v>
      </c>
      <c r="W555" s="7" t="str">
        <f>Preencher!$B$3&amp;U555&amp;V555&amp;A555&amp;$W$6</f>
        <v>JARINU-FRG209299MQ.TUNEL DE CG (CONTINUO)</v>
      </c>
      <c r="X555" s="7" t="str">
        <f>Preencher!$B$3&amp;U555&amp;V555&amp;A555&amp;$X$6</f>
        <v>JARINU-FRG209299MQ.TUNEL DE CG (CONTINUO) (1)</v>
      </c>
      <c r="Y555" s="7" t="str">
        <f>Preencher!$B$3&amp;U555&amp;V555&amp;A555&amp;$Y$6</f>
        <v>JARINU-FRG209299MQ.TUNEL DE CG (CONTINUO) (2)</v>
      </c>
      <c r="Z555" s="7" t="str">
        <f>Preencher!$B$3&amp;U555&amp;V555&amp;A555&amp;$Z$6</f>
        <v>JARINU-FRG209299MQ.TUNEL DE CG (CONTINUO) (3)</v>
      </c>
      <c r="AA555" s="7" t="str">
        <f>Preencher!$B$3&amp;U555&amp;V555&amp;A555&amp;$AA$6</f>
        <v>JARINU-FRG209299MQ.TUNEL DE CG (ESTATICO)</v>
      </c>
      <c r="AB555" s="7" t="str">
        <f>Preencher!$B$3&amp;U555&amp;V555&amp;A555&amp;$AB$6</f>
        <v>JARINU-FRG209299MQ.TUNEL DE CG (ESTATICO) (1)</v>
      </c>
      <c r="AC555" s="7" t="str">
        <f>Preencher!$B$3&amp;U555&amp;V555&amp;A555&amp;$AC$6</f>
        <v>JARINU-FRG209299MQ.TUNEL DE CG (ESTATICO) (2)</v>
      </c>
      <c r="AD555" s="327">
        <f>IFERROR(SUMIF('BD Otimix'!A:A,'BD VOLUME'!X555,'BD Otimix'!O:O)+SUMIF('BD Otimix'!A:A,'BD VOLUME'!Y555,'BD Otimix'!O:O)+SUMIF('BD Otimix'!A:A,'BD VOLUME'!Z555,'BD Otimix'!O:O)+SUMIF('BD Otimix'!A:A,'BD VOLUME'!AA555,'BD Otimix'!O:O)+SUMIF('BD Otimix'!A:A,'BD VOLUME'!AB555,'BD Otimix'!O:O)+SUMIF('BD Otimix'!A:A,'BD VOLUME'!AC555,'BD Otimix'!O:O)+SUMIF('BD Otimix'!A:A,'BD VOLUME'!W555,'BD Otimix'!O:O),0)</f>
        <v>0</v>
      </c>
      <c r="AE555" s="327">
        <f>IFERROR(F555/$E$3/1000/AD555,0)</f>
        <v>0</v>
      </c>
      <c r="AF555" s="7" t="str">
        <f>Preencher!$B$3&amp;$U$8&amp;$V$8&amp;A555&amp;$AF$6</f>
        <v>JARINU-FRG209299MQ.GIROFREEZER</v>
      </c>
      <c r="AG555" s="7" t="str">
        <f>Preencher!$B$3&amp;$U$8&amp;$V$8&amp;A555&amp;$AG$6</f>
        <v>JARINU-FRG209299MQ.GIROFREEZER (1)</v>
      </c>
      <c r="AH555" s="7" t="str">
        <f>Preencher!$B$3&amp;$U$8&amp;$V$8&amp;A555&amp;$AH$6</f>
        <v>JARINU-FRG209299MQ.GIROFREEZER (2)</v>
      </c>
      <c r="AI555" s="7" t="str">
        <f>Preencher!$B$3&amp;$U$8&amp;$V$8&amp;A555&amp;$AI$6</f>
        <v>JARINU-FRG209299MQ.GIROFREEZER REV04</v>
      </c>
      <c r="AJ555" s="7" t="str">
        <f>Preencher!$B$3&amp;$U$8&amp;$V$8&amp;A555&amp;$AJ$6</f>
        <v>JARINU-FRG209299MQ.GIROFREEZER (3)</v>
      </c>
      <c r="AK555" s="327">
        <f>IFERROR(SUMIF('BD Otimix'!A:A,'BD VOLUME'!AG555,'BD Otimix'!O:O)+SUMIF('BD Otimix'!A:A,'BD VOLUME'!AH555,'BD Otimix'!O:O)+SUMIF('BD Otimix'!A:A,'BD VOLUME'!AI555,'BD Otimix'!O:O)+SUMIF('BD Otimix'!A:A,'BD VOLUME'!AJ555,'BD Otimix'!O:O)+SUMIF('BD Otimix'!A:A,'BD VOLUME'!AF555,'BD Otimix'!O:O),0)</f>
        <v>0</v>
      </c>
      <c r="AL555" s="7">
        <f>IFERROR(F555/$E$3/1000/AK555,0)</f>
        <v>0</v>
      </c>
    </row>
    <row r="556" spans="1:38">
      <c r="A556" s="710">
        <v>42897</v>
      </c>
      <c r="B556" s="710" t="s">
        <v>2707</v>
      </c>
      <c r="C556" s="5" t="s">
        <v>2708</v>
      </c>
      <c r="D556" s="5" t="s">
        <v>868</v>
      </c>
      <c r="E556" s="5" t="s">
        <v>925</v>
      </c>
      <c r="F556" s="132">
        <f>SUMIF('COLAR PLANO'!$A:$A,A556,'COLAR PLANO'!$D:$D)</f>
        <v>0</v>
      </c>
      <c r="G556" s="131">
        <f t="shared" ref="G556:G563" si="188">IFERROR(F556/($E$3*$C$3),0)</f>
        <v>0</v>
      </c>
      <c r="H556" s="6">
        <v>0.1946</v>
      </c>
      <c r="I556" s="7">
        <f>IFERROR(G556/$D$3/H556,0)</f>
        <v>0</v>
      </c>
      <c r="J556" s="130">
        <f>IFERROR(I556/$B$472,0)</f>
        <v>0</v>
      </c>
      <c r="K556" s="710">
        <v>2</v>
      </c>
      <c r="L556" s="710">
        <v>6</v>
      </c>
      <c r="M556" s="710">
        <v>12</v>
      </c>
      <c r="N556" s="7">
        <f>IFERROR(G556/K556,"-")</f>
        <v>0</v>
      </c>
      <c r="O556" s="7"/>
      <c r="P556" s="7">
        <f>IFERROR(G556/M556,0)</f>
        <v>0</v>
      </c>
      <c r="Q556" s="7"/>
      <c r="R556" s="7"/>
      <c r="S556" s="7"/>
      <c r="T556" s="7"/>
      <c r="U556" s="7" t="s">
        <v>2288</v>
      </c>
      <c r="V556" s="7" t="s">
        <v>2289</v>
      </c>
      <c r="W556" s="7" t="str">
        <f>Preencher!$B$3&amp;U556&amp;V556&amp;A556&amp;$W$6</f>
        <v>JARINU-FRG42897MQ.TUNEL DE CG (CONTINUO)</v>
      </c>
      <c r="X556" s="7" t="str">
        <f>Preencher!$B$3&amp;U556&amp;V556&amp;A556&amp;$X$6</f>
        <v>JARINU-FRG42897MQ.TUNEL DE CG (CONTINUO) (1)</v>
      </c>
      <c r="Y556" s="7" t="str">
        <f>Preencher!$B$3&amp;U556&amp;V556&amp;A556&amp;$Y$6</f>
        <v>JARINU-FRG42897MQ.TUNEL DE CG (CONTINUO) (2)</v>
      </c>
      <c r="Z556" s="7" t="str">
        <f>Preencher!$B$3&amp;U556&amp;V556&amp;A556&amp;$Z$6</f>
        <v>JARINU-FRG42897MQ.TUNEL DE CG (CONTINUO) (3)</v>
      </c>
      <c r="AA556" s="7" t="str">
        <f>Preencher!$B$3&amp;U556&amp;V556&amp;A556&amp;$AA$6</f>
        <v>JARINU-FRG42897MQ.TUNEL DE CG (ESTATICO)</v>
      </c>
      <c r="AB556" s="7" t="str">
        <f>Preencher!$B$3&amp;U556&amp;V556&amp;A556&amp;$AB$6</f>
        <v>JARINU-FRG42897MQ.TUNEL DE CG (ESTATICO) (1)</v>
      </c>
      <c r="AC556" s="7" t="str">
        <f>Preencher!$B$3&amp;U556&amp;V556&amp;A556&amp;$AC$6</f>
        <v>JARINU-FRG42897MQ.TUNEL DE CG (ESTATICO) (2)</v>
      </c>
      <c r="AD556" s="327">
        <f>IFERROR(SUMIF('BD Otimix'!A:A,'BD VOLUME'!X556,'BD Otimix'!O:O)+SUMIF('BD Otimix'!A:A,'BD VOLUME'!Y556,'BD Otimix'!O:O)+SUMIF('BD Otimix'!A:A,'BD VOLUME'!Z556,'BD Otimix'!O:O)+SUMIF('BD Otimix'!A:A,'BD VOLUME'!AA556,'BD Otimix'!O:O)+SUMIF('BD Otimix'!A:A,'BD VOLUME'!AB556,'BD Otimix'!O:O)+SUMIF('BD Otimix'!A:A,'BD VOLUME'!AC556,'BD Otimix'!O:O)+SUMIF('BD Otimix'!A:A,'BD VOLUME'!W556,'BD Otimix'!O:O),0)</f>
        <v>0</v>
      </c>
      <c r="AE556" s="327">
        <f t="shared" si="182"/>
        <v>0</v>
      </c>
      <c r="AF556" s="7" t="str">
        <f>Preencher!$B$3&amp;$U$8&amp;$V$8&amp;A556&amp;$AF$6</f>
        <v>JARINU-FRG42897MQ.GIROFREEZER</v>
      </c>
      <c r="AG556" s="7" t="str">
        <f>Preencher!$B$3&amp;$U$8&amp;$V$8&amp;A556&amp;$AG$6</f>
        <v>JARINU-FRG42897MQ.GIROFREEZER (1)</v>
      </c>
      <c r="AH556" s="7" t="str">
        <f>Preencher!$B$3&amp;$U$8&amp;$V$8&amp;A556&amp;$AH$6</f>
        <v>JARINU-FRG42897MQ.GIROFREEZER (2)</v>
      </c>
      <c r="AI556" s="7" t="str">
        <f>Preencher!$B$3&amp;$U$8&amp;$V$8&amp;A556&amp;$AI$6</f>
        <v>JARINU-FRG42897MQ.GIROFREEZER REV04</v>
      </c>
      <c r="AJ556" s="7" t="str">
        <f>Preencher!$B$3&amp;$U$8&amp;$V$8&amp;A556&amp;$AJ$6</f>
        <v>JARINU-FRG42897MQ.GIROFREEZER (3)</v>
      </c>
      <c r="AK556" s="327">
        <f>IFERROR(SUMIF('BD Otimix'!A:A,'BD VOLUME'!AG556,'BD Otimix'!O:O)+SUMIF('BD Otimix'!A:A,'BD VOLUME'!AH556,'BD Otimix'!O:O)+SUMIF('BD Otimix'!A:A,'BD VOLUME'!AI556,'BD Otimix'!O:O)+SUMIF('BD Otimix'!A:A,'BD VOLUME'!AJ556,'BD Otimix'!O:O)+SUMIF('BD Otimix'!A:A,'BD VOLUME'!AF556,'BD Otimix'!O:O),0)</f>
        <v>0</v>
      </c>
      <c r="AL556" s="7">
        <f t="shared" si="183"/>
        <v>0</v>
      </c>
    </row>
    <row r="557" spans="1:38">
      <c r="A557" s="710">
        <v>41106</v>
      </c>
      <c r="B557" s="710" t="s">
        <v>2709</v>
      </c>
      <c r="C557" s="5" t="s">
        <v>2710</v>
      </c>
      <c r="D557" s="5" t="s">
        <v>868</v>
      </c>
      <c r="E557" s="5" t="s">
        <v>925</v>
      </c>
      <c r="F557" s="132">
        <f>SUMIF('COLAR PLANO'!$A:$A,A557,'COLAR PLANO'!$D:$D)</f>
        <v>0</v>
      </c>
      <c r="G557" s="131">
        <f t="shared" si="188"/>
        <v>0</v>
      </c>
      <c r="H557" s="6">
        <v>0.1946</v>
      </c>
      <c r="I557" s="7">
        <f t="shared" ref="I557:I562" si="189">IFERROR(G557/$D$3/H557,0)</f>
        <v>0</v>
      </c>
      <c r="J557" s="130">
        <f t="shared" ref="J557:J562" si="190">IFERROR(I557/$B$472,0)</f>
        <v>0</v>
      </c>
      <c r="K557" s="710">
        <v>2</v>
      </c>
      <c r="L557" s="710">
        <v>6</v>
      </c>
      <c r="M557" s="710">
        <v>12</v>
      </c>
      <c r="N557" s="7">
        <f t="shared" ref="N557:N563" si="191">IFERROR(G557/K557,"-")</f>
        <v>0</v>
      </c>
      <c r="O557" s="7"/>
      <c r="P557" s="7">
        <f t="shared" ref="P557:P563" si="192">IFERROR(G557/M557,0)</f>
        <v>0</v>
      </c>
      <c r="Q557" s="7"/>
      <c r="R557" s="7"/>
      <c r="S557" s="7"/>
      <c r="T557" s="7"/>
      <c r="U557" s="7" t="s">
        <v>2288</v>
      </c>
      <c r="V557" s="7" t="s">
        <v>2289</v>
      </c>
      <c r="W557" s="7" t="str">
        <f>Preencher!$B$3&amp;U557&amp;V557&amp;A557&amp;$W$6</f>
        <v>JARINU-FRG41106MQ.TUNEL DE CG (CONTINUO)</v>
      </c>
      <c r="X557" s="7" t="str">
        <f>Preencher!$B$3&amp;U557&amp;V557&amp;A557&amp;$X$6</f>
        <v>JARINU-FRG41106MQ.TUNEL DE CG (CONTINUO) (1)</v>
      </c>
      <c r="Y557" s="7" t="str">
        <f>Preencher!$B$3&amp;U557&amp;V557&amp;A557&amp;$Y$6</f>
        <v>JARINU-FRG41106MQ.TUNEL DE CG (CONTINUO) (2)</v>
      </c>
      <c r="Z557" s="7" t="str">
        <f>Preencher!$B$3&amp;U557&amp;V557&amp;A557&amp;$Z$6</f>
        <v>JARINU-FRG41106MQ.TUNEL DE CG (CONTINUO) (3)</v>
      </c>
      <c r="AA557" s="7" t="str">
        <f>Preencher!$B$3&amp;U557&amp;V557&amp;A557&amp;$AA$6</f>
        <v>JARINU-FRG41106MQ.TUNEL DE CG (ESTATICO)</v>
      </c>
      <c r="AB557" s="7" t="str">
        <f>Preencher!$B$3&amp;U557&amp;V557&amp;A557&amp;$AB$6</f>
        <v>JARINU-FRG41106MQ.TUNEL DE CG (ESTATICO) (1)</v>
      </c>
      <c r="AC557" s="7" t="str">
        <f>Preencher!$B$3&amp;U557&amp;V557&amp;A557&amp;$AC$6</f>
        <v>JARINU-FRG41106MQ.TUNEL DE CG (ESTATICO) (2)</v>
      </c>
      <c r="AD557" s="327">
        <f>IFERROR(SUMIF('BD Otimix'!A:A,'BD VOLUME'!X557,'BD Otimix'!O:O)+SUMIF('BD Otimix'!A:A,'BD VOLUME'!Y557,'BD Otimix'!O:O)+SUMIF('BD Otimix'!A:A,'BD VOLUME'!Z557,'BD Otimix'!O:O)+SUMIF('BD Otimix'!A:A,'BD VOLUME'!AA557,'BD Otimix'!O:O)+SUMIF('BD Otimix'!A:A,'BD VOLUME'!AB557,'BD Otimix'!O:O)+SUMIF('BD Otimix'!A:A,'BD VOLUME'!AC557,'BD Otimix'!O:O)+SUMIF('BD Otimix'!A:A,'BD VOLUME'!W557,'BD Otimix'!O:O),0)</f>
        <v>0</v>
      </c>
      <c r="AE557" s="327">
        <f t="shared" ref="AE557:AE563" si="193">IFERROR(F557/$E$3/1000/AD557,0)</f>
        <v>0</v>
      </c>
      <c r="AF557" s="7" t="str">
        <f>Preencher!$B$3&amp;$U$8&amp;$V$8&amp;A557&amp;$AF$6</f>
        <v>JARINU-FRG41106MQ.GIROFREEZER</v>
      </c>
      <c r="AG557" s="7" t="str">
        <f>Preencher!$B$3&amp;$U$8&amp;$V$8&amp;A557&amp;$AG$6</f>
        <v>JARINU-FRG41106MQ.GIROFREEZER (1)</v>
      </c>
      <c r="AH557" s="7" t="str">
        <f>Preencher!$B$3&amp;$U$8&amp;$V$8&amp;A557&amp;$AH$6</f>
        <v>JARINU-FRG41106MQ.GIROFREEZER (2)</v>
      </c>
      <c r="AI557" s="7" t="str">
        <f>Preencher!$B$3&amp;$U$8&amp;$V$8&amp;A557&amp;$AI$6</f>
        <v>JARINU-FRG41106MQ.GIROFREEZER REV04</v>
      </c>
      <c r="AJ557" s="7" t="str">
        <f>Preencher!$B$3&amp;$U$8&amp;$V$8&amp;A557&amp;$AJ$6</f>
        <v>JARINU-FRG41106MQ.GIROFREEZER (3)</v>
      </c>
      <c r="AK557" s="327">
        <f>IFERROR(SUMIF('BD Otimix'!A:A,'BD VOLUME'!AG557,'BD Otimix'!O:O)+SUMIF('BD Otimix'!A:A,'BD VOLUME'!AH557,'BD Otimix'!O:O)+SUMIF('BD Otimix'!A:A,'BD VOLUME'!AI557,'BD Otimix'!O:O)+SUMIF('BD Otimix'!A:A,'BD VOLUME'!AJ557,'BD Otimix'!O:O)+SUMIF('BD Otimix'!A:A,'BD VOLUME'!AF557,'BD Otimix'!O:O),0)</f>
        <v>0</v>
      </c>
      <c r="AL557" s="7">
        <f t="shared" ref="AL557:AL563" si="194">IFERROR(F557/$E$3/1000/AK557,0)</f>
        <v>0</v>
      </c>
    </row>
    <row r="558" spans="1:38">
      <c r="A558" s="710">
        <v>46221</v>
      </c>
      <c r="B558" s="710" t="s">
        <v>2711</v>
      </c>
      <c r="C558" s="5" t="s">
        <v>2712</v>
      </c>
      <c r="D558" s="5" t="s">
        <v>868</v>
      </c>
      <c r="E558" s="5" t="s">
        <v>925</v>
      </c>
      <c r="F558" s="132">
        <f>SUMIF('COLAR PLANO'!$A:$A,A558,'COLAR PLANO'!$D:$D)</f>
        <v>0</v>
      </c>
      <c r="G558" s="131">
        <f t="shared" si="188"/>
        <v>0</v>
      </c>
      <c r="H558" s="6">
        <v>0.1946</v>
      </c>
      <c r="I558" s="7">
        <f t="shared" si="189"/>
        <v>0</v>
      </c>
      <c r="J558" s="130">
        <f t="shared" si="190"/>
        <v>0</v>
      </c>
      <c r="K558" s="710">
        <v>2</v>
      </c>
      <c r="L558" s="710">
        <v>6</v>
      </c>
      <c r="M558" s="710">
        <v>12</v>
      </c>
      <c r="N558" s="7">
        <f t="shared" si="191"/>
        <v>0</v>
      </c>
      <c r="O558" s="7"/>
      <c r="P558" s="7">
        <f t="shared" si="192"/>
        <v>0</v>
      </c>
      <c r="Q558" s="7"/>
      <c r="R558" s="7"/>
      <c r="S558" s="7"/>
      <c r="T558" s="7"/>
      <c r="U558" s="7" t="s">
        <v>2288</v>
      </c>
      <c r="V558" s="7" t="s">
        <v>2289</v>
      </c>
      <c r="W558" s="7" t="str">
        <f>Preencher!$B$3&amp;U558&amp;V558&amp;A558&amp;$W$6</f>
        <v>JARINU-FRG46221MQ.TUNEL DE CG (CONTINUO)</v>
      </c>
      <c r="X558" s="7" t="str">
        <f>Preencher!$B$3&amp;U558&amp;V558&amp;A558&amp;$X$6</f>
        <v>JARINU-FRG46221MQ.TUNEL DE CG (CONTINUO) (1)</v>
      </c>
      <c r="Y558" s="7" t="str">
        <f>Preencher!$B$3&amp;U558&amp;V558&amp;A558&amp;$Y$6</f>
        <v>JARINU-FRG46221MQ.TUNEL DE CG (CONTINUO) (2)</v>
      </c>
      <c r="Z558" s="7" t="str">
        <f>Preencher!$B$3&amp;U558&amp;V558&amp;A558&amp;$Z$6</f>
        <v>JARINU-FRG46221MQ.TUNEL DE CG (CONTINUO) (3)</v>
      </c>
      <c r="AA558" s="7" t="str">
        <f>Preencher!$B$3&amp;U558&amp;V558&amp;A558&amp;$AA$6</f>
        <v>JARINU-FRG46221MQ.TUNEL DE CG (ESTATICO)</v>
      </c>
      <c r="AB558" s="7" t="str">
        <f>Preencher!$B$3&amp;U558&amp;V558&amp;A558&amp;$AB$6</f>
        <v>JARINU-FRG46221MQ.TUNEL DE CG (ESTATICO) (1)</v>
      </c>
      <c r="AC558" s="7" t="str">
        <f>Preencher!$B$3&amp;U558&amp;V558&amp;A558&amp;$AC$6</f>
        <v>JARINU-FRG46221MQ.TUNEL DE CG (ESTATICO) (2)</v>
      </c>
      <c r="AD558" s="327">
        <f>IFERROR(SUMIF('BD Otimix'!A:A,'BD VOLUME'!X558,'BD Otimix'!O:O)+SUMIF('BD Otimix'!A:A,'BD VOLUME'!Y558,'BD Otimix'!O:O)+SUMIF('BD Otimix'!A:A,'BD VOLUME'!Z558,'BD Otimix'!O:O)+SUMIF('BD Otimix'!A:A,'BD VOLUME'!AA558,'BD Otimix'!O:O)+SUMIF('BD Otimix'!A:A,'BD VOLUME'!AB558,'BD Otimix'!O:O)+SUMIF('BD Otimix'!A:A,'BD VOLUME'!AC558,'BD Otimix'!O:O)+SUMIF('BD Otimix'!A:A,'BD VOLUME'!W558,'BD Otimix'!O:O),0)</f>
        <v>0</v>
      </c>
      <c r="AE558" s="327">
        <f t="shared" si="193"/>
        <v>0</v>
      </c>
      <c r="AF558" s="7" t="str">
        <f>Preencher!$B$3&amp;$U$8&amp;$V$8&amp;A558&amp;$AF$6</f>
        <v>JARINU-FRG46221MQ.GIROFREEZER</v>
      </c>
      <c r="AG558" s="7" t="str">
        <f>Preencher!$B$3&amp;$U$8&amp;$V$8&amp;A558&amp;$AG$6</f>
        <v>JARINU-FRG46221MQ.GIROFREEZER (1)</v>
      </c>
      <c r="AH558" s="7" t="str">
        <f>Preencher!$B$3&amp;$U$8&amp;$V$8&amp;A558&amp;$AH$6</f>
        <v>JARINU-FRG46221MQ.GIROFREEZER (2)</v>
      </c>
      <c r="AI558" s="7" t="str">
        <f>Preencher!$B$3&amp;$U$8&amp;$V$8&amp;A558&amp;$AI$6</f>
        <v>JARINU-FRG46221MQ.GIROFREEZER REV04</v>
      </c>
      <c r="AJ558" s="7" t="str">
        <f>Preencher!$B$3&amp;$U$8&amp;$V$8&amp;A558&amp;$AJ$6</f>
        <v>JARINU-FRG46221MQ.GIROFREEZER (3)</v>
      </c>
      <c r="AK558" s="327">
        <f>IFERROR(SUMIF('BD Otimix'!A:A,'BD VOLUME'!AG558,'BD Otimix'!O:O)+SUMIF('BD Otimix'!A:A,'BD VOLUME'!AH558,'BD Otimix'!O:O)+SUMIF('BD Otimix'!A:A,'BD VOLUME'!AI558,'BD Otimix'!O:O)+SUMIF('BD Otimix'!A:A,'BD VOLUME'!AJ558,'BD Otimix'!O:O)+SUMIF('BD Otimix'!A:A,'BD VOLUME'!AF558,'BD Otimix'!O:O),0)</f>
        <v>0</v>
      </c>
      <c r="AL558" s="7">
        <f t="shared" si="194"/>
        <v>0</v>
      </c>
    </row>
    <row r="559" spans="1:38">
      <c r="A559" s="710">
        <v>46329</v>
      </c>
      <c r="B559" s="710" t="s">
        <v>2713</v>
      </c>
      <c r="C559" s="5" t="s">
        <v>2714</v>
      </c>
      <c r="D559" s="5" t="s">
        <v>868</v>
      </c>
      <c r="E559" s="5" t="s">
        <v>925</v>
      </c>
      <c r="F559" s="132">
        <f>SUMIF('COLAR PLANO'!$A:$A,A559,'COLAR PLANO'!$D:$D)</f>
        <v>0</v>
      </c>
      <c r="G559" s="131">
        <f t="shared" si="188"/>
        <v>0</v>
      </c>
      <c r="H559" s="6">
        <v>0.1946</v>
      </c>
      <c r="I559" s="7">
        <f t="shared" si="189"/>
        <v>0</v>
      </c>
      <c r="J559" s="130">
        <f t="shared" si="190"/>
        <v>0</v>
      </c>
      <c r="K559" s="710">
        <v>2</v>
      </c>
      <c r="L559" s="710">
        <v>6</v>
      </c>
      <c r="M559" s="710">
        <v>12</v>
      </c>
      <c r="N559" s="7">
        <f t="shared" si="191"/>
        <v>0</v>
      </c>
      <c r="O559" s="7"/>
      <c r="P559" s="7">
        <f t="shared" si="192"/>
        <v>0</v>
      </c>
      <c r="Q559" s="7"/>
      <c r="R559" s="7"/>
      <c r="S559" s="7"/>
      <c r="T559" s="7"/>
      <c r="U559" s="7" t="s">
        <v>2288</v>
      </c>
      <c r="V559" s="7" t="s">
        <v>2289</v>
      </c>
      <c r="W559" s="7" t="str">
        <f>Preencher!$B$3&amp;U559&amp;V559&amp;A559&amp;$W$6</f>
        <v>JARINU-FRG46329MQ.TUNEL DE CG (CONTINUO)</v>
      </c>
      <c r="X559" s="7" t="str">
        <f>Preencher!$B$3&amp;U559&amp;V559&amp;A559&amp;$X$6</f>
        <v>JARINU-FRG46329MQ.TUNEL DE CG (CONTINUO) (1)</v>
      </c>
      <c r="Y559" s="7" t="str">
        <f>Preencher!$B$3&amp;U559&amp;V559&amp;A559&amp;$Y$6</f>
        <v>JARINU-FRG46329MQ.TUNEL DE CG (CONTINUO) (2)</v>
      </c>
      <c r="Z559" s="7" t="str">
        <f>Preencher!$B$3&amp;U559&amp;V559&amp;A559&amp;$Z$6</f>
        <v>JARINU-FRG46329MQ.TUNEL DE CG (CONTINUO) (3)</v>
      </c>
      <c r="AA559" s="7" t="str">
        <f>Preencher!$B$3&amp;U559&amp;V559&amp;A559&amp;$AA$6</f>
        <v>JARINU-FRG46329MQ.TUNEL DE CG (ESTATICO)</v>
      </c>
      <c r="AB559" s="7" t="str">
        <f>Preencher!$B$3&amp;U559&amp;V559&amp;A559&amp;$AB$6</f>
        <v>JARINU-FRG46329MQ.TUNEL DE CG (ESTATICO) (1)</v>
      </c>
      <c r="AC559" s="7" t="str">
        <f>Preencher!$B$3&amp;U559&amp;V559&amp;A559&amp;$AC$6</f>
        <v>JARINU-FRG46329MQ.TUNEL DE CG (ESTATICO) (2)</v>
      </c>
      <c r="AD559" s="327">
        <f>IFERROR(SUMIF('BD Otimix'!A:A,'BD VOLUME'!X559,'BD Otimix'!O:O)+SUMIF('BD Otimix'!A:A,'BD VOLUME'!Y559,'BD Otimix'!O:O)+SUMIF('BD Otimix'!A:A,'BD VOLUME'!Z559,'BD Otimix'!O:O)+SUMIF('BD Otimix'!A:A,'BD VOLUME'!AA559,'BD Otimix'!O:O)+SUMIF('BD Otimix'!A:A,'BD VOLUME'!AB559,'BD Otimix'!O:O)+SUMIF('BD Otimix'!A:A,'BD VOLUME'!AC559,'BD Otimix'!O:O)+SUMIF('BD Otimix'!A:A,'BD VOLUME'!W559,'BD Otimix'!O:O),0)</f>
        <v>0</v>
      </c>
      <c r="AE559" s="327">
        <f t="shared" si="193"/>
        <v>0</v>
      </c>
      <c r="AF559" s="7" t="str">
        <f>Preencher!$B$3&amp;$U$8&amp;$V$8&amp;A559&amp;$AF$6</f>
        <v>JARINU-FRG46329MQ.GIROFREEZER</v>
      </c>
      <c r="AG559" s="7" t="str">
        <f>Preencher!$B$3&amp;$U$8&amp;$V$8&amp;A559&amp;$AG$6</f>
        <v>JARINU-FRG46329MQ.GIROFREEZER (1)</v>
      </c>
      <c r="AH559" s="7" t="str">
        <f>Preencher!$B$3&amp;$U$8&amp;$V$8&amp;A559&amp;$AH$6</f>
        <v>JARINU-FRG46329MQ.GIROFREEZER (2)</v>
      </c>
      <c r="AI559" s="7" t="str">
        <f>Preencher!$B$3&amp;$U$8&amp;$V$8&amp;A559&amp;$AI$6</f>
        <v>JARINU-FRG46329MQ.GIROFREEZER REV04</v>
      </c>
      <c r="AJ559" s="7" t="str">
        <f>Preencher!$B$3&amp;$U$8&amp;$V$8&amp;A559&amp;$AJ$6</f>
        <v>JARINU-FRG46329MQ.GIROFREEZER (3)</v>
      </c>
      <c r="AK559" s="327">
        <f>IFERROR(SUMIF('BD Otimix'!A:A,'BD VOLUME'!AG559,'BD Otimix'!O:O)+SUMIF('BD Otimix'!A:A,'BD VOLUME'!AH559,'BD Otimix'!O:O)+SUMIF('BD Otimix'!A:A,'BD VOLUME'!AI559,'BD Otimix'!O:O)+SUMIF('BD Otimix'!A:A,'BD VOLUME'!AJ559,'BD Otimix'!O:O)+SUMIF('BD Otimix'!A:A,'BD VOLUME'!AF559,'BD Otimix'!O:O),0)</f>
        <v>0</v>
      </c>
      <c r="AL559" s="7">
        <f t="shared" si="194"/>
        <v>0</v>
      </c>
    </row>
    <row r="560" spans="1:38">
      <c r="A560" s="710">
        <v>52191</v>
      </c>
      <c r="B560" s="710" t="s">
        <v>2715</v>
      </c>
      <c r="C560" s="5" t="s">
        <v>2716</v>
      </c>
      <c r="D560" s="5" t="s">
        <v>868</v>
      </c>
      <c r="E560" s="5" t="s">
        <v>925</v>
      </c>
      <c r="F560" s="132">
        <f>SUMIF('COLAR PLANO'!$A:$A,A560,'COLAR PLANO'!$D:$D)</f>
        <v>0</v>
      </c>
      <c r="G560" s="131">
        <f t="shared" si="188"/>
        <v>0</v>
      </c>
      <c r="H560" s="6">
        <v>0.1946</v>
      </c>
      <c r="I560" s="7">
        <f t="shared" si="189"/>
        <v>0</v>
      </c>
      <c r="J560" s="130">
        <f t="shared" si="190"/>
        <v>0</v>
      </c>
      <c r="K560" s="710">
        <v>2</v>
      </c>
      <c r="L560" s="710">
        <v>6</v>
      </c>
      <c r="M560" s="710">
        <v>12</v>
      </c>
      <c r="N560" s="7">
        <f t="shared" si="191"/>
        <v>0</v>
      </c>
      <c r="O560" s="7"/>
      <c r="P560" s="7">
        <f t="shared" si="192"/>
        <v>0</v>
      </c>
      <c r="Q560" s="7"/>
      <c r="R560" s="7"/>
      <c r="S560" s="7"/>
      <c r="T560" s="7"/>
      <c r="U560" s="7" t="s">
        <v>2288</v>
      </c>
      <c r="V560" s="7" t="s">
        <v>2289</v>
      </c>
      <c r="W560" s="7" t="str">
        <f>Preencher!$B$3&amp;U560&amp;V560&amp;A560&amp;$W$6</f>
        <v>JARINU-FRG52191MQ.TUNEL DE CG (CONTINUO)</v>
      </c>
      <c r="X560" s="7" t="str">
        <f>Preencher!$B$3&amp;U560&amp;V560&amp;A560&amp;$X$6</f>
        <v>JARINU-FRG52191MQ.TUNEL DE CG (CONTINUO) (1)</v>
      </c>
      <c r="Y560" s="7" t="str">
        <f>Preencher!$B$3&amp;U560&amp;V560&amp;A560&amp;$Y$6</f>
        <v>JARINU-FRG52191MQ.TUNEL DE CG (CONTINUO) (2)</v>
      </c>
      <c r="Z560" s="7" t="str">
        <f>Preencher!$B$3&amp;U560&amp;V560&amp;A560&amp;$Z$6</f>
        <v>JARINU-FRG52191MQ.TUNEL DE CG (CONTINUO) (3)</v>
      </c>
      <c r="AA560" s="7" t="str">
        <f>Preencher!$B$3&amp;U560&amp;V560&amp;A560&amp;$AA$6</f>
        <v>JARINU-FRG52191MQ.TUNEL DE CG (ESTATICO)</v>
      </c>
      <c r="AB560" s="7" t="str">
        <f>Preencher!$B$3&amp;U560&amp;V560&amp;A560&amp;$AB$6</f>
        <v>JARINU-FRG52191MQ.TUNEL DE CG (ESTATICO) (1)</v>
      </c>
      <c r="AC560" s="7" t="str">
        <f>Preencher!$B$3&amp;U560&amp;V560&amp;A560&amp;$AC$6</f>
        <v>JARINU-FRG52191MQ.TUNEL DE CG (ESTATICO) (2)</v>
      </c>
      <c r="AD560" s="327">
        <f>IFERROR(SUMIF('BD Otimix'!A:A,'BD VOLUME'!X560,'BD Otimix'!O:O)+SUMIF('BD Otimix'!A:A,'BD VOLUME'!Y560,'BD Otimix'!O:O)+SUMIF('BD Otimix'!A:A,'BD VOLUME'!Z560,'BD Otimix'!O:O)+SUMIF('BD Otimix'!A:A,'BD VOLUME'!AA560,'BD Otimix'!O:O)+SUMIF('BD Otimix'!A:A,'BD VOLUME'!AB560,'BD Otimix'!O:O)+SUMIF('BD Otimix'!A:A,'BD VOLUME'!AC560,'BD Otimix'!O:O)+SUMIF('BD Otimix'!A:A,'BD VOLUME'!W560,'BD Otimix'!O:O),0)</f>
        <v>0</v>
      </c>
      <c r="AE560" s="327">
        <f t="shared" si="193"/>
        <v>0</v>
      </c>
      <c r="AF560" s="7" t="str">
        <f>Preencher!$B$3&amp;$U$8&amp;$V$8&amp;A560&amp;$AF$6</f>
        <v>JARINU-FRG52191MQ.GIROFREEZER</v>
      </c>
      <c r="AG560" s="7" t="str">
        <f>Preencher!$B$3&amp;$U$8&amp;$V$8&amp;A560&amp;$AG$6</f>
        <v>JARINU-FRG52191MQ.GIROFREEZER (1)</v>
      </c>
      <c r="AH560" s="7" t="str">
        <f>Preencher!$B$3&amp;$U$8&amp;$V$8&amp;A560&amp;$AH$6</f>
        <v>JARINU-FRG52191MQ.GIROFREEZER (2)</v>
      </c>
      <c r="AI560" s="7" t="str">
        <f>Preencher!$B$3&amp;$U$8&amp;$V$8&amp;A560&amp;$AI$6</f>
        <v>JARINU-FRG52191MQ.GIROFREEZER REV04</v>
      </c>
      <c r="AJ560" s="7" t="str">
        <f>Preencher!$B$3&amp;$U$8&amp;$V$8&amp;A560&amp;$AJ$6</f>
        <v>JARINU-FRG52191MQ.GIROFREEZER (3)</v>
      </c>
      <c r="AK560" s="327">
        <f>IFERROR(SUMIF('BD Otimix'!A:A,'BD VOLUME'!AG560,'BD Otimix'!O:O)+SUMIF('BD Otimix'!A:A,'BD VOLUME'!AH560,'BD Otimix'!O:O)+SUMIF('BD Otimix'!A:A,'BD VOLUME'!AI560,'BD Otimix'!O:O)+SUMIF('BD Otimix'!A:A,'BD VOLUME'!AJ560,'BD Otimix'!O:O)+SUMIF('BD Otimix'!A:A,'BD VOLUME'!AF560,'BD Otimix'!O:O),0)</f>
        <v>0</v>
      </c>
      <c r="AL560" s="7">
        <f t="shared" si="194"/>
        <v>0</v>
      </c>
    </row>
    <row r="561" spans="1:38">
      <c r="A561" s="710">
        <v>981958</v>
      </c>
      <c r="B561" s="710" t="s">
        <v>2717</v>
      </c>
      <c r="C561" s="5" t="s">
        <v>2718</v>
      </c>
      <c r="D561" s="5" t="s">
        <v>868</v>
      </c>
      <c r="E561" s="5" t="s">
        <v>925</v>
      </c>
      <c r="F561" s="132">
        <f>SUMIF('COLAR PLANO'!$A:$A,A561,'COLAR PLANO'!$D:$D)</f>
        <v>0</v>
      </c>
      <c r="G561" s="131">
        <f t="shared" si="188"/>
        <v>0</v>
      </c>
      <c r="H561" s="6">
        <v>0.1946</v>
      </c>
      <c r="I561" s="7">
        <f t="shared" si="189"/>
        <v>0</v>
      </c>
      <c r="J561" s="130">
        <f t="shared" si="190"/>
        <v>0</v>
      </c>
      <c r="K561" s="710">
        <v>2</v>
      </c>
      <c r="L561" s="710">
        <v>6</v>
      </c>
      <c r="M561" s="710">
        <v>12</v>
      </c>
      <c r="N561" s="7">
        <f t="shared" si="191"/>
        <v>0</v>
      </c>
      <c r="O561" s="7"/>
      <c r="P561" s="7">
        <f t="shared" si="192"/>
        <v>0</v>
      </c>
      <c r="Q561" s="7"/>
      <c r="R561" s="7"/>
      <c r="S561" s="7"/>
      <c r="T561" s="7"/>
      <c r="U561" s="7" t="s">
        <v>2288</v>
      </c>
      <c r="V561" s="7" t="s">
        <v>2289</v>
      </c>
      <c r="W561" s="7" t="str">
        <f>Preencher!$B$3&amp;U561&amp;V561&amp;A561&amp;$W$6</f>
        <v>JARINU-FRG981958MQ.TUNEL DE CG (CONTINUO)</v>
      </c>
      <c r="X561" s="7" t="str">
        <f>Preencher!$B$3&amp;U561&amp;V561&amp;A561&amp;$X$6</f>
        <v>JARINU-FRG981958MQ.TUNEL DE CG (CONTINUO) (1)</v>
      </c>
      <c r="Y561" s="7" t="str">
        <f>Preencher!$B$3&amp;U561&amp;V561&amp;A561&amp;$Y$6</f>
        <v>JARINU-FRG981958MQ.TUNEL DE CG (CONTINUO) (2)</v>
      </c>
      <c r="Z561" s="7" t="str">
        <f>Preencher!$B$3&amp;U561&amp;V561&amp;A561&amp;$Z$6</f>
        <v>JARINU-FRG981958MQ.TUNEL DE CG (CONTINUO) (3)</v>
      </c>
      <c r="AA561" s="7" t="str">
        <f>Preencher!$B$3&amp;U561&amp;V561&amp;A561&amp;$AA$6</f>
        <v>JARINU-FRG981958MQ.TUNEL DE CG (ESTATICO)</v>
      </c>
      <c r="AB561" s="7" t="str">
        <f>Preencher!$B$3&amp;U561&amp;V561&amp;A561&amp;$AB$6</f>
        <v>JARINU-FRG981958MQ.TUNEL DE CG (ESTATICO) (1)</v>
      </c>
      <c r="AC561" s="7" t="str">
        <f>Preencher!$B$3&amp;U561&amp;V561&amp;A561&amp;$AC$6</f>
        <v>JARINU-FRG981958MQ.TUNEL DE CG (ESTATICO) (2)</v>
      </c>
      <c r="AD561" s="327">
        <f>IFERROR(SUMIF('BD Otimix'!A:A,'BD VOLUME'!X561,'BD Otimix'!O:O)+SUMIF('BD Otimix'!A:A,'BD VOLUME'!Y561,'BD Otimix'!O:O)+SUMIF('BD Otimix'!A:A,'BD VOLUME'!Z561,'BD Otimix'!O:O)+SUMIF('BD Otimix'!A:A,'BD VOLUME'!AA561,'BD Otimix'!O:O)+SUMIF('BD Otimix'!A:A,'BD VOLUME'!AB561,'BD Otimix'!O:O)+SUMIF('BD Otimix'!A:A,'BD VOLUME'!AC561,'BD Otimix'!O:O)+SUMIF('BD Otimix'!A:A,'BD VOLUME'!W561,'BD Otimix'!O:O),0)</f>
        <v>0</v>
      </c>
      <c r="AE561" s="327">
        <f t="shared" si="193"/>
        <v>0</v>
      </c>
      <c r="AF561" s="7" t="str">
        <f>Preencher!$B$3&amp;$U$8&amp;$V$8&amp;A561&amp;$AF$6</f>
        <v>JARINU-FRG981958MQ.GIROFREEZER</v>
      </c>
      <c r="AG561" s="7" t="str">
        <f>Preencher!$B$3&amp;$U$8&amp;$V$8&amp;A561&amp;$AG$6</f>
        <v>JARINU-FRG981958MQ.GIROFREEZER (1)</v>
      </c>
      <c r="AH561" s="7" t="str">
        <f>Preencher!$B$3&amp;$U$8&amp;$V$8&amp;A561&amp;$AH$6</f>
        <v>JARINU-FRG981958MQ.GIROFREEZER (2)</v>
      </c>
      <c r="AI561" s="7" t="str">
        <f>Preencher!$B$3&amp;$U$8&amp;$V$8&amp;A561&amp;$AI$6</f>
        <v>JARINU-FRG981958MQ.GIROFREEZER REV04</v>
      </c>
      <c r="AJ561" s="7" t="str">
        <f>Preencher!$B$3&amp;$U$8&amp;$V$8&amp;A561&amp;$AJ$6</f>
        <v>JARINU-FRG981958MQ.GIROFREEZER (3)</v>
      </c>
      <c r="AK561" s="327">
        <f>IFERROR(SUMIF('BD Otimix'!A:A,'BD VOLUME'!AG561,'BD Otimix'!O:O)+SUMIF('BD Otimix'!A:A,'BD VOLUME'!AH561,'BD Otimix'!O:O)+SUMIF('BD Otimix'!A:A,'BD VOLUME'!AI561,'BD Otimix'!O:O)+SUMIF('BD Otimix'!A:A,'BD VOLUME'!AJ561,'BD Otimix'!O:O)+SUMIF('BD Otimix'!A:A,'BD VOLUME'!AF561,'BD Otimix'!O:O),0)</f>
        <v>0</v>
      </c>
      <c r="AL561" s="7">
        <f t="shared" si="194"/>
        <v>0</v>
      </c>
    </row>
    <row r="562" spans="1:38">
      <c r="A562" s="710">
        <v>661660</v>
      </c>
      <c r="B562" s="710" t="s">
        <v>2719</v>
      </c>
      <c r="C562" s="5" t="s">
        <v>2720</v>
      </c>
      <c r="D562" s="5" t="s">
        <v>868</v>
      </c>
      <c r="E562" s="5" t="s">
        <v>925</v>
      </c>
      <c r="F562" s="132">
        <f>SUMIF('COLAR PLANO'!$A:$A,A562,'COLAR PLANO'!$D:$D)</f>
        <v>0</v>
      </c>
      <c r="G562" s="131">
        <f t="shared" si="188"/>
        <v>0</v>
      </c>
      <c r="H562" s="6">
        <v>0.1946</v>
      </c>
      <c r="I562" s="7">
        <f t="shared" si="189"/>
        <v>0</v>
      </c>
      <c r="J562" s="130">
        <f t="shared" si="190"/>
        <v>0</v>
      </c>
      <c r="K562" s="710">
        <v>2</v>
      </c>
      <c r="L562" s="710">
        <v>6</v>
      </c>
      <c r="M562" s="710">
        <v>12</v>
      </c>
      <c r="N562" s="7">
        <f t="shared" si="191"/>
        <v>0</v>
      </c>
      <c r="O562" s="7"/>
      <c r="P562" s="7">
        <f t="shared" si="192"/>
        <v>0</v>
      </c>
      <c r="Q562" s="7"/>
      <c r="R562" s="7"/>
      <c r="S562" s="7"/>
      <c r="T562" s="7"/>
      <c r="U562" s="7" t="s">
        <v>2288</v>
      </c>
      <c r="V562" s="7" t="s">
        <v>2289</v>
      </c>
      <c r="W562" s="7" t="str">
        <f>Preencher!$B$3&amp;U562&amp;V562&amp;A562&amp;$W$6</f>
        <v>JARINU-FRG661660MQ.TUNEL DE CG (CONTINUO)</v>
      </c>
      <c r="X562" s="7" t="str">
        <f>Preencher!$B$3&amp;U562&amp;V562&amp;A562&amp;$X$6</f>
        <v>JARINU-FRG661660MQ.TUNEL DE CG (CONTINUO) (1)</v>
      </c>
      <c r="Y562" s="7" t="str">
        <f>Preencher!$B$3&amp;U562&amp;V562&amp;A562&amp;$Y$6</f>
        <v>JARINU-FRG661660MQ.TUNEL DE CG (CONTINUO) (2)</v>
      </c>
      <c r="Z562" s="7" t="str">
        <f>Preencher!$B$3&amp;U562&amp;V562&amp;A562&amp;$Z$6</f>
        <v>JARINU-FRG661660MQ.TUNEL DE CG (CONTINUO) (3)</v>
      </c>
      <c r="AA562" s="7" t="str">
        <f>Preencher!$B$3&amp;U562&amp;V562&amp;A562&amp;$AA$6</f>
        <v>JARINU-FRG661660MQ.TUNEL DE CG (ESTATICO)</v>
      </c>
      <c r="AB562" s="7" t="str">
        <f>Preencher!$B$3&amp;U562&amp;V562&amp;A562&amp;$AB$6</f>
        <v>JARINU-FRG661660MQ.TUNEL DE CG (ESTATICO) (1)</v>
      </c>
      <c r="AC562" s="7" t="str">
        <f>Preencher!$B$3&amp;U562&amp;V562&amp;A562&amp;$AC$6</f>
        <v>JARINU-FRG661660MQ.TUNEL DE CG (ESTATICO) (2)</v>
      </c>
      <c r="AD562" s="327">
        <f>IFERROR(SUMIF('BD Otimix'!A:A,'BD VOLUME'!X562,'BD Otimix'!O:O)+SUMIF('BD Otimix'!A:A,'BD VOLUME'!Y562,'BD Otimix'!O:O)+SUMIF('BD Otimix'!A:A,'BD VOLUME'!Z562,'BD Otimix'!O:O)+SUMIF('BD Otimix'!A:A,'BD VOLUME'!AA562,'BD Otimix'!O:O)+SUMIF('BD Otimix'!A:A,'BD VOLUME'!AB562,'BD Otimix'!O:O)+SUMIF('BD Otimix'!A:A,'BD VOLUME'!AC562,'BD Otimix'!O:O)+SUMIF('BD Otimix'!A:A,'BD VOLUME'!W562,'BD Otimix'!O:O),0)</f>
        <v>0</v>
      </c>
      <c r="AE562" s="327">
        <f t="shared" si="193"/>
        <v>0</v>
      </c>
      <c r="AF562" s="7" t="str">
        <f>Preencher!$B$3&amp;$U$8&amp;$V$8&amp;A562&amp;$AF$6</f>
        <v>JARINU-FRG661660MQ.GIROFREEZER</v>
      </c>
      <c r="AG562" s="7" t="str">
        <f>Preencher!$B$3&amp;$U$8&amp;$V$8&amp;A562&amp;$AG$6</f>
        <v>JARINU-FRG661660MQ.GIROFREEZER (1)</v>
      </c>
      <c r="AH562" s="7" t="str">
        <f>Preencher!$B$3&amp;$U$8&amp;$V$8&amp;A562&amp;$AH$6</f>
        <v>JARINU-FRG661660MQ.GIROFREEZER (2)</v>
      </c>
      <c r="AI562" s="7" t="str">
        <f>Preencher!$B$3&amp;$U$8&amp;$V$8&amp;A562&amp;$AI$6</f>
        <v>JARINU-FRG661660MQ.GIROFREEZER REV04</v>
      </c>
      <c r="AJ562" s="7" t="str">
        <f>Preencher!$B$3&amp;$U$8&amp;$V$8&amp;A562&amp;$AJ$6</f>
        <v>JARINU-FRG661660MQ.GIROFREEZER (3)</v>
      </c>
      <c r="AK562" s="327">
        <f>IFERROR(SUMIF('BD Otimix'!A:A,'BD VOLUME'!AG562,'BD Otimix'!O:O)+SUMIF('BD Otimix'!A:A,'BD VOLUME'!AH562,'BD Otimix'!O:O)+SUMIF('BD Otimix'!A:A,'BD VOLUME'!AI562,'BD Otimix'!O:O)+SUMIF('BD Otimix'!A:A,'BD VOLUME'!AJ562,'BD Otimix'!O:O)+SUMIF('BD Otimix'!A:A,'BD VOLUME'!AF562,'BD Otimix'!O:O),0)</f>
        <v>0</v>
      </c>
      <c r="AL562" s="7">
        <f t="shared" si="194"/>
        <v>0</v>
      </c>
    </row>
    <row r="563" spans="1:38">
      <c r="A563" s="710">
        <v>15369</v>
      </c>
      <c r="B563" s="710" t="s">
        <v>2721</v>
      </c>
      <c r="C563" s="5" t="s">
        <v>2722</v>
      </c>
      <c r="D563" s="5" t="s">
        <v>868</v>
      </c>
      <c r="E563" s="5" t="s">
        <v>1080</v>
      </c>
      <c r="F563" s="132">
        <f>SUMIF('COLAR PLANO'!$A:$A,A563,'COLAR PLANO'!$D:$D)</f>
        <v>0</v>
      </c>
      <c r="G563" s="131">
        <f t="shared" si="188"/>
        <v>0</v>
      </c>
      <c r="H563" s="6">
        <v>0.1946</v>
      </c>
      <c r="I563" s="7">
        <f t="shared" ref="I563:I571" si="195">IFERROR(G563/$D$3/H563,0)</f>
        <v>0</v>
      </c>
      <c r="J563" s="130">
        <f t="shared" ref="J563:J571" si="196">IFERROR(I563/$B$472,0)</f>
        <v>0</v>
      </c>
      <c r="K563" s="710">
        <v>15</v>
      </c>
      <c r="L563" s="710">
        <v>1</v>
      </c>
      <c r="M563" s="710">
        <v>15</v>
      </c>
      <c r="N563" s="7">
        <f t="shared" si="191"/>
        <v>0</v>
      </c>
      <c r="P563" s="7">
        <f t="shared" si="192"/>
        <v>0</v>
      </c>
      <c r="Q563" s="7"/>
      <c r="R563" s="7"/>
      <c r="S563" s="7"/>
      <c r="T563" s="7"/>
      <c r="U563" s="7" t="s">
        <v>2288</v>
      </c>
      <c r="V563" s="7" t="s">
        <v>2289</v>
      </c>
      <c r="W563" s="7" t="str">
        <f>Preencher!$B$3&amp;U563&amp;V563&amp;A563&amp;$W$6</f>
        <v>JARINU-FRG15369MQ.TUNEL DE CG (CONTINUO)</v>
      </c>
      <c r="X563" s="7" t="str">
        <f>Preencher!$B$3&amp;U563&amp;V563&amp;A563&amp;$X$6</f>
        <v>JARINU-FRG15369MQ.TUNEL DE CG (CONTINUO) (1)</v>
      </c>
      <c r="Y563" s="7" t="str">
        <f>Preencher!$B$3&amp;U563&amp;V563&amp;A563&amp;$Y$6</f>
        <v>JARINU-FRG15369MQ.TUNEL DE CG (CONTINUO) (2)</v>
      </c>
      <c r="Z563" s="7" t="str">
        <f>Preencher!$B$3&amp;U563&amp;V563&amp;A563&amp;$Z$6</f>
        <v>JARINU-FRG15369MQ.TUNEL DE CG (CONTINUO) (3)</v>
      </c>
      <c r="AA563" s="7" t="str">
        <f>Preencher!$B$3&amp;U563&amp;V563&amp;A563&amp;$AA$6</f>
        <v>JARINU-FRG15369MQ.TUNEL DE CG (ESTATICO)</v>
      </c>
      <c r="AB563" s="7" t="str">
        <f>Preencher!$B$3&amp;U563&amp;V563&amp;A563&amp;$AB$6</f>
        <v>JARINU-FRG15369MQ.TUNEL DE CG (ESTATICO) (1)</v>
      </c>
      <c r="AC563" s="7" t="str">
        <f>Preencher!$B$3&amp;U563&amp;V563&amp;A563&amp;$AC$6</f>
        <v>JARINU-FRG15369MQ.TUNEL DE CG (ESTATICO) (2)</v>
      </c>
      <c r="AD563" s="327">
        <f>IFERROR(SUMIF('BD Otimix'!A:A,'BD VOLUME'!X563,'BD Otimix'!O:O)+SUMIF('BD Otimix'!A:A,'BD VOLUME'!Y563,'BD Otimix'!O:O)+SUMIF('BD Otimix'!A:A,'BD VOLUME'!Z563,'BD Otimix'!O:O)+SUMIF('BD Otimix'!A:A,'BD VOLUME'!AA563,'BD Otimix'!O:O)+SUMIF('BD Otimix'!A:A,'BD VOLUME'!AB563,'BD Otimix'!O:O)+SUMIF('BD Otimix'!A:A,'BD VOLUME'!AC563,'BD Otimix'!O:O)+SUMIF('BD Otimix'!A:A,'BD VOLUME'!W563,'BD Otimix'!O:O),0)</f>
        <v>0</v>
      </c>
      <c r="AE563" s="327">
        <f t="shared" si="193"/>
        <v>0</v>
      </c>
      <c r="AF563" s="7" t="str">
        <f>Preencher!$B$3&amp;$U$8&amp;$V$8&amp;A563&amp;$AF$6</f>
        <v>JARINU-FRG15369MQ.GIROFREEZER</v>
      </c>
      <c r="AG563" s="7" t="str">
        <f>Preencher!$B$3&amp;$U$8&amp;$V$8&amp;A563&amp;$AG$6</f>
        <v>JARINU-FRG15369MQ.GIROFREEZER (1)</v>
      </c>
      <c r="AH563" s="7" t="str">
        <f>Preencher!$B$3&amp;$U$8&amp;$V$8&amp;A563&amp;$AH$6</f>
        <v>JARINU-FRG15369MQ.GIROFREEZER (2)</v>
      </c>
      <c r="AI563" s="7" t="str">
        <f>Preencher!$B$3&amp;$U$8&amp;$V$8&amp;A563&amp;$AI$6</f>
        <v>JARINU-FRG15369MQ.GIROFREEZER REV04</v>
      </c>
      <c r="AJ563" s="7" t="str">
        <f>Preencher!$B$3&amp;$U$8&amp;$V$8&amp;A563&amp;$AJ$6</f>
        <v>JARINU-FRG15369MQ.GIROFREEZER (3)</v>
      </c>
      <c r="AK563" s="327">
        <f>IFERROR(SUMIF('BD Otimix'!A:A,'BD VOLUME'!AG563,'BD Otimix'!O:O)+SUMIF('BD Otimix'!A:A,'BD VOLUME'!AH563,'BD Otimix'!O:O)+SUMIF('BD Otimix'!A:A,'BD VOLUME'!AI563,'BD Otimix'!O:O)+SUMIF('BD Otimix'!A:A,'BD VOLUME'!AJ563,'BD Otimix'!O:O)+SUMIF('BD Otimix'!A:A,'BD VOLUME'!AF563,'BD Otimix'!O:O),0)</f>
        <v>0</v>
      </c>
      <c r="AL563" s="7">
        <f t="shared" si="194"/>
        <v>0</v>
      </c>
    </row>
    <row r="564" spans="1:38">
      <c r="A564" s="710">
        <v>950697</v>
      </c>
      <c r="B564" s="710" t="s">
        <v>2723</v>
      </c>
      <c r="C564" s="5" t="s">
        <v>2724</v>
      </c>
      <c r="D564" s="5" t="s">
        <v>868</v>
      </c>
      <c r="E564" s="5" t="s">
        <v>1077</v>
      </c>
      <c r="F564" s="132">
        <f>SUMIF('COLAR PLANO'!$A:$A,A564,'COLAR PLANO'!$D:$D)</f>
        <v>0</v>
      </c>
      <c r="G564" s="131">
        <f t="shared" ref="G564:G571" si="197">IFERROR(F564/($E$3*$C$3),0)</f>
        <v>0</v>
      </c>
      <c r="H564" s="6">
        <v>0.19687978691137825</v>
      </c>
      <c r="I564" s="7">
        <f t="shared" si="195"/>
        <v>0</v>
      </c>
      <c r="J564" s="130">
        <f t="shared" si="196"/>
        <v>0</v>
      </c>
      <c r="K564" s="710">
        <v>15</v>
      </c>
      <c r="L564" s="710">
        <v>1</v>
      </c>
      <c r="M564" s="710">
        <v>15</v>
      </c>
      <c r="N564" s="7">
        <f t="shared" ref="N564:N571" si="198">IFERROR(G564/K564,"-")</f>
        <v>0</v>
      </c>
      <c r="O564" s="7"/>
      <c r="P564" s="7">
        <f t="shared" ref="P564:P570" si="199">IFERROR(G564/M564,0)</f>
        <v>0</v>
      </c>
      <c r="Q564" s="7"/>
      <c r="R564" s="7"/>
      <c r="S564" s="7"/>
      <c r="T564" s="7"/>
      <c r="U564" s="7" t="s">
        <v>2288</v>
      </c>
      <c r="V564" s="7" t="s">
        <v>2289</v>
      </c>
      <c r="W564" s="7" t="str">
        <f>Preencher!$B$3&amp;U564&amp;V564&amp;A564&amp;$W$6</f>
        <v>JARINU-FRG950697MQ.TUNEL DE CG (CONTINUO)</v>
      </c>
      <c r="X564" s="7" t="str">
        <f>Preencher!$B$3&amp;U564&amp;V564&amp;A564&amp;$X$6</f>
        <v>JARINU-FRG950697MQ.TUNEL DE CG (CONTINUO) (1)</v>
      </c>
      <c r="Y564" s="7" t="str">
        <f>Preencher!$B$3&amp;U564&amp;V564&amp;A564&amp;$Y$6</f>
        <v>JARINU-FRG950697MQ.TUNEL DE CG (CONTINUO) (2)</v>
      </c>
      <c r="Z564" s="7" t="str">
        <f>Preencher!$B$3&amp;U564&amp;V564&amp;A564&amp;$Z$6</f>
        <v>JARINU-FRG950697MQ.TUNEL DE CG (CONTINUO) (3)</v>
      </c>
      <c r="AA564" s="7" t="str">
        <f>Preencher!$B$3&amp;U564&amp;V564&amp;A564&amp;$AA$6</f>
        <v>JARINU-FRG950697MQ.TUNEL DE CG (ESTATICO)</v>
      </c>
      <c r="AB564" s="7" t="str">
        <f>Preencher!$B$3&amp;U564&amp;V564&amp;A564&amp;$AB$6</f>
        <v>JARINU-FRG950697MQ.TUNEL DE CG (ESTATICO) (1)</v>
      </c>
      <c r="AC564" s="7" t="str">
        <f>Preencher!$B$3&amp;U564&amp;V564&amp;A564&amp;$AC$6</f>
        <v>JARINU-FRG950697MQ.TUNEL DE CG (ESTATICO) (2)</v>
      </c>
      <c r="AD564" s="327">
        <f>IFERROR(SUMIF('BD Otimix'!A:A,'BD VOLUME'!X564,'BD Otimix'!O:O)+SUMIF('BD Otimix'!A:A,'BD VOLUME'!Y564,'BD Otimix'!O:O)+SUMIF('BD Otimix'!A:A,'BD VOLUME'!Z564,'BD Otimix'!O:O)+SUMIF('BD Otimix'!A:A,'BD VOLUME'!AA564,'BD Otimix'!O:O)+SUMIF('BD Otimix'!A:A,'BD VOLUME'!AB564,'BD Otimix'!O:O)+SUMIF('BD Otimix'!A:A,'BD VOLUME'!AC564,'BD Otimix'!O:O)+SUMIF('BD Otimix'!A:A,'BD VOLUME'!W564,'BD Otimix'!O:O),0)</f>
        <v>0</v>
      </c>
      <c r="AE564" s="327">
        <f t="shared" ref="AE564:AE571" si="200">IFERROR(F564/$E$3/1000/AD564,0)</f>
        <v>0</v>
      </c>
      <c r="AF564" s="7" t="str">
        <f>Preencher!$B$3&amp;$U$8&amp;$V$8&amp;A564&amp;$AF$6</f>
        <v>JARINU-FRG950697MQ.GIROFREEZER</v>
      </c>
      <c r="AG564" s="7" t="str">
        <f>Preencher!$B$3&amp;$U$8&amp;$V$8&amp;A564&amp;$AG$6</f>
        <v>JARINU-FRG950697MQ.GIROFREEZER (1)</v>
      </c>
      <c r="AH564" s="7" t="str">
        <f>Preencher!$B$3&amp;$U$8&amp;$V$8&amp;A564&amp;$AH$6</f>
        <v>JARINU-FRG950697MQ.GIROFREEZER (2)</v>
      </c>
      <c r="AI564" s="7" t="str">
        <f>Preencher!$B$3&amp;$U$8&amp;$V$8&amp;A564&amp;$AI$6</f>
        <v>JARINU-FRG950697MQ.GIROFREEZER REV04</v>
      </c>
      <c r="AJ564" s="7" t="str">
        <f>Preencher!$B$3&amp;$U$8&amp;$V$8&amp;A564&amp;$AJ$6</f>
        <v>JARINU-FRG950697MQ.GIROFREEZER (3)</v>
      </c>
      <c r="AK564" s="327">
        <f>IFERROR(SUMIF('BD Otimix'!A:A,'BD VOLUME'!AG564,'BD Otimix'!O:O)+SUMIF('BD Otimix'!A:A,'BD VOLUME'!AH564,'BD Otimix'!O:O)+SUMIF('BD Otimix'!A:A,'BD VOLUME'!AI564,'BD Otimix'!O:O)+SUMIF('BD Otimix'!A:A,'BD VOLUME'!AJ564,'BD Otimix'!O:O)+SUMIF('BD Otimix'!A:A,'BD VOLUME'!AF564,'BD Otimix'!O:O),0)</f>
        <v>0</v>
      </c>
      <c r="AL564" s="7">
        <f t="shared" ref="AL564:AL571" si="201">IFERROR(F564/$E$3/1000/AK564,0)</f>
        <v>0</v>
      </c>
    </row>
    <row r="565" spans="1:38">
      <c r="A565" s="710">
        <v>56430</v>
      </c>
      <c r="B565" s="710" t="s">
        <v>2725</v>
      </c>
      <c r="C565" s="5" t="s">
        <v>2726</v>
      </c>
      <c r="D565" s="5" t="s">
        <v>868</v>
      </c>
      <c r="E565" s="5" t="s">
        <v>1079</v>
      </c>
      <c r="F565" s="132">
        <f>SUMIF('COLAR PLANO'!$A:$A,A565,'COLAR PLANO'!$D:$D)</f>
        <v>0</v>
      </c>
      <c r="G565" s="131">
        <f t="shared" si="197"/>
        <v>0</v>
      </c>
      <c r="H565" s="6">
        <v>0.1946</v>
      </c>
      <c r="I565" s="7">
        <f t="shared" si="195"/>
        <v>0</v>
      </c>
      <c r="J565" s="130">
        <f t="shared" si="196"/>
        <v>0</v>
      </c>
      <c r="K565" s="710">
        <v>7.5</v>
      </c>
      <c r="L565" s="710">
        <v>1</v>
      </c>
      <c r="M565" s="710">
        <v>7.5</v>
      </c>
      <c r="N565" s="7">
        <f t="shared" si="198"/>
        <v>0</v>
      </c>
      <c r="O565" s="7"/>
      <c r="P565" s="7">
        <f t="shared" si="199"/>
        <v>0</v>
      </c>
      <c r="Q565" s="7"/>
      <c r="R565" s="7"/>
      <c r="S565" s="7"/>
      <c r="T565" s="7"/>
      <c r="U565" s="7" t="s">
        <v>2288</v>
      </c>
      <c r="V565" s="7" t="s">
        <v>2289</v>
      </c>
      <c r="W565" s="7" t="str">
        <f>Preencher!$B$3&amp;U565&amp;V565&amp;A565&amp;$W$6</f>
        <v>JARINU-FRG56430MQ.TUNEL DE CG (CONTINUO)</v>
      </c>
      <c r="X565" s="7" t="str">
        <f>Preencher!$B$3&amp;U565&amp;V565&amp;A565&amp;$X$6</f>
        <v>JARINU-FRG56430MQ.TUNEL DE CG (CONTINUO) (1)</v>
      </c>
      <c r="Y565" s="7" t="str">
        <f>Preencher!$B$3&amp;U565&amp;V565&amp;A565&amp;$Y$6</f>
        <v>JARINU-FRG56430MQ.TUNEL DE CG (CONTINUO) (2)</v>
      </c>
      <c r="Z565" s="7" t="str">
        <f>Preencher!$B$3&amp;U565&amp;V565&amp;A565&amp;$Z$6</f>
        <v>JARINU-FRG56430MQ.TUNEL DE CG (CONTINUO) (3)</v>
      </c>
      <c r="AA565" s="7" t="str">
        <f>Preencher!$B$3&amp;U565&amp;V565&amp;A565&amp;$AA$6</f>
        <v>JARINU-FRG56430MQ.TUNEL DE CG (ESTATICO)</v>
      </c>
      <c r="AB565" s="7" t="str">
        <f>Preencher!$B$3&amp;U565&amp;V565&amp;A565&amp;$AB$6</f>
        <v>JARINU-FRG56430MQ.TUNEL DE CG (ESTATICO) (1)</v>
      </c>
      <c r="AC565" s="7" t="str">
        <f>Preencher!$B$3&amp;U565&amp;V565&amp;A565&amp;$AC$6</f>
        <v>JARINU-FRG56430MQ.TUNEL DE CG (ESTATICO) (2)</v>
      </c>
      <c r="AD565" s="327">
        <f>IFERROR(SUMIF('BD Otimix'!A:A,'BD VOLUME'!X565,'BD Otimix'!O:O)+SUMIF('BD Otimix'!A:A,'BD VOLUME'!Y565,'BD Otimix'!O:O)+SUMIF('BD Otimix'!A:A,'BD VOLUME'!Z565,'BD Otimix'!O:O)+SUMIF('BD Otimix'!A:A,'BD VOLUME'!AA565,'BD Otimix'!O:O)+SUMIF('BD Otimix'!A:A,'BD VOLUME'!AB565,'BD Otimix'!O:O)+SUMIF('BD Otimix'!A:A,'BD VOLUME'!AC565,'BD Otimix'!O:O)+SUMIF('BD Otimix'!A:A,'BD VOLUME'!W565,'BD Otimix'!O:O),0)</f>
        <v>0</v>
      </c>
      <c r="AE565" s="327">
        <f t="shared" si="200"/>
        <v>0</v>
      </c>
      <c r="AF565" s="7" t="str">
        <f>Preencher!$B$3&amp;$U$8&amp;$V$8&amp;A565&amp;$AF$6</f>
        <v>JARINU-FRG56430MQ.GIROFREEZER</v>
      </c>
      <c r="AG565" s="7" t="str">
        <f>Preencher!$B$3&amp;$U$8&amp;$V$8&amp;A565&amp;$AG$6</f>
        <v>JARINU-FRG56430MQ.GIROFREEZER (1)</v>
      </c>
      <c r="AH565" s="7" t="str">
        <f>Preencher!$B$3&amp;$U$8&amp;$V$8&amp;A565&amp;$AH$6</f>
        <v>JARINU-FRG56430MQ.GIROFREEZER (2)</v>
      </c>
      <c r="AI565" s="7" t="str">
        <f>Preencher!$B$3&amp;$U$8&amp;$V$8&amp;A565&amp;$AI$6</f>
        <v>JARINU-FRG56430MQ.GIROFREEZER REV04</v>
      </c>
      <c r="AJ565" s="7" t="str">
        <f>Preencher!$B$3&amp;$U$8&amp;$V$8&amp;A565&amp;$AJ$6</f>
        <v>JARINU-FRG56430MQ.GIROFREEZER (3)</v>
      </c>
      <c r="AK565" s="327">
        <f>IFERROR(SUMIF('BD Otimix'!A:A,'BD VOLUME'!AG565,'BD Otimix'!O:O)+SUMIF('BD Otimix'!A:A,'BD VOLUME'!AH565,'BD Otimix'!O:O)+SUMIF('BD Otimix'!A:A,'BD VOLUME'!AI565,'BD Otimix'!O:O)+SUMIF('BD Otimix'!A:A,'BD VOLUME'!AJ565,'BD Otimix'!O:O)+SUMIF('BD Otimix'!A:A,'BD VOLUME'!AF565,'BD Otimix'!O:O),0)</f>
        <v>0</v>
      </c>
      <c r="AL565" s="7">
        <f t="shared" si="201"/>
        <v>0</v>
      </c>
    </row>
    <row r="566" spans="1:38">
      <c r="A566" s="710">
        <v>57100</v>
      </c>
      <c r="B566" s="710" t="s">
        <v>2727</v>
      </c>
      <c r="C566" s="5" t="s">
        <v>2726</v>
      </c>
      <c r="D566" s="5" t="s">
        <v>868</v>
      </c>
      <c r="E566" s="5" t="s">
        <v>1078</v>
      </c>
      <c r="F566" s="132">
        <f>SUMIF('COLAR PLANO'!$A:$A,A566,'COLAR PLANO'!$D:$D)</f>
        <v>0</v>
      </c>
      <c r="G566" s="131">
        <f t="shared" si="197"/>
        <v>0</v>
      </c>
      <c r="H566" s="6">
        <v>0.1946</v>
      </c>
      <c r="I566" s="7">
        <f t="shared" si="195"/>
        <v>0</v>
      </c>
      <c r="J566" s="130">
        <f t="shared" si="196"/>
        <v>0</v>
      </c>
      <c r="K566" s="710">
        <v>2</v>
      </c>
      <c r="L566" s="710">
        <v>6</v>
      </c>
      <c r="M566" s="710">
        <v>12</v>
      </c>
      <c r="N566" s="7">
        <f t="shared" si="198"/>
        <v>0</v>
      </c>
      <c r="O566" s="7"/>
      <c r="P566" s="7">
        <f t="shared" si="199"/>
        <v>0</v>
      </c>
      <c r="Q566" s="7"/>
      <c r="R566" s="7"/>
      <c r="S566" s="7"/>
      <c r="T566" s="7"/>
      <c r="U566" s="7" t="s">
        <v>2288</v>
      </c>
      <c r="V566" s="7" t="s">
        <v>2289</v>
      </c>
      <c r="W566" s="7" t="str">
        <f>Preencher!$B$3&amp;U566&amp;V566&amp;A566&amp;$W$6</f>
        <v>JARINU-FRG57100MQ.TUNEL DE CG (CONTINUO)</v>
      </c>
      <c r="X566" s="7" t="str">
        <f>Preencher!$B$3&amp;U566&amp;V566&amp;A566&amp;$X$6</f>
        <v>JARINU-FRG57100MQ.TUNEL DE CG (CONTINUO) (1)</v>
      </c>
      <c r="Y566" s="7" t="str">
        <f>Preencher!$B$3&amp;U566&amp;V566&amp;A566&amp;$Y$6</f>
        <v>JARINU-FRG57100MQ.TUNEL DE CG (CONTINUO) (2)</v>
      </c>
      <c r="Z566" s="7" t="str">
        <f>Preencher!$B$3&amp;U566&amp;V566&amp;A566&amp;$Z$6</f>
        <v>JARINU-FRG57100MQ.TUNEL DE CG (CONTINUO) (3)</v>
      </c>
      <c r="AA566" s="7" t="str">
        <f>Preencher!$B$3&amp;U566&amp;V566&amp;A566&amp;$AA$6</f>
        <v>JARINU-FRG57100MQ.TUNEL DE CG (ESTATICO)</v>
      </c>
      <c r="AB566" s="7" t="str">
        <f>Preencher!$B$3&amp;U566&amp;V566&amp;A566&amp;$AB$6</f>
        <v>JARINU-FRG57100MQ.TUNEL DE CG (ESTATICO) (1)</v>
      </c>
      <c r="AC566" s="7" t="str">
        <f>Preencher!$B$3&amp;U566&amp;V566&amp;A566&amp;$AC$6</f>
        <v>JARINU-FRG57100MQ.TUNEL DE CG (ESTATICO) (2)</v>
      </c>
      <c r="AD566" s="327">
        <f>IFERROR(SUMIF('BD Otimix'!A:A,'BD VOLUME'!X566,'BD Otimix'!O:O)+SUMIF('BD Otimix'!A:A,'BD VOLUME'!Y566,'BD Otimix'!O:O)+SUMIF('BD Otimix'!A:A,'BD VOLUME'!Z566,'BD Otimix'!O:O)+SUMIF('BD Otimix'!A:A,'BD VOLUME'!AA566,'BD Otimix'!O:O)+SUMIF('BD Otimix'!A:A,'BD VOLUME'!AB566,'BD Otimix'!O:O)+SUMIF('BD Otimix'!A:A,'BD VOLUME'!AC566,'BD Otimix'!O:O)+SUMIF('BD Otimix'!A:A,'BD VOLUME'!W566,'BD Otimix'!O:O),0)</f>
        <v>0</v>
      </c>
      <c r="AE566" s="327">
        <f t="shared" si="200"/>
        <v>0</v>
      </c>
      <c r="AF566" s="7" t="str">
        <f>Preencher!$B$3&amp;$U$8&amp;$V$8&amp;A566&amp;$AF$6</f>
        <v>JARINU-FRG57100MQ.GIROFREEZER</v>
      </c>
      <c r="AG566" s="7" t="str">
        <f>Preencher!$B$3&amp;$U$8&amp;$V$8&amp;A566&amp;$AG$6</f>
        <v>JARINU-FRG57100MQ.GIROFREEZER (1)</v>
      </c>
      <c r="AH566" s="7" t="str">
        <f>Preencher!$B$3&amp;$U$8&amp;$V$8&amp;A566&amp;$AH$6</f>
        <v>JARINU-FRG57100MQ.GIROFREEZER (2)</v>
      </c>
      <c r="AI566" s="7" t="str">
        <f>Preencher!$B$3&amp;$U$8&amp;$V$8&amp;A566&amp;$AI$6</f>
        <v>JARINU-FRG57100MQ.GIROFREEZER REV04</v>
      </c>
      <c r="AJ566" s="7" t="str">
        <f>Preencher!$B$3&amp;$U$8&amp;$V$8&amp;A566&amp;$AJ$6</f>
        <v>JARINU-FRG57100MQ.GIROFREEZER (3)</v>
      </c>
      <c r="AK566" s="327">
        <f>IFERROR(SUMIF('BD Otimix'!A:A,'BD VOLUME'!AG566,'BD Otimix'!O:O)+SUMIF('BD Otimix'!A:A,'BD VOLUME'!AH566,'BD Otimix'!O:O)+SUMIF('BD Otimix'!A:A,'BD VOLUME'!AI566,'BD Otimix'!O:O)+SUMIF('BD Otimix'!A:A,'BD VOLUME'!AJ566,'BD Otimix'!O:O)+SUMIF('BD Otimix'!A:A,'BD VOLUME'!AF566,'BD Otimix'!O:O),0)</f>
        <v>0</v>
      </c>
      <c r="AL566" s="7">
        <f t="shared" si="201"/>
        <v>0</v>
      </c>
    </row>
    <row r="567" spans="1:38">
      <c r="A567" s="710">
        <v>650137</v>
      </c>
      <c r="B567" s="710"/>
      <c r="C567" s="5" t="s">
        <v>2752</v>
      </c>
      <c r="D567" s="5" t="s">
        <v>868</v>
      </c>
      <c r="E567" s="5" t="s">
        <v>2752</v>
      </c>
      <c r="F567" s="132">
        <f>SUMIF('COLAR PLANO'!$A:$A,A567,'COLAR PLANO'!$D:$D)</f>
        <v>0</v>
      </c>
      <c r="G567" s="131">
        <f t="shared" si="197"/>
        <v>0</v>
      </c>
      <c r="H567" s="6">
        <v>0.12</v>
      </c>
      <c r="I567" s="7">
        <f t="shared" si="195"/>
        <v>0</v>
      </c>
      <c r="J567" s="130">
        <f t="shared" si="196"/>
        <v>0</v>
      </c>
      <c r="K567" s="710">
        <v>20</v>
      </c>
      <c r="L567" s="710">
        <v>1</v>
      </c>
      <c r="M567" s="710">
        <v>7.5</v>
      </c>
      <c r="N567" s="7">
        <f t="shared" si="198"/>
        <v>0</v>
      </c>
      <c r="O567" s="7"/>
      <c r="P567" s="7">
        <f t="shared" si="199"/>
        <v>0</v>
      </c>
      <c r="Q567" s="7"/>
      <c r="R567" s="7"/>
      <c r="S567" s="7"/>
      <c r="T567" s="7"/>
      <c r="U567" s="7" t="s">
        <v>2288</v>
      </c>
      <c r="V567" s="7" t="s">
        <v>2289</v>
      </c>
      <c r="W567" s="7" t="str">
        <f>Preencher!$B$3&amp;U567&amp;V567&amp;A567&amp;$W$6</f>
        <v>JARINU-FRG650137MQ.TUNEL DE CG (CONTINUO)</v>
      </c>
      <c r="X567" s="7" t="str">
        <f>Preencher!$B$3&amp;U567&amp;V567&amp;A567&amp;$X$6</f>
        <v>JARINU-FRG650137MQ.TUNEL DE CG (CONTINUO) (1)</v>
      </c>
      <c r="Y567" s="7" t="str">
        <f>Preencher!$B$3&amp;U567&amp;V567&amp;A567&amp;$Y$6</f>
        <v>JARINU-FRG650137MQ.TUNEL DE CG (CONTINUO) (2)</v>
      </c>
      <c r="Z567" s="7" t="str">
        <f>Preencher!$B$3&amp;U567&amp;V567&amp;A567&amp;$Z$6</f>
        <v>JARINU-FRG650137MQ.TUNEL DE CG (CONTINUO) (3)</v>
      </c>
      <c r="AA567" s="7" t="str">
        <f>Preencher!$B$3&amp;U567&amp;V567&amp;A567&amp;$AA$6</f>
        <v>JARINU-FRG650137MQ.TUNEL DE CG (ESTATICO)</v>
      </c>
      <c r="AB567" s="7" t="str">
        <f>Preencher!$B$3&amp;U567&amp;V567&amp;A567&amp;$AB$6</f>
        <v>JARINU-FRG650137MQ.TUNEL DE CG (ESTATICO) (1)</v>
      </c>
      <c r="AC567" s="7" t="str">
        <f>Preencher!$B$3&amp;U567&amp;V567&amp;A567&amp;$AC$6</f>
        <v>JARINU-FRG650137MQ.TUNEL DE CG (ESTATICO) (2)</v>
      </c>
      <c r="AD567" s="327">
        <f>IFERROR(SUMIF('BD Otimix'!A:A,'BD VOLUME'!X567,'BD Otimix'!O:O)+SUMIF('BD Otimix'!A:A,'BD VOLUME'!Y567,'BD Otimix'!O:O)+SUMIF('BD Otimix'!A:A,'BD VOLUME'!Z567,'BD Otimix'!O:O)+SUMIF('BD Otimix'!A:A,'BD VOLUME'!AA567,'BD Otimix'!O:O)+SUMIF('BD Otimix'!A:A,'BD VOLUME'!AB567,'BD Otimix'!O:O)+SUMIF('BD Otimix'!A:A,'BD VOLUME'!AC567,'BD Otimix'!O:O)+SUMIF('BD Otimix'!A:A,'BD VOLUME'!W567,'BD Otimix'!O:O),0)</f>
        <v>0</v>
      </c>
      <c r="AE567" s="327">
        <f t="shared" si="200"/>
        <v>0</v>
      </c>
      <c r="AF567" s="7" t="str">
        <f>Preencher!$B$3&amp;$U$8&amp;$V$8&amp;A567&amp;$AF$6</f>
        <v>JARINU-FRG650137MQ.GIROFREEZER</v>
      </c>
      <c r="AG567" s="7" t="str">
        <f>Preencher!$B$3&amp;$U$8&amp;$V$8&amp;A567&amp;$AG$6</f>
        <v>JARINU-FRG650137MQ.GIROFREEZER (1)</v>
      </c>
      <c r="AH567" s="7" t="str">
        <f>Preencher!$B$3&amp;$U$8&amp;$V$8&amp;A567&amp;$AH$6</f>
        <v>JARINU-FRG650137MQ.GIROFREEZER (2)</v>
      </c>
      <c r="AI567" s="7" t="str">
        <f>Preencher!$B$3&amp;$U$8&amp;$V$8&amp;A567&amp;$AI$6</f>
        <v>JARINU-FRG650137MQ.GIROFREEZER REV04</v>
      </c>
      <c r="AJ567" s="7" t="str">
        <f>Preencher!$B$3&amp;$U$8&amp;$V$8&amp;A567&amp;$AJ$6</f>
        <v>JARINU-FRG650137MQ.GIROFREEZER (3)</v>
      </c>
      <c r="AK567" s="327">
        <f>IFERROR(SUMIF('BD Otimix'!A:A,'BD VOLUME'!AG567,'BD Otimix'!O:O)+SUMIF('BD Otimix'!A:A,'BD VOLUME'!AH567,'BD Otimix'!O:O)+SUMIF('BD Otimix'!A:A,'BD VOLUME'!AI567,'BD Otimix'!O:O)+SUMIF('BD Otimix'!A:A,'BD VOLUME'!AJ567,'BD Otimix'!O:O)+SUMIF('BD Otimix'!A:A,'BD VOLUME'!AF567,'BD Otimix'!O:O),0)</f>
        <v>0</v>
      </c>
      <c r="AL567" s="7">
        <f t="shared" si="201"/>
        <v>0</v>
      </c>
    </row>
    <row r="568" spans="1:38">
      <c r="A568" s="710">
        <v>42611</v>
      </c>
      <c r="B568" s="710"/>
      <c r="C568" s="5" t="s">
        <v>2065</v>
      </c>
      <c r="D568" s="5" t="s">
        <v>868</v>
      </c>
      <c r="E568" s="5" t="s">
        <v>1083</v>
      </c>
      <c r="F568" s="132">
        <f>SUMIF('COLAR PLANO'!$A:$A,A568,'COLAR PLANO'!$D:$D)</f>
        <v>0</v>
      </c>
      <c r="G568" s="131">
        <f t="shared" si="197"/>
        <v>0</v>
      </c>
      <c r="H568" s="6">
        <v>0.19983298371504893</v>
      </c>
      <c r="I568" s="7">
        <f t="shared" si="195"/>
        <v>0</v>
      </c>
      <c r="J568" s="130">
        <f t="shared" si="196"/>
        <v>0</v>
      </c>
      <c r="K568" s="710">
        <v>2</v>
      </c>
      <c r="L568" s="710">
        <v>6</v>
      </c>
      <c r="M568" s="710">
        <v>12</v>
      </c>
      <c r="N568" s="7">
        <f t="shared" si="198"/>
        <v>0</v>
      </c>
      <c r="O568" s="7"/>
      <c r="P568" s="7">
        <f t="shared" si="199"/>
        <v>0</v>
      </c>
      <c r="Q568" s="7"/>
      <c r="R568" s="7"/>
      <c r="S568" s="7"/>
      <c r="T568" s="7"/>
      <c r="U568" s="7" t="s">
        <v>2288</v>
      </c>
      <c r="V568" s="7" t="s">
        <v>2289</v>
      </c>
      <c r="W568" s="7" t="str">
        <f>Preencher!$B$3&amp;U568&amp;V568&amp;A568&amp;$W$6</f>
        <v>JARINU-FRG42611MQ.TUNEL DE CG (CONTINUO)</v>
      </c>
      <c r="X568" s="7" t="str">
        <f>Preencher!$B$3&amp;U568&amp;V568&amp;A568&amp;$X$6</f>
        <v>JARINU-FRG42611MQ.TUNEL DE CG (CONTINUO) (1)</v>
      </c>
      <c r="Y568" s="7" t="str">
        <f>Preencher!$B$3&amp;U568&amp;V568&amp;A568&amp;$Y$6</f>
        <v>JARINU-FRG42611MQ.TUNEL DE CG (CONTINUO) (2)</v>
      </c>
      <c r="Z568" s="7" t="str">
        <f>Preencher!$B$3&amp;U568&amp;V568&amp;A568&amp;$Z$6</f>
        <v>JARINU-FRG42611MQ.TUNEL DE CG (CONTINUO) (3)</v>
      </c>
      <c r="AA568" s="7" t="str">
        <f>Preencher!$B$3&amp;U568&amp;V568&amp;A568&amp;$AA$6</f>
        <v>JARINU-FRG42611MQ.TUNEL DE CG (ESTATICO)</v>
      </c>
      <c r="AB568" s="7" t="str">
        <f>Preencher!$B$3&amp;U568&amp;V568&amp;A568&amp;$AB$6</f>
        <v>JARINU-FRG42611MQ.TUNEL DE CG (ESTATICO) (1)</v>
      </c>
      <c r="AC568" s="7" t="str">
        <f>Preencher!$B$3&amp;U568&amp;V568&amp;A568&amp;$AC$6</f>
        <v>JARINU-FRG42611MQ.TUNEL DE CG (ESTATICO) (2)</v>
      </c>
      <c r="AD568" s="327">
        <f>IFERROR(SUMIF('BD Otimix'!A:A,'BD VOLUME'!X568,'BD Otimix'!O:O)+SUMIF('BD Otimix'!A:A,'BD VOLUME'!Y568,'BD Otimix'!O:O)+SUMIF('BD Otimix'!A:A,'BD VOLUME'!Z568,'BD Otimix'!O:O)+SUMIF('BD Otimix'!A:A,'BD VOLUME'!AA568,'BD Otimix'!O:O)+SUMIF('BD Otimix'!A:A,'BD VOLUME'!AB568,'BD Otimix'!O:O)+SUMIF('BD Otimix'!A:A,'BD VOLUME'!AC568,'BD Otimix'!O:O)+SUMIF('BD Otimix'!A:A,'BD VOLUME'!W568,'BD Otimix'!O:O),0)</f>
        <v>0</v>
      </c>
      <c r="AE568" s="327">
        <f t="shared" si="200"/>
        <v>0</v>
      </c>
      <c r="AF568" s="7" t="str">
        <f>Preencher!$B$3&amp;$U$8&amp;$V$8&amp;A568&amp;$AF$6</f>
        <v>JARINU-FRG42611MQ.GIROFREEZER</v>
      </c>
      <c r="AG568" s="7" t="str">
        <f>Preencher!$B$3&amp;$U$8&amp;$V$8&amp;A568&amp;$AG$6</f>
        <v>JARINU-FRG42611MQ.GIROFREEZER (1)</v>
      </c>
      <c r="AH568" s="7" t="str">
        <f>Preencher!$B$3&amp;$U$8&amp;$V$8&amp;A568&amp;$AH$6</f>
        <v>JARINU-FRG42611MQ.GIROFREEZER (2)</v>
      </c>
      <c r="AI568" s="7" t="str">
        <f>Preencher!$B$3&amp;$U$8&amp;$V$8&amp;A568&amp;$AI$6</f>
        <v>JARINU-FRG42611MQ.GIROFREEZER REV04</v>
      </c>
      <c r="AJ568" s="7" t="str">
        <f>Preencher!$B$3&amp;$U$8&amp;$V$8&amp;A568&amp;$AJ$6</f>
        <v>JARINU-FRG42611MQ.GIROFREEZER (3)</v>
      </c>
      <c r="AK568" s="327">
        <f>IFERROR(SUMIF('BD Otimix'!A:A,'BD VOLUME'!AG568,'BD Otimix'!O:O)+SUMIF('BD Otimix'!A:A,'BD VOLUME'!AH568,'BD Otimix'!O:O)+SUMIF('BD Otimix'!A:A,'BD VOLUME'!AI568,'BD Otimix'!O:O)+SUMIF('BD Otimix'!A:A,'BD VOLUME'!AJ568,'BD Otimix'!O:O)+SUMIF('BD Otimix'!A:A,'BD VOLUME'!AF568,'BD Otimix'!O:O),0)</f>
        <v>0</v>
      </c>
      <c r="AL568" s="7">
        <f t="shared" si="201"/>
        <v>0</v>
      </c>
    </row>
    <row r="569" spans="1:38">
      <c r="A569" s="710">
        <v>53791</v>
      </c>
      <c r="B569" s="710" t="s">
        <v>2728</v>
      </c>
      <c r="C569" s="5" t="s">
        <v>2729</v>
      </c>
      <c r="D569" s="5" t="s">
        <v>868</v>
      </c>
      <c r="E569" s="5" t="s">
        <v>1083</v>
      </c>
      <c r="F569" s="132">
        <f>SUMIF('COLAR PLANO'!$A:$A,A569,'COLAR PLANO'!$D:$D)</f>
        <v>0</v>
      </c>
      <c r="G569" s="131">
        <f t="shared" si="197"/>
        <v>0</v>
      </c>
      <c r="H569" s="6">
        <v>0.19983298371504893</v>
      </c>
      <c r="I569" s="7">
        <f t="shared" si="195"/>
        <v>0</v>
      </c>
      <c r="J569" s="130">
        <f t="shared" si="196"/>
        <v>0</v>
      </c>
      <c r="K569" s="710">
        <v>2</v>
      </c>
      <c r="L569" s="710">
        <v>6</v>
      </c>
      <c r="M569" s="710">
        <v>12</v>
      </c>
      <c r="N569" s="7">
        <f t="shared" si="198"/>
        <v>0</v>
      </c>
      <c r="O569" s="7"/>
      <c r="P569" s="7">
        <f t="shared" si="199"/>
        <v>0</v>
      </c>
      <c r="Q569" s="7"/>
      <c r="R569" s="7"/>
      <c r="S569" s="7"/>
      <c r="T569" s="7"/>
      <c r="U569" s="7" t="s">
        <v>2288</v>
      </c>
      <c r="V569" s="7" t="s">
        <v>2289</v>
      </c>
      <c r="W569" s="7" t="str">
        <f>Preencher!$B$3&amp;U569&amp;V569&amp;A569&amp;$W$6</f>
        <v>JARINU-FRG53791MQ.TUNEL DE CG (CONTINUO)</v>
      </c>
      <c r="X569" s="7" t="str">
        <f>Preencher!$B$3&amp;U569&amp;V569&amp;A569&amp;$X$6</f>
        <v>JARINU-FRG53791MQ.TUNEL DE CG (CONTINUO) (1)</v>
      </c>
      <c r="Y569" s="7" t="str">
        <f>Preencher!$B$3&amp;U569&amp;V569&amp;A569&amp;$Y$6</f>
        <v>JARINU-FRG53791MQ.TUNEL DE CG (CONTINUO) (2)</v>
      </c>
      <c r="Z569" s="7" t="str">
        <f>Preencher!$B$3&amp;U569&amp;V569&amp;A569&amp;$Z$6</f>
        <v>JARINU-FRG53791MQ.TUNEL DE CG (CONTINUO) (3)</v>
      </c>
      <c r="AA569" s="7" t="str">
        <f>Preencher!$B$3&amp;U569&amp;V569&amp;A569&amp;$AA$6</f>
        <v>JARINU-FRG53791MQ.TUNEL DE CG (ESTATICO)</v>
      </c>
      <c r="AB569" s="7" t="str">
        <f>Preencher!$B$3&amp;U569&amp;V569&amp;A569&amp;$AB$6</f>
        <v>JARINU-FRG53791MQ.TUNEL DE CG (ESTATICO) (1)</v>
      </c>
      <c r="AC569" s="7" t="str">
        <f>Preencher!$B$3&amp;U569&amp;V569&amp;A569&amp;$AC$6</f>
        <v>JARINU-FRG53791MQ.TUNEL DE CG (ESTATICO) (2)</v>
      </c>
      <c r="AD569" s="327">
        <f>IFERROR(SUMIF('BD Otimix'!A:A,'BD VOLUME'!X569,'BD Otimix'!O:O)+SUMIF('BD Otimix'!A:A,'BD VOLUME'!Y569,'BD Otimix'!O:O)+SUMIF('BD Otimix'!A:A,'BD VOLUME'!Z569,'BD Otimix'!O:O)+SUMIF('BD Otimix'!A:A,'BD VOLUME'!AA569,'BD Otimix'!O:O)+SUMIF('BD Otimix'!A:A,'BD VOLUME'!AB569,'BD Otimix'!O:O)+SUMIF('BD Otimix'!A:A,'BD VOLUME'!AC569,'BD Otimix'!O:O)+SUMIF('BD Otimix'!A:A,'BD VOLUME'!W569,'BD Otimix'!O:O),0)</f>
        <v>0</v>
      </c>
      <c r="AE569" s="327">
        <f t="shared" si="200"/>
        <v>0</v>
      </c>
      <c r="AF569" s="7" t="str">
        <f>Preencher!$B$3&amp;$U$8&amp;$V$8&amp;A569&amp;$AF$6</f>
        <v>JARINU-FRG53791MQ.GIROFREEZER</v>
      </c>
      <c r="AG569" s="7" t="str">
        <f>Preencher!$B$3&amp;$U$8&amp;$V$8&amp;A569&amp;$AG$6</f>
        <v>JARINU-FRG53791MQ.GIROFREEZER (1)</v>
      </c>
      <c r="AH569" s="7" t="str">
        <f>Preencher!$B$3&amp;$U$8&amp;$V$8&amp;A569&amp;$AH$6</f>
        <v>JARINU-FRG53791MQ.GIROFREEZER (2)</v>
      </c>
      <c r="AI569" s="7" t="str">
        <f>Preencher!$B$3&amp;$U$8&amp;$V$8&amp;A569&amp;$AI$6</f>
        <v>JARINU-FRG53791MQ.GIROFREEZER REV04</v>
      </c>
      <c r="AJ569" s="7" t="str">
        <f>Preencher!$B$3&amp;$U$8&amp;$V$8&amp;A569&amp;$AJ$6</f>
        <v>JARINU-FRG53791MQ.GIROFREEZER (3)</v>
      </c>
      <c r="AK569" s="327">
        <f>IFERROR(SUMIF('BD Otimix'!A:A,'BD VOLUME'!AG569,'BD Otimix'!O:O)+SUMIF('BD Otimix'!A:A,'BD VOLUME'!AH569,'BD Otimix'!O:O)+SUMIF('BD Otimix'!A:A,'BD VOLUME'!AI569,'BD Otimix'!O:O)+SUMIF('BD Otimix'!A:A,'BD VOLUME'!AJ569,'BD Otimix'!O:O)+SUMIF('BD Otimix'!A:A,'BD VOLUME'!AF569,'BD Otimix'!O:O),0)</f>
        <v>0</v>
      </c>
      <c r="AL569" s="7">
        <f t="shared" si="201"/>
        <v>0</v>
      </c>
    </row>
    <row r="570" spans="1:38">
      <c r="A570" s="710">
        <v>11509</v>
      </c>
      <c r="B570" s="710" t="s">
        <v>2747</v>
      </c>
      <c r="C570" s="5" t="s">
        <v>2748</v>
      </c>
      <c r="D570" s="5" t="s">
        <v>868</v>
      </c>
      <c r="E570" s="5" t="s">
        <v>1080</v>
      </c>
      <c r="F570" s="132">
        <f>SUMIF('COLAR PLANO'!$A:$A,A570,'COLAR PLANO'!$D:$D)</f>
        <v>0</v>
      </c>
      <c r="G570" s="131">
        <f t="shared" si="197"/>
        <v>0</v>
      </c>
      <c r="H570" s="6">
        <v>0.1946</v>
      </c>
      <c r="I570" s="7">
        <f t="shared" si="195"/>
        <v>0</v>
      </c>
      <c r="J570" s="130">
        <f t="shared" si="196"/>
        <v>0</v>
      </c>
      <c r="K570" s="710">
        <v>15</v>
      </c>
      <c r="L570" s="710">
        <v>1</v>
      </c>
      <c r="M570" s="710">
        <v>15</v>
      </c>
      <c r="N570" s="7">
        <f t="shared" si="198"/>
        <v>0</v>
      </c>
      <c r="P570" s="7">
        <f t="shared" si="199"/>
        <v>0</v>
      </c>
      <c r="Q570" s="7"/>
      <c r="R570" s="7"/>
      <c r="S570" s="7"/>
      <c r="T570" s="7"/>
      <c r="U570" s="7" t="s">
        <v>2288</v>
      </c>
      <c r="V570" s="7" t="s">
        <v>2289</v>
      </c>
      <c r="W570" s="7" t="str">
        <f>Preencher!$B$3&amp;U570&amp;V570&amp;A570&amp;$W$6</f>
        <v>JARINU-FRG11509MQ.TUNEL DE CG (CONTINUO)</v>
      </c>
      <c r="X570" s="7" t="str">
        <f>Preencher!$B$3&amp;U570&amp;V570&amp;A570&amp;$X$6</f>
        <v>JARINU-FRG11509MQ.TUNEL DE CG (CONTINUO) (1)</v>
      </c>
      <c r="Y570" s="7" t="str">
        <f>Preencher!$B$3&amp;U570&amp;V570&amp;A570&amp;$Y$6</f>
        <v>JARINU-FRG11509MQ.TUNEL DE CG (CONTINUO) (2)</v>
      </c>
      <c r="Z570" s="7" t="str">
        <f>Preencher!$B$3&amp;U570&amp;V570&amp;A570&amp;$Z$6</f>
        <v>JARINU-FRG11509MQ.TUNEL DE CG (CONTINUO) (3)</v>
      </c>
      <c r="AA570" s="7" t="str">
        <f>Preencher!$B$3&amp;U570&amp;V570&amp;A570&amp;$AA$6</f>
        <v>JARINU-FRG11509MQ.TUNEL DE CG (ESTATICO)</v>
      </c>
      <c r="AB570" s="7" t="str">
        <f>Preencher!$B$3&amp;U570&amp;V570&amp;A570&amp;$AB$6</f>
        <v>JARINU-FRG11509MQ.TUNEL DE CG (ESTATICO) (1)</v>
      </c>
      <c r="AC570" s="7" t="str">
        <f>Preencher!$B$3&amp;U570&amp;V570&amp;A570&amp;$AC$6</f>
        <v>JARINU-FRG11509MQ.TUNEL DE CG (ESTATICO) (2)</v>
      </c>
      <c r="AD570" s="327">
        <f>IFERROR(SUMIF('BD Otimix'!A:A,'BD VOLUME'!X570,'BD Otimix'!O:O)+SUMIF('BD Otimix'!A:A,'BD VOLUME'!Y570,'BD Otimix'!O:O)+SUMIF('BD Otimix'!A:A,'BD VOLUME'!Z570,'BD Otimix'!O:O)+SUMIF('BD Otimix'!A:A,'BD VOLUME'!AA570,'BD Otimix'!O:O)+SUMIF('BD Otimix'!A:A,'BD VOLUME'!AB570,'BD Otimix'!O:O)+SUMIF('BD Otimix'!A:A,'BD VOLUME'!AC570,'BD Otimix'!O:O)+SUMIF('BD Otimix'!A:A,'BD VOLUME'!W570,'BD Otimix'!O:O),0)</f>
        <v>0</v>
      </c>
      <c r="AE570" s="327">
        <f t="shared" si="200"/>
        <v>0</v>
      </c>
      <c r="AF570" s="7" t="str">
        <f>Preencher!$B$3&amp;$U$8&amp;$V$8&amp;A570&amp;$AF$6</f>
        <v>JARINU-FRG11509MQ.GIROFREEZER</v>
      </c>
      <c r="AG570" s="7" t="str">
        <f>Preencher!$B$3&amp;$U$8&amp;$V$8&amp;A570&amp;$AG$6</f>
        <v>JARINU-FRG11509MQ.GIROFREEZER (1)</v>
      </c>
      <c r="AH570" s="7" t="str">
        <f>Preencher!$B$3&amp;$U$8&amp;$V$8&amp;A570&amp;$AH$6</f>
        <v>JARINU-FRG11509MQ.GIROFREEZER (2)</v>
      </c>
      <c r="AI570" s="7" t="str">
        <f>Preencher!$B$3&amp;$U$8&amp;$V$8&amp;A570&amp;$AI$6</f>
        <v>JARINU-FRG11509MQ.GIROFREEZER REV04</v>
      </c>
      <c r="AJ570" s="7" t="str">
        <f>Preencher!$B$3&amp;$U$8&amp;$V$8&amp;A570&amp;$AJ$6</f>
        <v>JARINU-FRG11509MQ.GIROFREEZER (3)</v>
      </c>
      <c r="AK570" s="327">
        <f>IFERROR(SUMIF('BD Otimix'!A:A,'BD VOLUME'!AG570,'BD Otimix'!O:O)+SUMIF('BD Otimix'!A:A,'BD VOLUME'!AH570,'BD Otimix'!O:O)+SUMIF('BD Otimix'!A:A,'BD VOLUME'!AI570,'BD Otimix'!O:O)+SUMIF('BD Otimix'!A:A,'BD VOLUME'!AJ570,'BD Otimix'!O:O)+SUMIF('BD Otimix'!A:A,'BD VOLUME'!AF570,'BD Otimix'!O:O),0)</f>
        <v>0</v>
      </c>
      <c r="AL570" s="7">
        <f t="shared" si="201"/>
        <v>0</v>
      </c>
    </row>
    <row r="571" spans="1:38">
      <c r="A571" s="710">
        <v>958115</v>
      </c>
      <c r="B571" s="710" t="s">
        <v>2986</v>
      </c>
      <c r="C571" s="5" t="s">
        <v>2856</v>
      </c>
      <c r="D571" s="5" t="s">
        <v>868</v>
      </c>
      <c r="E571" s="5" t="s">
        <v>1694</v>
      </c>
      <c r="F571" s="132">
        <f>SUMIF('COLAR PLANO'!$A:$A,A571,'COLAR PLANO'!$D:$D)</f>
        <v>0</v>
      </c>
      <c r="G571" s="131">
        <f t="shared" si="197"/>
        <v>0</v>
      </c>
      <c r="H571" s="6">
        <v>0.14065243077485973</v>
      </c>
      <c r="I571" s="7">
        <f t="shared" si="195"/>
        <v>0</v>
      </c>
      <c r="J571" s="130">
        <f t="shared" si="196"/>
        <v>0</v>
      </c>
      <c r="K571" s="726">
        <v>1</v>
      </c>
      <c r="L571" s="726">
        <v>12</v>
      </c>
      <c r="M571" s="726">
        <v>12</v>
      </c>
      <c r="N571" s="7">
        <f t="shared" si="198"/>
        <v>0</v>
      </c>
      <c r="O571" s="7"/>
      <c r="P571" s="7">
        <f>IFERROR(G571/M571,0)</f>
        <v>0</v>
      </c>
      <c r="Q571" s="7"/>
      <c r="R571" s="7"/>
      <c r="S571" s="7"/>
      <c r="T571" s="7"/>
      <c r="U571" s="7" t="s">
        <v>2288</v>
      </c>
      <c r="V571" s="7" t="s">
        <v>2289</v>
      </c>
      <c r="W571" s="7" t="str">
        <f>Preencher!$B$3&amp;U571&amp;V571&amp;A571&amp;$W$6</f>
        <v>JARINU-FRG958115MQ.TUNEL DE CG (CONTINUO)</v>
      </c>
      <c r="X571" s="7" t="str">
        <f>Preencher!$B$3&amp;U571&amp;V571&amp;A571&amp;$X$6</f>
        <v>JARINU-FRG958115MQ.TUNEL DE CG (CONTINUO) (1)</v>
      </c>
      <c r="Y571" s="7" t="str">
        <f>Preencher!$B$3&amp;U571&amp;V571&amp;A571&amp;$Y$6</f>
        <v>JARINU-FRG958115MQ.TUNEL DE CG (CONTINUO) (2)</v>
      </c>
      <c r="Z571" s="7" t="str">
        <f>Preencher!$B$3&amp;U571&amp;V571&amp;A571&amp;$Z$6</f>
        <v>JARINU-FRG958115MQ.TUNEL DE CG (CONTINUO) (3)</v>
      </c>
      <c r="AA571" s="7" t="str">
        <f>Preencher!$B$3&amp;U571&amp;V571&amp;A571&amp;$AA$6</f>
        <v>JARINU-FRG958115MQ.TUNEL DE CG (ESTATICO)</v>
      </c>
      <c r="AB571" s="7" t="str">
        <f>Preencher!$B$3&amp;U571&amp;V571&amp;A571&amp;$AB$6</f>
        <v>JARINU-FRG958115MQ.TUNEL DE CG (ESTATICO) (1)</v>
      </c>
      <c r="AC571" s="7" t="str">
        <f>Preencher!$B$3&amp;U571&amp;V571&amp;A571&amp;$AC$6</f>
        <v>JARINU-FRG958115MQ.TUNEL DE CG (ESTATICO) (2)</v>
      </c>
      <c r="AD571" s="327">
        <f>IFERROR(SUMIF('BD Otimix'!A:A,'BD VOLUME'!X571,'BD Otimix'!O:O)+SUMIF('BD Otimix'!A:A,'BD VOLUME'!Y571,'BD Otimix'!O:O)+SUMIF('BD Otimix'!A:A,'BD VOLUME'!Z571,'BD Otimix'!O:O)+SUMIF('BD Otimix'!A:A,'BD VOLUME'!AA571,'BD Otimix'!O:O)+SUMIF('BD Otimix'!A:A,'BD VOLUME'!AB571,'BD Otimix'!O:O)+SUMIF('BD Otimix'!A:A,'BD VOLUME'!AC571,'BD Otimix'!O:O)+SUMIF('BD Otimix'!A:A,'BD VOLUME'!W571,'BD Otimix'!O:O),0)</f>
        <v>0</v>
      </c>
      <c r="AE571" s="327">
        <f t="shared" si="200"/>
        <v>0</v>
      </c>
      <c r="AF571" s="7" t="str">
        <f>Preencher!$B$3&amp;$U$8&amp;$V$8&amp;A571&amp;$AF$6</f>
        <v>JARINU-FRG958115MQ.GIROFREEZER</v>
      </c>
      <c r="AG571" s="7" t="str">
        <f>Preencher!$B$3&amp;$U$8&amp;$V$8&amp;A571&amp;$AG$6</f>
        <v>JARINU-FRG958115MQ.GIROFREEZER (1)</v>
      </c>
      <c r="AH571" s="7" t="str">
        <f>Preencher!$B$3&amp;$U$8&amp;$V$8&amp;A571&amp;$AH$6</f>
        <v>JARINU-FRG958115MQ.GIROFREEZER (2)</v>
      </c>
      <c r="AI571" s="7" t="str">
        <f>Preencher!$B$3&amp;$U$8&amp;$V$8&amp;A571&amp;$AI$6</f>
        <v>JARINU-FRG958115MQ.GIROFREEZER REV04</v>
      </c>
      <c r="AJ571" s="7" t="str">
        <f>Preencher!$B$3&amp;$U$8&amp;$V$8&amp;A571&amp;$AJ$6</f>
        <v>JARINU-FRG958115MQ.GIROFREEZER (3)</v>
      </c>
      <c r="AK571" s="327">
        <f>IFERROR(SUMIF('BD Otimix'!A:A,'BD VOLUME'!AG571,'BD Otimix'!O:O)+SUMIF('BD Otimix'!A:A,'BD VOLUME'!AH571,'BD Otimix'!O:O)+SUMIF('BD Otimix'!A:A,'BD VOLUME'!AI571,'BD Otimix'!O:O)+SUMIF('BD Otimix'!A:A,'BD VOLUME'!AJ571,'BD Otimix'!O:O)+SUMIF('BD Otimix'!A:A,'BD VOLUME'!AF571,'BD Otimix'!O:O),0)</f>
        <v>0</v>
      </c>
      <c r="AL571" s="7">
        <f t="shared" si="201"/>
        <v>0</v>
      </c>
    </row>
    <row r="572" spans="1:38">
      <c r="A572" s="651">
        <v>686549</v>
      </c>
      <c r="B572" s="651" t="s">
        <v>2376</v>
      </c>
      <c r="C572" s="5" t="s">
        <v>2260</v>
      </c>
      <c r="D572" s="5" t="s">
        <v>868</v>
      </c>
      <c r="E572" s="5" t="s">
        <v>1695</v>
      </c>
      <c r="F572" s="132">
        <f>SUMIF('COLAR PLANO'!$A:$A,A572,'COLAR PLANO'!$D:$D)</f>
        <v>0</v>
      </c>
      <c r="G572" s="131">
        <f t="shared" si="185"/>
        <v>0</v>
      </c>
      <c r="H572" s="6">
        <v>0.104759956667657</v>
      </c>
      <c r="I572" s="7">
        <f t="shared" si="186"/>
        <v>0</v>
      </c>
      <c r="J572" s="130">
        <f t="shared" si="187"/>
        <v>0</v>
      </c>
      <c r="K572" s="651">
        <v>1</v>
      </c>
      <c r="L572" s="651">
        <v>12</v>
      </c>
      <c r="M572" s="651">
        <v>12</v>
      </c>
      <c r="N572" s="7">
        <f t="shared" si="184"/>
        <v>0</v>
      </c>
      <c r="O572" s="7"/>
      <c r="P572" s="7">
        <f>IFERROR(G572/M572,0)</f>
        <v>0</v>
      </c>
      <c r="Q572" s="7"/>
      <c r="R572" s="7"/>
      <c r="S572" s="7"/>
      <c r="T572" s="7"/>
      <c r="U572" s="7" t="s">
        <v>2288</v>
      </c>
      <c r="V572" s="7" t="s">
        <v>2289</v>
      </c>
      <c r="W572" s="7" t="str">
        <f>Preencher!$B$3&amp;U572&amp;V572&amp;A572&amp;$W$6</f>
        <v>JARINU-FRG686549MQ.TUNEL DE CG (CONTINUO)</v>
      </c>
      <c r="X572" s="7" t="str">
        <f>Preencher!$B$3&amp;U572&amp;V572&amp;A572&amp;$X$6</f>
        <v>JARINU-FRG686549MQ.TUNEL DE CG (CONTINUO) (1)</v>
      </c>
      <c r="Y572" s="7" t="str">
        <f>Preencher!$B$3&amp;U572&amp;V572&amp;A572&amp;$Y$6</f>
        <v>JARINU-FRG686549MQ.TUNEL DE CG (CONTINUO) (2)</v>
      </c>
      <c r="Z572" s="7" t="str">
        <f>Preencher!$B$3&amp;U572&amp;V572&amp;A572&amp;$Z$6</f>
        <v>JARINU-FRG686549MQ.TUNEL DE CG (CONTINUO) (3)</v>
      </c>
      <c r="AA572" s="7" t="str">
        <f>Preencher!$B$3&amp;U572&amp;V572&amp;A572&amp;$AA$6</f>
        <v>JARINU-FRG686549MQ.TUNEL DE CG (ESTATICO)</v>
      </c>
      <c r="AB572" s="7" t="str">
        <f>Preencher!$B$3&amp;U572&amp;V572&amp;A572&amp;$AB$6</f>
        <v>JARINU-FRG686549MQ.TUNEL DE CG (ESTATICO) (1)</v>
      </c>
      <c r="AC572" s="7" t="str">
        <f>Preencher!$B$3&amp;U572&amp;V572&amp;A572&amp;$AC$6</f>
        <v>JARINU-FRG686549MQ.TUNEL DE CG (ESTATICO) (2)</v>
      </c>
      <c r="AD572" s="327">
        <f>IFERROR(SUMIF('BD Otimix'!A:A,'BD VOLUME'!X572,'BD Otimix'!O:O)+SUMIF('BD Otimix'!A:A,'BD VOLUME'!Y572,'BD Otimix'!O:O)+SUMIF('BD Otimix'!A:A,'BD VOLUME'!Z572,'BD Otimix'!O:O)+SUMIF('BD Otimix'!A:A,'BD VOLUME'!AA572,'BD Otimix'!O:O)+SUMIF('BD Otimix'!A:A,'BD VOLUME'!AB572,'BD Otimix'!O:O)+SUMIF('BD Otimix'!A:A,'BD VOLUME'!AC572,'BD Otimix'!O:O)+SUMIF('BD Otimix'!A:A,'BD VOLUME'!W572,'BD Otimix'!O:O),0)</f>
        <v>0</v>
      </c>
      <c r="AE572" s="327">
        <f t="shared" ref="AE572:AE596" si="202">IFERROR(F572/$E$3/1000/AD572,0)</f>
        <v>0</v>
      </c>
      <c r="AF572" s="7" t="str">
        <f>Preencher!$B$3&amp;$U$8&amp;$V$8&amp;A572&amp;$AF$6</f>
        <v>JARINU-FRG686549MQ.GIROFREEZER</v>
      </c>
      <c r="AG572" s="7" t="str">
        <f>Preencher!$B$3&amp;$U$8&amp;$V$8&amp;A572&amp;$AG$6</f>
        <v>JARINU-FRG686549MQ.GIROFREEZER (1)</v>
      </c>
      <c r="AH572" s="7" t="str">
        <f>Preencher!$B$3&amp;$U$8&amp;$V$8&amp;A572&amp;$AH$6</f>
        <v>JARINU-FRG686549MQ.GIROFREEZER (2)</v>
      </c>
      <c r="AI572" s="7" t="str">
        <f>Preencher!$B$3&amp;$U$8&amp;$V$8&amp;A572&amp;$AI$6</f>
        <v>JARINU-FRG686549MQ.GIROFREEZER REV04</v>
      </c>
      <c r="AJ572" s="7" t="str">
        <f>Preencher!$B$3&amp;$U$8&amp;$V$8&amp;A572&amp;$AJ$6</f>
        <v>JARINU-FRG686549MQ.GIROFREEZER (3)</v>
      </c>
      <c r="AK572" s="327">
        <f>IFERROR(SUMIF('BD Otimix'!A:A,'BD VOLUME'!AG572,'BD Otimix'!O:O)+SUMIF('BD Otimix'!A:A,'BD VOLUME'!AH572,'BD Otimix'!O:O)+SUMIF('BD Otimix'!A:A,'BD VOLUME'!AI572,'BD Otimix'!O:O)+SUMIF('BD Otimix'!A:A,'BD VOLUME'!AJ572,'BD Otimix'!O:O)+SUMIF('BD Otimix'!A:A,'BD VOLUME'!AF572,'BD Otimix'!O:O),0)</f>
        <v>0</v>
      </c>
      <c r="AL572" s="7">
        <f t="shared" ref="AL572:AL596" si="203">IFERROR(F572/$E$3/1000/AK572,0)</f>
        <v>0</v>
      </c>
    </row>
    <row r="573" spans="1:38">
      <c r="A573" s="651">
        <v>928283</v>
      </c>
      <c r="B573" s="651">
        <v>958115</v>
      </c>
      <c r="C573" s="5" t="s">
        <v>2986</v>
      </c>
      <c r="D573" s="5" t="s">
        <v>2856</v>
      </c>
      <c r="E573" s="5" t="s">
        <v>1690</v>
      </c>
      <c r="F573" s="132">
        <f>SUMIF('COLAR PLANO'!$A:$A,A573,'COLAR PLANO'!$D:$D)</f>
        <v>0</v>
      </c>
      <c r="G573" s="131">
        <f t="shared" si="185"/>
        <v>0</v>
      </c>
      <c r="H573" s="6">
        <v>0.14065243077485973</v>
      </c>
      <c r="I573" s="7">
        <f t="shared" si="186"/>
        <v>0</v>
      </c>
      <c r="J573" s="130">
        <f t="shared" si="187"/>
        <v>0</v>
      </c>
      <c r="K573" s="651">
        <v>1</v>
      </c>
      <c r="L573" s="651">
        <v>12</v>
      </c>
      <c r="M573" s="651">
        <v>12</v>
      </c>
      <c r="N573" s="7">
        <f t="shared" si="184"/>
        <v>0</v>
      </c>
      <c r="O573" s="7">
        <f>IFERROR(G573/M573,0)</f>
        <v>0</v>
      </c>
      <c r="P573" s="7"/>
      <c r="Q573" s="7"/>
      <c r="R573" s="7"/>
      <c r="S573" s="7"/>
      <c r="T573" s="7"/>
      <c r="U573" s="7" t="s">
        <v>2288</v>
      </c>
      <c r="V573" s="7" t="s">
        <v>2289</v>
      </c>
      <c r="W573" s="7" t="str">
        <f>Preencher!$B$3&amp;U573&amp;V573&amp;A573&amp;$W$6</f>
        <v>JARINU-FRG928283MQ.TUNEL DE CG (CONTINUO)</v>
      </c>
      <c r="X573" s="7" t="str">
        <f>Preencher!$B$3&amp;U573&amp;V573&amp;A573&amp;$X$6</f>
        <v>JARINU-FRG928283MQ.TUNEL DE CG (CONTINUO) (1)</v>
      </c>
      <c r="Y573" s="7" t="str">
        <f>Preencher!$B$3&amp;U573&amp;V573&amp;A573&amp;$Y$6</f>
        <v>JARINU-FRG928283MQ.TUNEL DE CG (CONTINUO) (2)</v>
      </c>
      <c r="Z573" s="7" t="str">
        <f>Preencher!$B$3&amp;U573&amp;V573&amp;A573&amp;$Z$6</f>
        <v>JARINU-FRG928283MQ.TUNEL DE CG (CONTINUO) (3)</v>
      </c>
      <c r="AA573" s="7" t="str">
        <f>Preencher!$B$3&amp;U573&amp;V573&amp;A573&amp;$AA$6</f>
        <v>JARINU-FRG928283MQ.TUNEL DE CG (ESTATICO)</v>
      </c>
      <c r="AB573" s="7" t="str">
        <f>Preencher!$B$3&amp;U573&amp;V573&amp;A573&amp;$AB$6</f>
        <v>JARINU-FRG928283MQ.TUNEL DE CG (ESTATICO) (1)</v>
      </c>
      <c r="AC573" s="7" t="str">
        <f>Preencher!$B$3&amp;U573&amp;V573&amp;A573&amp;$AC$6</f>
        <v>JARINU-FRG928283MQ.TUNEL DE CG (ESTATICO) (2)</v>
      </c>
      <c r="AD573" s="327">
        <f>IFERROR(SUMIF('BD Otimix'!A:A,'BD VOLUME'!X573,'BD Otimix'!O:O)+SUMIF('BD Otimix'!A:A,'BD VOLUME'!Y573,'BD Otimix'!O:O)+SUMIF('BD Otimix'!A:A,'BD VOLUME'!Z573,'BD Otimix'!O:O)+SUMIF('BD Otimix'!A:A,'BD VOLUME'!AA573,'BD Otimix'!O:O)+SUMIF('BD Otimix'!A:A,'BD VOLUME'!AB573,'BD Otimix'!O:O)+SUMIF('BD Otimix'!A:A,'BD VOLUME'!AC573,'BD Otimix'!O:O)+SUMIF('BD Otimix'!A:A,'BD VOLUME'!W573,'BD Otimix'!O:O),0)</f>
        <v>0</v>
      </c>
      <c r="AE573" s="327">
        <f t="shared" si="202"/>
        <v>0</v>
      </c>
      <c r="AF573" s="7" t="str">
        <f>Preencher!$B$3&amp;$U$8&amp;$V$8&amp;A573&amp;$AF$6</f>
        <v>JARINU-FRG928283MQ.GIROFREEZER</v>
      </c>
      <c r="AG573" s="7" t="str">
        <f>Preencher!$B$3&amp;$U$8&amp;$V$8&amp;A573&amp;$AG$6</f>
        <v>JARINU-FRG928283MQ.GIROFREEZER (1)</v>
      </c>
      <c r="AH573" s="7" t="str">
        <f>Preencher!$B$3&amp;$U$8&amp;$V$8&amp;A573&amp;$AH$6</f>
        <v>JARINU-FRG928283MQ.GIROFREEZER (2)</v>
      </c>
      <c r="AI573" s="7" t="str">
        <f>Preencher!$B$3&amp;$U$8&amp;$V$8&amp;A573&amp;$AI$6</f>
        <v>JARINU-FRG928283MQ.GIROFREEZER REV04</v>
      </c>
      <c r="AJ573" s="7" t="str">
        <f>Preencher!$B$3&amp;$U$8&amp;$V$8&amp;A573&amp;$AJ$6</f>
        <v>JARINU-FRG928283MQ.GIROFREEZER (3)</v>
      </c>
      <c r="AK573" s="327">
        <f>IFERROR(SUMIF('BD Otimix'!A:A,'BD VOLUME'!AG573,'BD Otimix'!O:O)+SUMIF('BD Otimix'!A:A,'BD VOLUME'!AH573,'BD Otimix'!O:O)+SUMIF('BD Otimix'!A:A,'BD VOLUME'!AI573,'BD Otimix'!O:O)+SUMIF('BD Otimix'!A:A,'BD VOLUME'!AJ573,'BD Otimix'!O:O)+SUMIF('BD Otimix'!A:A,'BD VOLUME'!AF573,'BD Otimix'!O:O),0)</f>
        <v>0</v>
      </c>
      <c r="AL573" s="7">
        <f t="shared" si="203"/>
        <v>0</v>
      </c>
    </row>
    <row r="574" spans="1:38">
      <c r="A574" s="651">
        <v>796395</v>
      </c>
      <c r="B574" s="651" t="s">
        <v>2377</v>
      </c>
      <c r="C574" s="5" t="s">
        <v>2268</v>
      </c>
      <c r="D574" s="5" t="s">
        <v>868</v>
      </c>
      <c r="E574" s="5" t="s">
        <v>1634</v>
      </c>
      <c r="F574" s="132">
        <f>SUMIF('COLAR PLANO'!$A:$A,A574,'COLAR PLANO'!$D:$D)</f>
        <v>0</v>
      </c>
      <c r="G574" s="131">
        <f t="shared" si="185"/>
        <v>0</v>
      </c>
      <c r="H574" s="6">
        <v>0.24541238744251673</v>
      </c>
      <c r="I574" s="7">
        <f t="shared" si="186"/>
        <v>0</v>
      </c>
      <c r="J574" s="130">
        <f t="shared" si="187"/>
        <v>0</v>
      </c>
      <c r="K574" s="651">
        <v>1</v>
      </c>
      <c r="L574" s="651">
        <v>18</v>
      </c>
      <c r="M574" s="651">
        <v>18</v>
      </c>
      <c r="N574" s="7">
        <f t="shared" si="184"/>
        <v>0</v>
      </c>
      <c r="O574" s="7"/>
      <c r="P574" s="7">
        <f t="shared" ref="P574:P579" si="204">IFERROR(G574/M574,0)</f>
        <v>0</v>
      </c>
      <c r="Q574" s="7"/>
      <c r="R574" s="7"/>
      <c r="S574" s="7"/>
      <c r="T574" s="7"/>
      <c r="U574" s="7" t="s">
        <v>2288</v>
      </c>
      <c r="V574" s="7" t="s">
        <v>2289</v>
      </c>
      <c r="W574" s="7" t="str">
        <f>Preencher!$B$3&amp;U574&amp;V574&amp;A574&amp;$W$6</f>
        <v>JARINU-FRG796395MQ.TUNEL DE CG (CONTINUO)</v>
      </c>
      <c r="X574" s="7" t="str">
        <f>Preencher!$B$3&amp;U574&amp;V574&amp;A574&amp;$X$6</f>
        <v>JARINU-FRG796395MQ.TUNEL DE CG (CONTINUO) (1)</v>
      </c>
      <c r="Y574" s="7" t="str">
        <f>Preencher!$B$3&amp;U574&amp;V574&amp;A574&amp;$Y$6</f>
        <v>JARINU-FRG796395MQ.TUNEL DE CG (CONTINUO) (2)</v>
      </c>
      <c r="Z574" s="7" t="str">
        <f>Preencher!$B$3&amp;U574&amp;V574&amp;A574&amp;$Z$6</f>
        <v>JARINU-FRG796395MQ.TUNEL DE CG (CONTINUO) (3)</v>
      </c>
      <c r="AA574" s="7" t="str">
        <f>Preencher!$B$3&amp;U574&amp;V574&amp;A574&amp;$AA$6</f>
        <v>JARINU-FRG796395MQ.TUNEL DE CG (ESTATICO)</v>
      </c>
      <c r="AB574" s="7" t="str">
        <f>Preencher!$B$3&amp;U574&amp;V574&amp;A574&amp;$AB$6</f>
        <v>JARINU-FRG796395MQ.TUNEL DE CG (ESTATICO) (1)</v>
      </c>
      <c r="AC574" s="7" t="str">
        <f>Preencher!$B$3&amp;U574&amp;V574&amp;A574&amp;$AC$6</f>
        <v>JARINU-FRG796395MQ.TUNEL DE CG (ESTATICO) (2)</v>
      </c>
      <c r="AD574" s="327">
        <f>IFERROR(SUMIF('BD Otimix'!A:A,'BD VOLUME'!X574,'BD Otimix'!O:O)+SUMIF('BD Otimix'!A:A,'BD VOLUME'!Y574,'BD Otimix'!O:O)+SUMIF('BD Otimix'!A:A,'BD VOLUME'!Z574,'BD Otimix'!O:O)+SUMIF('BD Otimix'!A:A,'BD VOLUME'!AA574,'BD Otimix'!O:O)+SUMIF('BD Otimix'!A:A,'BD VOLUME'!AB574,'BD Otimix'!O:O)+SUMIF('BD Otimix'!A:A,'BD VOLUME'!AC574,'BD Otimix'!O:O)+SUMIF('BD Otimix'!A:A,'BD VOLUME'!W574,'BD Otimix'!O:O),0)</f>
        <v>0</v>
      </c>
      <c r="AE574" s="327">
        <f t="shared" si="202"/>
        <v>0</v>
      </c>
      <c r="AF574" s="7" t="str">
        <f>Preencher!$B$3&amp;$U$8&amp;$V$8&amp;A574&amp;$AF$6</f>
        <v>JARINU-FRG796395MQ.GIROFREEZER</v>
      </c>
      <c r="AG574" s="7" t="str">
        <f>Preencher!$B$3&amp;$U$8&amp;$V$8&amp;A574&amp;$AG$6</f>
        <v>JARINU-FRG796395MQ.GIROFREEZER (1)</v>
      </c>
      <c r="AH574" s="7" t="str">
        <f>Preencher!$B$3&amp;$U$8&amp;$V$8&amp;A574&amp;$AH$6</f>
        <v>JARINU-FRG796395MQ.GIROFREEZER (2)</v>
      </c>
      <c r="AI574" s="7" t="str">
        <f>Preencher!$B$3&amp;$U$8&amp;$V$8&amp;A574&amp;$AI$6</f>
        <v>JARINU-FRG796395MQ.GIROFREEZER REV04</v>
      </c>
      <c r="AJ574" s="7" t="str">
        <f>Preencher!$B$3&amp;$U$8&amp;$V$8&amp;A574&amp;$AJ$6</f>
        <v>JARINU-FRG796395MQ.GIROFREEZER (3)</v>
      </c>
      <c r="AK574" s="327">
        <f>IFERROR(SUMIF('BD Otimix'!A:A,'BD VOLUME'!AG574,'BD Otimix'!O:O)+SUMIF('BD Otimix'!A:A,'BD VOLUME'!AH574,'BD Otimix'!O:O)+SUMIF('BD Otimix'!A:A,'BD VOLUME'!AI574,'BD Otimix'!O:O)+SUMIF('BD Otimix'!A:A,'BD VOLUME'!AJ574,'BD Otimix'!O:O)+SUMIF('BD Otimix'!A:A,'BD VOLUME'!AF574,'BD Otimix'!O:O),0)</f>
        <v>0</v>
      </c>
      <c r="AL574" s="7">
        <f t="shared" si="203"/>
        <v>0</v>
      </c>
    </row>
    <row r="575" spans="1:38">
      <c r="A575" s="651">
        <v>977403</v>
      </c>
      <c r="B575" s="651" t="s">
        <v>2358</v>
      </c>
      <c r="C575" s="5" t="s">
        <v>2228</v>
      </c>
      <c r="D575" s="5" t="s">
        <v>868</v>
      </c>
      <c r="E575" s="5" t="s">
        <v>2407</v>
      </c>
      <c r="F575" s="132">
        <f>SUMIF('COLAR PLANO'!$A:$A,A575,'COLAR PLANO'!$D:$D)</f>
        <v>0</v>
      </c>
      <c r="G575" s="131">
        <f t="shared" si="185"/>
        <v>0</v>
      </c>
      <c r="H575" s="6">
        <v>0.19687978691137825</v>
      </c>
      <c r="I575" s="7">
        <f t="shared" si="186"/>
        <v>0</v>
      </c>
      <c r="J575" s="130">
        <f t="shared" si="187"/>
        <v>0</v>
      </c>
      <c r="K575" s="651">
        <v>15</v>
      </c>
      <c r="L575" s="651">
        <v>1</v>
      </c>
      <c r="M575" s="651">
        <v>15</v>
      </c>
      <c r="N575" s="7">
        <f t="shared" si="184"/>
        <v>0</v>
      </c>
      <c r="O575" s="7"/>
      <c r="P575" s="7">
        <f t="shared" si="204"/>
        <v>0</v>
      </c>
      <c r="Q575" s="7"/>
      <c r="R575" s="7"/>
      <c r="S575" s="7"/>
      <c r="T575" s="7"/>
      <c r="U575" s="7" t="s">
        <v>2288</v>
      </c>
      <c r="V575" s="7" t="s">
        <v>2289</v>
      </c>
      <c r="W575" s="7" t="str">
        <f>Preencher!$B$3&amp;U575&amp;V575&amp;A575&amp;$W$6</f>
        <v>JARINU-FRG977403MQ.TUNEL DE CG (CONTINUO)</v>
      </c>
      <c r="X575" s="7" t="str">
        <f>Preencher!$B$3&amp;U575&amp;V575&amp;A575&amp;$X$6</f>
        <v>JARINU-FRG977403MQ.TUNEL DE CG (CONTINUO) (1)</v>
      </c>
      <c r="Y575" s="7" t="str">
        <f>Preencher!$B$3&amp;U575&amp;V575&amp;A575&amp;$Y$6</f>
        <v>JARINU-FRG977403MQ.TUNEL DE CG (CONTINUO) (2)</v>
      </c>
      <c r="Z575" s="7" t="str">
        <f>Preencher!$B$3&amp;U575&amp;V575&amp;A575&amp;$Z$6</f>
        <v>JARINU-FRG977403MQ.TUNEL DE CG (CONTINUO) (3)</v>
      </c>
      <c r="AA575" s="7" t="str">
        <f>Preencher!$B$3&amp;U575&amp;V575&amp;A575&amp;$AA$6</f>
        <v>JARINU-FRG977403MQ.TUNEL DE CG (ESTATICO)</v>
      </c>
      <c r="AB575" s="7" t="str">
        <f>Preencher!$B$3&amp;U575&amp;V575&amp;A575&amp;$AB$6</f>
        <v>JARINU-FRG977403MQ.TUNEL DE CG (ESTATICO) (1)</v>
      </c>
      <c r="AC575" s="7" t="str">
        <f>Preencher!$B$3&amp;U575&amp;V575&amp;A575&amp;$AC$6</f>
        <v>JARINU-FRG977403MQ.TUNEL DE CG (ESTATICO) (2)</v>
      </c>
      <c r="AD575" s="327">
        <f>IFERROR(SUMIF('BD Otimix'!A:A,'BD VOLUME'!X575,'BD Otimix'!O:O)+SUMIF('BD Otimix'!A:A,'BD VOLUME'!Y575,'BD Otimix'!O:O)+SUMIF('BD Otimix'!A:A,'BD VOLUME'!Z575,'BD Otimix'!O:O)+SUMIF('BD Otimix'!A:A,'BD VOLUME'!AA575,'BD Otimix'!O:O)+SUMIF('BD Otimix'!A:A,'BD VOLUME'!AB575,'BD Otimix'!O:O)+SUMIF('BD Otimix'!A:A,'BD VOLUME'!AC575,'BD Otimix'!O:O)+SUMIF('BD Otimix'!A:A,'BD VOLUME'!W575,'BD Otimix'!O:O),0)</f>
        <v>0</v>
      </c>
      <c r="AE575" s="327">
        <f t="shared" si="202"/>
        <v>0</v>
      </c>
      <c r="AF575" s="7" t="str">
        <f>Preencher!$B$3&amp;$U$8&amp;$V$8&amp;A575&amp;$AF$6</f>
        <v>JARINU-FRG977403MQ.GIROFREEZER</v>
      </c>
      <c r="AG575" s="7" t="str">
        <f>Preencher!$B$3&amp;$U$8&amp;$V$8&amp;A575&amp;$AG$6</f>
        <v>JARINU-FRG977403MQ.GIROFREEZER (1)</v>
      </c>
      <c r="AH575" s="7" t="str">
        <f>Preencher!$B$3&amp;$U$8&amp;$V$8&amp;A575&amp;$AH$6</f>
        <v>JARINU-FRG977403MQ.GIROFREEZER (2)</v>
      </c>
      <c r="AI575" s="7" t="str">
        <f>Preencher!$B$3&amp;$U$8&amp;$V$8&amp;A575&amp;$AI$6</f>
        <v>JARINU-FRG977403MQ.GIROFREEZER REV04</v>
      </c>
      <c r="AJ575" s="7" t="str">
        <f>Preencher!$B$3&amp;$U$8&amp;$V$8&amp;A575&amp;$AJ$6</f>
        <v>JARINU-FRG977403MQ.GIROFREEZER (3)</v>
      </c>
      <c r="AK575" s="327">
        <f>IFERROR(SUMIF('BD Otimix'!A:A,'BD VOLUME'!AG575,'BD Otimix'!O:O)+SUMIF('BD Otimix'!A:A,'BD VOLUME'!AH575,'BD Otimix'!O:O)+SUMIF('BD Otimix'!A:A,'BD VOLUME'!AI575,'BD Otimix'!O:O)+SUMIF('BD Otimix'!A:A,'BD VOLUME'!AJ575,'BD Otimix'!O:O)+SUMIF('BD Otimix'!A:A,'BD VOLUME'!AF575,'BD Otimix'!O:O),0)</f>
        <v>0</v>
      </c>
      <c r="AL575" s="7">
        <f t="shared" si="203"/>
        <v>0</v>
      </c>
    </row>
    <row r="576" spans="1:38">
      <c r="A576" s="732">
        <v>925802</v>
      </c>
      <c r="B576" s="732" t="s">
        <v>2996</v>
      </c>
      <c r="C576" s="5" t="s">
        <v>2997</v>
      </c>
      <c r="D576" s="5" t="s">
        <v>868</v>
      </c>
      <c r="E576" s="5" t="s">
        <v>1078</v>
      </c>
      <c r="F576" s="132">
        <f>SUMIF('COLAR PLANO'!$A:$A,A576,'COLAR PLANO'!$D:$D)</f>
        <v>0</v>
      </c>
      <c r="G576" s="131">
        <f t="shared" si="185"/>
        <v>0</v>
      </c>
      <c r="H576" s="6">
        <v>0.1946</v>
      </c>
      <c r="I576" s="7">
        <f t="shared" si="186"/>
        <v>0</v>
      </c>
      <c r="J576" s="130">
        <f t="shared" si="187"/>
        <v>0</v>
      </c>
      <c r="K576" s="732">
        <v>2</v>
      </c>
      <c r="L576" s="732">
        <v>6</v>
      </c>
      <c r="M576" s="732">
        <v>12</v>
      </c>
      <c r="N576" s="7">
        <f t="shared" si="184"/>
        <v>0</v>
      </c>
      <c r="O576" s="7"/>
      <c r="P576" s="7">
        <f t="shared" si="204"/>
        <v>0</v>
      </c>
      <c r="Q576" s="7"/>
      <c r="R576" s="7"/>
      <c r="S576" s="7"/>
      <c r="T576" s="7"/>
      <c r="U576" s="7" t="s">
        <v>2288</v>
      </c>
      <c r="V576" s="7" t="s">
        <v>2289</v>
      </c>
      <c r="W576" s="7" t="str">
        <f>Preencher!$B$3&amp;U576&amp;V576&amp;A576&amp;$W$6</f>
        <v>JARINU-FRG925802MQ.TUNEL DE CG (CONTINUO)</v>
      </c>
      <c r="X576" s="7" t="str">
        <f>Preencher!$B$3&amp;U576&amp;V576&amp;A576&amp;$X$6</f>
        <v>JARINU-FRG925802MQ.TUNEL DE CG (CONTINUO) (1)</v>
      </c>
      <c r="Y576" s="7" t="str">
        <f>Preencher!$B$3&amp;U576&amp;V576&amp;A576&amp;$Y$6</f>
        <v>JARINU-FRG925802MQ.TUNEL DE CG (CONTINUO) (2)</v>
      </c>
      <c r="Z576" s="7" t="str">
        <f>Preencher!$B$3&amp;U576&amp;V576&amp;A576&amp;$Z$6</f>
        <v>JARINU-FRG925802MQ.TUNEL DE CG (CONTINUO) (3)</v>
      </c>
      <c r="AA576" s="7" t="str">
        <f>Preencher!$B$3&amp;U576&amp;V576&amp;A576&amp;$AA$6</f>
        <v>JARINU-FRG925802MQ.TUNEL DE CG (ESTATICO)</v>
      </c>
      <c r="AB576" s="7" t="str">
        <f>Preencher!$B$3&amp;U576&amp;V576&amp;A576&amp;$AB$6</f>
        <v>JARINU-FRG925802MQ.TUNEL DE CG (ESTATICO) (1)</v>
      </c>
      <c r="AC576" s="7" t="str">
        <f>Preencher!$B$3&amp;U576&amp;V576&amp;A576&amp;$AC$6</f>
        <v>JARINU-FRG925802MQ.TUNEL DE CG (ESTATICO) (2)</v>
      </c>
      <c r="AD576" s="327">
        <f>IFERROR(SUMIF('BD Otimix'!A:A,'BD VOLUME'!X576,'BD Otimix'!O:O)+SUMIF('BD Otimix'!A:A,'BD VOLUME'!Y576,'BD Otimix'!O:O)+SUMIF('BD Otimix'!A:A,'BD VOLUME'!Z576,'BD Otimix'!O:O)+SUMIF('BD Otimix'!A:A,'BD VOLUME'!AA576,'BD Otimix'!O:O)+SUMIF('BD Otimix'!A:A,'BD VOLUME'!AB576,'BD Otimix'!O:O)+SUMIF('BD Otimix'!A:A,'BD VOLUME'!AC576,'BD Otimix'!O:O)+SUMIF('BD Otimix'!A:A,'BD VOLUME'!W576,'BD Otimix'!O:O),0)</f>
        <v>0</v>
      </c>
      <c r="AE576" s="327">
        <f t="shared" si="202"/>
        <v>0</v>
      </c>
      <c r="AF576" s="7" t="str">
        <f>Preencher!$B$3&amp;$U$8&amp;$V$8&amp;A576&amp;$AF$6</f>
        <v>JARINU-FRG925802MQ.GIROFREEZER</v>
      </c>
      <c r="AG576" s="7" t="str">
        <f>Preencher!$B$3&amp;$U$8&amp;$V$8&amp;A576&amp;$AG$6</f>
        <v>JARINU-FRG925802MQ.GIROFREEZER (1)</v>
      </c>
      <c r="AH576" s="7" t="str">
        <f>Preencher!$B$3&amp;$U$8&amp;$V$8&amp;A576&amp;$AH$6</f>
        <v>JARINU-FRG925802MQ.GIROFREEZER (2)</v>
      </c>
      <c r="AI576" s="7" t="str">
        <f>Preencher!$B$3&amp;$U$8&amp;$V$8&amp;A576&amp;$AI$6</f>
        <v>JARINU-FRG925802MQ.GIROFREEZER REV04</v>
      </c>
      <c r="AJ576" s="7" t="str">
        <f>Preencher!$B$3&amp;$U$8&amp;$V$8&amp;A576&amp;$AJ$6</f>
        <v>JARINU-FRG925802MQ.GIROFREEZER (3)</v>
      </c>
      <c r="AK576" s="327">
        <f>IFERROR(SUMIF('BD Otimix'!A:A,'BD VOLUME'!AG576,'BD Otimix'!O:O)+SUMIF('BD Otimix'!A:A,'BD VOLUME'!AH576,'BD Otimix'!O:O)+SUMIF('BD Otimix'!A:A,'BD VOLUME'!AI576,'BD Otimix'!O:O)+SUMIF('BD Otimix'!A:A,'BD VOLUME'!AJ576,'BD Otimix'!O:O)+SUMIF('BD Otimix'!A:A,'BD VOLUME'!AF576,'BD Otimix'!O:O),0)</f>
        <v>0</v>
      </c>
      <c r="AL576" s="7">
        <f t="shared" si="203"/>
        <v>0</v>
      </c>
    </row>
    <row r="577" spans="1:38">
      <c r="A577" s="651">
        <v>977420</v>
      </c>
      <c r="B577" s="651"/>
      <c r="C577" s="5"/>
      <c r="D577" s="5" t="s">
        <v>868</v>
      </c>
      <c r="E577" s="5" t="s">
        <v>2410</v>
      </c>
      <c r="F577" s="132">
        <f>SUMIF('COLAR PLANO'!$A:$A,A577,'COLAR PLANO'!$D:$D)</f>
        <v>0</v>
      </c>
      <c r="G577" s="131">
        <f t="shared" si="185"/>
        <v>0</v>
      </c>
      <c r="H577" s="6">
        <v>0.14065243077485973</v>
      </c>
      <c r="I577" s="7">
        <f t="shared" si="186"/>
        <v>0</v>
      </c>
      <c r="J577" s="130">
        <f t="shared" si="187"/>
        <v>0</v>
      </c>
      <c r="K577" s="651">
        <v>1</v>
      </c>
      <c r="L577" s="651">
        <v>18</v>
      </c>
      <c r="M577" s="651">
        <v>18</v>
      </c>
      <c r="N577" s="7">
        <f t="shared" si="184"/>
        <v>0</v>
      </c>
      <c r="O577" s="7"/>
      <c r="P577" s="7">
        <f t="shared" si="204"/>
        <v>0</v>
      </c>
      <c r="Q577" s="7"/>
      <c r="R577" s="7"/>
      <c r="S577" s="7"/>
      <c r="T577" s="7"/>
      <c r="U577" s="7" t="s">
        <v>2288</v>
      </c>
      <c r="V577" s="7" t="s">
        <v>2289</v>
      </c>
      <c r="W577" s="7" t="str">
        <f>Preencher!$B$3&amp;U577&amp;V577&amp;A577&amp;$W$6</f>
        <v>JARINU-FRG977420MQ.TUNEL DE CG (CONTINUO)</v>
      </c>
      <c r="X577" s="7" t="str">
        <f>Preencher!$B$3&amp;U577&amp;V577&amp;A577&amp;$X$6</f>
        <v>JARINU-FRG977420MQ.TUNEL DE CG (CONTINUO) (1)</v>
      </c>
      <c r="Y577" s="7" t="str">
        <f>Preencher!$B$3&amp;U577&amp;V577&amp;A577&amp;$Y$6</f>
        <v>JARINU-FRG977420MQ.TUNEL DE CG (CONTINUO) (2)</v>
      </c>
      <c r="Z577" s="7" t="str">
        <f>Preencher!$B$3&amp;U577&amp;V577&amp;A577&amp;$Z$6</f>
        <v>JARINU-FRG977420MQ.TUNEL DE CG (CONTINUO) (3)</v>
      </c>
      <c r="AA577" s="7" t="str">
        <f>Preencher!$B$3&amp;U577&amp;V577&amp;A577&amp;$AA$6</f>
        <v>JARINU-FRG977420MQ.TUNEL DE CG (ESTATICO)</v>
      </c>
      <c r="AB577" s="7" t="str">
        <f>Preencher!$B$3&amp;U577&amp;V577&amp;A577&amp;$AB$6</f>
        <v>JARINU-FRG977420MQ.TUNEL DE CG (ESTATICO) (1)</v>
      </c>
      <c r="AC577" s="7" t="str">
        <f>Preencher!$B$3&amp;U577&amp;V577&amp;A577&amp;$AC$6</f>
        <v>JARINU-FRG977420MQ.TUNEL DE CG (ESTATICO) (2)</v>
      </c>
      <c r="AD577" s="327">
        <f>IFERROR(SUMIF('BD Otimix'!A:A,'BD VOLUME'!X577,'BD Otimix'!O:O)+SUMIF('BD Otimix'!A:A,'BD VOLUME'!Y577,'BD Otimix'!O:O)+SUMIF('BD Otimix'!A:A,'BD VOLUME'!Z577,'BD Otimix'!O:O)+SUMIF('BD Otimix'!A:A,'BD VOLUME'!AA577,'BD Otimix'!O:O)+SUMIF('BD Otimix'!A:A,'BD VOLUME'!AB577,'BD Otimix'!O:O)+SUMIF('BD Otimix'!A:A,'BD VOLUME'!AC577,'BD Otimix'!O:O)+SUMIF('BD Otimix'!A:A,'BD VOLUME'!W577,'BD Otimix'!O:O),0)</f>
        <v>0</v>
      </c>
      <c r="AE577" s="327">
        <f t="shared" si="202"/>
        <v>0</v>
      </c>
      <c r="AF577" s="7" t="str">
        <f>Preencher!$B$3&amp;$U$8&amp;$V$8&amp;A577&amp;$AF$6</f>
        <v>JARINU-FRG977420MQ.GIROFREEZER</v>
      </c>
      <c r="AG577" s="7" t="str">
        <f>Preencher!$B$3&amp;$U$8&amp;$V$8&amp;A577&amp;$AG$6</f>
        <v>JARINU-FRG977420MQ.GIROFREEZER (1)</v>
      </c>
      <c r="AH577" s="7" t="str">
        <f>Preencher!$B$3&amp;$U$8&amp;$V$8&amp;A577&amp;$AH$6</f>
        <v>JARINU-FRG977420MQ.GIROFREEZER (2)</v>
      </c>
      <c r="AI577" s="7" t="str">
        <f>Preencher!$B$3&amp;$U$8&amp;$V$8&amp;A577&amp;$AI$6</f>
        <v>JARINU-FRG977420MQ.GIROFREEZER REV04</v>
      </c>
      <c r="AJ577" s="7" t="str">
        <f>Preencher!$B$3&amp;$U$8&amp;$V$8&amp;A577&amp;$AJ$6</f>
        <v>JARINU-FRG977420MQ.GIROFREEZER (3)</v>
      </c>
      <c r="AK577" s="327">
        <f>IFERROR(SUMIF('BD Otimix'!A:A,'BD VOLUME'!AG577,'BD Otimix'!O:O)+SUMIF('BD Otimix'!A:A,'BD VOLUME'!AH577,'BD Otimix'!O:O)+SUMIF('BD Otimix'!A:A,'BD VOLUME'!AI577,'BD Otimix'!O:O)+SUMIF('BD Otimix'!A:A,'BD VOLUME'!AJ577,'BD Otimix'!O:O)+SUMIF('BD Otimix'!A:A,'BD VOLUME'!AF577,'BD Otimix'!O:O),0)</f>
        <v>0</v>
      </c>
      <c r="AL577" s="7">
        <f t="shared" si="203"/>
        <v>0</v>
      </c>
    </row>
    <row r="578" spans="1:38">
      <c r="A578" s="651">
        <v>795259</v>
      </c>
      <c r="B578" s="651" t="s">
        <v>2438</v>
      </c>
      <c r="C578" s="5" t="s">
        <v>2246</v>
      </c>
      <c r="D578" s="5" t="s">
        <v>868</v>
      </c>
      <c r="E578" s="5" t="s">
        <v>924</v>
      </c>
      <c r="F578" s="132">
        <f>SUMIF('COLAR PLANO'!$A:$A,A578,'COLAR PLANO'!$D:$D)</f>
        <v>676854.72000000009</v>
      </c>
      <c r="G578" s="131">
        <f t="shared" si="185"/>
        <v>3213.1721813434615</v>
      </c>
      <c r="H578" s="6">
        <v>0.24541238744251673</v>
      </c>
      <c r="I578" s="7">
        <f t="shared" si="186"/>
        <v>4364.3167524786377</v>
      </c>
      <c r="J578" s="130">
        <f t="shared" si="187"/>
        <v>0.92862962011073225</v>
      </c>
      <c r="K578" s="663">
        <v>1</v>
      </c>
      <c r="L578" s="663">
        <v>15</v>
      </c>
      <c r="M578" s="663">
        <v>15</v>
      </c>
      <c r="N578" s="7">
        <f>IFERROR(G578/K578,"-")</f>
        <v>3213.1721813434615</v>
      </c>
      <c r="O578" s="7"/>
      <c r="P578" s="7">
        <f t="shared" si="204"/>
        <v>214.21147875623078</v>
      </c>
      <c r="Q578" s="7"/>
      <c r="R578" s="7"/>
      <c r="S578" s="7"/>
      <c r="T578" s="7"/>
      <c r="U578" s="7" t="s">
        <v>2288</v>
      </c>
      <c r="V578" s="7" t="s">
        <v>2289</v>
      </c>
      <c r="W578" s="7" t="str">
        <f>Preencher!$B$3&amp;U578&amp;V578&amp;A578&amp;$W$6</f>
        <v>JARINU-FRG795259MQ.TUNEL DE CG (CONTINUO)</v>
      </c>
      <c r="X578" s="7" t="str">
        <f>Preencher!$B$3&amp;U578&amp;V578&amp;A578&amp;$X$6</f>
        <v>JARINU-FRG795259MQ.TUNEL DE CG (CONTINUO) (1)</v>
      </c>
      <c r="Y578" s="7" t="str">
        <f>Preencher!$B$3&amp;U578&amp;V578&amp;A578&amp;$Y$6</f>
        <v>JARINU-FRG795259MQ.TUNEL DE CG (CONTINUO) (2)</v>
      </c>
      <c r="Z578" s="7" t="str">
        <f>Preencher!$B$3&amp;U578&amp;V578&amp;A578&amp;$Z$6</f>
        <v>JARINU-FRG795259MQ.TUNEL DE CG (CONTINUO) (3)</v>
      </c>
      <c r="AA578" s="7" t="str">
        <f>Preencher!$B$3&amp;U578&amp;V578&amp;A578&amp;$AA$6</f>
        <v>JARINU-FRG795259MQ.TUNEL DE CG (ESTATICO)</v>
      </c>
      <c r="AB578" s="7" t="str">
        <f>Preencher!$B$3&amp;U578&amp;V578&amp;A578&amp;$AB$6</f>
        <v>JARINU-FRG795259MQ.TUNEL DE CG (ESTATICO) (1)</v>
      </c>
      <c r="AC578" s="7" t="str">
        <f>Preencher!$B$3&amp;U578&amp;V578&amp;A578&amp;$AC$6</f>
        <v>JARINU-FRG795259MQ.TUNEL DE CG (ESTATICO) (2)</v>
      </c>
      <c r="AD578" s="327">
        <f>IFERROR(SUMIF('BD Otimix'!A:A,'BD VOLUME'!X578,'BD Otimix'!O:O)+SUMIF('BD Otimix'!A:A,'BD VOLUME'!Y578,'BD Otimix'!O:O)+SUMIF('BD Otimix'!A:A,'BD VOLUME'!Z578,'BD Otimix'!O:O)+SUMIF('BD Otimix'!A:A,'BD VOLUME'!AA578,'BD Otimix'!O:O)+SUMIF('BD Otimix'!A:A,'BD VOLUME'!AB578,'BD Otimix'!O:O)+SUMIF('BD Otimix'!A:A,'BD VOLUME'!AC578,'BD Otimix'!O:O)+SUMIF('BD Otimix'!A:A,'BD VOLUME'!W578,'BD Otimix'!O:O),0)</f>
        <v>0</v>
      </c>
      <c r="AE578" s="327">
        <f t="shared" si="202"/>
        <v>0</v>
      </c>
      <c r="AF578" s="7" t="str">
        <f>Preencher!$B$3&amp;$U$8&amp;$V$8&amp;A578&amp;$AF$6</f>
        <v>JARINU-FRG795259MQ.GIROFREEZER</v>
      </c>
      <c r="AG578" s="7" t="str">
        <f>Preencher!$B$3&amp;$U$8&amp;$V$8&amp;A578&amp;$AG$6</f>
        <v>JARINU-FRG795259MQ.GIROFREEZER (1)</v>
      </c>
      <c r="AH578" s="7" t="str">
        <f>Preencher!$B$3&amp;$U$8&amp;$V$8&amp;A578&amp;$AH$6</f>
        <v>JARINU-FRG795259MQ.GIROFREEZER (2)</v>
      </c>
      <c r="AI578" s="7" t="str">
        <f>Preencher!$B$3&amp;$U$8&amp;$V$8&amp;A578&amp;$AI$6</f>
        <v>JARINU-FRG795259MQ.GIROFREEZER REV04</v>
      </c>
      <c r="AJ578" s="7" t="str">
        <f>Preencher!$B$3&amp;$U$8&amp;$V$8&amp;A578&amp;$AJ$6</f>
        <v>JARINU-FRG795259MQ.GIROFREEZER (3)</v>
      </c>
      <c r="AK578" s="327">
        <f>IFERROR(SUMIF('BD Otimix'!A:A,'BD VOLUME'!AG578,'BD Otimix'!O:O)+SUMIF('BD Otimix'!A:A,'BD VOLUME'!AH578,'BD Otimix'!O:O)+SUMIF('BD Otimix'!A:A,'BD VOLUME'!AI578,'BD Otimix'!O:O)+SUMIF('BD Otimix'!A:A,'BD VOLUME'!AJ578,'BD Otimix'!O:O)+SUMIF('BD Otimix'!A:A,'BD VOLUME'!AF578,'BD Otimix'!O:O),0)</f>
        <v>0</v>
      </c>
      <c r="AL578" s="7">
        <f t="shared" si="203"/>
        <v>0</v>
      </c>
    </row>
    <row r="579" spans="1:38">
      <c r="A579" s="651">
        <v>977276</v>
      </c>
      <c r="B579" s="651" t="s">
        <v>2449</v>
      </c>
      <c r="C579" s="5" t="s">
        <v>2341</v>
      </c>
      <c r="D579" s="5" t="s">
        <v>868</v>
      </c>
      <c r="E579" s="5" t="s">
        <v>2409</v>
      </c>
      <c r="F579" s="132">
        <f>SUMIF('COLAR PLANO'!$A:$A,A579,'COLAR PLANO'!$D:$D)</f>
        <v>0</v>
      </c>
      <c r="G579" s="131">
        <f t="shared" si="185"/>
        <v>0</v>
      </c>
      <c r="H579" s="6">
        <v>0.104759956667657</v>
      </c>
      <c r="I579" s="7">
        <f t="shared" si="186"/>
        <v>0</v>
      </c>
      <c r="J579" s="130">
        <f t="shared" si="187"/>
        <v>0</v>
      </c>
      <c r="K579" s="666">
        <v>15</v>
      </c>
      <c r="L579" s="666">
        <v>1</v>
      </c>
      <c r="M579" s="666">
        <v>15</v>
      </c>
      <c r="N579" s="7">
        <f t="shared" si="184"/>
        <v>0</v>
      </c>
      <c r="O579" s="7"/>
      <c r="P579" s="7">
        <f t="shared" si="204"/>
        <v>0</v>
      </c>
      <c r="Q579" s="7"/>
      <c r="R579" s="7"/>
      <c r="S579" s="7"/>
      <c r="T579" s="7"/>
      <c r="U579" s="7" t="s">
        <v>2288</v>
      </c>
      <c r="V579" s="7" t="s">
        <v>2289</v>
      </c>
      <c r="W579" s="7" t="str">
        <f>Preencher!$B$3&amp;U579&amp;V579&amp;A579&amp;$W$6</f>
        <v>JARINU-FRG977276MQ.TUNEL DE CG (CONTINUO)</v>
      </c>
      <c r="X579" s="7" t="str">
        <f>Preencher!$B$3&amp;U579&amp;V579&amp;A579&amp;$X$6</f>
        <v>JARINU-FRG977276MQ.TUNEL DE CG (CONTINUO) (1)</v>
      </c>
      <c r="Y579" s="7" t="str">
        <f>Preencher!$B$3&amp;U579&amp;V579&amp;A579&amp;$Y$6</f>
        <v>JARINU-FRG977276MQ.TUNEL DE CG (CONTINUO) (2)</v>
      </c>
      <c r="Z579" s="7" t="str">
        <f>Preencher!$B$3&amp;U579&amp;V579&amp;A579&amp;$Z$6</f>
        <v>JARINU-FRG977276MQ.TUNEL DE CG (CONTINUO) (3)</v>
      </c>
      <c r="AA579" s="7" t="str">
        <f>Preencher!$B$3&amp;U579&amp;V579&amp;A579&amp;$AA$6</f>
        <v>JARINU-FRG977276MQ.TUNEL DE CG (ESTATICO)</v>
      </c>
      <c r="AB579" s="7" t="str">
        <f>Preencher!$B$3&amp;U579&amp;V579&amp;A579&amp;$AB$6</f>
        <v>JARINU-FRG977276MQ.TUNEL DE CG (ESTATICO) (1)</v>
      </c>
      <c r="AC579" s="7" t="str">
        <f>Preencher!$B$3&amp;U579&amp;V579&amp;A579&amp;$AC$6</f>
        <v>JARINU-FRG977276MQ.TUNEL DE CG (ESTATICO) (2)</v>
      </c>
      <c r="AD579" s="327">
        <f>IFERROR(SUMIF('BD Otimix'!A:A,'BD VOLUME'!X579,'BD Otimix'!O:O)+SUMIF('BD Otimix'!A:A,'BD VOLUME'!Y579,'BD Otimix'!O:O)+SUMIF('BD Otimix'!A:A,'BD VOLUME'!Z579,'BD Otimix'!O:O)+SUMIF('BD Otimix'!A:A,'BD VOLUME'!AA579,'BD Otimix'!O:O)+SUMIF('BD Otimix'!A:A,'BD VOLUME'!AB579,'BD Otimix'!O:O)+SUMIF('BD Otimix'!A:A,'BD VOLUME'!AC579,'BD Otimix'!O:O)+SUMIF('BD Otimix'!A:A,'BD VOLUME'!W579,'BD Otimix'!O:O),0)</f>
        <v>0</v>
      </c>
      <c r="AE579" s="327">
        <f t="shared" si="202"/>
        <v>0</v>
      </c>
      <c r="AF579" s="7" t="str">
        <f>Preencher!$B$3&amp;$U$8&amp;$V$8&amp;A579&amp;$AF$6</f>
        <v>JARINU-FRG977276MQ.GIROFREEZER</v>
      </c>
      <c r="AG579" s="7" t="str">
        <f>Preencher!$B$3&amp;$U$8&amp;$V$8&amp;A579&amp;$AG$6</f>
        <v>JARINU-FRG977276MQ.GIROFREEZER (1)</v>
      </c>
      <c r="AH579" s="7" t="str">
        <f>Preencher!$B$3&amp;$U$8&amp;$V$8&amp;A579&amp;$AH$6</f>
        <v>JARINU-FRG977276MQ.GIROFREEZER (2)</v>
      </c>
      <c r="AI579" s="7" t="str">
        <f>Preencher!$B$3&amp;$U$8&amp;$V$8&amp;A579&amp;$AI$6</f>
        <v>JARINU-FRG977276MQ.GIROFREEZER REV04</v>
      </c>
      <c r="AJ579" s="7" t="str">
        <f>Preencher!$B$3&amp;$U$8&amp;$V$8&amp;A579&amp;$AJ$6</f>
        <v>JARINU-FRG977276MQ.GIROFREEZER (3)</v>
      </c>
      <c r="AK579" s="327">
        <f>IFERROR(SUMIF('BD Otimix'!A:A,'BD VOLUME'!AG579,'BD Otimix'!O:O)+SUMIF('BD Otimix'!A:A,'BD VOLUME'!AH579,'BD Otimix'!O:O)+SUMIF('BD Otimix'!A:A,'BD VOLUME'!AI579,'BD Otimix'!O:O)+SUMIF('BD Otimix'!A:A,'BD VOLUME'!AJ579,'BD Otimix'!O:O)+SUMIF('BD Otimix'!A:A,'BD VOLUME'!AF579,'BD Otimix'!O:O),0)</f>
        <v>0</v>
      </c>
      <c r="AL579" s="7">
        <f t="shared" si="203"/>
        <v>0</v>
      </c>
    </row>
    <row r="580" spans="1:38">
      <c r="A580" s="651">
        <v>205579</v>
      </c>
      <c r="B580" s="651"/>
      <c r="C580" s="5" t="s">
        <v>2243</v>
      </c>
      <c r="D580" s="5" t="s">
        <v>868</v>
      </c>
      <c r="E580" s="5" t="s">
        <v>2460</v>
      </c>
      <c r="F580" s="132">
        <f>SUMIF('COLAR PLANO'!$A:$A,A580,'COLAR PLANO'!$D:$D)</f>
        <v>0</v>
      </c>
      <c r="G580" s="131">
        <f t="shared" si="185"/>
        <v>0</v>
      </c>
      <c r="H580" s="6">
        <v>0.104759956667657</v>
      </c>
      <c r="I580" s="7">
        <f t="shared" si="186"/>
        <v>0</v>
      </c>
      <c r="J580" s="130">
        <f t="shared" si="187"/>
        <v>0</v>
      </c>
      <c r="K580" s="122">
        <v>0.5</v>
      </c>
      <c r="L580" s="122">
        <v>10</v>
      </c>
      <c r="M580" s="122">
        <v>5</v>
      </c>
      <c r="N580" s="7">
        <f t="shared" si="184"/>
        <v>0</v>
      </c>
      <c r="O580" s="7">
        <f>IFERROR(G580/M580,0)</f>
        <v>0</v>
      </c>
      <c r="P580" s="7"/>
      <c r="Q580" s="7"/>
      <c r="R580" s="7"/>
      <c r="S580" s="7"/>
      <c r="T580" s="7"/>
      <c r="U580" s="7" t="s">
        <v>2288</v>
      </c>
      <c r="V580" s="7" t="s">
        <v>2289</v>
      </c>
      <c r="W580" s="7" t="str">
        <f>Preencher!$B$3&amp;U580&amp;V580&amp;A580&amp;$W$6</f>
        <v>JARINU-FRG205579MQ.TUNEL DE CG (CONTINUO)</v>
      </c>
      <c r="X580" s="7" t="str">
        <f>Preencher!$B$3&amp;U580&amp;V580&amp;A580&amp;$X$6</f>
        <v>JARINU-FRG205579MQ.TUNEL DE CG (CONTINUO) (1)</v>
      </c>
      <c r="Y580" s="7" t="str">
        <f>Preencher!$B$3&amp;U580&amp;V580&amp;A580&amp;$Y$6</f>
        <v>JARINU-FRG205579MQ.TUNEL DE CG (CONTINUO) (2)</v>
      </c>
      <c r="Z580" s="7" t="str">
        <f>Preencher!$B$3&amp;U580&amp;V580&amp;A580&amp;$Z$6</f>
        <v>JARINU-FRG205579MQ.TUNEL DE CG (CONTINUO) (3)</v>
      </c>
      <c r="AA580" s="7" t="str">
        <f>Preencher!$B$3&amp;U580&amp;V580&amp;A580&amp;$AA$6</f>
        <v>JARINU-FRG205579MQ.TUNEL DE CG (ESTATICO)</v>
      </c>
      <c r="AB580" s="7" t="str">
        <f>Preencher!$B$3&amp;U580&amp;V580&amp;A580&amp;$AB$6</f>
        <v>JARINU-FRG205579MQ.TUNEL DE CG (ESTATICO) (1)</v>
      </c>
      <c r="AC580" s="7" t="str">
        <f>Preencher!$B$3&amp;U580&amp;V580&amp;A580&amp;$AC$6</f>
        <v>JARINU-FRG205579MQ.TUNEL DE CG (ESTATICO) (2)</v>
      </c>
      <c r="AD580" s="327">
        <f>IFERROR(SUMIF('BD Otimix'!A:A,'BD VOLUME'!X580,'BD Otimix'!O:O)+SUMIF('BD Otimix'!A:A,'BD VOLUME'!Y580,'BD Otimix'!O:O)+SUMIF('BD Otimix'!A:A,'BD VOLUME'!Z580,'BD Otimix'!O:O)+SUMIF('BD Otimix'!A:A,'BD VOLUME'!AA580,'BD Otimix'!O:O)+SUMIF('BD Otimix'!A:A,'BD VOLUME'!AB580,'BD Otimix'!O:O)+SUMIF('BD Otimix'!A:A,'BD VOLUME'!AC580,'BD Otimix'!O:O)+SUMIF('BD Otimix'!A:A,'BD VOLUME'!W580,'BD Otimix'!O:O),0)</f>
        <v>0</v>
      </c>
      <c r="AE580" s="327">
        <f t="shared" si="202"/>
        <v>0</v>
      </c>
      <c r="AF580" s="7" t="str">
        <f>Preencher!$B$3&amp;$U$8&amp;$V$8&amp;A580&amp;$AF$6</f>
        <v>JARINU-FRG205579MQ.GIROFREEZER</v>
      </c>
      <c r="AG580" s="7" t="str">
        <f>Preencher!$B$3&amp;$U$8&amp;$V$8&amp;A580&amp;$AG$6</f>
        <v>JARINU-FRG205579MQ.GIROFREEZER (1)</v>
      </c>
      <c r="AH580" s="7" t="str">
        <f>Preencher!$B$3&amp;$U$8&amp;$V$8&amp;A580&amp;$AH$6</f>
        <v>JARINU-FRG205579MQ.GIROFREEZER (2)</v>
      </c>
      <c r="AI580" s="7" t="str">
        <f>Preencher!$B$3&amp;$U$8&amp;$V$8&amp;A580&amp;$AI$6</f>
        <v>JARINU-FRG205579MQ.GIROFREEZER REV04</v>
      </c>
      <c r="AJ580" s="7" t="str">
        <f>Preencher!$B$3&amp;$U$8&amp;$V$8&amp;A580&amp;$AJ$6</f>
        <v>JARINU-FRG205579MQ.GIROFREEZER (3)</v>
      </c>
      <c r="AK580" s="327">
        <f>IFERROR(SUMIF('BD Otimix'!A:A,'BD VOLUME'!AG580,'BD Otimix'!O:O)+SUMIF('BD Otimix'!A:A,'BD VOLUME'!AH580,'BD Otimix'!O:O)+SUMIF('BD Otimix'!A:A,'BD VOLUME'!AI580,'BD Otimix'!O:O)+SUMIF('BD Otimix'!A:A,'BD VOLUME'!AJ580,'BD Otimix'!O:O)+SUMIF('BD Otimix'!A:A,'BD VOLUME'!AF580,'BD Otimix'!O:O),0)</f>
        <v>0</v>
      </c>
      <c r="AL580" s="7">
        <f t="shared" si="203"/>
        <v>0</v>
      </c>
    </row>
    <row r="581" spans="1:38">
      <c r="A581" s="651">
        <v>205569</v>
      </c>
      <c r="B581" s="651"/>
      <c r="C581" s="5" t="s">
        <v>2243</v>
      </c>
      <c r="D581" s="5" t="s">
        <v>868</v>
      </c>
      <c r="E581" s="5" t="s">
        <v>2461</v>
      </c>
      <c r="F581" s="132">
        <f>SUMIF('COLAR PLANO'!$A:$A,A581,'COLAR PLANO'!$D:$D)</f>
        <v>0</v>
      </c>
      <c r="G581" s="131">
        <f t="shared" si="185"/>
        <v>0</v>
      </c>
      <c r="H581" s="6">
        <v>0.14065243077485973</v>
      </c>
      <c r="I581" s="7">
        <f t="shared" si="186"/>
        <v>0</v>
      </c>
      <c r="J581" s="130">
        <f t="shared" si="187"/>
        <v>0</v>
      </c>
      <c r="K581" s="122">
        <v>0.5</v>
      </c>
      <c r="L581" s="122">
        <v>10</v>
      </c>
      <c r="M581" s="122">
        <v>5</v>
      </c>
      <c r="N581" s="7">
        <f t="shared" si="184"/>
        <v>0</v>
      </c>
      <c r="O581" s="7">
        <f>IFERROR(G581/M581,0)</f>
        <v>0</v>
      </c>
      <c r="P581" s="7"/>
      <c r="Q581" s="7"/>
      <c r="R581" s="7"/>
      <c r="S581" s="7"/>
      <c r="T581" s="7"/>
      <c r="U581" s="7" t="s">
        <v>2288</v>
      </c>
      <c r="V581" s="7" t="s">
        <v>2289</v>
      </c>
      <c r="W581" s="7" t="str">
        <f>Preencher!$B$3&amp;U581&amp;V581&amp;A581&amp;$W$6</f>
        <v>JARINU-FRG205569MQ.TUNEL DE CG (CONTINUO)</v>
      </c>
      <c r="X581" s="7" t="str">
        <f>Preencher!$B$3&amp;U581&amp;V581&amp;A581&amp;$X$6</f>
        <v>JARINU-FRG205569MQ.TUNEL DE CG (CONTINUO) (1)</v>
      </c>
      <c r="Y581" s="7" t="str">
        <f>Preencher!$B$3&amp;U581&amp;V581&amp;A581&amp;$Y$6</f>
        <v>JARINU-FRG205569MQ.TUNEL DE CG (CONTINUO) (2)</v>
      </c>
      <c r="Z581" s="7" t="str">
        <f>Preencher!$B$3&amp;U581&amp;V581&amp;A581&amp;$Z$6</f>
        <v>JARINU-FRG205569MQ.TUNEL DE CG (CONTINUO) (3)</v>
      </c>
      <c r="AA581" s="7" t="str">
        <f>Preencher!$B$3&amp;U581&amp;V581&amp;A581&amp;$AA$6</f>
        <v>JARINU-FRG205569MQ.TUNEL DE CG (ESTATICO)</v>
      </c>
      <c r="AB581" s="7" t="str">
        <f>Preencher!$B$3&amp;U581&amp;V581&amp;A581&amp;$AB$6</f>
        <v>JARINU-FRG205569MQ.TUNEL DE CG (ESTATICO) (1)</v>
      </c>
      <c r="AC581" s="7" t="str">
        <f>Preencher!$B$3&amp;U581&amp;V581&amp;A581&amp;$AC$6</f>
        <v>JARINU-FRG205569MQ.TUNEL DE CG (ESTATICO) (2)</v>
      </c>
      <c r="AD581" s="327">
        <f>IFERROR(SUMIF('BD Otimix'!A:A,'BD VOLUME'!X581,'BD Otimix'!O:O)+SUMIF('BD Otimix'!A:A,'BD VOLUME'!Y581,'BD Otimix'!O:O)+SUMIF('BD Otimix'!A:A,'BD VOLUME'!Z581,'BD Otimix'!O:O)+SUMIF('BD Otimix'!A:A,'BD VOLUME'!AA581,'BD Otimix'!O:O)+SUMIF('BD Otimix'!A:A,'BD VOLUME'!AB581,'BD Otimix'!O:O)+SUMIF('BD Otimix'!A:A,'BD VOLUME'!AC581,'BD Otimix'!O:O)+SUMIF('BD Otimix'!A:A,'BD VOLUME'!W581,'BD Otimix'!O:O),0)</f>
        <v>0</v>
      </c>
      <c r="AE581" s="327">
        <f t="shared" si="202"/>
        <v>0</v>
      </c>
      <c r="AF581" s="7" t="str">
        <f>Preencher!$B$3&amp;$U$8&amp;$V$8&amp;A581&amp;$AF$6</f>
        <v>JARINU-FRG205569MQ.GIROFREEZER</v>
      </c>
      <c r="AG581" s="7" t="str">
        <f>Preencher!$B$3&amp;$U$8&amp;$V$8&amp;A581&amp;$AG$6</f>
        <v>JARINU-FRG205569MQ.GIROFREEZER (1)</v>
      </c>
      <c r="AH581" s="7" t="str">
        <f>Preencher!$B$3&amp;$U$8&amp;$V$8&amp;A581&amp;$AH$6</f>
        <v>JARINU-FRG205569MQ.GIROFREEZER (2)</v>
      </c>
      <c r="AI581" s="7" t="str">
        <f>Preencher!$B$3&amp;$U$8&amp;$V$8&amp;A581&amp;$AI$6</f>
        <v>JARINU-FRG205569MQ.GIROFREEZER REV04</v>
      </c>
      <c r="AJ581" s="7" t="str">
        <f>Preencher!$B$3&amp;$U$8&amp;$V$8&amp;A581&amp;$AJ$6</f>
        <v>JARINU-FRG205569MQ.GIROFREEZER (3)</v>
      </c>
      <c r="AK581" s="327">
        <f>IFERROR(SUMIF('BD Otimix'!A:A,'BD VOLUME'!AG581,'BD Otimix'!O:O)+SUMIF('BD Otimix'!A:A,'BD VOLUME'!AH581,'BD Otimix'!O:O)+SUMIF('BD Otimix'!A:A,'BD VOLUME'!AI581,'BD Otimix'!O:O)+SUMIF('BD Otimix'!A:A,'BD VOLUME'!AJ581,'BD Otimix'!O:O)+SUMIF('BD Otimix'!A:A,'BD VOLUME'!AF581,'BD Otimix'!O:O),0)</f>
        <v>0</v>
      </c>
      <c r="AL581" s="7">
        <f t="shared" si="203"/>
        <v>0</v>
      </c>
    </row>
    <row r="582" spans="1:38">
      <c r="A582" s="651">
        <v>42137</v>
      </c>
      <c r="B582" s="651" t="s">
        <v>2454</v>
      </c>
      <c r="C582" s="5" t="s">
        <v>2455</v>
      </c>
      <c r="D582" s="5" t="s">
        <v>868</v>
      </c>
      <c r="E582" s="5" t="s">
        <v>1636</v>
      </c>
      <c r="F582" s="132">
        <f>SUMIF('COLAR PLANO'!$A:$A,A582,'COLAR PLANO'!$D:$D)</f>
        <v>0</v>
      </c>
      <c r="G582" s="131">
        <f t="shared" si="185"/>
        <v>0</v>
      </c>
      <c r="H582" s="6">
        <v>0.14065243077485973</v>
      </c>
      <c r="I582" s="7">
        <f t="shared" si="186"/>
        <v>0</v>
      </c>
      <c r="J582" s="130">
        <f t="shared" si="187"/>
        <v>0</v>
      </c>
      <c r="K582" s="671">
        <v>1</v>
      </c>
      <c r="L582" s="671">
        <v>18</v>
      </c>
      <c r="M582" s="671">
        <v>18</v>
      </c>
      <c r="N582" s="7">
        <f t="shared" si="184"/>
        <v>0</v>
      </c>
      <c r="O582" s="7"/>
      <c r="P582" s="7">
        <f>IFERROR(G582/M582,0)</f>
        <v>0</v>
      </c>
      <c r="Q582" s="7"/>
      <c r="R582" s="7"/>
      <c r="S582" s="7"/>
      <c r="T582" s="7"/>
      <c r="U582" s="7" t="s">
        <v>2288</v>
      </c>
      <c r="V582" s="7" t="s">
        <v>2289</v>
      </c>
      <c r="W582" s="7" t="str">
        <f>Preencher!$B$3&amp;U582&amp;V582&amp;A582&amp;$W$6</f>
        <v>JARINU-FRG42137MQ.TUNEL DE CG (CONTINUO)</v>
      </c>
      <c r="X582" s="7" t="str">
        <f>Preencher!$B$3&amp;U582&amp;V582&amp;A582&amp;$X$6</f>
        <v>JARINU-FRG42137MQ.TUNEL DE CG (CONTINUO) (1)</v>
      </c>
      <c r="Y582" s="7" t="str">
        <f>Preencher!$B$3&amp;U582&amp;V582&amp;A582&amp;$Y$6</f>
        <v>JARINU-FRG42137MQ.TUNEL DE CG (CONTINUO) (2)</v>
      </c>
      <c r="Z582" s="7" t="str">
        <f>Preencher!$B$3&amp;U582&amp;V582&amp;A582&amp;$Z$6</f>
        <v>JARINU-FRG42137MQ.TUNEL DE CG (CONTINUO) (3)</v>
      </c>
      <c r="AA582" s="7" t="str">
        <f>Preencher!$B$3&amp;U582&amp;V582&amp;A582&amp;$AA$6</f>
        <v>JARINU-FRG42137MQ.TUNEL DE CG (ESTATICO)</v>
      </c>
      <c r="AB582" s="7" t="str">
        <f>Preencher!$B$3&amp;U582&amp;V582&amp;A582&amp;$AB$6</f>
        <v>JARINU-FRG42137MQ.TUNEL DE CG (ESTATICO) (1)</v>
      </c>
      <c r="AC582" s="7" t="str">
        <f>Preencher!$B$3&amp;U582&amp;V582&amp;A582&amp;$AC$6</f>
        <v>JARINU-FRG42137MQ.TUNEL DE CG (ESTATICO) (2)</v>
      </c>
      <c r="AD582" s="327">
        <f>IFERROR(SUMIF('BD Otimix'!A:A,'BD VOLUME'!X582,'BD Otimix'!O:O)+SUMIF('BD Otimix'!A:A,'BD VOLUME'!Y582,'BD Otimix'!O:O)+SUMIF('BD Otimix'!A:A,'BD VOLUME'!Z582,'BD Otimix'!O:O)+SUMIF('BD Otimix'!A:A,'BD VOLUME'!AA582,'BD Otimix'!O:O)+SUMIF('BD Otimix'!A:A,'BD VOLUME'!AB582,'BD Otimix'!O:O)+SUMIF('BD Otimix'!A:A,'BD VOLUME'!AC582,'BD Otimix'!O:O)+SUMIF('BD Otimix'!A:A,'BD VOLUME'!W582,'BD Otimix'!O:O),0)</f>
        <v>0</v>
      </c>
      <c r="AE582" s="327">
        <f t="shared" si="202"/>
        <v>0</v>
      </c>
      <c r="AF582" s="7" t="str">
        <f>Preencher!$B$3&amp;$U$8&amp;$V$8&amp;A582&amp;$AF$6</f>
        <v>JARINU-FRG42137MQ.GIROFREEZER</v>
      </c>
      <c r="AG582" s="7" t="str">
        <f>Preencher!$B$3&amp;$U$8&amp;$V$8&amp;A582&amp;$AG$6</f>
        <v>JARINU-FRG42137MQ.GIROFREEZER (1)</v>
      </c>
      <c r="AH582" s="7" t="str">
        <f>Preencher!$B$3&amp;$U$8&amp;$V$8&amp;A582&amp;$AH$6</f>
        <v>JARINU-FRG42137MQ.GIROFREEZER (2)</v>
      </c>
      <c r="AI582" s="7" t="str">
        <f>Preencher!$B$3&amp;$U$8&amp;$V$8&amp;A582&amp;$AI$6</f>
        <v>JARINU-FRG42137MQ.GIROFREEZER REV04</v>
      </c>
      <c r="AJ582" s="7" t="str">
        <f>Preencher!$B$3&amp;$U$8&amp;$V$8&amp;A582&amp;$AJ$6</f>
        <v>JARINU-FRG42137MQ.GIROFREEZER (3)</v>
      </c>
      <c r="AK582" s="327">
        <f>IFERROR(SUMIF('BD Otimix'!A:A,'BD VOLUME'!AG582,'BD Otimix'!O:O)+SUMIF('BD Otimix'!A:A,'BD VOLUME'!AH582,'BD Otimix'!O:O)+SUMIF('BD Otimix'!A:A,'BD VOLUME'!AI582,'BD Otimix'!O:O)+SUMIF('BD Otimix'!A:A,'BD VOLUME'!AJ582,'BD Otimix'!O:O)+SUMIF('BD Otimix'!A:A,'BD VOLUME'!AF582,'BD Otimix'!O:O),0)</f>
        <v>0</v>
      </c>
      <c r="AL582" s="7">
        <f t="shared" si="203"/>
        <v>0</v>
      </c>
    </row>
    <row r="583" spans="1:38">
      <c r="A583" s="651">
        <v>124345</v>
      </c>
      <c r="B583" s="651" t="s">
        <v>2525</v>
      </c>
      <c r="C583" s="5" t="s">
        <v>2526</v>
      </c>
      <c r="D583" s="5" t="s">
        <v>868</v>
      </c>
      <c r="E583" s="5" t="s">
        <v>1648</v>
      </c>
      <c r="F583" s="132">
        <f>SUMIF('COLAR PLANO'!$A:$A,A583,'COLAR PLANO'!$D:$D)</f>
        <v>0</v>
      </c>
      <c r="G583" s="131">
        <f t="shared" si="185"/>
        <v>0</v>
      </c>
      <c r="H583" s="6">
        <v>0.104759956667657</v>
      </c>
      <c r="I583" s="7">
        <f t="shared" si="186"/>
        <v>0</v>
      </c>
      <c r="J583" s="130">
        <f t="shared" si="187"/>
        <v>0</v>
      </c>
      <c r="K583" s="685">
        <v>15</v>
      </c>
      <c r="L583" s="685">
        <v>1</v>
      </c>
      <c r="M583" s="685">
        <v>15</v>
      </c>
      <c r="N583" s="7">
        <f t="shared" si="184"/>
        <v>0</v>
      </c>
      <c r="O583" s="7"/>
      <c r="P583" s="7">
        <f>IFERROR(G583/M583,0)</f>
        <v>0</v>
      </c>
      <c r="Q583" s="7"/>
      <c r="R583" s="7"/>
      <c r="S583" s="7"/>
      <c r="T583" s="7"/>
      <c r="U583" s="7" t="s">
        <v>2288</v>
      </c>
      <c r="V583" s="7" t="s">
        <v>2289</v>
      </c>
      <c r="W583" s="7" t="str">
        <f>Preencher!$B$3&amp;U583&amp;V583&amp;A583&amp;$W$6</f>
        <v>JARINU-FRG124345MQ.TUNEL DE CG (CONTINUO)</v>
      </c>
      <c r="X583" s="7" t="str">
        <f>Preencher!$B$3&amp;U583&amp;V583&amp;A583&amp;$X$6</f>
        <v>JARINU-FRG124345MQ.TUNEL DE CG (CONTINUO) (1)</v>
      </c>
      <c r="Y583" s="7" t="str">
        <f>Preencher!$B$3&amp;U583&amp;V583&amp;A583&amp;$Y$6</f>
        <v>JARINU-FRG124345MQ.TUNEL DE CG (CONTINUO) (2)</v>
      </c>
      <c r="Z583" s="7" t="str">
        <f>Preencher!$B$3&amp;U583&amp;V583&amp;A583&amp;$Z$6</f>
        <v>JARINU-FRG124345MQ.TUNEL DE CG (CONTINUO) (3)</v>
      </c>
      <c r="AA583" s="7" t="str">
        <f>Preencher!$B$3&amp;U583&amp;V583&amp;A583&amp;$AA$6</f>
        <v>JARINU-FRG124345MQ.TUNEL DE CG (ESTATICO)</v>
      </c>
      <c r="AB583" s="7" t="str">
        <f>Preencher!$B$3&amp;U583&amp;V583&amp;A583&amp;$AB$6</f>
        <v>JARINU-FRG124345MQ.TUNEL DE CG (ESTATICO) (1)</v>
      </c>
      <c r="AC583" s="7" t="str">
        <f>Preencher!$B$3&amp;U583&amp;V583&amp;A583&amp;$AC$6</f>
        <v>JARINU-FRG124345MQ.TUNEL DE CG (ESTATICO) (2)</v>
      </c>
      <c r="AD583" s="327">
        <f>IFERROR(SUMIF('BD Otimix'!A:A,'BD VOLUME'!X583,'BD Otimix'!O:O)+SUMIF('BD Otimix'!A:A,'BD VOLUME'!Y583,'BD Otimix'!O:O)+SUMIF('BD Otimix'!A:A,'BD VOLUME'!Z583,'BD Otimix'!O:O)+SUMIF('BD Otimix'!A:A,'BD VOLUME'!AA583,'BD Otimix'!O:O)+SUMIF('BD Otimix'!A:A,'BD VOLUME'!AB583,'BD Otimix'!O:O)+SUMIF('BD Otimix'!A:A,'BD VOLUME'!AC583,'BD Otimix'!O:O)+SUMIF('BD Otimix'!A:A,'BD VOLUME'!W583,'BD Otimix'!O:O),0)</f>
        <v>0</v>
      </c>
      <c r="AE583" s="327">
        <f t="shared" si="202"/>
        <v>0</v>
      </c>
      <c r="AF583" s="7" t="str">
        <f>Preencher!$B$3&amp;$U$8&amp;$V$8&amp;A583&amp;$AF$6</f>
        <v>JARINU-FRG124345MQ.GIROFREEZER</v>
      </c>
      <c r="AG583" s="7" t="str">
        <f>Preencher!$B$3&amp;$U$8&amp;$V$8&amp;A583&amp;$AG$6</f>
        <v>JARINU-FRG124345MQ.GIROFREEZER (1)</v>
      </c>
      <c r="AH583" s="7" t="str">
        <f>Preencher!$B$3&amp;$U$8&amp;$V$8&amp;A583&amp;$AH$6</f>
        <v>JARINU-FRG124345MQ.GIROFREEZER (2)</v>
      </c>
      <c r="AI583" s="7" t="str">
        <f>Preencher!$B$3&amp;$U$8&amp;$V$8&amp;A583&amp;$AI$6</f>
        <v>JARINU-FRG124345MQ.GIROFREEZER REV04</v>
      </c>
      <c r="AJ583" s="7" t="str">
        <f>Preencher!$B$3&amp;$U$8&amp;$V$8&amp;A583&amp;$AJ$6</f>
        <v>JARINU-FRG124345MQ.GIROFREEZER (3)</v>
      </c>
      <c r="AK583" s="327">
        <f>IFERROR(SUMIF('BD Otimix'!A:A,'BD VOLUME'!AG583,'BD Otimix'!O:O)+SUMIF('BD Otimix'!A:A,'BD VOLUME'!AH583,'BD Otimix'!O:O)+SUMIF('BD Otimix'!A:A,'BD VOLUME'!AI583,'BD Otimix'!O:O)+SUMIF('BD Otimix'!A:A,'BD VOLUME'!AJ583,'BD Otimix'!O:O)+SUMIF('BD Otimix'!A:A,'BD VOLUME'!AF583,'BD Otimix'!O:O),0)</f>
        <v>0</v>
      </c>
      <c r="AL583" s="7">
        <f t="shared" si="203"/>
        <v>0</v>
      </c>
    </row>
    <row r="584" spans="1:38">
      <c r="A584" s="651">
        <v>956929</v>
      </c>
      <c r="B584" s="651" t="s">
        <v>2527</v>
      </c>
      <c r="C584" s="5" t="s">
        <v>2528</v>
      </c>
      <c r="D584" s="5" t="s">
        <v>868</v>
      </c>
      <c r="E584" s="5" t="s">
        <v>2393</v>
      </c>
      <c r="F584" s="132">
        <f>SUMIF('COLAR PLANO'!$A:$A,A584,'COLAR PLANO'!$D:$D)</f>
        <v>0</v>
      </c>
      <c r="G584" s="131">
        <f t="shared" si="185"/>
        <v>0</v>
      </c>
      <c r="H584" s="6">
        <v>0.104759956667657</v>
      </c>
      <c r="I584" s="7">
        <f t="shared" si="186"/>
        <v>0</v>
      </c>
      <c r="J584" s="130">
        <f t="shared" si="187"/>
        <v>0</v>
      </c>
      <c r="K584" s="685">
        <v>1</v>
      </c>
      <c r="L584" s="685">
        <v>12</v>
      </c>
      <c r="M584" s="685">
        <v>12</v>
      </c>
      <c r="N584" s="7">
        <f t="shared" si="184"/>
        <v>0</v>
      </c>
      <c r="O584" s="7">
        <f t="shared" ref="O584:O590" si="205">IFERROR(G584/M584,0)</f>
        <v>0</v>
      </c>
      <c r="P584" s="7"/>
      <c r="Q584" s="7"/>
      <c r="R584" s="7"/>
      <c r="S584" s="7"/>
      <c r="T584" s="7"/>
      <c r="U584" s="7" t="s">
        <v>2288</v>
      </c>
      <c r="V584" s="7" t="s">
        <v>2289</v>
      </c>
      <c r="W584" s="7" t="str">
        <f>Preencher!$B$3&amp;U584&amp;V584&amp;A584&amp;$W$6</f>
        <v>JARINU-FRG956929MQ.TUNEL DE CG (CONTINUO)</v>
      </c>
      <c r="X584" s="7" t="str">
        <f>Preencher!$B$3&amp;U584&amp;V584&amp;A584&amp;$X$6</f>
        <v>JARINU-FRG956929MQ.TUNEL DE CG (CONTINUO) (1)</v>
      </c>
      <c r="Y584" s="7" t="str">
        <f>Preencher!$B$3&amp;U584&amp;V584&amp;A584&amp;$Y$6</f>
        <v>JARINU-FRG956929MQ.TUNEL DE CG (CONTINUO) (2)</v>
      </c>
      <c r="Z584" s="7" t="str">
        <f>Preencher!$B$3&amp;U584&amp;V584&amp;A584&amp;$Z$6</f>
        <v>JARINU-FRG956929MQ.TUNEL DE CG (CONTINUO) (3)</v>
      </c>
      <c r="AA584" s="7" t="str">
        <f>Preencher!$B$3&amp;U584&amp;V584&amp;A584&amp;$AA$6</f>
        <v>JARINU-FRG956929MQ.TUNEL DE CG (ESTATICO)</v>
      </c>
      <c r="AB584" s="7" t="str">
        <f>Preencher!$B$3&amp;U584&amp;V584&amp;A584&amp;$AB$6</f>
        <v>JARINU-FRG956929MQ.TUNEL DE CG (ESTATICO) (1)</v>
      </c>
      <c r="AC584" s="7" t="str">
        <f>Preencher!$B$3&amp;U584&amp;V584&amp;A584&amp;$AC$6</f>
        <v>JARINU-FRG956929MQ.TUNEL DE CG (ESTATICO) (2)</v>
      </c>
      <c r="AD584" s="327">
        <f>IFERROR(SUMIF('BD Otimix'!A:A,'BD VOLUME'!X584,'BD Otimix'!O:O)+SUMIF('BD Otimix'!A:A,'BD VOLUME'!Y584,'BD Otimix'!O:O)+SUMIF('BD Otimix'!A:A,'BD VOLUME'!Z584,'BD Otimix'!O:O)+SUMIF('BD Otimix'!A:A,'BD VOLUME'!AA584,'BD Otimix'!O:O)+SUMIF('BD Otimix'!A:A,'BD VOLUME'!AB584,'BD Otimix'!O:O)+SUMIF('BD Otimix'!A:A,'BD VOLUME'!AC584,'BD Otimix'!O:O)+SUMIF('BD Otimix'!A:A,'BD VOLUME'!W584,'BD Otimix'!O:O),0)</f>
        <v>0</v>
      </c>
      <c r="AE584" s="327">
        <f t="shared" si="202"/>
        <v>0</v>
      </c>
      <c r="AF584" s="7" t="str">
        <f>Preencher!$B$3&amp;$U$8&amp;$V$8&amp;A584&amp;$AF$6</f>
        <v>JARINU-FRG956929MQ.GIROFREEZER</v>
      </c>
      <c r="AG584" s="7" t="str">
        <f>Preencher!$B$3&amp;$U$8&amp;$V$8&amp;A584&amp;$AG$6</f>
        <v>JARINU-FRG956929MQ.GIROFREEZER (1)</v>
      </c>
      <c r="AH584" s="7" t="str">
        <f>Preencher!$B$3&amp;$U$8&amp;$V$8&amp;A584&amp;$AH$6</f>
        <v>JARINU-FRG956929MQ.GIROFREEZER (2)</v>
      </c>
      <c r="AI584" s="7" t="str">
        <f>Preencher!$B$3&amp;$U$8&amp;$V$8&amp;A584&amp;$AI$6</f>
        <v>JARINU-FRG956929MQ.GIROFREEZER REV04</v>
      </c>
      <c r="AJ584" s="7" t="str">
        <f>Preencher!$B$3&amp;$U$8&amp;$V$8&amp;A584&amp;$AJ$6</f>
        <v>JARINU-FRG956929MQ.GIROFREEZER (3)</v>
      </c>
      <c r="AK584" s="327">
        <f>IFERROR(SUMIF('BD Otimix'!A:A,'BD VOLUME'!AG584,'BD Otimix'!O:O)+SUMIF('BD Otimix'!A:A,'BD VOLUME'!AH584,'BD Otimix'!O:O)+SUMIF('BD Otimix'!A:A,'BD VOLUME'!AI584,'BD Otimix'!O:O)+SUMIF('BD Otimix'!A:A,'BD VOLUME'!AJ584,'BD Otimix'!O:O)+SUMIF('BD Otimix'!A:A,'BD VOLUME'!AF584,'BD Otimix'!O:O),0)</f>
        <v>0</v>
      </c>
      <c r="AL584" s="7">
        <f t="shared" si="203"/>
        <v>0</v>
      </c>
    </row>
    <row r="585" spans="1:38">
      <c r="A585" s="651">
        <v>124038</v>
      </c>
      <c r="B585" s="651"/>
      <c r="C585" s="5" t="s">
        <v>2529</v>
      </c>
      <c r="D585" s="5" t="s">
        <v>868</v>
      </c>
      <c r="E585" s="5" t="s">
        <v>2393</v>
      </c>
      <c r="F585" s="132">
        <f>SUMIF('COLAR PLANO'!$A:$A,A585,'COLAR PLANO'!$D:$D)</f>
        <v>0</v>
      </c>
      <c r="G585" s="131">
        <f t="shared" si="185"/>
        <v>0</v>
      </c>
      <c r="H585" s="6">
        <v>0.104759956667657</v>
      </c>
      <c r="I585" s="7">
        <f t="shared" si="186"/>
        <v>0</v>
      </c>
      <c r="J585" s="130">
        <f t="shared" si="187"/>
        <v>0</v>
      </c>
      <c r="K585" s="685">
        <v>1</v>
      </c>
      <c r="L585" s="685">
        <v>12</v>
      </c>
      <c r="M585" s="685">
        <v>12</v>
      </c>
      <c r="N585" s="7">
        <f t="shared" si="184"/>
        <v>0</v>
      </c>
      <c r="O585" s="7">
        <f t="shared" si="205"/>
        <v>0</v>
      </c>
      <c r="P585" s="7"/>
      <c r="Q585" s="7"/>
      <c r="R585" s="7"/>
      <c r="S585" s="7"/>
      <c r="T585" s="7"/>
      <c r="U585" s="7" t="s">
        <v>2288</v>
      </c>
      <c r="V585" s="7" t="s">
        <v>2289</v>
      </c>
      <c r="W585" s="7" t="str">
        <f>Preencher!$B$3&amp;U585&amp;V585&amp;A585&amp;$W$6</f>
        <v>JARINU-FRG124038MQ.TUNEL DE CG (CONTINUO)</v>
      </c>
      <c r="X585" s="7" t="str">
        <f>Preencher!$B$3&amp;U585&amp;V585&amp;A585&amp;$X$6</f>
        <v>JARINU-FRG124038MQ.TUNEL DE CG (CONTINUO) (1)</v>
      </c>
      <c r="Y585" s="7" t="str">
        <f>Preencher!$B$3&amp;U585&amp;V585&amp;A585&amp;$Y$6</f>
        <v>JARINU-FRG124038MQ.TUNEL DE CG (CONTINUO) (2)</v>
      </c>
      <c r="Z585" s="7" t="str">
        <f>Preencher!$B$3&amp;U585&amp;V585&amp;A585&amp;$Z$6</f>
        <v>JARINU-FRG124038MQ.TUNEL DE CG (CONTINUO) (3)</v>
      </c>
      <c r="AA585" s="7" t="str">
        <f>Preencher!$B$3&amp;U585&amp;V585&amp;A585&amp;$AA$6</f>
        <v>JARINU-FRG124038MQ.TUNEL DE CG (ESTATICO)</v>
      </c>
      <c r="AB585" s="7" t="str">
        <f>Preencher!$B$3&amp;U585&amp;V585&amp;A585&amp;$AB$6</f>
        <v>JARINU-FRG124038MQ.TUNEL DE CG (ESTATICO) (1)</v>
      </c>
      <c r="AC585" s="7" t="str">
        <f>Preencher!$B$3&amp;U585&amp;V585&amp;A585&amp;$AC$6</f>
        <v>JARINU-FRG124038MQ.TUNEL DE CG (ESTATICO) (2)</v>
      </c>
      <c r="AD585" s="327">
        <f>IFERROR(SUMIF('BD Otimix'!A:A,'BD VOLUME'!X585,'BD Otimix'!O:O)+SUMIF('BD Otimix'!A:A,'BD VOLUME'!Y585,'BD Otimix'!O:O)+SUMIF('BD Otimix'!A:A,'BD VOLUME'!Z585,'BD Otimix'!O:O)+SUMIF('BD Otimix'!A:A,'BD VOLUME'!AA585,'BD Otimix'!O:O)+SUMIF('BD Otimix'!A:A,'BD VOLUME'!AB585,'BD Otimix'!O:O)+SUMIF('BD Otimix'!A:A,'BD VOLUME'!AC585,'BD Otimix'!O:O)+SUMIF('BD Otimix'!A:A,'BD VOLUME'!W585,'BD Otimix'!O:O),0)</f>
        <v>0</v>
      </c>
      <c r="AE585" s="327">
        <f t="shared" si="202"/>
        <v>0</v>
      </c>
      <c r="AF585" s="7" t="str">
        <f>Preencher!$B$3&amp;$U$8&amp;$V$8&amp;A585&amp;$AF$6</f>
        <v>JARINU-FRG124038MQ.GIROFREEZER</v>
      </c>
      <c r="AG585" s="7" t="str">
        <f>Preencher!$B$3&amp;$U$8&amp;$V$8&amp;A585&amp;$AG$6</f>
        <v>JARINU-FRG124038MQ.GIROFREEZER (1)</v>
      </c>
      <c r="AH585" s="7" t="str">
        <f>Preencher!$B$3&amp;$U$8&amp;$V$8&amp;A585&amp;$AH$6</f>
        <v>JARINU-FRG124038MQ.GIROFREEZER (2)</v>
      </c>
      <c r="AI585" s="7" t="str">
        <f>Preencher!$B$3&amp;$U$8&amp;$V$8&amp;A585&amp;$AI$6</f>
        <v>JARINU-FRG124038MQ.GIROFREEZER REV04</v>
      </c>
      <c r="AJ585" s="7" t="str">
        <f>Preencher!$B$3&amp;$U$8&amp;$V$8&amp;A585&amp;$AJ$6</f>
        <v>JARINU-FRG124038MQ.GIROFREEZER (3)</v>
      </c>
      <c r="AK585" s="327">
        <f>IFERROR(SUMIF('BD Otimix'!A:A,'BD VOLUME'!AG585,'BD Otimix'!O:O)+SUMIF('BD Otimix'!A:A,'BD VOLUME'!AH585,'BD Otimix'!O:O)+SUMIF('BD Otimix'!A:A,'BD VOLUME'!AI585,'BD Otimix'!O:O)+SUMIF('BD Otimix'!A:A,'BD VOLUME'!AJ585,'BD Otimix'!O:O)+SUMIF('BD Otimix'!A:A,'BD VOLUME'!AF585,'BD Otimix'!O:O),0)</f>
        <v>0</v>
      </c>
      <c r="AL585" s="7">
        <f t="shared" si="203"/>
        <v>0</v>
      </c>
    </row>
    <row r="586" spans="1:38">
      <c r="A586" s="685">
        <v>124042</v>
      </c>
      <c r="B586" s="685"/>
      <c r="C586" s="5" t="s">
        <v>2543</v>
      </c>
      <c r="D586" s="5" t="s">
        <v>868</v>
      </c>
      <c r="E586" s="5" t="s">
        <v>1641</v>
      </c>
      <c r="F586" s="132">
        <f>SUMIF('COLAR PLANO'!$A:$A,A586,'COLAR PLANO'!$D:$D)</f>
        <v>0</v>
      </c>
      <c r="G586" s="131">
        <f t="shared" si="185"/>
        <v>0</v>
      </c>
      <c r="H586" s="6">
        <v>0.14065243077485973</v>
      </c>
      <c r="I586" s="7">
        <f t="shared" si="186"/>
        <v>0</v>
      </c>
      <c r="J586" s="130">
        <f t="shared" si="187"/>
        <v>0</v>
      </c>
      <c r="K586" s="685">
        <v>1</v>
      </c>
      <c r="L586" s="685">
        <v>12</v>
      </c>
      <c r="M586" s="685">
        <v>12</v>
      </c>
      <c r="N586" s="7">
        <f t="shared" si="184"/>
        <v>0</v>
      </c>
      <c r="O586" s="7">
        <f t="shared" si="205"/>
        <v>0</v>
      </c>
      <c r="P586" s="7"/>
      <c r="Q586" s="7"/>
      <c r="R586" s="7"/>
      <c r="S586" s="7"/>
      <c r="T586" s="7"/>
      <c r="U586" s="7" t="s">
        <v>2288</v>
      </c>
      <c r="V586" s="7" t="s">
        <v>2289</v>
      </c>
      <c r="W586" s="7" t="str">
        <f>Preencher!$B$3&amp;U586&amp;V586&amp;A586&amp;$W$6</f>
        <v>JARINU-FRG124042MQ.TUNEL DE CG (CONTINUO)</v>
      </c>
      <c r="X586" s="7" t="str">
        <f>Preencher!$B$3&amp;U586&amp;V586&amp;A586&amp;$X$6</f>
        <v>JARINU-FRG124042MQ.TUNEL DE CG (CONTINUO) (1)</v>
      </c>
      <c r="Y586" s="7" t="str">
        <f>Preencher!$B$3&amp;U586&amp;V586&amp;A586&amp;$Y$6</f>
        <v>JARINU-FRG124042MQ.TUNEL DE CG (CONTINUO) (2)</v>
      </c>
      <c r="Z586" s="7" t="str">
        <f>Preencher!$B$3&amp;U586&amp;V586&amp;A586&amp;$Z$6</f>
        <v>JARINU-FRG124042MQ.TUNEL DE CG (CONTINUO) (3)</v>
      </c>
      <c r="AA586" s="7" t="str">
        <f>Preencher!$B$3&amp;U586&amp;V586&amp;A586&amp;$AA$6</f>
        <v>JARINU-FRG124042MQ.TUNEL DE CG (ESTATICO)</v>
      </c>
      <c r="AB586" s="7" t="str">
        <f>Preencher!$B$3&amp;U586&amp;V586&amp;A586&amp;$AB$6</f>
        <v>JARINU-FRG124042MQ.TUNEL DE CG (ESTATICO) (1)</v>
      </c>
      <c r="AC586" s="7" t="str">
        <f>Preencher!$B$3&amp;U586&amp;V586&amp;A586&amp;$AC$6</f>
        <v>JARINU-FRG124042MQ.TUNEL DE CG (ESTATICO) (2)</v>
      </c>
      <c r="AD586" s="327">
        <f>IFERROR(SUMIF('BD Otimix'!A:A,'BD VOLUME'!X586,'BD Otimix'!O:O)+SUMIF('BD Otimix'!A:A,'BD VOLUME'!Y586,'BD Otimix'!O:O)+SUMIF('BD Otimix'!A:A,'BD VOLUME'!Z586,'BD Otimix'!O:O)+SUMIF('BD Otimix'!A:A,'BD VOLUME'!AA586,'BD Otimix'!O:O)+SUMIF('BD Otimix'!A:A,'BD VOLUME'!AB586,'BD Otimix'!O:O)+SUMIF('BD Otimix'!A:A,'BD VOLUME'!AC586,'BD Otimix'!O:O)+SUMIF('BD Otimix'!A:A,'BD VOLUME'!W586,'BD Otimix'!O:O),0)</f>
        <v>0</v>
      </c>
      <c r="AE586" s="327">
        <f t="shared" si="202"/>
        <v>0</v>
      </c>
      <c r="AF586" s="7" t="str">
        <f>Preencher!$B$3&amp;$U$8&amp;$V$8&amp;A586&amp;$AF$6</f>
        <v>JARINU-FRG124042MQ.GIROFREEZER</v>
      </c>
      <c r="AG586" s="7" t="str">
        <f>Preencher!$B$3&amp;$U$8&amp;$V$8&amp;A586&amp;$AG$6</f>
        <v>JARINU-FRG124042MQ.GIROFREEZER (1)</v>
      </c>
      <c r="AH586" s="7" t="str">
        <f>Preencher!$B$3&amp;$U$8&amp;$V$8&amp;A586&amp;$AH$6</f>
        <v>JARINU-FRG124042MQ.GIROFREEZER (2)</v>
      </c>
      <c r="AI586" s="7" t="str">
        <f>Preencher!$B$3&amp;$U$8&amp;$V$8&amp;A586&amp;$AI$6</f>
        <v>JARINU-FRG124042MQ.GIROFREEZER REV04</v>
      </c>
      <c r="AJ586" s="7" t="str">
        <f>Preencher!$B$3&amp;$U$8&amp;$V$8&amp;A586&amp;$AJ$6</f>
        <v>JARINU-FRG124042MQ.GIROFREEZER (3)</v>
      </c>
      <c r="AK586" s="327">
        <f>IFERROR(SUMIF('BD Otimix'!A:A,'BD VOLUME'!AG586,'BD Otimix'!O:O)+SUMIF('BD Otimix'!A:A,'BD VOLUME'!AH586,'BD Otimix'!O:O)+SUMIF('BD Otimix'!A:A,'BD VOLUME'!AI586,'BD Otimix'!O:O)+SUMIF('BD Otimix'!A:A,'BD VOLUME'!AJ586,'BD Otimix'!O:O)+SUMIF('BD Otimix'!A:A,'BD VOLUME'!AF586,'BD Otimix'!O:O),0)</f>
        <v>0</v>
      </c>
      <c r="AL586" s="7">
        <f t="shared" si="203"/>
        <v>0</v>
      </c>
    </row>
    <row r="587" spans="1:38">
      <c r="A587" s="685">
        <v>124349</v>
      </c>
      <c r="B587" s="685"/>
      <c r="C587" s="5" t="s">
        <v>2544</v>
      </c>
      <c r="D587" s="5" t="s">
        <v>868</v>
      </c>
      <c r="E587" s="5" t="s">
        <v>1641</v>
      </c>
      <c r="F587" s="132">
        <f>SUMIF('COLAR PLANO'!$A:$A,A587,'COLAR PLANO'!$D:$D)</f>
        <v>0</v>
      </c>
      <c r="G587" s="131">
        <f t="shared" si="185"/>
        <v>0</v>
      </c>
      <c r="H587" s="6">
        <v>0.14065243077485973</v>
      </c>
      <c r="I587" s="7">
        <f t="shared" si="186"/>
        <v>0</v>
      </c>
      <c r="J587" s="130">
        <f t="shared" si="187"/>
        <v>0</v>
      </c>
      <c r="K587" s="685">
        <v>1</v>
      </c>
      <c r="L587" s="685">
        <v>12</v>
      </c>
      <c r="M587" s="685">
        <v>12</v>
      </c>
      <c r="N587" s="7">
        <f t="shared" si="184"/>
        <v>0</v>
      </c>
      <c r="O587" s="7">
        <f t="shared" si="205"/>
        <v>0</v>
      </c>
      <c r="P587" s="7"/>
      <c r="Q587" s="7"/>
      <c r="R587" s="7"/>
      <c r="S587" s="7"/>
      <c r="T587" s="7"/>
      <c r="U587" s="7" t="s">
        <v>2288</v>
      </c>
      <c r="V587" s="7" t="s">
        <v>2289</v>
      </c>
      <c r="W587" s="7" t="str">
        <f>Preencher!$B$3&amp;U587&amp;V587&amp;A587&amp;$W$6</f>
        <v>JARINU-FRG124349MQ.TUNEL DE CG (CONTINUO)</v>
      </c>
      <c r="X587" s="7" t="str">
        <f>Preencher!$B$3&amp;U587&amp;V587&amp;A587&amp;$X$6</f>
        <v>JARINU-FRG124349MQ.TUNEL DE CG (CONTINUO) (1)</v>
      </c>
      <c r="Y587" s="7" t="str">
        <f>Preencher!$B$3&amp;U587&amp;V587&amp;A587&amp;$Y$6</f>
        <v>JARINU-FRG124349MQ.TUNEL DE CG (CONTINUO) (2)</v>
      </c>
      <c r="Z587" s="7" t="str">
        <f>Preencher!$B$3&amp;U587&amp;V587&amp;A587&amp;$Z$6</f>
        <v>JARINU-FRG124349MQ.TUNEL DE CG (CONTINUO) (3)</v>
      </c>
      <c r="AA587" s="7" t="str">
        <f>Preencher!$B$3&amp;U587&amp;V587&amp;A587&amp;$AA$6</f>
        <v>JARINU-FRG124349MQ.TUNEL DE CG (ESTATICO)</v>
      </c>
      <c r="AB587" s="7" t="str">
        <f>Preencher!$B$3&amp;U587&amp;V587&amp;A587&amp;$AB$6</f>
        <v>JARINU-FRG124349MQ.TUNEL DE CG (ESTATICO) (1)</v>
      </c>
      <c r="AC587" s="7" t="str">
        <f>Preencher!$B$3&amp;U587&amp;V587&amp;A587&amp;$AC$6</f>
        <v>JARINU-FRG124349MQ.TUNEL DE CG (ESTATICO) (2)</v>
      </c>
      <c r="AD587" s="327">
        <f>IFERROR(SUMIF('BD Otimix'!A:A,'BD VOLUME'!X587,'BD Otimix'!O:O)+SUMIF('BD Otimix'!A:A,'BD VOLUME'!Y587,'BD Otimix'!O:O)+SUMIF('BD Otimix'!A:A,'BD VOLUME'!Z587,'BD Otimix'!O:O)+SUMIF('BD Otimix'!A:A,'BD VOLUME'!AA587,'BD Otimix'!O:O)+SUMIF('BD Otimix'!A:A,'BD VOLUME'!AB587,'BD Otimix'!O:O)+SUMIF('BD Otimix'!A:A,'BD VOLUME'!AC587,'BD Otimix'!O:O)+SUMIF('BD Otimix'!A:A,'BD VOLUME'!W587,'BD Otimix'!O:O),0)</f>
        <v>0</v>
      </c>
      <c r="AE587" s="327">
        <f t="shared" si="202"/>
        <v>0</v>
      </c>
      <c r="AF587" s="7" t="str">
        <f>Preencher!$B$3&amp;$U$8&amp;$V$8&amp;A587&amp;$AF$6</f>
        <v>JARINU-FRG124349MQ.GIROFREEZER</v>
      </c>
      <c r="AG587" s="7" t="str">
        <f>Preencher!$B$3&amp;$U$8&amp;$V$8&amp;A587&amp;$AG$6</f>
        <v>JARINU-FRG124349MQ.GIROFREEZER (1)</v>
      </c>
      <c r="AH587" s="7" t="str">
        <f>Preencher!$B$3&amp;$U$8&amp;$V$8&amp;A587&amp;$AH$6</f>
        <v>JARINU-FRG124349MQ.GIROFREEZER (2)</v>
      </c>
      <c r="AI587" s="7" t="str">
        <f>Preencher!$B$3&amp;$U$8&amp;$V$8&amp;A587&amp;$AI$6</f>
        <v>JARINU-FRG124349MQ.GIROFREEZER REV04</v>
      </c>
      <c r="AJ587" s="7" t="str">
        <f>Preencher!$B$3&amp;$U$8&amp;$V$8&amp;A587&amp;$AJ$6</f>
        <v>JARINU-FRG124349MQ.GIROFREEZER (3)</v>
      </c>
      <c r="AK587" s="327">
        <f>IFERROR(SUMIF('BD Otimix'!A:A,'BD VOLUME'!AG587,'BD Otimix'!O:O)+SUMIF('BD Otimix'!A:A,'BD VOLUME'!AH587,'BD Otimix'!O:O)+SUMIF('BD Otimix'!A:A,'BD VOLUME'!AI587,'BD Otimix'!O:O)+SUMIF('BD Otimix'!A:A,'BD VOLUME'!AJ587,'BD Otimix'!O:O)+SUMIF('BD Otimix'!A:A,'BD VOLUME'!AF587,'BD Otimix'!O:O),0)</f>
        <v>0</v>
      </c>
      <c r="AL587" s="7">
        <f t="shared" si="203"/>
        <v>0</v>
      </c>
    </row>
    <row r="588" spans="1:38">
      <c r="A588" s="685">
        <v>124357</v>
      </c>
      <c r="B588" s="685"/>
      <c r="C588" s="5" t="s">
        <v>2545</v>
      </c>
      <c r="D588" s="5" t="s">
        <v>868</v>
      </c>
      <c r="E588" s="5" t="s">
        <v>1642</v>
      </c>
      <c r="F588" s="132">
        <f>SUMIF('COLAR PLANO'!$A:$A,A588,'COLAR PLANO'!$D:$D)</f>
        <v>0</v>
      </c>
      <c r="G588" s="131">
        <f t="shared" si="185"/>
        <v>0</v>
      </c>
      <c r="H588" s="6">
        <v>0.14065243077485973</v>
      </c>
      <c r="I588" s="7">
        <f t="shared" si="186"/>
        <v>0</v>
      </c>
      <c r="J588" s="130">
        <f t="shared" si="187"/>
        <v>0</v>
      </c>
      <c r="K588" s="685">
        <v>1</v>
      </c>
      <c r="L588" s="685">
        <v>12</v>
      </c>
      <c r="M588" s="685">
        <v>12</v>
      </c>
      <c r="N588" s="7">
        <f t="shared" si="184"/>
        <v>0</v>
      </c>
      <c r="O588" s="7">
        <f t="shared" si="205"/>
        <v>0</v>
      </c>
      <c r="P588" s="7"/>
      <c r="Q588" s="7"/>
      <c r="R588" s="7"/>
      <c r="S588" s="7"/>
      <c r="T588" s="7"/>
      <c r="U588" s="7" t="s">
        <v>2288</v>
      </c>
      <c r="V588" s="7" t="s">
        <v>2289</v>
      </c>
      <c r="W588" s="7" t="str">
        <f>Preencher!$B$3&amp;U588&amp;V588&amp;A588&amp;$W$6</f>
        <v>JARINU-FRG124357MQ.TUNEL DE CG (CONTINUO)</v>
      </c>
      <c r="X588" s="7" t="str">
        <f>Preencher!$B$3&amp;U588&amp;V588&amp;A588&amp;$X$6</f>
        <v>JARINU-FRG124357MQ.TUNEL DE CG (CONTINUO) (1)</v>
      </c>
      <c r="Y588" s="7" t="str">
        <f>Preencher!$B$3&amp;U588&amp;V588&amp;A588&amp;$Y$6</f>
        <v>JARINU-FRG124357MQ.TUNEL DE CG (CONTINUO) (2)</v>
      </c>
      <c r="Z588" s="7" t="str">
        <f>Preencher!$B$3&amp;U588&amp;V588&amp;A588&amp;$Z$6</f>
        <v>JARINU-FRG124357MQ.TUNEL DE CG (CONTINUO) (3)</v>
      </c>
      <c r="AA588" s="7" t="str">
        <f>Preencher!$B$3&amp;U588&amp;V588&amp;A588&amp;$AA$6</f>
        <v>JARINU-FRG124357MQ.TUNEL DE CG (ESTATICO)</v>
      </c>
      <c r="AB588" s="7" t="str">
        <f>Preencher!$B$3&amp;U588&amp;V588&amp;A588&amp;$AB$6</f>
        <v>JARINU-FRG124357MQ.TUNEL DE CG (ESTATICO) (1)</v>
      </c>
      <c r="AC588" s="7" t="str">
        <f>Preencher!$B$3&amp;U588&amp;V588&amp;A588&amp;$AC$6</f>
        <v>JARINU-FRG124357MQ.TUNEL DE CG (ESTATICO) (2)</v>
      </c>
      <c r="AD588" s="327">
        <f>IFERROR(SUMIF('BD Otimix'!A:A,'BD VOLUME'!X588,'BD Otimix'!O:O)+SUMIF('BD Otimix'!A:A,'BD VOLUME'!Y588,'BD Otimix'!O:O)+SUMIF('BD Otimix'!A:A,'BD VOLUME'!Z588,'BD Otimix'!O:O)+SUMIF('BD Otimix'!A:A,'BD VOLUME'!AA588,'BD Otimix'!O:O)+SUMIF('BD Otimix'!A:A,'BD VOLUME'!AB588,'BD Otimix'!O:O)+SUMIF('BD Otimix'!A:A,'BD VOLUME'!AC588,'BD Otimix'!O:O)+SUMIF('BD Otimix'!A:A,'BD VOLUME'!W588,'BD Otimix'!O:O),0)</f>
        <v>0</v>
      </c>
      <c r="AE588" s="327">
        <f t="shared" si="202"/>
        <v>0</v>
      </c>
      <c r="AF588" s="7" t="str">
        <f>Preencher!$B$3&amp;$U$8&amp;$V$8&amp;A588&amp;$AF$6</f>
        <v>JARINU-FRG124357MQ.GIROFREEZER</v>
      </c>
      <c r="AG588" s="7" t="str">
        <f>Preencher!$B$3&amp;$U$8&amp;$V$8&amp;A588&amp;$AG$6</f>
        <v>JARINU-FRG124357MQ.GIROFREEZER (1)</v>
      </c>
      <c r="AH588" s="7" t="str">
        <f>Preencher!$B$3&amp;$U$8&amp;$V$8&amp;A588&amp;$AH$6</f>
        <v>JARINU-FRG124357MQ.GIROFREEZER (2)</v>
      </c>
      <c r="AI588" s="7" t="str">
        <f>Preencher!$B$3&amp;$U$8&amp;$V$8&amp;A588&amp;$AI$6</f>
        <v>JARINU-FRG124357MQ.GIROFREEZER REV04</v>
      </c>
      <c r="AJ588" s="7" t="str">
        <f>Preencher!$B$3&amp;$U$8&amp;$V$8&amp;A588&amp;$AJ$6</f>
        <v>JARINU-FRG124357MQ.GIROFREEZER (3)</v>
      </c>
      <c r="AK588" s="327">
        <f>IFERROR(SUMIF('BD Otimix'!A:A,'BD VOLUME'!AG588,'BD Otimix'!O:O)+SUMIF('BD Otimix'!A:A,'BD VOLUME'!AH588,'BD Otimix'!O:O)+SUMIF('BD Otimix'!A:A,'BD VOLUME'!AI588,'BD Otimix'!O:O)+SUMIF('BD Otimix'!A:A,'BD VOLUME'!AJ588,'BD Otimix'!O:O)+SUMIF('BD Otimix'!A:A,'BD VOLUME'!AF588,'BD Otimix'!O:O),0)</f>
        <v>0</v>
      </c>
      <c r="AL588" s="7">
        <f t="shared" si="203"/>
        <v>0</v>
      </c>
    </row>
    <row r="589" spans="1:38">
      <c r="A589" s="685">
        <v>124360</v>
      </c>
      <c r="B589" s="685"/>
      <c r="C589" s="5" t="s">
        <v>2546</v>
      </c>
      <c r="D589" s="5" t="s">
        <v>868</v>
      </c>
      <c r="E589" s="5" t="s">
        <v>2564</v>
      </c>
      <c r="F589" s="132">
        <f>SUMIF('COLAR PLANO'!$A:$A,A589,'COLAR PLANO'!$D:$D)</f>
        <v>0</v>
      </c>
      <c r="G589" s="131">
        <f t="shared" si="185"/>
        <v>0</v>
      </c>
      <c r="H589" s="6">
        <v>0.14065243077485973</v>
      </c>
      <c r="I589" s="7">
        <f t="shared" si="186"/>
        <v>0</v>
      </c>
      <c r="J589" s="130">
        <f t="shared" si="187"/>
        <v>0</v>
      </c>
      <c r="K589" s="685">
        <v>1</v>
      </c>
      <c r="L589" s="685">
        <v>12</v>
      </c>
      <c r="M589" s="685">
        <v>12</v>
      </c>
      <c r="N589" s="7">
        <f t="shared" si="184"/>
        <v>0</v>
      </c>
      <c r="O589" s="7">
        <f t="shared" si="205"/>
        <v>0</v>
      </c>
      <c r="P589" s="7"/>
      <c r="Q589" s="7"/>
      <c r="R589" s="7"/>
      <c r="S589" s="7"/>
      <c r="T589" s="7"/>
      <c r="U589" s="7" t="s">
        <v>2288</v>
      </c>
      <c r="V589" s="7" t="s">
        <v>2289</v>
      </c>
      <c r="W589" s="7" t="str">
        <f>Preencher!$B$3&amp;U589&amp;V589&amp;A589&amp;$W$6</f>
        <v>JARINU-FRG124360MQ.TUNEL DE CG (CONTINUO)</v>
      </c>
      <c r="X589" s="7" t="str">
        <f>Preencher!$B$3&amp;U589&amp;V589&amp;A589&amp;$X$6</f>
        <v>JARINU-FRG124360MQ.TUNEL DE CG (CONTINUO) (1)</v>
      </c>
      <c r="Y589" s="7" t="str">
        <f>Preencher!$B$3&amp;U589&amp;V589&amp;A589&amp;$Y$6</f>
        <v>JARINU-FRG124360MQ.TUNEL DE CG (CONTINUO) (2)</v>
      </c>
      <c r="Z589" s="7" t="str">
        <f>Preencher!$B$3&amp;U589&amp;V589&amp;A589&amp;$Z$6</f>
        <v>JARINU-FRG124360MQ.TUNEL DE CG (CONTINUO) (3)</v>
      </c>
      <c r="AA589" s="7" t="str">
        <f>Preencher!$B$3&amp;U589&amp;V589&amp;A589&amp;$AA$6</f>
        <v>JARINU-FRG124360MQ.TUNEL DE CG (ESTATICO)</v>
      </c>
      <c r="AB589" s="7" t="str">
        <f>Preencher!$B$3&amp;U589&amp;V589&amp;A589&amp;$AB$6</f>
        <v>JARINU-FRG124360MQ.TUNEL DE CG (ESTATICO) (1)</v>
      </c>
      <c r="AC589" s="7" t="str">
        <f>Preencher!$B$3&amp;U589&amp;V589&amp;A589&amp;$AC$6</f>
        <v>JARINU-FRG124360MQ.TUNEL DE CG (ESTATICO) (2)</v>
      </c>
      <c r="AD589" s="327">
        <f>IFERROR(SUMIF('BD Otimix'!A:A,'BD VOLUME'!X589,'BD Otimix'!O:O)+SUMIF('BD Otimix'!A:A,'BD VOLUME'!Y589,'BD Otimix'!O:O)+SUMIF('BD Otimix'!A:A,'BD VOLUME'!Z589,'BD Otimix'!O:O)+SUMIF('BD Otimix'!A:A,'BD VOLUME'!AA589,'BD Otimix'!O:O)+SUMIF('BD Otimix'!A:A,'BD VOLUME'!AB589,'BD Otimix'!O:O)+SUMIF('BD Otimix'!A:A,'BD VOLUME'!AC589,'BD Otimix'!O:O)+SUMIF('BD Otimix'!A:A,'BD VOLUME'!W589,'BD Otimix'!O:O),0)</f>
        <v>0</v>
      </c>
      <c r="AE589" s="327">
        <f t="shared" si="202"/>
        <v>0</v>
      </c>
      <c r="AF589" s="7" t="str">
        <f>Preencher!$B$3&amp;$U$8&amp;$V$8&amp;A589&amp;$AF$6</f>
        <v>JARINU-FRG124360MQ.GIROFREEZER</v>
      </c>
      <c r="AG589" s="7" t="str">
        <f>Preencher!$B$3&amp;$U$8&amp;$V$8&amp;A589&amp;$AG$6</f>
        <v>JARINU-FRG124360MQ.GIROFREEZER (1)</v>
      </c>
      <c r="AH589" s="7" t="str">
        <f>Preencher!$B$3&amp;$U$8&amp;$V$8&amp;A589&amp;$AH$6</f>
        <v>JARINU-FRG124360MQ.GIROFREEZER (2)</v>
      </c>
      <c r="AI589" s="7" t="str">
        <f>Preencher!$B$3&amp;$U$8&amp;$V$8&amp;A589&amp;$AI$6</f>
        <v>JARINU-FRG124360MQ.GIROFREEZER REV04</v>
      </c>
      <c r="AJ589" s="7" t="str">
        <f>Preencher!$B$3&amp;$U$8&amp;$V$8&amp;A589&amp;$AJ$6</f>
        <v>JARINU-FRG124360MQ.GIROFREEZER (3)</v>
      </c>
      <c r="AK589" s="327">
        <f>IFERROR(SUMIF('BD Otimix'!A:A,'BD VOLUME'!AG589,'BD Otimix'!O:O)+SUMIF('BD Otimix'!A:A,'BD VOLUME'!AH589,'BD Otimix'!O:O)+SUMIF('BD Otimix'!A:A,'BD VOLUME'!AI589,'BD Otimix'!O:O)+SUMIF('BD Otimix'!A:A,'BD VOLUME'!AJ589,'BD Otimix'!O:O)+SUMIF('BD Otimix'!A:A,'BD VOLUME'!AF589,'BD Otimix'!O:O),0)</f>
        <v>0</v>
      </c>
      <c r="AL589" s="7">
        <f t="shared" si="203"/>
        <v>0</v>
      </c>
    </row>
    <row r="590" spans="1:38">
      <c r="A590" s="651">
        <v>124459</v>
      </c>
      <c r="B590" s="651"/>
      <c r="C590" s="5" t="s">
        <v>2547</v>
      </c>
      <c r="D590" s="5" t="s">
        <v>868</v>
      </c>
      <c r="E590" s="5" t="s">
        <v>1878</v>
      </c>
      <c r="F590" s="132">
        <f>SUMIF('COLAR PLANO'!$A:$A,A590,'COLAR PLANO'!$D:$D)</f>
        <v>0</v>
      </c>
      <c r="G590" s="131">
        <f t="shared" si="185"/>
        <v>0</v>
      </c>
      <c r="H590" s="6">
        <v>0.14065243077485973</v>
      </c>
      <c r="I590" s="7">
        <f t="shared" si="186"/>
        <v>0</v>
      </c>
      <c r="J590" s="130">
        <f t="shared" si="187"/>
        <v>0</v>
      </c>
      <c r="K590" s="685">
        <v>1</v>
      </c>
      <c r="L590" s="685">
        <v>12</v>
      </c>
      <c r="M590" s="685">
        <v>12</v>
      </c>
      <c r="N590" s="7">
        <f t="shared" si="184"/>
        <v>0</v>
      </c>
      <c r="O590" s="7">
        <f t="shared" si="205"/>
        <v>0</v>
      </c>
      <c r="P590" s="7"/>
      <c r="Q590" s="7"/>
      <c r="R590" s="7"/>
      <c r="S590" s="7"/>
      <c r="T590" s="7"/>
      <c r="U590" s="7" t="s">
        <v>2288</v>
      </c>
      <c r="V590" s="7" t="s">
        <v>2289</v>
      </c>
      <c r="W590" s="7" t="str">
        <f>Preencher!$B$3&amp;U590&amp;V590&amp;A590&amp;$W$6</f>
        <v>JARINU-FRG124459MQ.TUNEL DE CG (CONTINUO)</v>
      </c>
      <c r="X590" s="7" t="str">
        <f>Preencher!$B$3&amp;U590&amp;V590&amp;A590&amp;$X$6</f>
        <v>JARINU-FRG124459MQ.TUNEL DE CG (CONTINUO) (1)</v>
      </c>
      <c r="Y590" s="7" t="str">
        <f>Preencher!$B$3&amp;U590&amp;V590&amp;A590&amp;$Y$6</f>
        <v>JARINU-FRG124459MQ.TUNEL DE CG (CONTINUO) (2)</v>
      </c>
      <c r="Z590" s="7" t="str">
        <f>Preencher!$B$3&amp;U590&amp;V590&amp;A590&amp;$Z$6</f>
        <v>JARINU-FRG124459MQ.TUNEL DE CG (CONTINUO) (3)</v>
      </c>
      <c r="AA590" s="7" t="str">
        <f>Preencher!$B$3&amp;U590&amp;V590&amp;A590&amp;$AA$6</f>
        <v>JARINU-FRG124459MQ.TUNEL DE CG (ESTATICO)</v>
      </c>
      <c r="AB590" s="7" t="str">
        <f>Preencher!$B$3&amp;U590&amp;V590&amp;A590&amp;$AB$6</f>
        <v>JARINU-FRG124459MQ.TUNEL DE CG (ESTATICO) (1)</v>
      </c>
      <c r="AC590" s="7" t="str">
        <f>Preencher!$B$3&amp;U590&amp;V590&amp;A590&amp;$AC$6</f>
        <v>JARINU-FRG124459MQ.TUNEL DE CG (ESTATICO) (2)</v>
      </c>
      <c r="AD590" s="327">
        <f>IFERROR(SUMIF('BD Otimix'!A:A,'BD VOLUME'!X590,'BD Otimix'!O:O)+SUMIF('BD Otimix'!A:A,'BD VOLUME'!Y590,'BD Otimix'!O:O)+SUMIF('BD Otimix'!A:A,'BD VOLUME'!Z590,'BD Otimix'!O:O)+SUMIF('BD Otimix'!A:A,'BD VOLUME'!AA590,'BD Otimix'!O:O)+SUMIF('BD Otimix'!A:A,'BD VOLUME'!AB590,'BD Otimix'!O:O)+SUMIF('BD Otimix'!A:A,'BD VOLUME'!AC590,'BD Otimix'!O:O)+SUMIF('BD Otimix'!A:A,'BD VOLUME'!W590,'BD Otimix'!O:O),0)</f>
        <v>0</v>
      </c>
      <c r="AE590" s="327">
        <f t="shared" si="202"/>
        <v>0</v>
      </c>
      <c r="AF590" s="7" t="str">
        <f>Preencher!$B$3&amp;$U$8&amp;$V$8&amp;A590&amp;$AF$6</f>
        <v>JARINU-FRG124459MQ.GIROFREEZER</v>
      </c>
      <c r="AG590" s="7" t="str">
        <f>Preencher!$B$3&amp;$U$8&amp;$V$8&amp;A590&amp;$AG$6</f>
        <v>JARINU-FRG124459MQ.GIROFREEZER (1)</v>
      </c>
      <c r="AH590" s="7" t="str">
        <f>Preencher!$B$3&amp;$U$8&amp;$V$8&amp;A590&amp;$AH$6</f>
        <v>JARINU-FRG124459MQ.GIROFREEZER (2)</v>
      </c>
      <c r="AI590" s="7" t="str">
        <f>Preencher!$B$3&amp;$U$8&amp;$V$8&amp;A590&amp;$AI$6</f>
        <v>JARINU-FRG124459MQ.GIROFREEZER REV04</v>
      </c>
      <c r="AJ590" s="7" t="str">
        <f>Preencher!$B$3&amp;$U$8&amp;$V$8&amp;A590&amp;$AJ$6</f>
        <v>JARINU-FRG124459MQ.GIROFREEZER (3)</v>
      </c>
      <c r="AK590" s="327">
        <f>IFERROR(SUMIF('BD Otimix'!A:A,'BD VOLUME'!AG590,'BD Otimix'!O:O)+SUMIF('BD Otimix'!A:A,'BD VOLUME'!AH590,'BD Otimix'!O:O)+SUMIF('BD Otimix'!A:A,'BD VOLUME'!AI590,'BD Otimix'!O:O)+SUMIF('BD Otimix'!A:A,'BD VOLUME'!AJ590,'BD Otimix'!O:O)+SUMIF('BD Otimix'!A:A,'BD VOLUME'!AF590,'BD Otimix'!O:O),0)</f>
        <v>0</v>
      </c>
      <c r="AL590" s="7">
        <f t="shared" si="203"/>
        <v>0</v>
      </c>
    </row>
    <row r="591" spans="1:38">
      <c r="A591" s="253">
        <v>124476</v>
      </c>
      <c r="B591" s="253"/>
      <c r="C591" s="5" t="s">
        <v>2548</v>
      </c>
      <c r="D591" s="5" t="s">
        <v>868</v>
      </c>
      <c r="E591" s="5" t="s">
        <v>1694</v>
      </c>
      <c r="F591" s="132">
        <f>SUMIF('COLAR PLANO'!$A:$A,A591,'COLAR PLANO'!$D:$D)</f>
        <v>0</v>
      </c>
      <c r="G591" s="131">
        <f t="shared" si="185"/>
        <v>0</v>
      </c>
      <c r="H591" s="6">
        <v>0.14065243077485973</v>
      </c>
      <c r="I591" s="7">
        <f t="shared" si="186"/>
        <v>0</v>
      </c>
      <c r="J591" s="130">
        <f t="shared" si="187"/>
        <v>0</v>
      </c>
      <c r="K591" s="685">
        <v>1</v>
      </c>
      <c r="L591" s="685">
        <v>12</v>
      </c>
      <c r="M591" s="685">
        <v>12</v>
      </c>
      <c r="N591" s="7">
        <f t="shared" si="184"/>
        <v>0</v>
      </c>
      <c r="O591" s="7"/>
      <c r="P591" s="7">
        <f>IFERROR(G591/M591,0)</f>
        <v>0</v>
      </c>
      <c r="Q591" s="7"/>
      <c r="R591" s="7"/>
      <c r="S591" s="7"/>
      <c r="T591" s="7"/>
      <c r="U591" s="7" t="s">
        <v>2288</v>
      </c>
      <c r="V591" s="7" t="s">
        <v>2289</v>
      </c>
      <c r="W591" s="7" t="str">
        <f>Preencher!$B$3&amp;U591&amp;V591&amp;A591&amp;$W$6</f>
        <v>JARINU-FRG124476MQ.TUNEL DE CG (CONTINUO)</v>
      </c>
      <c r="X591" s="7" t="str">
        <f>Preencher!$B$3&amp;U591&amp;V591&amp;A591&amp;$X$6</f>
        <v>JARINU-FRG124476MQ.TUNEL DE CG (CONTINUO) (1)</v>
      </c>
      <c r="Y591" s="7" t="str">
        <f>Preencher!$B$3&amp;U591&amp;V591&amp;A591&amp;$Y$6</f>
        <v>JARINU-FRG124476MQ.TUNEL DE CG (CONTINUO) (2)</v>
      </c>
      <c r="Z591" s="7" t="str">
        <f>Preencher!$B$3&amp;U591&amp;V591&amp;A591&amp;$Z$6</f>
        <v>JARINU-FRG124476MQ.TUNEL DE CG (CONTINUO) (3)</v>
      </c>
      <c r="AA591" s="7" t="str">
        <f>Preencher!$B$3&amp;U591&amp;V591&amp;A591&amp;$AA$6</f>
        <v>JARINU-FRG124476MQ.TUNEL DE CG (ESTATICO)</v>
      </c>
      <c r="AB591" s="7" t="str">
        <f>Preencher!$B$3&amp;U591&amp;V591&amp;A591&amp;$AB$6</f>
        <v>JARINU-FRG124476MQ.TUNEL DE CG (ESTATICO) (1)</v>
      </c>
      <c r="AC591" s="7" t="str">
        <f>Preencher!$B$3&amp;U591&amp;V591&amp;A591&amp;$AC$6</f>
        <v>JARINU-FRG124476MQ.TUNEL DE CG (ESTATICO) (2)</v>
      </c>
      <c r="AD591" s="327">
        <f>IFERROR(SUMIF('BD Otimix'!A:A,'BD VOLUME'!X591,'BD Otimix'!O:O)+SUMIF('BD Otimix'!A:A,'BD VOLUME'!Y591,'BD Otimix'!O:O)+SUMIF('BD Otimix'!A:A,'BD VOLUME'!Z591,'BD Otimix'!O:O)+SUMIF('BD Otimix'!A:A,'BD VOLUME'!AA591,'BD Otimix'!O:O)+SUMIF('BD Otimix'!A:A,'BD VOLUME'!AB591,'BD Otimix'!O:O)+SUMIF('BD Otimix'!A:A,'BD VOLUME'!AC591,'BD Otimix'!O:O)+SUMIF('BD Otimix'!A:A,'BD VOLUME'!W591,'BD Otimix'!O:O),0)</f>
        <v>0</v>
      </c>
      <c r="AE591" s="327">
        <f t="shared" si="202"/>
        <v>0</v>
      </c>
      <c r="AF591" s="7" t="str">
        <f>Preencher!$B$3&amp;$U$8&amp;$V$8&amp;A591&amp;$AF$6</f>
        <v>JARINU-FRG124476MQ.GIROFREEZER</v>
      </c>
      <c r="AG591" s="7" t="str">
        <f>Preencher!$B$3&amp;$U$8&amp;$V$8&amp;A591&amp;$AG$6</f>
        <v>JARINU-FRG124476MQ.GIROFREEZER (1)</v>
      </c>
      <c r="AH591" s="7" t="str">
        <f>Preencher!$B$3&amp;$U$8&amp;$V$8&amp;A591&amp;$AH$6</f>
        <v>JARINU-FRG124476MQ.GIROFREEZER (2)</v>
      </c>
      <c r="AI591" s="7" t="str">
        <f>Preencher!$B$3&amp;$U$8&amp;$V$8&amp;A591&amp;$AI$6</f>
        <v>JARINU-FRG124476MQ.GIROFREEZER REV04</v>
      </c>
      <c r="AJ591" s="7" t="str">
        <f>Preencher!$B$3&amp;$U$8&amp;$V$8&amp;A591&amp;$AJ$6</f>
        <v>JARINU-FRG124476MQ.GIROFREEZER (3)</v>
      </c>
      <c r="AK591" s="327">
        <f>IFERROR(SUMIF('BD Otimix'!A:A,'BD VOLUME'!AG591,'BD Otimix'!O:O)+SUMIF('BD Otimix'!A:A,'BD VOLUME'!AH591,'BD Otimix'!O:O)+SUMIF('BD Otimix'!A:A,'BD VOLUME'!AI591,'BD Otimix'!O:O)+SUMIF('BD Otimix'!A:A,'BD VOLUME'!AJ591,'BD Otimix'!O:O)+SUMIF('BD Otimix'!A:A,'BD VOLUME'!AF591,'BD Otimix'!O:O),0)</f>
        <v>0</v>
      </c>
      <c r="AL591" s="7">
        <f t="shared" si="203"/>
        <v>0</v>
      </c>
    </row>
    <row r="592" spans="1:38">
      <c r="A592" s="685">
        <v>14141</v>
      </c>
      <c r="B592" s="685"/>
      <c r="C592" s="5" t="s">
        <v>5342</v>
      </c>
      <c r="D592" s="5" t="s">
        <v>868</v>
      </c>
      <c r="E592" s="5" t="s">
        <v>5345</v>
      </c>
      <c r="F592" s="132">
        <f>SUMIF('COLAR PLANO'!$A:$A,A592,'COLAR PLANO'!$D:$D)</f>
        <v>0</v>
      </c>
      <c r="G592" s="131">
        <f t="shared" si="185"/>
        <v>0</v>
      </c>
      <c r="H592" s="6">
        <v>0.24541238744251673</v>
      </c>
      <c r="I592" s="7">
        <f t="shared" si="186"/>
        <v>0</v>
      </c>
      <c r="J592" s="130">
        <f t="shared" si="187"/>
        <v>0</v>
      </c>
      <c r="K592" s="685">
        <v>10</v>
      </c>
      <c r="L592" s="685">
        <v>1</v>
      </c>
      <c r="M592" s="685">
        <v>10</v>
      </c>
      <c r="N592" s="7">
        <f t="shared" si="184"/>
        <v>0</v>
      </c>
      <c r="O592" s="7"/>
      <c r="P592" s="7">
        <f>IFERROR(G592/M592,0)</f>
        <v>0</v>
      </c>
      <c r="Q592" s="7"/>
      <c r="R592" s="7"/>
      <c r="S592" s="7"/>
      <c r="T592" s="7"/>
      <c r="U592" s="7" t="s">
        <v>2288</v>
      </c>
      <c r="V592" s="7" t="s">
        <v>2289</v>
      </c>
      <c r="W592" s="7" t="str">
        <f>Preencher!$B$3&amp;U592&amp;V592&amp;A592&amp;$W$6</f>
        <v>JARINU-FRG14141MQ.TUNEL DE CG (CONTINUO)</v>
      </c>
      <c r="X592" s="7" t="str">
        <f>Preencher!$B$3&amp;U592&amp;V592&amp;A592&amp;$X$6</f>
        <v>JARINU-FRG14141MQ.TUNEL DE CG (CONTINUO) (1)</v>
      </c>
      <c r="Y592" s="7" t="str">
        <f>Preencher!$B$3&amp;U592&amp;V592&amp;A592&amp;$Y$6</f>
        <v>JARINU-FRG14141MQ.TUNEL DE CG (CONTINUO) (2)</v>
      </c>
      <c r="Z592" s="7" t="str">
        <f>Preencher!$B$3&amp;U592&amp;V592&amp;A592&amp;$Z$6</f>
        <v>JARINU-FRG14141MQ.TUNEL DE CG (CONTINUO) (3)</v>
      </c>
      <c r="AA592" s="7" t="str">
        <f>Preencher!$B$3&amp;U592&amp;V592&amp;A592&amp;$AA$6</f>
        <v>JARINU-FRG14141MQ.TUNEL DE CG (ESTATICO)</v>
      </c>
      <c r="AB592" s="7" t="str">
        <f>Preencher!$B$3&amp;U592&amp;V592&amp;A592&amp;$AB$6</f>
        <v>JARINU-FRG14141MQ.TUNEL DE CG (ESTATICO) (1)</v>
      </c>
      <c r="AC592" s="7" t="str">
        <f>Preencher!$B$3&amp;U592&amp;V592&amp;A592&amp;$AC$6</f>
        <v>JARINU-FRG14141MQ.TUNEL DE CG (ESTATICO) (2)</v>
      </c>
      <c r="AD592" s="327">
        <f>IFERROR(SUMIF('BD Otimix'!A:A,'BD VOLUME'!X592,'BD Otimix'!O:O)+SUMIF('BD Otimix'!A:A,'BD VOLUME'!Y592,'BD Otimix'!O:O)+SUMIF('BD Otimix'!A:A,'BD VOLUME'!Z592,'BD Otimix'!O:O)+SUMIF('BD Otimix'!A:A,'BD VOLUME'!AA592,'BD Otimix'!O:O)+SUMIF('BD Otimix'!A:A,'BD VOLUME'!AB592,'BD Otimix'!O:O)+SUMIF('BD Otimix'!A:A,'BD VOLUME'!AC592,'BD Otimix'!O:O)+SUMIF('BD Otimix'!A:A,'BD VOLUME'!W592,'BD Otimix'!O:O),0)</f>
        <v>0</v>
      </c>
      <c r="AE592" s="327">
        <f t="shared" si="202"/>
        <v>0</v>
      </c>
      <c r="AF592" s="7" t="str">
        <f>Preencher!$B$3&amp;$U$8&amp;$V$8&amp;A592&amp;$AF$6</f>
        <v>JARINU-FRG14141MQ.GIROFREEZER</v>
      </c>
      <c r="AG592" s="7" t="str">
        <f>Preencher!$B$3&amp;$U$8&amp;$V$8&amp;A592&amp;$AG$6</f>
        <v>JARINU-FRG14141MQ.GIROFREEZER (1)</v>
      </c>
      <c r="AH592" s="7" t="str">
        <f>Preencher!$B$3&amp;$U$8&amp;$V$8&amp;A592&amp;$AH$6</f>
        <v>JARINU-FRG14141MQ.GIROFREEZER (2)</v>
      </c>
      <c r="AI592" s="7" t="str">
        <f>Preencher!$B$3&amp;$U$8&amp;$V$8&amp;A592&amp;$AI$6</f>
        <v>JARINU-FRG14141MQ.GIROFREEZER REV04</v>
      </c>
      <c r="AJ592" s="7" t="str">
        <f>Preencher!$B$3&amp;$U$8&amp;$V$8&amp;A592&amp;$AJ$6</f>
        <v>JARINU-FRG14141MQ.GIROFREEZER (3)</v>
      </c>
      <c r="AK592" s="327">
        <f>IFERROR(SUMIF('BD Otimix'!A:A,'BD VOLUME'!AG592,'BD Otimix'!O:O)+SUMIF('BD Otimix'!A:A,'BD VOLUME'!AH592,'BD Otimix'!O:O)+SUMIF('BD Otimix'!A:A,'BD VOLUME'!AI592,'BD Otimix'!O:O)+SUMIF('BD Otimix'!A:A,'BD VOLUME'!AJ592,'BD Otimix'!O:O)+SUMIF('BD Otimix'!A:A,'BD VOLUME'!AF592,'BD Otimix'!O:O),0)</f>
        <v>0</v>
      </c>
      <c r="AL592" s="7">
        <f t="shared" si="203"/>
        <v>0</v>
      </c>
    </row>
    <row r="593" spans="1:38">
      <c r="A593" s="253">
        <v>124032</v>
      </c>
      <c r="B593" s="253"/>
      <c r="C593" s="5" t="s">
        <v>2550</v>
      </c>
      <c r="D593" s="5" t="s">
        <v>868</v>
      </c>
      <c r="E593" s="5" t="s">
        <v>988</v>
      </c>
      <c r="F593" s="132">
        <f>SUMIF('COLAR PLANO'!$A:$A,A593,'COLAR PLANO'!$D:$D)</f>
        <v>0</v>
      </c>
      <c r="G593" s="131">
        <f t="shared" si="185"/>
        <v>0</v>
      </c>
      <c r="H593" s="6">
        <v>0.24541238744251673</v>
      </c>
      <c r="I593" s="7">
        <f t="shared" si="186"/>
        <v>0</v>
      </c>
      <c r="J593" s="130">
        <f t="shared" si="187"/>
        <v>0</v>
      </c>
      <c r="K593" s="685">
        <v>1</v>
      </c>
      <c r="L593" s="685">
        <v>18</v>
      </c>
      <c r="M593" s="685">
        <v>18</v>
      </c>
      <c r="N593" s="7">
        <f t="shared" si="184"/>
        <v>0</v>
      </c>
      <c r="O593" s="7"/>
      <c r="P593" s="7">
        <f>IFERROR(G593/M593,0)</f>
        <v>0</v>
      </c>
      <c r="Q593" s="7"/>
      <c r="R593" s="7"/>
      <c r="S593" s="7"/>
      <c r="T593" s="7"/>
      <c r="U593" s="7" t="s">
        <v>2288</v>
      </c>
      <c r="V593" s="7" t="s">
        <v>2289</v>
      </c>
      <c r="W593" s="7" t="str">
        <f>Preencher!$B$3&amp;U593&amp;V593&amp;A593&amp;$W$6</f>
        <v>JARINU-FRG124032MQ.TUNEL DE CG (CONTINUO)</v>
      </c>
      <c r="X593" s="7" t="str">
        <f>Preencher!$B$3&amp;U593&amp;V593&amp;A593&amp;$X$6</f>
        <v>JARINU-FRG124032MQ.TUNEL DE CG (CONTINUO) (1)</v>
      </c>
      <c r="Y593" s="7" t="str">
        <f>Preencher!$B$3&amp;U593&amp;V593&amp;A593&amp;$Y$6</f>
        <v>JARINU-FRG124032MQ.TUNEL DE CG (CONTINUO) (2)</v>
      </c>
      <c r="Z593" s="7" t="str">
        <f>Preencher!$B$3&amp;U593&amp;V593&amp;A593&amp;$Z$6</f>
        <v>JARINU-FRG124032MQ.TUNEL DE CG (CONTINUO) (3)</v>
      </c>
      <c r="AA593" s="7" t="str">
        <f>Preencher!$B$3&amp;U593&amp;V593&amp;A593&amp;$AA$6</f>
        <v>JARINU-FRG124032MQ.TUNEL DE CG (ESTATICO)</v>
      </c>
      <c r="AB593" s="7" t="str">
        <f>Preencher!$B$3&amp;U593&amp;V593&amp;A593&amp;$AB$6</f>
        <v>JARINU-FRG124032MQ.TUNEL DE CG (ESTATICO) (1)</v>
      </c>
      <c r="AC593" s="7" t="str">
        <f>Preencher!$B$3&amp;U593&amp;V593&amp;A593&amp;$AC$6</f>
        <v>JARINU-FRG124032MQ.TUNEL DE CG (ESTATICO) (2)</v>
      </c>
      <c r="AD593" s="327">
        <f>IFERROR(SUMIF('BD Otimix'!A:A,'BD VOLUME'!X593,'BD Otimix'!O:O)+SUMIF('BD Otimix'!A:A,'BD VOLUME'!Y593,'BD Otimix'!O:O)+SUMIF('BD Otimix'!A:A,'BD VOLUME'!Z593,'BD Otimix'!O:O)+SUMIF('BD Otimix'!A:A,'BD VOLUME'!AA593,'BD Otimix'!O:O)+SUMIF('BD Otimix'!A:A,'BD VOLUME'!AB593,'BD Otimix'!O:O)+SUMIF('BD Otimix'!A:A,'BD VOLUME'!AC593,'BD Otimix'!O:O)+SUMIF('BD Otimix'!A:A,'BD VOLUME'!W593,'BD Otimix'!O:O),0)</f>
        <v>0</v>
      </c>
      <c r="AE593" s="327">
        <f t="shared" si="202"/>
        <v>0</v>
      </c>
      <c r="AF593" s="7" t="str">
        <f>Preencher!$B$3&amp;$U$8&amp;$V$8&amp;A593&amp;$AF$6</f>
        <v>JARINU-FRG124032MQ.GIROFREEZER</v>
      </c>
      <c r="AG593" s="7" t="str">
        <f>Preencher!$B$3&amp;$U$8&amp;$V$8&amp;A593&amp;$AG$6</f>
        <v>JARINU-FRG124032MQ.GIROFREEZER (1)</v>
      </c>
      <c r="AH593" s="7" t="str">
        <f>Preencher!$B$3&amp;$U$8&amp;$V$8&amp;A593&amp;$AH$6</f>
        <v>JARINU-FRG124032MQ.GIROFREEZER (2)</v>
      </c>
      <c r="AI593" s="7" t="str">
        <f>Preencher!$B$3&amp;$U$8&amp;$V$8&amp;A593&amp;$AI$6</f>
        <v>JARINU-FRG124032MQ.GIROFREEZER REV04</v>
      </c>
      <c r="AJ593" s="7" t="str">
        <f>Preencher!$B$3&amp;$U$8&amp;$V$8&amp;A593&amp;$AJ$6</f>
        <v>JARINU-FRG124032MQ.GIROFREEZER (3)</v>
      </c>
      <c r="AK593" s="327">
        <f>IFERROR(SUMIF('BD Otimix'!A:A,'BD VOLUME'!AG593,'BD Otimix'!O:O)+SUMIF('BD Otimix'!A:A,'BD VOLUME'!AH593,'BD Otimix'!O:O)+SUMIF('BD Otimix'!A:A,'BD VOLUME'!AI593,'BD Otimix'!O:O)+SUMIF('BD Otimix'!A:A,'BD VOLUME'!AJ593,'BD Otimix'!O:O)+SUMIF('BD Otimix'!A:A,'BD VOLUME'!AF593,'BD Otimix'!O:O),0)</f>
        <v>0</v>
      </c>
      <c r="AL593" s="7">
        <f t="shared" si="203"/>
        <v>0</v>
      </c>
    </row>
    <row r="594" spans="1:38">
      <c r="A594" s="750">
        <v>953289</v>
      </c>
      <c r="B594" s="750" t="s">
        <v>2992</v>
      </c>
      <c r="C594" s="5" t="s">
        <v>3022</v>
      </c>
      <c r="D594" s="5" t="s">
        <v>868</v>
      </c>
      <c r="E594" s="5" t="s">
        <v>988</v>
      </c>
      <c r="F594" s="132">
        <f>SUMIF('COLAR PLANO'!$A:$A,A594,'COLAR PLANO'!$D:$D)</f>
        <v>0</v>
      </c>
      <c r="G594" s="131">
        <f>IFERROR(F594/($E$3*$C$3),0)</f>
        <v>0</v>
      </c>
      <c r="H594" s="6">
        <v>0.24541238744251673</v>
      </c>
      <c r="I594" s="7">
        <f>IFERROR(G594/$D$3/H594,0)</f>
        <v>0</v>
      </c>
      <c r="J594" s="130">
        <f>IFERROR(I594/$B$472,0)</f>
        <v>0</v>
      </c>
      <c r="K594" s="750">
        <v>1</v>
      </c>
      <c r="L594" s="750">
        <v>18</v>
      </c>
      <c r="M594" s="750">
        <v>18</v>
      </c>
      <c r="N594" s="7">
        <f>IFERROR(G594/K594,"-")</f>
        <v>0</v>
      </c>
      <c r="O594" s="7"/>
      <c r="P594" s="7">
        <f>IFERROR(G594/M594,0)</f>
        <v>0</v>
      </c>
      <c r="Q594" s="7"/>
      <c r="R594" s="7"/>
      <c r="S594" s="7"/>
      <c r="T594" s="7"/>
      <c r="U594" s="7" t="s">
        <v>2288</v>
      </c>
      <c r="V594" s="7" t="s">
        <v>2289</v>
      </c>
      <c r="W594" s="7" t="str">
        <f>Preencher!$B$3&amp;U594&amp;V594&amp;A594&amp;$W$6</f>
        <v>JARINU-FRG953289MQ.TUNEL DE CG (CONTINUO)</v>
      </c>
      <c r="X594" s="7" t="str">
        <f>Preencher!$B$3&amp;U594&amp;V594&amp;A594&amp;$X$6</f>
        <v>JARINU-FRG953289MQ.TUNEL DE CG (CONTINUO) (1)</v>
      </c>
      <c r="Y594" s="7" t="str">
        <f>Preencher!$B$3&amp;U594&amp;V594&amp;A594&amp;$Y$6</f>
        <v>JARINU-FRG953289MQ.TUNEL DE CG (CONTINUO) (2)</v>
      </c>
      <c r="Z594" s="7" t="str">
        <f>Preencher!$B$3&amp;U594&amp;V594&amp;A594&amp;$Z$6</f>
        <v>JARINU-FRG953289MQ.TUNEL DE CG (CONTINUO) (3)</v>
      </c>
      <c r="AA594" s="7" t="str">
        <f>Preencher!$B$3&amp;U594&amp;V594&amp;A594&amp;$AA$6</f>
        <v>JARINU-FRG953289MQ.TUNEL DE CG (ESTATICO)</v>
      </c>
      <c r="AB594" s="7" t="str">
        <f>Preencher!$B$3&amp;U594&amp;V594&amp;A594&amp;$AB$6</f>
        <v>JARINU-FRG953289MQ.TUNEL DE CG (ESTATICO) (1)</v>
      </c>
      <c r="AC594" s="7" t="str">
        <f>Preencher!$B$3&amp;U594&amp;V594&amp;A594&amp;$AC$6</f>
        <v>JARINU-FRG953289MQ.TUNEL DE CG (ESTATICO) (2)</v>
      </c>
      <c r="AD594" s="327">
        <f>IFERROR(SUMIF('BD Otimix'!A:A,'BD VOLUME'!X594,'BD Otimix'!O:O)+SUMIF('BD Otimix'!A:A,'BD VOLUME'!Y594,'BD Otimix'!O:O)+SUMIF('BD Otimix'!A:A,'BD VOLUME'!Z594,'BD Otimix'!O:O)+SUMIF('BD Otimix'!A:A,'BD VOLUME'!AA594,'BD Otimix'!O:O)+SUMIF('BD Otimix'!A:A,'BD VOLUME'!AB594,'BD Otimix'!O:O)+SUMIF('BD Otimix'!A:A,'BD VOLUME'!AC594,'BD Otimix'!O:O)+SUMIF('BD Otimix'!A:A,'BD VOLUME'!W594,'BD Otimix'!O:O),0)</f>
        <v>0</v>
      </c>
      <c r="AE594" s="327">
        <f>IFERROR(F594/$E$3/1000/AD594,0)</f>
        <v>0</v>
      </c>
      <c r="AF594" s="7" t="str">
        <f>Preencher!$B$3&amp;$U$8&amp;$V$8&amp;A594&amp;$AF$6</f>
        <v>JARINU-FRG953289MQ.GIROFREEZER</v>
      </c>
      <c r="AG594" s="7" t="str">
        <f>Preencher!$B$3&amp;$U$8&amp;$V$8&amp;A594&amp;$AG$6</f>
        <v>JARINU-FRG953289MQ.GIROFREEZER (1)</v>
      </c>
      <c r="AH594" s="7" t="str">
        <f>Preencher!$B$3&amp;$U$8&amp;$V$8&amp;A594&amp;$AH$6</f>
        <v>JARINU-FRG953289MQ.GIROFREEZER (2)</v>
      </c>
      <c r="AI594" s="7" t="str">
        <f>Preencher!$B$3&amp;$U$8&amp;$V$8&amp;A594&amp;$AI$6</f>
        <v>JARINU-FRG953289MQ.GIROFREEZER REV04</v>
      </c>
      <c r="AJ594" s="7" t="str">
        <f>Preencher!$B$3&amp;$U$8&amp;$V$8&amp;A594&amp;$AJ$6</f>
        <v>JARINU-FRG953289MQ.GIROFREEZER (3)</v>
      </c>
      <c r="AK594" s="327">
        <f>IFERROR(SUMIF('BD Otimix'!A:A,'BD VOLUME'!AG594,'BD Otimix'!O:O)+SUMIF('BD Otimix'!A:A,'BD VOLUME'!AH594,'BD Otimix'!O:O)+SUMIF('BD Otimix'!A:A,'BD VOLUME'!AI594,'BD Otimix'!O:O)+SUMIF('BD Otimix'!A:A,'BD VOLUME'!AJ594,'BD Otimix'!O:O)+SUMIF('BD Otimix'!A:A,'BD VOLUME'!AF594,'BD Otimix'!O:O),0)</f>
        <v>0</v>
      </c>
      <c r="AL594" s="7">
        <f>IFERROR(F594/$E$3/1000/AK594,0)</f>
        <v>0</v>
      </c>
    </row>
    <row r="595" spans="1:38">
      <c r="A595" s="253">
        <v>124037</v>
      </c>
      <c r="B595" s="253"/>
      <c r="C595" s="5" t="s">
        <v>2551</v>
      </c>
      <c r="D595" s="5" t="s">
        <v>868</v>
      </c>
      <c r="E595" s="5" t="s">
        <v>2566</v>
      </c>
      <c r="F595" s="132">
        <f>SUMIF('COLAR PLANO'!$A:$A,A595,'COLAR PLANO'!$D:$D)</f>
        <v>0</v>
      </c>
      <c r="G595" s="131">
        <f t="shared" si="185"/>
        <v>0</v>
      </c>
      <c r="H595" s="6">
        <v>0.24541238744251673</v>
      </c>
      <c r="I595" s="7">
        <f t="shared" si="186"/>
        <v>0</v>
      </c>
      <c r="J595" s="130">
        <f t="shared" si="187"/>
        <v>0</v>
      </c>
      <c r="K595" s="685">
        <v>0.65</v>
      </c>
      <c r="L595" s="685">
        <v>15</v>
      </c>
      <c r="M595" s="685">
        <v>9.75</v>
      </c>
      <c r="N595" s="7">
        <f t="shared" si="184"/>
        <v>0</v>
      </c>
      <c r="O595" s="7">
        <f>IFERROR(G595/M595,0)</f>
        <v>0</v>
      </c>
      <c r="P595" s="7"/>
      <c r="Q595" s="7"/>
      <c r="R595" s="7"/>
      <c r="S595" s="7"/>
      <c r="T595" s="7"/>
      <c r="U595" s="7" t="s">
        <v>2288</v>
      </c>
      <c r="V595" s="7" t="s">
        <v>2289</v>
      </c>
      <c r="W595" s="7" t="str">
        <f>Preencher!$B$3&amp;U595&amp;V595&amp;A595&amp;$W$6</f>
        <v>JARINU-FRG124037MQ.TUNEL DE CG (CONTINUO)</v>
      </c>
      <c r="X595" s="7" t="str">
        <f>Preencher!$B$3&amp;U595&amp;V595&amp;A595&amp;$X$6</f>
        <v>JARINU-FRG124037MQ.TUNEL DE CG (CONTINUO) (1)</v>
      </c>
      <c r="Y595" s="7" t="str">
        <f>Preencher!$B$3&amp;U595&amp;V595&amp;A595&amp;$Y$6</f>
        <v>JARINU-FRG124037MQ.TUNEL DE CG (CONTINUO) (2)</v>
      </c>
      <c r="Z595" s="7" t="str">
        <f>Preencher!$B$3&amp;U595&amp;V595&amp;A595&amp;$Z$6</f>
        <v>JARINU-FRG124037MQ.TUNEL DE CG (CONTINUO) (3)</v>
      </c>
      <c r="AA595" s="7" t="str">
        <f>Preencher!$B$3&amp;U595&amp;V595&amp;A595&amp;$AA$6</f>
        <v>JARINU-FRG124037MQ.TUNEL DE CG (ESTATICO)</v>
      </c>
      <c r="AB595" s="7" t="str">
        <f>Preencher!$B$3&amp;U595&amp;V595&amp;A595&amp;$AB$6</f>
        <v>JARINU-FRG124037MQ.TUNEL DE CG (ESTATICO) (1)</v>
      </c>
      <c r="AC595" s="7" t="str">
        <f>Preencher!$B$3&amp;U595&amp;V595&amp;A595&amp;$AC$6</f>
        <v>JARINU-FRG124037MQ.TUNEL DE CG (ESTATICO) (2)</v>
      </c>
      <c r="AD595" s="327">
        <f>IFERROR(SUMIF('BD Otimix'!A:A,'BD VOLUME'!X595,'BD Otimix'!O:O)+SUMIF('BD Otimix'!A:A,'BD VOLUME'!Y595,'BD Otimix'!O:O)+SUMIF('BD Otimix'!A:A,'BD VOLUME'!Z595,'BD Otimix'!O:O)+SUMIF('BD Otimix'!A:A,'BD VOLUME'!AA595,'BD Otimix'!O:O)+SUMIF('BD Otimix'!A:A,'BD VOLUME'!AB595,'BD Otimix'!O:O)+SUMIF('BD Otimix'!A:A,'BD VOLUME'!AC595,'BD Otimix'!O:O)+SUMIF('BD Otimix'!A:A,'BD VOLUME'!W595,'BD Otimix'!O:O),0)</f>
        <v>0</v>
      </c>
      <c r="AE595" s="327">
        <f t="shared" si="202"/>
        <v>0</v>
      </c>
      <c r="AF595" s="7" t="str">
        <f>Preencher!$B$3&amp;$U$8&amp;$V$8&amp;A595&amp;$AF$6</f>
        <v>JARINU-FRG124037MQ.GIROFREEZER</v>
      </c>
      <c r="AG595" s="7" t="str">
        <f>Preencher!$B$3&amp;$U$8&amp;$V$8&amp;A595&amp;$AG$6</f>
        <v>JARINU-FRG124037MQ.GIROFREEZER (1)</v>
      </c>
      <c r="AH595" s="7" t="str">
        <f>Preencher!$B$3&amp;$U$8&amp;$V$8&amp;A595&amp;$AH$6</f>
        <v>JARINU-FRG124037MQ.GIROFREEZER (2)</v>
      </c>
      <c r="AI595" s="7" t="str">
        <f>Preencher!$B$3&amp;$U$8&amp;$V$8&amp;A595&amp;$AI$6</f>
        <v>JARINU-FRG124037MQ.GIROFREEZER REV04</v>
      </c>
      <c r="AJ595" s="7" t="str">
        <f>Preencher!$B$3&amp;$U$8&amp;$V$8&amp;A595&amp;$AJ$6</f>
        <v>JARINU-FRG124037MQ.GIROFREEZER (3)</v>
      </c>
      <c r="AK595" s="327">
        <f>IFERROR(SUMIF('BD Otimix'!A:A,'BD VOLUME'!AG595,'BD Otimix'!O:O)+SUMIF('BD Otimix'!A:A,'BD VOLUME'!AH595,'BD Otimix'!O:O)+SUMIF('BD Otimix'!A:A,'BD VOLUME'!AI595,'BD Otimix'!O:O)+SUMIF('BD Otimix'!A:A,'BD VOLUME'!AJ595,'BD Otimix'!O:O)+SUMIF('BD Otimix'!A:A,'BD VOLUME'!AF595,'BD Otimix'!O:O),0)</f>
        <v>0</v>
      </c>
      <c r="AL595" s="7">
        <f t="shared" si="203"/>
        <v>0</v>
      </c>
    </row>
    <row r="596" spans="1:38">
      <c r="A596" s="128">
        <v>956864</v>
      </c>
      <c r="B596" s="128"/>
      <c r="C596" s="5" t="s">
        <v>2552</v>
      </c>
      <c r="D596" s="5" t="s">
        <v>868</v>
      </c>
      <c r="E596" s="5" t="s">
        <v>1691</v>
      </c>
      <c r="F596" s="132">
        <f>SUMIF('COLAR PLANO'!$A:$A,A596,'COLAR PLANO'!$D:$D)</f>
        <v>0</v>
      </c>
      <c r="G596" s="131">
        <f t="shared" si="185"/>
        <v>0</v>
      </c>
      <c r="H596" s="6">
        <v>0.24541238744251673</v>
      </c>
      <c r="I596" s="7">
        <f t="shared" si="186"/>
        <v>0</v>
      </c>
      <c r="J596" s="130">
        <f t="shared" si="187"/>
        <v>0</v>
      </c>
      <c r="K596" s="685">
        <v>0.65</v>
      </c>
      <c r="L596" s="685">
        <v>15</v>
      </c>
      <c r="M596" s="685">
        <v>9.75</v>
      </c>
      <c r="N596" s="7">
        <f t="shared" si="184"/>
        <v>0</v>
      </c>
      <c r="O596" s="7">
        <f>IFERROR(G596/M596,0)</f>
        <v>0</v>
      </c>
      <c r="P596" s="7"/>
      <c r="Q596" s="7"/>
      <c r="R596" s="7"/>
      <c r="S596" s="7"/>
      <c r="T596" s="7"/>
      <c r="U596" s="7" t="s">
        <v>2288</v>
      </c>
      <c r="V596" s="7" t="s">
        <v>2289</v>
      </c>
      <c r="W596" s="7" t="str">
        <f>Preencher!$B$3&amp;U596&amp;V596&amp;A596&amp;$W$6</f>
        <v>JARINU-FRG956864MQ.TUNEL DE CG (CONTINUO)</v>
      </c>
      <c r="X596" s="7" t="str">
        <f>Preencher!$B$3&amp;U596&amp;V596&amp;A596&amp;$X$6</f>
        <v>JARINU-FRG956864MQ.TUNEL DE CG (CONTINUO) (1)</v>
      </c>
      <c r="Y596" s="7" t="str">
        <f>Preencher!$B$3&amp;U596&amp;V596&amp;A596&amp;$Y$6</f>
        <v>JARINU-FRG956864MQ.TUNEL DE CG (CONTINUO) (2)</v>
      </c>
      <c r="Z596" s="7" t="str">
        <f>Preencher!$B$3&amp;U596&amp;V596&amp;A596&amp;$Z$6</f>
        <v>JARINU-FRG956864MQ.TUNEL DE CG (CONTINUO) (3)</v>
      </c>
      <c r="AA596" s="7" t="str">
        <f>Preencher!$B$3&amp;U596&amp;V596&amp;A596&amp;$AA$6</f>
        <v>JARINU-FRG956864MQ.TUNEL DE CG (ESTATICO)</v>
      </c>
      <c r="AB596" s="7" t="str">
        <f>Preencher!$B$3&amp;U596&amp;V596&amp;A596&amp;$AB$6</f>
        <v>JARINU-FRG956864MQ.TUNEL DE CG (ESTATICO) (1)</v>
      </c>
      <c r="AC596" s="7" t="str">
        <f>Preencher!$B$3&amp;U596&amp;V596&amp;A596&amp;$AC$6</f>
        <v>JARINU-FRG956864MQ.TUNEL DE CG (ESTATICO) (2)</v>
      </c>
      <c r="AD596" s="327">
        <f>IFERROR(SUMIF('BD Otimix'!A:A,'BD VOLUME'!X596,'BD Otimix'!O:O)+SUMIF('BD Otimix'!A:A,'BD VOLUME'!Y596,'BD Otimix'!O:O)+SUMIF('BD Otimix'!A:A,'BD VOLUME'!Z596,'BD Otimix'!O:O)+SUMIF('BD Otimix'!A:A,'BD VOLUME'!AA596,'BD Otimix'!O:O)+SUMIF('BD Otimix'!A:A,'BD VOLUME'!AB596,'BD Otimix'!O:O)+SUMIF('BD Otimix'!A:A,'BD VOLUME'!AC596,'BD Otimix'!O:O)+SUMIF('BD Otimix'!A:A,'BD VOLUME'!W596,'BD Otimix'!O:O),0)</f>
        <v>0</v>
      </c>
      <c r="AE596" s="327">
        <f t="shared" si="202"/>
        <v>0</v>
      </c>
      <c r="AF596" s="7" t="str">
        <f>Preencher!$B$3&amp;$U$8&amp;$V$8&amp;A596&amp;$AF$6</f>
        <v>JARINU-FRG956864MQ.GIROFREEZER</v>
      </c>
      <c r="AG596" s="7" t="str">
        <f>Preencher!$B$3&amp;$U$8&amp;$V$8&amp;A596&amp;$AG$6</f>
        <v>JARINU-FRG956864MQ.GIROFREEZER (1)</v>
      </c>
      <c r="AH596" s="7" t="str">
        <f>Preencher!$B$3&amp;$U$8&amp;$V$8&amp;A596&amp;$AH$6</f>
        <v>JARINU-FRG956864MQ.GIROFREEZER (2)</v>
      </c>
      <c r="AI596" s="7" t="str">
        <f>Preencher!$B$3&amp;$U$8&amp;$V$8&amp;A596&amp;$AI$6</f>
        <v>JARINU-FRG956864MQ.GIROFREEZER REV04</v>
      </c>
      <c r="AJ596" s="7" t="str">
        <f>Preencher!$B$3&amp;$U$8&amp;$V$8&amp;A596&amp;$AJ$6</f>
        <v>JARINU-FRG956864MQ.GIROFREEZER (3)</v>
      </c>
      <c r="AK596" s="327">
        <f>IFERROR(SUMIF('BD Otimix'!A:A,'BD VOLUME'!AG596,'BD Otimix'!O:O)+SUMIF('BD Otimix'!A:A,'BD VOLUME'!AH596,'BD Otimix'!O:O)+SUMIF('BD Otimix'!A:A,'BD VOLUME'!AI596,'BD Otimix'!O:O)+SUMIF('BD Otimix'!A:A,'BD VOLUME'!AJ596,'BD Otimix'!O:O)+SUMIF('BD Otimix'!A:A,'BD VOLUME'!AF596,'BD Otimix'!O:O),0)</f>
        <v>0</v>
      </c>
      <c r="AL596" s="7">
        <f t="shared" si="203"/>
        <v>0</v>
      </c>
    </row>
    <row r="597" spans="1:38">
      <c r="A597" s="139"/>
      <c r="B597" s="139"/>
      <c r="C597" s="145"/>
      <c r="D597" s="145"/>
      <c r="E597" s="145"/>
      <c r="F597" s="144"/>
      <c r="G597" s="143"/>
      <c r="H597" s="142"/>
      <c r="I597" s="140"/>
      <c r="J597" s="141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</row>
    <row r="598" spans="1:38">
      <c r="A598" s="138" t="s">
        <v>869</v>
      </c>
      <c r="B598" s="386">
        <f>B472+D598</f>
        <v>4699.7389033942563</v>
      </c>
      <c r="C598" s="138" t="s">
        <v>952</v>
      </c>
      <c r="D598" s="421">
        <f>SUMIF(E:E,C598,I:I)</f>
        <v>0</v>
      </c>
      <c r="E598" s="138"/>
      <c r="F598" s="218">
        <f>SUBTOTAL(9,F599:F677)</f>
        <v>218880</v>
      </c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  <c r="AH598" s="138"/>
      <c r="AI598" s="138"/>
      <c r="AJ598" s="138"/>
      <c r="AK598" s="138"/>
      <c r="AL598" s="138"/>
    </row>
    <row r="599" spans="1:38">
      <c r="A599" s="128">
        <v>962228</v>
      </c>
      <c r="B599" s="128">
        <v>962228</v>
      </c>
      <c r="C599" s="5" t="s">
        <v>3183</v>
      </c>
      <c r="D599" s="5" t="s">
        <v>922</v>
      </c>
      <c r="E599" s="5" t="s">
        <v>1004</v>
      </c>
      <c r="F599" s="132">
        <f>SUMIF('COLAR PLANO'!$A:$A,A599,'COLAR PLANO'!$D:$D)</f>
        <v>0</v>
      </c>
      <c r="G599" s="131">
        <f t="shared" ref="G599:G641" si="206">IFERROR(F599/($E$3*$C$3),0)</f>
        <v>0</v>
      </c>
      <c r="H599" s="6">
        <v>7.8141423222840803E-2</v>
      </c>
      <c r="I599" s="7">
        <f t="shared" ref="I599:I613" si="207">IFERROR(G599/$D$3/H599,0)</f>
        <v>0</v>
      </c>
      <c r="J599" s="130">
        <f t="shared" ref="J599:J613" si="208">IFERROR(I599/$B$3,0)</f>
        <v>0</v>
      </c>
      <c r="K599" s="253">
        <v>1</v>
      </c>
      <c r="L599" s="253">
        <v>18</v>
      </c>
      <c r="M599" s="253">
        <v>18</v>
      </c>
      <c r="N599" s="7">
        <f t="shared" ref="N599:N640" si="209">IFERROR(G599/K599,"-")</f>
        <v>0</v>
      </c>
      <c r="O599" s="7"/>
      <c r="P599" s="7">
        <f t="shared" ref="P599:P613" si="210">IFERROR(G599/M599,0)</f>
        <v>0</v>
      </c>
      <c r="Q599" s="7"/>
      <c r="R599" s="7"/>
      <c r="S599" s="7"/>
      <c r="T599" s="7"/>
      <c r="U599" s="7" t="s">
        <v>2288</v>
      </c>
      <c r="V599" s="7" t="s">
        <v>2289</v>
      </c>
      <c r="W599" s="7" t="str">
        <f>Preencher!$B$3&amp;U599&amp;V599&amp;A599&amp;$W$6</f>
        <v>JARINU-FRG962228MQ.TUNEL DE CG (CONTINUO)</v>
      </c>
      <c r="X599" s="7" t="str">
        <f>Preencher!$B$3&amp;U599&amp;V599&amp;A599&amp;$X$6</f>
        <v>JARINU-FRG962228MQ.TUNEL DE CG (CONTINUO) (1)</v>
      </c>
      <c r="Y599" s="7" t="str">
        <f>Preencher!$B$3&amp;U599&amp;V599&amp;A599&amp;$Y$6</f>
        <v>JARINU-FRG962228MQ.TUNEL DE CG (CONTINUO) (2)</v>
      </c>
      <c r="Z599" s="7" t="str">
        <f>Preencher!$B$3&amp;U599&amp;V599&amp;A599&amp;$Z$6</f>
        <v>JARINU-FRG962228MQ.TUNEL DE CG (CONTINUO) (3)</v>
      </c>
      <c r="AA599" s="7" t="str">
        <f>Preencher!$B$3&amp;U599&amp;V599&amp;A599&amp;$AA$6</f>
        <v>JARINU-FRG962228MQ.TUNEL DE CG (ESTATICO)</v>
      </c>
      <c r="AB599" s="7" t="str">
        <f>Preencher!$B$3&amp;U599&amp;V599&amp;A599&amp;$AB$6</f>
        <v>JARINU-FRG962228MQ.TUNEL DE CG (ESTATICO) (1)</v>
      </c>
      <c r="AC599" s="7" t="str">
        <f>Preencher!$B$3&amp;U599&amp;V599&amp;A599&amp;$AC$6</f>
        <v>JARINU-FRG962228MQ.TUNEL DE CG (ESTATICO) (2)</v>
      </c>
      <c r="AD599" s="327">
        <f>IFERROR(SUMIF('BD Otimix'!A:A,'BD VOLUME'!X599,'BD Otimix'!O:O)+SUMIF('BD Otimix'!A:A,'BD VOLUME'!Y599,'BD Otimix'!O:O)+SUMIF('BD Otimix'!A:A,'BD VOLUME'!Z599,'BD Otimix'!O:O)+SUMIF('BD Otimix'!A:A,'BD VOLUME'!AA599,'BD Otimix'!O:O)+SUMIF('BD Otimix'!A:A,'BD VOLUME'!AB599,'BD Otimix'!O:O)+SUMIF('BD Otimix'!A:A,'BD VOLUME'!AC599,'BD Otimix'!O:O)+SUMIF('BD Otimix'!A:A,'BD VOLUME'!W599,'BD Otimix'!O:O),0)</f>
        <v>0</v>
      </c>
      <c r="AE599" s="327">
        <f t="shared" ref="AE599:AE664" si="211">IFERROR(F599/$E$3/1000/AD599,0)</f>
        <v>0</v>
      </c>
      <c r="AF599" s="7" t="str">
        <f>Preencher!$B$3&amp;$U$8&amp;$V$8&amp;A599&amp;$AF$6</f>
        <v>JARINU-FRG962228MQ.GIROFREEZER</v>
      </c>
      <c r="AG599" s="7" t="str">
        <f>Preencher!$B$3&amp;$U$8&amp;$V$8&amp;A599&amp;$AG$6</f>
        <v>JARINU-FRG962228MQ.GIROFREEZER (1)</v>
      </c>
      <c r="AH599" s="7" t="str">
        <f>Preencher!$B$3&amp;$U$8&amp;$V$8&amp;A599&amp;$AH$6</f>
        <v>JARINU-FRG962228MQ.GIROFREEZER (2)</v>
      </c>
      <c r="AI599" s="7" t="str">
        <f>Preencher!$B$3&amp;$U$8&amp;$V$8&amp;A599&amp;$AI$6</f>
        <v>JARINU-FRG962228MQ.GIROFREEZER REV04</v>
      </c>
      <c r="AJ599" s="7" t="str">
        <f>Preencher!$B$3&amp;$U$8&amp;$V$8&amp;A599&amp;$AJ$6</f>
        <v>JARINU-FRG962228MQ.GIROFREEZER (3)</v>
      </c>
      <c r="AK599" s="327">
        <f>IFERROR(SUMIF('BD Otimix'!A:A,'BD VOLUME'!AG599,'BD Otimix'!O:O)+SUMIF('BD Otimix'!A:A,'BD VOLUME'!AH599,'BD Otimix'!O:O)+SUMIF('BD Otimix'!A:A,'BD VOLUME'!AI599,'BD Otimix'!O:O)+SUMIF('BD Otimix'!A:A,'BD VOLUME'!AJ599,'BD Otimix'!O:O)+SUMIF('BD Otimix'!A:A,'BD VOLUME'!AF599,'BD Otimix'!O:O),0)</f>
        <v>0</v>
      </c>
      <c r="AL599" s="7">
        <f t="shared" ref="AL599:AL664" si="212">IFERROR(F599/$E$3/1000/AK599,0)</f>
        <v>0</v>
      </c>
    </row>
    <row r="600" spans="1:38">
      <c r="A600" s="128">
        <v>929875</v>
      </c>
      <c r="B600" s="128">
        <v>929875</v>
      </c>
      <c r="C600" s="5" t="s">
        <v>3184</v>
      </c>
      <c r="D600" s="5" t="s">
        <v>922</v>
      </c>
      <c r="E600" s="5" t="s">
        <v>1004</v>
      </c>
      <c r="F600" s="132">
        <f>SUMIF('COLAR PLANO'!$A:$A,A600,'COLAR PLANO'!$D:$D)</f>
        <v>0</v>
      </c>
      <c r="G600" s="131">
        <f t="shared" si="206"/>
        <v>0</v>
      </c>
      <c r="H600" s="6">
        <v>7.8141423222840803E-2</v>
      </c>
      <c r="I600" s="7">
        <f t="shared" si="207"/>
        <v>0</v>
      </c>
      <c r="J600" s="130">
        <f t="shared" si="208"/>
        <v>0</v>
      </c>
      <c r="K600" s="253">
        <v>2</v>
      </c>
      <c r="L600" s="253">
        <v>9</v>
      </c>
      <c r="M600" s="253">
        <v>18</v>
      </c>
      <c r="N600" s="7">
        <f t="shared" si="209"/>
        <v>0</v>
      </c>
      <c r="O600" s="7"/>
      <c r="P600" s="7">
        <f t="shared" si="210"/>
        <v>0</v>
      </c>
      <c r="Q600" s="7"/>
      <c r="R600" s="7"/>
      <c r="S600" s="7"/>
      <c r="T600" s="7"/>
      <c r="U600" s="7" t="s">
        <v>2288</v>
      </c>
      <c r="V600" s="7" t="s">
        <v>2289</v>
      </c>
      <c r="W600" s="7" t="str">
        <f>Preencher!$B$3&amp;U600&amp;V600&amp;A600&amp;$W$6</f>
        <v>JARINU-FRG929875MQ.TUNEL DE CG (CONTINUO)</v>
      </c>
      <c r="X600" s="7" t="str">
        <f>Preencher!$B$3&amp;U600&amp;V600&amp;A600&amp;$X$6</f>
        <v>JARINU-FRG929875MQ.TUNEL DE CG (CONTINUO) (1)</v>
      </c>
      <c r="Y600" s="7" t="str">
        <f>Preencher!$B$3&amp;U600&amp;V600&amp;A600&amp;$Y$6</f>
        <v>JARINU-FRG929875MQ.TUNEL DE CG (CONTINUO) (2)</v>
      </c>
      <c r="Z600" s="7" t="str">
        <f>Preencher!$B$3&amp;U600&amp;V600&amp;A600&amp;$Z$6</f>
        <v>JARINU-FRG929875MQ.TUNEL DE CG (CONTINUO) (3)</v>
      </c>
      <c r="AA600" s="7" t="str">
        <f>Preencher!$B$3&amp;U600&amp;V600&amp;A600&amp;$AA$6</f>
        <v>JARINU-FRG929875MQ.TUNEL DE CG (ESTATICO)</v>
      </c>
      <c r="AB600" s="7" t="str">
        <f>Preencher!$B$3&amp;U600&amp;V600&amp;A600&amp;$AB$6</f>
        <v>JARINU-FRG929875MQ.TUNEL DE CG (ESTATICO) (1)</v>
      </c>
      <c r="AC600" s="7" t="str">
        <f>Preencher!$B$3&amp;U600&amp;V600&amp;A600&amp;$AC$6</f>
        <v>JARINU-FRG929875MQ.TUNEL DE CG (ESTATICO) (2)</v>
      </c>
      <c r="AD600" s="327">
        <f>IFERROR(SUMIF('BD Otimix'!A:A,'BD VOLUME'!X600,'BD Otimix'!O:O)+SUMIF('BD Otimix'!A:A,'BD VOLUME'!Y600,'BD Otimix'!O:O)+SUMIF('BD Otimix'!A:A,'BD VOLUME'!Z600,'BD Otimix'!O:O)+SUMIF('BD Otimix'!A:A,'BD VOLUME'!AA600,'BD Otimix'!O:O)+SUMIF('BD Otimix'!A:A,'BD VOLUME'!AB600,'BD Otimix'!O:O)+SUMIF('BD Otimix'!A:A,'BD VOLUME'!AC600,'BD Otimix'!O:O)+SUMIF('BD Otimix'!A:A,'BD VOLUME'!W600,'BD Otimix'!O:O),0)</f>
        <v>0</v>
      </c>
      <c r="AE600" s="327">
        <f t="shared" si="211"/>
        <v>0</v>
      </c>
      <c r="AF600" s="7" t="str">
        <f>Preencher!$B$3&amp;$U$8&amp;$V$8&amp;A600&amp;$AF$6</f>
        <v>JARINU-FRG929875MQ.GIROFREEZER</v>
      </c>
      <c r="AG600" s="7" t="str">
        <f>Preencher!$B$3&amp;$U$8&amp;$V$8&amp;A600&amp;$AG$6</f>
        <v>JARINU-FRG929875MQ.GIROFREEZER (1)</v>
      </c>
      <c r="AH600" s="7" t="str">
        <f>Preencher!$B$3&amp;$U$8&amp;$V$8&amp;A600&amp;$AH$6</f>
        <v>JARINU-FRG929875MQ.GIROFREEZER (2)</v>
      </c>
      <c r="AI600" s="7" t="str">
        <f>Preencher!$B$3&amp;$U$8&amp;$V$8&amp;A600&amp;$AI$6</f>
        <v>JARINU-FRG929875MQ.GIROFREEZER REV04</v>
      </c>
      <c r="AJ600" s="7" t="str">
        <f>Preencher!$B$3&amp;$U$8&amp;$V$8&amp;A600&amp;$AJ$6</f>
        <v>JARINU-FRG929875MQ.GIROFREEZER (3)</v>
      </c>
      <c r="AK600" s="327">
        <f>IFERROR(SUMIF('BD Otimix'!A:A,'BD VOLUME'!AG600,'BD Otimix'!O:O)+SUMIF('BD Otimix'!A:A,'BD VOLUME'!AH600,'BD Otimix'!O:O)+SUMIF('BD Otimix'!A:A,'BD VOLUME'!AI600,'BD Otimix'!O:O)+SUMIF('BD Otimix'!A:A,'BD VOLUME'!AJ600,'BD Otimix'!O:O)+SUMIF('BD Otimix'!A:A,'BD VOLUME'!AF600,'BD Otimix'!O:O),0)</f>
        <v>0</v>
      </c>
      <c r="AL600" s="7">
        <f t="shared" si="212"/>
        <v>0</v>
      </c>
    </row>
    <row r="601" spans="1:38">
      <c r="A601" s="580">
        <v>197742</v>
      </c>
      <c r="B601" s="580" t="s">
        <v>2044</v>
      </c>
      <c r="C601" s="5" t="s">
        <v>2045</v>
      </c>
      <c r="D601" s="5" t="s">
        <v>922</v>
      </c>
      <c r="E601" s="5" t="s">
        <v>1758</v>
      </c>
      <c r="F601" s="132">
        <f>SUMIF('COLAR PLANO'!$A:$A,A601,'COLAR PLANO'!$D:$D)</f>
        <v>0</v>
      </c>
      <c r="G601" s="131">
        <f t="shared" si="206"/>
        <v>0</v>
      </c>
      <c r="H601" s="6">
        <v>4.0269633576350924E-2</v>
      </c>
      <c r="I601" s="7">
        <f t="shared" si="207"/>
        <v>0</v>
      </c>
      <c r="J601" s="130">
        <f t="shared" si="208"/>
        <v>0</v>
      </c>
      <c r="K601" s="580">
        <v>1</v>
      </c>
      <c r="L601" s="580">
        <v>12</v>
      </c>
      <c r="M601" s="580">
        <v>12</v>
      </c>
      <c r="N601" s="7">
        <f t="shared" si="209"/>
        <v>0</v>
      </c>
      <c r="O601" s="7"/>
      <c r="P601" s="7">
        <f t="shared" si="210"/>
        <v>0</v>
      </c>
      <c r="Q601" s="7"/>
      <c r="R601" s="7"/>
      <c r="S601" s="7"/>
      <c r="T601" s="7"/>
      <c r="U601" s="7" t="s">
        <v>2288</v>
      </c>
      <c r="V601" s="7" t="s">
        <v>2289</v>
      </c>
      <c r="W601" s="7" t="str">
        <f>Preencher!$B$3&amp;U601&amp;V601&amp;A601&amp;$W$6</f>
        <v>JARINU-FRG197742MQ.TUNEL DE CG (CONTINUO)</v>
      </c>
      <c r="X601" s="7" t="str">
        <f>Preencher!$B$3&amp;U601&amp;V601&amp;A601&amp;$X$6</f>
        <v>JARINU-FRG197742MQ.TUNEL DE CG (CONTINUO) (1)</v>
      </c>
      <c r="Y601" s="7" t="str">
        <f>Preencher!$B$3&amp;U601&amp;V601&amp;A601&amp;$Y$6</f>
        <v>JARINU-FRG197742MQ.TUNEL DE CG (CONTINUO) (2)</v>
      </c>
      <c r="Z601" s="7" t="str">
        <f>Preencher!$B$3&amp;U601&amp;V601&amp;A601&amp;$Z$6</f>
        <v>JARINU-FRG197742MQ.TUNEL DE CG (CONTINUO) (3)</v>
      </c>
      <c r="AA601" s="7" t="str">
        <f>Preencher!$B$3&amp;U601&amp;V601&amp;A601&amp;$AA$6</f>
        <v>JARINU-FRG197742MQ.TUNEL DE CG (ESTATICO)</v>
      </c>
      <c r="AB601" s="7" t="str">
        <f>Preencher!$B$3&amp;U601&amp;V601&amp;A601&amp;$AB$6</f>
        <v>JARINU-FRG197742MQ.TUNEL DE CG (ESTATICO) (1)</v>
      </c>
      <c r="AC601" s="7" t="str">
        <f>Preencher!$B$3&amp;U601&amp;V601&amp;A601&amp;$AC$6</f>
        <v>JARINU-FRG197742MQ.TUNEL DE CG (ESTATICO) (2)</v>
      </c>
      <c r="AD601" s="327">
        <f>IFERROR(SUMIF('BD Otimix'!A:A,'BD VOLUME'!X601,'BD Otimix'!O:O)+SUMIF('BD Otimix'!A:A,'BD VOLUME'!Y601,'BD Otimix'!O:O)+SUMIF('BD Otimix'!A:A,'BD VOLUME'!Z601,'BD Otimix'!O:O)+SUMIF('BD Otimix'!A:A,'BD VOLUME'!AA601,'BD Otimix'!O:O)+SUMIF('BD Otimix'!A:A,'BD VOLUME'!AB601,'BD Otimix'!O:O)+SUMIF('BD Otimix'!A:A,'BD VOLUME'!AC601,'BD Otimix'!O:O)+SUMIF('BD Otimix'!A:A,'BD VOLUME'!W601,'BD Otimix'!O:O),0)</f>
        <v>0</v>
      </c>
      <c r="AE601" s="327">
        <f t="shared" si="211"/>
        <v>0</v>
      </c>
      <c r="AF601" s="7" t="str">
        <f>Preencher!$B$3&amp;$U$8&amp;$V$8&amp;A601&amp;$AF$6</f>
        <v>JARINU-FRG197742MQ.GIROFREEZER</v>
      </c>
      <c r="AG601" s="7" t="str">
        <f>Preencher!$B$3&amp;$U$8&amp;$V$8&amp;A601&amp;$AG$6</f>
        <v>JARINU-FRG197742MQ.GIROFREEZER (1)</v>
      </c>
      <c r="AH601" s="7" t="str">
        <f>Preencher!$B$3&amp;$U$8&amp;$V$8&amp;A601&amp;$AH$6</f>
        <v>JARINU-FRG197742MQ.GIROFREEZER (2)</v>
      </c>
      <c r="AI601" s="7" t="str">
        <f>Preencher!$B$3&amp;$U$8&amp;$V$8&amp;A601&amp;$AI$6</f>
        <v>JARINU-FRG197742MQ.GIROFREEZER REV04</v>
      </c>
      <c r="AJ601" s="7" t="str">
        <f>Preencher!$B$3&amp;$U$8&amp;$V$8&amp;A601&amp;$AJ$6</f>
        <v>JARINU-FRG197742MQ.GIROFREEZER (3)</v>
      </c>
      <c r="AK601" s="327">
        <f>IFERROR(SUMIF('BD Otimix'!A:A,'BD VOLUME'!AG601,'BD Otimix'!O:O)+SUMIF('BD Otimix'!A:A,'BD VOLUME'!AH601,'BD Otimix'!O:O)+SUMIF('BD Otimix'!A:A,'BD VOLUME'!AI601,'BD Otimix'!O:O)+SUMIF('BD Otimix'!A:A,'BD VOLUME'!AJ601,'BD Otimix'!O:O)+SUMIF('BD Otimix'!A:A,'BD VOLUME'!AF601,'BD Otimix'!O:O),0)</f>
        <v>0</v>
      </c>
      <c r="AL601" s="7">
        <f t="shared" si="212"/>
        <v>0</v>
      </c>
    </row>
    <row r="602" spans="1:38">
      <c r="A602" s="645">
        <v>685674</v>
      </c>
      <c r="B602" s="645" t="s">
        <v>2326</v>
      </c>
      <c r="C602" s="5" t="s">
        <v>2257</v>
      </c>
      <c r="D602" s="5" t="s">
        <v>922</v>
      </c>
      <c r="E602" s="5" t="s">
        <v>1758</v>
      </c>
      <c r="F602" s="132">
        <f>SUMIF('COLAR PLANO'!$A:$A,A602,'COLAR PLANO'!$D:$D)</f>
        <v>0</v>
      </c>
      <c r="G602" s="131">
        <f t="shared" si="206"/>
        <v>0</v>
      </c>
      <c r="H602" s="6">
        <v>4.0269633576350924E-2</v>
      </c>
      <c r="I602" s="7">
        <f>IFERROR(G602/$D$3/H602,0)</f>
        <v>0</v>
      </c>
      <c r="J602" s="130">
        <f>IFERROR(I602/$B$3,0)</f>
        <v>0</v>
      </c>
      <c r="K602" s="645">
        <v>1</v>
      </c>
      <c r="L602" s="645">
        <v>12</v>
      </c>
      <c r="M602" s="645">
        <v>12</v>
      </c>
      <c r="N602" s="7">
        <f t="shared" si="209"/>
        <v>0</v>
      </c>
      <c r="O602" s="7"/>
      <c r="P602" s="7">
        <f>IFERROR(G602/M602,0)</f>
        <v>0</v>
      </c>
      <c r="Q602" s="7"/>
      <c r="R602" s="7"/>
      <c r="S602" s="7"/>
      <c r="T602" s="7"/>
      <c r="U602" s="7" t="s">
        <v>2288</v>
      </c>
      <c r="V602" s="7" t="s">
        <v>2289</v>
      </c>
      <c r="W602" s="7" t="str">
        <f>Preencher!$B$3&amp;U602&amp;V602&amp;A602&amp;$W$6</f>
        <v>JARINU-FRG685674MQ.TUNEL DE CG (CONTINUO)</v>
      </c>
      <c r="X602" s="7" t="str">
        <f>Preencher!$B$3&amp;U602&amp;V602&amp;A602&amp;$X$6</f>
        <v>JARINU-FRG685674MQ.TUNEL DE CG (CONTINUO) (1)</v>
      </c>
      <c r="Y602" s="7" t="str">
        <f>Preencher!$B$3&amp;U602&amp;V602&amp;A602&amp;$Y$6</f>
        <v>JARINU-FRG685674MQ.TUNEL DE CG (CONTINUO) (2)</v>
      </c>
      <c r="Z602" s="7" t="str">
        <f>Preencher!$B$3&amp;U602&amp;V602&amp;A602&amp;$Z$6</f>
        <v>JARINU-FRG685674MQ.TUNEL DE CG (CONTINUO) (3)</v>
      </c>
      <c r="AA602" s="7" t="str">
        <f>Preencher!$B$3&amp;U602&amp;V602&amp;A602&amp;$AA$6</f>
        <v>JARINU-FRG685674MQ.TUNEL DE CG (ESTATICO)</v>
      </c>
      <c r="AB602" s="7" t="str">
        <f>Preencher!$B$3&amp;U602&amp;V602&amp;A602&amp;$AB$6</f>
        <v>JARINU-FRG685674MQ.TUNEL DE CG (ESTATICO) (1)</v>
      </c>
      <c r="AC602" s="7" t="str">
        <f>Preencher!$B$3&amp;U602&amp;V602&amp;A602&amp;$AC$6</f>
        <v>JARINU-FRG685674MQ.TUNEL DE CG (ESTATICO) (2)</v>
      </c>
      <c r="AD602" s="327">
        <f>IFERROR(SUMIF('BD Otimix'!A:A,'BD VOLUME'!X602,'BD Otimix'!O:O)+SUMIF('BD Otimix'!A:A,'BD VOLUME'!Y602,'BD Otimix'!O:O)+SUMIF('BD Otimix'!A:A,'BD VOLUME'!Z602,'BD Otimix'!O:O)+SUMIF('BD Otimix'!A:A,'BD VOLUME'!AA602,'BD Otimix'!O:O)+SUMIF('BD Otimix'!A:A,'BD VOLUME'!AB602,'BD Otimix'!O:O)+SUMIF('BD Otimix'!A:A,'BD VOLUME'!AC602,'BD Otimix'!O:O)+SUMIF('BD Otimix'!A:A,'BD VOLUME'!W602,'BD Otimix'!O:O),0)</f>
        <v>0</v>
      </c>
      <c r="AE602" s="327">
        <f t="shared" si="211"/>
        <v>0</v>
      </c>
      <c r="AF602" s="7" t="str">
        <f>Preencher!$B$3&amp;$U$8&amp;$V$8&amp;A602&amp;$AF$6</f>
        <v>JARINU-FRG685674MQ.GIROFREEZER</v>
      </c>
      <c r="AG602" s="7" t="str">
        <f>Preencher!$B$3&amp;$U$8&amp;$V$8&amp;A602&amp;$AG$6</f>
        <v>JARINU-FRG685674MQ.GIROFREEZER (1)</v>
      </c>
      <c r="AH602" s="7" t="str">
        <f>Preencher!$B$3&amp;$U$8&amp;$V$8&amp;A602&amp;$AH$6</f>
        <v>JARINU-FRG685674MQ.GIROFREEZER (2)</v>
      </c>
      <c r="AI602" s="7" t="str">
        <f>Preencher!$B$3&amp;$U$8&amp;$V$8&amp;A602&amp;$AI$6</f>
        <v>JARINU-FRG685674MQ.GIROFREEZER REV04</v>
      </c>
      <c r="AJ602" s="7" t="str">
        <f>Preencher!$B$3&amp;$U$8&amp;$V$8&amp;A602&amp;$AJ$6</f>
        <v>JARINU-FRG685674MQ.GIROFREEZER (3)</v>
      </c>
      <c r="AK602" s="327">
        <f>IFERROR(SUMIF('BD Otimix'!A:A,'BD VOLUME'!AG602,'BD Otimix'!O:O)+SUMIF('BD Otimix'!A:A,'BD VOLUME'!AH602,'BD Otimix'!O:O)+SUMIF('BD Otimix'!A:A,'BD VOLUME'!AI602,'BD Otimix'!O:O)+SUMIF('BD Otimix'!A:A,'BD VOLUME'!AJ602,'BD Otimix'!O:O)+SUMIF('BD Otimix'!A:A,'BD VOLUME'!AF602,'BD Otimix'!O:O),0)</f>
        <v>0</v>
      </c>
      <c r="AL602" s="7">
        <f t="shared" si="212"/>
        <v>0</v>
      </c>
    </row>
    <row r="603" spans="1:38">
      <c r="A603" s="645">
        <v>951627</v>
      </c>
      <c r="B603" s="645" t="s">
        <v>2330</v>
      </c>
      <c r="C603" s="5" t="s">
        <v>2281</v>
      </c>
      <c r="D603" s="5" t="s">
        <v>922</v>
      </c>
      <c r="E603" s="5" t="s">
        <v>1758</v>
      </c>
      <c r="F603" s="132">
        <f>SUMIF('COLAR PLANO'!$A:$A,A603,'COLAR PLANO'!$D:$D)</f>
        <v>0</v>
      </c>
      <c r="G603" s="131">
        <f t="shared" si="206"/>
        <v>0</v>
      </c>
      <c r="H603" s="6">
        <v>4.0269633576350924E-2</v>
      </c>
      <c r="I603" s="7">
        <f>IFERROR(G603/$D$3/H603,0)</f>
        <v>0</v>
      </c>
      <c r="J603" s="130">
        <f>IFERROR(I603/$B$3,0)</f>
        <v>0</v>
      </c>
      <c r="K603" s="645">
        <v>1</v>
      </c>
      <c r="L603" s="645">
        <v>12</v>
      </c>
      <c r="M603" s="645">
        <v>12</v>
      </c>
      <c r="N603" s="7">
        <f t="shared" si="209"/>
        <v>0</v>
      </c>
      <c r="O603" s="7"/>
      <c r="P603" s="7">
        <f>IFERROR(G603/M603,0)</f>
        <v>0</v>
      </c>
      <c r="Q603" s="7"/>
      <c r="R603" s="7"/>
      <c r="S603" s="7"/>
      <c r="T603" s="7"/>
      <c r="U603" s="7" t="s">
        <v>2288</v>
      </c>
      <c r="V603" s="7" t="s">
        <v>2289</v>
      </c>
      <c r="W603" s="7" t="str">
        <f>Preencher!$B$3&amp;U603&amp;V603&amp;A603&amp;$W$6</f>
        <v>JARINU-FRG951627MQ.TUNEL DE CG (CONTINUO)</v>
      </c>
      <c r="X603" s="7" t="str">
        <f>Preencher!$B$3&amp;U603&amp;V603&amp;A603&amp;$X$6</f>
        <v>JARINU-FRG951627MQ.TUNEL DE CG (CONTINUO) (1)</v>
      </c>
      <c r="Y603" s="7" t="str">
        <f>Preencher!$B$3&amp;U603&amp;V603&amp;A603&amp;$Y$6</f>
        <v>JARINU-FRG951627MQ.TUNEL DE CG (CONTINUO) (2)</v>
      </c>
      <c r="Z603" s="7" t="str">
        <f>Preencher!$B$3&amp;U603&amp;V603&amp;A603&amp;$Z$6</f>
        <v>JARINU-FRG951627MQ.TUNEL DE CG (CONTINUO) (3)</v>
      </c>
      <c r="AA603" s="7" t="str">
        <f>Preencher!$B$3&amp;U603&amp;V603&amp;A603&amp;$AA$6</f>
        <v>JARINU-FRG951627MQ.TUNEL DE CG (ESTATICO)</v>
      </c>
      <c r="AB603" s="7" t="str">
        <f>Preencher!$B$3&amp;U603&amp;V603&amp;A603&amp;$AB$6</f>
        <v>JARINU-FRG951627MQ.TUNEL DE CG (ESTATICO) (1)</v>
      </c>
      <c r="AC603" s="7" t="str">
        <f>Preencher!$B$3&amp;U603&amp;V603&amp;A603&amp;$AC$6</f>
        <v>JARINU-FRG951627MQ.TUNEL DE CG (ESTATICO) (2)</v>
      </c>
      <c r="AD603" s="327">
        <f>IFERROR(SUMIF('BD Otimix'!A:A,'BD VOLUME'!X603,'BD Otimix'!O:O)+SUMIF('BD Otimix'!A:A,'BD VOLUME'!Y603,'BD Otimix'!O:O)+SUMIF('BD Otimix'!A:A,'BD VOLUME'!Z603,'BD Otimix'!O:O)+SUMIF('BD Otimix'!A:A,'BD VOLUME'!AA603,'BD Otimix'!O:O)+SUMIF('BD Otimix'!A:A,'BD VOLUME'!AB603,'BD Otimix'!O:O)+SUMIF('BD Otimix'!A:A,'BD VOLUME'!AC603,'BD Otimix'!O:O)+SUMIF('BD Otimix'!A:A,'BD VOLUME'!W603,'BD Otimix'!O:O),0)</f>
        <v>0</v>
      </c>
      <c r="AE603" s="327">
        <f t="shared" si="211"/>
        <v>0</v>
      </c>
      <c r="AF603" s="7" t="str">
        <f>Preencher!$B$3&amp;$U$8&amp;$V$8&amp;A603&amp;$AF$6</f>
        <v>JARINU-FRG951627MQ.GIROFREEZER</v>
      </c>
      <c r="AG603" s="7" t="str">
        <f>Preencher!$B$3&amp;$U$8&amp;$V$8&amp;A603&amp;$AG$6</f>
        <v>JARINU-FRG951627MQ.GIROFREEZER (1)</v>
      </c>
      <c r="AH603" s="7" t="str">
        <f>Preencher!$B$3&amp;$U$8&amp;$V$8&amp;A603&amp;$AH$6</f>
        <v>JARINU-FRG951627MQ.GIROFREEZER (2)</v>
      </c>
      <c r="AI603" s="7" t="str">
        <f>Preencher!$B$3&amp;$U$8&amp;$V$8&amp;A603&amp;$AI$6</f>
        <v>JARINU-FRG951627MQ.GIROFREEZER REV04</v>
      </c>
      <c r="AJ603" s="7" t="str">
        <f>Preencher!$B$3&amp;$U$8&amp;$V$8&amp;A603&amp;$AJ$6</f>
        <v>JARINU-FRG951627MQ.GIROFREEZER (3)</v>
      </c>
      <c r="AK603" s="327">
        <f>IFERROR(SUMIF('BD Otimix'!A:A,'BD VOLUME'!AG603,'BD Otimix'!O:O)+SUMIF('BD Otimix'!A:A,'BD VOLUME'!AH603,'BD Otimix'!O:O)+SUMIF('BD Otimix'!A:A,'BD VOLUME'!AI603,'BD Otimix'!O:O)+SUMIF('BD Otimix'!A:A,'BD VOLUME'!AJ603,'BD Otimix'!O:O)+SUMIF('BD Otimix'!A:A,'BD VOLUME'!AF603,'BD Otimix'!O:O),0)</f>
        <v>0</v>
      </c>
      <c r="AL603" s="7">
        <f t="shared" si="212"/>
        <v>0</v>
      </c>
    </row>
    <row r="604" spans="1:38">
      <c r="A604" s="645">
        <v>2935</v>
      </c>
      <c r="B604" s="645" t="s">
        <v>2331</v>
      </c>
      <c r="C604" s="5" t="s">
        <v>2332</v>
      </c>
      <c r="D604" s="5" t="s">
        <v>922</v>
      </c>
      <c r="E604" s="5" t="s">
        <v>1758</v>
      </c>
      <c r="F604" s="132">
        <f>SUMIF('COLAR PLANO'!$A:$A,A604,'COLAR PLANO'!$D:$D)</f>
        <v>0</v>
      </c>
      <c r="G604" s="131">
        <f t="shared" si="206"/>
        <v>0</v>
      </c>
      <c r="H604" s="6">
        <v>4.0269633576350924E-2</v>
      </c>
      <c r="I604" s="7">
        <f>IFERROR(G604/$D$3/H604,0)</f>
        <v>0</v>
      </c>
      <c r="J604" s="130">
        <f>IFERROR(I604/$B$3,0)</f>
        <v>0</v>
      </c>
      <c r="K604" s="645">
        <v>1</v>
      </c>
      <c r="L604" s="645">
        <v>12</v>
      </c>
      <c r="M604" s="645">
        <v>12</v>
      </c>
      <c r="N604" s="7">
        <f t="shared" si="209"/>
        <v>0</v>
      </c>
      <c r="O604" s="7"/>
      <c r="P604" s="7">
        <f>IFERROR(G604/M604,0)</f>
        <v>0</v>
      </c>
      <c r="Q604" s="7"/>
      <c r="R604" s="7"/>
      <c r="S604" s="7"/>
      <c r="T604" s="7"/>
      <c r="U604" s="7" t="s">
        <v>2288</v>
      </c>
      <c r="V604" s="7" t="s">
        <v>2289</v>
      </c>
      <c r="W604" s="7" t="str">
        <f>Preencher!$B$3&amp;U604&amp;V604&amp;A604&amp;$W$6</f>
        <v>JARINU-FRG2935MQ.TUNEL DE CG (CONTINUO)</v>
      </c>
      <c r="X604" s="7" t="str">
        <f>Preencher!$B$3&amp;U604&amp;V604&amp;A604&amp;$X$6</f>
        <v>JARINU-FRG2935MQ.TUNEL DE CG (CONTINUO) (1)</v>
      </c>
      <c r="Y604" s="7" t="str">
        <f>Preencher!$B$3&amp;U604&amp;V604&amp;A604&amp;$Y$6</f>
        <v>JARINU-FRG2935MQ.TUNEL DE CG (CONTINUO) (2)</v>
      </c>
      <c r="Z604" s="7" t="str">
        <f>Preencher!$B$3&amp;U604&amp;V604&amp;A604&amp;$Z$6</f>
        <v>JARINU-FRG2935MQ.TUNEL DE CG (CONTINUO) (3)</v>
      </c>
      <c r="AA604" s="7" t="str">
        <f>Preencher!$B$3&amp;U604&amp;V604&amp;A604&amp;$AA$6</f>
        <v>JARINU-FRG2935MQ.TUNEL DE CG (ESTATICO)</v>
      </c>
      <c r="AB604" s="7" t="str">
        <f>Preencher!$B$3&amp;U604&amp;V604&amp;A604&amp;$AB$6</f>
        <v>JARINU-FRG2935MQ.TUNEL DE CG (ESTATICO) (1)</v>
      </c>
      <c r="AC604" s="7" t="str">
        <f>Preencher!$B$3&amp;U604&amp;V604&amp;A604&amp;$AC$6</f>
        <v>JARINU-FRG2935MQ.TUNEL DE CG (ESTATICO) (2)</v>
      </c>
      <c r="AD604" s="327">
        <f>IFERROR(SUMIF('BD Otimix'!A:A,'BD VOLUME'!X604,'BD Otimix'!O:O)+SUMIF('BD Otimix'!A:A,'BD VOLUME'!Y604,'BD Otimix'!O:O)+SUMIF('BD Otimix'!A:A,'BD VOLUME'!Z604,'BD Otimix'!O:O)+SUMIF('BD Otimix'!A:A,'BD VOLUME'!AA604,'BD Otimix'!O:O)+SUMIF('BD Otimix'!A:A,'BD VOLUME'!AB604,'BD Otimix'!O:O)+SUMIF('BD Otimix'!A:A,'BD VOLUME'!AC604,'BD Otimix'!O:O)+SUMIF('BD Otimix'!A:A,'BD VOLUME'!W604,'BD Otimix'!O:O),0)</f>
        <v>0</v>
      </c>
      <c r="AE604" s="327">
        <f t="shared" si="211"/>
        <v>0</v>
      </c>
      <c r="AF604" s="7" t="str">
        <f>Preencher!$B$3&amp;$U$8&amp;$V$8&amp;A604&amp;$AF$6</f>
        <v>JARINU-FRG2935MQ.GIROFREEZER</v>
      </c>
      <c r="AG604" s="7" t="str">
        <f>Preencher!$B$3&amp;$U$8&amp;$V$8&amp;A604&amp;$AG$6</f>
        <v>JARINU-FRG2935MQ.GIROFREEZER (1)</v>
      </c>
      <c r="AH604" s="7" t="str">
        <f>Preencher!$B$3&amp;$U$8&amp;$V$8&amp;A604&amp;$AH$6</f>
        <v>JARINU-FRG2935MQ.GIROFREEZER (2)</v>
      </c>
      <c r="AI604" s="7" t="str">
        <f>Preencher!$B$3&amp;$U$8&amp;$V$8&amp;A604&amp;$AI$6</f>
        <v>JARINU-FRG2935MQ.GIROFREEZER REV04</v>
      </c>
      <c r="AJ604" s="7" t="str">
        <f>Preencher!$B$3&amp;$U$8&amp;$V$8&amp;A604&amp;$AJ$6</f>
        <v>JARINU-FRG2935MQ.GIROFREEZER (3)</v>
      </c>
      <c r="AK604" s="327">
        <f>IFERROR(SUMIF('BD Otimix'!A:A,'BD VOLUME'!AG604,'BD Otimix'!O:O)+SUMIF('BD Otimix'!A:A,'BD VOLUME'!AH604,'BD Otimix'!O:O)+SUMIF('BD Otimix'!A:A,'BD VOLUME'!AI604,'BD Otimix'!O:O)+SUMIF('BD Otimix'!A:A,'BD VOLUME'!AJ604,'BD Otimix'!O:O)+SUMIF('BD Otimix'!A:A,'BD VOLUME'!AF604,'BD Otimix'!O:O),0)</f>
        <v>0</v>
      </c>
      <c r="AL604" s="7">
        <f t="shared" si="212"/>
        <v>0</v>
      </c>
    </row>
    <row r="605" spans="1:38">
      <c r="A605" s="645">
        <v>205099</v>
      </c>
      <c r="B605" s="645"/>
      <c r="C605" s="5" t="s">
        <v>2337</v>
      </c>
      <c r="D605" s="5" t="s">
        <v>922</v>
      </c>
      <c r="E605" s="5" t="s">
        <v>1758</v>
      </c>
      <c r="F605" s="132">
        <f>SUMIF('COLAR PLANO'!$A:$A,A605,'COLAR PLANO'!$D:$D)</f>
        <v>0</v>
      </c>
      <c r="G605" s="131">
        <f t="shared" si="206"/>
        <v>0</v>
      </c>
      <c r="H605" s="6">
        <v>4.0269633576350924E-2</v>
      </c>
      <c r="I605" s="7">
        <f>IFERROR(G605/$D$3/H605,0)</f>
        <v>0</v>
      </c>
      <c r="J605" s="130">
        <f>IFERROR(I605/$B$3,0)</f>
        <v>0</v>
      </c>
      <c r="K605" s="645">
        <v>0.6</v>
      </c>
      <c r="L605" s="645">
        <v>18</v>
      </c>
      <c r="M605" s="645">
        <v>10.8</v>
      </c>
      <c r="N605" s="7">
        <f t="shared" si="209"/>
        <v>0</v>
      </c>
      <c r="O605" s="7"/>
      <c r="P605" s="7">
        <f>IFERROR(G605/M605,0)</f>
        <v>0</v>
      </c>
      <c r="Q605" s="7"/>
      <c r="R605" s="7"/>
      <c r="S605" s="7"/>
      <c r="T605" s="7"/>
      <c r="U605" s="7" t="s">
        <v>2288</v>
      </c>
      <c r="V605" s="7" t="s">
        <v>2289</v>
      </c>
      <c r="W605" s="7" t="str">
        <f>Preencher!$B$3&amp;U605&amp;V605&amp;A605&amp;$W$6</f>
        <v>JARINU-FRG205099MQ.TUNEL DE CG (CONTINUO)</v>
      </c>
      <c r="X605" s="7" t="str">
        <f>Preencher!$B$3&amp;U605&amp;V605&amp;A605&amp;$X$6</f>
        <v>JARINU-FRG205099MQ.TUNEL DE CG (CONTINUO) (1)</v>
      </c>
      <c r="Y605" s="7" t="str">
        <f>Preencher!$B$3&amp;U605&amp;V605&amp;A605&amp;$Y$6</f>
        <v>JARINU-FRG205099MQ.TUNEL DE CG (CONTINUO) (2)</v>
      </c>
      <c r="Z605" s="7" t="str">
        <f>Preencher!$B$3&amp;U605&amp;V605&amp;A605&amp;$Z$6</f>
        <v>JARINU-FRG205099MQ.TUNEL DE CG (CONTINUO) (3)</v>
      </c>
      <c r="AA605" s="7" t="str">
        <f>Preencher!$B$3&amp;U605&amp;V605&amp;A605&amp;$AA$6</f>
        <v>JARINU-FRG205099MQ.TUNEL DE CG (ESTATICO)</v>
      </c>
      <c r="AB605" s="7" t="str">
        <f>Preencher!$B$3&amp;U605&amp;V605&amp;A605&amp;$AB$6</f>
        <v>JARINU-FRG205099MQ.TUNEL DE CG (ESTATICO) (1)</v>
      </c>
      <c r="AC605" s="7" t="str">
        <f>Preencher!$B$3&amp;U605&amp;V605&amp;A605&amp;$AC$6</f>
        <v>JARINU-FRG205099MQ.TUNEL DE CG (ESTATICO) (2)</v>
      </c>
      <c r="AD605" s="327">
        <f>IFERROR(SUMIF('BD Otimix'!A:A,'BD VOLUME'!X605,'BD Otimix'!O:O)+SUMIF('BD Otimix'!A:A,'BD VOLUME'!Y605,'BD Otimix'!O:O)+SUMIF('BD Otimix'!A:A,'BD VOLUME'!Z605,'BD Otimix'!O:O)+SUMIF('BD Otimix'!A:A,'BD VOLUME'!AA605,'BD Otimix'!O:O)+SUMIF('BD Otimix'!A:A,'BD VOLUME'!AB605,'BD Otimix'!O:O)+SUMIF('BD Otimix'!A:A,'BD VOLUME'!AC605,'BD Otimix'!O:O)+SUMIF('BD Otimix'!A:A,'BD VOLUME'!W605,'BD Otimix'!O:O),0)</f>
        <v>0</v>
      </c>
      <c r="AE605" s="327">
        <f t="shared" si="211"/>
        <v>0</v>
      </c>
      <c r="AF605" s="7" t="str">
        <f>Preencher!$B$3&amp;$U$8&amp;$V$8&amp;A605&amp;$AF$6</f>
        <v>JARINU-FRG205099MQ.GIROFREEZER</v>
      </c>
      <c r="AG605" s="7" t="str">
        <f>Preencher!$B$3&amp;$U$8&amp;$V$8&amp;A605&amp;$AG$6</f>
        <v>JARINU-FRG205099MQ.GIROFREEZER (1)</v>
      </c>
      <c r="AH605" s="7" t="str">
        <f>Preencher!$B$3&amp;$U$8&amp;$V$8&amp;A605&amp;$AH$6</f>
        <v>JARINU-FRG205099MQ.GIROFREEZER (2)</v>
      </c>
      <c r="AI605" s="7" t="str">
        <f>Preencher!$B$3&amp;$U$8&amp;$V$8&amp;A605&amp;$AI$6</f>
        <v>JARINU-FRG205099MQ.GIROFREEZER REV04</v>
      </c>
      <c r="AJ605" s="7" t="str">
        <f>Preencher!$B$3&amp;$U$8&amp;$V$8&amp;A605&amp;$AJ$6</f>
        <v>JARINU-FRG205099MQ.GIROFREEZER (3)</v>
      </c>
      <c r="AK605" s="327">
        <f>IFERROR(SUMIF('BD Otimix'!A:A,'BD VOLUME'!AG605,'BD Otimix'!O:O)+SUMIF('BD Otimix'!A:A,'BD VOLUME'!AH605,'BD Otimix'!O:O)+SUMIF('BD Otimix'!A:A,'BD VOLUME'!AI605,'BD Otimix'!O:O)+SUMIF('BD Otimix'!A:A,'BD VOLUME'!AJ605,'BD Otimix'!O:O)+SUMIF('BD Otimix'!A:A,'BD VOLUME'!AF605,'BD Otimix'!O:O),0)</f>
        <v>0</v>
      </c>
      <c r="AL605" s="7">
        <f t="shared" si="212"/>
        <v>0</v>
      </c>
    </row>
    <row r="606" spans="1:38">
      <c r="A606" s="580">
        <v>769851</v>
      </c>
      <c r="B606" s="580" t="s">
        <v>2042</v>
      </c>
      <c r="C606" s="5" t="s">
        <v>2043</v>
      </c>
      <c r="D606" s="5" t="s">
        <v>922</v>
      </c>
      <c r="E606" s="5" t="s">
        <v>2125</v>
      </c>
      <c r="F606" s="132">
        <f>SUMIF('COLAR PLANO'!$A:$A,A606,'COLAR PLANO'!$D:$D)</f>
        <v>0</v>
      </c>
      <c r="G606" s="131">
        <f t="shared" si="206"/>
        <v>0</v>
      </c>
      <c r="H606" s="6">
        <v>4.0269633576350924E-2</v>
      </c>
      <c r="I606" s="7">
        <f t="shared" si="207"/>
        <v>0</v>
      </c>
      <c r="J606" s="130">
        <f t="shared" si="208"/>
        <v>0</v>
      </c>
      <c r="K606" s="580">
        <v>1</v>
      </c>
      <c r="L606" s="580">
        <v>18</v>
      </c>
      <c r="M606" s="580">
        <v>18</v>
      </c>
      <c r="N606" s="7">
        <f t="shared" si="209"/>
        <v>0</v>
      </c>
      <c r="O606" s="7"/>
      <c r="P606" s="7">
        <f t="shared" si="210"/>
        <v>0</v>
      </c>
      <c r="Q606" s="7"/>
      <c r="R606" s="7"/>
      <c r="S606" s="7"/>
      <c r="T606" s="7"/>
      <c r="U606" s="7" t="s">
        <v>2288</v>
      </c>
      <c r="V606" s="7" t="s">
        <v>2289</v>
      </c>
      <c r="W606" s="7" t="str">
        <f>Preencher!$B$3&amp;U606&amp;V606&amp;A606&amp;$W$6</f>
        <v>JARINU-FRG769851MQ.TUNEL DE CG (CONTINUO)</v>
      </c>
      <c r="X606" s="7" t="str">
        <f>Preencher!$B$3&amp;U606&amp;V606&amp;A606&amp;$X$6</f>
        <v>JARINU-FRG769851MQ.TUNEL DE CG (CONTINUO) (1)</v>
      </c>
      <c r="Y606" s="7" t="str">
        <f>Preencher!$B$3&amp;U606&amp;V606&amp;A606&amp;$Y$6</f>
        <v>JARINU-FRG769851MQ.TUNEL DE CG (CONTINUO) (2)</v>
      </c>
      <c r="Z606" s="7" t="str">
        <f>Preencher!$B$3&amp;U606&amp;V606&amp;A606&amp;$Z$6</f>
        <v>JARINU-FRG769851MQ.TUNEL DE CG (CONTINUO) (3)</v>
      </c>
      <c r="AA606" s="7" t="str">
        <f>Preencher!$B$3&amp;U606&amp;V606&amp;A606&amp;$AA$6</f>
        <v>JARINU-FRG769851MQ.TUNEL DE CG (ESTATICO)</v>
      </c>
      <c r="AB606" s="7" t="str">
        <f>Preencher!$B$3&amp;U606&amp;V606&amp;A606&amp;$AB$6</f>
        <v>JARINU-FRG769851MQ.TUNEL DE CG (ESTATICO) (1)</v>
      </c>
      <c r="AC606" s="7" t="str">
        <f>Preencher!$B$3&amp;U606&amp;V606&amp;A606&amp;$AC$6</f>
        <v>JARINU-FRG769851MQ.TUNEL DE CG (ESTATICO) (2)</v>
      </c>
      <c r="AD606" s="327">
        <f>IFERROR(SUMIF('BD Otimix'!A:A,'BD VOLUME'!X606,'BD Otimix'!O:O)+SUMIF('BD Otimix'!A:A,'BD VOLUME'!Y606,'BD Otimix'!O:O)+SUMIF('BD Otimix'!A:A,'BD VOLUME'!Z606,'BD Otimix'!O:O)+SUMIF('BD Otimix'!A:A,'BD VOLUME'!AA606,'BD Otimix'!O:O)+SUMIF('BD Otimix'!A:A,'BD VOLUME'!AB606,'BD Otimix'!O:O)+SUMIF('BD Otimix'!A:A,'BD VOLUME'!AC606,'BD Otimix'!O:O)+SUMIF('BD Otimix'!A:A,'BD VOLUME'!W606,'BD Otimix'!O:O),0)</f>
        <v>0</v>
      </c>
      <c r="AE606" s="327">
        <f t="shared" si="211"/>
        <v>0</v>
      </c>
      <c r="AF606" s="7" t="str">
        <f>Preencher!$B$3&amp;$U$8&amp;$V$8&amp;A606&amp;$AF$6</f>
        <v>JARINU-FRG769851MQ.GIROFREEZER</v>
      </c>
      <c r="AG606" s="7" t="str">
        <f>Preencher!$B$3&amp;$U$8&amp;$V$8&amp;A606&amp;$AG$6</f>
        <v>JARINU-FRG769851MQ.GIROFREEZER (1)</v>
      </c>
      <c r="AH606" s="7" t="str">
        <f>Preencher!$B$3&amp;$U$8&amp;$V$8&amp;A606&amp;$AH$6</f>
        <v>JARINU-FRG769851MQ.GIROFREEZER (2)</v>
      </c>
      <c r="AI606" s="7" t="str">
        <f>Preencher!$B$3&amp;$U$8&amp;$V$8&amp;A606&amp;$AI$6</f>
        <v>JARINU-FRG769851MQ.GIROFREEZER REV04</v>
      </c>
      <c r="AJ606" s="7" t="str">
        <f>Preencher!$B$3&amp;$U$8&amp;$V$8&amp;A606&amp;$AJ$6</f>
        <v>JARINU-FRG769851MQ.GIROFREEZER (3)</v>
      </c>
      <c r="AK606" s="327">
        <f>IFERROR(SUMIF('BD Otimix'!A:A,'BD VOLUME'!AG606,'BD Otimix'!O:O)+SUMIF('BD Otimix'!A:A,'BD VOLUME'!AH606,'BD Otimix'!O:O)+SUMIF('BD Otimix'!A:A,'BD VOLUME'!AI606,'BD Otimix'!O:O)+SUMIF('BD Otimix'!A:A,'BD VOLUME'!AJ606,'BD Otimix'!O:O)+SUMIF('BD Otimix'!A:A,'BD VOLUME'!AF606,'BD Otimix'!O:O),0)</f>
        <v>0</v>
      </c>
      <c r="AL606" s="7">
        <f t="shared" si="212"/>
        <v>0</v>
      </c>
    </row>
    <row r="607" spans="1:38">
      <c r="A607" s="580">
        <v>18244</v>
      </c>
      <c r="B607" s="580" t="s">
        <v>2038</v>
      </c>
      <c r="C607" s="5" t="s">
        <v>2039</v>
      </c>
      <c r="D607" s="5" t="s">
        <v>922</v>
      </c>
      <c r="E607" s="5" t="s">
        <v>2123</v>
      </c>
      <c r="F607" s="132">
        <f>SUMIF('COLAR PLANO'!$A:$A,A607,'COLAR PLANO'!$D:$D)</f>
        <v>73324.800000000003</v>
      </c>
      <c r="G607" s="131">
        <f t="shared" si="206"/>
        <v>348.08829812485169</v>
      </c>
      <c r="H607" s="6">
        <v>4.0269633576350924E-2</v>
      </c>
      <c r="I607" s="7">
        <f t="shared" si="207"/>
        <v>2881.3133471476208</v>
      </c>
      <c r="J607" s="130">
        <f t="shared" si="208"/>
        <v>0.61307945108752149</v>
      </c>
      <c r="K607" s="580">
        <v>1</v>
      </c>
      <c r="L607" s="580">
        <v>18</v>
      </c>
      <c r="M607" s="580">
        <v>18</v>
      </c>
      <c r="N607" s="7">
        <f t="shared" si="209"/>
        <v>348.08829812485169</v>
      </c>
      <c r="O607" s="7"/>
      <c r="P607" s="7">
        <f t="shared" si="210"/>
        <v>19.338238784713983</v>
      </c>
      <c r="Q607" s="7"/>
      <c r="R607" s="7"/>
      <c r="S607" s="7"/>
      <c r="T607" s="7"/>
      <c r="U607" s="7" t="s">
        <v>2288</v>
      </c>
      <c r="V607" s="7" t="s">
        <v>2289</v>
      </c>
      <c r="W607" s="7" t="str">
        <f>Preencher!$B$3&amp;U607&amp;V607&amp;A607&amp;$W$6</f>
        <v>JARINU-FRG18244MQ.TUNEL DE CG (CONTINUO)</v>
      </c>
      <c r="X607" s="7" t="str">
        <f>Preencher!$B$3&amp;U607&amp;V607&amp;A607&amp;$X$6</f>
        <v>JARINU-FRG18244MQ.TUNEL DE CG (CONTINUO) (1)</v>
      </c>
      <c r="Y607" s="7" t="str">
        <f>Preencher!$B$3&amp;U607&amp;V607&amp;A607&amp;$Y$6</f>
        <v>JARINU-FRG18244MQ.TUNEL DE CG (CONTINUO) (2)</v>
      </c>
      <c r="Z607" s="7" t="str">
        <f>Preencher!$B$3&amp;U607&amp;V607&amp;A607&amp;$Z$6</f>
        <v>JARINU-FRG18244MQ.TUNEL DE CG (CONTINUO) (3)</v>
      </c>
      <c r="AA607" s="7" t="str">
        <f>Preencher!$B$3&amp;U607&amp;V607&amp;A607&amp;$AA$6</f>
        <v>JARINU-FRG18244MQ.TUNEL DE CG (ESTATICO)</v>
      </c>
      <c r="AB607" s="7" t="str">
        <f>Preencher!$B$3&amp;U607&amp;V607&amp;A607&amp;$AB$6</f>
        <v>JARINU-FRG18244MQ.TUNEL DE CG (ESTATICO) (1)</v>
      </c>
      <c r="AC607" s="7" t="str">
        <f>Preencher!$B$3&amp;U607&amp;V607&amp;A607&amp;$AC$6</f>
        <v>JARINU-FRG18244MQ.TUNEL DE CG (ESTATICO) (2)</v>
      </c>
      <c r="AD607" s="327">
        <f>IFERROR(SUMIF('BD Otimix'!A:A,'BD VOLUME'!X607,'BD Otimix'!O:O)+SUMIF('BD Otimix'!A:A,'BD VOLUME'!Y607,'BD Otimix'!O:O)+SUMIF('BD Otimix'!A:A,'BD VOLUME'!Z607,'BD Otimix'!O:O)+SUMIF('BD Otimix'!A:A,'BD VOLUME'!AA607,'BD Otimix'!O:O)+SUMIF('BD Otimix'!A:A,'BD VOLUME'!AB607,'BD Otimix'!O:O)+SUMIF('BD Otimix'!A:A,'BD VOLUME'!AC607,'BD Otimix'!O:O)+SUMIF('BD Otimix'!A:A,'BD VOLUME'!W607,'BD Otimix'!O:O),0)</f>
        <v>0</v>
      </c>
      <c r="AE607" s="327">
        <f t="shared" si="211"/>
        <v>0</v>
      </c>
      <c r="AF607" s="7" t="str">
        <f>Preencher!$B$3&amp;$U$8&amp;$V$8&amp;A607&amp;$AF$6</f>
        <v>JARINU-FRG18244MQ.GIROFREEZER</v>
      </c>
      <c r="AG607" s="7" t="str">
        <f>Preencher!$B$3&amp;$U$8&amp;$V$8&amp;A607&amp;$AG$6</f>
        <v>JARINU-FRG18244MQ.GIROFREEZER (1)</v>
      </c>
      <c r="AH607" s="7" t="str">
        <f>Preencher!$B$3&amp;$U$8&amp;$V$8&amp;A607&amp;$AH$6</f>
        <v>JARINU-FRG18244MQ.GIROFREEZER (2)</v>
      </c>
      <c r="AI607" s="7" t="str">
        <f>Preencher!$B$3&amp;$U$8&amp;$V$8&amp;A607&amp;$AI$6</f>
        <v>JARINU-FRG18244MQ.GIROFREEZER REV04</v>
      </c>
      <c r="AJ607" s="7" t="str">
        <f>Preencher!$B$3&amp;$U$8&amp;$V$8&amp;A607&amp;$AJ$6</f>
        <v>JARINU-FRG18244MQ.GIROFREEZER (3)</v>
      </c>
      <c r="AK607" s="327">
        <f>IFERROR(SUMIF('BD Otimix'!A:A,'BD VOLUME'!AG607,'BD Otimix'!O:O)+SUMIF('BD Otimix'!A:A,'BD VOLUME'!AH607,'BD Otimix'!O:O)+SUMIF('BD Otimix'!A:A,'BD VOLUME'!AI607,'BD Otimix'!O:O)+SUMIF('BD Otimix'!A:A,'BD VOLUME'!AJ607,'BD Otimix'!O:O)+SUMIF('BD Otimix'!A:A,'BD VOLUME'!AF607,'BD Otimix'!O:O),0)</f>
        <v>0</v>
      </c>
      <c r="AL607" s="7">
        <f t="shared" si="212"/>
        <v>0</v>
      </c>
    </row>
    <row r="608" spans="1:38">
      <c r="A608" s="645">
        <v>49301</v>
      </c>
      <c r="B608" s="645" t="s">
        <v>2335</v>
      </c>
      <c r="C608" s="5" t="s">
        <v>2336</v>
      </c>
      <c r="D608" s="5" t="s">
        <v>922</v>
      </c>
      <c r="E608" s="5" t="s">
        <v>2123</v>
      </c>
      <c r="F608" s="132">
        <f>SUMIF('COLAR PLANO'!$A:$A,A608,'COLAR PLANO'!$D:$D)</f>
        <v>0</v>
      </c>
      <c r="G608" s="131">
        <f t="shared" si="206"/>
        <v>0</v>
      </c>
      <c r="H608" s="6">
        <v>4.0269633576350924E-2</v>
      </c>
      <c r="I608" s="7">
        <f>IFERROR(G608/$D$3/H608,0)</f>
        <v>0</v>
      </c>
      <c r="J608" s="130">
        <f>IFERROR(I608/$B$3,0)</f>
        <v>0</v>
      </c>
      <c r="K608" s="645">
        <v>1</v>
      </c>
      <c r="L608" s="645">
        <v>18</v>
      </c>
      <c r="M608" s="645">
        <v>18</v>
      </c>
      <c r="N608" s="7">
        <f t="shared" si="209"/>
        <v>0</v>
      </c>
      <c r="O608" s="7"/>
      <c r="P608" s="7">
        <f>IFERROR(G608/M608,0)</f>
        <v>0</v>
      </c>
      <c r="Q608" s="7"/>
      <c r="R608" s="7"/>
      <c r="S608" s="7"/>
      <c r="T608" s="7"/>
      <c r="U608" s="7" t="s">
        <v>2288</v>
      </c>
      <c r="V608" s="7" t="s">
        <v>2289</v>
      </c>
      <c r="W608" s="7" t="str">
        <f>Preencher!$B$3&amp;U608&amp;V608&amp;A608&amp;$W$6</f>
        <v>JARINU-FRG49301MQ.TUNEL DE CG (CONTINUO)</v>
      </c>
      <c r="X608" s="7" t="str">
        <f>Preencher!$B$3&amp;U608&amp;V608&amp;A608&amp;$X$6</f>
        <v>JARINU-FRG49301MQ.TUNEL DE CG (CONTINUO) (1)</v>
      </c>
      <c r="Y608" s="7" t="str">
        <f>Preencher!$B$3&amp;U608&amp;V608&amp;A608&amp;$Y$6</f>
        <v>JARINU-FRG49301MQ.TUNEL DE CG (CONTINUO) (2)</v>
      </c>
      <c r="Z608" s="7" t="str">
        <f>Preencher!$B$3&amp;U608&amp;V608&amp;A608&amp;$Z$6</f>
        <v>JARINU-FRG49301MQ.TUNEL DE CG (CONTINUO) (3)</v>
      </c>
      <c r="AA608" s="7" t="str">
        <f>Preencher!$B$3&amp;U608&amp;V608&amp;A608&amp;$AA$6</f>
        <v>JARINU-FRG49301MQ.TUNEL DE CG (ESTATICO)</v>
      </c>
      <c r="AB608" s="7" t="str">
        <f>Preencher!$B$3&amp;U608&amp;V608&amp;A608&amp;$AB$6</f>
        <v>JARINU-FRG49301MQ.TUNEL DE CG (ESTATICO) (1)</v>
      </c>
      <c r="AC608" s="7" t="str">
        <f>Preencher!$B$3&amp;U608&amp;V608&amp;A608&amp;$AC$6</f>
        <v>JARINU-FRG49301MQ.TUNEL DE CG (ESTATICO) (2)</v>
      </c>
      <c r="AD608" s="327">
        <f>IFERROR(SUMIF('BD Otimix'!A:A,'BD VOLUME'!X608,'BD Otimix'!O:O)+SUMIF('BD Otimix'!A:A,'BD VOLUME'!Y608,'BD Otimix'!O:O)+SUMIF('BD Otimix'!A:A,'BD VOLUME'!Z608,'BD Otimix'!O:O)+SUMIF('BD Otimix'!A:A,'BD VOLUME'!AA608,'BD Otimix'!O:O)+SUMIF('BD Otimix'!A:A,'BD VOLUME'!AB608,'BD Otimix'!O:O)+SUMIF('BD Otimix'!A:A,'BD VOLUME'!AC608,'BD Otimix'!O:O)+SUMIF('BD Otimix'!A:A,'BD VOLUME'!W608,'BD Otimix'!O:O),0)</f>
        <v>0</v>
      </c>
      <c r="AE608" s="327">
        <f t="shared" si="211"/>
        <v>0</v>
      </c>
      <c r="AF608" s="7" t="str">
        <f>Preencher!$B$3&amp;$U$8&amp;$V$8&amp;A608&amp;$AF$6</f>
        <v>JARINU-FRG49301MQ.GIROFREEZER</v>
      </c>
      <c r="AG608" s="7" t="str">
        <f>Preencher!$B$3&amp;$U$8&amp;$V$8&amp;A608&amp;$AG$6</f>
        <v>JARINU-FRG49301MQ.GIROFREEZER (1)</v>
      </c>
      <c r="AH608" s="7" t="str">
        <f>Preencher!$B$3&amp;$U$8&amp;$V$8&amp;A608&amp;$AH$6</f>
        <v>JARINU-FRG49301MQ.GIROFREEZER (2)</v>
      </c>
      <c r="AI608" s="7" t="str">
        <f>Preencher!$B$3&amp;$U$8&amp;$V$8&amp;A608&amp;$AI$6</f>
        <v>JARINU-FRG49301MQ.GIROFREEZER REV04</v>
      </c>
      <c r="AJ608" s="7" t="str">
        <f>Preencher!$B$3&amp;$U$8&amp;$V$8&amp;A608&amp;$AJ$6</f>
        <v>JARINU-FRG49301MQ.GIROFREEZER (3)</v>
      </c>
      <c r="AK608" s="327">
        <f>IFERROR(SUMIF('BD Otimix'!A:A,'BD VOLUME'!AG608,'BD Otimix'!O:O)+SUMIF('BD Otimix'!A:A,'BD VOLUME'!AH608,'BD Otimix'!O:O)+SUMIF('BD Otimix'!A:A,'BD VOLUME'!AI608,'BD Otimix'!O:O)+SUMIF('BD Otimix'!A:A,'BD VOLUME'!AJ608,'BD Otimix'!O:O)+SUMIF('BD Otimix'!A:A,'BD VOLUME'!AF608,'BD Otimix'!O:O),0)</f>
        <v>0</v>
      </c>
      <c r="AL608" s="7">
        <f t="shared" si="212"/>
        <v>0</v>
      </c>
    </row>
    <row r="609" spans="1:38">
      <c r="A609" s="645">
        <v>926957</v>
      </c>
      <c r="B609" s="645" t="s">
        <v>2328</v>
      </c>
      <c r="C609" s="5" t="s">
        <v>2270</v>
      </c>
      <c r="D609" s="5" t="s">
        <v>922</v>
      </c>
      <c r="E609" s="5" t="s">
        <v>2391</v>
      </c>
      <c r="F609" s="132">
        <f>SUMIF('COLAR PLANO'!$A:$A,A609,'COLAR PLANO'!$D:$D)</f>
        <v>0</v>
      </c>
      <c r="G609" s="131">
        <f t="shared" si="206"/>
        <v>0</v>
      </c>
      <c r="H609" s="6">
        <v>4.0269633576350924E-2</v>
      </c>
      <c r="I609" s="7">
        <f>IFERROR(G609/$D$3/H609,0)</f>
        <v>0</v>
      </c>
      <c r="J609" s="130">
        <f>IFERROR(I609/$B$3,0)</f>
        <v>0</v>
      </c>
      <c r="K609" s="645">
        <v>2</v>
      </c>
      <c r="L609" s="645">
        <v>6</v>
      </c>
      <c r="M609" s="645">
        <v>12</v>
      </c>
      <c r="N609" s="7">
        <f t="shared" si="209"/>
        <v>0</v>
      </c>
      <c r="O609" s="7"/>
      <c r="P609" s="7">
        <f>IFERROR(G609/M609,0)</f>
        <v>0</v>
      </c>
      <c r="Q609" s="7"/>
      <c r="R609" s="7"/>
      <c r="S609" s="7"/>
      <c r="T609" s="7"/>
      <c r="U609" s="7" t="s">
        <v>2288</v>
      </c>
      <c r="V609" s="7" t="s">
        <v>2289</v>
      </c>
      <c r="W609" s="7" t="str">
        <f>Preencher!$B$3&amp;U609&amp;V609&amp;A609&amp;$W$6</f>
        <v>JARINU-FRG926957MQ.TUNEL DE CG (CONTINUO)</v>
      </c>
      <c r="X609" s="7" t="str">
        <f>Preencher!$B$3&amp;U609&amp;V609&amp;A609&amp;$X$6</f>
        <v>JARINU-FRG926957MQ.TUNEL DE CG (CONTINUO) (1)</v>
      </c>
      <c r="Y609" s="7" t="str">
        <f>Preencher!$B$3&amp;U609&amp;V609&amp;A609&amp;$Y$6</f>
        <v>JARINU-FRG926957MQ.TUNEL DE CG (CONTINUO) (2)</v>
      </c>
      <c r="Z609" s="7" t="str">
        <f>Preencher!$B$3&amp;U609&amp;V609&amp;A609&amp;$Z$6</f>
        <v>JARINU-FRG926957MQ.TUNEL DE CG (CONTINUO) (3)</v>
      </c>
      <c r="AA609" s="7" t="str">
        <f>Preencher!$B$3&amp;U609&amp;V609&amp;A609&amp;$AA$6</f>
        <v>JARINU-FRG926957MQ.TUNEL DE CG (ESTATICO)</v>
      </c>
      <c r="AB609" s="7" t="str">
        <f>Preencher!$B$3&amp;U609&amp;V609&amp;A609&amp;$AB$6</f>
        <v>JARINU-FRG926957MQ.TUNEL DE CG (ESTATICO) (1)</v>
      </c>
      <c r="AC609" s="7" t="str">
        <f>Preencher!$B$3&amp;U609&amp;V609&amp;A609&amp;$AC$6</f>
        <v>JARINU-FRG926957MQ.TUNEL DE CG (ESTATICO) (2)</v>
      </c>
      <c r="AD609" s="327">
        <f>IFERROR(SUMIF('BD Otimix'!A:A,'BD VOLUME'!X609,'BD Otimix'!O:O)+SUMIF('BD Otimix'!A:A,'BD VOLUME'!Y609,'BD Otimix'!O:O)+SUMIF('BD Otimix'!A:A,'BD VOLUME'!Z609,'BD Otimix'!O:O)+SUMIF('BD Otimix'!A:A,'BD VOLUME'!AA609,'BD Otimix'!O:O)+SUMIF('BD Otimix'!A:A,'BD VOLUME'!AB609,'BD Otimix'!O:O)+SUMIF('BD Otimix'!A:A,'BD VOLUME'!AC609,'BD Otimix'!O:O)+SUMIF('BD Otimix'!A:A,'BD VOLUME'!W609,'BD Otimix'!O:O),0)</f>
        <v>0</v>
      </c>
      <c r="AE609" s="327">
        <f t="shared" si="211"/>
        <v>0</v>
      </c>
      <c r="AF609" s="7" t="str">
        <f>Preencher!$B$3&amp;$U$8&amp;$V$8&amp;A609&amp;$AF$6</f>
        <v>JARINU-FRG926957MQ.GIROFREEZER</v>
      </c>
      <c r="AG609" s="7" t="str">
        <f>Preencher!$B$3&amp;$U$8&amp;$V$8&amp;A609&amp;$AG$6</f>
        <v>JARINU-FRG926957MQ.GIROFREEZER (1)</v>
      </c>
      <c r="AH609" s="7" t="str">
        <f>Preencher!$B$3&amp;$U$8&amp;$V$8&amp;A609&amp;$AH$6</f>
        <v>JARINU-FRG926957MQ.GIROFREEZER (2)</v>
      </c>
      <c r="AI609" s="7" t="str">
        <f>Preencher!$B$3&amp;$U$8&amp;$V$8&amp;A609&amp;$AI$6</f>
        <v>JARINU-FRG926957MQ.GIROFREEZER REV04</v>
      </c>
      <c r="AJ609" s="7" t="str">
        <f>Preencher!$B$3&amp;$U$8&amp;$V$8&amp;A609&amp;$AJ$6</f>
        <v>JARINU-FRG926957MQ.GIROFREEZER (3)</v>
      </c>
      <c r="AK609" s="327">
        <f>IFERROR(SUMIF('BD Otimix'!A:A,'BD VOLUME'!AG609,'BD Otimix'!O:O)+SUMIF('BD Otimix'!A:A,'BD VOLUME'!AH609,'BD Otimix'!O:O)+SUMIF('BD Otimix'!A:A,'BD VOLUME'!AI609,'BD Otimix'!O:O)+SUMIF('BD Otimix'!A:A,'BD VOLUME'!AJ609,'BD Otimix'!O:O)+SUMIF('BD Otimix'!A:A,'BD VOLUME'!AF609,'BD Otimix'!O:O),0)</f>
        <v>0</v>
      </c>
      <c r="AL609" s="7">
        <f t="shared" si="212"/>
        <v>0</v>
      </c>
    </row>
    <row r="610" spans="1:38">
      <c r="A610" s="645">
        <v>44008</v>
      </c>
      <c r="B610" s="645" t="s">
        <v>2329</v>
      </c>
      <c r="C610" s="5" t="s">
        <v>2232</v>
      </c>
      <c r="D610" s="5" t="s">
        <v>922</v>
      </c>
      <c r="E610" s="5" t="s">
        <v>2391</v>
      </c>
      <c r="F610" s="132">
        <f>SUMIF('COLAR PLANO'!$A:$A,A610,'COLAR PLANO'!$D:$D)</f>
        <v>0</v>
      </c>
      <c r="G610" s="131">
        <f t="shared" si="206"/>
        <v>0</v>
      </c>
      <c r="H610" s="6">
        <v>4.0269633576350924E-2</v>
      </c>
      <c r="I610" s="7">
        <f>IFERROR(G610/$D$3/H610,0)</f>
        <v>0</v>
      </c>
      <c r="J610" s="130">
        <f>IFERROR(I610/$B$3,0)</f>
        <v>0</v>
      </c>
      <c r="K610" s="645">
        <v>2</v>
      </c>
      <c r="L610" s="645">
        <v>6</v>
      </c>
      <c r="M610" s="645">
        <v>12</v>
      </c>
      <c r="N610" s="7">
        <f t="shared" si="209"/>
        <v>0</v>
      </c>
      <c r="O610" s="7"/>
      <c r="P610" s="7">
        <f>IFERROR(G610/M610,0)</f>
        <v>0</v>
      </c>
      <c r="Q610" s="7"/>
      <c r="R610" s="7"/>
      <c r="S610" s="7"/>
      <c r="T610" s="7"/>
      <c r="U610" s="7" t="s">
        <v>2288</v>
      </c>
      <c r="V610" s="7" t="s">
        <v>2289</v>
      </c>
      <c r="W610" s="7" t="str">
        <f>Preencher!$B$3&amp;U610&amp;V610&amp;A610&amp;$W$6</f>
        <v>JARINU-FRG44008MQ.TUNEL DE CG (CONTINUO)</v>
      </c>
      <c r="X610" s="7" t="str">
        <f>Preencher!$B$3&amp;U610&amp;V610&amp;A610&amp;$X$6</f>
        <v>JARINU-FRG44008MQ.TUNEL DE CG (CONTINUO) (1)</v>
      </c>
      <c r="Y610" s="7" t="str">
        <f>Preencher!$B$3&amp;U610&amp;V610&amp;A610&amp;$Y$6</f>
        <v>JARINU-FRG44008MQ.TUNEL DE CG (CONTINUO) (2)</v>
      </c>
      <c r="Z610" s="7" t="str">
        <f>Preencher!$B$3&amp;U610&amp;V610&amp;A610&amp;$Z$6</f>
        <v>JARINU-FRG44008MQ.TUNEL DE CG (CONTINUO) (3)</v>
      </c>
      <c r="AA610" s="7" t="str">
        <f>Preencher!$B$3&amp;U610&amp;V610&amp;A610&amp;$AA$6</f>
        <v>JARINU-FRG44008MQ.TUNEL DE CG (ESTATICO)</v>
      </c>
      <c r="AB610" s="7" t="str">
        <f>Preencher!$B$3&amp;U610&amp;V610&amp;A610&amp;$AB$6</f>
        <v>JARINU-FRG44008MQ.TUNEL DE CG (ESTATICO) (1)</v>
      </c>
      <c r="AC610" s="7" t="str">
        <f>Preencher!$B$3&amp;U610&amp;V610&amp;A610&amp;$AC$6</f>
        <v>JARINU-FRG44008MQ.TUNEL DE CG (ESTATICO) (2)</v>
      </c>
      <c r="AD610" s="327">
        <f>IFERROR(SUMIF('BD Otimix'!A:A,'BD VOLUME'!X610,'BD Otimix'!O:O)+SUMIF('BD Otimix'!A:A,'BD VOLUME'!Y610,'BD Otimix'!O:O)+SUMIF('BD Otimix'!A:A,'BD VOLUME'!Z610,'BD Otimix'!O:O)+SUMIF('BD Otimix'!A:A,'BD VOLUME'!AA610,'BD Otimix'!O:O)+SUMIF('BD Otimix'!A:A,'BD VOLUME'!AB610,'BD Otimix'!O:O)+SUMIF('BD Otimix'!A:A,'BD VOLUME'!AC610,'BD Otimix'!O:O)+SUMIF('BD Otimix'!A:A,'BD VOLUME'!W610,'BD Otimix'!O:O),0)</f>
        <v>0</v>
      </c>
      <c r="AE610" s="327">
        <f t="shared" si="211"/>
        <v>0</v>
      </c>
      <c r="AF610" s="7" t="str">
        <f>Preencher!$B$3&amp;$U$8&amp;$V$8&amp;A610&amp;$AF$6</f>
        <v>JARINU-FRG44008MQ.GIROFREEZER</v>
      </c>
      <c r="AG610" s="7" t="str">
        <f>Preencher!$B$3&amp;$U$8&amp;$V$8&amp;A610&amp;$AG$6</f>
        <v>JARINU-FRG44008MQ.GIROFREEZER (1)</v>
      </c>
      <c r="AH610" s="7" t="str">
        <f>Preencher!$B$3&amp;$U$8&amp;$V$8&amp;A610&amp;$AH$6</f>
        <v>JARINU-FRG44008MQ.GIROFREEZER (2)</v>
      </c>
      <c r="AI610" s="7" t="str">
        <f>Preencher!$B$3&amp;$U$8&amp;$V$8&amp;A610&amp;$AI$6</f>
        <v>JARINU-FRG44008MQ.GIROFREEZER REV04</v>
      </c>
      <c r="AJ610" s="7" t="str">
        <f>Preencher!$B$3&amp;$U$8&amp;$V$8&amp;A610&amp;$AJ$6</f>
        <v>JARINU-FRG44008MQ.GIROFREEZER (3)</v>
      </c>
      <c r="AK610" s="327">
        <f>IFERROR(SUMIF('BD Otimix'!A:A,'BD VOLUME'!AG610,'BD Otimix'!O:O)+SUMIF('BD Otimix'!A:A,'BD VOLUME'!AH610,'BD Otimix'!O:O)+SUMIF('BD Otimix'!A:A,'BD VOLUME'!AI610,'BD Otimix'!O:O)+SUMIF('BD Otimix'!A:A,'BD VOLUME'!AJ610,'BD Otimix'!O:O)+SUMIF('BD Otimix'!A:A,'BD VOLUME'!AF610,'BD Otimix'!O:O),0)</f>
        <v>0</v>
      </c>
      <c r="AL610" s="7">
        <f t="shared" si="212"/>
        <v>0</v>
      </c>
    </row>
    <row r="611" spans="1:38">
      <c r="A611" s="645">
        <v>45179</v>
      </c>
      <c r="B611" s="645" t="s">
        <v>2333</v>
      </c>
      <c r="C611" s="5" t="s">
        <v>2334</v>
      </c>
      <c r="D611" s="5" t="s">
        <v>922</v>
      </c>
      <c r="E611" s="5" t="s">
        <v>2391</v>
      </c>
      <c r="F611" s="132">
        <f>SUMIF('COLAR PLANO'!$A:$A,A611,'COLAR PLANO'!$D:$D)</f>
        <v>0</v>
      </c>
      <c r="G611" s="131">
        <f t="shared" si="206"/>
        <v>0</v>
      </c>
      <c r="H611" s="6">
        <v>4.0269633576350924E-2</v>
      </c>
      <c r="I611" s="7">
        <f>IFERROR(G611/$D$3/H611,0)</f>
        <v>0</v>
      </c>
      <c r="J611" s="130">
        <f>IFERROR(I611/$B$3,0)</f>
        <v>0</v>
      </c>
      <c r="K611" s="645">
        <v>5</v>
      </c>
      <c r="L611" s="645">
        <v>3</v>
      </c>
      <c r="M611" s="645">
        <v>15</v>
      </c>
      <c r="N611" s="7">
        <f t="shared" si="209"/>
        <v>0</v>
      </c>
      <c r="O611" s="7"/>
      <c r="P611" s="7">
        <f>IFERROR(G611/M611,0)</f>
        <v>0</v>
      </c>
      <c r="Q611" s="7"/>
      <c r="R611" s="7"/>
      <c r="S611" s="7"/>
      <c r="T611" s="7"/>
      <c r="U611" s="7" t="s">
        <v>2288</v>
      </c>
      <c r="V611" s="7" t="s">
        <v>2289</v>
      </c>
      <c r="W611" s="7" t="str">
        <f>Preencher!$B$3&amp;U611&amp;V611&amp;A611&amp;$W$6</f>
        <v>JARINU-FRG45179MQ.TUNEL DE CG (CONTINUO)</v>
      </c>
      <c r="X611" s="7" t="str">
        <f>Preencher!$B$3&amp;U611&amp;V611&amp;A611&amp;$X$6</f>
        <v>JARINU-FRG45179MQ.TUNEL DE CG (CONTINUO) (1)</v>
      </c>
      <c r="Y611" s="7" t="str">
        <f>Preencher!$B$3&amp;U611&amp;V611&amp;A611&amp;$Y$6</f>
        <v>JARINU-FRG45179MQ.TUNEL DE CG (CONTINUO) (2)</v>
      </c>
      <c r="Z611" s="7" t="str">
        <f>Preencher!$B$3&amp;U611&amp;V611&amp;A611&amp;$Z$6</f>
        <v>JARINU-FRG45179MQ.TUNEL DE CG (CONTINUO) (3)</v>
      </c>
      <c r="AA611" s="7" t="str">
        <f>Preencher!$B$3&amp;U611&amp;V611&amp;A611&amp;$AA$6</f>
        <v>JARINU-FRG45179MQ.TUNEL DE CG (ESTATICO)</v>
      </c>
      <c r="AB611" s="7" t="str">
        <f>Preencher!$B$3&amp;U611&amp;V611&amp;A611&amp;$AB$6</f>
        <v>JARINU-FRG45179MQ.TUNEL DE CG (ESTATICO) (1)</v>
      </c>
      <c r="AC611" s="7" t="str">
        <f>Preencher!$B$3&amp;U611&amp;V611&amp;A611&amp;$AC$6</f>
        <v>JARINU-FRG45179MQ.TUNEL DE CG (ESTATICO) (2)</v>
      </c>
      <c r="AD611" s="327">
        <f>IFERROR(SUMIF('BD Otimix'!A:A,'BD VOLUME'!X611,'BD Otimix'!O:O)+SUMIF('BD Otimix'!A:A,'BD VOLUME'!Y611,'BD Otimix'!O:O)+SUMIF('BD Otimix'!A:A,'BD VOLUME'!Z611,'BD Otimix'!O:O)+SUMIF('BD Otimix'!A:A,'BD VOLUME'!AA611,'BD Otimix'!O:O)+SUMIF('BD Otimix'!A:A,'BD VOLUME'!AB611,'BD Otimix'!O:O)+SUMIF('BD Otimix'!A:A,'BD VOLUME'!AC611,'BD Otimix'!O:O)+SUMIF('BD Otimix'!A:A,'BD VOLUME'!W611,'BD Otimix'!O:O),0)</f>
        <v>0</v>
      </c>
      <c r="AE611" s="327">
        <f t="shared" si="211"/>
        <v>0</v>
      </c>
      <c r="AF611" s="7" t="str">
        <f>Preencher!$B$3&amp;$U$8&amp;$V$8&amp;A611&amp;$AF$6</f>
        <v>JARINU-FRG45179MQ.GIROFREEZER</v>
      </c>
      <c r="AG611" s="7" t="str">
        <f>Preencher!$B$3&amp;$U$8&amp;$V$8&amp;A611&amp;$AG$6</f>
        <v>JARINU-FRG45179MQ.GIROFREEZER (1)</v>
      </c>
      <c r="AH611" s="7" t="str">
        <f>Preencher!$B$3&amp;$U$8&amp;$V$8&amp;A611&amp;$AH$6</f>
        <v>JARINU-FRG45179MQ.GIROFREEZER (2)</v>
      </c>
      <c r="AI611" s="7" t="str">
        <f>Preencher!$B$3&amp;$U$8&amp;$V$8&amp;A611&amp;$AI$6</f>
        <v>JARINU-FRG45179MQ.GIROFREEZER REV04</v>
      </c>
      <c r="AJ611" s="7" t="str">
        <f>Preencher!$B$3&amp;$U$8&amp;$V$8&amp;A611&amp;$AJ$6</f>
        <v>JARINU-FRG45179MQ.GIROFREEZER (3)</v>
      </c>
      <c r="AK611" s="327">
        <f>IFERROR(SUMIF('BD Otimix'!A:A,'BD VOLUME'!AG611,'BD Otimix'!O:O)+SUMIF('BD Otimix'!A:A,'BD VOLUME'!AH611,'BD Otimix'!O:O)+SUMIF('BD Otimix'!A:A,'BD VOLUME'!AI611,'BD Otimix'!O:O)+SUMIF('BD Otimix'!A:A,'BD VOLUME'!AJ611,'BD Otimix'!O:O)+SUMIF('BD Otimix'!A:A,'BD VOLUME'!AF611,'BD Otimix'!O:O),0)</f>
        <v>0</v>
      </c>
      <c r="AL611" s="7">
        <f t="shared" si="212"/>
        <v>0</v>
      </c>
    </row>
    <row r="612" spans="1:38">
      <c r="A612" s="128">
        <v>796433</v>
      </c>
      <c r="B612" s="128" t="s">
        <v>1022</v>
      </c>
      <c r="C612" s="5" t="s">
        <v>1671</v>
      </c>
      <c r="D612" s="5" t="s">
        <v>922</v>
      </c>
      <c r="E612" s="5" t="s">
        <v>1759</v>
      </c>
      <c r="F612" s="132">
        <f>SUMIF('COLAR PLANO'!$A:$A,A612,'COLAR PLANO'!$D:$D)</f>
        <v>0</v>
      </c>
      <c r="G612" s="131">
        <f t="shared" si="206"/>
        <v>0</v>
      </c>
      <c r="H612" s="6">
        <v>4.0269633576350924E-2</v>
      </c>
      <c r="I612" s="7">
        <f t="shared" si="207"/>
        <v>0</v>
      </c>
      <c r="J612" s="130">
        <f t="shared" si="208"/>
        <v>0</v>
      </c>
      <c r="K612" s="253">
        <v>1.375</v>
      </c>
      <c r="L612" s="253">
        <v>12</v>
      </c>
      <c r="M612" s="253">
        <v>16.5</v>
      </c>
      <c r="N612" s="7">
        <f t="shared" si="209"/>
        <v>0</v>
      </c>
      <c r="O612" s="7"/>
      <c r="P612" s="7">
        <f t="shared" si="210"/>
        <v>0</v>
      </c>
      <c r="Q612" s="7"/>
      <c r="R612" s="7"/>
      <c r="S612" s="7"/>
      <c r="T612" s="7"/>
      <c r="U612" s="7" t="s">
        <v>2288</v>
      </c>
      <c r="V612" s="7" t="s">
        <v>2289</v>
      </c>
      <c r="W612" s="7" t="str">
        <f>Preencher!$B$3&amp;U612&amp;V612&amp;A612&amp;$W$6</f>
        <v>JARINU-FRG796433MQ.TUNEL DE CG (CONTINUO)</v>
      </c>
      <c r="X612" s="7" t="str">
        <f>Preencher!$B$3&amp;U612&amp;V612&amp;A612&amp;$X$6</f>
        <v>JARINU-FRG796433MQ.TUNEL DE CG (CONTINUO) (1)</v>
      </c>
      <c r="Y612" s="7" t="str">
        <f>Preencher!$B$3&amp;U612&amp;V612&amp;A612&amp;$Y$6</f>
        <v>JARINU-FRG796433MQ.TUNEL DE CG (CONTINUO) (2)</v>
      </c>
      <c r="Z612" s="7" t="str">
        <f>Preencher!$B$3&amp;U612&amp;V612&amp;A612&amp;$Z$6</f>
        <v>JARINU-FRG796433MQ.TUNEL DE CG (CONTINUO) (3)</v>
      </c>
      <c r="AA612" s="7" t="str">
        <f>Preencher!$B$3&amp;U612&amp;V612&amp;A612&amp;$AA$6</f>
        <v>JARINU-FRG796433MQ.TUNEL DE CG (ESTATICO)</v>
      </c>
      <c r="AB612" s="7" t="str">
        <f>Preencher!$B$3&amp;U612&amp;V612&amp;A612&amp;$AB$6</f>
        <v>JARINU-FRG796433MQ.TUNEL DE CG (ESTATICO) (1)</v>
      </c>
      <c r="AC612" s="7" t="str">
        <f>Preencher!$B$3&amp;U612&amp;V612&amp;A612&amp;$AC$6</f>
        <v>JARINU-FRG796433MQ.TUNEL DE CG (ESTATICO) (2)</v>
      </c>
      <c r="AD612" s="327">
        <f>IFERROR(SUMIF('BD Otimix'!A:A,'BD VOLUME'!X612,'BD Otimix'!O:O)+SUMIF('BD Otimix'!A:A,'BD VOLUME'!Y612,'BD Otimix'!O:O)+SUMIF('BD Otimix'!A:A,'BD VOLUME'!Z612,'BD Otimix'!O:O)+SUMIF('BD Otimix'!A:A,'BD VOLUME'!AA612,'BD Otimix'!O:O)+SUMIF('BD Otimix'!A:A,'BD VOLUME'!AB612,'BD Otimix'!O:O)+SUMIF('BD Otimix'!A:A,'BD VOLUME'!AC612,'BD Otimix'!O:O)+SUMIF('BD Otimix'!A:A,'BD VOLUME'!W612,'BD Otimix'!O:O),0)</f>
        <v>0</v>
      </c>
      <c r="AE612" s="327">
        <f t="shared" si="211"/>
        <v>0</v>
      </c>
      <c r="AF612" s="7" t="str">
        <f>Preencher!$B$3&amp;$U$8&amp;$V$8&amp;A612&amp;$AF$6</f>
        <v>JARINU-FRG796433MQ.GIROFREEZER</v>
      </c>
      <c r="AG612" s="7" t="str">
        <f>Preencher!$B$3&amp;$U$8&amp;$V$8&amp;A612&amp;$AG$6</f>
        <v>JARINU-FRG796433MQ.GIROFREEZER (1)</v>
      </c>
      <c r="AH612" s="7" t="str">
        <f>Preencher!$B$3&amp;$U$8&amp;$V$8&amp;A612&amp;$AH$6</f>
        <v>JARINU-FRG796433MQ.GIROFREEZER (2)</v>
      </c>
      <c r="AI612" s="7" t="str">
        <f>Preencher!$B$3&amp;$U$8&amp;$V$8&amp;A612&amp;$AI$6</f>
        <v>JARINU-FRG796433MQ.GIROFREEZER REV04</v>
      </c>
      <c r="AJ612" s="7" t="str">
        <f>Preencher!$B$3&amp;$U$8&amp;$V$8&amp;A612&amp;$AJ$6</f>
        <v>JARINU-FRG796433MQ.GIROFREEZER (3)</v>
      </c>
      <c r="AK612" s="327">
        <f>IFERROR(SUMIF('BD Otimix'!A:A,'BD VOLUME'!AG612,'BD Otimix'!O:O)+SUMIF('BD Otimix'!A:A,'BD VOLUME'!AH612,'BD Otimix'!O:O)+SUMIF('BD Otimix'!A:A,'BD VOLUME'!AI612,'BD Otimix'!O:O)+SUMIF('BD Otimix'!A:A,'BD VOLUME'!AJ612,'BD Otimix'!O:O)+SUMIF('BD Otimix'!A:A,'BD VOLUME'!AF612,'BD Otimix'!O:O),0)</f>
        <v>0</v>
      </c>
      <c r="AL612" s="7">
        <f t="shared" si="212"/>
        <v>0</v>
      </c>
    </row>
    <row r="613" spans="1:38">
      <c r="A613" s="128">
        <v>40343</v>
      </c>
      <c r="B613" s="128"/>
      <c r="C613" s="5" t="s">
        <v>1663</v>
      </c>
      <c r="D613" s="5" t="s">
        <v>922</v>
      </c>
      <c r="E613" s="5" t="s">
        <v>1760</v>
      </c>
      <c r="F613" s="132">
        <f>SUMIF('COLAR PLANO'!$A:$A,A613,'COLAR PLANO'!$D:$D)</f>
        <v>0</v>
      </c>
      <c r="G613" s="131">
        <f t="shared" si="206"/>
        <v>0</v>
      </c>
      <c r="H613" s="6">
        <v>4.0269633576350924E-2</v>
      </c>
      <c r="I613" s="7">
        <f t="shared" si="207"/>
        <v>0</v>
      </c>
      <c r="J613" s="130">
        <f t="shared" si="208"/>
        <v>0</v>
      </c>
      <c r="K613" s="253">
        <v>1</v>
      </c>
      <c r="L613" s="253">
        <v>18</v>
      </c>
      <c r="M613" s="253">
        <v>18</v>
      </c>
      <c r="N613" s="7">
        <f t="shared" si="209"/>
        <v>0</v>
      </c>
      <c r="O613" s="7"/>
      <c r="P613" s="7">
        <f t="shared" si="210"/>
        <v>0</v>
      </c>
      <c r="Q613" s="7"/>
      <c r="R613" s="7"/>
      <c r="S613" s="7"/>
      <c r="T613" s="7"/>
      <c r="U613" s="7" t="s">
        <v>2288</v>
      </c>
      <c r="V613" s="7" t="s">
        <v>2289</v>
      </c>
      <c r="W613" s="7" t="str">
        <f>Preencher!$B$3&amp;U613&amp;V613&amp;A613&amp;$W$6</f>
        <v>JARINU-FRG40343MQ.TUNEL DE CG (CONTINUO)</v>
      </c>
      <c r="X613" s="7" t="str">
        <f>Preencher!$B$3&amp;U613&amp;V613&amp;A613&amp;$X$6</f>
        <v>JARINU-FRG40343MQ.TUNEL DE CG (CONTINUO) (1)</v>
      </c>
      <c r="Y613" s="7" t="str">
        <f>Preencher!$B$3&amp;U613&amp;V613&amp;A613&amp;$Y$6</f>
        <v>JARINU-FRG40343MQ.TUNEL DE CG (CONTINUO) (2)</v>
      </c>
      <c r="Z613" s="7" t="str">
        <f>Preencher!$B$3&amp;U613&amp;V613&amp;A613&amp;$Z$6</f>
        <v>JARINU-FRG40343MQ.TUNEL DE CG (CONTINUO) (3)</v>
      </c>
      <c r="AA613" s="7" t="str">
        <f>Preencher!$B$3&amp;U613&amp;V613&amp;A613&amp;$AA$6</f>
        <v>JARINU-FRG40343MQ.TUNEL DE CG (ESTATICO)</v>
      </c>
      <c r="AB613" s="7" t="str">
        <f>Preencher!$B$3&amp;U613&amp;V613&amp;A613&amp;$AB$6</f>
        <v>JARINU-FRG40343MQ.TUNEL DE CG (ESTATICO) (1)</v>
      </c>
      <c r="AC613" s="7" t="str">
        <f>Preencher!$B$3&amp;U613&amp;V613&amp;A613&amp;$AC$6</f>
        <v>JARINU-FRG40343MQ.TUNEL DE CG (ESTATICO) (2)</v>
      </c>
      <c r="AD613" s="327">
        <f>IFERROR(SUMIF('BD Otimix'!A:A,'BD VOLUME'!X613,'BD Otimix'!O:O)+SUMIF('BD Otimix'!A:A,'BD VOLUME'!Y613,'BD Otimix'!O:O)+SUMIF('BD Otimix'!A:A,'BD VOLUME'!Z613,'BD Otimix'!O:O)+SUMIF('BD Otimix'!A:A,'BD VOLUME'!AA613,'BD Otimix'!O:O)+SUMIF('BD Otimix'!A:A,'BD VOLUME'!AB613,'BD Otimix'!O:O)+SUMIF('BD Otimix'!A:A,'BD VOLUME'!AC613,'BD Otimix'!O:O)+SUMIF('BD Otimix'!A:A,'BD VOLUME'!W613,'BD Otimix'!O:O),0)</f>
        <v>0</v>
      </c>
      <c r="AE613" s="327">
        <f t="shared" si="211"/>
        <v>0</v>
      </c>
      <c r="AF613" s="7" t="str">
        <f>Preencher!$B$3&amp;$U$8&amp;$V$8&amp;A613&amp;$AF$6</f>
        <v>JARINU-FRG40343MQ.GIROFREEZER</v>
      </c>
      <c r="AG613" s="7" t="str">
        <f>Preencher!$B$3&amp;$U$8&amp;$V$8&amp;A613&amp;$AG$6</f>
        <v>JARINU-FRG40343MQ.GIROFREEZER (1)</v>
      </c>
      <c r="AH613" s="7" t="str">
        <f>Preencher!$B$3&amp;$U$8&amp;$V$8&amp;A613&amp;$AH$6</f>
        <v>JARINU-FRG40343MQ.GIROFREEZER (2)</v>
      </c>
      <c r="AI613" s="7" t="str">
        <f>Preencher!$B$3&amp;$U$8&amp;$V$8&amp;A613&amp;$AI$6</f>
        <v>JARINU-FRG40343MQ.GIROFREEZER REV04</v>
      </c>
      <c r="AJ613" s="7" t="str">
        <f>Preencher!$B$3&amp;$U$8&amp;$V$8&amp;A613&amp;$AJ$6</f>
        <v>JARINU-FRG40343MQ.GIROFREEZER (3)</v>
      </c>
      <c r="AK613" s="327">
        <f>IFERROR(SUMIF('BD Otimix'!A:A,'BD VOLUME'!AG613,'BD Otimix'!O:O)+SUMIF('BD Otimix'!A:A,'BD VOLUME'!AH613,'BD Otimix'!O:O)+SUMIF('BD Otimix'!A:A,'BD VOLUME'!AI613,'BD Otimix'!O:O)+SUMIF('BD Otimix'!A:A,'BD VOLUME'!AJ613,'BD Otimix'!O:O)+SUMIF('BD Otimix'!A:A,'BD VOLUME'!AF613,'BD Otimix'!O:O),0)</f>
        <v>0</v>
      </c>
      <c r="AL613" s="7">
        <f t="shared" si="212"/>
        <v>0</v>
      </c>
    </row>
    <row r="614" spans="1:38">
      <c r="A614" s="417">
        <v>962120</v>
      </c>
      <c r="B614" s="417"/>
      <c r="C614" s="5" t="s">
        <v>1674</v>
      </c>
      <c r="D614" s="5" t="s">
        <v>922</v>
      </c>
      <c r="E614" s="5" t="s">
        <v>1017</v>
      </c>
      <c r="F614" s="132">
        <f>SUMIF('COLAR PLANO'!$A:$A,A614,'COLAR PLANO'!$D:$D)</f>
        <v>0</v>
      </c>
      <c r="G614" s="131">
        <f t="shared" si="206"/>
        <v>0</v>
      </c>
      <c r="H614" s="6">
        <v>4.0269633576350924E-2</v>
      </c>
      <c r="I614" s="7">
        <f t="shared" ref="I614:I640" si="213">IFERROR(G614/$D$3/H614,0)</f>
        <v>0</v>
      </c>
      <c r="J614" s="130">
        <f t="shared" ref="J614:J642" si="214">IFERROR(I614/$B$3,0)</f>
        <v>0</v>
      </c>
      <c r="K614" s="417">
        <v>1</v>
      </c>
      <c r="L614" s="417">
        <v>18</v>
      </c>
      <c r="M614" s="417">
        <v>18</v>
      </c>
      <c r="N614" s="7">
        <f t="shared" si="209"/>
        <v>0</v>
      </c>
      <c r="O614" s="7"/>
      <c r="P614" s="7">
        <f t="shared" ref="P614:P640" si="215">IFERROR(G614/M614,0)</f>
        <v>0</v>
      </c>
      <c r="Q614" s="7"/>
      <c r="R614" s="7"/>
      <c r="S614" s="7"/>
      <c r="T614" s="7"/>
      <c r="U614" s="7" t="s">
        <v>2288</v>
      </c>
      <c r="V614" s="7" t="s">
        <v>2289</v>
      </c>
      <c r="W614" s="7" t="str">
        <f>Preencher!$B$3&amp;U614&amp;V614&amp;A614&amp;$W$6</f>
        <v>JARINU-FRG962120MQ.TUNEL DE CG (CONTINUO)</v>
      </c>
      <c r="X614" s="7" t="str">
        <f>Preencher!$B$3&amp;U614&amp;V614&amp;A614&amp;$X$6</f>
        <v>JARINU-FRG962120MQ.TUNEL DE CG (CONTINUO) (1)</v>
      </c>
      <c r="Y614" s="7" t="str">
        <f>Preencher!$B$3&amp;U614&amp;V614&amp;A614&amp;$Y$6</f>
        <v>JARINU-FRG962120MQ.TUNEL DE CG (CONTINUO) (2)</v>
      </c>
      <c r="Z614" s="7" t="str">
        <f>Preencher!$B$3&amp;U614&amp;V614&amp;A614&amp;$Z$6</f>
        <v>JARINU-FRG962120MQ.TUNEL DE CG (CONTINUO) (3)</v>
      </c>
      <c r="AA614" s="7" t="str">
        <f>Preencher!$B$3&amp;U614&amp;V614&amp;A614&amp;$AA$6</f>
        <v>JARINU-FRG962120MQ.TUNEL DE CG (ESTATICO)</v>
      </c>
      <c r="AB614" s="7" t="str">
        <f>Preencher!$B$3&amp;U614&amp;V614&amp;A614&amp;$AB$6</f>
        <v>JARINU-FRG962120MQ.TUNEL DE CG (ESTATICO) (1)</v>
      </c>
      <c r="AC614" s="7" t="str">
        <f>Preencher!$B$3&amp;U614&amp;V614&amp;A614&amp;$AC$6</f>
        <v>JARINU-FRG962120MQ.TUNEL DE CG (ESTATICO) (2)</v>
      </c>
      <c r="AD614" s="327">
        <f>IFERROR(SUMIF('BD Otimix'!A:A,'BD VOLUME'!X614,'BD Otimix'!O:O)+SUMIF('BD Otimix'!A:A,'BD VOLUME'!Y614,'BD Otimix'!O:O)+SUMIF('BD Otimix'!A:A,'BD VOLUME'!Z614,'BD Otimix'!O:O)+SUMIF('BD Otimix'!A:A,'BD VOLUME'!AA614,'BD Otimix'!O:O)+SUMIF('BD Otimix'!A:A,'BD VOLUME'!AB614,'BD Otimix'!O:O)+SUMIF('BD Otimix'!A:A,'BD VOLUME'!AC614,'BD Otimix'!O:O)+SUMIF('BD Otimix'!A:A,'BD VOLUME'!W614,'BD Otimix'!O:O),0)</f>
        <v>0</v>
      </c>
      <c r="AE614" s="327">
        <f t="shared" si="211"/>
        <v>0</v>
      </c>
      <c r="AF614" s="7" t="str">
        <f>Preencher!$B$3&amp;$U$8&amp;$V$8&amp;A614&amp;$AF$6</f>
        <v>JARINU-FRG962120MQ.GIROFREEZER</v>
      </c>
      <c r="AG614" s="7" t="str">
        <f>Preencher!$B$3&amp;$U$8&amp;$V$8&amp;A614&amp;$AG$6</f>
        <v>JARINU-FRG962120MQ.GIROFREEZER (1)</v>
      </c>
      <c r="AH614" s="7" t="str">
        <f>Preencher!$B$3&amp;$U$8&amp;$V$8&amp;A614&amp;$AH$6</f>
        <v>JARINU-FRG962120MQ.GIROFREEZER (2)</v>
      </c>
      <c r="AI614" s="7" t="str">
        <f>Preencher!$B$3&amp;$U$8&amp;$V$8&amp;A614&amp;$AI$6</f>
        <v>JARINU-FRG962120MQ.GIROFREEZER REV04</v>
      </c>
      <c r="AJ614" s="7" t="str">
        <f>Preencher!$B$3&amp;$U$8&amp;$V$8&amp;A614&amp;$AJ$6</f>
        <v>JARINU-FRG962120MQ.GIROFREEZER (3)</v>
      </c>
      <c r="AK614" s="327">
        <f>IFERROR(SUMIF('BD Otimix'!A:A,'BD VOLUME'!AG614,'BD Otimix'!O:O)+SUMIF('BD Otimix'!A:A,'BD VOLUME'!AH614,'BD Otimix'!O:O)+SUMIF('BD Otimix'!A:A,'BD VOLUME'!AI614,'BD Otimix'!O:O)+SUMIF('BD Otimix'!A:A,'BD VOLUME'!AJ614,'BD Otimix'!O:O)+SUMIF('BD Otimix'!A:A,'BD VOLUME'!AF614,'BD Otimix'!O:O),0)</f>
        <v>0</v>
      </c>
      <c r="AL614" s="7">
        <f t="shared" si="212"/>
        <v>0</v>
      </c>
    </row>
    <row r="615" spans="1:38">
      <c r="A615" s="417">
        <v>962163</v>
      </c>
      <c r="B615" s="417"/>
      <c r="C615" s="5" t="s">
        <v>1677</v>
      </c>
      <c r="D615" s="5" t="s">
        <v>922</v>
      </c>
      <c r="E615" s="5" t="s">
        <v>1017</v>
      </c>
      <c r="F615" s="132">
        <f>SUMIF('COLAR PLANO'!$A:$A,A615,'COLAR PLANO'!$D:$D)</f>
        <v>0</v>
      </c>
      <c r="G615" s="131">
        <f t="shared" si="206"/>
        <v>0</v>
      </c>
      <c r="H615" s="6">
        <v>4.0269633576350924E-2</v>
      </c>
      <c r="I615" s="7">
        <f t="shared" si="213"/>
        <v>0</v>
      </c>
      <c r="J615" s="130">
        <f t="shared" si="214"/>
        <v>0</v>
      </c>
      <c r="K615" s="417">
        <v>1</v>
      </c>
      <c r="L615" s="417">
        <v>18</v>
      </c>
      <c r="M615" s="417">
        <v>18</v>
      </c>
      <c r="N615" s="7">
        <f t="shared" si="209"/>
        <v>0</v>
      </c>
      <c r="O615" s="7"/>
      <c r="P615" s="7">
        <f t="shared" si="215"/>
        <v>0</v>
      </c>
      <c r="Q615" s="7"/>
      <c r="R615" s="7"/>
      <c r="S615" s="7"/>
      <c r="T615" s="7"/>
      <c r="U615" s="7" t="s">
        <v>2288</v>
      </c>
      <c r="V615" s="7" t="s">
        <v>2289</v>
      </c>
      <c r="W615" s="7" t="str">
        <f>Preencher!$B$3&amp;U615&amp;V615&amp;A615&amp;$W$6</f>
        <v>JARINU-FRG962163MQ.TUNEL DE CG (CONTINUO)</v>
      </c>
      <c r="X615" s="7" t="str">
        <f>Preencher!$B$3&amp;U615&amp;V615&amp;A615&amp;$X$6</f>
        <v>JARINU-FRG962163MQ.TUNEL DE CG (CONTINUO) (1)</v>
      </c>
      <c r="Y615" s="7" t="str">
        <f>Preencher!$B$3&amp;U615&amp;V615&amp;A615&amp;$Y$6</f>
        <v>JARINU-FRG962163MQ.TUNEL DE CG (CONTINUO) (2)</v>
      </c>
      <c r="Z615" s="7" t="str">
        <f>Preencher!$B$3&amp;U615&amp;V615&amp;A615&amp;$Z$6</f>
        <v>JARINU-FRG962163MQ.TUNEL DE CG (CONTINUO) (3)</v>
      </c>
      <c r="AA615" s="7" t="str">
        <f>Preencher!$B$3&amp;U615&amp;V615&amp;A615&amp;$AA$6</f>
        <v>JARINU-FRG962163MQ.TUNEL DE CG (ESTATICO)</v>
      </c>
      <c r="AB615" s="7" t="str">
        <f>Preencher!$B$3&amp;U615&amp;V615&amp;A615&amp;$AB$6</f>
        <v>JARINU-FRG962163MQ.TUNEL DE CG (ESTATICO) (1)</v>
      </c>
      <c r="AC615" s="7" t="str">
        <f>Preencher!$B$3&amp;U615&amp;V615&amp;A615&amp;$AC$6</f>
        <v>JARINU-FRG962163MQ.TUNEL DE CG (ESTATICO) (2)</v>
      </c>
      <c r="AD615" s="327">
        <f>IFERROR(SUMIF('BD Otimix'!A:A,'BD VOLUME'!X615,'BD Otimix'!O:O)+SUMIF('BD Otimix'!A:A,'BD VOLUME'!Y615,'BD Otimix'!O:O)+SUMIF('BD Otimix'!A:A,'BD VOLUME'!Z615,'BD Otimix'!O:O)+SUMIF('BD Otimix'!A:A,'BD VOLUME'!AA615,'BD Otimix'!O:O)+SUMIF('BD Otimix'!A:A,'BD VOLUME'!AB615,'BD Otimix'!O:O)+SUMIF('BD Otimix'!A:A,'BD VOLUME'!AC615,'BD Otimix'!O:O)+SUMIF('BD Otimix'!A:A,'BD VOLUME'!W615,'BD Otimix'!O:O),0)</f>
        <v>0</v>
      </c>
      <c r="AE615" s="327">
        <f t="shared" si="211"/>
        <v>0</v>
      </c>
      <c r="AF615" s="7" t="str">
        <f>Preencher!$B$3&amp;$U$8&amp;$V$8&amp;A615&amp;$AF$6</f>
        <v>JARINU-FRG962163MQ.GIROFREEZER</v>
      </c>
      <c r="AG615" s="7" t="str">
        <f>Preencher!$B$3&amp;$U$8&amp;$V$8&amp;A615&amp;$AG$6</f>
        <v>JARINU-FRG962163MQ.GIROFREEZER (1)</v>
      </c>
      <c r="AH615" s="7" t="str">
        <f>Preencher!$B$3&amp;$U$8&amp;$V$8&amp;A615&amp;$AH$6</f>
        <v>JARINU-FRG962163MQ.GIROFREEZER (2)</v>
      </c>
      <c r="AI615" s="7" t="str">
        <f>Preencher!$B$3&amp;$U$8&amp;$V$8&amp;A615&amp;$AI$6</f>
        <v>JARINU-FRG962163MQ.GIROFREEZER REV04</v>
      </c>
      <c r="AJ615" s="7" t="str">
        <f>Preencher!$B$3&amp;$U$8&amp;$V$8&amp;A615&amp;$AJ$6</f>
        <v>JARINU-FRG962163MQ.GIROFREEZER (3)</v>
      </c>
      <c r="AK615" s="327">
        <f>IFERROR(SUMIF('BD Otimix'!A:A,'BD VOLUME'!AG615,'BD Otimix'!O:O)+SUMIF('BD Otimix'!A:A,'BD VOLUME'!AH615,'BD Otimix'!O:O)+SUMIF('BD Otimix'!A:A,'BD VOLUME'!AI615,'BD Otimix'!O:O)+SUMIF('BD Otimix'!A:A,'BD VOLUME'!AJ615,'BD Otimix'!O:O)+SUMIF('BD Otimix'!A:A,'BD VOLUME'!AF615,'BD Otimix'!O:O),0)</f>
        <v>0</v>
      </c>
      <c r="AL615" s="7">
        <f t="shared" si="212"/>
        <v>0</v>
      </c>
    </row>
    <row r="616" spans="1:38">
      <c r="A616" s="417">
        <v>962244</v>
      </c>
      <c r="B616" s="417"/>
      <c r="C616" s="5" t="s">
        <v>1681</v>
      </c>
      <c r="D616" s="5" t="s">
        <v>922</v>
      </c>
      <c r="E616" s="5" t="s">
        <v>1017</v>
      </c>
      <c r="F616" s="132">
        <f>SUMIF('COLAR PLANO'!$A:$A,A616,'COLAR PLANO'!$D:$D)</f>
        <v>0</v>
      </c>
      <c r="G616" s="131">
        <f t="shared" si="206"/>
        <v>0</v>
      </c>
      <c r="H616" s="6">
        <v>4.0269633576350924E-2</v>
      </c>
      <c r="I616" s="7">
        <f t="shared" si="213"/>
        <v>0</v>
      </c>
      <c r="J616" s="130">
        <f t="shared" si="214"/>
        <v>0</v>
      </c>
      <c r="K616" s="417">
        <v>1</v>
      </c>
      <c r="L616" s="417">
        <v>18</v>
      </c>
      <c r="M616" s="417">
        <v>18</v>
      </c>
      <c r="N616" s="7">
        <f t="shared" si="209"/>
        <v>0</v>
      </c>
      <c r="O616" s="7"/>
      <c r="P616" s="7">
        <f t="shared" si="215"/>
        <v>0</v>
      </c>
      <c r="Q616" s="7"/>
      <c r="R616" s="7"/>
      <c r="S616" s="7"/>
      <c r="T616" s="7"/>
      <c r="U616" s="7" t="s">
        <v>2288</v>
      </c>
      <c r="V616" s="7" t="s">
        <v>2289</v>
      </c>
      <c r="W616" s="7" t="str">
        <f>Preencher!$B$3&amp;U616&amp;V616&amp;A616&amp;$W$6</f>
        <v>JARINU-FRG962244MQ.TUNEL DE CG (CONTINUO)</v>
      </c>
      <c r="X616" s="7" t="str">
        <f>Preencher!$B$3&amp;U616&amp;V616&amp;A616&amp;$X$6</f>
        <v>JARINU-FRG962244MQ.TUNEL DE CG (CONTINUO) (1)</v>
      </c>
      <c r="Y616" s="7" t="str">
        <f>Preencher!$B$3&amp;U616&amp;V616&amp;A616&amp;$Y$6</f>
        <v>JARINU-FRG962244MQ.TUNEL DE CG (CONTINUO) (2)</v>
      </c>
      <c r="Z616" s="7" t="str">
        <f>Preencher!$B$3&amp;U616&amp;V616&amp;A616&amp;$Z$6</f>
        <v>JARINU-FRG962244MQ.TUNEL DE CG (CONTINUO) (3)</v>
      </c>
      <c r="AA616" s="7" t="str">
        <f>Preencher!$B$3&amp;U616&amp;V616&amp;A616&amp;$AA$6</f>
        <v>JARINU-FRG962244MQ.TUNEL DE CG (ESTATICO)</v>
      </c>
      <c r="AB616" s="7" t="str">
        <f>Preencher!$B$3&amp;U616&amp;V616&amp;A616&amp;$AB$6</f>
        <v>JARINU-FRG962244MQ.TUNEL DE CG (ESTATICO) (1)</v>
      </c>
      <c r="AC616" s="7" t="str">
        <f>Preencher!$B$3&amp;U616&amp;V616&amp;A616&amp;$AC$6</f>
        <v>JARINU-FRG962244MQ.TUNEL DE CG (ESTATICO) (2)</v>
      </c>
      <c r="AD616" s="327">
        <f>IFERROR(SUMIF('BD Otimix'!A:A,'BD VOLUME'!X616,'BD Otimix'!O:O)+SUMIF('BD Otimix'!A:A,'BD VOLUME'!Y616,'BD Otimix'!O:O)+SUMIF('BD Otimix'!A:A,'BD VOLUME'!Z616,'BD Otimix'!O:O)+SUMIF('BD Otimix'!A:A,'BD VOLUME'!AA616,'BD Otimix'!O:O)+SUMIF('BD Otimix'!A:A,'BD VOLUME'!AB616,'BD Otimix'!O:O)+SUMIF('BD Otimix'!A:A,'BD VOLUME'!AC616,'BD Otimix'!O:O)+SUMIF('BD Otimix'!A:A,'BD VOLUME'!W616,'BD Otimix'!O:O),0)</f>
        <v>0</v>
      </c>
      <c r="AE616" s="327">
        <f t="shared" si="211"/>
        <v>0</v>
      </c>
      <c r="AF616" s="7" t="str">
        <f>Preencher!$B$3&amp;$U$8&amp;$V$8&amp;A616&amp;$AF$6</f>
        <v>JARINU-FRG962244MQ.GIROFREEZER</v>
      </c>
      <c r="AG616" s="7" t="str">
        <f>Preencher!$B$3&amp;$U$8&amp;$V$8&amp;A616&amp;$AG$6</f>
        <v>JARINU-FRG962244MQ.GIROFREEZER (1)</v>
      </c>
      <c r="AH616" s="7" t="str">
        <f>Preencher!$B$3&amp;$U$8&amp;$V$8&amp;A616&amp;$AH$6</f>
        <v>JARINU-FRG962244MQ.GIROFREEZER (2)</v>
      </c>
      <c r="AI616" s="7" t="str">
        <f>Preencher!$B$3&amp;$U$8&amp;$V$8&amp;A616&amp;$AI$6</f>
        <v>JARINU-FRG962244MQ.GIROFREEZER REV04</v>
      </c>
      <c r="AJ616" s="7" t="str">
        <f>Preencher!$B$3&amp;$U$8&amp;$V$8&amp;A616&amp;$AJ$6</f>
        <v>JARINU-FRG962244MQ.GIROFREEZER (3)</v>
      </c>
      <c r="AK616" s="327">
        <f>IFERROR(SUMIF('BD Otimix'!A:A,'BD VOLUME'!AG616,'BD Otimix'!O:O)+SUMIF('BD Otimix'!A:A,'BD VOLUME'!AH616,'BD Otimix'!O:O)+SUMIF('BD Otimix'!A:A,'BD VOLUME'!AI616,'BD Otimix'!O:O)+SUMIF('BD Otimix'!A:A,'BD VOLUME'!AJ616,'BD Otimix'!O:O)+SUMIF('BD Otimix'!A:A,'BD VOLUME'!AF616,'BD Otimix'!O:O),0)</f>
        <v>0</v>
      </c>
      <c r="AL616" s="7">
        <f t="shared" si="212"/>
        <v>0</v>
      </c>
    </row>
    <row r="617" spans="1:38">
      <c r="A617" s="417">
        <v>963925</v>
      </c>
      <c r="B617" s="417"/>
      <c r="C617" s="5" t="s">
        <v>1683</v>
      </c>
      <c r="D617" s="5" t="s">
        <v>922</v>
      </c>
      <c r="E617" s="5" t="s">
        <v>1017</v>
      </c>
      <c r="F617" s="132">
        <f>SUMIF('COLAR PLANO'!$A:$A,A617,'COLAR PLANO'!$D:$D)</f>
        <v>0</v>
      </c>
      <c r="G617" s="131">
        <f t="shared" si="206"/>
        <v>0</v>
      </c>
      <c r="H617" s="6">
        <v>4.0269633576350924E-2</v>
      </c>
      <c r="I617" s="7">
        <f t="shared" si="213"/>
        <v>0</v>
      </c>
      <c r="J617" s="130">
        <f t="shared" si="214"/>
        <v>0</v>
      </c>
      <c r="K617" s="417">
        <v>1</v>
      </c>
      <c r="L617" s="417">
        <v>18</v>
      </c>
      <c r="M617" s="417">
        <v>18</v>
      </c>
      <c r="N617" s="7">
        <f t="shared" si="209"/>
        <v>0</v>
      </c>
      <c r="O617" s="7"/>
      <c r="P617" s="7">
        <f t="shared" si="215"/>
        <v>0</v>
      </c>
      <c r="Q617" s="7"/>
      <c r="R617" s="7"/>
      <c r="S617" s="7"/>
      <c r="T617" s="7"/>
      <c r="U617" s="7" t="s">
        <v>2288</v>
      </c>
      <c r="V617" s="7" t="s">
        <v>2289</v>
      </c>
      <c r="W617" s="7" t="str">
        <f>Preencher!$B$3&amp;U617&amp;V617&amp;A617&amp;$W$6</f>
        <v>JARINU-FRG963925MQ.TUNEL DE CG (CONTINUO)</v>
      </c>
      <c r="X617" s="7" t="str">
        <f>Preencher!$B$3&amp;U617&amp;V617&amp;A617&amp;$X$6</f>
        <v>JARINU-FRG963925MQ.TUNEL DE CG (CONTINUO) (1)</v>
      </c>
      <c r="Y617" s="7" t="str">
        <f>Preencher!$B$3&amp;U617&amp;V617&amp;A617&amp;$Y$6</f>
        <v>JARINU-FRG963925MQ.TUNEL DE CG (CONTINUO) (2)</v>
      </c>
      <c r="Z617" s="7" t="str">
        <f>Preencher!$B$3&amp;U617&amp;V617&amp;A617&amp;$Z$6</f>
        <v>JARINU-FRG963925MQ.TUNEL DE CG (CONTINUO) (3)</v>
      </c>
      <c r="AA617" s="7" t="str">
        <f>Preencher!$B$3&amp;U617&amp;V617&amp;A617&amp;$AA$6</f>
        <v>JARINU-FRG963925MQ.TUNEL DE CG (ESTATICO)</v>
      </c>
      <c r="AB617" s="7" t="str">
        <f>Preencher!$B$3&amp;U617&amp;V617&amp;A617&amp;$AB$6</f>
        <v>JARINU-FRG963925MQ.TUNEL DE CG (ESTATICO) (1)</v>
      </c>
      <c r="AC617" s="7" t="str">
        <f>Preencher!$B$3&amp;U617&amp;V617&amp;A617&amp;$AC$6</f>
        <v>JARINU-FRG963925MQ.TUNEL DE CG (ESTATICO) (2)</v>
      </c>
      <c r="AD617" s="327">
        <f>IFERROR(SUMIF('BD Otimix'!A:A,'BD VOLUME'!X617,'BD Otimix'!O:O)+SUMIF('BD Otimix'!A:A,'BD VOLUME'!Y617,'BD Otimix'!O:O)+SUMIF('BD Otimix'!A:A,'BD VOLUME'!Z617,'BD Otimix'!O:O)+SUMIF('BD Otimix'!A:A,'BD VOLUME'!AA617,'BD Otimix'!O:O)+SUMIF('BD Otimix'!A:A,'BD VOLUME'!AB617,'BD Otimix'!O:O)+SUMIF('BD Otimix'!A:A,'BD VOLUME'!AC617,'BD Otimix'!O:O)+SUMIF('BD Otimix'!A:A,'BD VOLUME'!W617,'BD Otimix'!O:O),0)</f>
        <v>0</v>
      </c>
      <c r="AE617" s="327">
        <f t="shared" si="211"/>
        <v>0</v>
      </c>
      <c r="AF617" s="7" t="str">
        <f>Preencher!$B$3&amp;$U$8&amp;$V$8&amp;A617&amp;$AF$6</f>
        <v>JARINU-FRG963925MQ.GIROFREEZER</v>
      </c>
      <c r="AG617" s="7" t="str">
        <f>Preencher!$B$3&amp;$U$8&amp;$V$8&amp;A617&amp;$AG$6</f>
        <v>JARINU-FRG963925MQ.GIROFREEZER (1)</v>
      </c>
      <c r="AH617" s="7" t="str">
        <f>Preencher!$B$3&amp;$U$8&amp;$V$8&amp;A617&amp;$AH$6</f>
        <v>JARINU-FRG963925MQ.GIROFREEZER (2)</v>
      </c>
      <c r="AI617" s="7" t="str">
        <f>Preencher!$B$3&amp;$U$8&amp;$V$8&amp;A617&amp;$AI$6</f>
        <v>JARINU-FRG963925MQ.GIROFREEZER REV04</v>
      </c>
      <c r="AJ617" s="7" t="str">
        <f>Preencher!$B$3&amp;$U$8&amp;$V$8&amp;A617&amp;$AJ$6</f>
        <v>JARINU-FRG963925MQ.GIROFREEZER (3)</v>
      </c>
      <c r="AK617" s="327">
        <f>IFERROR(SUMIF('BD Otimix'!A:A,'BD VOLUME'!AG617,'BD Otimix'!O:O)+SUMIF('BD Otimix'!A:A,'BD VOLUME'!AH617,'BD Otimix'!O:O)+SUMIF('BD Otimix'!A:A,'BD VOLUME'!AI617,'BD Otimix'!O:O)+SUMIF('BD Otimix'!A:A,'BD VOLUME'!AJ617,'BD Otimix'!O:O)+SUMIF('BD Otimix'!A:A,'BD VOLUME'!AF617,'BD Otimix'!O:O),0)</f>
        <v>0</v>
      </c>
      <c r="AL617" s="7">
        <f t="shared" si="212"/>
        <v>0</v>
      </c>
    </row>
    <row r="618" spans="1:38">
      <c r="A618" s="645">
        <v>990397</v>
      </c>
      <c r="B618" s="645"/>
      <c r="C618" s="5" t="s">
        <v>5354</v>
      </c>
      <c r="D618" s="5" t="s">
        <v>922</v>
      </c>
      <c r="E618" s="5" t="s">
        <v>1015</v>
      </c>
      <c r="F618" s="132">
        <f>SUMIF('COLAR PLANO'!$A:$A,A618,'COLAR PLANO'!$D:$D)</f>
        <v>1094.4000000000001</v>
      </c>
      <c r="G618" s="131">
        <f t="shared" si="206"/>
        <v>5.1953477332067424</v>
      </c>
      <c r="H618" s="6">
        <v>4.0269633576350924E-2</v>
      </c>
      <c r="I618" s="7">
        <f t="shared" si="213"/>
        <v>43.004676823098826</v>
      </c>
      <c r="J618" s="130">
        <f t="shared" si="214"/>
        <v>9.1504395684704719E-3</v>
      </c>
      <c r="K618" s="645">
        <v>1</v>
      </c>
      <c r="L618" s="645">
        <v>12</v>
      </c>
      <c r="M618" s="645">
        <v>12</v>
      </c>
      <c r="N618" s="7">
        <f t="shared" si="209"/>
        <v>5.1953477332067424</v>
      </c>
      <c r="O618" s="7"/>
      <c r="P618" s="7">
        <f t="shared" si="215"/>
        <v>0.43294564443389522</v>
      </c>
      <c r="Q618" s="7"/>
      <c r="R618" s="7"/>
      <c r="S618" s="7"/>
      <c r="T618" s="7"/>
      <c r="U618" s="7" t="s">
        <v>2288</v>
      </c>
      <c r="V618" s="7" t="s">
        <v>2289</v>
      </c>
      <c r="W618" s="7" t="str">
        <f>Preencher!$B$3&amp;U618&amp;V618&amp;A618&amp;$W$6</f>
        <v>JARINU-FRG990397MQ.TUNEL DE CG (CONTINUO)</v>
      </c>
      <c r="X618" s="7" t="str">
        <f>Preencher!$B$3&amp;U618&amp;V618&amp;A618&amp;$X$6</f>
        <v>JARINU-FRG990397MQ.TUNEL DE CG (CONTINUO) (1)</v>
      </c>
      <c r="Y618" s="7" t="str">
        <f>Preencher!$B$3&amp;U618&amp;V618&amp;A618&amp;$Y$6</f>
        <v>JARINU-FRG990397MQ.TUNEL DE CG (CONTINUO) (2)</v>
      </c>
      <c r="Z618" s="7" t="str">
        <f>Preencher!$B$3&amp;U618&amp;V618&amp;A618&amp;$Z$6</f>
        <v>JARINU-FRG990397MQ.TUNEL DE CG (CONTINUO) (3)</v>
      </c>
      <c r="AA618" s="7" t="str">
        <f>Preencher!$B$3&amp;U618&amp;V618&amp;A618&amp;$AA$6</f>
        <v>JARINU-FRG990397MQ.TUNEL DE CG (ESTATICO)</v>
      </c>
      <c r="AB618" s="7" t="str">
        <f>Preencher!$B$3&amp;U618&amp;V618&amp;A618&amp;$AB$6</f>
        <v>JARINU-FRG990397MQ.TUNEL DE CG (ESTATICO) (1)</v>
      </c>
      <c r="AC618" s="7" t="str">
        <f>Preencher!$B$3&amp;U618&amp;V618&amp;A618&amp;$AC$6</f>
        <v>JARINU-FRG990397MQ.TUNEL DE CG (ESTATICO) (2)</v>
      </c>
      <c r="AD618" s="327">
        <f>IFERROR(SUMIF('BD Otimix'!A:A,'BD VOLUME'!X618,'BD Otimix'!O:O)+SUMIF('BD Otimix'!A:A,'BD VOLUME'!Y618,'BD Otimix'!O:O)+SUMIF('BD Otimix'!A:A,'BD VOLUME'!Z618,'BD Otimix'!O:O)+SUMIF('BD Otimix'!A:A,'BD VOLUME'!AA618,'BD Otimix'!O:O)+SUMIF('BD Otimix'!A:A,'BD VOLUME'!AB618,'BD Otimix'!O:O)+SUMIF('BD Otimix'!A:A,'BD VOLUME'!AC618,'BD Otimix'!O:O)+SUMIF('BD Otimix'!A:A,'BD VOLUME'!W618,'BD Otimix'!O:O),0)</f>
        <v>0</v>
      </c>
      <c r="AE618" s="327">
        <f t="shared" si="211"/>
        <v>0</v>
      </c>
      <c r="AF618" s="7" t="str">
        <f>Preencher!$B$3&amp;$U$8&amp;$V$8&amp;A618&amp;$AF$6</f>
        <v>JARINU-FRG990397MQ.GIROFREEZER</v>
      </c>
      <c r="AG618" s="7" t="str">
        <f>Preencher!$B$3&amp;$U$8&amp;$V$8&amp;A618&amp;$AG$6</f>
        <v>JARINU-FRG990397MQ.GIROFREEZER (1)</v>
      </c>
      <c r="AH618" s="7" t="str">
        <f>Preencher!$B$3&amp;$U$8&amp;$V$8&amp;A618&amp;$AH$6</f>
        <v>JARINU-FRG990397MQ.GIROFREEZER (2)</v>
      </c>
      <c r="AI618" s="7" t="str">
        <f>Preencher!$B$3&amp;$U$8&amp;$V$8&amp;A618&amp;$AI$6</f>
        <v>JARINU-FRG990397MQ.GIROFREEZER REV04</v>
      </c>
      <c r="AJ618" s="7" t="str">
        <f>Preencher!$B$3&amp;$U$8&amp;$V$8&amp;A618&amp;$AJ$6</f>
        <v>JARINU-FRG990397MQ.GIROFREEZER (3)</v>
      </c>
      <c r="AK618" s="327">
        <f>IFERROR(SUMIF('BD Otimix'!A:A,'BD VOLUME'!AG618,'BD Otimix'!O:O)+SUMIF('BD Otimix'!A:A,'BD VOLUME'!AH618,'BD Otimix'!O:O)+SUMIF('BD Otimix'!A:A,'BD VOLUME'!AI618,'BD Otimix'!O:O)+SUMIF('BD Otimix'!A:A,'BD VOLUME'!AJ618,'BD Otimix'!O:O)+SUMIF('BD Otimix'!A:A,'BD VOLUME'!AF618,'BD Otimix'!O:O),0)</f>
        <v>0</v>
      </c>
      <c r="AL618" s="7">
        <f t="shared" si="212"/>
        <v>0</v>
      </c>
    </row>
    <row r="619" spans="1:38">
      <c r="A619" s="666">
        <v>728810</v>
      </c>
      <c r="B619" s="666" t="s">
        <v>2447</v>
      </c>
      <c r="C619" s="5" t="s">
        <v>2448</v>
      </c>
      <c r="D619" s="5" t="s">
        <v>922</v>
      </c>
      <c r="E619" s="5" t="s">
        <v>1018</v>
      </c>
      <c r="F619" s="132">
        <f>SUMIF('COLAR PLANO'!$A:$A,A619,'COLAR PLANO'!$D:$D)</f>
        <v>0</v>
      </c>
      <c r="G619" s="131">
        <f t="shared" si="206"/>
        <v>0</v>
      </c>
      <c r="H619" s="6">
        <v>4.0269633576350924E-2</v>
      </c>
      <c r="I619" s="7">
        <f t="shared" si="213"/>
        <v>0</v>
      </c>
      <c r="J619" s="130">
        <f t="shared" si="214"/>
        <v>0</v>
      </c>
      <c r="K619" s="666">
        <v>0.75</v>
      </c>
      <c r="L619" s="666">
        <v>16</v>
      </c>
      <c r="M619" s="666">
        <v>12</v>
      </c>
      <c r="N619" s="7">
        <f t="shared" si="209"/>
        <v>0</v>
      </c>
      <c r="O619" s="7"/>
      <c r="P619" s="7">
        <f t="shared" si="215"/>
        <v>0</v>
      </c>
      <c r="Q619" s="7"/>
      <c r="R619" s="7"/>
      <c r="S619" s="7"/>
      <c r="T619" s="7"/>
      <c r="U619" s="7" t="s">
        <v>2288</v>
      </c>
      <c r="V619" s="7" t="s">
        <v>2289</v>
      </c>
      <c r="W619" s="7" t="str">
        <f>Preencher!$B$3&amp;U619&amp;V619&amp;A619&amp;$W$6</f>
        <v>JARINU-FRG728810MQ.TUNEL DE CG (CONTINUO)</v>
      </c>
      <c r="X619" s="7" t="str">
        <f>Preencher!$B$3&amp;U619&amp;V619&amp;A619&amp;$X$6</f>
        <v>JARINU-FRG728810MQ.TUNEL DE CG (CONTINUO) (1)</v>
      </c>
      <c r="Y619" s="7" t="str">
        <f>Preencher!$B$3&amp;U619&amp;V619&amp;A619&amp;$Y$6</f>
        <v>JARINU-FRG728810MQ.TUNEL DE CG (CONTINUO) (2)</v>
      </c>
      <c r="Z619" s="7" t="str">
        <f>Preencher!$B$3&amp;U619&amp;V619&amp;A619&amp;$Z$6</f>
        <v>JARINU-FRG728810MQ.TUNEL DE CG (CONTINUO) (3)</v>
      </c>
      <c r="AA619" s="7" t="str">
        <f>Preencher!$B$3&amp;U619&amp;V619&amp;A619&amp;$AA$6</f>
        <v>JARINU-FRG728810MQ.TUNEL DE CG (ESTATICO)</v>
      </c>
      <c r="AB619" s="7" t="str">
        <f>Preencher!$B$3&amp;U619&amp;V619&amp;A619&amp;$AB$6</f>
        <v>JARINU-FRG728810MQ.TUNEL DE CG (ESTATICO) (1)</v>
      </c>
      <c r="AC619" s="7" t="str">
        <f>Preencher!$B$3&amp;U619&amp;V619&amp;A619&amp;$AC$6</f>
        <v>JARINU-FRG728810MQ.TUNEL DE CG (ESTATICO) (2)</v>
      </c>
      <c r="AD619" s="327">
        <f>IFERROR(SUMIF('BD Otimix'!A:A,'BD VOLUME'!X619,'BD Otimix'!O:O)+SUMIF('BD Otimix'!A:A,'BD VOLUME'!Y619,'BD Otimix'!O:O)+SUMIF('BD Otimix'!A:A,'BD VOLUME'!Z619,'BD Otimix'!O:O)+SUMIF('BD Otimix'!A:A,'BD VOLUME'!AA619,'BD Otimix'!O:O)+SUMIF('BD Otimix'!A:A,'BD VOLUME'!AB619,'BD Otimix'!O:O)+SUMIF('BD Otimix'!A:A,'BD VOLUME'!AC619,'BD Otimix'!O:O)+SUMIF('BD Otimix'!A:A,'BD VOLUME'!W619,'BD Otimix'!O:O),0)</f>
        <v>0</v>
      </c>
      <c r="AE619" s="327">
        <f t="shared" ref="AE619:AE624" si="216">IFERROR(F619/$E$3/1000/AD619,0)</f>
        <v>0</v>
      </c>
      <c r="AF619" s="7" t="str">
        <f>Preencher!$B$3&amp;$U$8&amp;$V$8&amp;A619&amp;$AF$6</f>
        <v>JARINU-FRG728810MQ.GIROFREEZER</v>
      </c>
      <c r="AG619" s="7" t="str">
        <f>Preencher!$B$3&amp;$U$8&amp;$V$8&amp;A619&amp;$AG$6</f>
        <v>JARINU-FRG728810MQ.GIROFREEZER (1)</v>
      </c>
      <c r="AH619" s="7" t="str">
        <f>Preencher!$B$3&amp;$U$8&amp;$V$8&amp;A619&amp;$AH$6</f>
        <v>JARINU-FRG728810MQ.GIROFREEZER (2)</v>
      </c>
      <c r="AI619" s="7" t="str">
        <f>Preencher!$B$3&amp;$U$8&amp;$V$8&amp;A619&amp;$AI$6</f>
        <v>JARINU-FRG728810MQ.GIROFREEZER REV04</v>
      </c>
      <c r="AJ619" s="7" t="str">
        <f>Preencher!$B$3&amp;$U$8&amp;$V$8&amp;A619&amp;$AJ$6</f>
        <v>JARINU-FRG728810MQ.GIROFREEZER (3)</v>
      </c>
      <c r="AK619" s="327">
        <f>IFERROR(SUMIF('BD Otimix'!A:A,'BD VOLUME'!AG619,'BD Otimix'!O:O)+SUMIF('BD Otimix'!A:A,'BD VOLUME'!AH619,'BD Otimix'!O:O)+SUMIF('BD Otimix'!A:A,'BD VOLUME'!AI619,'BD Otimix'!O:O)+SUMIF('BD Otimix'!A:A,'BD VOLUME'!AJ619,'BD Otimix'!O:O)+SUMIF('BD Otimix'!A:A,'BD VOLUME'!AF619,'BD Otimix'!O:O),0)</f>
        <v>0</v>
      </c>
      <c r="AL619" s="7">
        <f t="shared" ref="AL619:AL624" si="217">IFERROR(F619/$E$3/1000/AK619,0)</f>
        <v>0</v>
      </c>
    </row>
    <row r="620" spans="1:38">
      <c r="A620" s="666">
        <v>202259</v>
      </c>
      <c r="B620" s="666"/>
      <c r="C620" s="5" t="s">
        <v>2239</v>
      </c>
      <c r="D620" s="5" t="s">
        <v>922</v>
      </c>
      <c r="E620" s="5" t="s">
        <v>2462</v>
      </c>
      <c r="F620" s="132">
        <f>SUMIF('COLAR PLANO'!$A:$A,A620,'COLAR PLANO'!$D:$D)</f>
        <v>0</v>
      </c>
      <c r="G620" s="131">
        <f t="shared" si="206"/>
        <v>0</v>
      </c>
      <c r="H620" s="6">
        <v>4.0269633576350924E-2</v>
      </c>
      <c r="I620" s="7">
        <f t="shared" si="213"/>
        <v>0</v>
      </c>
      <c r="J620" s="130">
        <f t="shared" si="214"/>
        <v>0</v>
      </c>
      <c r="K620" s="666">
        <v>0.5</v>
      </c>
      <c r="L620" s="666">
        <v>10</v>
      </c>
      <c r="M620" s="666">
        <v>5</v>
      </c>
      <c r="N620" s="7">
        <f t="shared" si="209"/>
        <v>0</v>
      </c>
      <c r="O620" s="7"/>
      <c r="P620" s="7">
        <f t="shared" si="215"/>
        <v>0</v>
      </c>
      <c r="Q620" s="7"/>
      <c r="R620" s="7"/>
      <c r="S620" s="7"/>
      <c r="T620" s="7"/>
      <c r="U620" s="7" t="s">
        <v>2288</v>
      </c>
      <c r="V620" s="7" t="s">
        <v>2289</v>
      </c>
      <c r="W620" s="7" t="str">
        <f>Preencher!$B$3&amp;U620&amp;V620&amp;A620&amp;$W$6</f>
        <v>JARINU-FRG202259MQ.TUNEL DE CG (CONTINUO)</v>
      </c>
      <c r="X620" s="7" t="str">
        <f>Preencher!$B$3&amp;U620&amp;V620&amp;A620&amp;$X$6</f>
        <v>JARINU-FRG202259MQ.TUNEL DE CG (CONTINUO) (1)</v>
      </c>
      <c r="Y620" s="7" t="str">
        <f>Preencher!$B$3&amp;U620&amp;V620&amp;A620&amp;$Y$6</f>
        <v>JARINU-FRG202259MQ.TUNEL DE CG (CONTINUO) (2)</v>
      </c>
      <c r="Z620" s="7" t="str">
        <f>Preencher!$B$3&amp;U620&amp;V620&amp;A620&amp;$Z$6</f>
        <v>JARINU-FRG202259MQ.TUNEL DE CG (CONTINUO) (3)</v>
      </c>
      <c r="AA620" s="7" t="str">
        <f>Preencher!$B$3&amp;U620&amp;V620&amp;A620&amp;$AA$6</f>
        <v>JARINU-FRG202259MQ.TUNEL DE CG (ESTATICO)</v>
      </c>
      <c r="AB620" s="7" t="str">
        <f>Preencher!$B$3&amp;U620&amp;V620&amp;A620&amp;$AB$6</f>
        <v>JARINU-FRG202259MQ.TUNEL DE CG (ESTATICO) (1)</v>
      </c>
      <c r="AC620" s="7" t="str">
        <f>Preencher!$B$3&amp;U620&amp;V620&amp;A620&amp;$AC$6</f>
        <v>JARINU-FRG202259MQ.TUNEL DE CG (ESTATICO) (2)</v>
      </c>
      <c r="AD620" s="327">
        <f>IFERROR(SUMIF('BD Otimix'!A:A,'BD VOLUME'!X620,'BD Otimix'!O:O)+SUMIF('BD Otimix'!A:A,'BD VOLUME'!Y620,'BD Otimix'!O:O)+SUMIF('BD Otimix'!A:A,'BD VOLUME'!Z620,'BD Otimix'!O:O)+SUMIF('BD Otimix'!A:A,'BD VOLUME'!AA620,'BD Otimix'!O:O)+SUMIF('BD Otimix'!A:A,'BD VOLUME'!AB620,'BD Otimix'!O:O)+SUMIF('BD Otimix'!A:A,'BD VOLUME'!AC620,'BD Otimix'!O:O)+SUMIF('BD Otimix'!A:A,'BD VOLUME'!W620,'BD Otimix'!O:O),0)</f>
        <v>0</v>
      </c>
      <c r="AE620" s="327">
        <f t="shared" si="216"/>
        <v>0</v>
      </c>
      <c r="AF620" s="7" t="str">
        <f>Preencher!$B$3&amp;$U$8&amp;$V$8&amp;A620&amp;$AF$6</f>
        <v>JARINU-FRG202259MQ.GIROFREEZER</v>
      </c>
      <c r="AG620" s="7" t="str">
        <f>Preencher!$B$3&amp;$U$8&amp;$V$8&amp;A620&amp;$AG$6</f>
        <v>JARINU-FRG202259MQ.GIROFREEZER (1)</v>
      </c>
      <c r="AH620" s="7" t="str">
        <f>Preencher!$B$3&amp;$U$8&amp;$V$8&amp;A620&amp;$AH$6</f>
        <v>JARINU-FRG202259MQ.GIROFREEZER (2)</v>
      </c>
      <c r="AI620" s="7" t="str">
        <f>Preencher!$B$3&amp;$U$8&amp;$V$8&amp;A620&amp;$AI$6</f>
        <v>JARINU-FRG202259MQ.GIROFREEZER REV04</v>
      </c>
      <c r="AJ620" s="7" t="str">
        <f>Preencher!$B$3&amp;$U$8&amp;$V$8&amp;A620&amp;$AJ$6</f>
        <v>JARINU-FRG202259MQ.GIROFREEZER (3)</v>
      </c>
      <c r="AK620" s="327">
        <f>IFERROR(SUMIF('BD Otimix'!A:A,'BD VOLUME'!AG620,'BD Otimix'!O:O)+SUMIF('BD Otimix'!A:A,'BD VOLUME'!AH620,'BD Otimix'!O:O)+SUMIF('BD Otimix'!A:A,'BD VOLUME'!AI620,'BD Otimix'!O:O)+SUMIF('BD Otimix'!A:A,'BD VOLUME'!AJ620,'BD Otimix'!O:O)+SUMIF('BD Otimix'!A:A,'BD VOLUME'!AF620,'BD Otimix'!O:O),0)</f>
        <v>0</v>
      </c>
      <c r="AL620" s="7">
        <f t="shared" si="217"/>
        <v>0</v>
      </c>
    </row>
    <row r="621" spans="1:38">
      <c r="A621" s="666">
        <v>977373</v>
      </c>
      <c r="B621" s="666" t="s">
        <v>2453</v>
      </c>
      <c r="C621" s="5" t="s">
        <v>2372</v>
      </c>
      <c r="D621" s="5" t="s">
        <v>1005</v>
      </c>
      <c r="E621" s="5" t="s">
        <v>1838</v>
      </c>
      <c r="F621" s="132">
        <f>SUMIF('COLAR PLANO'!$A:$A,A621,'COLAR PLANO'!$D:$D)</f>
        <v>0</v>
      </c>
      <c r="G621" s="131">
        <f t="shared" si="206"/>
        <v>0</v>
      </c>
      <c r="H621" s="6">
        <v>2.9504298614445066E-2</v>
      </c>
      <c r="I621" s="7">
        <f t="shared" si="213"/>
        <v>0</v>
      </c>
      <c r="J621" s="130">
        <f t="shared" si="214"/>
        <v>0</v>
      </c>
      <c r="K621" s="714">
        <v>18</v>
      </c>
      <c r="L621" s="714">
        <v>1</v>
      </c>
      <c r="M621" s="714">
        <v>18</v>
      </c>
      <c r="N621" s="7">
        <f t="shared" si="209"/>
        <v>0</v>
      </c>
      <c r="O621" s="7"/>
      <c r="P621" s="7">
        <f t="shared" si="215"/>
        <v>0</v>
      </c>
      <c r="Q621" s="7"/>
      <c r="R621" s="7"/>
      <c r="S621" s="7"/>
      <c r="T621" s="7"/>
      <c r="U621" s="7" t="s">
        <v>2288</v>
      </c>
      <c r="V621" s="7" t="s">
        <v>2289</v>
      </c>
      <c r="W621" s="7" t="str">
        <f>Preencher!$B$3&amp;U621&amp;V621&amp;A621&amp;$W$6</f>
        <v>JARINU-FRG977373MQ.TUNEL DE CG (CONTINUO)</v>
      </c>
      <c r="X621" s="7" t="str">
        <f>Preencher!$B$3&amp;U621&amp;V621&amp;A621&amp;$X$6</f>
        <v>JARINU-FRG977373MQ.TUNEL DE CG (CONTINUO) (1)</v>
      </c>
      <c r="Y621" s="7" t="str">
        <f>Preencher!$B$3&amp;U621&amp;V621&amp;A621&amp;$Y$6</f>
        <v>JARINU-FRG977373MQ.TUNEL DE CG (CONTINUO) (2)</v>
      </c>
      <c r="Z621" s="7" t="str">
        <f>Preencher!$B$3&amp;U621&amp;V621&amp;A621&amp;$Z$6</f>
        <v>JARINU-FRG977373MQ.TUNEL DE CG (CONTINUO) (3)</v>
      </c>
      <c r="AA621" s="7" t="str">
        <f>Preencher!$B$3&amp;U621&amp;V621&amp;A621&amp;$AA$6</f>
        <v>JARINU-FRG977373MQ.TUNEL DE CG (ESTATICO)</v>
      </c>
      <c r="AB621" s="7" t="str">
        <f>Preencher!$B$3&amp;U621&amp;V621&amp;A621&amp;$AB$6</f>
        <v>JARINU-FRG977373MQ.TUNEL DE CG (ESTATICO) (1)</v>
      </c>
      <c r="AC621" s="7" t="str">
        <f>Preencher!$B$3&amp;U621&amp;V621&amp;A621&amp;$AC$6</f>
        <v>JARINU-FRG977373MQ.TUNEL DE CG (ESTATICO) (2)</v>
      </c>
      <c r="AD621" s="327">
        <f>IFERROR(SUMIF('BD Otimix'!A:A,'BD VOLUME'!X621,'BD Otimix'!O:O)+SUMIF('BD Otimix'!A:A,'BD VOLUME'!Y621,'BD Otimix'!O:O)+SUMIF('BD Otimix'!A:A,'BD VOLUME'!Z621,'BD Otimix'!O:O)+SUMIF('BD Otimix'!A:A,'BD VOLUME'!AA621,'BD Otimix'!O:O)+SUMIF('BD Otimix'!A:A,'BD VOLUME'!AB621,'BD Otimix'!O:O)+SUMIF('BD Otimix'!A:A,'BD VOLUME'!AC621,'BD Otimix'!O:O)+SUMIF('BD Otimix'!A:A,'BD VOLUME'!W621,'BD Otimix'!O:O),0)</f>
        <v>0</v>
      </c>
      <c r="AE621" s="327">
        <f t="shared" si="216"/>
        <v>0</v>
      </c>
      <c r="AF621" s="7" t="str">
        <f>Preencher!$B$3&amp;$U$8&amp;$V$8&amp;A621&amp;$AF$6</f>
        <v>JARINU-FRG977373MQ.GIROFREEZER</v>
      </c>
      <c r="AG621" s="7" t="str">
        <f>Preencher!$B$3&amp;$U$8&amp;$V$8&amp;A621&amp;$AG$6</f>
        <v>JARINU-FRG977373MQ.GIROFREEZER (1)</v>
      </c>
      <c r="AH621" s="7" t="str">
        <f>Preencher!$B$3&amp;$U$8&amp;$V$8&amp;A621&amp;$AH$6</f>
        <v>JARINU-FRG977373MQ.GIROFREEZER (2)</v>
      </c>
      <c r="AI621" s="7" t="str">
        <f>Preencher!$B$3&amp;$U$8&amp;$V$8&amp;A621&amp;$AI$6</f>
        <v>JARINU-FRG977373MQ.GIROFREEZER REV04</v>
      </c>
      <c r="AJ621" s="7" t="str">
        <f>Preencher!$B$3&amp;$U$8&amp;$V$8&amp;A621&amp;$AJ$6</f>
        <v>JARINU-FRG977373MQ.GIROFREEZER (3)</v>
      </c>
      <c r="AK621" s="327">
        <f>IFERROR(SUMIF('BD Otimix'!A:A,'BD VOLUME'!AG621,'BD Otimix'!O:O)+SUMIF('BD Otimix'!A:A,'BD VOLUME'!AH621,'BD Otimix'!O:O)+SUMIF('BD Otimix'!A:A,'BD VOLUME'!AI621,'BD Otimix'!O:O)+SUMIF('BD Otimix'!A:A,'BD VOLUME'!AJ621,'BD Otimix'!O:O)+SUMIF('BD Otimix'!A:A,'BD VOLUME'!AF621,'BD Otimix'!O:O),0)</f>
        <v>0</v>
      </c>
      <c r="AL621" s="7">
        <f t="shared" si="217"/>
        <v>0</v>
      </c>
    </row>
    <row r="622" spans="1:38">
      <c r="A622" s="666">
        <v>997142</v>
      </c>
      <c r="B622" s="666"/>
      <c r="C622" s="5" t="s">
        <v>3105</v>
      </c>
      <c r="D622" s="5" t="s">
        <v>1769</v>
      </c>
      <c r="E622" s="5" t="s">
        <v>2141</v>
      </c>
      <c r="F622" s="132">
        <f>SUMIF('COLAR PLANO'!$A:$A,A622,'COLAR PLANO'!$D:$D)</f>
        <v>0</v>
      </c>
      <c r="G622" s="131">
        <f t="shared" si="206"/>
        <v>0</v>
      </c>
      <c r="H622" s="6">
        <v>7.8141423222840803E-2</v>
      </c>
      <c r="I622" s="7">
        <f t="shared" si="213"/>
        <v>0</v>
      </c>
      <c r="J622" s="130">
        <f t="shared" si="214"/>
        <v>0</v>
      </c>
      <c r="K622" s="671">
        <v>15</v>
      </c>
      <c r="L622" s="671">
        <v>1</v>
      </c>
      <c r="M622" s="671">
        <v>15</v>
      </c>
      <c r="N622" s="7">
        <f t="shared" si="209"/>
        <v>0</v>
      </c>
      <c r="O622" s="7"/>
      <c r="P622" s="7">
        <f t="shared" si="215"/>
        <v>0</v>
      </c>
      <c r="Q622" s="7"/>
      <c r="R622" s="7"/>
      <c r="S622" s="7"/>
      <c r="T622" s="7"/>
      <c r="U622" s="7" t="s">
        <v>2288</v>
      </c>
      <c r="V622" s="7" t="s">
        <v>2289</v>
      </c>
      <c r="W622" s="7" t="str">
        <f>Preencher!$B$3&amp;U622&amp;V622&amp;A622&amp;$W$6</f>
        <v>JARINU-FRG997142MQ.TUNEL DE CG (CONTINUO)</v>
      </c>
      <c r="X622" s="7" t="str">
        <f>Preencher!$B$3&amp;U622&amp;V622&amp;A622&amp;$X$6</f>
        <v>JARINU-FRG997142MQ.TUNEL DE CG (CONTINUO) (1)</v>
      </c>
      <c r="Y622" s="7" t="str">
        <f>Preencher!$B$3&amp;U622&amp;V622&amp;A622&amp;$Y$6</f>
        <v>JARINU-FRG997142MQ.TUNEL DE CG (CONTINUO) (2)</v>
      </c>
      <c r="Z622" s="7" t="str">
        <f>Preencher!$B$3&amp;U622&amp;V622&amp;A622&amp;$Z$6</f>
        <v>JARINU-FRG997142MQ.TUNEL DE CG (CONTINUO) (3)</v>
      </c>
      <c r="AA622" s="7" t="str">
        <f>Preencher!$B$3&amp;U622&amp;V622&amp;A622&amp;$AA$6</f>
        <v>JARINU-FRG997142MQ.TUNEL DE CG (ESTATICO)</v>
      </c>
      <c r="AB622" s="7" t="str">
        <f>Preencher!$B$3&amp;U622&amp;V622&amp;A622&amp;$AB$6</f>
        <v>JARINU-FRG997142MQ.TUNEL DE CG (ESTATICO) (1)</v>
      </c>
      <c r="AC622" s="7" t="str">
        <f>Preencher!$B$3&amp;U622&amp;V622&amp;A622&amp;$AC$6</f>
        <v>JARINU-FRG997142MQ.TUNEL DE CG (ESTATICO) (2)</v>
      </c>
      <c r="AD622" s="327">
        <f>IFERROR(SUMIF('BD Otimix'!A:A,'BD VOLUME'!X622,'BD Otimix'!O:O)+SUMIF('BD Otimix'!A:A,'BD VOLUME'!Y622,'BD Otimix'!O:O)+SUMIF('BD Otimix'!A:A,'BD VOLUME'!Z622,'BD Otimix'!O:O)+SUMIF('BD Otimix'!A:A,'BD VOLUME'!AA622,'BD Otimix'!O:O)+SUMIF('BD Otimix'!A:A,'BD VOLUME'!AB622,'BD Otimix'!O:O)+SUMIF('BD Otimix'!A:A,'BD VOLUME'!AC622,'BD Otimix'!O:O)+SUMIF('BD Otimix'!A:A,'BD VOLUME'!W622,'BD Otimix'!O:O),0)</f>
        <v>0</v>
      </c>
      <c r="AE622" s="327">
        <f t="shared" si="216"/>
        <v>0</v>
      </c>
      <c r="AF622" s="7" t="str">
        <f>Preencher!$B$3&amp;$U$8&amp;$V$8&amp;A622&amp;$AF$6</f>
        <v>JARINU-FRG997142MQ.GIROFREEZER</v>
      </c>
      <c r="AG622" s="7" t="str">
        <f>Preencher!$B$3&amp;$U$8&amp;$V$8&amp;A622&amp;$AG$6</f>
        <v>JARINU-FRG997142MQ.GIROFREEZER (1)</v>
      </c>
      <c r="AH622" s="7" t="str">
        <f>Preencher!$B$3&amp;$U$8&amp;$V$8&amp;A622&amp;$AH$6</f>
        <v>JARINU-FRG997142MQ.GIROFREEZER (2)</v>
      </c>
      <c r="AI622" s="7" t="str">
        <f>Preencher!$B$3&amp;$U$8&amp;$V$8&amp;A622&amp;$AI$6</f>
        <v>JARINU-FRG997142MQ.GIROFREEZER REV04</v>
      </c>
      <c r="AJ622" s="7" t="str">
        <f>Preencher!$B$3&amp;$U$8&amp;$V$8&amp;A622&amp;$AJ$6</f>
        <v>JARINU-FRG997142MQ.GIROFREEZER (3)</v>
      </c>
      <c r="AK622" s="327">
        <f>IFERROR(SUMIF('BD Otimix'!A:A,'BD VOLUME'!AG622,'BD Otimix'!O:O)+SUMIF('BD Otimix'!A:A,'BD VOLUME'!AH622,'BD Otimix'!O:O)+SUMIF('BD Otimix'!A:A,'BD VOLUME'!AI622,'BD Otimix'!O:O)+SUMIF('BD Otimix'!A:A,'BD VOLUME'!AJ622,'BD Otimix'!O:O)+SUMIF('BD Otimix'!A:A,'BD VOLUME'!AF622,'BD Otimix'!O:O),0)</f>
        <v>0</v>
      </c>
      <c r="AL622" s="7">
        <f t="shared" si="217"/>
        <v>0</v>
      </c>
    </row>
    <row r="623" spans="1:38">
      <c r="A623" s="671">
        <v>55360</v>
      </c>
      <c r="B623" s="671" t="s">
        <v>2456</v>
      </c>
      <c r="C623" s="5" t="s">
        <v>2457</v>
      </c>
      <c r="D623" s="5" t="s">
        <v>1769</v>
      </c>
      <c r="E623" s="5" t="s">
        <v>951</v>
      </c>
      <c r="F623" s="132">
        <f>SUMIF('COLAR PLANO'!$A:$A,A623,'COLAR PLANO'!$D:$D)</f>
        <v>0</v>
      </c>
      <c r="G623" s="131">
        <f t="shared" si="206"/>
        <v>0</v>
      </c>
      <c r="H623" s="6">
        <v>7.8141423222840803E-2</v>
      </c>
      <c r="I623" s="7">
        <f t="shared" si="213"/>
        <v>0</v>
      </c>
      <c r="J623" s="130">
        <f t="shared" si="214"/>
        <v>0</v>
      </c>
      <c r="K623" s="671">
        <v>1</v>
      </c>
      <c r="L623" s="671">
        <v>18</v>
      </c>
      <c r="M623" s="671">
        <v>18</v>
      </c>
      <c r="N623" s="7">
        <f t="shared" si="209"/>
        <v>0</v>
      </c>
      <c r="O623" s="7"/>
      <c r="P623" s="7">
        <f t="shared" si="215"/>
        <v>0</v>
      </c>
      <c r="Q623" s="7"/>
      <c r="R623" s="7"/>
      <c r="S623" s="7"/>
      <c r="T623" s="7"/>
      <c r="U623" s="7" t="s">
        <v>2288</v>
      </c>
      <c r="V623" s="7" t="s">
        <v>2289</v>
      </c>
      <c r="W623" s="7" t="str">
        <f>Preencher!$B$3&amp;U623&amp;V623&amp;A623&amp;$W$6</f>
        <v>JARINU-FRG55360MQ.TUNEL DE CG (CONTINUO)</v>
      </c>
      <c r="X623" s="7" t="str">
        <f>Preencher!$B$3&amp;U623&amp;V623&amp;A623&amp;$X$6</f>
        <v>JARINU-FRG55360MQ.TUNEL DE CG (CONTINUO) (1)</v>
      </c>
      <c r="Y623" s="7" t="str">
        <f>Preencher!$B$3&amp;U623&amp;V623&amp;A623&amp;$Y$6</f>
        <v>JARINU-FRG55360MQ.TUNEL DE CG (CONTINUO) (2)</v>
      </c>
      <c r="Z623" s="7" t="str">
        <f>Preencher!$B$3&amp;U623&amp;V623&amp;A623&amp;$Z$6</f>
        <v>JARINU-FRG55360MQ.TUNEL DE CG (CONTINUO) (3)</v>
      </c>
      <c r="AA623" s="7" t="str">
        <f>Preencher!$B$3&amp;U623&amp;V623&amp;A623&amp;$AA$6</f>
        <v>JARINU-FRG55360MQ.TUNEL DE CG (ESTATICO)</v>
      </c>
      <c r="AB623" s="7" t="str">
        <f>Preencher!$B$3&amp;U623&amp;V623&amp;A623&amp;$AB$6</f>
        <v>JARINU-FRG55360MQ.TUNEL DE CG (ESTATICO) (1)</v>
      </c>
      <c r="AC623" s="7" t="str">
        <f>Preencher!$B$3&amp;U623&amp;V623&amp;A623&amp;$AC$6</f>
        <v>JARINU-FRG55360MQ.TUNEL DE CG (ESTATICO) (2)</v>
      </c>
      <c r="AD623" s="327">
        <f>IFERROR(SUMIF('BD Otimix'!A:A,'BD VOLUME'!X623,'BD Otimix'!O:O)+SUMIF('BD Otimix'!A:A,'BD VOLUME'!Y623,'BD Otimix'!O:O)+SUMIF('BD Otimix'!A:A,'BD VOLUME'!Z623,'BD Otimix'!O:O)+SUMIF('BD Otimix'!A:A,'BD VOLUME'!AA623,'BD Otimix'!O:O)+SUMIF('BD Otimix'!A:A,'BD VOLUME'!AB623,'BD Otimix'!O:O)+SUMIF('BD Otimix'!A:A,'BD VOLUME'!AC623,'BD Otimix'!O:O)+SUMIF('BD Otimix'!A:A,'BD VOLUME'!W623,'BD Otimix'!O:O),0)</f>
        <v>0</v>
      </c>
      <c r="AE623" s="327">
        <f t="shared" si="216"/>
        <v>0</v>
      </c>
      <c r="AF623" s="7" t="str">
        <f>Preencher!$B$3&amp;$U$8&amp;$V$8&amp;A623&amp;$AF$6</f>
        <v>JARINU-FRG55360MQ.GIROFREEZER</v>
      </c>
      <c r="AG623" s="7" t="str">
        <f>Preencher!$B$3&amp;$U$8&amp;$V$8&amp;A623&amp;$AG$6</f>
        <v>JARINU-FRG55360MQ.GIROFREEZER (1)</v>
      </c>
      <c r="AH623" s="7" t="str">
        <f>Preencher!$B$3&amp;$U$8&amp;$V$8&amp;A623&amp;$AH$6</f>
        <v>JARINU-FRG55360MQ.GIROFREEZER (2)</v>
      </c>
      <c r="AI623" s="7" t="str">
        <f>Preencher!$B$3&amp;$U$8&amp;$V$8&amp;A623&amp;$AI$6</f>
        <v>JARINU-FRG55360MQ.GIROFREEZER REV04</v>
      </c>
      <c r="AJ623" s="7" t="str">
        <f>Preencher!$B$3&amp;$U$8&amp;$V$8&amp;A623&amp;$AJ$6</f>
        <v>JARINU-FRG55360MQ.GIROFREEZER (3)</v>
      </c>
      <c r="AK623" s="327">
        <f>IFERROR(SUMIF('BD Otimix'!A:A,'BD VOLUME'!AG623,'BD Otimix'!O:O)+SUMIF('BD Otimix'!A:A,'BD VOLUME'!AH623,'BD Otimix'!O:O)+SUMIF('BD Otimix'!A:A,'BD VOLUME'!AI623,'BD Otimix'!O:O)+SUMIF('BD Otimix'!A:A,'BD VOLUME'!AJ623,'BD Otimix'!O:O)+SUMIF('BD Otimix'!A:A,'BD VOLUME'!AF623,'BD Otimix'!O:O),0)</f>
        <v>0</v>
      </c>
      <c r="AL623" s="7">
        <f t="shared" si="217"/>
        <v>0</v>
      </c>
    </row>
    <row r="624" spans="1:38">
      <c r="A624" s="666">
        <v>52779</v>
      </c>
      <c r="B624" s="666"/>
      <c r="C624" s="5" t="s">
        <v>3094</v>
      </c>
      <c r="D624" s="5" t="s">
        <v>1769</v>
      </c>
      <c r="E624" s="5" t="s">
        <v>2141</v>
      </c>
      <c r="F624" s="132">
        <f>SUMIF('COLAR PLANO'!$A:$A,A624,'COLAR PLANO'!$D:$D)</f>
        <v>0</v>
      </c>
      <c r="G624" s="131">
        <f t="shared" si="206"/>
        <v>0</v>
      </c>
      <c r="H624" s="6">
        <v>7.8141423222840803E-2</v>
      </c>
      <c r="I624" s="7">
        <f t="shared" si="213"/>
        <v>0</v>
      </c>
      <c r="J624" s="130">
        <f t="shared" si="214"/>
        <v>0</v>
      </c>
      <c r="K624" s="671">
        <v>15</v>
      </c>
      <c r="L624" s="671">
        <v>1</v>
      </c>
      <c r="M624" s="671">
        <v>15</v>
      </c>
      <c r="N624" s="7">
        <f t="shared" si="209"/>
        <v>0</v>
      </c>
      <c r="O624" s="7"/>
      <c r="P624" s="7">
        <f t="shared" si="215"/>
        <v>0</v>
      </c>
      <c r="Q624" s="7"/>
      <c r="R624" s="7"/>
      <c r="S624" s="7"/>
      <c r="T624" s="7"/>
      <c r="U624" s="7" t="s">
        <v>2288</v>
      </c>
      <c r="V624" s="7" t="s">
        <v>2289</v>
      </c>
      <c r="W624" s="7" t="str">
        <f>Preencher!$B$3&amp;U624&amp;V624&amp;A624&amp;$W$6</f>
        <v>JARINU-FRG52779MQ.TUNEL DE CG (CONTINUO)</v>
      </c>
      <c r="X624" s="7" t="str">
        <f>Preencher!$B$3&amp;U624&amp;V624&amp;A624&amp;$X$6</f>
        <v>JARINU-FRG52779MQ.TUNEL DE CG (CONTINUO) (1)</v>
      </c>
      <c r="Y624" s="7" t="str">
        <f>Preencher!$B$3&amp;U624&amp;V624&amp;A624&amp;$Y$6</f>
        <v>JARINU-FRG52779MQ.TUNEL DE CG (CONTINUO) (2)</v>
      </c>
      <c r="Z624" s="7" t="str">
        <f>Preencher!$B$3&amp;U624&amp;V624&amp;A624&amp;$Z$6</f>
        <v>JARINU-FRG52779MQ.TUNEL DE CG (CONTINUO) (3)</v>
      </c>
      <c r="AA624" s="7" t="str">
        <f>Preencher!$B$3&amp;U624&amp;V624&amp;A624&amp;$AA$6</f>
        <v>JARINU-FRG52779MQ.TUNEL DE CG (ESTATICO)</v>
      </c>
      <c r="AB624" s="7" t="str">
        <f>Preencher!$B$3&amp;U624&amp;V624&amp;A624&amp;$AB$6</f>
        <v>JARINU-FRG52779MQ.TUNEL DE CG (ESTATICO) (1)</v>
      </c>
      <c r="AC624" s="7" t="str">
        <f>Preencher!$B$3&amp;U624&amp;V624&amp;A624&amp;$AC$6</f>
        <v>JARINU-FRG52779MQ.TUNEL DE CG (ESTATICO) (2)</v>
      </c>
      <c r="AD624" s="327">
        <f>IFERROR(SUMIF('BD Otimix'!A:A,'BD VOLUME'!X624,'BD Otimix'!O:O)+SUMIF('BD Otimix'!A:A,'BD VOLUME'!Y624,'BD Otimix'!O:O)+SUMIF('BD Otimix'!A:A,'BD VOLUME'!Z624,'BD Otimix'!O:O)+SUMIF('BD Otimix'!A:A,'BD VOLUME'!AA624,'BD Otimix'!O:O)+SUMIF('BD Otimix'!A:A,'BD VOLUME'!AB624,'BD Otimix'!O:O)+SUMIF('BD Otimix'!A:A,'BD VOLUME'!AC624,'BD Otimix'!O:O)+SUMIF('BD Otimix'!A:A,'BD VOLUME'!W624,'BD Otimix'!O:O),0)</f>
        <v>0</v>
      </c>
      <c r="AE624" s="327">
        <f t="shared" si="216"/>
        <v>0</v>
      </c>
      <c r="AF624" s="7" t="str">
        <f>Preencher!$B$3&amp;$U$8&amp;$V$8&amp;A624&amp;$AF$6</f>
        <v>JARINU-FRG52779MQ.GIROFREEZER</v>
      </c>
      <c r="AG624" s="7" t="str">
        <f>Preencher!$B$3&amp;$U$8&amp;$V$8&amp;A624&amp;$AG$6</f>
        <v>JARINU-FRG52779MQ.GIROFREEZER (1)</v>
      </c>
      <c r="AH624" s="7" t="str">
        <f>Preencher!$B$3&amp;$U$8&amp;$V$8&amp;A624&amp;$AH$6</f>
        <v>JARINU-FRG52779MQ.GIROFREEZER (2)</v>
      </c>
      <c r="AI624" s="7" t="str">
        <f>Preencher!$B$3&amp;$U$8&amp;$V$8&amp;A624&amp;$AI$6</f>
        <v>JARINU-FRG52779MQ.GIROFREEZER REV04</v>
      </c>
      <c r="AJ624" s="7" t="str">
        <f>Preencher!$B$3&amp;$U$8&amp;$V$8&amp;A624&amp;$AJ$6</f>
        <v>JARINU-FRG52779MQ.GIROFREEZER (3)</v>
      </c>
      <c r="AK624" s="327">
        <f>IFERROR(SUMIF('BD Otimix'!A:A,'BD VOLUME'!AG624,'BD Otimix'!O:O)+SUMIF('BD Otimix'!A:A,'BD VOLUME'!AH624,'BD Otimix'!O:O)+SUMIF('BD Otimix'!A:A,'BD VOLUME'!AI624,'BD Otimix'!O:O)+SUMIF('BD Otimix'!A:A,'BD VOLUME'!AJ624,'BD Otimix'!O:O)+SUMIF('BD Otimix'!A:A,'BD VOLUME'!AF624,'BD Otimix'!O:O),0)</f>
        <v>0</v>
      </c>
      <c r="AL624" s="7">
        <f t="shared" si="217"/>
        <v>0</v>
      </c>
    </row>
    <row r="625" spans="1:38">
      <c r="A625" s="417">
        <v>43037</v>
      </c>
      <c r="B625" s="417" t="s">
        <v>1022</v>
      </c>
      <c r="C625" s="5" t="s">
        <v>1668</v>
      </c>
      <c r="D625" s="5" t="s">
        <v>922</v>
      </c>
      <c r="E625" s="5" t="s">
        <v>1762</v>
      </c>
      <c r="F625" s="132">
        <f>SUMIF('COLAR PLANO'!$A:$A,A625,'COLAR PLANO'!$D:$D)</f>
        <v>0</v>
      </c>
      <c r="G625" s="131">
        <f t="shared" si="206"/>
        <v>0</v>
      </c>
      <c r="H625" s="6">
        <v>4.0269633576350924E-2</v>
      </c>
      <c r="I625" s="7">
        <f t="shared" si="213"/>
        <v>0</v>
      </c>
      <c r="J625" s="130">
        <f t="shared" si="214"/>
        <v>0</v>
      </c>
      <c r="K625" s="417">
        <v>0.65</v>
      </c>
      <c r="L625" s="417">
        <v>18</v>
      </c>
      <c r="M625" s="417">
        <v>12</v>
      </c>
      <c r="N625" s="7">
        <f t="shared" si="209"/>
        <v>0</v>
      </c>
      <c r="O625" s="7"/>
      <c r="P625" s="7">
        <f t="shared" si="215"/>
        <v>0</v>
      </c>
      <c r="Q625" s="7"/>
      <c r="R625" s="7"/>
      <c r="S625" s="7"/>
      <c r="T625" s="7"/>
      <c r="U625" s="7" t="s">
        <v>2288</v>
      </c>
      <c r="V625" s="7" t="s">
        <v>2289</v>
      </c>
      <c r="W625" s="7" t="str">
        <f>Preencher!$B$3&amp;U625&amp;V625&amp;A625&amp;$W$6</f>
        <v>JARINU-FRG43037MQ.TUNEL DE CG (CONTINUO)</v>
      </c>
      <c r="X625" s="7" t="str">
        <f>Preencher!$B$3&amp;U625&amp;V625&amp;A625&amp;$X$6</f>
        <v>JARINU-FRG43037MQ.TUNEL DE CG (CONTINUO) (1)</v>
      </c>
      <c r="Y625" s="7" t="str">
        <f>Preencher!$B$3&amp;U625&amp;V625&amp;A625&amp;$Y$6</f>
        <v>JARINU-FRG43037MQ.TUNEL DE CG (CONTINUO) (2)</v>
      </c>
      <c r="Z625" s="7" t="str">
        <f>Preencher!$B$3&amp;U625&amp;V625&amp;A625&amp;$Z$6</f>
        <v>JARINU-FRG43037MQ.TUNEL DE CG (CONTINUO) (3)</v>
      </c>
      <c r="AA625" s="7" t="str">
        <f>Preencher!$B$3&amp;U625&amp;V625&amp;A625&amp;$AA$6</f>
        <v>JARINU-FRG43037MQ.TUNEL DE CG (ESTATICO)</v>
      </c>
      <c r="AB625" s="7" t="str">
        <f>Preencher!$B$3&amp;U625&amp;V625&amp;A625&amp;$AB$6</f>
        <v>JARINU-FRG43037MQ.TUNEL DE CG (ESTATICO) (1)</v>
      </c>
      <c r="AC625" s="7" t="str">
        <f>Preencher!$B$3&amp;U625&amp;V625&amp;A625&amp;$AC$6</f>
        <v>JARINU-FRG43037MQ.TUNEL DE CG (ESTATICO) (2)</v>
      </c>
      <c r="AD625" s="327">
        <f>IFERROR(SUMIF('BD Otimix'!A:A,'BD VOLUME'!X625,'BD Otimix'!O:O)+SUMIF('BD Otimix'!A:A,'BD VOLUME'!Y625,'BD Otimix'!O:O)+SUMIF('BD Otimix'!A:A,'BD VOLUME'!Z625,'BD Otimix'!O:O)+SUMIF('BD Otimix'!A:A,'BD VOLUME'!AA625,'BD Otimix'!O:O)+SUMIF('BD Otimix'!A:A,'BD VOLUME'!AB625,'BD Otimix'!O:O)+SUMIF('BD Otimix'!A:A,'BD VOLUME'!AC625,'BD Otimix'!O:O)+SUMIF('BD Otimix'!A:A,'BD VOLUME'!W625,'BD Otimix'!O:O),0)</f>
        <v>0</v>
      </c>
      <c r="AE625" s="327">
        <f t="shared" si="211"/>
        <v>0</v>
      </c>
      <c r="AF625" s="7" t="str">
        <f>Preencher!$B$3&amp;$U$8&amp;$V$8&amp;A625&amp;$AF$6</f>
        <v>JARINU-FRG43037MQ.GIROFREEZER</v>
      </c>
      <c r="AG625" s="7" t="str">
        <f>Preencher!$B$3&amp;$U$8&amp;$V$8&amp;A625&amp;$AG$6</f>
        <v>JARINU-FRG43037MQ.GIROFREEZER (1)</v>
      </c>
      <c r="AH625" s="7" t="str">
        <f>Preencher!$B$3&amp;$U$8&amp;$V$8&amp;A625&amp;$AH$6</f>
        <v>JARINU-FRG43037MQ.GIROFREEZER (2)</v>
      </c>
      <c r="AI625" s="7" t="str">
        <f>Preencher!$B$3&amp;$U$8&amp;$V$8&amp;A625&amp;$AI$6</f>
        <v>JARINU-FRG43037MQ.GIROFREEZER REV04</v>
      </c>
      <c r="AJ625" s="7" t="str">
        <f>Preencher!$B$3&amp;$U$8&amp;$V$8&amp;A625&amp;$AJ$6</f>
        <v>JARINU-FRG43037MQ.GIROFREEZER (3)</v>
      </c>
      <c r="AK625" s="327">
        <f>IFERROR(SUMIF('BD Otimix'!A:A,'BD VOLUME'!AG625,'BD Otimix'!O:O)+SUMIF('BD Otimix'!A:A,'BD VOLUME'!AH625,'BD Otimix'!O:O)+SUMIF('BD Otimix'!A:A,'BD VOLUME'!AI625,'BD Otimix'!O:O)+SUMIF('BD Otimix'!A:A,'BD VOLUME'!AJ625,'BD Otimix'!O:O)+SUMIF('BD Otimix'!A:A,'BD VOLUME'!AF625,'BD Otimix'!O:O),0)</f>
        <v>0</v>
      </c>
      <c r="AL625" s="7">
        <f t="shared" si="212"/>
        <v>0</v>
      </c>
    </row>
    <row r="626" spans="1:38">
      <c r="A626" s="580">
        <v>729833</v>
      </c>
      <c r="B626" s="580" t="s">
        <v>2040</v>
      </c>
      <c r="C626" s="5" t="s">
        <v>2041</v>
      </c>
      <c r="D626" s="5" t="s">
        <v>922</v>
      </c>
      <c r="E626" s="5" t="s">
        <v>1762</v>
      </c>
      <c r="F626" s="132">
        <f>SUMIF('COLAR PLANO'!$A:$A,A626,'COLAR PLANO'!$D:$D)</f>
        <v>0</v>
      </c>
      <c r="G626" s="131">
        <f t="shared" si="206"/>
        <v>0</v>
      </c>
      <c r="H626" s="6">
        <v>4.0269633576350924E-2</v>
      </c>
      <c r="I626" s="7">
        <f t="shared" si="213"/>
        <v>0</v>
      </c>
      <c r="J626" s="130">
        <f t="shared" si="214"/>
        <v>0</v>
      </c>
      <c r="K626" s="580">
        <v>0.65</v>
      </c>
      <c r="L626" s="580">
        <v>18</v>
      </c>
      <c r="M626" s="580">
        <v>12</v>
      </c>
      <c r="N626" s="7">
        <f t="shared" si="209"/>
        <v>0</v>
      </c>
      <c r="O626" s="7"/>
      <c r="P626" s="7">
        <f t="shared" si="215"/>
        <v>0</v>
      </c>
      <c r="Q626" s="7"/>
      <c r="R626" s="7"/>
      <c r="S626" s="7"/>
      <c r="T626" s="7"/>
      <c r="U626" s="7" t="s">
        <v>2288</v>
      </c>
      <c r="V626" s="7" t="s">
        <v>2289</v>
      </c>
      <c r="W626" s="7" t="str">
        <f>Preencher!$B$3&amp;U626&amp;V626&amp;A626&amp;$W$6</f>
        <v>JARINU-FRG729833MQ.TUNEL DE CG (CONTINUO)</v>
      </c>
      <c r="X626" s="7" t="str">
        <f>Preencher!$B$3&amp;U626&amp;V626&amp;A626&amp;$X$6</f>
        <v>JARINU-FRG729833MQ.TUNEL DE CG (CONTINUO) (1)</v>
      </c>
      <c r="Y626" s="7" t="str">
        <f>Preencher!$B$3&amp;U626&amp;V626&amp;A626&amp;$Y$6</f>
        <v>JARINU-FRG729833MQ.TUNEL DE CG (CONTINUO) (2)</v>
      </c>
      <c r="Z626" s="7" t="str">
        <f>Preencher!$B$3&amp;U626&amp;V626&amp;A626&amp;$Z$6</f>
        <v>JARINU-FRG729833MQ.TUNEL DE CG (CONTINUO) (3)</v>
      </c>
      <c r="AA626" s="7" t="str">
        <f>Preencher!$B$3&amp;U626&amp;V626&amp;A626&amp;$AA$6</f>
        <v>JARINU-FRG729833MQ.TUNEL DE CG (ESTATICO)</v>
      </c>
      <c r="AB626" s="7" t="str">
        <f>Preencher!$B$3&amp;U626&amp;V626&amp;A626&amp;$AB$6</f>
        <v>JARINU-FRG729833MQ.TUNEL DE CG (ESTATICO) (1)</v>
      </c>
      <c r="AC626" s="7" t="str">
        <f>Preencher!$B$3&amp;U626&amp;V626&amp;A626&amp;$AC$6</f>
        <v>JARINU-FRG729833MQ.TUNEL DE CG (ESTATICO) (2)</v>
      </c>
      <c r="AD626" s="327">
        <f>IFERROR(SUMIF('BD Otimix'!A:A,'BD VOLUME'!X626,'BD Otimix'!O:O)+SUMIF('BD Otimix'!A:A,'BD VOLUME'!Y626,'BD Otimix'!O:O)+SUMIF('BD Otimix'!A:A,'BD VOLUME'!Z626,'BD Otimix'!O:O)+SUMIF('BD Otimix'!A:A,'BD VOLUME'!AA626,'BD Otimix'!O:O)+SUMIF('BD Otimix'!A:A,'BD VOLUME'!AB626,'BD Otimix'!O:O)+SUMIF('BD Otimix'!A:A,'BD VOLUME'!AC626,'BD Otimix'!O:O)+SUMIF('BD Otimix'!A:A,'BD VOLUME'!W626,'BD Otimix'!O:O),0)</f>
        <v>0</v>
      </c>
      <c r="AE626" s="327">
        <f t="shared" si="211"/>
        <v>0</v>
      </c>
      <c r="AF626" s="7" t="str">
        <f>Preencher!$B$3&amp;$U$8&amp;$V$8&amp;A626&amp;$AF$6</f>
        <v>JARINU-FRG729833MQ.GIROFREEZER</v>
      </c>
      <c r="AG626" s="7" t="str">
        <f>Preencher!$B$3&amp;$U$8&amp;$V$8&amp;A626&amp;$AG$6</f>
        <v>JARINU-FRG729833MQ.GIROFREEZER (1)</v>
      </c>
      <c r="AH626" s="7" t="str">
        <f>Preencher!$B$3&amp;$U$8&amp;$V$8&amp;A626&amp;$AH$6</f>
        <v>JARINU-FRG729833MQ.GIROFREEZER (2)</v>
      </c>
      <c r="AI626" s="7" t="str">
        <f>Preencher!$B$3&amp;$U$8&amp;$V$8&amp;A626&amp;$AI$6</f>
        <v>JARINU-FRG729833MQ.GIROFREEZER REV04</v>
      </c>
      <c r="AJ626" s="7" t="str">
        <f>Preencher!$B$3&amp;$U$8&amp;$V$8&amp;A626&amp;$AJ$6</f>
        <v>JARINU-FRG729833MQ.GIROFREEZER (3)</v>
      </c>
      <c r="AK626" s="327">
        <f>IFERROR(SUMIF('BD Otimix'!A:A,'BD VOLUME'!AG626,'BD Otimix'!O:O)+SUMIF('BD Otimix'!A:A,'BD VOLUME'!AH626,'BD Otimix'!O:O)+SUMIF('BD Otimix'!A:A,'BD VOLUME'!AI626,'BD Otimix'!O:O)+SUMIF('BD Otimix'!A:A,'BD VOLUME'!AJ626,'BD Otimix'!O:O)+SUMIF('BD Otimix'!A:A,'BD VOLUME'!AF626,'BD Otimix'!O:O),0)</f>
        <v>0</v>
      </c>
      <c r="AL626" s="7">
        <f t="shared" si="212"/>
        <v>0</v>
      </c>
    </row>
    <row r="627" spans="1:38">
      <c r="A627" s="645">
        <v>928275</v>
      </c>
      <c r="B627" s="645" t="s">
        <v>2327</v>
      </c>
      <c r="C627" s="5" t="s">
        <v>2271</v>
      </c>
      <c r="D627" s="5" t="s">
        <v>922</v>
      </c>
      <c r="E627" s="5" t="s">
        <v>1762</v>
      </c>
      <c r="F627" s="132">
        <f>SUMIF('COLAR PLANO'!$A:$A,A627,'COLAR PLANO'!$D:$D)</f>
        <v>0</v>
      </c>
      <c r="G627" s="131">
        <f t="shared" si="206"/>
        <v>0</v>
      </c>
      <c r="H627" s="6">
        <v>4.0269633576350924E-2</v>
      </c>
      <c r="I627" s="7">
        <f t="shared" si="213"/>
        <v>0</v>
      </c>
      <c r="J627" s="130">
        <f t="shared" si="214"/>
        <v>0</v>
      </c>
      <c r="K627" s="645">
        <v>0.65</v>
      </c>
      <c r="L627" s="645">
        <v>15</v>
      </c>
      <c r="M627" s="645">
        <v>9.75</v>
      </c>
      <c r="N627" s="7">
        <f t="shared" si="209"/>
        <v>0</v>
      </c>
      <c r="O627" s="7"/>
      <c r="P627" s="7">
        <f t="shared" si="215"/>
        <v>0</v>
      </c>
      <c r="Q627" s="7"/>
      <c r="R627" s="7"/>
      <c r="S627" s="7"/>
      <c r="T627" s="7"/>
      <c r="U627" s="7" t="s">
        <v>2288</v>
      </c>
      <c r="V627" s="7" t="s">
        <v>2289</v>
      </c>
      <c r="W627" s="7" t="str">
        <f>Preencher!$B$3&amp;U627&amp;V627&amp;A627&amp;$W$6</f>
        <v>JARINU-FRG928275MQ.TUNEL DE CG (CONTINUO)</v>
      </c>
      <c r="X627" s="7" t="str">
        <f>Preencher!$B$3&amp;U627&amp;V627&amp;A627&amp;$X$6</f>
        <v>JARINU-FRG928275MQ.TUNEL DE CG (CONTINUO) (1)</v>
      </c>
      <c r="Y627" s="7" t="str">
        <f>Preencher!$B$3&amp;U627&amp;V627&amp;A627&amp;$Y$6</f>
        <v>JARINU-FRG928275MQ.TUNEL DE CG (CONTINUO) (2)</v>
      </c>
      <c r="Z627" s="7" t="str">
        <f>Preencher!$B$3&amp;U627&amp;V627&amp;A627&amp;$Z$6</f>
        <v>JARINU-FRG928275MQ.TUNEL DE CG (CONTINUO) (3)</v>
      </c>
      <c r="AA627" s="7" t="str">
        <f>Preencher!$B$3&amp;U627&amp;V627&amp;A627&amp;$AA$6</f>
        <v>JARINU-FRG928275MQ.TUNEL DE CG (ESTATICO)</v>
      </c>
      <c r="AB627" s="7" t="str">
        <f>Preencher!$B$3&amp;U627&amp;V627&amp;A627&amp;$AB$6</f>
        <v>JARINU-FRG928275MQ.TUNEL DE CG (ESTATICO) (1)</v>
      </c>
      <c r="AC627" s="7" t="str">
        <f>Preencher!$B$3&amp;U627&amp;V627&amp;A627&amp;$AC$6</f>
        <v>JARINU-FRG928275MQ.TUNEL DE CG (ESTATICO) (2)</v>
      </c>
      <c r="AD627" s="327">
        <f>IFERROR(SUMIF('BD Otimix'!A:A,'BD VOLUME'!X627,'BD Otimix'!O:O)+SUMIF('BD Otimix'!A:A,'BD VOLUME'!Y627,'BD Otimix'!O:O)+SUMIF('BD Otimix'!A:A,'BD VOLUME'!Z627,'BD Otimix'!O:O)+SUMIF('BD Otimix'!A:A,'BD VOLUME'!AA627,'BD Otimix'!O:O)+SUMIF('BD Otimix'!A:A,'BD VOLUME'!AB627,'BD Otimix'!O:O)+SUMIF('BD Otimix'!A:A,'BD VOLUME'!AC627,'BD Otimix'!O:O)+SUMIF('BD Otimix'!A:A,'BD VOLUME'!W627,'BD Otimix'!O:O),0)</f>
        <v>0</v>
      </c>
      <c r="AE627" s="327">
        <f t="shared" si="211"/>
        <v>0</v>
      </c>
      <c r="AF627" s="7" t="str">
        <f>Preencher!$B$3&amp;$U$8&amp;$V$8&amp;A627&amp;$AF$6</f>
        <v>JARINU-FRG928275MQ.GIROFREEZER</v>
      </c>
      <c r="AG627" s="7" t="str">
        <f>Preencher!$B$3&amp;$U$8&amp;$V$8&amp;A627&amp;$AG$6</f>
        <v>JARINU-FRG928275MQ.GIROFREEZER (1)</v>
      </c>
      <c r="AH627" s="7" t="str">
        <f>Preencher!$B$3&amp;$U$8&amp;$V$8&amp;A627&amp;$AH$6</f>
        <v>JARINU-FRG928275MQ.GIROFREEZER (2)</v>
      </c>
      <c r="AI627" s="7" t="str">
        <f>Preencher!$B$3&amp;$U$8&amp;$V$8&amp;A627&amp;$AI$6</f>
        <v>JARINU-FRG928275MQ.GIROFREEZER REV04</v>
      </c>
      <c r="AJ627" s="7" t="str">
        <f>Preencher!$B$3&amp;$U$8&amp;$V$8&amp;A627&amp;$AJ$6</f>
        <v>JARINU-FRG928275MQ.GIROFREEZER (3)</v>
      </c>
      <c r="AK627" s="327">
        <f>IFERROR(SUMIF('BD Otimix'!A:A,'BD VOLUME'!AG627,'BD Otimix'!O:O)+SUMIF('BD Otimix'!A:A,'BD VOLUME'!AH627,'BD Otimix'!O:O)+SUMIF('BD Otimix'!A:A,'BD VOLUME'!AI627,'BD Otimix'!O:O)+SUMIF('BD Otimix'!A:A,'BD VOLUME'!AJ627,'BD Otimix'!O:O)+SUMIF('BD Otimix'!A:A,'BD VOLUME'!AF627,'BD Otimix'!O:O),0)</f>
        <v>0</v>
      </c>
      <c r="AL627" s="7">
        <f t="shared" si="212"/>
        <v>0</v>
      </c>
    </row>
    <row r="628" spans="1:38">
      <c r="A628" s="417">
        <v>43035</v>
      </c>
      <c r="B628" s="417"/>
      <c r="C628" s="5" t="s">
        <v>1667</v>
      </c>
      <c r="D628" s="5" t="s">
        <v>1769</v>
      </c>
      <c r="E628" s="5" t="s">
        <v>1761</v>
      </c>
      <c r="F628" s="132">
        <f>SUMIF('COLAR PLANO'!$A:$A,A628,'COLAR PLANO'!$D:$D)</f>
        <v>0</v>
      </c>
      <c r="G628" s="131">
        <f t="shared" si="206"/>
        <v>0</v>
      </c>
      <c r="H628" s="6">
        <v>7.8141423222840803E-2</v>
      </c>
      <c r="I628" s="7">
        <f t="shared" si="213"/>
        <v>0</v>
      </c>
      <c r="J628" s="130">
        <f t="shared" si="214"/>
        <v>0</v>
      </c>
      <c r="K628" s="417">
        <v>0.75</v>
      </c>
      <c r="L628" s="417">
        <v>16</v>
      </c>
      <c r="M628" s="417">
        <v>12</v>
      </c>
      <c r="N628" s="7">
        <f t="shared" si="209"/>
        <v>0</v>
      </c>
      <c r="O628" s="7"/>
      <c r="P628" s="7">
        <f t="shared" si="215"/>
        <v>0</v>
      </c>
      <c r="Q628" s="7"/>
      <c r="R628" s="7"/>
      <c r="S628" s="7"/>
      <c r="T628" s="7"/>
      <c r="U628" s="7" t="s">
        <v>2288</v>
      </c>
      <c r="V628" s="7" t="s">
        <v>2289</v>
      </c>
      <c r="W628" s="7" t="str">
        <f>Preencher!$B$3&amp;U628&amp;V628&amp;A628&amp;$W$6</f>
        <v>JARINU-FRG43035MQ.TUNEL DE CG (CONTINUO)</v>
      </c>
      <c r="X628" s="7" t="str">
        <f>Preencher!$B$3&amp;U628&amp;V628&amp;A628&amp;$X$6</f>
        <v>JARINU-FRG43035MQ.TUNEL DE CG (CONTINUO) (1)</v>
      </c>
      <c r="Y628" s="7" t="str">
        <f>Preencher!$B$3&amp;U628&amp;V628&amp;A628&amp;$Y$6</f>
        <v>JARINU-FRG43035MQ.TUNEL DE CG (CONTINUO) (2)</v>
      </c>
      <c r="Z628" s="7" t="str">
        <f>Preencher!$B$3&amp;U628&amp;V628&amp;A628&amp;$Z$6</f>
        <v>JARINU-FRG43035MQ.TUNEL DE CG (CONTINUO) (3)</v>
      </c>
      <c r="AA628" s="7" t="str">
        <f>Preencher!$B$3&amp;U628&amp;V628&amp;A628&amp;$AA$6</f>
        <v>JARINU-FRG43035MQ.TUNEL DE CG (ESTATICO)</v>
      </c>
      <c r="AB628" s="7" t="str">
        <f>Preencher!$B$3&amp;U628&amp;V628&amp;A628&amp;$AB$6</f>
        <v>JARINU-FRG43035MQ.TUNEL DE CG (ESTATICO) (1)</v>
      </c>
      <c r="AC628" s="7" t="str">
        <f>Preencher!$B$3&amp;U628&amp;V628&amp;A628&amp;$AC$6</f>
        <v>JARINU-FRG43035MQ.TUNEL DE CG (ESTATICO) (2)</v>
      </c>
      <c r="AD628" s="327">
        <f>IFERROR(SUMIF('BD Otimix'!A:A,'BD VOLUME'!X628,'BD Otimix'!O:O)+SUMIF('BD Otimix'!A:A,'BD VOLUME'!Y628,'BD Otimix'!O:O)+SUMIF('BD Otimix'!A:A,'BD VOLUME'!Z628,'BD Otimix'!O:O)+SUMIF('BD Otimix'!A:A,'BD VOLUME'!AA628,'BD Otimix'!O:O)+SUMIF('BD Otimix'!A:A,'BD VOLUME'!AB628,'BD Otimix'!O:O)+SUMIF('BD Otimix'!A:A,'BD VOLUME'!AC628,'BD Otimix'!O:O)+SUMIF('BD Otimix'!A:A,'BD VOLUME'!W628,'BD Otimix'!O:O),0)</f>
        <v>0</v>
      </c>
      <c r="AE628" s="327">
        <f t="shared" si="211"/>
        <v>0</v>
      </c>
      <c r="AF628" s="7" t="str">
        <f>Preencher!$B$3&amp;$U$8&amp;$V$8&amp;A628&amp;$AF$6</f>
        <v>JARINU-FRG43035MQ.GIROFREEZER</v>
      </c>
      <c r="AG628" s="7" t="str">
        <f>Preencher!$B$3&amp;$U$8&amp;$V$8&amp;A628&amp;$AG$6</f>
        <v>JARINU-FRG43035MQ.GIROFREEZER (1)</v>
      </c>
      <c r="AH628" s="7" t="str">
        <f>Preencher!$B$3&amp;$U$8&amp;$V$8&amp;A628&amp;$AH$6</f>
        <v>JARINU-FRG43035MQ.GIROFREEZER (2)</v>
      </c>
      <c r="AI628" s="7" t="str">
        <f>Preencher!$B$3&amp;$U$8&amp;$V$8&amp;A628&amp;$AI$6</f>
        <v>JARINU-FRG43035MQ.GIROFREEZER REV04</v>
      </c>
      <c r="AJ628" s="7" t="str">
        <f>Preencher!$B$3&amp;$U$8&amp;$V$8&amp;A628&amp;$AJ$6</f>
        <v>JARINU-FRG43035MQ.GIROFREEZER (3)</v>
      </c>
      <c r="AK628" s="327">
        <f>IFERROR(SUMIF('BD Otimix'!A:A,'BD VOLUME'!AG628,'BD Otimix'!O:O)+SUMIF('BD Otimix'!A:A,'BD VOLUME'!AH628,'BD Otimix'!O:O)+SUMIF('BD Otimix'!A:A,'BD VOLUME'!AI628,'BD Otimix'!O:O)+SUMIF('BD Otimix'!A:A,'BD VOLUME'!AJ628,'BD Otimix'!O:O)+SUMIF('BD Otimix'!A:A,'BD VOLUME'!AF628,'BD Otimix'!O:O),0)</f>
        <v>0</v>
      </c>
      <c r="AL628" s="7">
        <f t="shared" si="212"/>
        <v>0</v>
      </c>
    </row>
    <row r="629" spans="1:38">
      <c r="A629" s="584">
        <v>729825</v>
      </c>
      <c r="B629" s="584" t="s">
        <v>2108</v>
      </c>
      <c r="C629" s="5" t="s">
        <v>2109</v>
      </c>
      <c r="D629" s="5" t="s">
        <v>1769</v>
      </c>
      <c r="E629" s="5" t="s">
        <v>1761</v>
      </c>
      <c r="F629" s="132">
        <f>SUMIF('COLAR PLANO'!$A:$A,A629,'COLAR PLANO'!$D:$D)</f>
        <v>0</v>
      </c>
      <c r="G629" s="131">
        <f t="shared" si="206"/>
        <v>0</v>
      </c>
      <c r="H629" s="6">
        <v>7.8141423222840803E-2</v>
      </c>
      <c r="I629" s="7">
        <f t="shared" si="213"/>
        <v>0</v>
      </c>
      <c r="J629" s="130">
        <f t="shared" si="214"/>
        <v>0</v>
      </c>
      <c r="K629" s="584">
        <v>0.65</v>
      </c>
      <c r="L629" s="584">
        <v>10</v>
      </c>
      <c r="M629" s="584">
        <v>6.5</v>
      </c>
      <c r="N629" s="7">
        <f t="shared" si="209"/>
        <v>0</v>
      </c>
      <c r="O629" s="7"/>
      <c r="P629" s="7">
        <f t="shared" si="215"/>
        <v>0</v>
      </c>
      <c r="Q629" s="7"/>
      <c r="R629" s="7"/>
      <c r="S629" s="7"/>
      <c r="T629" s="7"/>
      <c r="U629" s="7" t="s">
        <v>2288</v>
      </c>
      <c r="V629" s="7" t="s">
        <v>2289</v>
      </c>
      <c r="W629" s="7" t="str">
        <f>Preencher!$B$3&amp;U629&amp;V629&amp;A629&amp;$W$6</f>
        <v>JARINU-FRG729825MQ.TUNEL DE CG (CONTINUO)</v>
      </c>
      <c r="X629" s="7" t="str">
        <f>Preencher!$B$3&amp;U629&amp;V629&amp;A629&amp;$X$6</f>
        <v>JARINU-FRG729825MQ.TUNEL DE CG (CONTINUO) (1)</v>
      </c>
      <c r="Y629" s="7" t="str">
        <f>Preencher!$B$3&amp;U629&amp;V629&amp;A629&amp;$Y$6</f>
        <v>JARINU-FRG729825MQ.TUNEL DE CG (CONTINUO) (2)</v>
      </c>
      <c r="Z629" s="7" t="str">
        <f>Preencher!$B$3&amp;U629&amp;V629&amp;A629&amp;$Z$6</f>
        <v>JARINU-FRG729825MQ.TUNEL DE CG (CONTINUO) (3)</v>
      </c>
      <c r="AA629" s="7" t="str">
        <f>Preencher!$B$3&amp;U629&amp;V629&amp;A629&amp;$AA$6</f>
        <v>JARINU-FRG729825MQ.TUNEL DE CG (ESTATICO)</v>
      </c>
      <c r="AB629" s="7" t="str">
        <f>Preencher!$B$3&amp;U629&amp;V629&amp;A629&amp;$AB$6</f>
        <v>JARINU-FRG729825MQ.TUNEL DE CG (ESTATICO) (1)</v>
      </c>
      <c r="AC629" s="7" t="str">
        <f>Preencher!$B$3&amp;U629&amp;V629&amp;A629&amp;$AC$6</f>
        <v>JARINU-FRG729825MQ.TUNEL DE CG (ESTATICO) (2)</v>
      </c>
      <c r="AD629" s="327">
        <f>IFERROR(SUMIF('BD Otimix'!A:A,'BD VOLUME'!X629,'BD Otimix'!O:O)+SUMIF('BD Otimix'!A:A,'BD VOLUME'!Y629,'BD Otimix'!O:O)+SUMIF('BD Otimix'!A:A,'BD VOLUME'!Z629,'BD Otimix'!O:O)+SUMIF('BD Otimix'!A:A,'BD VOLUME'!AA629,'BD Otimix'!O:O)+SUMIF('BD Otimix'!A:A,'BD VOLUME'!AB629,'BD Otimix'!O:O)+SUMIF('BD Otimix'!A:A,'BD VOLUME'!AC629,'BD Otimix'!O:O)+SUMIF('BD Otimix'!A:A,'BD VOLUME'!W629,'BD Otimix'!O:O),0)</f>
        <v>0</v>
      </c>
      <c r="AE629" s="327">
        <f t="shared" si="211"/>
        <v>0</v>
      </c>
      <c r="AF629" s="7" t="str">
        <f>Preencher!$B$3&amp;$U$8&amp;$V$8&amp;A629&amp;$AF$6</f>
        <v>JARINU-FRG729825MQ.GIROFREEZER</v>
      </c>
      <c r="AG629" s="7" t="str">
        <f>Preencher!$B$3&amp;$U$8&amp;$V$8&amp;A629&amp;$AG$6</f>
        <v>JARINU-FRG729825MQ.GIROFREEZER (1)</v>
      </c>
      <c r="AH629" s="7" t="str">
        <f>Preencher!$B$3&amp;$U$8&amp;$V$8&amp;A629&amp;$AH$6</f>
        <v>JARINU-FRG729825MQ.GIROFREEZER (2)</v>
      </c>
      <c r="AI629" s="7" t="str">
        <f>Preencher!$B$3&amp;$U$8&amp;$V$8&amp;A629&amp;$AI$6</f>
        <v>JARINU-FRG729825MQ.GIROFREEZER REV04</v>
      </c>
      <c r="AJ629" s="7" t="str">
        <f>Preencher!$B$3&amp;$U$8&amp;$V$8&amp;A629&amp;$AJ$6</f>
        <v>JARINU-FRG729825MQ.GIROFREEZER (3)</v>
      </c>
      <c r="AK629" s="327">
        <f>IFERROR(SUMIF('BD Otimix'!A:A,'BD VOLUME'!AG629,'BD Otimix'!O:O)+SUMIF('BD Otimix'!A:A,'BD VOLUME'!AH629,'BD Otimix'!O:O)+SUMIF('BD Otimix'!A:A,'BD VOLUME'!AI629,'BD Otimix'!O:O)+SUMIF('BD Otimix'!A:A,'BD VOLUME'!AJ629,'BD Otimix'!O:O)+SUMIF('BD Otimix'!A:A,'BD VOLUME'!AF629,'BD Otimix'!O:O),0)</f>
        <v>0</v>
      </c>
      <c r="AL629" s="7">
        <f t="shared" si="212"/>
        <v>0</v>
      </c>
    </row>
    <row r="630" spans="1:38">
      <c r="A630" s="584">
        <v>792780</v>
      </c>
      <c r="B630" s="584" t="s">
        <v>2110</v>
      </c>
      <c r="C630" s="5" t="s">
        <v>2111</v>
      </c>
      <c r="D630" s="5" t="s">
        <v>1769</v>
      </c>
      <c r="E630" s="5" t="s">
        <v>2141</v>
      </c>
      <c r="F630" s="132">
        <f>SUMIF('COLAR PLANO'!$A:$A,A630,'COLAR PLANO'!$D:$D)</f>
        <v>0</v>
      </c>
      <c r="G630" s="131">
        <f t="shared" si="206"/>
        <v>0</v>
      </c>
      <c r="H630" s="6">
        <v>7.8141423222840803E-2</v>
      </c>
      <c r="I630" s="7">
        <f t="shared" si="213"/>
        <v>0</v>
      </c>
      <c r="J630" s="130">
        <f t="shared" si="214"/>
        <v>0</v>
      </c>
      <c r="K630" s="584">
        <v>15</v>
      </c>
      <c r="L630" s="584">
        <v>1</v>
      </c>
      <c r="M630" s="584">
        <v>15</v>
      </c>
      <c r="N630" s="7">
        <f t="shared" si="209"/>
        <v>0</v>
      </c>
      <c r="O630" s="7"/>
      <c r="P630" s="7">
        <f t="shared" si="215"/>
        <v>0</v>
      </c>
      <c r="Q630" s="7"/>
      <c r="R630" s="7"/>
      <c r="S630" s="7"/>
      <c r="T630" s="7"/>
      <c r="U630" s="7" t="s">
        <v>2288</v>
      </c>
      <c r="V630" s="7" t="s">
        <v>2289</v>
      </c>
      <c r="W630" s="7" t="str">
        <f>Preencher!$B$3&amp;U630&amp;V630&amp;A630&amp;$W$6</f>
        <v>JARINU-FRG792780MQ.TUNEL DE CG (CONTINUO)</v>
      </c>
      <c r="X630" s="7" t="str">
        <f>Preencher!$B$3&amp;U630&amp;V630&amp;A630&amp;$X$6</f>
        <v>JARINU-FRG792780MQ.TUNEL DE CG (CONTINUO) (1)</v>
      </c>
      <c r="Y630" s="7" t="str">
        <f>Preencher!$B$3&amp;U630&amp;V630&amp;A630&amp;$Y$6</f>
        <v>JARINU-FRG792780MQ.TUNEL DE CG (CONTINUO) (2)</v>
      </c>
      <c r="Z630" s="7" t="str">
        <f>Preencher!$B$3&amp;U630&amp;V630&amp;A630&amp;$Z$6</f>
        <v>JARINU-FRG792780MQ.TUNEL DE CG (CONTINUO) (3)</v>
      </c>
      <c r="AA630" s="7" t="str">
        <f>Preencher!$B$3&amp;U630&amp;V630&amp;A630&amp;$AA$6</f>
        <v>JARINU-FRG792780MQ.TUNEL DE CG (ESTATICO)</v>
      </c>
      <c r="AB630" s="7" t="str">
        <f>Preencher!$B$3&amp;U630&amp;V630&amp;A630&amp;$AB$6</f>
        <v>JARINU-FRG792780MQ.TUNEL DE CG (ESTATICO) (1)</v>
      </c>
      <c r="AC630" s="7" t="str">
        <f>Preencher!$B$3&amp;U630&amp;V630&amp;A630&amp;$AC$6</f>
        <v>JARINU-FRG792780MQ.TUNEL DE CG (ESTATICO) (2)</v>
      </c>
      <c r="AD630" s="327">
        <f>IFERROR(SUMIF('BD Otimix'!A:A,'BD VOLUME'!X630,'BD Otimix'!O:O)+SUMIF('BD Otimix'!A:A,'BD VOLUME'!Y630,'BD Otimix'!O:O)+SUMIF('BD Otimix'!A:A,'BD VOLUME'!Z630,'BD Otimix'!O:O)+SUMIF('BD Otimix'!A:A,'BD VOLUME'!AA630,'BD Otimix'!O:O)+SUMIF('BD Otimix'!A:A,'BD VOLUME'!AB630,'BD Otimix'!O:O)+SUMIF('BD Otimix'!A:A,'BD VOLUME'!AC630,'BD Otimix'!O:O)+SUMIF('BD Otimix'!A:A,'BD VOLUME'!W630,'BD Otimix'!O:O),0)</f>
        <v>0</v>
      </c>
      <c r="AE630" s="327">
        <f t="shared" si="211"/>
        <v>0</v>
      </c>
      <c r="AF630" s="7" t="str">
        <f>Preencher!$B$3&amp;$U$8&amp;$V$8&amp;A630&amp;$AF$6</f>
        <v>JARINU-FRG792780MQ.GIROFREEZER</v>
      </c>
      <c r="AG630" s="7" t="str">
        <f>Preencher!$B$3&amp;$U$8&amp;$V$8&amp;A630&amp;$AG$6</f>
        <v>JARINU-FRG792780MQ.GIROFREEZER (1)</v>
      </c>
      <c r="AH630" s="7" t="str">
        <f>Preencher!$B$3&amp;$U$8&amp;$V$8&amp;A630&amp;$AH$6</f>
        <v>JARINU-FRG792780MQ.GIROFREEZER (2)</v>
      </c>
      <c r="AI630" s="7" t="str">
        <f>Preencher!$B$3&amp;$U$8&amp;$V$8&amp;A630&amp;$AI$6</f>
        <v>JARINU-FRG792780MQ.GIROFREEZER REV04</v>
      </c>
      <c r="AJ630" s="7" t="str">
        <f>Preencher!$B$3&amp;$U$8&amp;$V$8&amp;A630&amp;$AJ$6</f>
        <v>JARINU-FRG792780MQ.GIROFREEZER (3)</v>
      </c>
      <c r="AK630" s="327">
        <f>IFERROR(SUMIF('BD Otimix'!A:A,'BD VOLUME'!AG630,'BD Otimix'!O:O)+SUMIF('BD Otimix'!A:A,'BD VOLUME'!AH630,'BD Otimix'!O:O)+SUMIF('BD Otimix'!A:A,'BD VOLUME'!AI630,'BD Otimix'!O:O)+SUMIF('BD Otimix'!A:A,'BD VOLUME'!AJ630,'BD Otimix'!O:O)+SUMIF('BD Otimix'!A:A,'BD VOLUME'!AF630,'BD Otimix'!O:O),0)</f>
        <v>0</v>
      </c>
      <c r="AL630" s="7">
        <f t="shared" si="212"/>
        <v>0</v>
      </c>
    </row>
    <row r="631" spans="1:38">
      <c r="A631" s="584">
        <v>792799</v>
      </c>
      <c r="B631" s="584" t="s">
        <v>2112</v>
      </c>
      <c r="C631" s="5" t="s">
        <v>2113</v>
      </c>
      <c r="D631" s="5" t="s">
        <v>1769</v>
      </c>
      <c r="E631" s="5" t="s">
        <v>2141</v>
      </c>
      <c r="F631" s="132">
        <f>SUMIF('COLAR PLANO'!$A:$A,A631,'COLAR PLANO'!$D:$D)</f>
        <v>0</v>
      </c>
      <c r="G631" s="131">
        <f t="shared" si="206"/>
        <v>0</v>
      </c>
      <c r="H631" s="6">
        <v>7.8141423222840803E-2</v>
      </c>
      <c r="I631" s="7">
        <f t="shared" si="213"/>
        <v>0</v>
      </c>
      <c r="J631" s="130">
        <f t="shared" si="214"/>
        <v>0</v>
      </c>
      <c r="K631" s="584">
        <v>15</v>
      </c>
      <c r="L631" s="584">
        <v>1</v>
      </c>
      <c r="M631" s="584">
        <v>15</v>
      </c>
      <c r="N631" s="7">
        <f t="shared" si="209"/>
        <v>0</v>
      </c>
      <c r="O631" s="7"/>
      <c r="P631" s="7">
        <f t="shared" si="215"/>
        <v>0</v>
      </c>
      <c r="Q631" s="7"/>
      <c r="R631" s="7"/>
      <c r="S631" s="7"/>
      <c r="T631" s="7"/>
      <c r="U631" s="7" t="s">
        <v>2288</v>
      </c>
      <c r="V631" s="7" t="s">
        <v>2289</v>
      </c>
      <c r="W631" s="7" t="str">
        <f>Preencher!$B$3&amp;U631&amp;V631&amp;A631&amp;$W$6</f>
        <v>JARINU-FRG792799MQ.TUNEL DE CG (CONTINUO)</v>
      </c>
      <c r="X631" s="7" t="str">
        <f>Preencher!$B$3&amp;U631&amp;V631&amp;A631&amp;$X$6</f>
        <v>JARINU-FRG792799MQ.TUNEL DE CG (CONTINUO) (1)</v>
      </c>
      <c r="Y631" s="7" t="str">
        <f>Preencher!$B$3&amp;U631&amp;V631&amp;A631&amp;$Y$6</f>
        <v>JARINU-FRG792799MQ.TUNEL DE CG (CONTINUO) (2)</v>
      </c>
      <c r="Z631" s="7" t="str">
        <f>Preencher!$B$3&amp;U631&amp;V631&amp;A631&amp;$Z$6</f>
        <v>JARINU-FRG792799MQ.TUNEL DE CG (CONTINUO) (3)</v>
      </c>
      <c r="AA631" s="7" t="str">
        <f>Preencher!$B$3&amp;U631&amp;V631&amp;A631&amp;$AA$6</f>
        <v>JARINU-FRG792799MQ.TUNEL DE CG (ESTATICO)</v>
      </c>
      <c r="AB631" s="7" t="str">
        <f>Preencher!$B$3&amp;U631&amp;V631&amp;A631&amp;$AB$6</f>
        <v>JARINU-FRG792799MQ.TUNEL DE CG (ESTATICO) (1)</v>
      </c>
      <c r="AC631" s="7" t="str">
        <f>Preencher!$B$3&amp;U631&amp;V631&amp;A631&amp;$AC$6</f>
        <v>JARINU-FRG792799MQ.TUNEL DE CG (ESTATICO) (2)</v>
      </c>
      <c r="AD631" s="327">
        <f>IFERROR(SUMIF('BD Otimix'!A:A,'BD VOLUME'!X631,'BD Otimix'!O:O)+SUMIF('BD Otimix'!A:A,'BD VOLUME'!Y631,'BD Otimix'!O:O)+SUMIF('BD Otimix'!A:A,'BD VOLUME'!Z631,'BD Otimix'!O:O)+SUMIF('BD Otimix'!A:A,'BD VOLUME'!AA631,'BD Otimix'!O:O)+SUMIF('BD Otimix'!A:A,'BD VOLUME'!AB631,'BD Otimix'!O:O)+SUMIF('BD Otimix'!A:A,'BD VOLUME'!AC631,'BD Otimix'!O:O)+SUMIF('BD Otimix'!A:A,'BD VOLUME'!W631,'BD Otimix'!O:O),0)</f>
        <v>0</v>
      </c>
      <c r="AE631" s="327">
        <f t="shared" si="211"/>
        <v>0</v>
      </c>
      <c r="AF631" s="7" t="str">
        <f>Preencher!$B$3&amp;$U$8&amp;$V$8&amp;A631&amp;$AF$6</f>
        <v>JARINU-FRG792799MQ.GIROFREEZER</v>
      </c>
      <c r="AG631" s="7" t="str">
        <f>Preencher!$B$3&amp;$U$8&amp;$V$8&amp;A631&amp;$AG$6</f>
        <v>JARINU-FRG792799MQ.GIROFREEZER (1)</v>
      </c>
      <c r="AH631" s="7" t="str">
        <f>Preencher!$B$3&amp;$U$8&amp;$V$8&amp;A631&amp;$AH$6</f>
        <v>JARINU-FRG792799MQ.GIROFREEZER (2)</v>
      </c>
      <c r="AI631" s="7" t="str">
        <f>Preencher!$B$3&amp;$U$8&amp;$V$8&amp;A631&amp;$AI$6</f>
        <v>JARINU-FRG792799MQ.GIROFREEZER REV04</v>
      </c>
      <c r="AJ631" s="7" t="str">
        <f>Preencher!$B$3&amp;$U$8&amp;$V$8&amp;A631&amp;$AJ$6</f>
        <v>JARINU-FRG792799MQ.GIROFREEZER (3)</v>
      </c>
      <c r="AK631" s="327">
        <f>IFERROR(SUMIF('BD Otimix'!A:A,'BD VOLUME'!AG631,'BD Otimix'!O:O)+SUMIF('BD Otimix'!A:A,'BD VOLUME'!AH631,'BD Otimix'!O:O)+SUMIF('BD Otimix'!A:A,'BD VOLUME'!AI631,'BD Otimix'!O:O)+SUMIF('BD Otimix'!A:A,'BD VOLUME'!AJ631,'BD Otimix'!O:O)+SUMIF('BD Otimix'!A:A,'BD VOLUME'!AF631,'BD Otimix'!O:O),0)</f>
        <v>0</v>
      </c>
      <c r="AL631" s="7">
        <f t="shared" si="212"/>
        <v>0</v>
      </c>
    </row>
    <row r="632" spans="1:38">
      <c r="A632" s="651">
        <v>958611</v>
      </c>
      <c r="B632" s="651" t="s">
        <v>2370</v>
      </c>
      <c r="C632" s="5" t="s">
        <v>1763</v>
      </c>
      <c r="D632" s="5" t="s">
        <v>1005</v>
      </c>
      <c r="E632" s="5" t="s">
        <v>1763</v>
      </c>
      <c r="F632" s="132">
        <f>SUMIF('COLAR PLANO'!$A:$A,A632,'COLAR PLANO'!$D:$D)</f>
        <v>0</v>
      </c>
      <c r="G632" s="131">
        <f t="shared" si="206"/>
        <v>0</v>
      </c>
      <c r="H632" s="6">
        <v>2.9504298614445066E-2</v>
      </c>
      <c r="I632" s="7">
        <f t="shared" si="213"/>
        <v>0</v>
      </c>
      <c r="J632" s="130">
        <f t="shared" si="214"/>
        <v>0</v>
      </c>
      <c r="K632" s="651">
        <v>1</v>
      </c>
      <c r="L632" s="651">
        <v>18</v>
      </c>
      <c r="M632" s="651">
        <v>18</v>
      </c>
      <c r="N632" s="7">
        <f t="shared" si="209"/>
        <v>0</v>
      </c>
      <c r="O632" s="7"/>
      <c r="P632" s="7">
        <f t="shared" si="215"/>
        <v>0</v>
      </c>
      <c r="Q632" s="7"/>
      <c r="R632" s="7"/>
      <c r="S632" s="7"/>
      <c r="T632" s="7"/>
      <c r="U632" s="7" t="s">
        <v>2288</v>
      </c>
      <c r="V632" s="7" t="s">
        <v>2289</v>
      </c>
      <c r="W632" s="7" t="str">
        <f>Preencher!$B$3&amp;U632&amp;V632&amp;A632&amp;$W$6</f>
        <v>JARINU-FRG958611MQ.TUNEL DE CG (CONTINUO)</v>
      </c>
      <c r="X632" s="7" t="str">
        <f>Preencher!$B$3&amp;U632&amp;V632&amp;A632&amp;$X$6</f>
        <v>JARINU-FRG958611MQ.TUNEL DE CG (CONTINUO) (1)</v>
      </c>
      <c r="Y632" s="7" t="str">
        <f>Preencher!$B$3&amp;U632&amp;V632&amp;A632&amp;$Y$6</f>
        <v>JARINU-FRG958611MQ.TUNEL DE CG (CONTINUO) (2)</v>
      </c>
      <c r="Z632" s="7" t="str">
        <f>Preencher!$B$3&amp;U632&amp;V632&amp;A632&amp;$Z$6</f>
        <v>JARINU-FRG958611MQ.TUNEL DE CG (CONTINUO) (3)</v>
      </c>
      <c r="AA632" s="7" t="str">
        <f>Preencher!$B$3&amp;U632&amp;V632&amp;A632&amp;$AA$6</f>
        <v>JARINU-FRG958611MQ.TUNEL DE CG (ESTATICO)</v>
      </c>
      <c r="AB632" s="7" t="str">
        <f>Preencher!$B$3&amp;U632&amp;V632&amp;A632&amp;$AB$6</f>
        <v>JARINU-FRG958611MQ.TUNEL DE CG (ESTATICO) (1)</v>
      </c>
      <c r="AC632" s="7" t="str">
        <f>Preencher!$B$3&amp;U632&amp;V632&amp;A632&amp;$AC$6</f>
        <v>JARINU-FRG958611MQ.TUNEL DE CG (ESTATICO) (2)</v>
      </c>
      <c r="AD632" s="327">
        <f>IFERROR(SUMIF('BD Otimix'!A:A,'BD VOLUME'!X632,'BD Otimix'!O:O)+SUMIF('BD Otimix'!A:A,'BD VOLUME'!Y632,'BD Otimix'!O:O)+SUMIF('BD Otimix'!A:A,'BD VOLUME'!Z632,'BD Otimix'!O:O)+SUMIF('BD Otimix'!A:A,'BD VOLUME'!AA632,'BD Otimix'!O:O)+SUMIF('BD Otimix'!A:A,'BD VOLUME'!AB632,'BD Otimix'!O:O)+SUMIF('BD Otimix'!A:A,'BD VOLUME'!AC632,'BD Otimix'!O:O)+SUMIF('BD Otimix'!A:A,'BD VOLUME'!W632,'BD Otimix'!O:O),0)</f>
        <v>0</v>
      </c>
      <c r="AE632" s="327">
        <f t="shared" si="211"/>
        <v>0</v>
      </c>
      <c r="AF632" s="7" t="str">
        <f>Preencher!$B$3&amp;$U$8&amp;$V$8&amp;A632&amp;$AF$6</f>
        <v>JARINU-FRG958611MQ.GIROFREEZER</v>
      </c>
      <c r="AG632" s="7" t="str">
        <f>Preencher!$B$3&amp;$U$8&amp;$V$8&amp;A632&amp;$AG$6</f>
        <v>JARINU-FRG958611MQ.GIROFREEZER (1)</v>
      </c>
      <c r="AH632" s="7" t="str">
        <f>Preencher!$B$3&amp;$U$8&amp;$V$8&amp;A632&amp;$AH$6</f>
        <v>JARINU-FRG958611MQ.GIROFREEZER (2)</v>
      </c>
      <c r="AI632" s="7" t="str">
        <f>Preencher!$B$3&amp;$U$8&amp;$V$8&amp;A632&amp;$AI$6</f>
        <v>JARINU-FRG958611MQ.GIROFREEZER REV04</v>
      </c>
      <c r="AJ632" s="7" t="str">
        <f>Preencher!$B$3&amp;$U$8&amp;$V$8&amp;A632&amp;$AJ$6</f>
        <v>JARINU-FRG958611MQ.GIROFREEZER (3)</v>
      </c>
      <c r="AK632" s="327">
        <f>IFERROR(SUMIF('BD Otimix'!A:A,'BD VOLUME'!AG632,'BD Otimix'!O:O)+SUMIF('BD Otimix'!A:A,'BD VOLUME'!AH632,'BD Otimix'!O:O)+SUMIF('BD Otimix'!A:A,'BD VOLUME'!AI632,'BD Otimix'!O:O)+SUMIF('BD Otimix'!A:A,'BD VOLUME'!AJ632,'BD Otimix'!O:O)+SUMIF('BD Otimix'!A:A,'BD VOLUME'!AF632,'BD Otimix'!O:O),0)</f>
        <v>0</v>
      </c>
      <c r="AL632" s="7">
        <f t="shared" si="212"/>
        <v>0</v>
      </c>
    </row>
    <row r="633" spans="1:38">
      <c r="A633" s="685">
        <v>124039</v>
      </c>
      <c r="B633" s="685"/>
      <c r="C633" s="5" t="s">
        <v>2521</v>
      </c>
      <c r="D633" s="5" t="s">
        <v>922</v>
      </c>
      <c r="E633" s="5" t="s">
        <v>1014</v>
      </c>
      <c r="F633" s="132">
        <f>SUMIF('COLAR PLANO'!$A:$A,A633,'COLAR PLANO'!$D:$D)</f>
        <v>0</v>
      </c>
      <c r="G633" s="131">
        <f t="shared" si="206"/>
        <v>0</v>
      </c>
      <c r="H633" s="6">
        <v>4.0269633576350924E-2</v>
      </c>
      <c r="I633" s="7">
        <f t="shared" si="213"/>
        <v>0</v>
      </c>
      <c r="J633" s="130">
        <f t="shared" si="214"/>
        <v>0</v>
      </c>
      <c r="K633" s="685">
        <v>1</v>
      </c>
      <c r="L633" s="685">
        <v>18</v>
      </c>
      <c r="M633" s="685">
        <v>18</v>
      </c>
      <c r="N633" s="7">
        <f t="shared" si="209"/>
        <v>0</v>
      </c>
      <c r="O633" s="7"/>
      <c r="P633" s="7">
        <f t="shared" si="215"/>
        <v>0</v>
      </c>
      <c r="Q633" s="7"/>
      <c r="R633" s="7"/>
      <c r="S633" s="7"/>
      <c r="T633" s="7"/>
      <c r="U633" s="7" t="s">
        <v>2288</v>
      </c>
      <c r="V633" s="7" t="s">
        <v>2289</v>
      </c>
      <c r="W633" s="7" t="str">
        <f>Preencher!$B$3&amp;U633&amp;V633&amp;A633&amp;$W$6</f>
        <v>JARINU-FRG124039MQ.TUNEL DE CG (CONTINUO)</v>
      </c>
      <c r="X633" s="7" t="str">
        <f>Preencher!$B$3&amp;U633&amp;V633&amp;A633&amp;$X$6</f>
        <v>JARINU-FRG124039MQ.TUNEL DE CG (CONTINUO) (1)</v>
      </c>
      <c r="Y633" s="7" t="str">
        <f>Preencher!$B$3&amp;U633&amp;V633&amp;A633&amp;$Y$6</f>
        <v>JARINU-FRG124039MQ.TUNEL DE CG (CONTINUO) (2)</v>
      </c>
      <c r="Z633" s="7" t="str">
        <f>Preencher!$B$3&amp;U633&amp;V633&amp;A633&amp;$Z$6</f>
        <v>JARINU-FRG124039MQ.TUNEL DE CG (CONTINUO) (3)</v>
      </c>
      <c r="AA633" s="7" t="str">
        <f>Preencher!$B$3&amp;U633&amp;V633&amp;A633&amp;$AA$6</f>
        <v>JARINU-FRG124039MQ.TUNEL DE CG (ESTATICO)</v>
      </c>
      <c r="AB633" s="7" t="str">
        <f>Preencher!$B$3&amp;U633&amp;V633&amp;A633&amp;$AB$6</f>
        <v>JARINU-FRG124039MQ.TUNEL DE CG (ESTATICO) (1)</v>
      </c>
      <c r="AC633" s="7" t="str">
        <f>Preencher!$B$3&amp;U633&amp;V633&amp;A633&amp;$AC$6</f>
        <v>JARINU-FRG124039MQ.TUNEL DE CG (ESTATICO) (2)</v>
      </c>
      <c r="AD633" s="327">
        <f>IFERROR(SUMIF('BD Otimix'!A:A,'BD VOLUME'!X633,'BD Otimix'!O:O)+SUMIF('BD Otimix'!A:A,'BD VOLUME'!Y633,'BD Otimix'!O:O)+SUMIF('BD Otimix'!A:A,'BD VOLUME'!Z633,'BD Otimix'!O:O)+SUMIF('BD Otimix'!A:A,'BD VOLUME'!AA633,'BD Otimix'!O:O)+SUMIF('BD Otimix'!A:A,'BD VOLUME'!AB633,'BD Otimix'!O:O)+SUMIF('BD Otimix'!A:A,'BD VOLUME'!AC633,'BD Otimix'!O:O)+SUMIF('BD Otimix'!A:A,'BD VOLUME'!W633,'BD Otimix'!O:O),0)</f>
        <v>0</v>
      </c>
      <c r="AE633" s="327">
        <f t="shared" ref="AE633:AE642" si="218">IFERROR(F633/$E$3/1000/AD633,0)</f>
        <v>0</v>
      </c>
      <c r="AF633" s="7" t="str">
        <f>Preencher!$B$3&amp;$U$8&amp;$V$8&amp;A633&amp;$AF$6</f>
        <v>JARINU-FRG124039MQ.GIROFREEZER</v>
      </c>
      <c r="AG633" s="7" t="str">
        <f>Preencher!$B$3&amp;$U$8&amp;$V$8&amp;A633&amp;$AG$6</f>
        <v>JARINU-FRG124039MQ.GIROFREEZER (1)</v>
      </c>
      <c r="AH633" s="7" t="str">
        <f>Preencher!$B$3&amp;$U$8&amp;$V$8&amp;A633&amp;$AH$6</f>
        <v>JARINU-FRG124039MQ.GIROFREEZER (2)</v>
      </c>
      <c r="AI633" s="7" t="str">
        <f>Preencher!$B$3&amp;$U$8&amp;$V$8&amp;A633&amp;$AI$6</f>
        <v>JARINU-FRG124039MQ.GIROFREEZER REV04</v>
      </c>
      <c r="AJ633" s="7" t="str">
        <f>Preencher!$B$3&amp;$U$8&amp;$V$8&amp;A633&amp;$AJ$6</f>
        <v>JARINU-FRG124039MQ.GIROFREEZER (3)</v>
      </c>
      <c r="AK633" s="327">
        <f>IFERROR(SUMIF('BD Otimix'!A:A,'BD VOLUME'!AG633,'BD Otimix'!O:O)+SUMIF('BD Otimix'!A:A,'BD VOLUME'!AH633,'BD Otimix'!O:O)+SUMIF('BD Otimix'!A:A,'BD VOLUME'!AI633,'BD Otimix'!O:O)+SUMIF('BD Otimix'!A:A,'BD VOLUME'!AJ633,'BD Otimix'!O:O)+SUMIF('BD Otimix'!A:A,'BD VOLUME'!AF633,'BD Otimix'!O:O),0)</f>
        <v>0</v>
      </c>
      <c r="AL633" s="7">
        <f t="shared" ref="AL633:AL642" si="219">IFERROR(F633/$E$3/1000/AK633,0)</f>
        <v>0</v>
      </c>
    </row>
    <row r="634" spans="1:38">
      <c r="A634" s="685">
        <v>124350</v>
      </c>
      <c r="B634" s="685"/>
      <c r="C634" s="5" t="s">
        <v>2521</v>
      </c>
      <c r="D634" s="5" t="s">
        <v>922</v>
      </c>
      <c r="E634" s="5" t="s">
        <v>1014</v>
      </c>
      <c r="F634" s="132">
        <f>SUMIF('COLAR PLANO'!$A:$A,A634,'COLAR PLANO'!$D:$D)</f>
        <v>0</v>
      </c>
      <c r="G634" s="131">
        <f t="shared" si="206"/>
        <v>0</v>
      </c>
      <c r="H634" s="6">
        <v>4.0269633576350924E-2</v>
      </c>
      <c r="I634" s="7">
        <f t="shared" si="213"/>
        <v>0</v>
      </c>
      <c r="J634" s="130">
        <f t="shared" si="214"/>
        <v>0</v>
      </c>
      <c r="K634" s="685">
        <v>1</v>
      </c>
      <c r="L634" s="685">
        <v>18</v>
      </c>
      <c r="M634" s="685">
        <v>18</v>
      </c>
      <c r="N634" s="7">
        <f t="shared" si="209"/>
        <v>0</v>
      </c>
      <c r="O634" s="7"/>
      <c r="P634" s="7">
        <f t="shared" si="215"/>
        <v>0</v>
      </c>
      <c r="Q634" s="7"/>
      <c r="R634" s="7"/>
      <c r="S634" s="7"/>
      <c r="T634" s="7"/>
      <c r="U634" s="7" t="s">
        <v>2288</v>
      </c>
      <c r="V634" s="7" t="s">
        <v>2289</v>
      </c>
      <c r="W634" s="7" t="str">
        <f>Preencher!$B$3&amp;U634&amp;V634&amp;A634&amp;$W$6</f>
        <v>JARINU-FRG124350MQ.TUNEL DE CG (CONTINUO)</v>
      </c>
      <c r="X634" s="7" t="str">
        <f>Preencher!$B$3&amp;U634&amp;V634&amp;A634&amp;$X$6</f>
        <v>JARINU-FRG124350MQ.TUNEL DE CG (CONTINUO) (1)</v>
      </c>
      <c r="Y634" s="7" t="str">
        <f>Preencher!$B$3&amp;U634&amp;V634&amp;A634&amp;$Y$6</f>
        <v>JARINU-FRG124350MQ.TUNEL DE CG (CONTINUO) (2)</v>
      </c>
      <c r="Z634" s="7" t="str">
        <f>Preencher!$B$3&amp;U634&amp;V634&amp;A634&amp;$Z$6</f>
        <v>JARINU-FRG124350MQ.TUNEL DE CG (CONTINUO) (3)</v>
      </c>
      <c r="AA634" s="7" t="str">
        <f>Preencher!$B$3&amp;U634&amp;V634&amp;A634&amp;$AA$6</f>
        <v>JARINU-FRG124350MQ.TUNEL DE CG (ESTATICO)</v>
      </c>
      <c r="AB634" s="7" t="str">
        <f>Preencher!$B$3&amp;U634&amp;V634&amp;A634&amp;$AB$6</f>
        <v>JARINU-FRG124350MQ.TUNEL DE CG (ESTATICO) (1)</v>
      </c>
      <c r="AC634" s="7" t="str">
        <f>Preencher!$B$3&amp;U634&amp;V634&amp;A634&amp;$AC$6</f>
        <v>JARINU-FRG124350MQ.TUNEL DE CG (ESTATICO) (2)</v>
      </c>
      <c r="AD634" s="327">
        <f>IFERROR(SUMIF('BD Otimix'!A:A,'BD VOLUME'!X634,'BD Otimix'!O:O)+SUMIF('BD Otimix'!A:A,'BD VOLUME'!Y634,'BD Otimix'!O:O)+SUMIF('BD Otimix'!A:A,'BD VOLUME'!Z634,'BD Otimix'!O:O)+SUMIF('BD Otimix'!A:A,'BD VOLUME'!AA634,'BD Otimix'!O:O)+SUMIF('BD Otimix'!A:A,'BD VOLUME'!AB634,'BD Otimix'!O:O)+SUMIF('BD Otimix'!A:A,'BD VOLUME'!AC634,'BD Otimix'!O:O)+SUMIF('BD Otimix'!A:A,'BD VOLUME'!W634,'BD Otimix'!O:O),0)</f>
        <v>0</v>
      </c>
      <c r="AE634" s="327">
        <f t="shared" si="218"/>
        <v>0</v>
      </c>
      <c r="AF634" s="7" t="str">
        <f>Preencher!$B$3&amp;$U$8&amp;$V$8&amp;A634&amp;$AF$6</f>
        <v>JARINU-FRG124350MQ.GIROFREEZER</v>
      </c>
      <c r="AG634" s="7" t="str">
        <f>Preencher!$B$3&amp;$U$8&amp;$V$8&amp;A634&amp;$AG$6</f>
        <v>JARINU-FRG124350MQ.GIROFREEZER (1)</v>
      </c>
      <c r="AH634" s="7" t="str">
        <f>Preencher!$B$3&amp;$U$8&amp;$V$8&amp;A634&amp;$AH$6</f>
        <v>JARINU-FRG124350MQ.GIROFREEZER (2)</v>
      </c>
      <c r="AI634" s="7" t="str">
        <f>Preencher!$B$3&amp;$U$8&amp;$V$8&amp;A634&amp;$AI$6</f>
        <v>JARINU-FRG124350MQ.GIROFREEZER REV04</v>
      </c>
      <c r="AJ634" s="7" t="str">
        <f>Preencher!$B$3&amp;$U$8&amp;$V$8&amp;A634&amp;$AJ$6</f>
        <v>JARINU-FRG124350MQ.GIROFREEZER (3)</v>
      </c>
      <c r="AK634" s="327">
        <f>IFERROR(SUMIF('BD Otimix'!A:A,'BD VOLUME'!AG634,'BD Otimix'!O:O)+SUMIF('BD Otimix'!A:A,'BD VOLUME'!AH634,'BD Otimix'!O:O)+SUMIF('BD Otimix'!A:A,'BD VOLUME'!AI634,'BD Otimix'!O:O)+SUMIF('BD Otimix'!A:A,'BD VOLUME'!AJ634,'BD Otimix'!O:O)+SUMIF('BD Otimix'!A:A,'BD VOLUME'!AF634,'BD Otimix'!O:O),0)</f>
        <v>0</v>
      </c>
      <c r="AL634" s="7">
        <f t="shared" si="219"/>
        <v>0</v>
      </c>
    </row>
    <row r="635" spans="1:38">
      <c r="A635" s="685">
        <v>124358</v>
      </c>
      <c r="B635" s="685"/>
      <c r="C635" s="5" t="s">
        <v>2522</v>
      </c>
      <c r="D635" s="5" t="s">
        <v>922</v>
      </c>
      <c r="E635" s="5" t="s">
        <v>1015</v>
      </c>
      <c r="F635" s="132">
        <f>SUMIF('COLAR PLANO'!$A:$A,A635,'COLAR PLANO'!$D:$D)</f>
        <v>0</v>
      </c>
      <c r="G635" s="131">
        <f t="shared" si="206"/>
        <v>0</v>
      </c>
      <c r="H635" s="6">
        <v>4.0269633576350924E-2</v>
      </c>
      <c r="I635" s="7">
        <f t="shared" si="213"/>
        <v>0</v>
      </c>
      <c r="J635" s="130">
        <f t="shared" si="214"/>
        <v>0</v>
      </c>
      <c r="K635" s="685">
        <v>1</v>
      </c>
      <c r="L635" s="685">
        <v>18</v>
      </c>
      <c r="M635" s="685">
        <v>18</v>
      </c>
      <c r="N635" s="7">
        <f t="shared" si="209"/>
        <v>0</v>
      </c>
      <c r="O635" s="7"/>
      <c r="P635" s="7">
        <f t="shared" si="215"/>
        <v>0</v>
      </c>
      <c r="Q635" s="7"/>
      <c r="R635" s="7"/>
      <c r="S635" s="7"/>
      <c r="T635" s="7"/>
      <c r="U635" s="7" t="s">
        <v>2288</v>
      </c>
      <c r="V635" s="7" t="s">
        <v>2289</v>
      </c>
      <c r="W635" s="7" t="str">
        <f>Preencher!$B$3&amp;U635&amp;V635&amp;A635&amp;$W$6</f>
        <v>JARINU-FRG124358MQ.TUNEL DE CG (CONTINUO)</v>
      </c>
      <c r="X635" s="7" t="str">
        <f>Preencher!$B$3&amp;U635&amp;V635&amp;A635&amp;$X$6</f>
        <v>JARINU-FRG124358MQ.TUNEL DE CG (CONTINUO) (1)</v>
      </c>
      <c r="Y635" s="7" t="str">
        <f>Preencher!$B$3&amp;U635&amp;V635&amp;A635&amp;$Y$6</f>
        <v>JARINU-FRG124358MQ.TUNEL DE CG (CONTINUO) (2)</v>
      </c>
      <c r="Z635" s="7" t="str">
        <f>Preencher!$B$3&amp;U635&amp;V635&amp;A635&amp;$Z$6</f>
        <v>JARINU-FRG124358MQ.TUNEL DE CG (CONTINUO) (3)</v>
      </c>
      <c r="AA635" s="7" t="str">
        <f>Preencher!$B$3&amp;U635&amp;V635&amp;A635&amp;$AA$6</f>
        <v>JARINU-FRG124358MQ.TUNEL DE CG (ESTATICO)</v>
      </c>
      <c r="AB635" s="7" t="str">
        <f>Preencher!$B$3&amp;U635&amp;V635&amp;A635&amp;$AB$6</f>
        <v>JARINU-FRG124358MQ.TUNEL DE CG (ESTATICO) (1)</v>
      </c>
      <c r="AC635" s="7" t="str">
        <f>Preencher!$B$3&amp;U635&amp;V635&amp;A635&amp;$AC$6</f>
        <v>JARINU-FRG124358MQ.TUNEL DE CG (ESTATICO) (2)</v>
      </c>
      <c r="AD635" s="327">
        <f>IFERROR(SUMIF('BD Otimix'!A:A,'BD VOLUME'!X635,'BD Otimix'!O:O)+SUMIF('BD Otimix'!A:A,'BD VOLUME'!Y635,'BD Otimix'!O:O)+SUMIF('BD Otimix'!A:A,'BD VOLUME'!Z635,'BD Otimix'!O:O)+SUMIF('BD Otimix'!A:A,'BD VOLUME'!AA635,'BD Otimix'!O:O)+SUMIF('BD Otimix'!A:A,'BD VOLUME'!AB635,'BD Otimix'!O:O)+SUMIF('BD Otimix'!A:A,'BD VOLUME'!AC635,'BD Otimix'!O:O)+SUMIF('BD Otimix'!A:A,'BD VOLUME'!W635,'BD Otimix'!O:O),0)</f>
        <v>0</v>
      </c>
      <c r="AE635" s="327">
        <f t="shared" si="218"/>
        <v>0</v>
      </c>
      <c r="AF635" s="7" t="str">
        <f>Preencher!$B$3&amp;$U$8&amp;$V$8&amp;A635&amp;$AF$6</f>
        <v>JARINU-FRG124358MQ.GIROFREEZER</v>
      </c>
      <c r="AG635" s="7" t="str">
        <f>Preencher!$B$3&amp;$U$8&amp;$V$8&amp;A635&amp;$AG$6</f>
        <v>JARINU-FRG124358MQ.GIROFREEZER (1)</v>
      </c>
      <c r="AH635" s="7" t="str">
        <f>Preencher!$B$3&amp;$U$8&amp;$V$8&amp;A635&amp;$AH$6</f>
        <v>JARINU-FRG124358MQ.GIROFREEZER (2)</v>
      </c>
      <c r="AI635" s="7" t="str">
        <f>Preencher!$B$3&amp;$U$8&amp;$V$8&amp;A635&amp;$AI$6</f>
        <v>JARINU-FRG124358MQ.GIROFREEZER REV04</v>
      </c>
      <c r="AJ635" s="7" t="str">
        <f>Preencher!$B$3&amp;$U$8&amp;$V$8&amp;A635&amp;$AJ$6</f>
        <v>JARINU-FRG124358MQ.GIROFREEZER (3)</v>
      </c>
      <c r="AK635" s="327">
        <f>IFERROR(SUMIF('BD Otimix'!A:A,'BD VOLUME'!AG635,'BD Otimix'!O:O)+SUMIF('BD Otimix'!A:A,'BD VOLUME'!AH635,'BD Otimix'!O:O)+SUMIF('BD Otimix'!A:A,'BD VOLUME'!AI635,'BD Otimix'!O:O)+SUMIF('BD Otimix'!A:A,'BD VOLUME'!AJ635,'BD Otimix'!O:O)+SUMIF('BD Otimix'!A:A,'BD VOLUME'!AF635,'BD Otimix'!O:O),0)</f>
        <v>0</v>
      </c>
      <c r="AL635" s="7">
        <f t="shared" si="219"/>
        <v>0</v>
      </c>
    </row>
    <row r="636" spans="1:38">
      <c r="A636" s="685">
        <v>124363</v>
      </c>
      <c r="B636" s="685"/>
      <c r="C636" s="5" t="s">
        <v>2523</v>
      </c>
      <c r="D636" s="5" t="s">
        <v>922</v>
      </c>
      <c r="E636" s="5" t="s">
        <v>2562</v>
      </c>
      <c r="F636" s="132">
        <f>SUMIF('COLAR PLANO'!$A:$A,A636,'COLAR PLANO'!$D:$D)</f>
        <v>0</v>
      </c>
      <c r="G636" s="131">
        <f t="shared" si="206"/>
        <v>0</v>
      </c>
      <c r="H636" s="6">
        <v>4.0269633576350924E-2</v>
      </c>
      <c r="I636" s="7">
        <f t="shared" si="213"/>
        <v>0</v>
      </c>
      <c r="J636" s="130">
        <f t="shared" si="214"/>
        <v>0</v>
      </c>
      <c r="K636" s="685">
        <v>1</v>
      </c>
      <c r="L636" s="685">
        <v>18</v>
      </c>
      <c r="M636" s="685">
        <v>18</v>
      </c>
      <c r="N636" s="7">
        <f t="shared" si="209"/>
        <v>0</v>
      </c>
      <c r="O636" s="7"/>
      <c r="P636" s="7">
        <f t="shared" si="215"/>
        <v>0</v>
      </c>
      <c r="Q636" s="7"/>
      <c r="R636" s="7"/>
      <c r="S636" s="7"/>
      <c r="T636" s="7"/>
      <c r="U636" s="7" t="s">
        <v>2288</v>
      </c>
      <c r="V636" s="7" t="s">
        <v>2289</v>
      </c>
      <c r="W636" s="7" t="str">
        <f>Preencher!$B$3&amp;U636&amp;V636&amp;A636&amp;$W$6</f>
        <v>JARINU-FRG124363MQ.TUNEL DE CG (CONTINUO)</v>
      </c>
      <c r="X636" s="7" t="str">
        <f>Preencher!$B$3&amp;U636&amp;V636&amp;A636&amp;$X$6</f>
        <v>JARINU-FRG124363MQ.TUNEL DE CG (CONTINUO) (1)</v>
      </c>
      <c r="Y636" s="7" t="str">
        <f>Preencher!$B$3&amp;U636&amp;V636&amp;A636&amp;$Y$6</f>
        <v>JARINU-FRG124363MQ.TUNEL DE CG (CONTINUO) (2)</v>
      </c>
      <c r="Z636" s="7" t="str">
        <f>Preencher!$B$3&amp;U636&amp;V636&amp;A636&amp;$Z$6</f>
        <v>JARINU-FRG124363MQ.TUNEL DE CG (CONTINUO) (3)</v>
      </c>
      <c r="AA636" s="7" t="str">
        <f>Preencher!$B$3&amp;U636&amp;V636&amp;A636&amp;$AA$6</f>
        <v>JARINU-FRG124363MQ.TUNEL DE CG (ESTATICO)</v>
      </c>
      <c r="AB636" s="7" t="str">
        <f>Preencher!$B$3&amp;U636&amp;V636&amp;A636&amp;$AB$6</f>
        <v>JARINU-FRG124363MQ.TUNEL DE CG (ESTATICO) (1)</v>
      </c>
      <c r="AC636" s="7" t="str">
        <f>Preencher!$B$3&amp;U636&amp;V636&amp;A636&amp;$AC$6</f>
        <v>JARINU-FRG124363MQ.TUNEL DE CG (ESTATICO) (2)</v>
      </c>
      <c r="AD636" s="327">
        <f>IFERROR(SUMIF('BD Otimix'!A:A,'BD VOLUME'!X636,'BD Otimix'!O:O)+SUMIF('BD Otimix'!A:A,'BD VOLUME'!Y636,'BD Otimix'!O:O)+SUMIF('BD Otimix'!A:A,'BD VOLUME'!Z636,'BD Otimix'!O:O)+SUMIF('BD Otimix'!A:A,'BD VOLUME'!AA636,'BD Otimix'!O:O)+SUMIF('BD Otimix'!A:A,'BD VOLUME'!AB636,'BD Otimix'!O:O)+SUMIF('BD Otimix'!A:A,'BD VOLUME'!AC636,'BD Otimix'!O:O)+SUMIF('BD Otimix'!A:A,'BD VOLUME'!W636,'BD Otimix'!O:O),0)</f>
        <v>0</v>
      </c>
      <c r="AE636" s="327">
        <f t="shared" si="218"/>
        <v>0</v>
      </c>
      <c r="AF636" s="7" t="str">
        <f>Preencher!$B$3&amp;$U$8&amp;$V$8&amp;A636&amp;$AF$6</f>
        <v>JARINU-FRG124363MQ.GIROFREEZER</v>
      </c>
      <c r="AG636" s="7" t="str">
        <f>Preencher!$B$3&amp;$U$8&amp;$V$8&amp;A636&amp;$AG$6</f>
        <v>JARINU-FRG124363MQ.GIROFREEZER (1)</v>
      </c>
      <c r="AH636" s="7" t="str">
        <f>Preencher!$B$3&amp;$U$8&amp;$V$8&amp;A636&amp;$AH$6</f>
        <v>JARINU-FRG124363MQ.GIROFREEZER (2)</v>
      </c>
      <c r="AI636" s="7" t="str">
        <f>Preencher!$B$3&amp;$U$8&amp;$V$8&amp;A636&amp;$AI$6</f>
        <v>JARINU-FRG124363MQ.GIROFREEZER REV04</v>
      </c>
      <c r="AJ636" s="7" t="str">
        <f>Preencher!$B$3&amp;$U$8&amp;$V$8&amp;A636&amp;$AJ$6</f>
        <v>JARINU-FRG124363MQ.GIROFREEZER (3)</v>
      </c>
      <c r="AK636" s="327">
        <f>IFERROR(SUMIF('BD Otimix'!A:A,'BD VOLUME'!AG636,'BD Otimix'!O:O)+SUMIF('BD Otimix'!A:A,'BD VOLUME'!AH636,'BD Otimix'!O:O)+SUMIF('BD Otimix'!A:A,'BD VOLUME'!AI636,'BD Otimix'!O:O)+SUMIF('BD Otimix'!A:A,'BD VOLUME'!AJ636,'BD Otimix'!O:O)+SUMIF('BD Otimix'!A:A,'BD VOLUME'!AF636,'BD Otimix'!O:O),0)</f>
        <v>0</v>
      </c>
      <c r="AL636" s="7">
        <f t="shared" si="219"/>
        <v>0</v>
      </c>
    </row>
    <row r="637" spans="1:38">
      <c r="A637" s="685">
        <v>124458</v>
      </c>
      <c r="B637" s="685"/>
      <c r="C637" s="5" t="s">
        <v>2524</v>
      </c>
      <c r="D637" s="5" t="s">
        <v>922</v>
      </c>
      <c r="E637" s="5" t="s">
        <v>1882</v>
      </c>
      <c r="F637" s="132">
        <f>SUMIF('COLAR PLANO'!$A:$A,A637,'COLAR PLANO'!$D:$D)</f>
        <v>0</v>
      </c>
      <c r="G637" s="131">
        <f t="shared" si="206"/>
        <v>0</v>
      </c>
      <c r="H637" s="6">
        <v>4.0269633576350924E-2</v>
      </c>
      <c r="I637" s="7">
        <f t="shared" si="213"/>
        <v>0</v>
      </c>
      <c r="J637" s="130">
        <f t="shared" si="214"/>
        <v>0</v>
      </c>
      <c r="K637" s="685">
        <v>1</v>
      </c>
      <c r="L637" s="685">
        <v>18</v>
      </c>
      <c r="M637" s="685">
        <v>18</v>
      </c>
      <c r="N637" s="7">
        <f t="shared" si="209"/>
        <v>0</v>
      </c>
      <c r="O637" s="7"/>
      <c r="P637" s="7">
        <f t="shared" si="215"/>
        <v>0</v>
      </c>
      <c r="Q637" s="7"/>
      <c r="R637" s="7"/>
      <c r="S637" s="7"/>
      <c r="T637" s="7"/>
      <c r="U637" s="7" t="s">
        <v>2288</v>
      </c>
      <c r="V637" s="7" t="s">
        <v>2289</v>
      </c>
      <c r="W637" s="7" t="str">
        <f>Preencher!$B$3&amp;U637&amp;V637&amp;A637&amp;$W$6</f>
        <v>JARINU-FRG124458MQ.TUNEL DE CG (CONTINUO)</v>
      </c>
      <c r="X637" s="7" t="str">
        <f>Preencher!$B$3&amp;U637&amp;V637&amp;A637&amp;$X$6</f>
        <v>JARINU-FRG124458MQ.TUNEL DE CG (CONTINUO) (1)</v>
      </c>
      <c r="Y637" s="7" t="str">
        <f>Preencher!$B$3&amp;U637&amp;V637&amp;A637&amp;$Y$6</f>
        <v>JARINU-FRG124458MQ.TUNEL DE CG (CONTINUO) (2)</v>
      </c>
      <c r="Z637" s="7" t="str">
        <f>Preencher!$B$3&amp;U637&amp;V637&amp;A637&amp;$Z$6</f>
        <v>JARINU-FRG124458MQ.TUNEL DE CG (CONTINUO) (3)</v>
      </c>
      <c r="AA637" s="7" t="str">
        <f>Preencher!$B$3&amp;U637&amp;V637&amp;A637&amp;$AA$6</f>
        <v>JARINU-FRG124458MQ.TUNEL DE CG (ESTATICO)</v>
      </c>
      <c r="AB637" s="7" t="str">
        <f>Preencher!$B$3&amp;U637&amp;V637&amp;A637&amp;$AB$6</f>
        <v>JARINU-FRG124458MQ.TUNEL DE CG (ESTATICO) (1)</v>
      </c>
      <c r="AC637" s="7" t="str">
        <f>Preencher!$B$3&amp;U637&amp;V637&amp;A637&amp;$AC$6</f>
        <v>JARINU-FRG124458MQ.TUNEL DE CG (ESTATICO) (2)</v>
      </c>
      <c r="AD637" s="327">
        <f>IFERROR(SUMIF('BD Otimix'!A:A,'BD VOLUME'!X637,'BD Otimix'!O:O)+SUMIF('BD Otimix'!A:A,'BD VOLUME'!Y637,'BD Otimix'!O:O)+SUMIF('BD Otimix'!A:A,'BD VOLUME'!Z637,'BD Otimix'!O:O)+SUMIF('BD Otimix'!A:A,'BD VOLUME'!AA637,'BD Otimix'!O:O)+SUMIF('BD Otimix'!A:A,'BD VOLUME'!AB637,'BD Otimix'!O:O)+SUMIF('BD Otimix'!A:A,'BD VOLUME'!AC637,'BD Otimix'!O:O)+SUMIF('BD Otimix'!A:A,'BD VOLUME'!W637,'BD Otimix'!O:O),0)</f>
        <v>0</v>
      </c>
      <c r="AE637" s="327">
        <f t="shared" si="218"/>
        <v>0</v>
      </c>
      <c r="AF637" s="7" t="str">
        <f>Preencher!$B$3&amp;$U$8&amp;$V$8&amp;A637&amp;$AF$6</f>
        <v>JARINU-FRG124458MQ.GIROFREEZER</v>
      </c>
      <c r="AG637" s="7" t="str">
        <f>Preencher!$B$3&amp;$U$8&amp;$V$8&amp;A637&amp;$AG$6</f>
        <v>JARINU-FRG124458MQ.GIROFREEZER (1)</v>
      </c>
      <c r="AH637" s="7" t="str">
        <f>Preencher!$B$3&amp;$U$8&amp;$V$8&amp;A637&amp;$AH$6</f>
        <v>JARINU-FRG124458MQ.GIROFREEZER (2)</v>
      </c>
      <c r="AI637" s="7" t="str">
        <f>Preencher!$B$3&amp;$U$8&amp;$V$8&amp;A637&amp;$AI$6</f>
        <v>JARINU-FRG124458MQ.GIROFREEZER REV04</v>
      </c>
      <c r="AJ637" s="7" t="str">
        <f>Preencher!$B$3&amp;$U$8&amp;$V$8&amp;A637&amp;$AJ$6</f>
        <v>JARINU-FRG124458MQ.GIROFREEZER (3)</v>
      </c>
      <c r="AK637" s="327">
        <f>IFERROR(SUMIF('BD Otimix'!A:A,'BD VOLUME'!AG637,'BD Otimix'!O:O)+SUMIF('BD Otimix'!A:A,'BD VOLUME'!AH637,'BD Otimix'!O:O)+SUMIF('BD Otimix'!A:A,'BD VOLUME'!AI637,'BD Otimix'!O:O)+SUMIF('BD Otimix'!A:A,'BD VOLUME'!AJ637,'BD Otimix'!O:O)+SUMIF('BD Otimix'!A:A,'BD VOLUME'!AF637,'BD Otimix'!O:O),0)</f>
        <v>0</v>
      </c>
      <c r="AL637" s="7">
        <f t="shared" si="219"/>
        <v>0</v>
      </c>
    </row>
    <row r="638" spans="1:38">
      <c r="A638" s="685">
        <v>221729</v>
      </c>
      <c r="B638" s="685"/>
      <c r="C638" s="5" t="s">
        <v>3047</v>
      </c>
      <c r="D638" s="5" t="s">
        <v>922</v>
      </c>
      <c r="E638" s="5" t="s">
        <v>1758</v>
      </c>
      <c r="F638" s="132">
        <f>SUMIF('COLAR PLANO'!$A:$A,A638,'COLAR PLANO'!$D:$D)</f>
        <v>0</v>
      </c>
      <c r="G638" s="131">
        <f t="shared" si="206"/>
        <v>0</v>
      </c>
      <c r="H638" s="6">
        <v>4.0269633576350924E-2</v>
      </c>
      <c r="I638" s="7">
        <f t="shared" si="213"/>
        <v>0</v>
      </c>
      <c r="J638" s="130">
        <f t="shared" si="214"/>
        <v>0</v>
      </c>
      <c r="K638" s="685">
        <v>1</v>
      </c>
      <c r="L638" s="685">
        <v>12</v>
      </c>
      <c r="M638" s="685">
        <v>12</v>
      </c>
      <c r="N638" s="7">
        <f t="shared" si="209"/>
        <v>0</v>
      </c>
      <c r="O638" s="7"/>
      <c r="P638" s="7">
        <f t="shared" si="215"/>
        <v>0</v>
      </c>
      <c r="Q638" s="7"/>
      <c r="R638" s="7"/>
      <c r="S638" s="7"/>
      <c r="T638" s="7"/>
      <c r="U638" s="7" t="s">
        <v>2288</v>
      </c>
      <c r="V638" s="7" t="s">
        <v>2289</v>
      </c>
      <c r="W638" s="7" t="str">
        <f>Preencher!$B$3&amp;U638&amp;V638&amp;A638&amp;$W$6</f>
        <v>JARINU-FRG221729MQ.TUNEL DE CG (CONTINUO)</v>
      </c>
      <c r="X638" s="7" t="str">
        <f>Preencher!$B$3&amp;U638&amp;V638&amp;A638&amp;$X$6</f>
        <v>JARINU-FRG221729MQ.TUNEL DE CG (CONTINUO) (1)</v>
      </c>
      <c r="Y638" s="7" t="str">
        <f>Preencher!$B$3&amp;U638&amp;V638&amp;A638&amp;$Y$6</f>
        <v>JARINU-FRG221729MQ.TUNEL DE CG (CONTINUO) (2)</v>
      </c>
      <c r="Z638" s="7" t="str">
        <f>Preencher!$B$3&amp;U638&amp;V638&amp;A638&amp;$Z$6</f>
        <v>JARINU-FRG221729MQ.TUNEL DE CG (CONTINUO) (3)</v>
      </c>
      <c r="AA638" s="7" t="str">
        <f>Preencher!$B$3&amp;U638&amp;V638&amp;A638&amp;$AA$6</f>
        <v>JARINU-FRG221729MQ.TUNEL DE CG (ESTATICO)</v>
      </c>
      <c r="AB638" s="7" t="str">
        <f>Preencher!$B$3&amp;U638&amp;V638&amp;A638&amp;$AB$6</f>
        <v>JARINU-FRG221729MQ.TUNEL DE CG (ESTATICO) (1)</v>
      </c>
      <c r="AC638" s="7" t="str">
        <f>Preencher!$B$3&amp;U638&amp;V638&amp;A638&amp;$AC$6</f>
        <v>JARINU-FRG221729MQ.TUNEL DE CG (ESTATICO) (2)</v>
      </c>
      <c r="AD638" s="327">
        <f>IFERROR(SUMIF('BD Otimix'!A:A,'BD VOLUME'!X638,'BD Otimix'!O:O)+SUMIF('BD Otimix'!A:A,'BD VOLUME'!Y638,'BD Otimix'!O:O)+SUMIF('BD Otimix'!A:A,'BD VOLUME'!Z638,'BD Otimix'!O:O)+SUMIF('BD Otimix'!A:A,'BD VOLUME'!AA638,'BD Otimix'!O:O)+SUMIF('BD Otimix'!A:A,'BD VOLUME'!AB638,'BD Otimix'!O:O)+SUMIF('BD Otimix'!A:A,'BD VOLUME'!AC638,'BD Otimix'!O:O)+SUMIF('BD Otimix'!A:A,'BD VOLUME'!W638,'BD Otimix'!O:O),0)</f>
        <v>0</v>
      </c>
      <c r="AE638" s="327">
        <f t="shared" si="218"/>
        <v>0</v>
      </c>
      <c r="AF638" s="7" t="str">
        <f>Preencher!$B$3&amp;$U$8&amp;$V$8&amp;A638&amp;$AF$6</f>
        <v>JARINU-FRG221729MQ.GIROFREEZER</v>
      </c>
      <c r="AG638" s="7" t="str">
        <f>Preencher!$B$3&amp;$U$8&amp;$V$8&amp;A638&amp;$AG$6</f>
        <v>JARINU-FRG221729MQ.GIROFREEZER (1)</v>
      </c>
      <c r="AH638" s="7" t="str">
        <f>Preencher!$B$3&amp;$U$8&amp;$V$8&amp;A638&amp;$AH$6</f>
        <v>JARINU-FRG221729MQ.GIROFREEZER (2)</v>
      </c>
      <c r="AI638" s="7" t="str">
        <f>Preencher!$B$3&amp;$U$8&amp;$V$8&amp;A638&amp;$AI$6</f>
        <v>JARINU-FRG221729MQ.GIROFREEZER REV04</v>
      </c>
      <c r="AJ638" s="7" t="str">
        <f>Preencher!$B$3&amp;$U$8&amp;$V$8&amp;A638&amp;$AJ$6</f>
        <v>JARINU-FRG221729MQ.GIROFREEZER (3)</v>
      </c>
      <c r="AK638" s="327">
        <f>IFERROR(SUMIF('BD Otimix'!A:A,'BD VOLUME'!AG638,'BD Otimix'!O:O)+SUMIF('BD Otimix'!A:A,'BD VOLUME'!AH638,'BD Otimix'!O:O)+SUMIF('BD Otimix'!A:A,'BD VOLUME'!AI638,'BD Otimix'!O:O)+SUMIF('BD Otimix'!A:A,'BD VOLUME'!AJ638,'BD Otimix'!O:O)+SUMIF('BD Otimix'!A:A,'BD VOLUME'!AF638,'BD Otimix'!O:O),0)</f>
        <v>0</v>
      </c>
      <c r="AL638" s="7">
        <f t="shared" si="219"/>
        <v>0</v>
      </c>
    </row>
    <row r="639" spans="1:38">
      <c r="A639" s="685">
        <v>57205</v>
      </c>
      <c r="B639" s="685"/>
      <c r="C639" s="5" t="s">
        <v>2115</v>
      </c>
      <c r="D639" s="5" t="s">
        <v>1005</v>
      </c>
      <c r="E639" s="5" t="s">
        <v>2142</v>
      </c>
      <c r="F639" s="132">
        <f>SUMIF('COLAR PLANO'!$A:$A,A639,'COLAR PLANO'!$D:$D)</f>
        <v>0</v>
      </c>
      <c r="G639" s="131">
        <f t="shared" si="206"/>
        <v>0</v>
      </c>
      <c r="H639" s="6">
        <v>8.3674910320448107E-3</v>
      </c>
      <c r="I639" s="7">
        <f t="shared" si="213"/>
        <v>0</v>
      </c>
      <c r="J639" s="130">
        <f t="shared" si="214"/>
        <v>0</v>
      </c>
      <c r="K639" s="685">
        <v>5</v>
      </c>
      <c r="L639" s="685">
        <v>3</v>
      </c>
      <c r="M639" s="685">
        <v>15</v>
      </c>
      <c r="N639" s="7">
        <f t="shared" si="209"/>
        <v>0</v>
      </c>
      <c r="O639" s="7"/>
      <c r="P639" s="7">
        <f t="shared" si="215"/>
        <v>0</v>
      </c>
      <c r="Q639" s="7"/>
      <c r="R639" s="7"/>
      <c r="S639" s="7"/>
      <c r="T639" s="7"/>
      <c r="U639" s="7" t="s">
        <v>2288</v>
      </c>
      <c r="V639" s="7" t="s">
        <v>2289</v>
      </c>
      <c r="W639" s="7" t="str">
        <f>Preencher!$B$3&amp;U639&amp;V639&amp;A639&amp;$W$6</f>
        <v>JARINU-FRG57205MQ.TUNEL DE CG (CONTINUO)</v>
      </c>
      <c r="X639" s="7" t="str">
        <f>Preencher!$B$3&amp;U639&amp;V639&amp;A639&amp;$X$6</f>
        <v>JARINU-FRG57205MQ.TUNEL DE CG (CONTINUO) (1)</v>
      </c>
      <c r="Y639" s="7" t="str">
        <f>Preencher!$B$3&amp;U639&amp;V639&amp;A639&amp;$Y$6</f>
        <v>JARINU-FRG57205MQ.TUNEL DE CG (CONTINUO) (2)</v>
      </c>
      <c r="Z639" s="7" t="str">
        <f>Preencher!$B$3&amp;U639&amp;V639&amp;A639&amp;$Z$6</f>
        <v>JARINU-FRG57205MQ.TUNEL DE CG (CONTINUO) (3)</v>
      </c>
      <c r="AA639" s="7" t="str">
        <f>Preencher!$B$3&amp;U639&amp;V639&amp;A639&amp;$AA$6</f>
        <v>JARINU-FRG57205MQ.TUNEL DE CG (ESTATICO)</v>
      </c>
      <c r="AB639" s="7" t="str">
        <f>Preencher!$B$3&amp;U639&amp;V639&amp;A639&amp;$AB$6</f>
        <v>JARINU-FRG57205MQ.TUNEL DE CG (ESTATICO) (1)</v>
      </c>
      <c r="AC639" s="7" t="str">
        <f>Preencher!$B$3&amp;U639&amp;V639&amp;A639&amp;$AC$6</f>
        <v>JARINU-FRG57205MQ.TUNEL DE CG (ESTATICO) (2)</v>
      </c>
      <c r="AD639" s="327">
        <f>IFERROR(SUMIF('BD Otimix'!A:A,'BD VOLUME'!X639,'BD Otimix'!O:O)+SUMIF('BD Otimix'!A:A,'BD VOLUME'!Y639,'BD Otimix'!O:O)+SUMIF('BD Otimix'!A:A,'BD VOLUME'!Z639,'BD Otimix'!O:O)+SUMIF('BD Otimix'!A:A,'BD VOLUME'!AA639,'BD Otimix'!O:O)+SUMIF('BD Otimix'!A:A,'BD VOLUME'!AB639,'BD Otimix'!O:O)+SUMIF('BD Otimix'!A:A,'BD VOLUME'!AC639,'BD Otimix'!O:O)+SUMIF('BD Otimix'!A:A,'BD VOLUME'!W639,'BD Otimix'!O:O),0)</f>
        <v>0</v>
      </c>
      <c r="AE639" s="327">
        <f t="shared" si="218"/>
        <v>0</v>
      </c>
      <c r="AF639" s="7" t="str">
        <f>Preencher!$B$3&amp;$U$8&amp;$V$8&amp;A639&amp;$AF$6</f>
        <v>JARINU-FRG57205MQ.GIROFREEZER</v>
      </c>
      <c r="AG639" s="7" t="str">
        <f>Preencher!$B$3&amp;$U$8&amp;$V$8&amp;A639&amp;$AG$6</f>
        <v>JARINU-FRG57205MQ.GIROFREEZER (1)</v>
      </c>
      <c r="AH639" s="7" t="str">
        <f>Preencher!$B$3&amp;$U$8&amp;$V$8&amp;A639&amp;$AH$6</f>
        <v>JARINU-FRG57205MQ.GIROFREEZER (2)</v>
      </c>
      <c r="AI639" s="7" t="str">
        <f>Preencher!$B$3&amp;$U$8&amp;$V$8&amp;A639&amp;$AI$6</f>
        <v>JARINU-FRG57205MQ.GIROFREEZER REV04</v>
      </c>
      <c r="AJ639" s="7" t="str">
        <f>Preencher!$B$3&amp;$U$8&amp;$V$8&amp;A639&amp;$AJ$6</f>
        <v>JARINU-FRG57205MQ.GIROFREEZER (3)</v>
      </c>
      <c r="AK639" s="327">
        <f>IFERROR(SUMIF('BD Otimix'!A:A,'BD VOLUME'!AG639,'BD Otimix'!O:O)+SUMIF('BD Otimix'!A:A,'BD VOLUME'!AH639,'BD Otimix'!O:O)+SUMIF('BD Otimix'!A:A,'BD VOLUME'!AI639,'BD Otimix'!O:O)+SUMIF('BD Otimix'!A:A,'BD VOLUME'!AJ639,'BD Otimix'!O:O)+SUMIF('BD Otimix'!A:A,'BD VOLUME'!AF639,'BD Otimix'!O:O),0)</f>
        <v>0</v>
      </c>
      <c r="AL639" s="7">
        <f t="shared" si="219"/>
        <v>0</v>
      </c>
    </row>
    <row r="640" spans="1:38">
      <c r="A640" s="685">
        <v>124130</v>
      </c>
      <c r="B640" s="685" t="s">
        <v>2541</v>
      </c>
      <c r="C640" s="5" t="s">
        <v>2542</v>
      </c>
      <c r="D640" s="5" t="s">
        <v>1005</v>
      </c>
      <c r="E640" s="5" t="s">
        <v>1767</v>
      </c>
      <c r="F640" s="132">
        <f>SUMIF('COLAR PLANO'!$A:$A,A640,'COLAR PLANO'!$D:$D)</f>
        <v>0</v>
      </c>
      <c r="G640" s="131">
        <f t="shared" si="206"/>
        <v>0</v>
      </c>
      <c r="H640" s="6">
        <v>2.9504298614445066E-2</v>
      </c>
      <c r="I640" s="7">
        <f t="shared" si="213"/>
        <v>0</v>
      </c>
      <c r="J640" s="130">
        <f t="shared" si="214"/>
        <v>0</v>
      </c>
      <c r="K640" s="685">
        <v>18</v>
      </c>
      <c r="L640" s="685">
        <v>1</v>
      </c>
      <c r="M640" s="685">
        <v>18</v>
      </c>
      <c r="N640" s="7">
        <f t="shared" si="209"/>
        <v>0</v>
      </c>
      <c r="O640" s="7"/>
      <c r="P640" s="7">
        <f t="shared" si="215"/>
        <v>0</v>
      </c>
      <c r="Q640" s="7"/>
      <c r="R640" s="7"/>
      <c r="S640" s="7"/>
      <c r="T640" s="7"/>
      <c r="U640" s="7" t="s">
        <v>2288</v>
      </c>
      <c r="V640" s="7" t="s">
        <v>2289</v>
      </c>
      <c r="W640" s="7" t="str">
        <f>Preencher!$B$3&amp;U640&amp;V640&amp;A640&amp;$W$6</f>
        <v>JARINU-FRG124130MQ.TUNEL DE CG (CONTINUO)</v>
      </c>
      <c r="X640" s="7" t="str">
        <f>Preencher!$B$3&amp;U640&amp;V640&amp;A640&amp;$X$6</f>
        <v>JARINU-FRG124130MQ.TUNEL DE CG (CONTINUO) (1)</v>
      </c>
      <c r="Y640" s="7" t="str">
        <f>Preencher!$B$3&amp;U640&amp;V640&amp;A640&amp;$Y$6</f>
        <v>JARINU-FRG124130MQ.TUNEL DE CG (CONTINUO) (2)</v>
      </c>
      <c r="Z640" s="7" t="str">
        <f>Preencher!$B$3&amp;U640&amp;V640&amp;A640&amp;$Z$6</f>
        <v>JARINU-FRG124130MQ.TUNEL DE CG (CONTINUO) (3)</v>
      </c>
      <c r="AA640" s="7" t="str">
        <f>Preencher!$B$3&amp;U640&amp;V640&amp;A640&amp;$AA$6</f>
        <v>JARINU-FRG124130MQ.TUNEL DE CG (ESTATICO)</v>
      </c>
      <c r="AB640" s="7" t="str">
        <f>Preencher!$B$3&amp;U640&amp;V640&amp;A640&amp;$AB$6</f>
        <v>JARINU-FRG124130MQ.TUNEL DE CG (ESTATICO) (1)</v>
      </c>
      <c r="AC640" s="7" t="str">
        <f>Preencher!$B$3&amp;U640&amp;V640&amp;A640&amp;$AC$6</f>
        <v>JARINU-FRG124130MQ.TUNEL DE CG (ESTATICO) (2)</v>
      </c>
      <c r="AD640" s="327">
        <f>IFERROR(SUMIF('BD Otimix'!A:A,'BD VOLUME'!X640,'BD Otimix'!O:O)+SUMIF('BD Otimix'!A:A,'BD VOLUME'!Y640,'BD Otimix'!O:O)+SUMIF('BD Otimix'!A:A,'BD VOLUME'!Z640,'BD Otimix'!O:O)+SUMIF('BD Otimix'!A:A,'BD VOLUME'!AA640,'BD Otimix'!O:O)+SUMIF('BD Otimix'!A:A,'BD VOLUME'!AB640,'BD Otimix'!O:O)+SUMIF('BD Otimix'!A:A,'BD VOLUME'!AC640,'BD Otimix'!O:O)+SUMIF('BD Otimix'!A:A,'BD VOLUME'!W640,'BD Otimix'!O:O),0)</f>
        <v>0</v>
      </c>
      <c r="AE640" s="327">
        <f t="shared" si="218"/>
        <v>0</v>
      </c>
      <c r="AF640" s="7" t="str">
        <f>Preencher!$B$3&amp;$U$8&amp;$V$8&amp;A640&amp;$AF$6</f>
        <v>JARINU-FRG124130MQ.GIROFREEZER</v>
      </c>
      <c r="AG640" s="7" t="str">
        <f>Preencher!$B$3&amp;$U$8&amp;$V$8&amp;A640&amp;$AG$6</f>
        <v>JARINU-FRG124130MQ.GIROFREEZER (1)</v>
      </c>
      <c r="AH640" s="7" t="str">
        <f>Preencher!$B$3&amp;$U$8&amp;$V$8&amp;A640&amp;$AH$6</f>
        <v>JARINU-FRG124130MQ.GIROFREEZER (2)</v>
      </c>
      <c r="AI640" s="7" t="str">
        <f>Preencher!$B$3&amp;$U$8&amp;$V$8&amp;A640&amp;$AI$6</f>
        <v>JARINU-FRG124130MQ.GIROFREEZER REV04</v>
      </c>
      <c r="AJ640" s="7" t="str">
        <f>Preencher!$B$3&amp;$U$8&amp;$V$8&amp;A640&amp;$AJ$6</f>
        <v>JARINU-FRG124130MQ.GIROFREEZER (3)</v>
      </c>
      <c r="AK640" s="327">
        <f>IFERROR(SUMIF('BD Otimix'!A:A,'BD VOLUME'!AG640,'BD Otimix'!O:O)+SUMIF('BD Otimix'!A:A,'BD VOLUME'!AH640,'BD Otimix'!O:O)+SUMIF('BD Otimix'!A:A,'BD VOLUME'!AI640,'BD Otimix'!O:O)+SUMIF('BD Otimix'!A:A,'BD VOLUME'!AJ640,'BD Otimix'!O:O)+SUMIF('BD Otimix'!A:A,'BD VOLUME'!AF640,'BD Otimix'!O:O),0)</f>
        <v>0</v>
      </c>
      <c r="AL640" s="7">
        <f t="shared" si="219"/>
        <v>0</v>
      </c>
    </row>
    <row r="641" spans="1:38">
      <c r="A641" s="685">
        <v>214119</v>
      </c>
      <c r="B641" s="685"/>
      <c r="C641" s="5" t="s">
        <v>1763</v>
      </c>
      <c r="D641" s="5" t="s">
        <v>1005</v>
      </c>
      <c r="E641" s="5" t="s">
        <v>1763</v>
      </c>
      <c r="F641" s="132">
        <f>SUMIF('COLAR PLANO'!$A:$A,A641,'COLAR PLANO'!$D:$D)</f>
        <v>0</v>
      </c>
      <c r="G641" s="131">
        <f t="shared" si="206"/>
        <v>0</v>
      </c>
      <c r="H641" s="6">
        <v>2.9504298614445066E-2</v>
      </c>
      <c r="I641" s="7">
        <f>IFERROR(G641/$D$3/H641,0)</f>
        <v>0</v>
      </c>
      <c r="J641" s="130">
        <f t="shared" si="214"/>
        <v>0</v>
      </c>
      <c r="K641" s="701">
        <v>1</v>
      </c>
      <c r="L641" s="701">
        <v>18</v>
      </c>
      <c r="M641" s="701">
        <v>18</v>
      </c>
      <c r="N641" s="7">
        <f>IFERROR(G641/K641,"-")</f>
        <v>0</v>
      </c>
      <c r="O641" s="7"/>
      <c r="P641" s="7">
        <f>IFERROR(G641/M641,0)</f>
        <v>0</v>
      </c>
      <c r="Q641" s="7"/>
      <c r="R641" s="7"/>
      <c r="S641" s="7"/>
      <c r="T641" s="7"/>
      <c r="U641" s="7" t="s">
        <v>2288</v>
      </c>
      <c r="V641" s="7" t="s">
        <v>2289</v>
      </c>
      <c r="W641" s="7" t="str">
        <f>Preencher!$B$3&amp;U641&amp;V641&amp;A641&amp;$W$6</f>
        <v>JARINU-FRG214119MQ.TUNEL DE CG (CONTINUO)</v>
      </c>
      <c r="X641" s="7" t="str">
        <f>Preencher!$B$3&amp;U641&amp;V641&amp;A641&amp;$X$6</f>
        <v>JARINU-FRG214119MQ.TUNEL DE CG (CONTINUO) (1)</v>
      </c>
      <c r="Y641" s="7" t="str">
        <f>Preencher!$B$3&amp;U641&amp;V641&amp;A641&amp;$Y$6</f>
        <v>JARINU-FRG214119MQ.TUNEL DE CG (CONTINUO) (2)</v>
      </c>
      <c r="Z641" s="7" t="str">
        <f>Preencher!$B$3&amp;U641&amp;V641&amp;A641&amp;$Z$6</f>
        <v>JARINU-FRG214119MQ.TUNEL DE CG (CONTINUO) (3)</v>
      </c>
      <c r="AA641" s="7" t="str">
        <f>Preencher!$B$3&amp;U641&amp;V641&amp;A641&amp;$AA$6</f>
        <v>JARINU-FRG214119MQ.TUNEL DE CG (ESTATICO)</v>
      </c>
      <c r="AB641" s="7" t="str">
        <f>Preencher!$B$3&amp;U641&amp;V641&amp;A641&amp;$AB$6</f>
        <v>JARINU-FRG214119MQ.TUNEL DE CG (ESTATICO) (1)</v>
      </c>
      <c r="AC641" s="7" t="str">
        <f>Preencher!$B$3&amp;U641&amp;V641&amp;A641&amp;$AC$6</f>
        <v>JARINU-FRG214119MQ.TUNEL DE CG (ESTATICO) (2)</v>
      </c>
      <c r="AD641" s="327">
        <f>IFERROR(SUMIF('BD Otimix'!A:A,'BD VOLUME'!X641,'BD Otimix'!O:O)+SUMIF('BD Otimix'!A:A,'BD VOLUME'!Y641,'BD Otimix'!O:O)+SUMIF('BD Otimix'!A:A,'BD VOLUME'!Z641,'BD Otimix'!O:O)+SUMIF('BD Otimix'!A:A,'BD VOLUME'!AA641,'BD Otimix'!O:O)+SUMIF('BD Otimix'!A:A,'BD VOLUME'!AB641,'BD Otimix'!O:O)+SUMIF('BD Otimix'!A:A,'BD VOLUME'!AC641,'BD Otimix'!O:O)+SUMIF('BD Otimix'!A:A,'BD VOLUME'!W641,'BD Otimix'!O:O),0)</f>
        <v>0</v>
      </c>
      <c r="AE641" s="327">
        <f t="shared" si="218"/>
        <v>0</v>
      </c>
      <c r="AF641" s="7" t="str">
        <f>Preencher!$B$3&amp;$U$8&amp;$V$8&amp;A641&amp;$AF$6</f>
        <v>JARINU-FRG214119MQ.GIROFREEZER</v>
      </c>
      <c r="AG641" s="7" t="str">
        <f>Preencher!$B$3&amp;$U$8&amp;$V$8&amp;A641&amp;$AG$6</f>
        <v>JARINU-FRG214119MQ.GIROFREEZER (1)</v>
      </c>
      <c r="AH641" s="7" t="str">
        <f>Preencher!$B$3&amp;$U$8&amp;$V$8&amp;A641&amp;$AH$6</f>
        <v>JARINU-FRG214119MQ.GIROFREEZER (2)</v>
      </c>
      <c r="AI641" s="7" t="str">
        <f>Preencher!$B$3&amp;$U$8&amp;$V$8&amp;A641&amp;$AI$6</f>
        <v>JARINU-FRG214119MQ.GIROFREEZER REV04</v>
      </c>
      <c r="AJ641" s="7" t="str">
        <f>Preencher!$B$3&amp;$U$8&amp;$V$8&amp;A641&amp;$AJ$6</f>
        <v>JARINU-FRG214119MQ.GIROFREEZER (3)</v>
      </c>
      <c r="AK641" s="327">
        <f>IFERROR(SUMIF('BD Otimix'!A:A,'BD VOLUME'!AG641,'BD Otimix'!O:O)+SUMIF('BD Otimix'!A:A,'BD VOLUME'!AH641,'BD Otimix'!O:O)+SUMIF('BD Otimix'!A:A,'BD VOLUME'!AI641,'BD Otimix'!O:O)+SUMIF('BD Otimix'!A:A,'BD VOLUME'!AJ641,'BD Otimix'!O:O)+SUMIF('BD Otimix'!A:A,'BD VOLUME'!AF641,'BD Otimix'!O:O),0)</f>
        <v>0</v>
      </c>
      <c r="AL641" s="7">
        <f t="shared" si="219"/>
        <v>0</v>
      </c>
    </row>
    <row r="642" spans="1:38">
      <c r="A642" s="685">
        <v>124735</v>
      </c>
      <c r="B642" s="685" t="s">
        <v>2986</v>
      </c>
      <c r="C642" s="5" t="s">
        <v>2838</v>
      </c>
      <c r="D642" s="5" t="s">
        <v>922</v>
      </c>
      <c r="E642" s="5" t="s">
        <v>1758</v>
      </c>
      <c r="F642" s="132">
        <f>SUMIF('COLAR PLANO'!$A:$A,A642,'COLAR PLANO'!$D:$D)</f>
        <v>0</v>
      </c>
      <c r="G642" s="131">
        <f>IFERROR(F642/($E$3*$C$3),0)</f>
        <v>0</v>
      </c>
      <c r="H642" s="6">
        <v>4.0269633576350924E-2</v>
      </c>
      <c r="I642" s="7">
        <f>IFERROR(G642/$D$3/H642,0)</f>
        <v>0</v>
      </c>
      <c r="J642" s="130">
        <f t="shared" si="214"/>
        <v>0</v>
      </c>
      <c r="K642" s="726">
        <v>1</v>
      </c>
      <c r="L642" s="726">
        <v>12</v>
      </c>
      <c r="M642" s="726">
        <v>12</v>
      </c>
      <c r="N642" s="7">
        <f>IFERROR(G642/K642,"-")</f>
        <v>0</v>
      </c>
      <c r="O642" s="7"/>
      <c r="P642" s="7">
        <f>IFERROR(G642/M642,0)</f>
        <v>0</v>
      </c>
      <c r="Q642" s="7"/>
      <c r="R642" s="7"/>
      <c r="S642" s="7"/>
      <c r="T642" s="7"/>
      <c r="U642" s="7" t="s">
        <v>2288</v>
      </c>
      <c r="V642" s="7" t="s">
        <v>2289</v>
      </c>
      <c r="W642" s="7" t="str">
        <f>Preencher!$B$3&amp;U642&amp;V642&amp;A642&amp;$W$6</f>
        <v>JARINU-FRG124735MQ.TUNEL DE CG (CONTINUO)</v>
      </c>
      <c r="X642" s="7" t="str">
        <f>Preencher!$B$3&amp;U642&amp;V642&amp;A642&amp;$X$6</f>
        <v>JARINU-FRG124735MQ.TUNEL DE CG (CONTINUO) (1)</v>
      </c>
      <c r="Y642" s="7" t="str">
        <f>Preencher!$B$3&amp;U642&amp;V642&amp;A642&amp;$Y$6</f>
        <v>JARINU-FRG124735MQ.TUNEL DE CG (CONTINUO) (2)</v>
      </c>
      <c r="Z642" s="7" t="str">
        <f>Preencher!$B$3&amp;U642&amp;V642&amp;A642&amp;$Z$6</f>
        <v>JARINU-FRG124735MQ.TUNEL DE CG (CONTINUO) (3)</v>
      </c>
      <c r="AA642" s="7" t="str">
        <f>Preencher!$B$3&amp;U642&amp;V642&amp;A642&amp;$AA$6</f>
        <v>JARINU-FRG124735MQ.TUNEL DE CG (ESTATICO)</v>
      </c>
      <c r="AB642" s="7" t="str">
        <f>Preencher!$B$3&amp;U642&amp;V642&amp;A642&amp;$AB$6</f>
        <v>JARINU-FRG124735MQ.TUNEL DE CG (ESTATICO) (1)</v>
      </c>
      <c r="AC642" s="7" t="str">
        <f>Preencher!$B$3&amp;U642&amp;V642&amp;A642&amp;$AC$6</f>
        <v>JARINU-FRG124735MQ.TUNEL DE CG (ESTATICO) (2)</v>
      </c>
      <c r="AD642" s="327">
        <f>IFERROR(SUMIF('BD Otimix'!A:A,'BD VOLUME'!X642,'BD Otimix'!O:O)+SUMIF('BD Otimix'!A:A,'BD VOLUME'!Y642,'BD Otimix'!O:O)+SUMIF('BD Otimix'!A:A,'BD VOLUME'!Z642,'BD Otimix'!O:O)+SUMIF('BD Otimix'!A:A,'BD VOLUME'!AA642,'BD Otimix'!O:O)+SUMIF('BD Otimix'!A:A,'BD VOLUME'!AB642,'BD Otimix'!O:O)+SUMIF('BD Otimix'!A:A,'BD VOLUME'!AC642,'BD Otimix'!O:O)+SUMIF('BD Otimix'!A:A,'BD VOLUME'!W642,'BD Otimix'!O:O),0)</f>
        <v>0</v>
      </c>
      <c r="AE642" s="327">
        <f t="shared" si="218"/>
        <v>0</v>
      </c>
      <c r="AF642" s="7" t="str">
        <f>Preencher!$B$3&amp;$U$8&amp;$V$8&amp;A642&amp;$AF$6</f>
        <v>JARINU-FRG124735MQ.GIROFREEZER</v>
      </c>
      <c r="AG642" s="7" t="str">
        <f>Preencher!$B$3&amp;$U$8&amp;$V$8&amp;A642&amp;$AG$6</f>
        <v>JARINU-FRG124735MQ.GIROFREEZER (1)</v>
      </c>
      <c r="AH642" s="7" t="str">
        <f>Preencher!$B$3&amp;$U$8&amp;$V$8&amp;A642&amp;$AH$6</f>
        <v>JARINU-FRG124735MQ.GIROFREEZER (2)</v>
      </c>
      <c r="AI642" s="7" t="str">
        <f>Preencher!$B$3&amp;$U$8&amp;$V$8&amp;A642&amp;$AI$6</f>
        <v>JARINU-FRG124735MQ.GIROFREEZER REV04</v>
      </c>
      <c r="AJ642" s="7" t="str">
        <f>Preencher!$B$3&amp;$U$8&amp;$V$8&amp;A642&amp;$AJ$6</f>
        <v>JARINU-FRG124735MQ.GIROFREEZER (3)</v>
      </c>
      <c r="AK642" s="327">
        <f>IFERROR(SUMIF('BD Otimix'!A:A,'BD VOLUME'!AG642,'BD Otimix'!O:O)+SUMIF('BD Otimix'!A:A,'BD VOLUME'!AH642,'BD Otimix'!O:O)+SUMIF('BD Otimix'!A:A,'BD VOLUME'!AI642,'BD Otimix'!O:O)+SUMIF('BD Otimix'!A:A,'BD VOLUME'!AJ642,'BD Otimix'!O:O)+SUMIF('BD Otimix'!A:A,'BD VOLUME'!AF642,'BD Otimix'!O:O),0)</f>
        <v>0</v>
      </c>
      <c r="AL642" s="7">
        <f t="shared" si="219"/>
        <v>0</v>
      </c>
    </row>
    <row r="643" spans="1:38">
      <c r="A643" s="651">
        <v>237419</v>
      </c>
      <c r="B643" s="651"/>
      <c r="C643" s="5" t="s">
        <v>3042</v>
      </c>
      <c r="D643" s="5" t="s">
        <v>1005</v>
      </c>
      <c r="E643" s="5" t="s">
        <v>1763</v>
      </c>
      <c r="F643" s="132">
        <f>SUMIF('COLAR PLANO'!$A:$A,A643,'COLAR PLANO'!$D:$D)</f>
        <v>0</v>
      </c>
      <c r="G643" s="131">
        <f t="shared" ref="G643:G668" si="220">IFERROR(F643/($E$3*$C$3),0)</f>
        <v>0</v>
      </c>
      <c r="H643" s="6">
        <v>2.9504298614445066E-2</v>
      </c>
      <c r="I643" s="7">
        <f t="shared" ref="I643:I664" si="221">IFERROR(G643/$D$3/H643,0)</f>
        <v>0</v>
      </c>
      <c r="J643" s="130">
        <f t="shared" ref="J643:J664" si="222">IFERROR(I643/$B$3,0)</f>
        <v>0</v>
      </c>
      <c r="K643" s="651">
        <v>1</v>
      </c>
      <c r="L643" s="651">
        <v>18</v>
      </c>
      <c r="M643" s="651">
        <v>18</v>
      </c>
      <c r="N643" s="7">
        <f t="shared" ref="N643:N668" si="223">IFERROR(G643/K643,"-")</f>
        <v>0</v>
      </c>
      <c r="O643" s="7"/>
      <c r="P643" s="7">
        <f t="shared" ref="P643:P664" si="224">IFERROR(G643/M643,0)</f>
        <v>0</v>
      </c>
      <c r="Q643" s="7"/>
      <c r="R643" s="7"/>
      <c r="S643" s="7"/>
      <c r="T643" s="7"/>
      <c r="U643" s="7" t="s">
        <v>2288</v>
      </c>
      <c r="V643" s="7" t="s">
        <v>2289</v>
      </c>
      <c r="W643" s="7" t="str">
        <f>Preencher!$B$3&amp;U643&amp;V643&amp;A643&amp;$W$6</f>
        <v>JARINU-FRG237419MQ.TUNEL DE CG (CONTINUO)</v>
      </c>
      <c r="X643" s="7" t="str">
        <f>Preencher!$B$3&amp;U643&amp;V643&amp;A643&amp;$X$6</f>
        <v>JARINU-FRG237419MQ.TUNEL DE CG (CONTINUO) (1)</v>
      </c>
      <c r="Y643" s="7" t="str">
        <f>Preencher!$B$3&amp;U643&amp;V643&amp;A643&amp;$Y$6</f>
        <v>JARINU-FRG237419MQ.TUNEL DE CG (CONTINUO) (2)</v>
      </c>
      <c r="Z643" s="7" t="str">
        <f>Preencher!$B$3&amp;U643&amp;V643&amp;A643&amp;$Z$6</f>
        <v>JARINU-FRG237419MQ.TUNEL DE CG (CONTINUO) (3)</v>
      </c>
      <c r="AA643" s="7" t="str">
        <f>Preencher!$B$3&amp;U643&amp;V643&amp;A643&amp;$AA$6</f>
        <v>JARINU-FRG237419MQ.TUNEL DE CG (ESTATICO)</v>
      </c>
      <c r="AB643" s="7" t="str">
        <f>Preencher!$B$3&amp;U643&amp;V643&amp;A643&amp;$AB$6</f>
        <v>JARINU-FRG237419MQ.TUNEL DE CG (ESTATICO) (1)</v>
      </c>
      <c r="AC643" s="7" t="str">
        <f>Preencher!$B$3&amp;U643&amp;V643&amp;A643&amp;$AC$6</f>
        <v>JARINU-FRG237419MQ.TUNEL DE CG (ESTATICO) (2)</v>
      </c>
      <c r="AD643" s="327">
        <f>IFERROR(SUMIF('BD Otimix'!A:A,'BD VOLUME'!X643,'BD Otimix'!O:O)+SUMIF('BD Otimix'!A:A,'BD VOLUME'!Y643,'BD Otimix'!O:O)+SUMIF('BD Otimix'!A:A,'BD VOLUME'!Z643,'BD Otimix'!O:O)+SUMIF('BD Otimix'!A:A,'BD VOLUME'!AA643,'BD Otimix'!O:O)+SUMIF('BD Otimix'!A:A,'BD VOLUME'!AB643,'BD Otimix'!O:O)+SUMIF('BD Otimix'!A:A,'BD VOLUME'!AC643,'BD Otimix'!O:O)+SUMIF('BD Otimix'!A:A,'BD VOLUME'!W643,'BD Otimix'!O:O),0)</f>
        <v>0</v>
      </c>
      <c r="AE643" s="327">
        <f t="shared" si="211"/>
        <v>0</v>
      </c>
      <c r="AF643" s="7" t="str">
        <f>Preencher!$B$3&amp;$U$8&amp;$V$8&amp;A643&amp;$AF$6</f>
        <v>JARINU-FRG237419MQ.GIROFREEZER</v>
      </c>
      <c r="AG643" s="7" t="str">
        <f>Preencher!$B$3&amp;$U$8&amp;$V$8&amp;A643&amp;$AG$6</f>
        <v>JARINU-FRG237419MQ.GIROFREEZER (1)</v>
      </c>
      <c r="AH643" s="7" t="str">
        <f>Preencher!$B$3&amp;$U$8&amp;$V$8&amp;A643&amp;$AH$6</f>
        <v>JARINU-FRG237419MQ.GIROFREEZER (2)</v>
      </c>
      <c r="AI643" s="7" t="str">
        <f>Preencher!$B$3&amp;$U$8&amp;$V$8&amp;A643&amp;$AI$6</f>
        <v>JARINU-FRG237419MQ.GIROFREEZER REV04</v>
      </c>
      <c r="AJ643" s="7" t="str">
        <f>Preencher!$B$3&amp;$U$8&amp;$V$8&amp;A643&amp;$AJ$6</f>
        <v>JARINU-FRG237419MQ.GIROFREEZER (3)</v>
      </c>
      <c r="AK643" s="327">
        <f>IFERROR(SUMIF('BD Otimix'!A:A,'BD VOLUME'!AG643,'BD Otimix'!O:O)+SUMIF('BD Otimix'!A:A,'BD VOLUME'!AH643,'BD Otimix'!O:O)+SUMIF('BD Otimix'!A:A,'BD VOLUME'!AI643,'BD Otimix'!O:O)+SUMIF('BD Otimix'!A:A,'BD VOLUME'!AJ643,'BD Otimix'!O:O)+SUMIF('BD Otimix'!A:A,'BD VOLUME'!AF643,'BD Otimix'!O:O),0)</f>
        <v>0</v>
      </c>
      <c r="AL643" s="7">
        <f t="shared" si="212"/>
        <v>0</v>
      </c>
    </row>
    <row r="644" spans="1:38">
      <c r="A644" s="651">
        <v>977381</v>
      </c>
      <c r="B644" s="651" t="s">
        <v>2371</v>
      </c>
      <c r="C644" s="5" t="s">
        <v>2372</v>
      </c>
      <c r="D644" s="5" t="s">
        <v>1005</v>
      </c>
      <c r="E644" s="5" t="s">
        <v>1011</v>
      </c>
      <c r="F644" s="132">
        <f>SUMIF('COLAR PLANO'!$A:$A,A644,'COLAR PLANO'!$D:$D)</f>
        <v>0</v>
      </c>
      <c r="G644" s="131">
        <f t="shared" si="220"/>
        <v>0</v>
      </c>
      <c r="H644" s="6">
        <v>2.9504298614445066E-2</v>
      </c>
      <c r="I644" s="7">
        <f t="shared" si="221"/>
        <v>0</v>
      </c>
      <c r="J644" s="130">
        <f t="shared" si="222"/>
        <v>0</v>
      </c>
      <c r="K644" s="651">
        <v>18</v>
      </c>
      <c r="L644" s="651">
        <v>1</v>
      </c>
      <c r="M644" s="651">
        <v>18</v>
      </c>
      <c r="N644" s="7">
        <f t="shared" si="223"/>
        <v>0</v>
      </c>
      <c r="O644" s="7"/>
      <c r="P644" s="7">
        <f t="shared" si="224"/>
        <v>0</v>
      </c>
      <c r="Q644" s="7"/>
      <c r="R644" s="7"/>
      <c r="S644" s="7"/>
      <c r="T644" s="7"/>
      <c r="U644" s="7" t="s">
        <v>2288</v>
      </c>
      <c r="V644" s="7" t="s">
        <v>2289</v>
      </c>
      <c r="W644" s="7" t="str">
        <f>Preencher!$B$3&amp;U644&amp;V644&amp;A644&amp;$W$6</f>
        <v>JARINU-FRG977381MQ.TUNEL DE CG (CONTINUO)</v>
      </c>
      <c r="X644" s="7" t="str">
        <f>Preencher!$B$3&amp;U644&amp;V644&amp;A644&amp;$X$6</f>
        <v>JARINU-FRG977381MQ.TUNEL DE CG (CONTINUO) (1)</v>
      </c>
      <c r="Y644" s="7" t="str">
        <f>Preencher!$B$3&amp;U644&amp;V644&amp;A644&amp;$Y$6</f>
        <v>JARINU-FRG977381MQ.TUNEL DE CG (CONTINUO) (2)</v>
      </c>
      <c r="Z644" s="7" t="str">
        <f>Preencher!$B$3&amp;U644&amp;V644&amp;A644&amp;$Z$6</f>
        <v>JARINU-FRG977381MQ.TUNEL DE CG (CONTINUO) (3)</v>
      </c>
      <c r="AA644" s="7" t="str">
        <f>Preencher!$B$3&amp;U644&amp;V644&amp;A644&amp;$AA$6</f>
        <v>JARINU-FRG977381MQ.TUNEL DE CG (ESTATICO)</v>
      </c>
      <c r="AB644" s="7" t="str">
        <f>Preencher!$B$3&amp;U644&amp;V644&amp;A644&amp;$AB$6</f>
        <v>JARINU-FRG977381MQ.TUNEL DE CG (ESTATICO) (1)</v>
      </c>
      <c r="AC644" s="7" t="str">
        <f>Preencher!$B$3&amp;U644&amp;V644&amp;A644&amp;$AC$6</f>
        <v>JARINU-FRG977381MQ.TUNEL DE CG (ESTATICO) (2)</v>
      </c>
      <c r="AD644" s="327">
        <f>IFERROR(SUMIF('BD Otimix'!A:A,'BD VOLUME'!X644,'BD Otimix'!O:O)+SUMIF('BD Otimix'!A:A,'BD VOLUME'!Y644,'BD Otimix'!O:O)+SUMIF('BD Otimix'!A:A,'BD VOLUME'!Z644,'BD Otimix'!O:O)+SUMIF('BD Otimix'!A:A,'BD VOLUME'!AA644,'BD Otimix'!O:O)+SUMIF('BD Otimix'!A:A,'BD VOLUME'!AB644,'BD Otimix'!O:O)+SUMIF('BD Otimix'!A:A,'BD VOLUME'!AC644,'BD Otimix'!O:O)+SUMIF('BD Otimix'!A:A,'BD VOLUME'!W644,'BD Otimix'!O:O),0)</f>
        <v>0</v>
      </c>
      <c r="AE644" s="327">
        <f t="shared" si="211"/>
        <v>0</v>
      </c>
      <c r="AF644" s="7" t="str">
        <f>Preencher!$B$3&amp;$U$8&amp;$V$8&amp;A644&amp;$AF$6</f>
        <v>JARINU-FRG977381MQ.GIROFREEZER</v>
      </c>
      <c r="AG644" s="7" t="str">
        <f>Preencher!$B$3&amp;$U$8&amp;$V$8&amp;A644&amp;$AG$6</f>
        <v>JARINU-FRG977381MQ.GIROFREEZER (1)</v>
      </c>
      <c r="AH644" s="7" t="str">
        <f>Preencher!$B$3&amp;$U$8&amp;$V$8&amp;A644&amp;$AH$6</f>
        <v>JARINU-FRG977381MQ.GIROFREEZER (2)</v>
      </c>
      <c r="AI644" s="7" t="str">
        <f>Preencher!$B$3&amp;$U$8&amp;$V$8&amp;A644&amp;$AI$6</f>
        <v>JARINU-FRG977381MQ.GIROFREEZER REV04</v>
      </c>
      <c r="AJ644" s="7" t="str">
        <f>Preencher!$B$3&amp;$U$8&amp;$V$8&amp;A644&amp;$AJ$6</f>
        <v>JARINU-FRG977381MQ.GIROFREEZER (3)</v>
      </c>
      <c r="AK644" s="327">
        <f>IFERROR(SUMIF('BD Otimix'!A:A,'BD VOLUME'!AG644,'BD Otimix'!O:O)+SUMIF('BD Otimix'!A:A,'BD VOLUME'!AH644,'BD Otimix'!O:O)+SUMIF('BD Otimix'!A:A,'BD VOLUME'!AI644,'BD Otimix'!O:O)+SUMIF('BD Otimix'!A:A,'BD VOLUME'!AJ644,'BD Otimix'!O:O)+SUMIF('BD Otimix'!A:A,'BD VOLUME'!AF644,'BD Otimix'!O:O),0)</f>
        <v>0</v>
      </c>
      <c r="AL644" s="7">
        <f t="shared" si="212"/>
        <v>0</v>
      </c>
    </row>
    <row r="645" spans="1:38">
      <c r="A645" s="651">
        <v>12610</v>
      </c>
      <c r="B645" s="651"/>
      <c r="C645" s="5" t="s">
        <v>3043</v>
      </c>
      <c r="D645" s="5" t="s">
        <v>1769</v>
      </c>
      <c r="E645" s="5" t="s">
        <v>2141</v>
      </c>
      <c r="F645" s="132">
        <f>SUMIF('COLAR PLANO'!$A:$A,A645,'COLAR PLANO'!$D:$D)</f>
        <v>0</v>
      </c>
      <c r="G645" s="131">
        <f t="shared" si="220"/>
        <v>0</v>
      </c>
      <c r="H645" s="6">
        <v>7.8141423222840803E-2</v>
      </c>
      <c r="I645" s="7">
        <f t="shared" si="221"/>
        <v>0</v>
      </c>
      <c r="J645" s="130">
        <f t="shared" si="222"/>
        <v>0</v>
      </c>
      <c r="K645" s="651">
        <v>15</v>
      </c>
      <c r="L645" s="651">
        <v>1</v>
      </c>
      <c r="M645" s="651">
        <v>15</v>
      </c>
      <c r="N645" s="7">
        <f t="shared" si="223"/>
        <v>0</v>
      </c>
      <c r="O645" s="7"/>
      <c r="P645" s="7">
        <f t="shared" si="224"/>
        <v>0</v>
      </c>
      <c r="Q645" s="7"/>
      <c r="R645" s="7"/>
      <c r="S645" s="7"/>
      <c r="T645" s="7"/>
      <c r="U645" s="7" t="s">
        <v>2288</v>
      </c>
      <c r="V645" s="7" t="s">
        <v>2289</v>
      </c>
      <c r="W645" s="7" t="str">
        <f>Preencher!$B$3&amp;U645&amp;V645&amp;A645&amp;$W$6</f>
        <v>JARINU-FRG12610MQ.TUNEL DE CG (CONTINUO)</v>
      </c>
      <c r="X645" s="7" t="str">
        <f>Preencher!$B$3&amp;U645&amp;V645&amp;A645&amp;$X$6</f>
        <v>JARINU-FRG12610MQ.TUNEL DE CG (CONTINUO) (1)</v>
      </c>
      <c r="Y645" s="7" t="str">
        <f>Preencher!$B$3&amp;U645&amp;V645&amp;A645&amp;$Y$6</f>
        <v>JARINU-FRG12610MQ.TUNEL DE CG (CONTINUO) (2)</v>
      </c>
      <c r="Z645" s="7" t="str">
        <f>Preencher!$B$3&amp;U645&amp;V645&amp;A645&amp;$Z$6</f>
        <v>JARINU-FRG12610MQ.TUNEL DE CG (CONTINUO) (3)</v>
      </c>
      <c r="AA645" s="7" t="str">
        <f>Preencher!$B$3&amp;U645&amp;V645&amp;A645&amp;$AA$6</f>
        <v>JARINU-FRG12610MQ.TUNEL DE CG (ESTATICO)</v>
      </c>
      <c r="AB645" s="7" t="str">
        <f>Preencher!$B$3&amp;U645&amp;V645&amp;A645&amp;$AB$6</f>
        <v>JARINU-FRG12610MQ.TUNEL DE CG (ESTATICO) (1)</v>
      </c>
      <c r="AC645" s="7" t="str">
        <f>Preencher!$B$3&amp;U645&amp;V645&amp;A645&amp;$AC$6</f>
        <v>JARINU-FRG12610MQ.TUNEL DE CG (ESTATICO) (2)</v>
      </c>
      <c r="AD645" s="327">
        <f>IFERROR(SUMIF('BD Otimix'!A:A,'BD VOLUME'!X645,'BD Otimix'!O:O)+SUMIF('BD Otimix'!A:A,'BD VOLUME'!Y645,'BD Otimix'!O:O)+SUMIF('BD Otimix'!A:A,'BD VOLUME'!Z645,'BD Otimix'!O:O)+SUMIF('BD Otimix'!A:A,'BD VOLUME'!AA645,'BD Otimix'!O:O)+SUMIF('BD Otimix'!A:A,'BD VOLUME'!AB645,'BD Otimix'!O:O)+SUMIF('BD Otimix'!A:A,'BD VOLUME'!AC645,'BD Otimix'!O:O)+SUMIF('BD Otimix'!A:A,'BD VOLUME'!W645,'BD Otimix'!O:O),0)</f>
        <v>0</v>
      </c>
      <c r="AE645" s="327">
        <f t="shared" si="211"/>
        <v>0</v>
      </c>
      <c r="AF645" s="7" t="str">
        <f>Preencher!$B$3&amp;$U$8&amp;$V$8&amp;A645&amp;$AF$6</f>
        <v>JARINU-FRG12610MQ.GIROFREEZER</v>
      </c>
      <c r="AG645" s="7" t="str">
        <f>Preencher!$B$3&amp;$U$8&amp;$V$8&amp;A645&amp;$AG$6</f>
        <v>JARINU-FRG12610MQ.GIROFREEZER (1)</v>
      </c>
      <c r="AH645" s="7" t="str">
        <f>Preencher!$B$3&amp;$U$8&amp;$V$8&amp;A645&amp;$AH$6</f>
        <v>JARINU-FRG12610MQ.GIROFREEZER (2)</v>
      </c>
      <c r="AI645" s="7" t="str">
        <f>Preencher!$B$3&amp;$U$8&amp;$V$8&amp;A645&amp;$AI$6</f>
        <v>JARINU-FRG12610MQ.GIROFREEZER REV04</v>
      </c>
      <c r="AJ645" s="7" t="str">
        <f>Preencher!$B$3&amp;$U$8&amp;$V$8&amp;A645&amp;$AJ$6</f>
        <v>JARINU-FRG12610MQ.GIROFREEZER (3)</v>
      </c>
      <c r="AK645" s="327">
        <f>IFERROR(SUMIF('BD Otimix'!A:A,'BD VOLUME'!AG645,'BD Otimix'!O:O)+SUMIF('BD Otimix'!A:A,'BD VOLUME'!AH645,'BD Otimix'!O:O)+SUMIF('BD Otimix'!A:A,'BD VOLUME'!AI645,'BD Otimix'!O:O)+SUMIF('BD Otimix'!A:A,'BD VOLUME'!AJ645,'BD Otimix'!O:O)+SUMIF('BD Otimix'!A:A,'BD VOLUME'!AF645,'BD Otimix'!O:O),0)</f>
        <v>0</v>
      </c>
      <c r="AL645" s="7">
        <f t="shared" si="212"/>
        <v>0</v>
      </c>
    </row>
    <row r="646" spans="1:38">
      <c r="A646" s="651">
        <v>55840</v>
      </c>
      <c r="B646" s="651" t="s">
        <v>2378</v>
      </c>
      <c r="C646" s="5" t="s">
        <v>2379</v>
      </c>
      <c r="D646" s="5" t="s">
        <v>1769</v>
      </c>
      <c r="E646" s="5" t="s">
        <v>2141</v>
      </c>
      <c r="F646" s="132">
        <f>SUMIF('COLAR PLANO'!$A:$A,A646,'COLAR PLANO'!$D:$D)</f>
        <v>0</v>
      </c>
      <c r="G646" s="131">
        <f t="shared" si="220"/>
        <v>0</v>
      </c>
      <c r="H646" s="6">
        <v>7.8141423222840803E-2</v>
      </c>
      <c r="I646" s="7">
        <f t="shared" si="221"/>
        <v>0</v>
      </c>
      <c r="J646" s="130">
        <f t="shared" si="222"/>
        <v>0</v>
      </c>
      <c r="K646" s="651">
        <v>15</v>
      </c>
      <c r="L646" s="651">
        <v>1</v>
      </c>
      <c r="M646" s="651">
        <v>15</v>
      </c>
      <c r="N646" s="7">
        <f t="shared" si="223"/>
        <v>0</v>
      </c>
      <c r="O646" s="7"/>
      <c r="P646" s="7">
        <f t="shared" si="224"/>
        <v>0</v>
      </c>
      <c r="Q646" s="7"/>
      <c r="R646" s="7"/>
      <c r="S646" s="7"/>
      <c r="T646" s="7"/>
      <c r="U646" s="7" t="s">
        <v>2288</v>
      </c>
      <c r="V646" s="7" t="s">
        <v>2289</v>
      </c>
      <c r="W646" s="7" t="str">
        <f>Preencher!$B$3&amp;U646&amp;V646&amp;A646&amp;$W$6</f>
        <v>JARINU-FRG55840MQ.TUNEL DE CG (CONTINUO)</v>
      </c>
      <c r="X646" s="7" t="str">
        <f>Preencher!$B$3&amp;U646&amp;V646&amp;A646&amp;$X$6</f>
        <v>JARINU-FRG55840MQ.TUNEL DE CG (CONTINUO) (1)</v>
      </c>
      <c r="Y646" s="7" t="str">
        <f>Preencher!$B$3&amp;U646&amp;V646&amp;A646&amp;$Y$6</f>
        <v>JARINU-FRG55840MQ.TUNEL DE CG (CONTINUO) (2)</v>
      </c>
      <c r="Z646" s="7" t="str">
        <f>Preencher!$B$3&amp;U646&amp;V646&amp;A646&amp;$Z$6</f>
        <v>JARINU-FRG55840MQ.TUNEL DE CG (CONTINUO) (3)</v>
      </c>
      <c r="AA646" s="7" t="str">
        <f>Preencher!$B$3&amp;U646&amp;V646&amp;A646&amp;$AA$6</f>
        <v>JARINU-FRG55840MQ.TUNEL DE CG (ESTATICO)</v>
      </c>
      <c r="AB646" s="7" t="str">
        <f>Preencher!$B$3&amp;U646&amp;V646&amp;A646&amp;$AB$6</f>
        <v>JARINU-FRG55840MQ.TUNEL DE CG (ESTATICO) (1)</v>
      </c>
      <c r="AC646" s="7" t="str">
        <f>Preencher!$B$3&amp;U646&amp;V646&amp;A646&amp;$AC$6</f>
        <v>JARINU-FRG55840MQ.TUNEL DE CG (ESTATICO) (2)</v>
      </c>
      <c r="AD646" s="327">
        <f>IFERROR(SUMIF('BD Otimix'!A:A,'BD VOLUME'!X646,'BD Otimix'!O:O)+SUMIF('BD Otimix'!A:A,'BD VOLUME'!Y646,'BD Otimix'!O:O)+SUMIF('BD Otimix'!A:A,'BD VOLUME'!Z646,'BD Otimix'!O:O)+SUMIF('BD Otimix'!A:A,'BD VOLUME'!AA646,'BD Otimix'!O:O)+SUMIF('BD Otimix'!A:A,'BD VOLUME'!AB646,'BD Otimix'!O:O)+SUMIF('BD Otimix'!A:A,'BD VOLUME'!AC646,'BD Otimix'!O:O)+SUMIF('BD Otimix'!A:A,'BD VOLUME'!W646,'BD Otimix'!O:O),0)</f>
        <v>0</v>
      </c>
      <c r="AE646" s="327">
        <f t="shared" si="211"/>
        <v>0</v>
      </c>
      <c r="AF646" s="7" t="str">
        <f>Preencher!$B$3&amp;$U$8&amp;$V$8&amp;A646&amp;$AF$6</f>
        <v>JARINU-FRG55840MQ.GIROFREEZER</v>
      </c>
      <c r="AG646" s="7" t="str">
        <f>Preencher!$B$3&amp;$U$8&amp;$V$8&amp;A646&amp;$AG$6</f>
        <v>JARINU-FRG55840MQ.GIROFREEZER (1)</v>
      </c>
      <c r="AH646" s="7" t="str">
        <f>Preencher!$B$3&amp;$U$8&amp;$V$8&amp;A646&amp;$AH$6</f>
        <v>JARINU-FRG55840MQ.GIROFREEZER (2)</v>
      </c>
      <c r="AI646" s="7" t="str">
        <f>Preencher!$B$3&amp;$U$8&amp;$V$8&amp;A646&amp;$AI$6</f>
        <v>JARINU-FRG55840MQ.GIROFREEZER REV04</v>
      </c>
      <c r="AJ646" s="7" t="str">
        <f>Preencher!$B$3&amp;$U$8&amp;$V$8&amp;A646&amp;$AJ$6</f>
        <v>JARINU-FRG55840MQ.GIROFREEZER (3)</v>
      </c>
      <c r="AK646" s="327">
        <f>IFERROR(SUMIF('BD Otimix'!A:A,'BD VOLUME'!AG646,'BD Otimix'!O:O)+SUMIF('BD Otimix'!A:A,'BD VOLUME'!AH646,'BD Otimix'!O:O)+SUMIF('BD Otimix'!A:A,'BD VOLUME'!AI646,'BD Otimix'!O:O)+SUMIF('BD Otimix'!A:A,'BD VOLUME'!AJ646,'BD Otimix'!O:O)+SUMIF('BD Otimix'!A:A,'BD VOLUME'!AF646,'BD Otimix'!O:O),0)</f>
        <v>0</v>
      </c>
      <c r="AL646" s="7">
        <f t="shared" si="212"/>
        <v>0</v>
      </c>
    </row>
    <row r="647" spans="1:38">
      <c r="A647" s="651">
        <v>55883</v>
      </c>
      <c r="B647" s="651" t="s">
        <v>2380</v>
      </c>
      <c r="C647" s="5" t="s">
        <v>2381</v>
      </c>
      <c r="D647" s="5" t="s">
        <v>1769</v>
      </c>
      <c r="E647" s="5" t="s">
        <v>2141</v>
      </c>
      <c r="F647" s="132">
        <f>SUMIF('COLAR PLANO'!$A:$A,A647,'COLAR PLANO'!$D:$D)</f>
        <v>0</v>
      </c>
      <c r="G647" s="131">
        <f t="shared" si="220"/>
        <v>0</v>
      </c>
      <c r="H647" s="6">
        <v>7.8141423222840803E-2</v>
      </c>
      <c r="I647" s="7">
        <f t="shared" si="221"/>
        <v>0</v>
      </c>
      <c r="J647" s="130">
        <f t="shared" si="222"/>
        <v>0</v>
      </c>
      <c r="K647" s="651">
        <v>15</v>
      </c>
      <c r="L647" s="651">
        <v>1</v>
      </c>
      <c r="M647" s="651">
        <v>15</v>
      </c>
      <c r="N647" s="7">
        <f t="shared" si="223"/>
        <v>0</v>
      </c>
      <c r="O647" s="7"/>
      <c r="P647" s="7">
        <f t="shared" si="224"/>
        <v>0</v>
      </c>
      <c r="Q647" s="7"/>
      <c r="R647" s="7"/>
      <c r="S647" s="7"/>
      <c r="T647" s="7"/>
      <c r="U647" s="7" t="s">
        <v>2288</v>
      </c>
      <c r="V647" s="7" t="s">
        <v>2289</v>
      </c>
      <c r="W647" s="7" t="str">
        <f>Preencher!$B$3&amp;U647&amp;V647&amp;A647&amp;$W$6</f>
        <v>JARINU-FRG55883MQ.TUNEL DE CG (CONTINUO)</v>
      </c>
      <c r="X647" s="7" t="str">
        <f>Preencher!$B$3&amp;U647&amp;V647&amp;A647&amp;$X$6</f>
        <v>JARINU-FRG55883MQ.TUNEL DE CG (CONTINUO) (1)</v>
      </c>
      <c r="Y647" s="7" t="str">
        <f>Preencher!$B$3&amp;U647&amp;V647&amp;A647&amp;$Y$6</f>
        <v>JARINU-FRG55883MQ.TUNEL DE CG (CONTINUO) (2)</v>
      </c>
      <c r="Z647" s="7" t="str">
        <f>Preencher!$B$3&amp;U647&amp;V647&amp;A647&amp;$Z$6</f>
        <v>JARINU-FRG55883MQ.TUNEL DE CG (CONTINUO) (3)</v>
      </c>
      <c r="AA647" s="7" t="str">
        <f>Preencher!$B$3&amp;U647&amp;V647&amp;A647&amp;$AA$6</f>
        <v>JARINU-FRG55883MQ.TUNEL DE CG (ESTATICO)</v>
      </c>
      <c r="AB647" s="7" t="str">
        <f>Preencher!$B$3&amp;U647&amp;V647&amp;A647&amp;$AB$6</f>
        <v>JARINU-FRG55883MQ.TUNEL DE CG (ESTATICO) (1)</v>
      </c>
      <c r="AC647" s="7" t="str">
        <f>Preencher!$B$3&amp;U647&amp;V647&amp;A647&amp;$AC$6</f>
        <v>JARINU-FRG55883MQ.TUNEL DE CG (ESTATICO) (2)</v>
      </c>
      <c r="AD647" s="327">
        <f>IFERROR(SUMIF('BD Otimix'!A:A,'BD VOLUME'!X647,'BD Otimix'!O:O)+SUMIF('BD Otimix'!A:A,'BD VOLUME'!Y647,'BD Otimix'!O:O)+SUMIF('BD Otimix'!A:A,'BD VOLUME'!Z647,'BD Otimix'!O:O)+SUMIF('BD Otimix'!A:A,'BD VOLUME'!AA647,'BD Otimix'!O:O)+SUMIF('BD Otimix'!A:A,'BD VOLUME'!AB647,'BD Otimix'!O:O)+SUMIF('BD Otimix'!A:A,'BD VOLUME'!AC647,'BD Otimix'!O:O)+SUMIF('BD Otimix'!A:A,'BD VOLUME'!W647,'BD Otimix'!O:O),0)</f>
        <v>0</v>
      </c>
      <c r="AE647" s="327">
        <f t="shared" si="211"/>
        <v>0</v>
      </c>
      <c r="AF647" s="7" t="str">
        <f>Preencher!$B$3&amp;$U$8&amp;$V$8&amp;A647&amp;$AF$6</f>
        <v>JARINU-FRG55883MQ.GIROFREEZER</v>
      </c>
      <c r="AG647" s="7" t="str">
        <f>Preencher!$B$3&amp;$U$8&amp;$V$8&amp;A647&amp;$AG$6</f>
        <v>JARINU-FRG55883MQ.GIROFREEZER (1)</v>
      </c>
      <c r="AH647" s="7" t="str">
        <f>Preencher!$B$3&amp;$U$8&amp;$V$8&amp;A647&amp;$AH$6</f>
        <v>JARINU-FRG55883MQ.GIROFREEZER (2)</v>
      </c>
      <c r="AI647" s="7" t="str">
        <f>Preencher!$B$3&amp;$U$8&amp;$V$8&amp;A647&amp;$AI$6</f>
        <v>JARINU-FRG55883MQ.GIROFREEZER REV04</v>
      </c>
      <c r="AJ647" s="7" t="str">
        <f>Preencher!$B$3&amp;$U$8&amp;$V$8&amp;A647&amp;$AJ$6</f>
        <v>JARINU-FRG55883MQ.GIROFREEZER (3)</v>
      </c>
      <c r="AK647" s="327">
        <f>IFERROR(SUMIF('BD Otimix'!A:A,'BD VOLUME'!AG647,'BD Otimix'!O:O)+SUMIF('BD Otimix'!A:A,'BD VOLUME'!AH647,'BD Otimix'!O:O)+SUMIF('BD Otimix'!A:A,'BD VOLUME'!AI647,'BD Otimix'!O:O)+SUMIF('BD Otimix'!A:A,'BD VOLUME'!AJ647,'BD Otimix'!O:O)+SUMIF('BD Otimix'!A:A,'BD VOLUME'!AF647,'BD Otimix'!O:O),0)</f>
        <v>0</v>
      </c>
      <c r="AL647" s="7">
        <f t="shared" si="212"/>
        <v>0</v>
      </c>
    </row>
    <row r="648" spans="1:38" ht="17.25" customHeight="1">
      <c r="A648" s="417">
        <v>43478</v>
      </c>
      <c r="B648" s="417" t="s">
        <v>2382</v>
      </c>
      <c r="C648" s="5" t="s">
        <v>2115</v>
      </c>
      <c r="D648" s="5" t="s">
        <v>1005</v>
      </c>
      <c r="E648" s="5" t="s">
        <v>2142</v>
      </c>
      <c r="F648" s="132">
        <f>SUMIF('COLAR PLANO'!$A:$A,A648,'COLAR PLANO'!$D:$D)</f>
        <v>0</v>
      </c>
      <c r="G648" s="131">
        <f t="shared" si="220"/>
        <v>0</v>
      </c>
      <c r="H648" s="6">
        <v>8.3674910320448107E-3</v>
      </c>
      <c r="I648" s="7">
        <f t="shared" si="221"/>
        <v>0</v>
      </c>
      <c r="J648" s="130">
        <f t="shared" si="222"/>
        <v>0</v>
      </c>
      <c r="K648" s="651">
        <v>5</v>
      </c>
      <c r="L648" s="651">
        <v>3</v>
      </c>
      <c r="M648" s="651">
        <v>15</v>
      </c>
      <c r="N648" s="7">
        <f t="shared" si="223"/>
        <v>0</v>
      </c>
      <c r="O648" s="7"/>
      <c r="P648" s="7">
        <f t="shared" si="224"/>
        <v>0</v>
      </c>
      <c r="Q648" s="7"/>
      <c r="R648" s="7"/>
      <c r="S648" s="7"/>
      <c r="T648" s="7"/>
      <c r="U648" s="7" t="s">
        <v>2288</v>
      </c>
      <c r="V648" s="7" t="s">
        <v>2289</v>
      </c>
      <c r="W648" s="7" t="str">
        <f>Preencher!$B$3&amp;U648&amp;V648&amp;A648&amp;$W$6</f>
        <v>JARINU-FRG43478MQ.TUNEL DE CG (CONTINUO)</v>
      </c>
      <c r="X648" s="7" t="str">
        <f>Preencher!$B$3&amp;U648&amp;V648&amp;A648&amp;$X$6</f>
        <v>JARINU-FRG43478MQ.TUNEL DE CG (CONTINUO) (1)</v>
      </c>
      <c r="Y648" s="7" t="str">
        <f>Preencher!$B$3&amp;U648&amp;V648&amp;A648&amp;$Y$6</f>
        <v>JARINU-FRG43478MQ.TUNEL DE CG (CONTINUO) (2)</v>
      </c>
      <c r="Z648" s="7" t="str">
        <f>Preencher!$B$3&amp;U648&amp;V648&amp;A648&amp;$Z$6</f>
        <v>JARINU-FRG43478MQ.TUNEL DE CG (CONTINUO) (3)</v>
      </c>
      <c r="AA648" s="7" t="str">
        <f>Preencher!$B$3&amp;U648&amp;V648&amp;A648&amp;$AA$6</f>
        <v>JARINU-FRG43478MQ.TUNEL DE CG (ESTATICO)</v>
      </c>
      <c r="AB648" s="7" t="str">
        <f>Preencher!$B$3&amp;U648&amp;V648&amp;A648&amp;$AB$6</f>
        <v>JARINU-FRG43478MQ.TUNEL DE CG (ESTATICO) (1)</v>
      </c>
      <c r="AC648" s="7" t="str">
        <f>Preencher!$B$3&amp;U648&amp;V648&amp;A648&amp;$AC$6</f>
        <v>JARINU-FRG43478MQ.TUNEL DE CG (ESTATICO) (2)</v>
      </c>
      <c r="AD648" s="327">
        <f>IFERROR(SUMIF('BD Otimix'!A:A,'BD VOLUME'!X648,'BD Otimix'!O:O)+SUMIF('BD Otimix'!A:A,'BD VOLUME'!Y648,'BD Otimix'!O:O)+SUMIF('BD Otimix'!A:A,'BD VOLUME'!Z648,'BD Otimix'!O:O)+SUMIF('BD Otimix'!A:A,'BD VOLUME'!AA648,'BD Otimix'!O:O)+SUMIF('BD Otimix'!A:A,'BD VOLUME'!AB648,'BD Otimix'!O:O)+SUMIF('BD Otimix'!A:A,'BD VOLUME'!AC648,'BD Otimix'!O:O)+SUMIF('BD Otimix'!A:A,'BD VOLUME'!W648,'BD Otimix'!O:O),0)</f>
        <v>0</v>
      </c>
      <c r="AE648" s="327">
        <f t="shared" si="211"/>
        <v>0</v>
      </c>
      <c r="AF648" s="7" t="str">
        <f>Preencher!$B$3&amp;$U$8&amp;$V$8&amp;A648&amp;$AF$6</f>
        <v>JARINU-FRG43478MQ.GIROFREEZER</v>
      </c>
      <c r="AG648" s="7" t="str">
        <f>Preencher!$B$3&amp;$U$8&amp;$V$8&amp;A648&amp;$AG$6</f>
        <v>JARINU-FRG43478MQ.GIROFREEZER (1)</v>
      </c>
      <c r="AH648" s="7" t="str">
        <f>Preencher!$B$3&amp;$U$8&amp;$V$8&amp;A648&amp;$AH$6</f>
        <v>JARINU-FRG43478MQ.GIROFREEZER (2)</v>
      </c>
      <c r="AI648" s="7" t="str">
        <f>Preencher!$B$3&amp;$U$8&amp;$V$8&amp;A648&amp;$AI$6</f>
        <v>JARINU-FRG43478MQ.GIROFREEZER REV04</v>
      </c>
      <c r="AJ648" s="7" t="str">
        <f>Preencher!$B$3&amp;$U$8&amp;$V$8&amp;A648&amp;$AJ$6</f>
        <v>JARINU-FRG43478MQ.GIROFREEZER (3)</v>
      </c>
      <c r="AK648" s="327">
        <f>IFERROR(SUMIF('BD Otimix'!A:A,'BD VOLUME'!AG648,'BD Otimix'!O:O)+SUMIF('BD Otimix'!A:A,'BD VOLUME'!AH648,'BD Otimix'!O:O)+SUMIF('BD Otimix'!A:A,'BD VOLUME'!AI648,'BD Otimix'!O:O)+SUMIF('BD Otimix'!A:A,'BD VOLUME'!AJ648,'BD Otimix'!O:O)+SUMIF('BD Otimix'!A:A,'BD VOLUME'!AF648,'BD Otimix'!O:O),0)</f>
        <v>0</v>
      </c>
      <c r="AL648" s="7">
        <f t="shared" si="212"/>
        <v>0</v>
      </c>
    </row>
    <row r="649" spans="1:38">
      <c r="A649" s="580">
        <v>797855</v>
      </c>
      <c r="B649" s="580" t="s">
        <v>2087</v>
      </c>
      <c r="C649" s="5" t="s">
        <v>2088</v>
      </c>
      <c r="D649" s="5" t="s">
        <v>1770</v>
      </c>
      <c r="E649" s="5" t="s">
        <v>2184</v>
      </c>
      <c r="F649" s="132">
        <f>SUMIF('COLAR PLANO'!$A:$A,A649,'COLAR PLANO'!$D:$D)</f>
        <v>0</v>
      </c>
      <c r="G649" s="131">
        <f t="shared" si="220"/>
        <v>0</v>
      </c>
      <c r="H649" s="6">
        <v>3.7871789646489878E-2</v>
      </c>
      <c r="I649" s="7">
        <f t="shared" si="221"/>
        <v>0</v>
      </c>
      <c r="J649" s="130">
        <f t="shared" si="222"/>
        <v>0</v>
      </c>
      <c r="K649" s="580">
        <v>2</v>
      </c>
      <c r="L649" s="580">
        <v>6</v>
      </c>
      <c r="M649" s="580">
        <v>12</v>
      </c>
      <c r="N649" s="7">
        <f t="shared" si="223"/>
        <v>0</v>
      </c>
      <c r="O649" s="7"/>
      <c r="P649" s="7">
        <f t="shared" si="224"/>
        <v>0</v>
      </c>
      <c r="Q649" s="7"/>
      <c r="R649" s="7"/>
      <c r="S649" s="7"/>
      <c r="T649" s="7"/>
      <c r="U649" s="7" t="s">
        <v>2288</v>
      </c>
      <c r="V649" s="7" t="s">
        <v>2289</v>
      </c>
      <c r="W649" s="7" t="str">
        <f>Preencher!$B$3&amp;U649&amp;V649&amp;A649&amp;$W$6</f>
        <v>JARINU-FRG797855MQ.TUNEL DE CG (CONTINUO)</v>
      </c>
      <c r="X649" s="7" t="str">
        <f>Preencher!$B$3&amp;U649&amp;V649&amp;A649&amp;$X$6</f>
        <v>JARINU-FRG797855MQ.TUNEL DE CG (CONTINUO) (1)</v>
      </c>
      <c r="Y649" s="7" t="str">
        <f>Preencher!$B$3&amp;U649&amp;V649&amp;A649&amp;$Y$6</f>
        <v>JARINU-FRG797855MQ.TUNEL DE CG (CONTINUO) (2)</v>
      </c>
      <c r="Z649" s="7" t="str">
        <f>Preencher!$B$3&amp;U649&amp;V649&amp;A649&amp;$Z$6</f>
        <v>JARINU-FRG797855MQ.TUNEL DE CG (CONTINUO) (3)</v>
      </c>
      <c r="AA649" s="7" t="str">
        <f>Preencher!$B$3&amp;U649&amp;V649&amp;A649&amp;$AA$6</f>
        <v>JARINU-FRG797855MQ.TUNEL DE CG (ESTATICO)</v>
      </c>
      <c r="AB649" s="7" t="str">
        <f>Preencher!$B$3&amp;U649&amp;V649&amp;A649&amp;$AB$6</f>
        <v>JARINU-FRG797855MQ.TUNEL DE CG (ESTATICO) (1)</v>
      </c>
      <c r="AC649" s="7" t="str">
        <f>Preencher!$B$3&amp;U649&amp;V649&amp;A649&amp;$AC$6</f>
        <v>JARINU-FRG797855MQ.TUNEL DE CG (ESTATICO) (2)</v>
      </c>
      <c r="AD649" s="327">
        <f>IFERROR(SUMIF('BD Otimix'!A:A,'BD VOLUME'!X649,'BD Otimix'!O:O)+SUMIF('BD Otimix'!A:A,'BD VOLUME'!Y649,'BD Otimix'!O:O)+SUMIF('BD Otimix'!A:A,'BD VOLUME'!Z649,'BD Otimix'!O:O)+SUMIF('BD Otimix'!A:A,'BD VOLUME'!AA649,'BD Otimix'!O:O)+SUMIF('BD Otimix'!A:A,'BD VOLUME'!AB649,'BD Otimix'!O:O)+SUMIF('BD Otimix'!A:A,'BD VOLUME'!AC649,'BD Otimix'!O:O)+SUMIF('BD Otimix'!A:A,'BD VOLUME'!W649,'BD Otimix'!O:O),0)</f>
        <v>0</v>
      </c>
      <c r="AE649" s="327">
        <f t="shared" si="211"/>
        <v>0</v>
      </c>
      <c r="AF649" s="7" t="str">
        <f>Preencher!$B$3&amp;$U$8&amp;$V$8&amp;A649&amp;$AF$6</f>
        <v>JARINU-FRG797855MQ.GIROFREEZER</v>
      </c>
      <c r="AG649" s="7" t="str">
        <f>Preencher!$B$3&amp;$U$8&amp;$V$8&amp;A649&amp;$AG$6</f>
        <v>JARINU-FRG797855MQ.GIROFREEZER (1)</v>
      </c>
      <c r="AH649" s="7" t="str">
        <f>Preencher!$B$3&amp;$U$8&amp;$V$8&amp;A649&amp;$AH$6</f>
        <v>JARINU-FRG797855MQ.GIROFREEZER (2)</v>
      </c>
      <c r="AI649" s="7" t="str">
        <f>Preencher!$B$3&amp;$U$8&amp;$V$8&amp;A649&amp;$AI$6</f>
        <v>JARINU-FRG797855MQ.GIROFREEZER REV04</v>
      </c>
      <c r="AJ649" s="7" t="str">
        <f>Preencher!$B$3&amp;$U$8&amp;$V$8&amp;A649&amp;$AJ$6</f>
        <v>JARINU-FRG797855MQ.GIROFREEZER (3)</v>
      </c>
      <c r="AK649" s="327">
        <f>IFERROR(SUMIF('BD Otimix'!A:A,'BD VOLUME'!AG649,'BD Otimix'!O:O)+SUMIF('BD Otimix'!A:A,'BD VOLUME'!AH649,'BD Otimix'!O:O)+SUMIF('BD Otimix'!A:A,'BD VOLUME'!AI649,'BD Otimix'!O:O)+SUMIF('BD Otimix'!A:A,'BD VOLUME'!AJ649,'BD Otimix'!O:O)+SUMIF('BD Otimix'!A:A,'BD VOLUME'!AF649,'BD Otimix'!O:O),0)</f>
        <v>0</v>
      </c>
      <c r="AL649" s="7">
        <f t="shared" si="212"/>
        <v>0</v>
      </c>
    </row>
    <row r="650" spans="1:38">
      <c r="A650" s="580">
        <v>796441</v>
      </c>
      <c r="B650" s="580" t="s">
        <v>2089</v>
      </c>
      <c r="C650" s="5" t="s">
        <v>2090</v>
      </c>
      <c r="D650" s="5" t="s">
        <v>1770</v>
      </c>
      <c r="E650" s="5" t="s">
        <v>1764</v>
      </c>
      <c r="F650" s="132">
        <f>SUMIF('COLAR PLANO'!$A:$A,A650,'COLAR PLANO'!$D:$D)</f>
        <v>0</v>
      </c>
      <c r="G650" s="131">
        <f t="shared" si="220"/>
        <v>0</v>
      </c>
      <c r="H650" s="6">
        <v>3.7871789646489878E-2</v>
      </c>
      <c r="I650" s="7">
        <f t="shared" si="221"/>
        <v>0</v>
      </c>
      <c r="J650" s="130">
        <f t="shared" si="222"/>
        <v>0</v>
      </c>
      <c r="K650" s="580">
        <v>1.375</v>
      </c>
      <c r="L650" s="580">
        <v>12</v>
      </c>
      <c r="M650" s="580">
        <v>16.5</v>
      </c>
      <c r="N650" s="7">
        <f t="shared" si="223"/>
        <v>0</v>
      </c>
      <c r="O650" s="7"/>
      <c r="P650" s="7">
        <f t="shared" si="224"/>
        <v>0</v>
      </c>
      <c r="Q650" s="7"/>
      <c r="R650" s="7"/>
      <c r="S650" s="7"/>
      <c r="T650" s="7"/>
      <c r="U650" s="7" t="s">
        <v>2288</v>
      </c>
      <c r="V650" s="7" t="s">
        <v>2289</v>
      </c>
      <c r="W650" s="7" t="str">
        <f>Preencher!$B$3&amp;U650&amp;V650&amp;A650&amp;$W$6</f>
        <v>JARINU-FRG796441MQ.TUNEL DE CG (CONTINUO)</v>
      </c>
      <c r="X650" s="7" t="str">
        <f>Preencher!$B$3&amp;U650&amp;V650&amp;A650&amp;$X$6</f>
        <v>JARINU-FRG796441MQ.TUNEL DE CG (CONTINUO) (1)</v>
      </c>
      <c r="Y650" s="7" t="str">
        <f>Preencher!$B$3&amp;U650&amp;V650&amp;A650&amp;$Y$6</f>
        <v>JARINU-FRG796441MQ.TUNEL DE CG (CONTINUO) (2)</v>
      </c>
      <c r="Z650" s="7" t="str">
        <f>Preencher!$B$3&amp;U650&amp;V650&amp;A650&amp;$Z$6</f>
        <v>JARINU-FRG796441MQ.TUNEL DE CG (CONTINUO) (3)</v>
      </c>
      <c r="AA650" s="7" t="str">
        <f>Preencher!$B$3&amp;U650&amp;V650&amp;A650&amp;$AA$6</f>
        <v>JARINU-FRG796441MQ.TUNEL DE CG (ESTATICO)</v>
      </c>
      <c r="AB650" s="7" t="str">
        <f>Preencher!$B$3&amp;U650&amp;V650&amp;A650&amp;$AB$6</f>
        <v>JARINU-FRG796441MQ.TUNEL DE CG (ESTATICO) (1)</v>
      </c>
      <c r="AC650" s="7" t="str">
        <f>Preencher!$B$3&amp;U650&amp;V650&amp;A650&amp;$AC$6</f>
        <v>JARINU-FRG796441MQ.TUNEL DE CG (ESTATICO) (2)</v>
      </c>
      <c r="AD650" s="327">
        <f>IFERROR(SUMIF('BD Otimix'!A:A,'BD VOLUME'!X650,'BD Otimix'!O:O)+SUMIF('BD Otimix'!A:A,'BD VOLUME'!Y650,'BD Otimix'!O:O)+SUMIF('BD Otimix'!A:A,'BD VOLUME'!Z650,'BD Otimix'!O:O)+SUMIF('BD Otimix'!A:A,'BD VOLUME'!AA650,'BD Otimix'!O:O)+SUMIF('BD Otimix'!A:A,'BD VOLUME'!AB650,'BD Otimix'!O:O)+SUMIF('BD Otimix'!A:A,'BD VOLUME'!AC650,'BD Otimix'!O:O)+SUMIF('BD Otimix'!A:A,'BD VOLUME'!W650,'BD Otimix'!O:O),0)</f>
        <v>0</v>
      </c>
      <c r="AE650" s="327">
        <f t="shared" si="211"/>
        <v>0</v>
      </c>
      <c r="AF650" s="7" t="str">
        <f>Preencher!$B$3&amp;$U$8&amp;$V$8&amp;A650&amp;$AF$6</f>
        <v>JARINU-FRG796441MQ.GIROFREEZER</v>
      </c>
      <c r="AG650" s="7" t="str">
        <f>Preencher!$B$3&amp;$U$8&amp;$V$8&amp;A650&amp;$AG$6</f>
        <v>JARINU-FRG796441MQ.GIROFREEZER (1)</v>
      </c>
      <c r="AH650" s="7" t="str">
        <f>Preencher!$B$3&amp;$U$8&amp;$V$8&amp;A650&amp;$AH$6</f>
        <v>JARINU-FRG796441MQ.GIROFREEZER (2)</v>
      </c>
      <c r="AI650" s="7" t="str">
        <f>Preencher!$B$3&amp;$U$8&amp;$V$8&amp;A650&amp;$AI$6</f>
        <v>JARINU-FRG796441MQ.GIROFREEZER REV04</v>
      </c>
      <c r="AJ650" s="7" t="str">
        <f>Preencher!$B$3&amp;$U$8&amp;$V$8&amp;A650&amp;$AJ$6</f>
        <v>JARINU-FRG796441MQ.GIROFREEZER (3)</v>
      </c>
      <c r="AK650" s="327">
        <f>IFERROR(SUMIF('BD Otimix'!A:A,'BD VOLUME'!AG650,'BD Otimix'!O:O)+SUMIF('BD Otimix'!A:A,'BD VOLUME'!AH650,'BD Otimix'!O:O)+SUMIF('BD Otimix'!A:A,'BD VOLUME'!AI650,'BD Otimix'!O:O)+SUMIF('BD Otimix'!A:A,'BD VOLUME'!AJ650,'BD Otimix'!O:O)+SUMIF('BD Otimix'!A:A,'BD VOLUME'!AF650,'BD Otimix'!O:O),0)</f>
        <v>0</v>
      </c>
      <c r="AL650" s="7">
        <f t="shared" si="212"/>
        <v>0</v>
      </c>
    </row>
    <row r="651" spans="1:38">
      <c r="A651" s="720">
        <v>44199</v>
      </c>
      <c r="B651" s="720" t="s">
        <v>2779</v>
      </c>
      <c r="C651" s="5" t="s">
        <v>2780</v>
      </c>
      <c r="D651" s="5" t="s">
        <v>869</v>
      </c>
      <c r="E651" s="5" t="s">
        <v>2781</v>
      </c>
      <c r="F651" s="132">
        <f>SUMIF('COLAR PLANO'!$A:$A,A651,'COLAR PLANO'!$D:$D)</f>
        <v>0</v>
      </c>
      <c r="G651" s="131">
        <f>IFERROR(F651/($E$3*$C$3),0)</f>
        <v>0</v>
      </c>
      <c r="H651" s="6">
        <v>2.9504298614445066E-2</v>
      </c>
      <c r="I651" s="7">
        <f t="shared" si="221"/>
        <v>0</v>
      </c>
      <c r="J651" s="130">
        <f t="shared" si="222"/>
        <v>0</v>
      </c>
      <c r="K651" s="720">
        <v>2</v>
      </c>
      <c r="L651" s="720">
        <v>6</v>
      </c>
      <c r="M651" s="720">
        <v>12</v>
      </c>
      <c r="N651" s="7">
        <f t="shared" si="223"/>
        <v>0</v>
      </c>
      <c r="O651" s="7"/>
      <c r="P651" s="7">
        <f t="shared" si="224"/>
        <v>0</v>
      </c>
      <c r="Q651" s="7"/>
      <c r="R651" s="7"/>
      <c r="S651" s="7"/>
      <c r="T651" s="7"/>
      <c r="U651" s="7" t="s">
        <v>2288</v>
      </c>
      <c r="V651" s="7" t="s">
        <v>2289</v>
      </c>
      <c r="W651" s="7" t="str">
        <f>Preencher!$B$3&amp;U651&amp;V651&amp;A651&amp;$W$6</f>
        <v>JARINU-FRG44199MQ.TUNEL DE CG (CONTINUO)</v>
      </c>
      <c r="X651" s="7" t="str">
        <f>Preencher!$B$3&amp;U651&amp;V651&amp;A651&amp;$X$6</f>
        <v>JARINU-FRG44199MQ.TUNEL DE CG (CONTINUO) (1)</v>
      </c>
      <c r="Y651" s="7" t="str">
        <f>Preencher!$B$3&amp;U651&amp;V651&amp;A651&amp;$Y$6</f>
        <v>JARINU-FRG44199MQ.TUNEL DE CG (CONTINUO) (2)</v>
      </c>
      <c r="Z651" s="7" t="str">
        <f>Preencher!$B$3&amp;U651&amp;V651&amp;A651&amp;$Z$6</f>
        <v>JARINU-FRG44199MQ.TUNEL DE CG (CONTINUO) (3)</v>
      </c>
      <c r="AA651" s="7" t="str">
        <f>Preencher!$B$3&amp;U651&amp;V651&amp;A651&amp;$AA$6</f>
        <v>JARINU-FRG44199MQ.TUNEL DE CG (ESTATICO)</v>
      </c>
      <c r="AB651" s="7" t="str">
        <f>Preencher!$B$3&amp;U651&amp;V651&amp;A651&amp;$AB$6</f>
        <v>JARINU-FRG44199MQ.TUNEL DE CG (ESTATICO) (1)</v>
      </c>
      <c r="AC651" s="7" t="str">
        <f>Preencher!$B$3&amp;U651&amp;V651&amp;A651&amp;$AC$6</f>
        <v>JARINU-FRG44199MQ.TUNEL DE CG (ESTATICO) (2)</v>
      </c>
      <c r="AD651" s="327">
        <f>IFERROR(SUMIF('BD Otimix'!A:A,'BD VOLUME'!X651,'BD Otimix'!O:O)+SUMIF('BD Otimix'!A:A,'BD VOLUME'!Y651,'BD Otimix'!O:O)+SUMIF('BD Otimix'!A:A,'BD VOLUME'!Z651,'BD Otimix'!O:O)+SUMIF('BD Otimix'!A:A,'BD VOLUME'!AA651,'BD Otimix'!O:O)+SUMIF('BD Otimix'!A:A,'BD VOLUME'!AB651,'BD Otimix'!O:O)+SUMIF('BD Otimix'!A:A,'BD VOLUME'!AC651,'BD Otimix'!O:O)+SUMIF('BD Otimix'!A:A,'BD VOLUME'!W651,'BD Otimix'!O:O),0)</f>
        <v>0</v>
      </c>
      <c r="AE651" s="327">
        <f>IFERROR(F651/$E$3/1000/AD651,0)</f>
        <v>0</v>
      </c>
      <c r="AF651" s="7" t="str">
        <f>Preencher!$B$3&amp;$U$8&amp;$V$8&amp;A651&amp;$AF$6</f>
        <v>JARINU-FRG44199MQ.GIROFREEZER</v>
      </c>
      <c r="AG651" s="7" t="str">
        <f>Preencher!$B$3&amp;$U$8&amp;$V$8&amp;A651&amp;$AG$6</f>
        <v>JARINU-FRG44199MQ.GIROFREEZER (1)</v>
      </c>
      <c r="AH651" s="7" t="str">
        <f>Preencher!$B$3&amp;$U$8&amp;$V$8&amp;A651&amp;$AH$6</f>
        <v>JARINU-FRG44199MQ.GIROFREEZER (2)</v>
      </c>
      <c r="AI651" s="7" t="str">
        <f>Preencher!$B$3&amp;$U$8&amp;$V$8&amp;A651&amp;$AI$6</f>
        <v>JARINU-FRG44199MQ.GIROFREEZER REV04</v>
      </c>
      <c r="AJ651" s="7" t="str">
        <f>Preencher!$B$3&amp;$U$8&amp;$V$8&amp;A651&amp;$AJ$6</f>
        <v>JARINU-FRG44199MQ.GIROFREEZER (3)</v>
      </c>
      <c r="AK651" s="327">
        <f>IFERROR(SUMIF('BD Otimix'!A:A,'BD VOLUME'!AG651,'BD Otimix'!O:O)+SUMIF('BD Otimix'!A:A,'BD VOLUME'!AH651,'BD Otimix'!O:O)+SUMIF('BD Otimix'!A:A,'BD VOLUME'!AI651,'BD Otimix'!O:O)+SUMIF('BD Otimix'!A:A,'BD VOLUME'!AJ651,'BD Otimix'!O:O)+SUMIF('BD Otimix'!A:A,'BD VOLUME'!AF651,'BD Otimix'!O:O),0)</f>
        <v>0</v>
      </c>
      <c r="AL651" s="7">
        <f>IFERROR(F651/$E$3/1000/AK651,0)</f>
        <v>0</v>
      </c>
    </row>
    <row r="652" spans="1:38">
      <c r="A652" s="417">
        <v>961965</v>
      </c>
      <c r="B652" s="417"/>
      <c r="C652" s="5" t="s">
        <v>1672</v>
      </c>
      <c r="D652" s="5" t="s">
        <v>1005</v>
      </c>
      <c r="E652" s="5" t="s">
        <v>1765</v>
      </c>
      <c r="F652" s="132">
        <f>SUMIF('COLAR PLANO'!$A:$A,A652,'COLAR PLANO'!$D:$D)</f>
        <v>0</v>
      </c>
      <c r="G652" s="131">
        <f t="shared" si="220"/>
        <v>0</v>
      </c>
      <c r="H652" s="6">
        <v>2.9504298614445066E-2</v>
      </c>
      <c r="I652" s="7">
        <f t="shared" si="221"/>
        <v>0</v>
      </c>
      <c r="J652" s="130">
        <f t="shared" si="222"/>
        <v>0</v>
      </c>
      <c r="K652" s="417">
        <v>0.65</v>
      </c>
      <c r="L652" s="417">
        <v>18</v>
      </c>
      <c r="M652" s="417">
        <v>12</v>
      </c>
      <c r="N652" s="7">
        <f t="shared" si="223"/>
        <v>0</v>
      </c>
      <c r="O652" s="7"/>
      <c r="P652" s="7">
        <f t="shared" si="224"/>
        <v>0</v>
      </c>
      <c r="Q652" s="7"/>
      <c r="R652" s="7"/>
      <c r="S652" s="7"/>
      <c r="T652" s="7"/>
      <c r="U652" s="7" t="s">
        <v>2288</v>
      </c>
      <c r="V652" s="7" t="s">
        <v>2289</v>
      </c>
      <c r="W652" s="7" t="str">
        <f>Preencher!$B$3&amp;U652&amp;V652&amp;A652&amp;$W$6</f>
        <v>JARINU-FRG961965MQ.TUNEL DE CG (CONTINUO)</v>
      </c>
      <c r="X652" s="7" t="str">
        <f>Preencher!$B$3&amp;U652&amp;V652&amp;A652&amp;$X$6</f>
        <v>JARINU-FRG961965MQ.TUNEL DE CG (CONTINUO) (1)</v>
      </c>
      <c r="Y652" s="7" t="str">
        <f>Preencher!$B$3&amp;U652&amp;V652&amp;A652&amp;$Y$6</f>
        <v>JARINU-FRG961965MQ.TUNEL DE CG (CONTINUO) (2)</v>
      </c>
      <c r="Z652" s="7" t="str">
        <f>Preencher!$B$3&amp;U652&amp;V652&amp;A652&amp;$Z$6</f>
        <v>JARINU-FRG961965MQ.TUNEL DE CG (CONTINUO) (3)</v>
      </c>
      <c r="AA652" s="7" t="str">
        <f>Preencher!$B$3&amp;U652&amp;V652&amp;A652&amp;$AA$6</f>
        <v>JARINU-FRG961965MQ.TUNEL DE CG (ESTATICO)</v>
      </c>
      <c r="AB652" s="7" t="str">
        <f>Preencher!$B$3&amp;U652&amp;V652&amp;A652&amp;$AB$6</f>
        <v>JARINU-FRG961965MQ.TUNEL DE CG (ESTATICO) (1)</v>
      </c>
      <c r="AC652" s="7" t="str">
        <f>Preencher!$B$3&amp;U652&amp;V652&amp;A652&amp;$AC$6</f>
        <v>JARINU-FRG961965MQ.TUNEL DE CG (ESTATICO) (2)</v>
      </c>
      <c r="AD652" s="327">
        <f>IFERROR(SUMIF('BD Otimix'!A:A,'BD VOLUME'!X652,'BD Otimix'!O:O)+SUMIF('BD Otimix'!A:A,'BD VOLUME'!Y652,'BD Otimix'!O:O)+SUMIF('BD Otimix'!A:A,'BD VOLUME'!Z652,'BD Otimix'!O:O)+SUMIF('BD Otimix'!A:A,'BD VOLUME'!AA652,'BD Otimix'!O:O)+SUMIF('BD Otimix'!A:A,'BD VOLUME'!AB652,'BD Otimix'!O:O)+SUMIF('BD Otimix'!A:A,'BD VOLUME'!AC652,'BD Otimix'!O:O)+SUMIF('BD Otimix'!A:A,'BD VOLUME'!W652,'BD Otimix'!O:O),0)</f>
        <v>0</v>
      </c>
      <c r="AE652" s="327">
        <f t="shared" si="211"/>
        <v>0</v>
      </c>
      <c r="AF652" s="7" t="str">
        <f>Preencher!$B$3&amp;$U$8&amp;$V$8&amp;A652&amp;$AF$6</f>
        <v>JARINU-FRG961965MQ.GIROFREEZER</v>
      </c>
      <c r="AG652" s="7" t="str">
        <f>Preencher!$B$3&amp;$U$8&amp;$V$8&amp;A652&amp;$AG$6</f>
        <v>JARINU-FRG961965MQ.GIROFREEZER (1)</v>
      </c>
      <c r="AH652" s="7" t="str">
        <f>Preencher!$B$3&amp;$U$8&amp;$V$8&amp;A652&amp;$AH$6</f>
        <v>JARINU-FRG961965MQ.GIROFREEZER (2)</v>
      </c>
      <c r="AI652" s="7" t="str">
        <f>Preencher!$B$3&amp;$U$8&amp;$V$8&amp;A652&amp;$AI$6</f>
        <v>JARINU-FRG961965MQ.GIROFREEZER REV04</v>
      </c>
      <c r="AJ652" s="7" t="str">
        <f>Preencher!$B$3&amp;$U$8&amp;$V$8&amp;A652&amp;$AJ$6</f>
        <v>JARINU-FRG961965MQ.GIROFREEZER (3)</v>
      </c>
      <c r="AK652" s="327">
        <f>IFERROR(SUMIF('BD Otimix'!A:A,'BD VOLUME'!AG652,'BD Otimix'!O:O)+SUMIF('BD Otimix'!A:A,'BD VOLUME'!AH652,'BD Otimix'!O:O)+SUMIF('BD Otimix'!A:A,'BD VOLUME'!AI652,'BD Otimix'!O:O)+SUMIF('BD Otimix'!A:A,'BD VOLUME'!AJ652,'BD Otimix'!O:O)+SUMIF('BD Otimix'!A:A,'BD VOLUME'!AF652,'BD Otimix'!O:O),0)</f>
        <v>0</v>
      </c>
      <c r="AL652" s="7">
        <f t="shared" si="212"/>
        <v>0</v>
      </c>
    </row>
    <row r="653" spans="1:38">
      <c r="A653" s="580">
        <v>729841</v>
      </c>
      <c r="B653" s="580" t="s">
        <v>2085</v>
      </c>
      <c r="C653" s="5" t="s">
        <v>2086</v>
      </c>
      <c r="D653" s="5" t="s">
        <v>1005</v>
      </c>
      <c r="E653" s="5" t="s">
        <v>1765</v>
      </c>
      <c r="F653" s="132">
        <f>SUMIF('COLAR PLANO'!$A:$A,A653,'COLAR PLANO'!$D:$D)</f>
        <v>0</v>
      </c>
      <c r="G653" s="131">
        <f t="shared" si="220"/>
        <v>0</v>
      </c>
      <c r="H653" s="6">
        <v>2.9504298614445066E-2</v>
      </c>
      <c r="I653" s="7">
        <f t="shared" si="221"/>
        <v>0</v>
      </c>
      <c r="J653" s="130">
        <f t="shared" si="222"/>
        <v>0</v>
      </c>
      <c r="K653" s="580">
        <v>0.65</v>
      </c>
      <c r="L653" s="580">
        <v>18</v>
      </c>
      <c r="M653" s="580">
        <v>12</v>
      </c>
      <c r="N653" s="7">
        <f t="shared" si="223"/>
        <v>0</v>
      </c>
      <c r="O653" s="7"/>
      <c r="P653" s="7">
        <f t="shared" si="224"/>
        <v>0</v>
      </c>
      <c r="Q653" s="7"/>
      <c r="R653" s="7"/>
      <c r="S653" s="7"/>
      <c r="T653" s="7"/>
      <c r="U653" s="7" t="s">
        <v>2288</v>
      </c>
      <c r="V653" s="7" t="s">
        <v>2289</v>
      </c>
      <c r="W653" s="7" t="str">
        <f>Preencher!$B$3&amp;U653&amp;V653&amp;A653&amp;$W$6</f>
        <v>JARINU-FRG729841MQ.TUNEL DE CG (CONTINUO)</v>
      </c>
      <c r="X653" s="7" t="str">
        <f>Preencher!$B$3&amp;U653&amp;V653&amp;A653&amp;$X$6</f>
        <v>JARINU-FRG729841MQ.TUNEL DE CG (CONTINUO) (1)</v>
      </c>
      <c r="Y653" s="7" t="str">
        <f>Preencher!$B$3&amp;U653&amp;V653&amp;A653&amp;$Y$6</f>
        <v>JARINU-FRG729841MQ.TUNEL DE CG (CONTINUO) (2)</v>
      </c>
      <c r="Z653" s="7" t="str">
        <f>Preencher!$B$3&amp;U653&amp;V653&amp;A653&amp;$Z$6</f>
        <v>JARINU-FRG729841MQ.TUNEL DE CG (CONTINUO) (3)</v>
      </c>
      <c r="AA653" s="7" t="str">
        <f>Preencher!$B$3&amp;U653&amp;V653&amp;A653&amp;$AA$6</f>
        <v>JARINU-FRG729841MQ.TUNEL DE CG (ESTATICO)</v>
      </c>
      <c r="AB653" s="7" t="str">
        <f>Preencher!$B$3&amp;U653&amp;V653&amp;A653&amp;$AB$6</f>
        <v>JARINU-FRG729841MQ.TUNEL DE CG (ESTATICO) (1)</v>
      </c>
      <c r="AC653" s="7" t="str">
        <f>Preencher!$B$3&amp;U653&amp;V653&amp;A653&amp;$AC$6</f>
        <v>JARINU-FRG729841MQ.TUNEL DE CG (ESTATICO) (2)</v>
      </c>
      <c r="AD653" s="327">
        <f>IFERROR(SUMIF('BD Otimix'!A:A,'BD VOLUME'!X653,'BD Otimix'!O:O)+SUMIF('BD Otimix'!A:A,'BD VOLUME'!Y653,'BD Otimix'!O:O)+SUMIF('BD Otimix'!A:A,'BD VOLUME'!Z653,'BD Otimix'!O:O)+SUMIF('BD Otimix'!A:A,'BD VOLUME'!AA653,'BD Otimix'!O:O)+SUMIF('BD Otimix'!A:A,'BD VOLUME'!AB653,'BD Otimix'!O:O)+SUMIF('BD Otimix'!A:A,'BD VOLUME'!AC653,'BD Otimix'!O:O)+SUMIF('BD Otimix'!A:A,'BD VOLUME'!W653,'BD Otimix'!O:O),0)</f>
        <v>0</v>
      </c>
      <c r="AE653" s="327">
        <f t="shared" si="211"/>
        <v>0</v>
      </c>
      <c r="AF653" s="7" t="str">
        <f>Preencher!$B$3&amp;$U$8&amp;$V$8&amp;A653&amp;$AF$6</f>
        <v>JARINU-FRG729841MQ.GIROFREEZER</v>
      </c>
      <c r="AG653" s="7" t="str">
        <f>Preencher!$B$3&amp;$U$8&amp;$V$8&amp;A653&amp;$AG$6</f>
        <v>JARINU-FRG729841MQ.GIROFREEZER (1)</v>
      </c>
      <c r="AH653" s="7" t="str">
        <f>Preencher!$B$3&amp;$U$8&amp;$V$8&amp;A653&amp;$AH$6</f>
        <v>JARINU-FRG729841MQ.GIROFREEZER (2)</v>
      </c>
      <c r="AI653" s="7" t="str">
        <f>Preencher!$B$3&amp;$U$8&amp;$V$8&amp;A653&amp;$AI$6</f>
        <v>JARINU-FRG729841MQ.GIROFREEZER REV04</v>
      </c>
      <c r="AJ653" s="7" t="str">
        <f>Preencher!$B$3&amp;$U$8&amp;$V$8&amp;A653&amp;$AJ$6</f>
        <v>JARINU-FRG729841MQ.GIROFREEZER (3)</v>
      </c>
      <c r="AK653" s="327">
        <f>IFERROR(SUMIF('BD Otimix'!A:A,'BD VOLUME'!AG653,'BD Otimix'!O:O)+SUMIF('BD Otimix'!A:A,'BD VOLUME'!AH653,'BD Otimix'!O:O)+SUMIF('BD Otimix'!A:A,'BD VOLUME'!AI653,'BD Otimix'!O:O)+SUMIF('BD Otimix'!A:A,'BD VOLUME'!AJ653,'BD Otimix'!O:O)+SUMIF('BD Otimix'!A:A,'BD VOLUME'!AF653,'BD Otimix'!O:O),0)</f>
        <v>0</v>
      </c>
      <c r="AL653" s="7">
        <f t="shared" si="212"/>
        <v>0</v>
      </c>
    </row>
    <row r="654" spans="1:38">
      <c r="A654" s="417">
        <v>40338</v>
      </c>
      <c r="B654" s="417"/>
      <c r="C654" s="5" t="s">
        <v>1661</v>
      </c>
      <c r="D654" s="5" t="s">
        <v>1005</v>
      </c>
      <c r="E654" s="5" t="s">
        <v>1766</v>
      </c>
      <c r="F654" s="132">
        <f>SUMIF('COLAR PLANO'!$A:$A,A654,'COLAR PLANO'!$D:$D)</f>
        <v>0</v>
      </c>
      <c r="G654" s="131">
        <f t="shared" si="220"/>
        <v>0</v>
      </c>
      <c r="H654" s="6">
        <v>2.9504298614445066E-2</v>
      </c>
      <c r="I654" s="7">
        <f t="shared" si="221"/>
        <v>0</v>
      </c>
      <c r="J654" s="130">
        <f t="shared" si="222"/>
        <v>0</v>
      </c>
      <c r="K654" s="417">
        <v>1</v>
      </c>
      <c r="L654" s="417">
        <v>18</v>
      </c>
      <c r="M654" s="417">
        <v>18</v>
      </c>
      <c r="N654" s="7">
        <f t="shared" si="223"/>
        <v>0</v>
      </c>
      <c r="O654" s="7"/>
      <c r="P654" s="7">
        <f t="shared" si="224"/>
        <v>0</v>
      </c>
      <c r="Q654" s="7"/>
      <c r="R654" s="7"/>
      <c r="S654" s="7"/>
      <c r="T654" s="7"/>
      <c r="U654" s="7" t="s">
        <v>2288</v>
      </c>
      <c r="V654" s="7" t="s">
        <v>2289</v>
      </c>
      <c r="W654" s="7" t="str">
        <f>Preencher!$B$3&amp;U654&amp;V654&amp;A654&amp;$W$6</f>
        <v>JARINU-FRG40338MQ.TUNEL DE CG (CONTINUO)</v>
      </c>
      <c r="X654" s="7" t="str">
        <f>Preencher!$B$3&amp;U654&amp;V654&amp;A654&amp;$X$6</f>
        <v>JARINU-FRG40338MQ.TUNEL DE CG (CONTINUO) (1)</v>
      </c>
      <c r="Y654" s="7" t="str">
        <f>Preencher!$B$3&amp;U654&amp;V654&amp;A654&amp;$Y$6</f>
        <v>JARINU-FRG40338MQ.TUNEL DE CG (CONTINUO) (2)</v>
      </c>
      <c r="Z654" s="7" t="str">
        <f>Preencher!$B$3&amp;U654&amp;V654&amp;A654&amp;$Z$6</f>
        <v>JARINU-FRG40338MQ.TUNEL DE CG (CONTINUO) (3)</v>
      </c>
      <c r="AA654" s="7" t="str">
        <f>Preencher!$B$3&amp;U654&amp;V654&amp;A654&amp;$AA$6</f>
        <v>JARINU-FRG40338MQ.TUNEL DE CG (ESTATICO)</v>
      </c>
      <c r="AB654" s="7" t="str">
        <f>Preencher!$B$3&amp;U654&amp;V654&amp;A654&amp;$AB$6</f>
        <v>JARINU-FRG40338MQ.TUNEL DE CG (ESTATICO) (1)</v>
      </c>
      <c r="AC654" s="7" t="str">
        <f>Preencher!$B$3&amp;U654&amp;V654&amp;A654&amp;$AC$6</f>
        <v>JARINU-FRG40338MQ.TUNEL DE CG (ESTATICO) (2)</v>
      </c>
      <c r="AD654" s="327">
        <f>IFERROR(SUMIF('BD Otimix'!A:A,'BD VOLUME'!X654,'BD Otimix'!O:O)+SUMIF('BD Otimix'!A:A,'BD VOLUME'!Y654,'BD Otimix'!O:O)+SUMIF('BD Otimix'!A:A,'BD VOLUME'!Z654,'BD Otimix'!O:O)+SUMIF('BD Otimix'!A:A,'BD VOLUME'!AA654,'BD Otimix'!O:O)+SUMIF('BD Otimix'!A:A,'BD VOLUME'!AB654,'BD Otimix'!O:O)+SUMIF('BD Otimix'!A:A,'BD VOLUME'!AC654,'BD Otimix'!O:O)+SUMIF('BD Otimix'!A:A,'BD VOLUME'!W654,'BD Otimix'!O:O),0)</f>
        <v>0</v>
      </c>
      <c r="AE654" s="327">
        <f t="shared" si="211"/>
        <v>0</v>
      </c>
      <c r="AF654" s="7" t="str">
        <f>Preencher!$B$3&amp;$U$8&amp;$V$8&amp;A654&amp;$AF$6</f>
        <v>JARINU-FRG40338MQ.GIROFREEZER</v>
      </c>
      <c r="AG654" s="7" t="str">
        <f>Preencher!$B$3&amp;$U$8&amp;$V$8&amp;A654&amp;$AG$6</f>
        <v>JARINU-FRG40338MQ.GIROFREEZER (1)</v>
      </c>
      <c r="AH654" s="7" t="str">
        <f>Preencher!$B$3&amp;$U$8&amp;$V$8&amp;A654&amp;$AH$6</f>
        <v>JARINU-FRG40338MQ.GIROFREEZER (2)</v>
      </c>
      <c r="AI654" s="7" t="str">
        <f>Preencher!$B$3&amp;$U$8&amp;$V$8&amp;A654&amp;$AI$6</f>
        <v>JARINU-FRG40338MQ.GIROFREEZER REV04</v>
      </c>
      <c r="AJ654" s="7" t="str">
        <f>Preencher!$B$3&amp;$U$8&amp;$V$8&amp;A654&amp;$AJ$6</f>
        <v>JARINU-FRG40338MQ.GIROFREEZER (3)</v>
      </c>
      <c r="AK654" s="327">
        <f>IFERROR(SUMIF('BD Otimix'!A:A,'BD VOLUME'!AG654,'BD Otimix'!O:O)+SUMIF('BD Otimix'!A:A,'BD VOLUME'!AH654,'BD Otimix'!O:O)+SUMIF('BD Otimix'!A:A,'BD VOLUME'!AI654,'BD Otimix'!O:O)+SUMIF('BD Otimix'!A:A,'BD VOLUME'!AJ654,'BD Otimix'!O:O)+SUMIF('BD Otimix'!A:A,'BD VOLUME'!AF654,'BD Otimix'!O:O),0)</f>
        <v>0</v>
      </c>
      <c r="AL654" s="7">
        <f t="shared" si="212"/>
        <v>0</v>
      </c>
    </row>
    <row r="655" spans="1:38">
      <c r="A655" s="663">
        <v>40312</v>
      </c>
      <c r="B655" s="663" t="s">
        <v>2435</v>
      </c>
      <c r="C655" s="5" t="s">
        <v>2436</v>
      </c>
      <c r="D655" s="5" t="s">
        <v>1005</v>
      </c>
      <c r="E655" s="5" t="s">
        <v>1752</v>
      </c>
      <c r="F655" s="132">
        <f>SUMIF('COLAR PLANO'!$A:$A,A655,'COLAR PLANO'!$D:$D)</f>
        <v>0</v>
      </c>
      <c r="G655" s="131">
        <f t="shared" si="220"/>
        <v>0</v>
      </c>
      <c r="H655" s="6">
        <v>2.9504298614445066E-2</v>
      </c>
      <c r="I655" s="7">
        <f t="shared" si="221"/>
        <v>0</v>
      </c>
      <c r="J655" s="130">
        <f t="shared" si="222"/>
        <v>0</v>
      </c>
      <c r="K655" s="663">
        <v>1</v>
      </c>
      <c r="L655" s="663">
        <v>12</v>
      </c>
      <c r="M655" s="663">
        <v>12</v>
      </c>
      <c r="N655" s="7">
        <f t="shared" si="223"/>
        <v>0</v>
      </c>
      <c r="O655" s="7"/>
      <c r="P655" s="7">
        <f t="shared" si="224"/>
        <v>0</v>
      </c>
      <c r="Q655" s="7"/>
      <c r="R655" s="7"/>
      <c r="S655" s="7"/>
      <c r="T655" s="7"/>
      <c r="U655" s="7" t="s">
        <v>2288</v>
      </c>
      <c r="V655" s="7" t="s">
        <v>2289</v>
      </c>
      <c r="W655" s="7" t="str">
        <f>Preencher!$B$3&amp;U655&amp;V655&amp;A655&amp;$W$6</f>
        <v>JARINU-FRG40312MQ.TUNEL DE CG (CONTINUO)</v>
      </c>
      <c r="X655" s="7" t="str">
        <f>Preencher!$B$3&amp;U655&amp;V655&amp;A655&amp;$X$6</f>
        <v>JARINU-FRG40312MQ.TUNEL DE CG (CONTINUO) (1)</v>
      </c>
      <c r="Y655" s="7" t="str">
        <f>Preencher!$B$3&amp;U655&amp;V655&amp;A655&amp;$Y$6</f>
        <v>JARINU-FRG40312MQ.TUNEL DE CG (CONTINUO) (2)</v>
      </c>
      <c r="Z655" s="7" t="str">
        <f>Preencher!$B$3&amp;U655&amp;V655&amp;A655&amp;$Z$6</f>
        <v>JARINU-FRG40312MQ.TUNEL DE CG (CONTINUO) (3)</v>
      </c>
      <c r="AA655" s="7" t="str">
        <f>Preencher!$B$3&amp;U655&amp;V655&amp;A655&amp;$AA$6</f>
        <v>JARINU-FRG40312MQ.TUNEL DE CG (ESTATICO)</v>
      </c>
      <c r="AB655" s="7" t="str">
        <f>Preencher!$B$3&amp;U655&amp;V655&amp;A655&amp;$AB$6</f>
        <v>JARINU-FRG40312MQ.TUNEL DE CG (ESTATICO) (1)</v>
      </c>
      <c r="AC655" s="7" t="str">
        <f>Preencher!$B$3&amp;U655&amp;V655&amp;A655&amp;$AC$6</f>
        <v>JARINU-FRG40312MQ.TUNEL DE CG (ESTATICO) (2)</v>
      </c>
      <c r="AD655" s="327">
        <f>IFERROR(SUMIF('BD Otimix'!A:A,'BD VOLUME'!X655,'BD Otimix'!O:O)+SUMIF('BD Otimix'!A:A,'BD VOLUME'!Y655,'BD Otimix'!O:O)+SUMIF('BD Otimix'!A:A,'BD VOLUME'!Z655,'BD Otimix'!O:O)+SUMIF('BD Otimix'!A:A,'BD VOLUME'!AA655,'BD Otimix'!O:O)+SUMIF('BD Otimix'!A:A,'BD VOLUME'!AB655,'BD Otimix'!O:O)+SUMIF('BD Otimix'!A:A,'BD VOLUME'!AC655,'BD Otimix'!O:O)+SUMIF('BD Otimix'!A:A,'BD VOLUME'!W655,'BD Otimix'!O:O),0)</f>
        <v>0</v>
      </c>
      <c r="AE655" s="327">
        <f t="shared" si="211"/>
        <v>0</v>
      </c>
      <c r="AF655" s="7" t="str">
        <f>Preencher!$B$3&amp;$U$8&amp;$V$8&amp;A655&amp;$AF$6</f>
        <v>JARINU-FRG40312MQ.GIROFREEZER</v>
      </c>
      <c r="AG655" s="7" t="str">
        <f>Preencher!$B$3&amp;$U$8&amp;$V$8&amp;A655&amp;$AG$6</f>
        <v>JARINU-FRG40312MQ.GIROFREEZER (1)</v>
      </c>
      <c r="AH655" s="7" t="str">
        <f>Preencher!$B$3&amp;$U$8&amp;$V$8&amp;A655&amp;$AH$6</f>
        <v>JARINU-FRG40312MQ.GIROFREEZER (2)</v>
      </c>
      <c r="AI655" s="7" t="str">
        <f>Preencher!$B$3&amp;$U$8&amp;$V$8&amp;A655&amp;$AI$6</f>
        <v>JARINU-FRG40312MQ.GIROFREEZER REV04</v>
      </c>
      <c r="AJ655" s="7" t="str">
        <f>Preencher!$B$3&amp;$U$8&amp;$V$8&amp;A655&amp;$AJ$6</f>
        <v>JARINU-FRG40312MQ.GIROFREEZER (3)</v>
      </c>
      <c r="AK655" s="327">
        <f>IFERROR(SUMIF('BD Otimix'!A:A,'BD VOLUME'!AG655,'BD Otimix'!O:O)+SUMIF('BD Otimix'!A:A,'BD VOLUME'!AH655,'BD Otimix'!O:O)+SUMIF('BD Otimix'!A:A,'BD VOLUME'!AI655,'BD Otimix'!O:O)+SUMIF('BD Otimix'!A:A,'BD VOLUME'!AJ655,'BD Otimix'!O:O)+SUMIF('BD Otimix'!A:A,'BD VOLUME'!AF655,'BD Otimix'!O:O),0)</f>
        <v>0</v>
      </c>
      <c r="AL655" s="7">
        <f t="shared" si="212"/>
        <v>0</v>
      </c>
    </row>
    <row r="656" spans="1:38">
      <c r="A656" s="663">
        <v>197815</v>
      </c>
      <c r="B656" s="663" t="s">
        <v>2434</v>
      </c>
      <c r="C656" s="5" t="s">
        <v>2233</v>
      </c>
      <c r="D656" s="5" t="s">
        <v>1005</v>
      </c>
      <c r="E656" s="5" t="s">
        <v>1007</v>
      </c>
      <c r="F656" s="132">
        <f>SUMIF('COLAR PLANO'!$A:$A,A656,'COLAR PLANO'!$D:$D)</f>
        <v>0</v>
      </c>
      <c r="G656" s="131">
        <f t="shared" si="220"/>
        <v>0</v>
      </c>
      <c r="H656" s="6">
        <v>2.9504298614445066E-2</v>
      </c>
      <c r="I656" s="7">
        <f t="shared" si="221"/>
        <v>0</v>
      </c>
      <c r="J656" s="130">
        <f t="shared" si="222"/>
        <v>0</v>
      </c>
      <c r="K656" s="663">
        <v>0.65</v>
      </c>
      <c r="L656" s="663">
        <v>18</v>
      </c>
      <c r="M656" s="663">
        <v>12</v>
      </c>
      <c r="N656" s="7">
        <f t="shared" si="223"/>
        <v>0</v>
      </c>
      <c r="O656" s="7"/>
      <c r="P656" s="7">
        <f t="shared" si="224"/>
        <v>0</v>
      </c>
      <c r="Q656" s="7"/>
      <c r="R656" s="7"/>
      <c r="S656" s="7"/>
      <c r="T656" s="7"/>
      <c r="U656" s="7" t="s">
        <v>2288</v>
      </c>
      <c r="V656" s="7" t="s">
        <v>2289</v>
      </c>
      <c r="W656" s="7" t="str">
        <f>Preencher!$B$3&amp;U656&amp;V656&amp;A656&amp;$W$6</f>
        <v>JARINU-FRG197815MQ.TUNEL DE CG (CONTINUO)</v>
      </c>
      <c r="X656" s="7" t="str">
        <f>Preencher!$B$3&amp;U656&amp;V656&amp;A656&amp;$X$6</f>
        <v>JARINU-FRG197815MQ.TUNEL DE CG (CONTINUO) (1)</v>
      </c>
      <c r="Y656" s="7" t="str">
        <f>Preencher!$B$3&amp;U656&amp;V656&amp;A656&amp;$Y$6</f>
        <v>JARINU-FRG197815MQ.TUNEL DE CG (CONTINUO) (2)</v>
      </c>
      <c r="Z656" s="7" t="str">
        <f>Preencher!$B$3&amp;U656&amp;V656&amp;A656&amp;$Z$6</f>
        <v>JARINU-FRG197815MQ.TUNEL DE CG (CONTINUO) (3)</v>
      </c>
      <c r="AA656" s="7" t="str">
        <f>Preencher!$B$3&amp;U656&amp;V656&amp;A656&amp;$AA$6</f>
        <v>JARINU-FRG197815MQ.TUNEL DE CG (ESTATICO)</v>
      </c>
      <c r="AB656" s="7" t="str">
        <f>Preencher!$B$3&amp;U656&amp;V656&amp;A656&amp;$AB$6</f>
        <v>JARINU-FRG197815MQ.TUNEL DE CG (ESTATICO) (1)</v>
      </c>
      <c r="AC656" s="7" t="str">
        <f>Preencher!$B$3&amp;U656&amp;V656&amp;A656&amp;$AC$6</f>
        <v>JARINU-FRG197815MQ.TUNEL DE CG (ESTATICO) (2)</v>
      </c>
      <c r="AD656" s="327">
        <f>IFERROR(SUMIF('BD Otimix'!A:A,'BD VOLUME'!X656,'BD Otimix'!O:O)+SUMIF('BD Otimix'!A:A,'BD VOLUME'!Y656,'BD Otimix'!O:O)+SUMIF('BD Otimix'!A:A,'BD VOLUME'!Z656,'BD Otimix'!O:O)+SUMIF('BD Otimix'!A:A,'BD VOLUME'!AA656,'BD Otimix'!O:O)+SUMIF('BD Otimix'!A:A,'BD VOLUME'!AB656,'BD Otimix'!O:O)+SUMIF('BD Otimix'!A:A,'BD VOLUME'!AC656,'BD Otimix'!O:O)+SUMIF('BD Otimix'!A:A,'BD VOLUME'!W656,'BD Otimix'!O:O),0)</f>
        <v>0</v>
      </c>
      <c r="AE656" s="327">
        <f t="shared" si="211"/>
        <v>0</v>
      </c>
      <c r="AF656" s="7" t="str">
        <f>Preencher!$B$3&amp;$U$8&amp;$V$8&amp;A656&amp;$AF$6</f>
        <v>JARINU-FRG197815MQ.GIROFREEZER</v>
      </c>
      <c r="AG656" s="7" t="str">
        <f>Preencher!$B$3&amp;$U$8&amp;$V$8&amp;A656&amp;$AG$6</f>
        <v>JARINU-FRG197815MQ.GIROFREEZER (1)</v>
      </c>
      <c r="AH656" s="7" t="str">
        <f>Preencher!$B$3&amp;$U$8&amp;$V$8&amp;A656&amp;$AH$6</f>
        <v>JARINU-FRG197815MQ.GIROFREEZER (2)</v>
      </c>
      <c r="AI656" s="7" t="str">
        <f>Preencher!$B$3&amp;$U$8&amp;$V$8&amp;A656&amp;$AI$6</f>
        <v>JARINU-FRG197815MQ.GIROFREEZER REV04</v>
      </c>
      <c r="AJ656" s="7" t="str">
        <f>Preencher!$B$3&amp;$U$8&amp;$V$8&amp;A656&amp;$AJ$6</f>
        <v>JARINU-FRG197815MQ.GIROFREEZER (3)</v>
      </c>
      <c r="AK656" s="327">
        <f>IFERROR(SUMIF('BD Otimix'!A:A,'BD VOLUME'!AG656,'BD Otimix'!O:O)+SUMIF('BD Otimix'!A:A,'BD VOLUME'!AH656,'BD Otimix'!O:O)+SUMIF('BD Otimix'!A:A,'BD VOLUME'!AI656,'BD Otimix'!O:O)+SUMIF('BD Otimix'!A:A,'BD VOLUME'!AJ656,'BD Otimix'!O:O)+SUMIF('BD Otimix'!A:A,'BD VOLUME'!AF656,'BD Otimix'!O:O),0)</f>
        <v>0</v>
      </c>
      <c r="AL656" s="7">
        <f t="shared" si="212"/>
        <v>0</v>
      </c>
    </row>
    <row r="657" spans="1:38">
      <c r="A657" s="417">
        <v>962139</v>
      </c>
      <c r="B657" s="417"/>
      <c r="C657" s="5" t="s">
        <v>1675</v>
      </c>
      <c r="D657" s="5" t="s">
        <v>1005</v>
      </c>
      <c r="E657" s="5" t="s">
        <v>1766</v>
      </c>
      <c r="F657" s="132">
        <f>SUMIF('COLAR PLANO'!$A:$A,A657,'COLAR PLANO'!$D:$D)</f>
        <v>0</v>
      </c>
      <c r="G657" s="131">
        <f t="shared" si="220"/>
        <v>0</v>
      </c>
      <c r="H657" s="6">
        <v>2.9504298614445066E-2</v>
      </c>
      <c r="I657" s="7">
        <f t="shared" si="221"/>
        <v>0</v>
      </c>
      <c r="J657" s="130">
        <f t="shared" si="222"/>
        <v>0</v>
      </c>
      <c r="K657" s="417">
        <v>1</v>
      </c>
      <c r="L657" s="417">
        <v>18</v>
      </c>
      <c r="M657" s="417">
        <v>18</v>
      </c>
      <c r="N657" s="7">
        <f t="shared" si="223"/>
        <v>0</v>
      </c>
      <c r="O657" s="7"/>
      <c r="P657" s="7">
        <f t="shared" si="224"/>
        <v>0</v>
      </c>
      <c r="Q657" s="7"/>
      <c r="R657" s="7"/>
      <c r="S657" s="7"/>
      <c r="T657" s="7"/>
      <c r="U657" s="7" t="s">
        <v>2288</v>
      </c>
      <c r="V657" s="7" t="s">
        <v>2289</v>
      </c>
      <c r="W657" s="7" t="str">
        <f>Preencher!$B$3&amp;U657&amp;V657&amp;A657&amp;$W$6</f>
        <v>JARINU-FRG962139MQ.TUNEL DE CG (CONTINUO)</v>
      </c>
      <c r="X657" s="7" t="str">
        <f>Preencher!$B$3&amp;U657&amp;V657&amp;A657&amp;$X$6</f>
        <v>JARINU-FRG962139MQ.TUNEL DE CG (CONTINUO) (1)</v>
      </c>
      <c r="Y657" s="7" t="str">
        <f>Preencher!$B$3&amp;U657&amp;V657&amp;A657&amp;$Y$6</f>
        <v>JARINU-FRG962139MQ.TUNEL DE CG (CONTINUO) (2)</v>
      </c>
      <c r="Z657" s="7" t="str">
        <f>Preencher!$B$3&amp;U657&amp;V657&amp;A657&amp;$Z$6</f>
        <v>JARINU-FRG962139MQ.TUNEL DE CG (CONTINUO) (3)</v>
      </c>
      <c r="AA657" s="7" t="str">
        <f>Preencher!$B$3&amp;U657&amp;V657&amp;A657&amp;$AA$6</f>
        <v>JARINU-FRG962139MQ.TUNEL DE CG (ESTATICO)</v>
      </c>
      <c r="AB657" s="7" t="str">
        <f>Preencher!$B$3&amp;U657&amp;V657&amp;A657&amp;$AB$6</f>
        <v>JARINU-FRG962139MQ.TUNEL DE CG (ESTATICO) (1)</v>
      </c>
      <c r="AC657" s="7" t="str">
        <f>Preencher!$B$3&amp;U657&amp;V657&amp;A657&amp;$AC$6</f>
        <v>JARINU-FRG962139MQ.TUNEL DE CG (ESTATICO) (2)</v>
      </c>
      <c r="AD657" s="327">
        <f>IFERROR(SUMIF('BD Otimix'!A:A,'BD VOLUME'!X657,'BD Otimix'!O:O)+SUMIF('BD Otimix'!A:A,'BD VOLUME'!Y657,'BD Otimix'!O:O)+SUMIF('BD Otimix'!A:A,'BD VOLUME'!Z657,'BD Otimix'!O:O)+SUMIF('BD Otimix'!A:A,'BD VOLUME'!AA657,'BD Otimix'!O:O)+SUMIF('BD Otimix'!A:A,'BD VOLUME'!AB657,'BD Otimix'!O:O)+SUMIF('BD Otimix'!A:A,'BD VOLUME'!AC657,'BD Otimix'!O:O)+SUMIF('BD Otimix'!A:A,'BD VOLUME'!W657,'BD Otimix'!O:O),0)</f>
        <v>0</v>
      </c>
      <c r="AE657" s="327">
        <f t="shared" si="211"/>
        <v>0</v>
      </c>
      <c r="AF657" s="7" t="str">
        <f>Preencher!$B$3&amp;$U$8&amp;$V$8&amp;A657&amp;$AF$6</f>
        <v>JARINU-FRG962139MQ.GIROFREEZER</v>
      </c>
      <c r="AG657" s="7" t="str">
        <f>Preencher!$B$3&amp;$U$8&amp;$V$8&amp;A657&amp;$AG$6</f>
        <v>JARINU-FRG962139MQ.GIROFREEZER (1)</v>
      </c>
      <c r="AH657" s="7" t="str">
        <f>Preencher!$B$3&amp;$U$8&amp;$V$8&amp;A657&amp;$AH$6</f>
        <v>JARINU-FRG962139MQ.GIROFREEZER (2)</v>
      </c>
      <c r="AI657" s="7" t="str">
        <f>Preencher!$B$3&amp;$U$8&amp;$V$8&amp;A657&amp;$AI$6</f>
        <v>JARINU-FRG962139MQ.GIROFREEZER REV04</v>
      </c>
      <c r="AJ657" s="7" t="str">
        <f>Preencher!$B$3&amp;$U$8&amp;$V$8&amp;A657&amp;$AJ$6</f>
        <v>JARINU-FRG962139MQ.GIROFREEZER (3)</v>
      </c>
      <c r="AK657" s="327">
        <f>IFERROR(SUMIF('BD Otimix'!A:A,'BD VOLUME'!AG657,'BD Otimix'!O:O)+SUMIF('BD Otimix'!A:A,'BD VOLUME'!AH657,'BD Otimix'!O:O)+SUMIF('BD Otimix'!A:A,'BD VOLUME'!AI657,'BD Otimix'!O:O)+SUMIF('BD Otimix'!A:A,'BD VOLUME'!AJ657,'BD Otimix'!O:O)+SUMIF('BD Otimix'!A:A,'BD VOLUME'!AF657,'BD Otimix'!O:O),0)</f>
        <v>0</v>
      </c>
      <c r="AL657" s="7">
        <f t="shared" si="212"/>
        <v>0</v>
      </c>
    </row>
    <row r="658" spans="1:38">
      <c r="A658" s="417">
        <v>962171</v>
      </c>
      <c r="B658" s="417"/>
      <c r="C658" s="5" t="s">
        <v>1678</v>
      </c>
      <c r="D658" s="5" t="s">
        <v>1005</v>
      </c>
      <c r="E658" s="5" t="s">
        <v>1766</v>
      </c>
      <c r="F658" s="132">
        <f>SUMIF('COLAR PLANO'!$A:$A,A658,'COLAR PLANO'!$D:$D)</f>
        <v>0</v>
      </c>
      <c r="G658" s="131">
        <f t="shared" si="220"/>
        <v>0</v>
      </c>
      <c r="H658" s="6">
        <v>2.9504298614445066E-2</v>
      </c>
      <c r="I658" s="7">
        <f t="shared" si="221"/>
        <v>0</v>
      </c>
      <c r="J658" s="130">
        <f t="shared" si="222"/>
        <v>0</v>
      </c>
      <c r="K658" s="417">
        <v>1</v>
      </c>
      <c r="L658" s="417">
        <v>18</v>
      </c>
      <c r="M658" s="417">
        <v>18</v>
      </c>
      <c r="N658" s="7">
        <f t="shared" si="223"/>
        <v>0</v>
      </c>
      <c r="O658" s="7"/>
      <c r="P658" s="7">
        <f t="shared" si="224"/>
        <v>0</v>
      </c>
      <c r="Q658" s="7"/>
      <c r="R658" s="7"/>
      <c r="S658" s="7"/>
      <c r="T658" s="7"/>
      <c r="U658" s="7" t="s">
        <v>2288</v>
      </c>
      <c r="V658" s="7" t="s">
        <v>2289</v>
      </c>
      <c r="W658" s="7" t="str">
        <f>Preencher!$B$3&amp;U658&amp;V658&amp;A658&amp;$W$6</f>
        <v>JARINU-FRG962171MQ.TUNEL DE CG (CONTINUO)</v>
      </c>
      <c r="X658" s="7" t="str">
        <f>Preencher!$B$3&amp;U658&amp;V658&amp;A658&amp;$X$6</f>
        <v>JARINU-FRG962171MQ.TUNEL DE CG (CONTINUO) (1)</v>
      </c>
      <c r="Y658" s="7" t="str">
        <f>Preencher!$B$3&amp;U658&amp;V658&amp;A658&amp;$Y$6</f>
        <v>JARINU-FRG962171MQ.TUNEL DE CG (CONTINUO) (2)</v>
      </c>
      <c r="Z658" s="7" t="str">
        <f>Preencher!$B$3&amp;U658&amp;V658&amp;A658&amp;$Z$6</f>
        <v>JARINU-FRG962171MQ.TUNEL DE CG (CONTINUO) (3)</v>
      </c>
      <c r="AA658" s="7" t="str">
        <f>Preencher!$B$3&amp;U658&amp;V658&amp;A658&amp;$AA$6</f>
        <v>JARINU-FRG962171MQ.TUNEL DE CG (ESTATICO)</v>
      </c>
      <c r="AB658" s="7" t="str">
        <f>Preencher!$B$3&amp;U658&amp;V658&amp;A658&amp;$AB$6</f>
        <v>JARINU-FRG962171MQ.TUNEL DE CG (ESTATICO) (1)</v>
      </c>
      <c r="AC658" s="7" t="str">
        <f>Preencher!$B$3&amp;U658&amp;V658&amp;A658&amp;$AC$6</f>
        <v>JARINU-FRG962171MQ.TUNEL DE CG (ESTATICO) (2)</v>
      </c>
      <c r="AD658" s="327">
        <f>IFERROR(SUMIF('BD Otimix'!A:A,'BD VOLUME'!X658,'BD Otimix'!O:O)+SUMIF('BD Otimix'!A:A,'BD VOLUME'!Y658,'BD Otimix'!O:O)+SUMIF('BD Otimix'!A:A,'BD VOLUME'!Z658,'BD Otimix'!O:O)+SUMIF('BD Otimix'!A:A,'BD VOLUME'!AA658,'BD Otimix'!O:O)+SUMIF('BD Otimix'!A:A,'BD VOLUME'!AB658,'BD Otimix'!O:O)+SUMIF('BD Otimix'!A:A,'BD VOLUME'!AC658,'BD Otimix'!O:O)+SUMIF('BD Otimix'!A:A,'BD VOLUME'!W658,'BD Otimix'!O:O),0)</f>
        <v>0</v>
      </c>
      <c r="AE658" s="327">
        <f t="shared" si="211"/>
        <v>0</v>
      </c>
      <c r="AF658" s="7" t="str">
        <f>Preencher!$B$3&amp;$U$8&amp;$V$8&amp;A658&amp;$AF$6</f>
        <v>JARINU-FRG962171MQ.GIROFREEZER</v>
      </c>
      <c r="AG658" s="7" t="str">
        <f>Preencher!$B$3&amp;$U$8&amp;$V$8&amp;A658&amp;$AG$6</f>
        <v>JARINU-FRG962171MQ.GIROFREEZER (1)</v>
      </c>
      <c r="AH658" s="7" t="str">
        <f>Preencher!$B$3&amp;$U$8&amp;$V$8&amp;A658&amp;$AH$6</f>
        <v>JARINU-FRG962171MQ.GIROFREEZER (2)</v>
      </c>
      <c r="AI658" s="7" t="str">
        <f>Preencher!$B$3&amp;$U$8&amp;$V$8&amp;A658&amp;$AI$6</f>
        <v>JARINU-FRG962171MQ.GIROFREEZER REV04</v>
      </c>
      <c r="AJ658" s="7" t="str">
        <f>Preencher!$B$3&amp;$U$8&amp;$V$8&amp;A658&amp;$AJ$6</f>
        <v>JARINU-FRG962171MQ.GIROFREEZER (3)</v>
      </c>
      <c r="AK658" s="327">
        <f>IFERROR(SUMIF('BD Otimix'!A:A,'BD VOLUME'!AG658,'BD Otimix'!O:O)+SUMIF('BD Otimix'!A:A,'BD VOLUME'!AH658,'BD Otimix'!O:O)+SUMIF('BD Otimix'!A:A,'BD VOLUME'!AI658,'BD Otimix'!O:O)+SUMIF('BD Otimix'!A:A,'BD VOLUME'!AJ658,'BD Otimix'!O:O)+SUMIF('BD Otimix'!A:A,'BD VOLUME'!AF658,'BD Otimix'!O:O),0)</f>
        <v>0</v>
      </c>
      <c r="AL658" s="7">
        <f t="shared" si="212"/>
        <v>0</v>
      </c>
    </row>
    <row r="659" spans="1:38">
      <c r="A659" s="417">
        <v>221749</v>
      </c>
      <c r="B659" s="417"/>
      <c r="C659" s="5" t="s">
        <v>3038</v>
      </c>
      <c r="D659" s="5" t="s">
        <v>1005</v>
      </c>
      <c r="E659" s="5" t="s">
        <v>1767</v>
      </c>
      <c r="F659" s="132">
        <f>SUMIF('COLAR PLANO'!$A:$A,A659,'COLAR PLANO'!$D:$D)</f>
        <v>0</v>
      </c>
      <c r="G659" s="131">
        <f t="shared" si="220"/>
        <v>0</v>
      </c>
      <c r="H659" s="6">
        <v>2.9504298614445066E-2</v>
      </c>
      <c r="I659" s="7">
        <f t="shared" si="221"/>
        <v>0</v>
      </c>
      <c r="J659" s="130">
        <f t="shared" si="222"/>
        <v>0</v>
      </c>
      <c r="K659" s="417">
        <v>18</v>
      </c>
      <c r="L659" s="417">
        <v>1</v>
      </c>
      <c r="M659" s="417">
        <v>18</v>
      </c>
      <c r="N659" s="7">
        <f t="shared" si="223"/>
        <v>0</v>
      </c>
      <c r="O659" s="7"/>
      <c r="P659" s="7">
        <f t="shared" si="224"/>
        <v>0</v>
      </c>
      <c r="Q659" s="7"/>
      <c r="R659" s="7"/>
      <c r="S659" s="7"/>
      <c r="T659" s="7"/>
      <c r="U659" s="7" t="s">
        <v>2288</v>
      </c>
      <c r="V659" s="7" t="s">
        <v>2289</v>
      </c>
      <c r="W659" s="7" t="str">
        <f>Preencher!$B$3&amp;U659&amp;V659&amp;A659&amp;$W$6</f>
        <v>JARINU-FRG221749MQ.TUNEL DE CG (CONTINUO)</v>
      </c>
      <c r="X659" s="7" t="str">
        <f>Preencher!$B$3&amp;U659&amp;V659&amp;A659&amp;$X$6</f>
        <v>JARINU-FRG221749MQ.TUNEL DE CG (CONTINUO) (1)</v>
      </c>
      <c r="Y659" s="7" t="str">
        <f>Preencher!$B$3&amp;U659&amp;V659&amp;A659&amp;$Y$6</f>
        <v>JARINU-FRG221749MQ.TUNEL DE CG (CONTINUO) (2)</v>
      </c>
      <c r="Z659" s="7" t="str">
        <f>Preencher!$B$3&amp;U659&amp;V659&amp;A659&amp;$Z$6</f>
        <v>JARINU-FRG221749MQ.TUNEL DE CG (CONTINUO) (3)</v>
      </c>
      <c r="AA659" s="7" t="str">
        <f>Preencher!$B$3&amp;U659&amp;V659&amp;A659&amp;$AA$6</f>
        <v>JARINU-FRG221749MQ.TUNEL DE CG (ESTATICO)</v>
      </c>
      <c r="AB659" s="7" t="str">
        <f>Preencher!$B$3&amp;U659&amp;V659&amp;A659&amp;$AB$6</f>
        <v>JARINU-FRG221749MQ.TUNEL DE CG (ESTATICO) (1)</v>
      </c>
      <c r="AC659" s="7" t="str">
        <f>Preencher!$B$3&amp;U659&amp;V659&amp;A659&amp;$AC$6</f>
        <v>JARINU-FRG221749MQ.TUNEL DE CG (ESTATICO) (2)</v>
      </c>
      <c r="AD659" s="327">
        <f>IFERROR(SUMIF('BD Otimix'!A:A,'BD VOLUME'!X659,'BD Otimix'!O:O)+SUMIF('BD Otimix'!A:A,'BD VOLUME'!Y659,'BD Otimix'!O:O)+SUMIF('BD Otimix'!A:A,'BD VOLUME'!Z659,'BD Otimix'!O:O)+SUMIF('BD Otimix'!A:A,'BD VOLUME'!AA659,'BD Otimix'!O:O)+SUMIF('BD Otimix'!A:A,'BD VOLUME'!AB659,'BD Otimix'!O:O)+SUMIF('BD Otimix'!A:A,'BD VOLUME'!AC659,'BD Otimix'!O:O)+SUMIF('BD Otimix'!A:A,'BD VOLUME'!W659,'BD Otimix'!O:O),0)</f>
        <v>0</v>
      </c>
      <c r="AE659" s="327">
        <f t="shared" si="211"/>
        <v>0</v>
      </c>
      <c r="AF659" s="7" t="str">
        <f>Preencher!$B$3&amp;$U$8&amp;$V$8&amp;A659&amp;$AF$6</f>
        <v>JARINU-FRG221749MQ.GIROFREEZER</v>
      </c>
      <c r="AG659" s="7" t="str">
        <f>Preencher!$B$3&amp;$U$8&amp;$V$8&amp;A659&amp;$AG$6</f>
        <v>JARINU-FRG221749MQ.GIROFREEZER (1)</v>
      </c>
      <c r="AH659" s="7" t="str">
        <f>Preencher!$B$3&amp;$U$8&amp;$V$8&amp;A659&amp;$AH$6</f>
        <v>JARINU-FRG221749MQ.GIROFREEZER (2)</v>
      </c>
      <c r="AI659" s="7" t="str">
        <f>Preencher!$B$3&amp;$U$8&amp;$V$8&amp;A659&amp;$AI$6</f>
        <v>JARINU-FRG221749MQ.GIROFREEZER REV04</v>
      </c>
      <c r="AJ659" s="7" t="str">
        <f>Preencher!$B$3&amp;$U$8&amp;$V$8&amp;A659&amp;$AJ$6</f>
        <v>JARINU-FRG221749MQ.GIROFREEZER (3)</v>
      </c>
      <c r="AK659" s="327">
        <f>IFERROR(SUMIF('BD Otimix'!A:A,'BD VOLUME'!AG659,'BD Otimix'!O:O)+SUMIF('BD Otimix'!A:A,'BD VOLUME'!AH659,'BD Otimix'!O:O)+SUMIF('BD Otimix'!A:A,'BD VOLUME'!AI659,'BD Otimix'!O:O)+SUMIF('BD Otimix'!A:A,'BD VOLUME'!AJ659,'BD Otimix'!O:O)+SUMIF('BD Otimix'!A:A,'BD VOLUME'!AF659,'BD Otimix'!O:O),0)</f>
        <v>0</v>
      </c>
      <c r="AL659" s="7">
        <f t="shared" si="212"/>
        <v>0</v>
      </c>
    </row>
    <row r="660" spans="1:38">
      <c r="A660" s="580">
        <v>43939</v>
      </c>
      <c r="B660" s="580"/>
      <c r="C660" s="5" t="s">
        <v>3098</v>
      </c>
      <c r="D660" s="5" t="s">
        <v>1005</v>
      </c>
      <c r="E660" s="5" t="s">
        <v>1763</v>
      </c>
      <c r="F660" s="132">
        <f>SUMIF('COLAR PLANO'!$A:$A,A660,'COLAR PLANO'!$D:$D)</f>
        <v>0</v>
      </c>
      <c r="G660" s="131">
        <f t="shared" si="220"/>
        <v>0</v>
      </c>
      <c r="H660" s="6">
        <v>2.9504298614445066E-2</v>
      </c>
      <c r="I660" s="7">
        <f t="shared" si="221"/>
        <v>0</v>
      </c>
      <c r="J660" s="130">
        <f t="shared" si="222"/>
        <v>0</v>
      </c>
      <c r="K660" s="580">
        <v>1</v>
      </c>
      <c r="L660" s="580">
        <v>18</v>
      </c>
      <c r="M660" s="580">
        <v>18</v>
      </c>
      <c r="N660" s="7">
        <f t="shared" si="223"/>
        <v>0</v>
      </c>
      <c r="O660" s="7"/>
      <c r="P660" s="7">
        <f t="shared" si="224"/>
        <v>0</v>
      </c>
      <c r="Q660" s="7"/>
      <c r="R660" s="7"/>
      <c r="S660" s="7"/>
      <c r="T660" s="7"/>
      <c r="U660" s="7" t="s">
        <v>2288</v>
      </c>
      <c r="V660" s="7" t="s">
        <v>2289</v>
      </c>
      <c r="W660" s="7" t="str">
        <f>Preencher!$B$3&amp;U660&amp;V660&amp;A660&amp;$W$6</f>
        <v>JARINU-FRG43939MQ.TUNEL DE CG (CONTINUO)</v>
      </c>
      <c r="X660" s="7" t="str">
        <f>Preencher!$B$3&amp;U660&amp;V660&amp;A660&amp;$X$6</f>
        <v>JARINU-FRG43939MQ.TUNEL DE CG (CONTINUO) (1)</v>
      </c>
      <c r="Y660" s="7" t="str">
        <f>Preencher!$B$3&amp;U660&amp;V660&amp;A660&amp;$Y$6</f>
        <v>JARINU-FRG43939MQ.TUNEL DE CG (CONTINUO) (2)</v>
      </c>
      <c r="Z660" s="7" t="str">
        <f>Preencher!$B$3&amp;U660&amp;V660&amp;A660&amp;$Z$6</f>
        <v>JARINU-FRG43939MQ.TUNEL DE CG (CONTINUO) (3)</v>
      </c>
      <c r="AA660" s="7" t="str">
        <f>Preencher!$B$3&amp;U660&amp;V660&amp;A660&amp;$AA$6</f>
        <v>JARINU-FRG43939MQ.TUNEL DE CG (ESTATICO)</v>
      </c>
      <c r="AB660" s="7" t="str">
        <f>Preencher!$B$3&amp;U660&amp;V660&amp;A660&amp;$AB$6</f>
        <v>JARINU-FRG43939MQ.TUNEL DE CG (ESTATICO) (1)</v>
      </c>
      <c r="AC660" s="7" t="str">
        <f>Preencher!$B$3&amp;U660&amp;V660&amp;A660&amp;$AC$6</f>
        <v>JARINU-FRG43939MQ.TUNEL DE CG (ESTATICO) (2)</v>
      </c>
      <c r="AD660" s="327">
        <f>IFERROR(SUMIF('BD Otimix'!A:A,'BD VOLUME'!X660,'BD Otimix'!O:O)+SUMIF('BD Otimix'!A:A,'BD VOLUME'!Y660,'BD Otimix'!O:O)+SUMIF('BD Otimix'!A:A,'BD VOLUME'!Z660,'BD Otimix'!O:O)+SUMIF('BD Otimix'!A:A,'BD VOLUME'!AA660,'BD Otimix'!O:O)+SUMIF('BD Otimix'!A:A,'BD VOLUME'!AB660,'BD Otimix'!O:O)+SUMIF('BD Otimix'!A:A,'BD VOLUME'!AC660,'BD Otimix'!O:O)+SUMIF('BD Otimix'!A:A,'BD VOLUME'!W660,'BD Otimix'!O:O),0)</f>
        <v>0</v>
      </c>
      <c r="AE660" s="327">
        <f t="shared" si="211"/>
        <v>0</v>
      </c>
      <c r="AF660" s="7" t="str">
        <f>Preencher!$B$3&amp;$U$8&amp;$V$8&amp;A660&amp;$AF$6</f>
        <v>JARINU-FRG43939MQ.GIROFREEZER</v>
      </c>
      <c r="AG660" s="7" t="str">
        <f>Preencher!$B$3&amp;$U$8&amp;$V$8&amp;A660&amp;$AG$6</f>
        <v>JARINU-FRG43939MQ.GIROFREEZER (1)</v>
      </c>
      <c r="AH660" s="7" t="str">
        <f>Preencher!$B$3&amp;$U$8&amp;$V$8&amp;A660&amp;$AH$6</f>
        <v>JARINU-FRG43939MQ.GIROFREEZER (2)</v>
      </c>
      <c r="AI660" s="7" t="str">
        <f>Preencher!$B$3&amp;$U$8&amp;$V$8&amp;A660&amp;$AI$6</f>
        <v>JARINU-FRG43939MQ.GIROFREEZER REV04</v>
      </c>
      <c r="AJ660" s="7" t="str">
        <f>Preencher!$B$3&amp;$U$8&amp;$V$8&amp;A660&amp;$AJ$6</f>
        <v>JARINU-FRG43939MQ.GIROFREEZER (3)</v>
      </c>
      <c r="AK660" s="327">
        <f>IFERROR(SUMIF('BD Otimix'!A:A,'BD VOLUME'!AG660,'BD Otimix'!O:O)+SUMIF('BD Otimix'!A:A,'BD VOLUME'!AH660,'BD Otimix'!O:O)+SUMIF('BD Otimix'!A:A,'BD VOLUME'!AI660,'BD Otimix'!O:O)+SUMIF('BD Otimix'!A:A,'BD VOLUME'!AJ660,'BD Otimix'!O:O)+SUMIF('BD Otimix'!A:A,'BD VOLUME'!AF660,'BD Otimix'!O:O),0)</f>
        <v>0</v>
      </c>
      <c r="AL660" s="7">
        <f t="shared" si="212"/>
        <v>0</v>
      </c>
    </row>
    <row r="661" spans="1:38">
      <c r="A661" s="580">
        <v>14290</v>
      </c>
      <c r="B661" s="580"/>
      <c r="C661" s="5" t="s">
        <v>5341</v>
      </c>
      <c r="D661" s="5" t="s">
        <v>1005</v>
      </c>
      <c r="E661" s="5" t="s">
        <v>2134</v>
      </c>
      <c r="F661" s="132">
        <f>SUMIF('COLAR PLANO'!$A:$A,A661,'COLAR PLANO'!$D:$D)</f>
        <v>56908.800000000003</v>
      </c>
      <c r="G661" s="131">
        <f t="shared" si="220"/>
        <v>270.15808212675057</v>
      </c>
      <c r="H661" s="6">
        <v>2.9504298614445066E-2</v>
      </c>
      <c r="I661" s="7">
        <f t="shared" si="221"/>
        <v>3052.1889443649111</v>
      </c>
      <c r="J661" s="130">
        <f t="shared" si="222"/>
        <v>0.64943798093986715</v>
      </c>
      <c r="K661" s="580">
        <v>1</v>
      </c>
      <c r="L661" s="580">
        <v>12</v>
      </c>
      <c r="M661" s="580">
        <v>12</v>
      </c>
      <c r="N661" s="7">
        <f t="shared" si="223"/>
        <v>270.15808212675057</v>
      </c>
      <c r="O661" s="7"/>
      <c r="P661" s="7">
        <f t="shared" si="224"/>
        <v>22.513173510562549</v>
      </c>
      <c r="Q661" s="7"/>
      <c r="R661" s="7"/>
      <c r="S661" s="7"/>
      <c r="T661" s="7"/>
      <c r="U661" s="7" t="s">
        <v>2288</v>
      </c>
      <c r="V661" s="7" t="s">
        <v>2289</v>
      </c>
      <c r="W661" s="7" t="str">
        <f>Preencher!$B$3&amp;U661&amp;V661&amp;A661&amp;$W$6</f>
        <v>JARINU-FRG14290MQ.TUNEL DE CG (CONTINUO)</v>
      </c>
      <c r="X661" s="7" t="str">
        <f>Preencher!$B$3&amp;U661&amp;V661&amp;A661&amp;$X$6</f>
        <v>JARINU-FRG14290MQ.TUNEL DE CG (CONTINUO) (1)</v>
      </c>
      <c r="Y661" s="7" t="str">
        <f>Preencher!$B$3&amp;U661&amp;V661&amp;A661&amp;$Y$6</f>
        <v>JARINU-FRG14290MQ.TUNEL DE CG (CONTINUO) (2)</v>
      </c>
      <c r="Z661" s="7" t="str">
        <f>Preencher!$B$3&amp;U661&amp;V661&amp;A661&amp;$Z$6</f>
        <v>JARINU-FRG14290MQ.TUNEL DE CG (CONTINUO) (3)</v>
      </c>
      <c r="AA661" s="7" t="str">
        <f>Preencher!$B$3&amp;U661&amp;V661&amp;A661&amp;$AA$6</f>
        <v>JARINU-FRG14290MQ.TUNEL DE CG (ESTATICO)</v>
      </c>
      <c r="AB661" s="7" t="str">
        <f>Preencher!$B$3&amp;U661&amp;V661&amp;A661&amp;$AB$6</f>
        <v>JARINU-FRG14290MQ.TUNEL DE CG (ESTATICO) (1)</v>
      </c>
      <c r="AC661" s="7" t="str">
        <f>Preencher!$B$3&amp;U661&amp;V661&amp;A661&amp;$AC$6</f>
        <v>JARINU-FRG14290MQ.TUNEL DE CG (ESTATICO) (2)</v>
      </c>
      <c r="AD661" s="327">
        <f>IFERROR(SUMIF('BD Otimix'!A:A,'BD VOLUME'!X661,'BD Otimix'!O:O)+SUMIF('BD Otimix'!A:A,'BD VOLUME'!Y661,'BD Otimix'!O:O)+SUMIF('BD Otimix'!A:A,'BD VOLUME'!Z661,'BD Otimix'!O:O)+SUMIF('BD Otimix'!A:A,'BD VOLUME'!AA661,'BD Otimix'!O:O)+SUMIF('BD Otimix'!A:A,'BD VOLUME'!AB661,'BD Otimix'!O:O)+SUMIF('BD Otimix'!A:A,'BD VOLUME'!AC661,'BD Otimix'!O:O)+SUMIF('BD Otimix'!A:A,'BD VOLUME'!W661,'BD Otimix'!O:O),0)</f>
        <v>0</v>
      </c>
      <c r="AE661" s="327">
        <f t="shared" si="211"/>
        <v>0</v>
      </c>
      <c r="AF661" s="7" t="str">
        <f>Preencher!$B$3&amp;$U$8&amp;$V$8&amp;A661&amp;$AF$6</f>
        <v>JARINU-FRG14290MQ.GIROFREEZER</v>
      </c>
      <c r="AG661" s="7" t="str">
        <f>Preencher!$B$3&amp;$U$8&amp;$V$8&amp;A661&amp;$AG$6</f>
        <v>JARINU-FRG14290MQ.GIROFREEZER (1)</v>
      </c>
      <c r="AH661" s="7" t="str">
        <f>Preencher!$B$3&amp;$U$8&amp;$V$8&amp;A661&amp;$AH$6</f>
        <v>JARINU-FRG14290MQ.GIROFREEZER (2)</v>
      </c>
      <c r="AI661" s="7" t="str">
        <f>Preencher!$B$3&amp;$U$8&amp;$V$8&amp;A661&amp;$AI$6</f>
        <v>JARINU-FRG14290MQ.GIROFREEZER REV04</v>
      </c>
      <c r="AJ661" s="7" t="str">
        <f>Preencher!$B$3&amp;$U$8&amp;$V$8&amp;A661&amp;$AJ$6</f>
        <v>JARINU-FRG14290MQ.GIROFREEZER (3)</v>
      </c>
      <c r="AK661" s="327">
        <f>IFERROR(SUMIF('BD Otimix'!A:A,'BD VOLUME'!AG661,'BD Otimix'!O:O)+SUMIF('BD Otimix'!A:A,'BD VOLUME'!AH661,'BD Otimix'!O:O)+SUMIF('BD Otimix'!A:A,'BD VOLUME'!AI661,'BD Otimix'!O:O)+SUMIF('BD Otimix'!A:A,'BD VOLUME'!AJ661,'BD Otimix'!O:O)+SUMIF('BD Otimix'!A:A,'BD VOLUME'!AF661,'BD Otimix'!O:O),0)</f>
        <v>0</v>
      </c>
      <c r="AL661" s="7">
        <f t="shared" si="212"/>
        <v>0</v>
      </c>
    </row>
    <row r="662" spans="1:38">
      <c r="A662" s="584">
        <v>793035</v>
      </c>
      <c r="B662" s="584" t="s">
        <v>2114</v>
      </c>
      <c r="C662" s="5" t="s">
        <v>2115</v>
      </c>
      <c r="D662" s="5" t="s">
        <v>1005</v>
      </c>
      <c r="E662" s="5" t="s">
        <v>2142</v>
      </c>
      <c r="F662" s="132">
        <f>SUMIF('COLAR PLANO'!$A:$A,A662,'COLAR PLANO'!$D:$D)</f>
        <v>0</v>
      </c>
      <c r="G662" s="131">
        <f t="shared" si="220"/>
        <v>0</v>
      </c>
      <c r="H662" s="6">
        <v>8.3674910320448107E-3</v>
      </c>
      <c r="I662" s="7">
        <f t="shared" si="221"/>
        <v>0</v>
      </c>
      <c r="J662" s="130">
        <f t="shared" si="222"/>
        <v>0</v>
      </c>
      <c r="K662" s="584">
        <v>5</v>
      </c>
      <c r="L662" s="584">
        <v>3</v>
      </c>
      <c r="M662" s="584">
        <v>15</v>
      </c>
      <c r="N662" s="7">
        <f t="shared" si="223"/>
        <v>0</v>
      </c>
      <c r="O662" s="7"/>
      <c r="P662" s="7">
        <f t="shared" si="224"/>
        <v>0</v>
      </c>
      <c r="Q662" s="7"/>
      <c r="R662" s="7"/>
      <c r="S662" s="7"/>
      <c r="T662" s="7"/>
      <c r="U662" s="7" t="s">
        <v>2288</v>
      </c>
      <c r="V662" s="7" t="s">
        <v>2289</v>
      </c>
      <c r="W662" s="7" t="str">
        <f>Preencher!$B$3&amp;U662&amp;V662&amp;A662&amp;$W$6</f>
        <v>JARINU-FRG793035MQ.TUNEL DE CG (CONTINUO)</v>
      </c>
      <c r="X662" s="7" t="str">
        <f>Preencher!$B$3&amp;U662&amp;V662&amp;A662&amp;$X$6</f>
        <v>JARINU-FRG793035MQ.TUNEL DE CG (CONTINUO) (1)</v>
      </c>
      <c r="Y662" s="7" t="str">
        <f>Preencher!$B$3&amp;U662&amp;V662&amp;A662&amp;$Y$6</f>
        <v>JARINU-FRG793035MQ.TUNEL DE CG (CONTINUO) (2)</v>
      </c>
      <c r="Z662" s="7" t="str">
        <f>Preencher!$B$3&amp;U662&amp;V662&amp;A662&amp;$Z$6</f>
        <v>JARINU-FRG793035MQ.TUNEL DE CG (CONTINUO) (3)</v>
      </c>
      <c r="AA662" s="7" t="str">
        <f>Preencher!$B$3&amp;U662&amp;V662&amp;A662&amp;$AA$6</f>
        <v>JARINU-FRG793035MQ.TUNEL DE CG (ESTATICO)</v>
      </c>
      <c r="AB662" s="7" t="str">
        <f>Preencher!$B$3&amp;U662&amp;V662&amp;A662&amp;$AB$6</f>
        <v>JARINU-FRG793035MQ.TUNEL DE CG (ESTATICO) (1)</v>
      </c>
      <c r="AC662" s="7" t="str">
        <f>Preencher!$B$3&amp;U662&amp;V662&amp;A662&amp;$AC$6</f>
        <v>JARINU-FRG793035MQ.TUNEL DE CG (ESTATICO) (2)</v>
      </c>
      <c r="AD662" s="327">
        <f>IFERROR(SUMIF('BD Otimix'!A:A,'BD VOLUME'!X662,'BD Otimix'!O:O)+SUMIF('BD Otimix'!A:A,'BD VOLUME'!Y662,'BD Otimix'!O:O)+SUMIF('BD Otimix'!A:A,'BD VOLUME'!Z662,'BD Otimix'!O:O)+SUMIF('BD Otimix'!A:A,'BD VOLUME'!AA662,'BD Otimix'!O:O)+SUMIF('BD Otimix'!A:A,'BD VOLUME'!AB662,'BD Otimix'!O:O)+SUMIF('BD Otimix'!A:A,'BD VOLUME'!AC662,'BD Otimix'!O:O)+SUMIF('BD Otimix'!A:A,'BD VOLUME'!W662,'BD Otimix'!O:O),0)</f>
        <v>0</v>
      </c>
      <c r="AE662" s="327">
        <f t="shared" si="211"/>
        <v>0</v>
      </c>
      <c r="AF662" s="7" t="str">
        <f>Preencher!$B$3&amp;$U$8&amp;$V$8&amp;A662&amp;$AF$6</f>
        <v>JARINU-FRG793035MQ.GIROFREEZER</v>
      </c>
      <c r="AG662" s="7" t="str">
        <f>Preencher!$B$3&amp;$U$8&amp;$V$8&amp;A662&amp;$AG$6</f>
        <v>JARINU-FRG793035MQ.GIROFREEZER (1)</v>
      </c>
      <c r="AH662" s="7" t="str">
        <f>Preencher!$B$3&amp;$U$8&amp;$V$8&amp;A662&amp;$AH$6</f>
        <v>JARINU-FRG793035MQ.GIROFREEZER (2)</v>
      </c>
      <c r="AI662" s="7" t="str">
        <f>Preencher!$B$3&amp;$U$8&amp;$V$8&amp;A662&amp;$AI$6</f>
        <v>JARINU-FRG793035MQ.GIROFREEZER REV04</v>
      </c>
      <c r="AJ662" s="7" t="str">
        <f>Preencher!$B$3&amp;$U$8&amp;$V$8&amp;A662&amp;$AJ$6</f>
        <v>JARINU-FRG793035MQ.GIROFREEZER (3)</v>
      </c>
      <c r="AK662" s="327">
        <f>IFERROR(SUMIF('BD Otimix'!A:A,'BD VOLUME'!AG662,'BD Otimix'!O:O)+SUMIF('BD Otimix'!A:A,'BD VOLUME'!AH662,'BD Otimix'!O:O)+SUMIF('BD Otimix'!A:A,'BD VOLUME'!AI662,'BD Otimix'!O:O)+SUMIF('BD Otimix'!A:A,'BD VOLUME'!AJ662,'BD Otimix'!O:O)+SUMIF('BD Otimix'!A:A,'BD VOLUME'!AF662,'BD Otimix'!O:O),0)</f>
        <v>0</v>
      </c>
      <c r="AL662" s="7">
        <f t="shared" si="212"/>
        <v>0</v>
      </c>
    </row>
    <row r="663" spans="1:38">
      <c r="A663" s="708">
        <v>99988</v>
      </c>
      <c r="B663" s="708"/>
      <c r="C663" s="5" t="s">
        <v>2612</v>
      </c>
      <c r="D663" s="5" t="s">
        <v>1005</v>
      </c>
      <c r="E663" s="5" t="s">
        <v>2142</v>
      </c>
      <c r="F663" s="132">
        <f>SUMIF('COLAR PLANO'!$A:$A,A663,'COLAR PLANO'!$D:$D)</f>
        <v>0</v>
      </c>
      <c r="G663" s="131">
        <f>IFERROR(F663/($E$3*$C$3),0)</f>
        <v>0</v>
      </c>
      <c r="H663" s="6">
        <v>8.3674910320448107E-3</v>
      </c>
      <c r="I663" s="7">
        <f>IFERROR(G663/$D$3/H663,0)</f>
        <v>0</v>
      </c>
      <c r="J663" s="130">
        <f>IFERROR(I663/$B$3,0)</f>
        <v>0</v>
      </c>
      <c r="K663" s="708">
        <v>5</v>
      </c>
      <c r="L663" s="708">
        <v>3</v>
      </c>
      <c r="M663" s="708">
        <v>15</v>
      </c>
      <c r="N663" s="7">
        <f>IFERROR(G663/K663,"-")</f>
        <v>0</v>
      </c>
      <c r="O663" s="7"/>
      <c r="P663" s="7">
        <f>IFERROR(G663/M663,0)</f>
        <v>0</v>
      </c>
      <c r="Q663" s="7"/>
      <c r="R663" s="7"/>
      <c r="S663" s="7"/>
      <c r="T663" s="7"/>
      <c r="U663" s="7" t="s">
        <v>2288</v>
      </c>
      <c r="V663" s="7" t="s">
        <v>2289</v>
      </c>
      <c r="W663" s="7" t="str">
        <f>Preencher!$B$3&amp;U663&amp;V663&amp;A663&amp;$W$6</f>
        <v>JARINU-FRG99988MQ.TUNEL DE CG (CONTINUO)</v>
      </c>
      <c r="X663" s="7" t="str">
        <f>Preencher!$B$3&amp;U663&amp;V663&amp;A663&amp;$X$6</f>
        <v>JARINU-FRG99988MQ.TUNEL DE CG (CONTINUO) (1)</v>
      </c>
      <c r="Y663" s="7" t="str">
        <f>Preencher!$B$3&amp;U663&amp;V663&amp;A663&amp;$Y$6</f>
        <v>JARINU-FRG99988MQ.TUNEL DE CG (CONTINUO) (2)</v>
      </c>
      <c r="Z663" s="7" t="str">
        <f>Preencher!$B$3&amp;U663&amp;V663&amp;A663&amp;$Z$6</f>
        <v>JARINU-FRG99988MQ.TUNEL DE CG (CONTINUO) (3)</v>
      </c>
      <c r="AA663" s="7" t="str">
        <f>Preencher!$B$3&amp;U663&amp;V663&amp;A663&amp;$AA$6</f>
        <v>JARINU-FRG99988MQ.TUNEL DE CG (ESTATICO)</v>
      </c>
      <c r="AB663" s="7" t="str">
        <f>Preencher!$B$3&amp;U663&amp;V663&amp;A663&amp;$AB$6</f>
        <v>JARINU-FRG99988MQ.TUNEL DE CG (ESTATICO) (1)</v>
      </c>
      <c r="AC663" s="7" t="str">
        <f>Preencher!$B$3&amp;U663&amp;V663&amp;A663&amp;$AC$6</f>
        <v>JARINU-FRG99988MQ.TUNEL DE CG (ESTATICO) (2)</v>
      </c>
      <c r="AD663" s="327">
        <f>IFERROR(SUMIF('BD Otimix'!A:A,'BD VOLUME'!X663,'BD Otimix'!O:O)+SUMIF('BD Otimix'!A:A,'BD VOLUME'!Y663,'BD Otimix'!O:O)+SUMIF('BD Otimix'!A:A,'BD VOLUME'!Z663,'BD Otimix'!O:O)+SUMIF('BD Otimix'!A:A,'BD VOLUME'!AA663,'BD Otimix'!O:O)+SUMIF('BD Otimix'!A:A,'BD VOLUME'!AB663,'BD Otimix'!O:O)+SUMIF('BD Otimix'!A:A,'BD VOLUME'!AC663,'BD Otimix'!O:O)+SUMIF('BD Otimix'!A:A,'BD VOLUME'!W663,'BD Otimix'!O:O),0)</f>
        <v>0</v>
      </c>
      <c r="AE663" s="327">
        <f>IFERROR(F663/$E$3/1000/AD663,0)</f>
        <v>0</v>
      </c>
      <c r="AF663" s="7" t="str">
        <f>Preencher!$B$3&amp;$U$8&amp;$V$8&amp;A663&amp;$AF$6</f>
        <v>JARINU-FRG99988MQ.GIROFREEZER</v>
      </c>
      <c r="AG663" s="7" t="str">
        <f>Preencher!$B$3&amp;$U$8&amp;$V$8&amp;A663&amp;$AG$6</f>
        <v>JARINU-FRG99988MQ.GIROFREEZER (1)</v>
      </c>
      <c r="AH663" s="7" t="str">
        <f>Preencher!$B$3&amp;$U$8&amp;$V$8&amp;A663&amp;$AH$6</f>
        <v>JARINU-FRG99988MQ.GIROFREEZER (2)</v>
      </c>
      <c r="AI663" s="7" t="str">
        <f>Preencher!$B$3&amp;$U$8&amp;$V$8&amp;A663&amp;$AI$6</f>
        <v>JARINU-FRG99988MQ.GIROFREEZER REV04</v>
      </c>
      <c r="AJ663" s="7" t="str">
        <f>Preencher!$B$3&amp;$U$8&amp;$V$8&amp;A663&amp;$AJ$6</f>
        <v>JARINU-FRG99988MQ.GIROFREEZER (3)</v>
      </c>
      <c r="AK663" s="327">
        <f>IFERROR(SUMIF('BD Otimix'!A:A,'BD VOLUME'!AG663,'BD Otimix'!O:O)+SUMIF('BD Otimix'!A:A,'BD VOLUME'!AH663,'BD Otimix'!O:O)+SUMIF('BD Otimix'!A:A,'BD VOLUME'!AI663,'BD Otimix'!O:O)+SUMIF('BD Otimix'!A:A,'BD VOLUME'!AJ663,'BD Otimix'!O:O)+SUMIF('BD Otimix'!A:A,'BD VOLUME'!AF663,'BD Otimix'!O:O),0)</f>
        <v>0</v>
      </c>
      <c r="AL663" s="7">
        <f>IFERROR(F663/$E$3/1000/AK663,0)</f>
        <v>0</v>
      </c>
    </row>
    <row r="664" spans="1:38">
      <c r="A664" s="584">
        <v>42641</v>
      </c>
      <c r="B664" s="584" t="s">
        <v>2439</v>
      </c>
      <c r="C664" s="5" t="s">
        <v>2113</v>
      </c>
      <c r="D664" s="5" t="s">
        <v>1769</v>
      </c>
      <c r="E664" s="5" t="s">
        <v>2141</v>
      </c>
      <c r="F664" s="132">
        <f>SUMIF('COLAR PLANO'!$A:$A,A664,'COLAR PLANO'!$D:$D)</f>
        <v>0</v>
      </c>
      <c r="G664" s="131">
        <f t="shared" si="220"/>
        <v>0</v>
      </c>
      <c r="H664" s="6">
        <v>7.8141423222840803E-2</v>
      </c>
      <c r="I664" s="7">
        <f t="shared" si="221"/>
        <v>0</v>
      </c>
      <c r="J664" s="130">
        <f t="shared" si="222"/>
        <v>0</v>
      </c>
      <c r="K664" s="663">
        <v>15</v>
      </c>
      <c r="L664" s="663">
        <v>1</v>
      </c>
      <c r="M664" s="663">
        <v>15</v>
      </c>
      <c r="N664" s="7">
        <f t="shared" si="223"/>
        <v>0</v>
      </c>
      <c r="O664" s="7"/>
      <c r="P664" s="7">
        <f t="shared" si="224"/>
        <v>0</v>
      </c>
      <c r="Q664" s="7"/>
      <c r="R664" s="7"/>
      <c r="S664" s="7"/>
      <c r="T664" s="7"/>
      <c r="U664" s="7" t="s">
        <v>2288</v>
      </c>
      <c r="V664" s="7" t="s">
        <v>2289</v>
      </c>
      <c r="W664" s="7" t="str">
        <f>Preencher!$B$3&amp;U664&amp;V664&amp;A664&amp;$W$6</f>
        <v>JARINU-FRG42641MQ.TUNEL DE CG (CONTINUO)</v>
      </c>
      <c r="X664" s="7" t="str">
        <f>Preencher!$B$3&amp;U664&amp;V664&amp;A664&amp;$X$6</f>
        <v>JARINU-FRG42641MQ.TUNEL DE CG (CONTINUO) (1)</v>
      </c>
      <c r="Y664" s="7" t="str">
        <f>Preencher!$B$3&amp;U664&amp;V664&amp;A664&amp;$Y$6</f>
        <v>JARINU-FRG42641MQ.TUNEL DE CG (CONTINUO) (2)</v>
      </c>
      <c r="Z664" s="7" t="str">
        <f>Preencher!$B$3&amp;U664&amp;V664&amp;A664&amp;$Z$6</f>
        <v>JARINU-FRG42641MQ.TUNEL DE CG (CONTINUO) (3)</v>
      </c>
      <c r="AA664" s="7" t="str">
        <f>Preencher!$B$3&amp;U664&amp;V664&amp;A664&amp;$AA$6</f>
        <v>JARINU-FRG42641MQ.TUNEL DE CG (ESTATICO)</v>
      </c>
      <c r="AB664" s="7" t="str">
        <f>Preencher!$B$3&amp;U664&amp;V664&amp;A664&amp;$AB$6</f>
        <v>JARINU-FRG42641MQ.TUNEL DE CG (ESTATICO) (1)</v>
      </c>
      <c r="AC664" s="7" t="str">
        <f>Preencher!$B$3&amp;U664&amp;V664&amp;A664&amp;$AC$6</f>
        <v>JARINU-FRG42641MQ.TUNEL DE CG (ESTATICO) (2)</v>
      </c>
      <c r="AD664" s="327">
        <f>IFERROR(SUMIF('BD Otimix'!A:A,'BD VOLUME'!X664,'BD Otimix'!O:O)+SUMIF('BD Otimix'!A:A,'BD VOLUME'!Y664,'BD Otimix'!O:O)+SUMIF('BD Otimix'!A:A,'BD VOLUME'!Z664,'BD Otimix'!O:O)+SUMIF('BD Otimix'!A:A,'BD VOLUME'!AA664,'BD Otimix'!O:O)+SUMIF('BD Otimix'!A:A,'BD VOLUME'!AB664,'BD Otimix'!O:O)+SUMIF('BD Otimix'!A:A,'BD VOLUME'!AC664,'BD Otimix'!O:O)+SUMIF('BD Otimix'!A:A,'BD VOLUME'!W664,'BD Otimix'!O:O),0)</f>
        <v>0</v>
      </c>
      <c r="AE664" s="327">
        <f t="shared" si="211"/>
        <v>0</v>
      </c>
      <c r="AF664" s="7" t="str">
        <f>Preencher!$B$3&amp;$U$8&amp;$V$8&amp;A664&amp;$AF$6</f>
        <v>JARINU-FRG42641MQ.GIROFREEZER</v>
      </c>
      <c r="AG664" s="7" t="str">
        <f>Preencher!$B$3&amp;$U$8&amp;$V$8&amp;A664&amp;$AG$6</f>
        <v>JARINU-FRG42641MQ.GIROFREEZER (1)</v>
      </c>
      <c r="AH664" s="7" t="str">
        <f>Preencher!$B$3&amp;$U$8&amp;$V$8&amp;A664&amp;$AH$6</f>
        <v>JARINU-FRG42641MQ.GIROFREEZER (2)</v>
      </c>
      <c r="AI664" s="7" t="str">
        <f>Preencher!$B$3&amp;$U$8&amp;$V$8&amp;A664&amp;$AI$6</f>
        <v>JARINU-FRG42641MQ.GIROFREEZER REV04</v>
      </c>
      <c r="AJ664" s="7" t="str">
        <f>Preencher!$B$3&amp;$U$8&amp;$V$8&amp;A664&amp;$AJ$6</f>
        <v>JARINU-FRG42641MQ.GIROFREEZER (3)</v>
      </c>
      <c r="AK664" s="327">
        <f>IFERROR(SUMIF('BD Otimix'!A:A,'BD VOLUME'!AG664,'BD Otimix'!O:O)+SUMIF('BD Otimix'!A:A,'BD VOLUME'!AH664,'BD Otimix'!O:O)+SUMIF('BD Otimix'!A:A,'BD VOLUME'!AI664,'BD Otimix'!O:O)+SUMIF('BD Otimix'!A:A,'BD VOLUME'!AJ664,'BD Otimix'!O:O)+SUMIF('BD Otimix'!A:A,'BD VOLUME'!AF664,'BD Otimix'!O:O),0)</f>
        <v>0</v>
      </c>
      <c r="AL664" s="7">
        <f t="shared" si="212"/>
        <v>0</v>
      </c>
    </row>
    <row r="665" spans="1:38">
      <c r="A665" s="710">
        <v>14281</v>
      </c>
      <c r="B665" s="710" t="s">
        <v>2679</v>
      </c>
      <c r="C665" s="5" t="s">
        <v>2680</v>
      </c>
      <c r="D665" s="5" t="s">
        <v>922</v>
      </c>
      <c r="E665" s="5" t="s">
        <v>2123</v>
      </c>
      <c r="F665" s="132">
        <f>SUMIF('COLAR PLANO'!$A:$A,A665,'COLAR PLANO'!$D:$D)</f>
        <v>0</v>
      </c>
      <c r="G665" s="131">
        <f t="shared" si="220"/>
        <v>0</v>
      </c>
      <c r="H665" s="6">
        <v>4.0269633576350924E-2</v>
      </c>
      <c r="I665" s="7">
        <f t="shared" ref="I665:I674" si="225">IFERROR(G665/$D$3/H665,0)</f>
        <v>0</v>
      </c>
      <c r="J665" s="130">
        <f t="shared" ref="J665:J676" si="226">IFERROR(I665/$B$3,0)</f>
        <v>0</v>
      </c>
      <c r="K665" s="710">
        <v>1</v>
      </c>
      <c r="L665" s="710">
        <v>18</v>
      </c>
      <c r="M665" s="710">
        <v>18</v>
      </c>
      <c r="N665" s="7">
        <f t="shared" si="223"/>
        <v>0</v>
      </c>
      <c r="O665" s="7"/>
      <c r="P665" s="7">
        <f t="shared" ref="P665:P674" si="227">IFERROR(G665/M665,0)</f>
        <v>0</v>
      </c>
      <c r="Q665" s="7"/>
      <c r="R665" s="7"/>
      <c r="S665" s="7"/>
      <c r="T665" s="7"/>
      <c r="U665" s="7" t="s">
        <v>2288</v>
      </c>
      <c r="V665" s="7" t="s">
        <v>2289</v>
      </c>
      <c r="W665" s="7" t="str">
        <f>Preencher!$B$3&amp;U665&amp;V665&amp;A665&amp;$W$6</f>
        <v>JARINU-FRG14281MQ.TUNEL DE CG (CONTINUO)</v>
      </c>
      <c r="X665" s="7" t="str">
        <f>Preencher!$B$3&amp;U665&amp;V665&amp;A665&amp;$X$6</f>
        <v>JARINU-FRG14281MQ.TUNEL DE CG (CONTINUO) (1)</v>
      </c>
      <c r="Y665" s="7" t="str">
        <f>Preencher!$B$3&amp;U665&amp;V665&amp;A665&amp;$Y$6</f>
        <v>JARINU-FRG14281MQ.TUNEL DE CG (CONTINUO) (2)</v>
      </c>
      <c r="Z665" s="7" t="str">
        <f>Preencher!$B$3&amp;U665&amp;V665&amp;A665&amp;$Z$6</f>
        <v>JARINU-FRG14281MQ.TUNEL DE CG (CONTINUO) (3)</v>
      </c>
      <c r="AA665" s="7" t="str">
        <f>Preencher!$B$3&amp;U665&amp;V665&amp;A665&amp;$AA$6</f>
        <v>JARINU-FRG14281MQ.TUNEL DE CG (ESTATICO)</v>
      </c>
      <c r="AB665" s="7" t="str">
        <f>Preencher!$B$3&amp;U665&amp;V665&amp;A665&amp;$AB$6</f>
        <v>JARINU-FRG14281MQ.TUNEL DE CG (ESTATICO) (1)</v>
      </c>
      <c r="AC665" s="7" t="str">
        <f>Preencher!$B$3&amp;U665&amp;V665&amp;A665&amp;$AC$6</f>
        <v>JARINU-FRG14281MQ.TUNEL DE CG (ESTATICO) (2)</v>
      </c>
      <c r="AD665" s="327">
        <f>IFERROR(SUMIF('BD Otimix'!A:A,'BD VOLUME'!X665,'BD Otimix'!O:O)+SUMIF('BD Otimix'!A:A,'BD VOLUME'!Y665,'BD Otimix'!O:O)+SUMIF('BD Otimix'!A:A,'BD VOLUME'!Z665,'BD Otimix'!O:O)+SUMIF('BD Otimix'!A:A,'BD VOLUME'!AA665,'BD Otimix'!O:O)+SUMIF('BD Otimix'!A:A,'BD VOLUME'!AB665,'BD Otimix'!O:O)+SUMIF('BD Otimix'!A:A,'BD VOLUME'!AC665,'BD Otimix'!O:O)+SUMIF('BD Otimix'!A:A,'BD VOLUME'!W665,'BD Otimix'!O:O),0)</f>
        <v>0</v>
      </c>
      <c r="AE665" s="327">
        <f t="shared" ref="AE665:AE674" si="228">IFERROR(F665/$E$3/1000/AD665,0)</f>
        <v>0</v>
      </c>
      <c r="AF665" s="7" t="str">
        <f>Preencher!$B$3&amp;$U$8&amp;$V$8&amp;A665&amp;$AF$6</f>
        <v>JARINU-FRG14281MQ.GIROFREEZER</v>
      </c>
      <c r="AG665" s="7" t="str">
        <f>Preencher!$B$3&amp;$U$8&amp;$V$8&amp;A665&amp;$AG$6</f>
        <v>JARINU-FRG14281MQ.GIROFREEZER (1)</v>
      </c>
      <c r="AH665" s="7" t="str">
        <f>Preencher!$B$3&amp;$U$8&amp;$V$8&amp;A665&amp;$AH$6</f>
        <v>JARINU-FRG14281MQ.GIROFREEZER (2)</v>
      </c>
      <c r="AI665" s="7" t="str">
        <f>Preencher!$B$3&amp;$U$8&amp;$V$8&amp;A665&amp;$AI$6</f>
        <v>JARINU-FRG14281MQ.GIROFREEZER REV04</v>
      </c>
      <c r="AJ665" s="7" t="str">
        <f>Preencher!$B$3&amp;$U$8&amp;$V$8&amp;A665&amp;$AJ$6</f>
        <v>JARINU-FRG14281MQ.GIROFREEZER (3)</v>
      </c>
      <c r="AK665" s="327">
        <f>IFERROR(SUMIF('BD Otimix'!A:A,'BD VOLUME'!AG665,'BD Otimix'!O:O)+SUMIF('BD Otimix'!A:A,'BD VOLUME'!AH665,'BD Otimix'!O:O)+SUMIF('BD Otimix'!A:A,'BD VOLUME'!AI665,'BD Otimix'!O:O)+SUMIF('BD Otimix'!A:A,'BD VOLUME'!AJ665,'BD Otimix'!O:O)+SUMIF('BD Otimix'!A:A,'BD VOLUME'!AF665,'BD Otimix'!O:O),0)</f>
        <v>0</v>
      </c>
      <c r="AL665" s="7">
        <f t="shared" ref="AL665:AL674" si="229">IFERROR(F665/$E$3/1000/AK665,0)</f>
        <v>0</v>
      </c>
    </row>
    <row r="666" spans="1:38">
      <c r="A666" s="710">
        <v>678210</v>
      </c>
      <c r="B666" s="710" t="s">
        <v>2681</v>
      </c>
      <c r="C666" s="5" t="s">
        <v>2682</v>
      </c>
      <c r="D666" s="5" t="s">
        <v>922</v>
      </c>
      <c r="E666" s="5" t="s">
        <v>1018</v>
      </c>
      <c r="F666" s="132">
        <f>SUMIF('COLAR PLANO'!$A:$A,A666,'COLAR PLANO'!$D:$D)</f>
        <v>0</v>
      </c>
      <c r="G666" s="131">
        <f t="shared" si="220"/>
        <v>0</v>
      </c>
      <c r="H666" s="6">
        <v>4.0269633576350924E-2</v>
      </c>
      <c r="I666" s="7">
        <f t="shared" si="225"/>
        <v>0</v>
      </c>
      <c r="J666" s="130">
        <f t="shared" si="226"/>
        <v>0</v>
      </c>
      <c r="K666" s="710">
        <v>18</v>
      </c>
      <c r="L666" s="710">
        <v>1</v>
      </c>
      <c r="M666" s="710">
        <v>18</v>
      </c>
      <c r="N666" s="7">
        <f t="shared" si="223"/>
        <v>0</v>
      </c>
      <c r="O666" s="7"/>
      <c r="P666" s="7">
        <f t="shared" si="227"/>
        <v>0</v>
      </c>
      <c r="Q666" s="7"/>
      <c r="R666" s="7"/>
      <c r="S666" s="7"/>
      <c r="T666" s="7"/>
      <c r="U666" s="7" t="s">
        <v>2288</v>
      </c>
      <c r="V666" s="7" t="s">
        <v>2289</v>
      </c>
      <c r="W666" s="7" t="str">
        <f>Preencher!$B$3&amp;U666&amp;V666&amp;A666&amp;$W$6</f>
        <v>JARINU-FRG678210MQ.TUNEL DE CG (CONTINUO)</v>
      </c>
      <c r="X666" s="7" t="str">
        <f>Preencher!$B$3&amp;U666&amp;V666&amp;A666&amp;$X$6</f>
        <v>JARINU-FRG678210MQ.TUNEL DE CG (CONTINUO) (1)</v>
      </c>
      <c r="Y666" s="7" t="str">
        <f>Preencher!$B$3&amp;U666&amp;V666&amp;A666&amp;$Y$6</f>
        <v>JARINU-FRG678210MQ.TUNEL DE CG (CONTINUO) (2)</v>
      </c>
      <c r="Z666" s="7" t="str">
        <f>Preencher!$B$3&amp;U666&amp;V666&amp;A666&amp;$Z$6</f>
        <v>JARINU-FRG678210MQ.TUNEL DE CG (CONTINUO) (3)</v>
      </c>
      <c r="AA666" s="7" t="str">
        <f>Preencher!$B$3&amp;U666&amp;V666&amp;A666&amp;$AA$6</f>
        <v>JARINU-FRG678210MQ.TUNEL DE CG (ESTATICO)</v>
      </c>
      <c r="AB666" s="7" t="str">
        <f>Preencher!$B$3&amp;U666&amp;V666&amp;A666&amp;$AB$6</f>
        <v>JARINU-FRG678210MQ.TUNEL DE CG (ESTATICO) (1)</v>
      </c>
      <c r="AC666" s="7" t="str">
        <f>Preencher!$B$3&amp;U666&amp;V666&amp;A666&amp;$AC$6</f>
        <v>JARINU-FRG678210MQ.TUNEL DE CG (ESTATICO) (2)</v>
      </c>
      <c r="AD666" s="327">
        <f>IFERROR(SUMIF('BD Otimix'!A:A,'BD VOLUME'!X666,'BD Otimix'!O:O)+SUMIF('BD Otimix'!A:A,'BD VOLUME'!Y666,'BD Otimix'!O:O)+SUMIF('BD Otimix'!A:A,'BD VOLUME'!Z666,'BD Otimix'!O:O)+SUMIF('BD Otimix'!A:A,'BD VOLUME'!AA666,'BD Otimix'!O:O)+SUMIF('BD Otimix'!A:A,'BD VOLUME'!AB666,'BD Otimix'!O:O)+SUMIF('BD Otimix'!A:A,'BD VOLUME'!AC666,'BD Otimix'!O:O)+SUMIF('BD Otimix'!A:A,'BD VOLUME'!W666,'BD Otimix'!O:O),0)</f>
        <v>0</v>
      </c>
      <c r="AE666" s="327">
        <f t="shared" si="228"/>
        <v>0</v>
      </c>
      <c r="AF666" s="7" t="str">
        <f>Preencher!$B$3&amp;$U$8&amp;$V$8&amp;A666&amp;$AF$6</f>
        <v>JARINU-FRG678210MQ.GIROFREEZER</v>
      </c>
      <c r="AG666" s="7" t="str">
        <f>Preencher!$B$3&amp;$U$8&amp;$V$8&amp;A666&amp;$AG$6</f>
        <v>JARINU-FRG678210MQ.GIROFREEZER (1)</v>
      </c>
      <c r="AH666" s="7" t="str">
        <f>Preencher!$B$3&amp;$U$8&amp;$V$8&amp;A666&amp;$AH$6</f>
        <v>JARINU-FRG678210MQ.GIROFREEZER (2)</v>
      </c>
      <c r="AI666" s="7" t="str">
        <f>Preencher!$B$3&amp;$U$8&amp;$V$8&amp;A666&amp;$AI$6</f>
        <v>JARINU-FRG678210MQ.GIROFREEZER REV04</v>
      </c>
      <c r="AJ666" s="7" t="str">
        <f>Preencher!$B$3&amp;$U$8&amp;$V$8&amp;A666&amp;$AJ$6</f>
        <v>JARINU-FRG678210MQ.GIROFREEZER (3)</v>
      </c>
      <c r="AK666" s="327">
        <f>IFERROR(SUMIF('BD Otimix'!A:A,'BD VOLUME'!AG666,'BD Otimix'!O:O)+SUMIF('BD Otimix'!A:A,'BD VOLUME'!AH666,'BD Otimix'!O:O)+SUMIF('BD Otimix'!A:A,'BD VOLUME'!AI666,'BD Otimix'!O:O)+SUMIF('BD Otimix'!A:A,'BD VOLUME'!AJ666,'BD Otimix'!O:O)+SUMIF('BD Otimix'!A:A,'BD VOLUME'!AF666,'BD Otimix'!O:O),0)</f>
        <v>0</v>
      </c>
      <c r="AL666" s="7">
        <f t="shared" si="229"/>
        <v>0</v>
      </c>
    </row>
    <row r="667" spans="1:38">
      <c r="A667" s="710">
        <v>59420</v>
      </c>
      <c r="B667" s="710" t="s">
        <v>2683</v>
      </c>
      <c r="C667" s="5" t="s">
        <v>2670</v>
      </c>
      <c r="D667" s="5" t="s">
        <v>922</v>
      </c>
      <c r="E667" s="5" t="s">
        <v>1759</v>
      </c>
      <c r="F667" s="132">
        <f>SUMIF('COLAR PLANO'!$A:$A,A667,'COLAR PLANO'!$D:$D)</f>
        <v>0</v>
      </c>
      <c r="G667" s="131">
        <f t="shared" si="220"/>
        <v>0</v>
      </c>
      <c r="H667" s="6">
        <v>4.0269633576350924E-2</v>
      </c>
      <c r="I667" s="7">
        <f t="shared" si="225"/>
        <v>0</v>
      </c>
      <c r="J667" s="130">
        <f t="shared" si="226"/>
        <v>0</v>
      </c>
      <c r="K667" s="710">
        <v>1.375</v>
      </c>
      <c r="L667" s="710">
        <v>12</v>
      </c>
      <c r="M667" s="710">
        <v>16.5</v>
      </c>
      <c r="N667" s="7">
        <f t="shared" si="223"/>
        <v>0</v>
      </c>
      <c r="O667" s="7"/>
      <c r="P667" s="7">
        <f t="shared" si="227"/>
        <v>0</v>
      </c>
      <c r="Q667" s="7"/>
      <c r="R667" s="7"/>
      <c r="S667" s="7"/>
      <c r="T667" s="7"/>
      <c r="U667" s="7" t="s">
        <v>2288</v>
      </c>
      <c r="V667" s="7" t="s">
        <v>2289</v>
      </c>
      <c r="W667" s="7" t="str">
        <f>Preencher!$B$3&amp;U667&amp;V667&amp;A667&amp;$W$6</f>
        <v>JARINU-FRG59420MQ.TUNEL DE CG (CONTINUO)</v>
      </c>
      <c r="X667" s="7" t="str">
        <f>Preencher!$B$3&amp;U667&amp;V667&amp;A667&amp;$X$6</f>
        <v>JARINU-FRG59420MQ.TUNEL DE CG (CONTINUO) (1)</v>
      </c>
      <c r="Y667" s="7" t="str">
        <f>Preencher!$B$3&amp;U667&amp;V667&amp;A667&amp;$Y$6</f>
        <v>JARINU-FRG59420MQ.TUNEL DE CG (CONTINUO) (2)</v>
      </c>
      <c r="Z667" s="7" t="str">
        <f>Preencher!$B$3&amp;U667&amp;V667&amp;A667&amp;$Z$6</f>
        <v>JARINU-FRG59420MQ.TUNEL DE CG (CONTINUO) (3)</v>
      </c>
      <c r="AA667" s="7" t="str">
        <f>Preencher!$B$3&amp;U667&amp;V667&amp;A667&amp;$AA$6</f>
        <v>JARINU-FRG59420MQ.TUNEL DE CG (ESTATICO)</v>
      </c>
      <c r="AB667" s="7" t="str">
        <f>Preencher!$B$3&amp;U667&amp;V667&amp;A667&amp;$AB$6</f>
        <v>JARINU-FRG59420MQ.TUNEL DE CG (ESTATICO) (1)</v>
      </c>
      <c r="AC667" s="7" t="str">
        <f>Preencher!$B$3&amp;U667&amp;V667&amp;A667&amp;$AC$6</f>
        <v>JARINU-FRG59420MQ.TUNEL DE CG (ESTATICO) (2)</v>
      </c>
      <c r="AD667" s="327">
        <f>IFERROR(SUMIF('BD Otimix'!A:A,'BD VOLUME'!X667,'BD Otimix'!O:O)+SUMIF('BD Otimix'!A:A,'BD VOLUME'!Y667,'BD Otimix'!O:O)+SUMIF('BD Otimix'!A:A,'BD VOLUME'!Z667,'BD Otimix'!O:O)+SUMIF('BD Otimix'!A:A,'BD VOLUME'!AA667,'BD Otimix'!O:O)+SUMIF('BD Otimix'!A:A,'BD VOLUME'!AB667,'BD Otimix'!O:O)+SUMIF('BD Otimix'!A:A,'BD VOLUME'!AC667,'BD Otimix'!O:O)+SUMIF('BD Otimix'!A:A,'BD VOLUME'!W667,'BD Otimix'!O:O),0)</f>
        <v>0</v>
      </c>
      <c r="AE667" s="327">
        <f t="shared" si="228"/>
        <v>0</v>
      </c>
      <c r="AF667" s="7" t="str">
        <f>Preencher!$B$3&amp;$U$8&amp;$V$8&amp;A667&amp;$AF$6</f>
        <v>JARINU-FRG59420MQ.GIROFREEZER</v>
      </c>
      <c r="AG667" s="7" t="str">
        <f>Preencher!$B$3&amp;$U$8&amp;$V$8&amp;A667&amp;$AG$6</f>
        <v>JARINU-FRG59420MQ.GIROFREEZER (1)</v>
      </c>
      <c r="AH667" s="7" t="str">
        <f>Preencher!$B$3&amp;$U$8&amp;$V$8&amp;A667&amp;$AH$6</f>
        <v>JARINU-FRG59420MQ.GIROFREEZER (2)</v>
      </c>
      <c r="AI667" s="7" t="str">
        <f>Preencher!$B$3&amp;$U$8&amp;$V$8&amp;A667&amp;$AI$6</f>
        <v>JARINU-FRG59420MQ.GIROFREEZER REV04</v>
      </c>
      <c r="AJ667" s="7" t="str">
        <f>Preencher!$B$3&amp;$U$8&amp;$V$8&amp;A667&amp;$AJ$6</f>
        <v>JARINU-FRG59420MQ.GIROFREEZER (3)</v>
      </c>
      <c r="AK667" s="327">
        <f>IFERROR(SUMIF('BD Otimix'!A:A,'BD VOLUME'!AG667,'BD Otimix'!O:O)+SUMIF('BD Otimix'!A:A,'BD VOLUME'!AH667,'BD Otimix'!O:O)+SUMIF('BD Otimix'!A:A,'BD VOLUME'!AI667,'BD Otimix'!O:O)+SUMIF('BD Otimix'!A:A,'BD VOLUME'!AJ667,'BD Otimix'!O:O)+SUMIF('BD Otimix'!A:A,'BD VOLUME'!AF667,'BD Otimix'!O:O),0)</f>
        <v>0</v>
      </c>
      <c r="AL667" s="7">
        <f t="shared" si="229"/>
        <v>0</v>
      </c>
    </row>
    <row r="668" spans="1:38">
      <c r="A668" s="710">
        <v>795593</v>
      </c>
      <c r="B668" s="710" t="s">
        <v>2684</v>
      </c>
      <c r="C668" s="5" t="s">
        <v>2685</v>
      </c>
      <c r="D668" s="5" t="s">
        <v>922</v>
      </c>
      <c r="E668" s="5" t="s">
        <v>1759</v>
      </c>
      <c r="F668" s="132">
        <f>SUMIF('COLAR PLANO'!$A:$A,A668,'COLAR PLANO'!$D:$D)</f>
        <v>0</v>
      </c>
      <c r="G668" s="131">
        <f t="shared" si="220"/>
        <v>0</v>
      </c>
      <c r="H668" s="6">
        <v>4.0269633576350924E-2</v>
      </c>
      <c r="I668" s="7">
        <f t="shared" si="225"/>
        <v>0</v>
      </c>
      <c r="J668" s="130">
        <f t="shared" si="226"/>
        <v>0</v>
      </c>
      <c r="K668" s="710">
        <v>1.375</v>
      </c>
      <c r="L668" s="710">
        <v>12</v>
      </c>
      <c r="M668" s="710">
        <v>16.5</v>
      </c>
      <c r="N668" s="7">
        <f t="shared" si="223"/>
        <v>0</v>
      </c>
      <c r="O668" s="7"/>
      <c r="P668" s="7">
        <f t="shared" si="227"/>
        <v>0</v>
      </c>
      <c r="Q668" s="7"/>
      <c r="R668" s="7"/>
      <c r="S668" s="7"/>
      <c r="T668" s="7"/>
      <c r="U668" s="7" t="s">
        <v>2288</v>
      </c>
      <c r="V668" s="7" t="s">
        <v>2289</v>
      </c>
      <c r="W668" s="7" t="str">
        <f>Preencher!$B$3&amp;U668&amp;V668&amp;A668&amp;$W$6</f>
        <v>JARINU-FRG795593MQ.TUNEL DE CG (CONTINUO)</v>
      </c>
      <c r="X668" s="7" t="str">
        <f>Preencher!$B$3&amp;U668&amp;V668&amp;A668&amp;$X$6</f>
        <v>JARINU-FRG795593MQ.TUNEL DE CG (CONTINUO) (1)</v>
      </c>
      <c r="Y668" s="7" t="str">
        <f>Preencher!$B$3&amp;U668&amp;V668&amp;A668&amp;$Y$6</f>
        <v>JARINU-FRG795593MQ.TUNEL DE CG (CONTINUO) (2)</v>
      </c>
      <c r="Z668" s="7" t="str">
        <f>Preencher!$B$3&amp;U668&amp;V668&amp;A668&amp;$Z$6</f>
        <v>JARINU-FRG795593MQ.TUNEL DE CG (CONTINUO) (3)</v>
      </c>
      <c r="AA668" s="7" t="str">
        <f>Preencher!$B$3&amp;U668&amp;V668&amp;A668&amp;$AA$6</f>
        <v>JARINU-FRG795593MQ.TUNEL DE CG (ESTATICO)</v>
      </c>
      <c r="AB668" s="7" t="str">
        <f>Preencher!$B$3&amp;U668&amp;V668&amp;A668&amp;$AB$6</f>
        <v>JARINU-FRG795593MQ.TUNEL DE CG (ESTATICO) (1)</v>
      </c>
      <c r="AC668" s="7" t="str">
        <f>Preencher!$B$3&amp;U668&amp;V668&amp;A668&amp;$AC$6</f>
        <v>JARINU-FRG795593MQ.TUNEL DE CG (ESTATICO) (2)</v>
      </c>
      <c r="AD668" s="327">
        <f>IFERROR(SUMIF('BD Otimix'!A:A,'BD VOLUME'!X668,'BD Otimix'!O:O)+SUMIF('BD Otimix'!A:A,'BD VOLUME'!Y668,'BD Otimix'!O:O)+SUMIF('BD Otimix'!A:A,'BD VOLUME'!Z668,'BD Otimix'!O:O)+SUMIF('BD Otimix'!A:A,'BD VOLUME'!AA668,'BD Otimix'!O:O)+SUMIF('BD Otimix'!A:A,'BD VOLUME'!AB668,'BD Otimix'!O:O)+SUMIF('BD Otimix'!A:A,'BD VOLUME'!AC668,'BD Otimix'!O:O)+SUMIF('BD Otimix'!A:A,'BD VOLUME'!W668,'BD Otimix'!O:O),0)</f>
        <v>0</v>
      </c>
      <c r="AE668" s="327">
        <f t="shared" si="228"/>
        <v>0</v>
      </c>
      <c r="AF668" s="7" t="str">
        <f>Preencher!$B$3&amp;$U$8&amp;$V$8&amp;A668&amp;$AF$6</f>
        <v>JARINU-FRG795593MQ.GIROFREEZER</v>
      </c>
      <c r="AG668" s="7" t="str">
        <f>Preencher!$B$3&amp;$U$8&amp;$V$8&amp;A668&amp;$AG$6</f>
        <v>JARINU-FRG795593MQ.GIROFREEZER (1)</v>
      </c>
      <c r="AH668" s="7" t="str">
        <f>Preencher!$B$3&amp;$U$8&amp;$V$8&amp;A668&amp;$AH$6</f>
        <v>JARINU-FRG795593MQ.GIROFREEZER (2)</v>
      </c>
      <c r="AI668" s="7" t="str">
        <f>Preencher!$B$3&amp;$U$8&amp;$V$8&amp;A668&amp;$AI$6</f>
        <v>JARINU-FRG795593MQ.GIROFREEZER REV04</v>
      </c>
      <c r="AJ668" s="7" t="str">
        <f>Preencher!$B$3&amp;$U$8&amp;$V$8&amp;A668&amp;$AJ$6</f>
        <v>JARINU-FRG795593MQ.GIROFREEZER (3)</v>
      </c>
      <c r="AK668" s="327">
        <f>IFERROR(SUMIF('BD Otimix'!A:A,'BD VOLUME'!AG668,'BD Otimix'!O:O)+SUMIF('BD Otimix'!A:A,'BD VOLUME'!AH668,'BD Otimix'!O:O)+SUMIF('BD Otimix'!A:A,'BD VOLUME'!AI668,'BD Otimix'!O:O)+SUMIF('BD Otimix'!A:A,'BD VOLUME'!AJ668,'BD Otimix'!O:O)+SUMIF('BD Otimix'!A:A,'BD VOLUME'!AF668,'BD Otimix'!O:O),0)</f>
        <v>0</v>
      </c>
      <c r="AL668" s="7">
        <f t="shared" si="229"/>
        <v>0</v>
      </c>
    </row>
    <row r="669" spans="1:38">
      <c r="A669" s="710">
        <v>977322</v>
      </c>
      <c r="B669" s="710" t="s">
        <v>2686</v>
      </c>
      <c r="C669" s="5" t="s">
        <v>2687</v>
      </c>
      <c r="D669" s="5" t="s">
        <v>1769</v>
      </c>
      <c r="E669" s="5" t="s">
        <v>2141</v>
      </c>
      <c r="F669" s="132">
        <f>SUMIF('COLAR PLANO'!$A:$A,A669,'COLAR PLANO'!$D:$D)</f>
        <v>0</v>
      </c>
      <c r="G669" s="131">
        <f t="shared" ref="G669:G675" si="230">IFERROR(F669/($E$3*$C$3),0)</f>
        <v>0</v>
      </c>
      <c r="H669" s="6">
        <v>7.8141423222840803E-2</v>
      </c>
      <c r="I669" s="7">
        <f t="shared" si="225"/>
        <v>0</v>
      </c>
      <c r="J669" s="130">
        <f t="shared" si="226"/>
        <v>0</v>
      </c>
      <c r="K669" s="710">
        <v>15</v>
      </c>
      <c r="L669" s="710">
        <v>1</v>
      </c>
      <c r="M669" s="710">
        <v>15</v>
      </c>
      <c r="N669" s="7">
        <f t="shared" ref="N669:N674" si="231">IFERROR(G669/K669,"-")</f>
        <v>0</v>
      </c>
      <c r="O669" s="7"/>
      <c r="P669" s="7">
        <f t="shared" si="227"/>
        <v>0</v>
      </c>
      <c r="Q669" s="7"/>
      <c r="R669" s="7"/>
      <c r="S669" s="7"/>
      <c r="T669" s="7"/>
      <c r="U669" s="7" t="s">
        <v>2288</v>
      </c>
      <c r="V669" s="7" t="s">
        <v>2289</v>
      </c>
      <c r="W669" s="7" t="str">
        <f>Preencher!$B$3&amp;U669&amp;V669&amp;A669&amp;$W$6</f>
        <v>JARINU-FRG977322MQ.TUNEL DE CG (CONTINUO)</v>
      </c>
      <c r="X669" s="7" t="str">
        <f>Preencher!$B$3&amp;U669&amp;V669&amp;A669&amp;$X$6</f>
        <v>JARINU-FRG977322MQ.TUNEL DE CG (CONTINUO) (1)</v>
      </c>
      <c r="Y669" s="7" t="str">
        <f>Preencher!$B$3&amp;U669&amp;V669&amp;A669&amp;$Y$6</f>
        <v>JARINU-FRG977322MQ.TUNEL DE CG (CONTINUO) (2)</v>
      </c>
      <c r="Z669" s="7" t="str">
        <f>Preencher!$B$3&amp;U669&amp;V669&amp;A669&amp;$Z$6</f>
        <v>JARINU-FRG977322MQ.TUNEL DE CG (CONTINUO) (3)</v>
      </c>
      <c r="AA669" s="7" t="str">
        <f>Preencher!$B$3&amp;U669&amp;V669&amp;A669&amp;$AA$6</f>
        <v>JARINU-FRG977322MQ.TUNEL DE CG (ESTATICO)</v>
      </c>
      <c r="AB669" s="7" t="str">
        <f>Preencher!$B$3&amp;U669&amp;V669&amp;A669&amp;$AB$6</f>
        <v>JARINU-FRG977322MQ.TUNEL DE CG (ESTATICO) (1)</v>
      </c>
      <c r="AC669" s="7" t="str">
        <f>Preencher!$B$3&amp;U669&amp;V669&amp;A669&amp;$AC$6</f>
        <v>JARINU-FRG977322MQ.TUNEL DE CG (ESTATICO) (2)</v>
      </c>
      <c r="AD669" s="327">
        <f>IFERROR(SUMIF('BD Otimix'!A:A,'BD VOLUME'!X669,'BD Otimix'!O:O)+SUMIF('BD Otimix'!A:A,'BD VOLUME'!Y669,'BD Otimix'!O:O)+SUMIF('BD Otimix'!A:A,'BD VOLUME'!Z669,'BD Otimix'!O:O)+SUMIF('BD Otimix'!A:A,'BD VOLUME'!AA669,'BD Otimix'!O:O)+SUMIF('BD Otimix'!A:A,'BD VOLUME'!AB669,'BD Otimix'!O:O)+SUMIF('BD Otimix'!A:A,'BD VOLUME'!AC669,'BD Otimix'!O:O)+SUMIF('BD Otimix'!A:A,'BD VOLUME'!W669,'BD Otimix'!O:O),0)</f>
        <v>0</v>
      </c>
      <c r="AE669" s="327">
        <f t="shared" si="228"/>
        <v>0</v>
      </c>
      <c r="AF669" s="7" t="str">
        <f>Preencher!$B$3&amp;$U$8&amp;$V$8&amp;A669&amp;$AF$6</f>
        <v>JARINU-FRG977322MQ.GIROFREEZER</v>
      </c>
      <c r="AG669" s="7" t="str">
        <f>Preencher!$B$3&amp;$U$8&amp;$V$8&amp;A669&amp;$AG$6</f>
        <v>JARINU-FRG977322MQ.GIROFREEZER (1)</v>
      </c>
      <c r="AH669" s="7" t="str">
        <f>Preencher!$B$3&amp;$U$8&amp;$V$8&amp;A669&amp;$AH$6</f>
        <v>JARINU-FRG977322MQ.GIROFREEZER (2)</v>
      </c>
      <c r="AI669" s="7" t="str">
        <f>Preencher!$B$3&amp;$U$8&amp;$V$8&amp;A669&amp;$AI$6</f>
        <v>JARINU-FRG977322MQ.GIROFREEZER REV04</v>
      </c>
      <c r="AJ669" s="7" t="str">
        <f>Preencher!$B$3&amp;$U$8&amp;$V$8&amp;A669&amp;$AJ$6</f>
        <v>JARINU-FRG977322MQ.GIROFREEZER (3)</v>
      </c>
      <c r="AK669" s="327">
        <f>IFERROR(SUMIF('BD Otimix'!A:A,'BD VOLUME'!AG669,'BD Otimix'!O:O)+SUMIF('BD Otimix'!A:A,'BD VOLUME'!AH669,'BD Otimix'!O:O)+SUMIF('BD Otimix'!A:A,'BD VOLUME'!AI669,'BD Otimix'!O:O)+SUMIF('BD Otimix'!A:A,'BD VOLUME'!AJ669,'BD Otimix'!O:O)+SUMIF('BD Otimix'!A:A,'BD VOLUME'!AF669,'BD Otimix'!O:O),0)</f>
        <v>0</v>
      </c>
      <c r="AL669" s="7">
        <f t="shared" si="229"/>
        <v>0</v>
      </c>
    </row>
    <row r="670" spans="1:38">
      <c r="A670" s="710">
        <v>14133</v>
      </c>
      <c r="B670" s="710"/>
      <c r="C670" s="5" t="s">
        <v>3140</v>
      </c>
      <c r="D670" s="5" t="s">
        <v>1769</v>
      </c>
      <c r="E670" s="5" t="s">
        <v>2141</v>
      </c>
      <c r="F670" s="132">
        <f>SUMIF('COLAR PLANO'!$A:$A,A670,'COLAR PLANO'!$D:$D)</f>
        <v>87552</v>
      </c>
      <c r="G670" s="131">
        <f t="shared" si="230"/>
        <v>415.62781865653932</v>
      </c>
      <c r="H670" s="6">
        <v>7.8141423222840803E-2</v>
      </c>
      <c r="I670" s="7">
        <f t="shared" si="225"/>
        <v>1772.9726501622038</v>
      </c>
      <c r="J670" s="130">
        <f t="shared" si="226"/>
        <v>0.37724918056229112</v>
      </c>
      <c r="K670" s="710">
        <v>15</v>
      </c>
      <c r="L670" s="710">
        <v>1</v>
      </c>
      <c r="M670" s="710">
        <v>15</v>
      </c>
      <c r="N670" s="7">
        <f t="shared" si="231"/>
        <v>27.708521243769287</v>
      </c>
      <c r="O670" s="7"/>
      <c r="P670" s="7">
        <f t="shared" si="227"/>
        <v>27.708521243769287</v>
      </c>
      <c r="Q670" s="7"/>
      <c r="R670" s="7"/>
      <c r="S670" s="7"/>
      <c r="T670" s="7"/>
      <c r="U670" s="7" t="s">
        <v>2288</v>
      </c>
      <c r="V670" s="7" t="s">
        <v>2289</v>
      </c>
      <c r="W670" s="7" t="str">
        <f>Preencher!$B$3&amp;U670&amp;V670&amp;A670&amp;$W$6</f>
        <v>JARINU-FRG14133MQ.TUNEL DE CG (CONTINUO)</v>
      </c>
      <c r="X670" s="7" t="str">
        <f>Preencher!$B$3&amp;U670&amp;V670&amp;A670&amp;$X$6</f>
        <v>JARINU-FRG14133MQ.TUNEL DE CG (CONTINUO) (1)</v>
      </c>
      <c r="Y670" s="7" t="str">
        <f>Preencher!$B$3&amp;U670&amp;V670&amp;A670&amp;$Y$6</f>
        <v>JARINU-FRG14133MQ.TUNEL DE CG (CONTINUO) (2)</v>
      </c>
      <c r="Z670" s="7" t="str">
        <f>Preencher!$B$3&amp;U670&amp;V670&amp;A670&amp;$Z$6</f>
        <v>JARINU-FRG14133MQ.TUNEL DE CG (CONTINUO) (3)</v>
      </c>
      <c r="AA670" s="7" t="str">
        <f>Preencher!$B$3&amp;U670&amp;V670&amp;A670&amp;$AA$6</f>
        <v>JARINU-FRG14133MQ.TUNEL DE CG (ESTATICO)</v>
      </c>
      <c r="AB670" s="7" t="str">
        <f>Preencher!$B$3&amp;U670&amp;V670&amp;A670&amp;$AB$6</f>
        <v>JARINU-FRG14133MQ.TUNEL DE CG (ESTATICO) (1)</v>
      </c>
      <c r="AC670" s="7" t="str">
        <f>Preencher!$B$3&amp;U670&amp;V670&amp;A670&amp;$AC$6</f>
        <v>JARINU-FRG14133MQ.TUNEL DE CG (ESTATICO) (2)</v>
      </c>
      <c r="AD670" s="327">
        <f>IFERROR(SUMIF('BD Otimix'!A:A,'BD VOLUME'!X670,'BD Otimix'!O:O)+SUMIF('BD Otimix'!A:A,'BD VOLUME'!Y670,'BD Otimix'!O:O)+SUMIF('BD Otimix'!A:A,'BD VOLUME'!Z670,'BD Otimix'!O:O)+SUMIF('BD Otimix'!A:A,'BD VOLUME'!AA670,'BD Otimix'!O:O)+SUMIF('BD Otimix'!A:A,'BD VOLUME'!AB670,'BD Otimix'!O:O)+SUMIF('BD Otimix'!A:A,'BD VOLUME'!AC670,'BD Otimix'!O:O)+SUMIF('BD Otimix'!A:A,'BD VOLUME'!W670,'BD Otimix'!O:O),0)</f>
        <v>0</v>
      </c>
      <c r="AE670" s="327">
        <f t="shared" si="228"/>
        <v>0</v>
      </c>
      <c r="AF670" s="7" t="str">
        <f>Preencher!$B$3&amp;$U$8&amp;$V$8&amp;A670&amp;$AF$6</f>
        <v>JARINU-FRG14133MQ.GIROFREEZER</v>
      </c>
      <c r="AG670" s="7" t="str">
        <f>Preencher!$B$3&amp;$U$8&amp;$V$8&amp;A670&amp;$AG$6</f>
        <v>JARINU-FRG14133MQ.GIROFREEZER (1)</v>
      </c>
      <c r="AH670" s="7" t="str">
        <f>Preencher!$B$3&amp;$U$8&amp;$V$8&amp;A670&amp;$AH$6</f>
        <v>JARINU-FRG14133MQ.GIROFREEZER (2)</v>
      </c>
      <c r="AI670" s="7" t="str">
        <f>Preencher!$B$3&amp;$U$8&amp;$V$8&amp;A670&amp;$AI$6</f>
        <v>JARINU-FRG14133MQ.GIROFREEZER REV04</v>
      </c>
      <c r="AJ670" s="7" t="str">
        <f>Preencher!$B$3&amp;$U$8&amp;$V$8&amp;A670&amp;$AJ$6</f>
        <v>JARINU-FRG14133MQ.GIROFREEZER (3)</v>
      </c>
      <c r="AK670" s="327">
        <f>IFERROR(SUMIF('BD Otimix'!A:A,'BD VOLUME'!AG670,'BD Otimix'!O:O)+SUMIF('BD Otimix'!A:A,'BD VOLUME'!AH670,'BD Otimix'!O:O)+SUMIF('BD Otimix'!A:A,'BD VOLUME'!AI670,'BD Otimix'!O:O)+SUMIF('BD Otimix'!A:A,'BD VOLUME'!AJ670,'BD Otimix'!O:O)+SUMIF('BD Otimix'!A:A,'BD VOLUME'!AF670,'BD Otimix'!O:O),0)</f>
        <v>0</v>
      </c>
      <c r="AL670" s="7">
        <f t="shared" si="229"/>
        <v>0</v>
      </c>
    </row>
    <row r="671" spans="1:38">
      <c r="A671" s="710">
        <v>794600</v>
      </c>
      <c r="B671" s="710" t="s">
        <v>2735</v>
      </c>
      <c r="C671" s="5" t="s">
        <v>2436</v>
      </c>
      <c r="D671" s="5" t="s">
        <v>1006</v>
      </c>
      <c r="E671" s="5" t="s">
        <v>1759</v>
      </c>
      <c r="F671" s="132">
        <f>SUMIF('COLAR PLANO'!$A:$A,A671,'COLAR PLANO'!$D:$D)</f>
        <v>0</v>
      </c>
      <c r="G671" s="131">
        <f t="shared" si="230"/>
        <v>0</v>
      </c>
      <c r="H671" s="6">
        <v>3.7904298614445067E-2</v>
      </c>
      <c r="I671" s="7">
        <f t="shared" si="225"/>
        <v>0</v>
      </c>
      <c r="J671" s="130">
        <f t="shared" si="226"/>
        <v>0</v>
      </c>
      <c r="K671" s="710">
        <v>1.375</v>
      </c>
      <c r="L671" s="710">
        <v>12</v>
      </c>
      <c r="M671" s="710">
        <v>16.5</v>
      </c>
      <c r="N671" s="7">
        <f t="shared" si="231"/>
        <v>0</v>
      </c>
      <c r="O671" s="7"/>
      <c r="P671" s="7">
        <f t="shared" si="227"/>
        <v>0</v>
      </c>
      <c r="Q671" s="7"/>
      <c r="R671" s="7"/>
      <c r="S671" s="7"/>
      <c r="T671" s="7"/>
      <c r="U671" s="7" t="s">
        <v>2288</v>
      </c>
      <c r="V671" s="7" t="s">
        <v>2289</v>
      </c>
      <c r="W671" s="7" t="str">
        <f>Preencher!$B$3&amp;U671&amp;V671&amp;A671&amp;$W$6</f>
        <v>JARINU-FRG794600MQ.TUNEL DE CG (CONTINUO)</v>
      </c>
      <c r="X671" s="7" t="str">
        <f>Preencher!$B$3&amp;U671&amp;V671&amp;A671&amp;$X$6</f>
        <v>JARINU-FRG794600MQ.TUNEL DE CG (CONTINUO) (1)</v>
      </c>
      <c r="Y671" s="7" t="str">
        <f>Preencher!$B$3&amp;U671&amp;V671&amp;A671&amp;$Y$6</f>
        <v>JARINU-FRG794600MQ.TUNEL DE CG (CONTINUO) (2)</v>
      </c>
      <c r="Z671" s="7" t="str">
        <f>Preencher!$B$3&amp;U671&amp;V671&amp;A671&amp;$Z$6</f>
        <v>JARINU-FRG794600MQ.TUNEL DE CG (CONTINUO) (3)</v>
      </c>
      <c r="AA671" s="7" t="str">
        <f>Preencher!$B$3&amp;U671&amp;V671&amp;A671&amp;$AA$6</f>
        <v>JARINU-FRG794600MQ.TUNEL DE CG (ESTATICO)</v>
      </c>
      <c r="AB671" s="7" t="str">
        <f>Preencher!$B$3&amp;U671&amp;V671&amp;A671&amp;$AB$6</f>
        <v>JARINU-FRG794600MQ.TUNEL DE CG (ESTATICO) (1)</v>
      </c>
      <c r="AC671" s="7" t="str">
        <f>Preencher!$B$3&amp;U671&amp;V671&amp;A671&amp;$AC$6</f>
        <v>JARINU-FRG794600MQ.TUNEL DE CG (ESTATICO) (2)</v>
      </c>
      <c r="AD671" s="327">
        <f>IFERROR(SUMIF('BD Otimix'!A:A,'BD VOLUME'!X671,'BD Otimix'!O:O)+SUMIF('BD Otimix'!A:A,'BD VOLUME'!Y671,'BD Otimix'!O:O)+SUMIF('BD Otimix'!A:A,'BD VOLUME'!Z671,'BD Otimix'!O:O)+SUMIF('BD Otimix'!A:A,'BD VOLUME'!AA671,'BD Otimix'!O:O)+SUMIF('BD Otimix'!A:A,'BD VOLUME'!AB671,'BD Otimix'!O:O)+SUMIF('BD Otimix'!A:A,'BD VOLUME'!AC671,'BD Otimix'!O:O)+SUMIF('BD Otimix'!A:A,'BD VOLUME'!W671,'BD Otimix'!O:O),0)</f>
        <v>0</v>
      </c>
      <c r="AE671" s="327">
        <f t="shared" si="228"/>
        <v>0</v>
      </c>
      <c r="AF671" s="7" t="str">
        <f>Preencher!$B$3&amp;$U$8&amp;$V$8&amp;A671&amp;$AF$6</f>
        <v>JARINU-FRG794600MQ.GIROFREEZER</v>
      </c>
      <c r="AG671" s="7" t="str">
        <f>Preencher!$B$3&amp;$U$8&amp;$V$8&amp;A671&amp;$AG$6</f>
        <v>JARINU-FRG794600MQ.GIROFREEZER (1)</v>
      </c>
      <c r="AH671" s="7" t="str">
        <f>Preencher!$B$3&amp;$U$8&amp;$V$8&amp;A671&amp;$AH$6</f>
        <v>JARINU-FRG794600MQ.GIROFREEZER (2)</v>
      </c>
      <c r="AI671" s="7" t="str">
        <f>Preencher!$B$3&amp;$U$8&amp;$V$8&amp;A671&amp;$AI$6</f>
        <v>JARINU-FRG794600MQ.GIROFREEZER REV04</v>
      </c>
      <c r="AJ671" s="7" t="str">
        <f>Preencher!$B$3&amp;$U$8&amp;$V$8&amp;A671&amp;$AJ$6</f>
        <v>JARINU-FRG794600MQ.GIROFREEZER (3)</v>
      </c>
      <c r="AK671" s="327">
        <f>IFERROR(SUMIF('BD Otimix'!A:A,'BD VOLUME'!AG671,'BD Otimix'!O:O)+SUMIF('BD Otimix'!A:A,'BD VOLUME'!AH671,'BD Otimix'!O:O)+SUMIF('BD Otimix'!A:A,'BD VOLUME'!AI671,'BD Otimix'!O:O)+SUMIF('BD Otimix'!A:A,'BD VOLUME'!AJ671,'BD Otimix'!O:O)+SUMIF('BD Otimix'!A:A,'BD VOLUME'!AF671,'BD Otimix'!O:O),0)</f>
        <v>0</v>
      </c>
      <c r="AL671" s="7">
        <f t="shared" si="229"/>
        <v>0</v>
      </c>
    </row>
    <row r="672" spans="1:38">
      <c r="A672" s="710">
        <v>792810</v>
      </c>
      <c r="B672" s="710" t="s">
        <v>2749</v>
      </c>
      <c r="C672" s="5" t="s">
        <v>2381</v>
      </c>
      <c r="D672" s="5" t="s">
        <v>2759</v>
      </c>
      <c r="E672" s="5" t="s">
        <v>2758</v>
      </c>
      <c r="F672" s="132">
        <f>SUMIF('COLAR PLANO'!$A:$A,A672,'COLAR PLANO'!$D:$D)</f>
        <v>0</v>
      </c>
      <c r="G672" s="131">
        <f t="shared" si="230"/>
        <v>0</v>
      </c>
      <c r="H672" s="6">
        <v>7.8141423222840803E-2</v>
      </c>
      <c r="I672" s="7">
        <f t="shared" si="225"/>
        <v>0</v>
      </c>
      <c r="J672" s="130">
        <f t="shared" si="226"/>
        <v>0</v>
      </c>
      <c r="K672" s="710">
        <v>15</v>
      </c>
      <c r="L672" s="710">
        <v>1</v>
      </c>
      <c r="M672" s="710">
        <v>15</v>
      </c>
      <c r="N672" s="7">
        <f t="shared" si="231"/>
        <v>0</v>
      </c>
      <c r="O672" s="7"/>
      <c r="P672" s="7">
        <f t="shared" si="227"/>
        <v>0</v>
      </c>
      <c r="Q672" s="7"/>
      <c r="R672" s="7"/>
      <c r="S672" s="7"/>
      <c r="T672" s="7"/>
      <c r="U672" s="7" t="s">
        <v>2288</v>
      </c>
      <c r="V672" s="7" t="s">
        <v>2289</v>
      </c>
      <c r="W672" s="7" t="str">
        <f>Preencher!$B$3&amp;U672&amp;V672&amp;A672&amp;$W$6</f>
        <v>JARINU-FRG792810MQ.TUNEL DE CG (CONTINUO)</v>
      </c>
      <c r="X672" s="7" t="str">
        <f>Preencher!$B$3&amp;U672&amp;V672&amp;A672&amp;$X$6</f>
        <v>JARINU-FRG792810MQ.TUNEL DE CG (CONTINUO) (1)</v>
      </c>
      <c r="Y672" s="7" t="str">
        <f>Preencher!$B$3&amp;U672&amp;V672&amp;A672&amp;$Y$6</f>
        <v>JARINU-FRG792810MQ.TUNEL DE CG (CONTINUO) (2)</v>
      </c>
      <c r="Z672" s="7" t="str">
        <f>Preencher!$B$3&amp;U672&amp;V672&amp;A672&amp;$Z$6</f>
        <v>JARINU-FRG792810MQ.TUNEL DE CG (CONTINUO) (3)</v>
      </c>
      <c r="AA672" s="7" t="str">
        <f>Preencher!$B$3&amp;U672&amp;V672&amp;A672&amp;$AA$6</f>
        <v>JARINU-FRG792810MQ.TUNEL DE CG (ESTATICO)</v>
      </c>
      <c r="AB672" s="7" t="str">
        <f>Preencher!$B$3&amp;U672&amp;V672&amp;A672&amp;$AB$6</f>
        <v>JARINU-FRG792810MQ.TUNEL DE CG (ESTATICO) (1)</v>
      </c>
      <c r="AC672" s="7" t="str">
        <f>Preencher!$B$3&amp;U672&amp;V672&amp;A672&amp;$AC$6</f>
        <v>JARINU-FRG792810MQ.TUNEL DE CG (ESTATICO) (2)</v>
      </c>
      <c r="AD672" s="327">
        <f>IFERROR(SUMIF('BD Otimix'!A:A,'BD VOLUME'!X672,'BD Otimix'!O:O)+SUMIF('BD Otimix'!A:A,'BD VOLUME'!Y672,'BD Otimix'!O:O)+SUMIF('BD Otimix'!A:A,'BD VOLUME'!Z672,'BD Otimix'!O:O)+SUMIF('BD Otimix'!A:A,'BD VOLUME'!AA672,'BD Otimix'!O:O)+SUMIF('BD Otimix'!A:A,'BD VOLUME'!AB672,'BD Otimix'!O:O)+SUMIF('BD Otimix'!A:A,'BD VOLUME'!AC672,'BD Otimix'!O:O)+SUMIF('BD Otimix'!A:A,'BD VOLUME'!W672,'BD Otimix'!O:O),0)</f>
        <v>0</v>
      </c>
      <c r="AE672" s="327">
        <f t="shared" si="228"/>
        <v>0</v>
      </c>
      <c r="AF672" s="7" t="str">
        <f>Preencher!$B$3&amp;$U$8&amp;$V$8&amp;A672&amp;$AF$6</f>
        <v>JARINU-FRG792810MQ.GIROFREEZER</v>
      </c>
      <c r="AG672" s="7" t="str">
        <f>Preencher!$B$3&amp;$U$8&amp;$V$8&amp;A672&amp;$AG$6</f>
        <v>JARINU-FRG792810MQ.GIROFREEZER (1)</v>
      </c>
      <c r="AH672" s="7" t="str">
        <f>Preencher!$B$3&amp;$U$8&amp;$V$8&amp;A672&amp;$AH$6</f>
        <v>JARINU-FRG792810MQ.GIROFREEZER (2)</v>
      </c>
      <c r="AI672" s="7" t="str">
        <f>Preencher!$B$3&amp;$U$8&amp;$V$8&amp;A672&amp;$AI$6</f>
        <v>JARINU-FRG792810MQ.GIROFREEZER REV04</v>
      </c>
      <c r="AJ672" s="7" t="str">
        <f>Preencher!$B$3&amp;$U$8&amp;$V$8&amp;A672&amp;$AJ$6</f>
        <v>JARINU-FRG792810MQ.GIROFREEZER (3)</v>
      </c>
      <c r="AK672" s="327">
        <f>IFERROR(SUMIF('BD Otimix'!A:A,'BD VOLUME'!AG672,'BD Otimix'!O:O)+SUMIF('BD Otimix'!A:A,'BD VOLUME'!AH672,'BD Otimix'!O:O)+SUMIF('BD Otimix'!A:A,'BD VOLUME'!AI672,'BD Otimix'!O:O)+SUMIF('BD Otimix'!A:A,'BD VOLUME'!AJ672,'BD Otimix'!O:O)+SUMIF('BD Otimix'!A:A,'BD VOLUME'!AF672,'BD Otimix'!O:O),0)</f>
        <v>0</v>
      </c>
      <c r="AL672" s="7">
        <f t="shared" si="229"/>
        <v>0</v>
      </c>
    </row>
    <row r="673" spans="1:38">
      <c r="A673" s="710">
        <v>214969</v>
      </c>
      <c r="B673" s="710" t="s">
        <v>2750</v>
      </c>
      <c r="C673" s="5" t="s">
        <v>2751</v>
      </c>
      <c r="D673" s="5" t="s">
        <v>2757</v>
      </c>
      <c r="E673" s="5" t="s">
        <v>2758</v>
      </c>
      <c r="F673" s="132">
        <f>SUMIF('COLAR PLANO'!$A:$A,A673,'COLAR PLANO'!$D:$D)</f>
        <v>0</v>
      </c>
      <c r="G673" s="131">
        <f t="shared" si="230"/>
        <v>0</v>
      </c>
      <c r="H673" s="6">
        <v>7.8141423222840803E-2</v>
      </c>
      <c r="I673" s="7">
        <f t="shared" si="225"/>
        <v>0</v>
      </c>
      <c r="J673" s="130">
        <f t="shared" si="226"/>
        <v>0</v>
      </c>
      <c r="K673" s="710">
        <v>15</v>
      </c>
      <c r="L673" s="710">
        <v>1</v>
      </c>
      <c r="M673" s="710">
        <v>15</v>
      </c>
      <c r="N673" s="7">
        <f t="shared" si="231"/>
        <v>0</v>
      </c>
      <c r="O673" s="7"/>
      <c r="P673" s="7">
        <f t="shared" si="227"/>
        <v>0</v>
      </c>
      <c r="Q673" s="7"/>
      <c r="R673" s="7"/>
      <c r="S673" s="7"/>
      <c r="T673" s="7"/>
      <c r="U673" s="7" t="s">
        <v>2288</v>
      </c>
      <c r="V673" s="7" t="s">
        <v>2289</v>
      </c>
      <c r="W673" s="7" t="str">
        <f>Preencher!$B$3&amp;U673&amp;V673&amp;A673&amp;$W$6</f>
        <v>JARINU-FRG214969MQ.TUNEL DE CG (CONTINUO)</v>
      </c>
      <c r="X673" s="7" t="str">
        <f>Preencher!$B$3&amp;U673&amp;V673&amp;A673&amp;$X$6</f>
        <v>JARINU-FRG214969MQ.TUNEL DE CG (CONTINUO) (1)</v>
      </c>
      <c r="Y673" s="7" t="str">
        <f>Preencher!$B$3&amp;U673&amp;V673&amp;A673&amp;$Y$6</f>
        <v>JARINU-FRG214969MQ.TUNEL DE CG (CONTINUO) (2)</v>
      </c>
      <c r="Z673" s="7" t="str">
        <f>Preencher!$B$3&amp;U673&amp;V673&amp;A673&amp;$Z$6</f>
        <v>JARINU-FRG214969MQ.TUNEL DE CG (CONTINUO) (3)</v>
      </c>
      <c r="AA673" s="7" t="str">
        <f>Preencher!$B$3&amp;U673&amp;V673&amp;A673&amp;$AA$6</f>
        <v>JARINU-FRG214969MQ.TUNEL DE CG (ESTATICO)</v>
      </c>
      <c r="AB673" s="7" t="str">
        <f>Preencher!$B$3&amp;U673&amp;V673&amp;A673&amp;$AB$6</f>
        <v>JARINU-FRG214969MQ.TUNEL DE CG (ESTATICO) (1)</v>
      </c>
      <c r="AC673" s="7" t="str">
        <f>Preencher!$B$3&amp;U673&amp;V673&amp;A673&amp;$AC$6</f>
        <v>JARINU-FRG214969MQ.TUNEL DE CG (ESTATICO) (2)</v>
      </c>
      <c r="AD673" s="327">
        <f>IFERROR(SUMIF('BD Otimix'!A:A,'BD VOLUME'!X673,'BD Otimix'!O:O)+SUMIF('BD Otimix'!A:A,'BD VOLUME'!Y673,'BD Otimix'!O:O)+SUMIF('BD Otimix'!A:A,'BD VOLUME'!Z673,'BD Otimix'!O:O)+SUMIF('BD Otimix'!A:A,'BD VOLUME'!AA673,'BD Otimix'!O:O)+SUMIF('BD Otimix'!A:A,'BD VOLUME'!AB673,'BD Otimix'!O:O)+SUMIF('BD Otimix'!A:A,'BD VOLUME'!AC673,'BD Otimix'!O:O)+SUMIF('BD Otimix'!A:A,'BD VOLUME'!W673,'BD Otimix'!O:O),0)</f>
        <v>0</v>
      </c>
      <c r="AE673" s="327">
        <f t="shared" si="228"/>
        <v>0</v>
      </c>
      <c r="AF673" s="7" t="str">
        <f>Preencher!$B$3&amp;$U$8&amp;$V$8&amp;A673&amp;$AF$6</f>
        <v>JARINU-FRG214969MQ.GIROFREEZER</v>
      </c>
      <c r="AG673" s="7" t="str">
        <f>Preencher!$B$3&amp;$U$8&amp;$V$8&amp;A673&amp;$AG$6</f>
        <v>JARINU-FRG214969MQ.GIROFREEZER (1)</v>
      </c>
      <c r="AH673" s="7" t="str">
        <f>Preencher!$B$3&amp;$U$8&amp;$V$8&amp;A673&amp;$AH$6</f>
        <v>JARINU-FRG214969MQ.GIROFREEZER (2)</v>
      </c>
      <c r="AI673" s="7" t="str">
        <f>Preencher!$B$3&amp;$U$8&amp;$V$8&amp;A673&amp;$AI$6</f>
        <v>JARINU-FRG214969MQ.GIROFREEZER REV04</v>
      </c>
      <c r="AJ673" s="7" t="str">
        <f>Preencher!$B$3&amp;$U$8&amp;$V$8&amp;A673&amp;$AJ$6</f>
        <v>JARINU-FRG214969MQ.GIROFREEZER (3)</v>
      </c>
      <c r="AK673" s="327">
        <f>IFERROR(SUMIF('BD Otimix'!A:A,'BD VOLUME'!AG673,'BD Otimix'!O:O)+SUMIF('BD Otimix'!A:A,'BD VOLUME'!AH673,'BD Otimix'!O:O)+SUMIF('BD Otimix'!A:A,'BD VOLUME'!AI673,'BD Otimix'!O:O)+SUMIF('BD Otimix'!A:A,'BD VOLUME'!AJ673,'BD Otimix'!O:O)+SUMIF('BD Otimix'!A:A,'BD VOLUME'!AF673,'BD Otimix'!O:O),0)</f>
        <v>0</v>
      </c>
      <c r="AL673" s="7">
        <f t="shared" si="229"/>
        <v>0</v>
      </c>
    </row>
    <row r="674" spans="1:38">
      <c r="A674" s="710">
        <v>59030</v>
      </c>
      <c r="B674" s="710" t="s">
        <v>2736</v>
      </c>
      <c r="C674" s="5" t="s">
        <v>2737</v>
      </c>
      <c r="D674" s="5" t="s">
        <v>1005</v>
      </c>
      <c r="E674" s="5" t="s">
        <v>1764</v>
      </c>
      <c r="F674" s="132">
        <f>SUMIF('COLAR PLANO'!$A:$A,A674,'COLAR PLANO'!$D:$D)</f>
        <v>0</v>
      </c>
      <c r="G674" s="131">
        <f t="shared" si="230"/>
        <v>0</v>
      </c>
      <c r="H674" s="6">
        <v>3.7871789646489878E-2</v>
      </c>
      <c r="I674" s="7">
        <f t="shared" si="225"/>
        <v>0</v>
      </c>
      <c r="J674" s="130">
        <f t="shared" si="226"/>
        <v>0</v>
      </c>
      <c r="K674" s="710">
        <v>1.375</v>
      </c>
      <c r="L674" s="710">
        <v>12</v>
      </c>
      <c r="M674" s="710">
        <v>16.5</v>
      </c>
      <c r="N674" s="7">
        <f t="shared" si="231"/>
        <v>0</v>
      </c>
      <c r="O674" s="7"/>
      <c r="P674" s="7">
        <f t="shared" si="227"/>
        <v>0</v>
      </c>
      <c r="Q674" s="7"/>
      <c r="R674" s="7"/>
      <c r="S674" s="7"/>
      <c r="T674" s="7"/>
      <c r="U674" s="7" t="s">
        <v>2288</v>
      </c>
      <c r="V674" s="7" t="s">
        <v>2289</v>
      </c>
      <c r="W674" s="7" t="str">
        <f>Preencher!$B$3&amp;U674&amp;V674&amp;A674&amp;$W$6</f>
        <v>JARINU-FRG59030MQ.TUNEL DE CG (CONTINUO)</v>
      </c>
      <c r="X674" s="7" t="str">
        <f>Preencher!$B$3&amp;U674&amp;V674&amp;A674&amp;$X$6</f>
        <v>JARINU-FRG59030MQ.TUNEL DE CG (CONTINUO) (1)</v>
      </c>
      <c r="Y674" s="7" t="str">
        <f>Preencher!$B$3&amp;U674&amp;V674&amp;A674&amp;$Y$6</f>
        <v>JARINU-FRG59030MQ.TUNEL DE CG (CONTINUO) (2)</v>
      </c>
      <c r="Z674" s="7" t="str">
        <f>Preencher!$B$3&amp;U674&amp;V674&amp;A674&amp;$Z$6</f>
        <v>JARINU-FRG59030MQ.TUNEL DE CG (CONTINUO) (3)</v>
      </c>
      <c r="AA674" s="7" t="str">
        <f>Preencher!$B$3&amp;U674&amp;V674&amp;A674&amp;$AA$6</f>
        <v>JARINU-FRG59030MQ.TUNEL DE CG (ESTATICO)</v>
      </c>
      <c r="AB674" s="7" t="str">
        <f>Preencher!$B$3&amp;U674&amp;V674&amp;A674&amp;$AB$6</f>
        <v>JARINU-FRG59030MQ.TUNEL DE CG (ESTATICO) (1)</v>
      </c>
      <c r="AC674" s="7" t="str">
        <f>Preencher!$B$3&amp;U674&amp;V674&amp;A674&amp;$AC$6</f>
        <v>JARINU-FRG59030MQ.TUNEL DE CG (ESTATICO) (2)</v>
      </c>
      <c r="AD674" s="327">
        <f>IFERROR(SUMIF('BD Otimix'!A:A,'BD VOLUME'!X674,'BD Otimix'!O:O)+SUMIF('BD Otimix'!A:A,'BD VOLUME'!Y674,'BD Otimix'!O:O)+SUMIF('BD Otimix'!A:A,'BD VOLUME'!Z674,'BD Otimix'!O:O)+SUMIF('BD Otimix'!A:A,'BD VOLUME'!AA674,'BD Otimix'!O:O)+SUMIF('BD Otimix'!A:A,'BD VOLUME'!AB674,'BD Otimix'!O:O)+SUMIF('BD Otimix'!A:A,'BD VOLUME'!AC674,'BD Otimix'!O:O)+SUMIF('BD Otimix'!A:A,'BD VOLUME'!W674,'BD Otimix'!O:O),0)</f>
        <v>0</v>
      </c>
      <c r="AE674" s="327">
        <f t="shared" si="228"/>
        <v>0</v>
      </c>
      <c r="AF674" s="7" t="str">
        <f>Preencher!$B$3&amp;$U$8&amp;$V$8&amp;A674&amp;$AF$6</f>
        <v>JARINU-FRG59030MQ.GIROFREEZER</v>
      </c>
      <c r="AG674" s="7" t="str">
        <f>Preencher!$B$3&amp;$U$8&amp;$V$8&amp;A674&amp;$AG$6</f>
        <v>JARINU-FRG59030MQ.GIROFREEZER (1)</v>
      </c>
      <c r="AH674" s="7" t="str">
        <f>Preencher!$B$3&amp;$U$8&amp;$V$8&amp;A674&amp;$AH$6</f>
        <v>JARINU-FRG59030MQ.GIROFREEZER (2)</v>
      </c>
      <c r="AI674" s="7" t="str">
        <f>Preencher!$B$3&amp;$U$8&amp;$V$8&amp;A674&amp;$AI$6</f>
        <v>JARINU-FRG59030MQ.GIROFREEZER REV04</v>
      </c>
      <c r="AJ674" s="7" t="str">
        <f>Preencher!$B$3&amp;$U$8&amp;$V$8&amp;A674&amp;$AJ$6</f>
        <v>JARINU-FRG59030MQ.GIROFREEZER (3)</v>
      </c>
      <c r="AK674" s="327">
        <f>IFERROR(SUMIF('BD Otimix'!A:A,'BD VOLUME'!AG674,'BD Otimix'!O:O)+SUMIF('BD Otimix'!A:A,'BD VOLUME'!AH674,'BD Otimix'!O:O)+SUMIF('BD Otimix'!A:A,'BD VOLUME'!AI674,'BD Otimix'!O:O)+SUMIF('BD Otimix'!A:A,'BD VOLUME'!AJ674,'BD Otimix'!O:O)+SUMIF('BD Otimix'!A:A,'BD VOLUME'!AF674,'BD Otimix'!O:O),0)</f>
        <v>0</v>
      </c>
      <c r="AL674" s="7">
        <f t="shared" si="229"/>
        <v>0</v>
      </c>
    </row>
    <row r="675" spans="1:38">
      <c r="A675" s="710">
        <v>15067</v>
      </c>
      <c r="B675" s="710" t="s">
        <v>2987</v>
      </c>
      <c r="C675" s="5" t="s">
        <v>2785</v>
      </c>
      <c r="D675" s="5" t="s">
        <v>2759</v>
      </c>
      <c r="E675" s="5" t="s">
        <v>1751</v>
      </c>
      <c r="F675" s="132">
        <f>SUMIF('COLAR PLANO'!$A:$A,A675,'COLAR PLANO'!$D:$D)</f>
        <v>0</v>
      </c>
      <c r="G675" s="131">
        <f t="shared" si="230"/>
        <v>0</v>
      </c>
      <c r="H675" s="6">
        <v>7.8141423222840803E-2</v>
      </c>
      <c r="I675" s="7">
        <f>IFERROR(G675/$D$3/H675,0)</f>
        <v>0</v>
      </c>
      <c r="J675" s="130">
        <f t="shared" si="226"/>
        <v>0</v>
      </c>
      <c r="K675" s="726">
        <v>1</v>
      </c>
      <c r="L675" s="726">
        <v>12</v>
      </c>
      <c r="M675" s="726">
        <v>12</v>
      </c>
      <c r="N675" s="7">
        <f>IFERROR(G675/K675,"-")</f>
        <v>0</v>
      </c>
      <c r="O675" s="7"/>
      <c r="P675" s="7">
        <f>IFERROR(G675/M675,0)</f>
        <v>0</v>
      </c>
      <c r="Q675" s="7"/>
      <c r="R675" s="7"/>
      <c r="S675" s="7"/>
      <c r="T675" s="7"/>
      <c r="U675" s="7" t="s">
        <v>2288</v>
      </c>
      <c r="V675" s="7" t="s">
        <v>2289</v>
      </c>
      <c r="W675" s="7" t="str">
        <f>Preencher!$B$3&amp;U675&amp;V675&amp;A675&amp;$W$6</f>
        <v>JARINU-FRG15067MQ.TUNEL DE CG (CONTINUO)</v>
      </c>
      <c r="X675" s="7" t="str">
        <f>Preencher!$B$3&amp;U675&amp;V675&amp;A675&amp;$X$6</f>
        <v>JARINU-FRG15067MQ.TUNEL DE CG (CONTINUO) (1)</v>
      </c>
      <c r="Y675" s="7" t="str">
        <f>Preencher!$B$3&amp;U675&amp;V675&amp;A675&amp;$Y$6</f>
        <v>JARINU-FRG15067MQ.TUNEL DE CG (CONTINUO) (2)</v>
      </c>
      <c r="Z675" s="7" t="str">
        <f>Preencher!$B$3&amp;U675&amp;V675&amp;A675&amp;$Z$6</f>
        <v>JARINU-FRG15067MQ.TUNEL DE CG (CONTINUO) (3)</v>
      </c>
      <c r="AA675" s="7" t="str">
        <f>Preencher!$B$3&amp;U675&amp;V675&amp;A675&amp;$AA$6</f>
        <v>JARINU-FRG15067MQ.TUNEL DE CG (ESTATICO)</v>
      </c>
      <c r="AB675" s="7" t="str">
        <f>Preencher!$B$3&amp;U675&amp;V675&amp;A675&amp;$AB$6</f>
        <v>JARINU-FRG15067MQ.TUNEL DE CG (ESTATICO) (1)</v>
      </c>
      <c r="AC675" s="7" t="str">
        <f>Preencher!$B$3&amp;U675&amp;V675&amp;A675&amp;$AC$6</f>
        <v>JARINU-FRG15067MQ.TUNEL DE CG (ESTATICO) (2)</v>
      </c>
      <c r="AD675" s="327">
        <f>IFERROR(SUMIF('BD Otimix'!A:A,'BD VOLUME'!X675,'BD Otimix'!O:O)+SUMIF('BD Otimix'!A:A,'BD VOLUME'!Y675,'BD Otimix'!O:O)+SUMIF('BD Otimix'!A:A,'BD VOLUME'!Z675,'BD Otimix'!O:O)+SUMIF('BD Otimix'!A:A,'BD VOLUME'!AA675,'BD Otimix'!O:O)+SUMIF('BD Otimix'!A:A,'BD VOLUME'!AB675,'BD Otimix'!O:O)+SUMIF('BD Otimix'!A:A,'BD VOLUME'!AC675,'BD Otimix'!O:O)+SUMIF('BD Otimix'!A:A,'BD VOLUME'!W675,'BD Otimix'!O:O),0)</f>
        <v>0</v>
      </c>
      <c r="AE675" s="327">
        <f>IFERROR(F675/$E$3/1000/AD675,0)</f>
        <v>0</v>
      </c>
      <c r="AF675" s="7" t="str">
        <f>Preencher!$B$3&amp;$U$8&amp;$V$8&amp;A675&amp;$AF$6</f>
        <v>JARINU-FRG15067MQ.GIROFREEZER</v>
      </c>
      <c r="AG675" s="7" t="str">
        <f>Preencher!$B$3&amp;$U$8&amp;$V$8&amp;A675&amp;$AG$6</f>
        <v>JARINU-FRG15067MQ.GIROFREEZER (1)</v>
      </c>
      <c r="AH675" s="7" t="str">
        <f>Preencher!$B$3&amp;$U$8&amp;$V$8&amp;A675&amp;$AH$6</f>
        <v>JARINU-FRG15067MQ.GIROFREEZER (2)</v>
      </c>
      <c r="AI675" s="7" t="str">
        <f>Preencher!$B$3&amp;$U$8&amp;$V$8&amp;A675&amp;$AI$6</f>
        <v>JARINU-FRG15067MQ.GIROFREEZER REV04</v>
      </c>
      <c r="AJ675" s="7" t="str">
        <f>Preencher!$B$3&amp;$U$8&amp;$V$8&amp;A675&amp;$AJ$6</f>
        <v>JARINU-FRG15067MQ.GIROFREEZER (3)</v>
      </c>
      <c r="AK675" s="327">
        <f>IFERROR(SUMIF('BD Otimix'!A:A,'BD VOLUME'!AG675,'BD Otimix'!O:O)+SUMIF('BD Otimix'!A:A,'BD VOLUME'!AH675,'BD Otimix'!O:O)+SUMIF('BD Otimix'!A:A,'BD VOLUME'!AI675,'BD Otimix'!O:O)+SUMIF('BD Otimix'!A:A,'BD VOLUME'!AJ675,'BD Otimix'!O:O)+SUMIF('BD Otimix'!A:A,'BD VOLUME'!AF675,'BD Otimix'!O:O),0)</f>
        <v>0</v>
      </c>
      <c r="AL675" s="7">
        <f>IFERROR(F675/$E$3/1000/AK675,0)</f>
        <v>0</v>
      </c>
    </row>
    <row r="676" spans="1:38">
      <c r="A676" s="128">
        <v>995549</v>
      </c>
      <c r="B676" s="128"/>
      <c r="C676" s="5" t="s">
        <v>3139</v>
      </c>
      <c r="D676" s="5" t="s">
        <v>922</v>
      </c>
      <c r="E676" s="5" t="s">
        <v>3145</v>
      </c>
      <c r="F676" s="132">
        <f>SUMIF('COLAR PLANO'!$A:$A,A676,'COLAR PLANO'!$D:$D)</f>
        <v>0</v>
      </c>
      <c r="G676" s="131">
        <f>IFERROR(F676/($E$3*$C$3),0)</f>
        <v>0</v>
      </c>
      <c r="H676" s="6">
        <v>4.0269633576350924E-2</v>
      </c>
      <c r="I676" s="7">
        <f>IFERROR(G676/$D$3/H676,0)</f>
        <v>0</v>
      </c>
      <c r="J676" s="130">
        <f t="shared" si="226"/>
        <v>0</v>
      </c>
      <c r="K676" s="785">
        <v>15</v>
      </c>
      <c r="L676" s="785">
        <v>1</v>
      </c>
      <c r="M676" s="785">
        <v>15</v>
      </c>
      <c r="N676" s="7">
        <f>IFERROR(G676/K676,"-")</f>
        <v>0</v>
      </c>
      <c r="O676" s="7"/>
      <c r="P676" s="7">
        <f>IFERROR(G676/M676,0)</f>
        <v>0</v>
      </c>
      <c r="Q676" s="7"/>
      <c r="R676" s="7"/>
      <c r="S676" s="7"/>
      <c r="T676" s="7"/>
      <c r="U676" s="7" t="s">
        <v>2288</v>
      </c>
      <c r="V676" s="7" t="s">
        <v>2289</v>
      </c>
      <c r="W676" s="7" t="str">
        <f>Preencher!$B$3&amp;U676&amp;V676&amp;A676&amp;$W$6</f>
        <v>JARINU-FRG995549MQ.TUNEL DE CG (CONTINUO)</v>
      </c>
      <c r="X676" s="7" t="str">
        <f>Preencher!$B$3&amp;U676&amp;V676&amp;A676&amp;$X$6</f>
        <v>JARINU-FRG995549MQ.TUNEL DE CG (CONTINUO) (1)</v>
      </c>
      <c r="Y676" s="7" t="str">
        <f>Preencher!$B$3&amp;U676&amp;V676&amp;A676&amp;$Y$6</f>
        <v>JARINU-FRG995549MQ.TUNEL DE CG (CONTINUO) (2)</v>
      </c>
      <c r="Z676" s="7" t="str">
        <f>Preencher!$B$3&amp;U676&amp;V676&amp;A676&amp;$Z$6</f>
        <v>JARINU-FRG995549MQ.TUNEL DE CG (CONTINUO) (3)</v>
      </c>
      <c r="AA676" s="7" t="str">
        <f>Preencher!$B$3&amp;U676&amp;V676&amp;A676&amp;$AA$6</f>
        <v>JARINU-FRG995549MQ.TUNEL DE CG (ESTATICO)</v>
      </c>
      <c r="AB676" s="7" t="str">
        <f>Preencher!$B$3&amp;U676&amp;V676&amp;A676&amp;$AB$6</f>
        <v>JARINU-FRG995549MQ.TUNEL DE CG (ESTATICO) (1)</v>
      </c>
      <c r="AC676" s="7" t="str">
        <f>Preencher!$B$3&amp;U676&amp;V676&amp;A676&amp;$AC$6</f>
        <v>JARINU-FRG995549MQ.TUNEL DE CG (ESTATICO) (2)</v>
      </c>
      <c r="AD676" s="327">
        <f>IFERROR(SUMIF('BD Otimix'!A:A,'BD VOLUME'!X676,'BD Otimix'!O:O)+SUMIF('BD Otimix'!A:A,'BD VOLUME'!Y676,'BD Otimix'!O:O)+SUMIF('BD Otimix'!A:A,'BD VOLUME'!Z676,'BD Otimix'!O:O)+SUMIF('BD Otimix'!A:A,'BD VOLUME'!AA676,'BD Otimix'!O:O)+SUMIF('BD Otimix'!A:A,'BD VOLUME'!AB676,'BD Otimix'!O:O)+SUMIF('BD Otimix'!A:A,'BD VOLUME'!AC676,'BD Otimix'!O:O)+SUMIF('BD Otimix'!A:A,'BD VOLUME'!W676,'BD Otimix'!O:O),0)</f>
        <v>0</v>
      </c>
      <c r="AE676" s="327">
        <f>IFERROR(F676/$E$3/1000/AD676,0)</f>
        <v>0</v>
      </c>
      <c r="AF676" s="7" t="str">
        <f>Preencher!$B$3&amp;$U$8&amp;$V$8&amp;A676&amp;$AF$6</f>
        <v>JARINU-FRG995549MQ.GIROFREEZER</v>
      </c>
      <c r="AG676" s="7" t="str">
        <f>Preencher!$B$3&amp;$U$8&amp;$V$8&amp;A676&amp;$AG$6</f>
        <v>JARINU-FRG995549MQ.GIROFREEZER (1)</v>
      </c>
      <c r="AH676" s="7" t="str">
        <f>Preencher!$B$3&amp;$U$8&amp;$V$8&amp;A676&amp;$AH$6</f>
        <v>JARINU-FRG995549MQ.GIROFREEZER (2)</v>
      </c>
      <c r="AI676" s="7" t="str">
        <f>Preencher!$B$3&amp;$U$8&amp;$V$8&amp;A676&amp;$AI$6</f>
        <v>JARINU-FRG995549MQ.GIROFREEZER REV04</v>
      </c>
      <c r="AJ676" s="7" t="str">
        <f>Preencher!$B$3&amp;$U$8&amp;$V$8&amp;A676&amp;$AJ$6</f>
        <v>JARINU-FRG995549MQ.GIROFREEZER (3)</v>
      </c>
      <c r="AK676" s="327">
        <f>IFERROR(SUMIF('BD Otimix'!A:A,'BD VOLUME'!AG676,'BD Otimix'!O:O)+SUMIF('BD Otimix'!A:A,'BD VOLUME'!AH676,'BD Otimix'!O:O)+SUMIF('BD Otimix'!A:A,'BD VOLUME'!AI676,'BD Otimix'!O:O)+SUMIF('BD Otimix'!A:A,'BD VOLUME'!AJ676,'BD Otimix'!O:O)+SUMIF('BD Otimix'!A:A,'BD VOLUME'!AF676,'BD Otimix'!O:O),0)</f>
        <v>0</v>
      </c>
      <c r="AL676" s="7">
        <f>IFERROR(F676/$E$3/1000/AK676,0)</f>
        <v>0</v>
      </c>
    </row>
    <row r="677" spans="1:38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</row>
    <row r="678" spans="1:38">
      <c r="A678" s="138" t="s">
        <v>896</v>
      </c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  <c r="AH678" s="138"/>
      <c r="AI678" s="138"/>
      <c r="AJ678" s="138"/>
      <c r="AK678" s="138"/>
      <c r="AL678" s="138"/>
    </row>
    <row r="679" spans="1:38">
      <c r="A679" s="128">
        <v>997653</v>
      </c>
      <c r="B679" s="128"/>
      <c r="C679" s="5" t="s">
        <v>3095</v>
      </c>
      <c r="D679" s="5" t="s">
        <v>896</v>
      </c>
      <c r="E679" s="5" t="s">
        <v>2</v>
      </c>
      <c r="F679" s="132">
        <f>SUMIF('COLAR PLANO'!$A:$A,A679,'COLAR PLANO'!$D:$D)</f>
        <v>317087.99999999994</v>
      </c>
      <c r="G679" s="131">
        <f t="shared" ref="G679:G684" si="232">IFERROR(F679/($E$3*$C$3),0)</f>
        <v>1505.2836458580582</v>
      </c>
      <c r="H679" s="6">
        <v>0.12</v>
      </c>
      <c r="I679" s="7">
        <f t="shared" ref="I679:I684" si="233">IFERROR(G679/$D$3/H679,0)</f>
        <v>4181.3434607168283</v>
      </c>
      <c r="J679" s="130">
        <f t="shared" ref="J679:J684" si="234">IFERROR(I679/$B$3,0)</f>
        <v>0.88969696969696954</v>
      </c>
      <c r="K679" s="257">
        <v>17</v>
      </c>
      <c r="L679" s="257">
        <v>1</v>
      </c>
      <c r="M679" s="257">
        <v>17</v>
      </c>
      <c r="N679" s="7">
        <f t="shared" ref="N679:N684" si="235">IFERROR(G679/K679,"-")</f>
        <v>88.546096815179894</v>
      </c>
      <c r="O679" s="7"/>
      <c r="P679" s="7"/>
      <c r="Q679" s="7">
        <f t="shared" ref="Q679:Q684" si="236">IFERROR(G679/M679,0)</f>
        <v>88.546096815179894</v>
      </c>
      <c r="R679" s="7"/>
      <c r="S679" s="7"/>
      <c r="T679" s="7"/>
      <c r="U679" s="7" t="s">
        <v>2288</v>
      </c>
      <c r="V679" s="7" t="s">
        <v>2289</v>
      </c>
      <c r="W679" s="7" t="str">
        <f>Preencher!$B$3&amp;U679&amp;V679&amp;A679&amp;$W$6</f>
        <v>JARINU-FRG997653MQ.TUNEL DE CG (CONTINUO)</v>
      </c>
      <c r="X679" s="7" t="str">
        <f>Preencher!$B$3&amp;U679&amp;V679&amp;A679&amp;$X$6</f>
        <v>JARINU-FRG997653MQ.TUNEL DE CG (CONTINUO) (1)</v>
      </c>
      <c r="Y679" s="7" t="str">
        <f>Preencher!$B$3&amp;U679&amp;V679&amp;A679&amp;$Y$6</f>
        <v>JARINU-FRG997653MQ.TUNEL DE CG (CONTINUO) (2)</v>
      </c>
      <c r="Z679" s="7" t="str">
        <f>Preencher!$B$3&amp;U679&amp;V679&amp;A679&amp;$Z$6</f>
        <v>JARINU-FRG997653MQ.TUNEL DE CG (CONTINUO) (3)</v>
      </c>
      <c r="AA679" s="7" t="str">
        <f>Preencher!$B$3&amp;U679&amp;V679&amp;A679&amp;$AA$6</f>
        <v>JARINU-FRG997653MQ.TUNEL DE CG (ESTATICO)</v>
      </c>
      <c r="AB679" s="7" t="str">
        <f>Preencher!$B$3&amp;U679&amp;V679&amp;A679&amp;$AB$6</f>
        <v>JARINU-FRG997653MQ.TUNEL DE CG (ESTATICO) (1)</v>
      </c>
      <c r="AC679" s="7" t="str">
        <f>Preencher!$B$3&amp;U679&amp;V679&amp;A679&amp;$AC$6</f>
        <v>JARINU-FRG997653MQ.TUNEL DE CG (ESTATICO) (2)</v>
      </c>
      <c r="AD679" s="327">
        <f>IFERROR(SUMIF('BD Otimix'!A:A,'BD VOLUME'!X679,'BD Otimix'!O:O)+SUMIF('BD Otimix'!A:A,'BD VOLUME'!Y679,'BD Otimix'!O:O)+SUMIF('BD Otimix'!A:A,'BD VOLUME'!Z679,'BD Otimix'!O:O)+SUMIF('BD Otimix'!A:A,'BD VOLUME'!AA679,'BD Otimix'!O:O)+SUMIF('BD Otimix'!A:A,'BD VOLUME'!AB679,'BD Otimix'!O:O)+SUMIF('BD Otimix'!A:A,'BD VOLUME'!AC679,'BD Otimix'!O:O)+SUMIF('BD Otimix'!A:A,'BD VOLUME'!W679,'BD Otimix'!O:O),0)</f>
        <v>0</v>
      </c>
      <c r="AE679" s="327">
        <f t="shared" ref="AE679:AE766" si="237">IFERROR(F679/$E$3/1000/AD679,0)</f>
        <v>0</v>
      </c>
      <c r="AF679" s="7" t="str">
        <f>Preencher!$B$3&amp;$U$8&amp;$V$8&amp;A679&amp;$AF$6</f>
        <v>JARINU-FRG997653MQ.GIROFREEZER</v>
      </c>
      <c r="AG679" s="7" t="str">
        <f>Preencher!$B$3&amp;$U$8&amp;$V$8&amp;A679&amp;$AG$6</f>
        <v>JARINU-FRG997653MQ.GIROFREEZER (1)</v>
      </c>
      <c r="AH679" s="7" t="str">
        <f>Preencher!$B$3&amp;$U$8&amp;$V$8&amp;A679&amp;$AH$6</f>
        <v>JARINU-FRG997653MQ.GIROFREEZER (2)</v>
      </c>
      <c r="AI679" s="7" t="str">
        <f>Preencher!$B$3&amp;$U$8&amp;$V$8&amp;A679&amp;$AI$6</f>
        <v>JARINU-FRG997653MQ.GIROFREEZER REV04</v>
      </c>
      <c r="AJ679" s="7" t="str">
        <f>Preencher!$B$3&amp;$U$8&amp;$V$8&amp;A679&amp;$AJ$6</f>
        <v>JARINU-FRG997653MQ.GIROFREEZER (3)</v>
      </c>
      <c r="AK679" s="327">
        <f>IFERROR(SUMIF('BD Otimix'!A:A,'BD VOLUME'!AG679,'BD Otimix'!O:O)+SUMIF('BD Otimix'!A:A,'BD VOLUME'!AH679,'BD Otimix'!O:O)+SUMIF('BD Otimix'!A:A,'BD VOLUME'!AI679,'BD Otimix'!O:O)+SUMIF('BD Otimix'!A:A,'BD VOLUME'!AJ679,'BD Otimix'!O:O)+SUMIF('BD Otimix'!A:A,'BD VOLUME'!AF679,'BD Otimix'!O:O),0)</f>
        <v>0</v>
      </c>
      <c r="AL679" s="7">
        <f t="shared" ref="AL679:AL766" si="238">IFERROR(F679/$E$3/1000/AK679,0)</f>
        <v>0</v>
      </c>
    </row>
    <row r="680" spans="1:38">
      <c r="A680" s="580">
        <v>43957</v>
      </c>
      <c r="B680" s="580"/>
      <c r="C680" s="5" t="s">
        <v>3092</v>
      </c>
      <c r="D680" s="5" t="s">
        <v>896</v>
      </c>
      <c r="E680" s="5" t="s">
        <v>2</v>
      </c>
      <c r="F680" s="132">
        <f>SUMIF('COLAR PLANO'!$A:$A,A680,'COLAR PLANO'!$D:$D)</f>
        <v>0</v>
      </c>
      <c r="G680" s="131">
        <f t="shared" si="232"/>
        <v>0</v>
      </c>
      <c r="H680" s="6">
        <v>0.12</v>
      </c>
      <c r="I680" s="7">
        <f t="shared" si="233"/>
        <v>0</v>
      </c>
      <c r="J680" s="130">
        <f t="shared" si="234"/>
        <v>0</v>
      </c>
      <c r="K680" s="580">
        <v>17</v>
      </c>
      <c r="L680" s="580">
        <v>1</v>
      </c>
      <c r="M680" s="580">
        <v>17</v>
      </c>
      <c r="N680" s="7">
        <f t="shared" si="235"/>
        <v>0</v>
      </c>
      <c r="O680" s="7"/>
      <c r="P680" s="7"/>
      <c r="Q680" s="7">
        <f t="shared" si="236"/>
        <v>0</v>
      </c>
      <c r="R680" s="7"/>
      <c r="S680" s="7"/>
      <c r="T680" s="7"/>
      <c r="U680" s="7" t="s">
        <v>2288</v>
      </c>
      <c r="V680" s="7" t="s">
        <v>2289</v>
      </c>
      <c r="W680" s="7" t="str">
        <f>Preencher!$B$3&amp;U680&amp;V680&amp;A680&amp;$W$6</f>
        <v>JARINU-FRG43957MQ.TUNEL DE CG (CONTINUO)</v>
      </c>
      <c r="X680" s="7" t="str">
        <f>Preencher!$B$3&amp;U680&amp;V680&amp;A680&amp;$X$6</f>
        <v>JARINU-FRG43957MQ.TUNEL DE CG (CONTINUO) (1)</v>
      </c>
      <c r="Y680" s="7" t="str">
        <f>Preencher!$B$3&amp;U680&amp;V680&amp;A680&amp;$Y$6</f>
        <v>JARINU-FRG43957MQ.TUNEL DE CG (CONTINUO) (2)</v>
      </c>
      <c r="Z680" s="7" t="str">
        <f>Preencher!$B$3&amp;U680&amp;V680&amp;A680&amp;$Z$6</f>
        <v>JARINU-FRG43957MQ.TUNEL DE CG (CONTINUO) (3)</v>
      </c>
      <c r="AA680" s="7" t="str">
        <f>Preencher!$B$3&amp;U680&amp;V680&amp;A680&amp;$AA$6</f>
        <v>JARINU-FRG43957MQ.TUNEL DE CG (ESTATICO)</v>
      </c>
      <c r="AB680" s="7" t="str">
        <f>Preencher!$B$3&amp;U680&amp;V680&amp;A680&amp;$AB$6</f>
        <v>JARINU-FRG43957MQ.TUNEL DE CG (ESTATICO) (1)</v>
      </c>
      <c r="AC680" s="7" t="str">
        <f>Preencher!$B$3&amp;U680&amp;V680&amp;A680&amp;$AC$6</f>
        <v>JARINU-FRG43957MQ.TUNEL DE CG (ESTATICO) (2)</v>
      </c>
      <c r="AD680" s="327">
        <f>IFERROR(SUMIF('BD Otimix'!A:A,'BD VOLUME'!X680,'BD Otimix'!O:O)+SUMIF('BD Otimix'!A:A,'BD VOLUME'!Y680,'BD Otimix'!O:O)+SUMIF('BD Otimix'!A:A,'BD VOLUME'!Z680,'BD Otimix'!O:O)+SUMIF('BD Otimix'!A:A,'BD VOLUME'!AA680,'BD Otimix'!O:O)+SUMIF('BD Otimix'!A:A,'BD VOLUME'!AB680,'BD Otimix'!O:O)+SUMIF('BD Otimix'!A:A,'BD VOLUME'!AC680,'BD Otimix'!O:O)+SUMIF('BD Otimix'!A:A,'BD VOLUME'!W680,'BD Otimix'!O:O),0)</f>
        <v>0</v>
      </c>
      <c r="AE680" s="327">
        <f t="shared" si="237"/>
        <v>0</v>
      </c>
      <c r="AF680" s="7" t="str">
        <f>Preencher!$B$3&amp;$U$8&amp;$V$8&amp;A680&amp;$AF$6</f>
        <v>JARINU-FRG43957MQ.GIROFREEZER</v>
      </c>
      <c r="AG680" s="7" t="str">
        <f>Preencher!$B$3&amp;$U$8&amp;$V$8&amp;A680&amp;$AG$6</f>
        <v>JARINU-FRG43957MQ.GIROFREEZER (1)</v>
      </c>
      <c r="AH680" s="7" t="str">
        <f>Preencher!$B$3&amp;$U$8&amp;$V$8&amp;A680&amp;$AH$6</f>
        <v>JARINU-FRG43957MQ.GIROFREEZER (2)</v>
      </c>
      <c r="AI680" s="7" t="str">
        <f>Preencher!$B$3&amp;$U$8&amp;$V$8&amp;A680&amp;$AI$6</f>
        <v>JARINU-FRG43957MQ.GIROFREEZER REV04</v>
      </c>
      <c r="AJ680" s="7" t="str">
        <f>Preencher!$B$3&amp;$U$8&amp;$V$8&amp;A680&amp;$AJ$6</f>
        <v>JARINU-FRG43957MQ.GIROFREEZER (3)</v>
      </c>
      <c r="AK680" s="327">
        <f>IFERROR(SUMIF('BD Otimix'!A:A,'BD VOLUME'!AG680,'BD Otimix'!O:O)+SUMIF('BD Otimix'!A:A,'BD VOLUME'!AH680,'BD Otimix'!O:O)+SUMIF('BD Otimix'!A:A,'BD VOLUME'!AI680,'BD Otimix'!O:O)+SUMIF('BD Otimix'!A:A,'BD VOLUME'!AJ680,'BD Otimix'!O:O)+SUMIF('BD Otimix'!A:A,'BD VOLUME'!AF680,'BD Otimix'!O:O),0)</f>
        <v>0</v>
      </c>
      <c r="AL680" s="7">
        <f t="shared" si="238"/>
        <v>0</v>
      </c>
    </row>
    <row r="681" spans="1:38">
      <c r="A681" s="685">
        <v>227989</v>
      </c>
      <c r="B681" s="685"/>
      <c r="C681" s="5" t="s">
        <v>3096</v>
      </c>
      <c r="D681" s="5" t="s">
        <v>896</v>
      </c>
      <c r="E681" s="5" t="s">
        <v>2</v>
      </c>
      <c r="F681" s="132">
        <f>SUMIF('COLAR PLANO'!$A:$A,A681,'COLAR PLANO'!$D:$D)</f>
        <v>0</v>
      </c>
      <c r="G681" s="131">
        <f t="shared" si="232"/>
        <v>0</v>
      </c>
      <c r="H681" s="6">
        <v>0.12</v>
      </c>
      <c r="I681" s="7">
        <f t="shared" si="233"/>
        <v>0</v>
      </c>
      <c r="J681" s="130">
        <f t="shared" si="234"/>
        <v>0</v>
      </c>
      <c r="K681" s="685">
        <v>17</v>
      </c>
      <c r="L681" s="685">
        <v>1</v>
      </c>
      <c r="M681" s="685">
        <v>17</v>
      </c>
      <c r="N681" s="7">
        <f t="shared" si="235"/>
        <v>0</v>
      </c>
      <c r="O681" s="7"/>
      <c r="P681" s="7"/>
      <c r="Q681" s="7">
        <f t="shared" si="236"/>
        <v>0</v>
      </c>
      <c r="R681" s="7"/>
      <c r="S681" s="7"/>
      <c r="T681" s="7"/>
      <c r="U681" s="7" t="s">
        <v>2288</v>
      </c>
      <c r="V681" s="7" t="s">
        <v>2289</v>
      </c>
      <c r="W681" s="7" t="str">
        <f>Preencher!$B$3&amp;U681&amp;V681&amp;A681&amp;$W$6</f>
        <v>JARINU-FRG227989MQ.TUNEL DE CG (CONTINUO)</v>
      </c>
      <c r="X681" s="7" t="str">
        <f>Preencher!$B$3&amp;U681&amp;V681&amp;A681&amp;$X$6</f>
        <v>JARINU-FRG227989MQ.TUNEL DE CG (CONTINUO) (1)</v>
      </c>
      <c r="Y681" s="7" t="str">
        <f>Preencher!$B$3&amp;U681&amp;V681&amp;A681&amp;$Y$6</f>
        <v>JARINU-FRG227989MQ.TUNEL DE CG (CONTINUO) (2)</v>
      </c>
      <c r="Z681" s="7" t="str">
        <f>Preencher!$B$3&amp;U681&amp;V681&amp;A681&amp;$Z$6</f>
        <v>JARINU-FRG227989MQ.TUNEL DE CG (CONTINUO) (3)</v>
      </c>
      <c r="AA681" s="7" t="str">
        <f>Preencher!$B$3&amp;U681&amp;V681&amp;A681&amp;$AA$6</f>
        <v>JARINU-FRG227989MQ.TUNEL DE CG (ESTATICO)</v>
      </c>
      <c r="AB681" s="7" t="str">
        <f>Preencher!$B$3&amp;U681&amp;V681&amp;A681&amp;$AB$6</f>
        <v>JARINU-FRG227989MQ.TUNEL DE CG (ESTATICO) (1)</v>
      </c>
      <c r="AC681" s="7" t="str">
        <f>Preencher!$B$3&amp;U681&amp;V681&amp;A681&amp;$AC$6</f>
        <v>JARINU-FRG227989MQ.TUNEL DE CG (ESTATICO) (2)</v>
      </c>
      <c r="AD681" s="327">
        <f>IFERROR(SUMIF('BD Otimix'!A:A,'BD VOLUME'!X681,'BD Otimix'!O:O)+SUMIF('BD Otimix'!A:A,'BD VOLUME'!Y681,'BD Otimix'!O:O)+SUMIF('BD Otimix'!A:A,'BD VOLUME'!Z681,'BD Otimix'!O:O)+SUMIF('BD Otimix'!A:A,'BD VOLUME'!AA681,'BD Otimix'!O:O)+SUMIF('BD Otimix'!A:A,'BD VOLUME'!AB681,'BD Otimix'!O:O)+SUMIF('BD Otimix'!A:A,'BD VOLUME'!AC681,'BD Otimix'!O:O)+SUMIF('BD Otimix'!A:A,'BD VOLUME'!W681,'BD Otimix'!O:O),0)</f>
        <v>0</v>
      </c>
      <c r="AE681" s="327">
        <f>IFERROR(F681/$E$3/1000/AD681,0)</f>
        <v>0</v>
      </c>
      <c r="AF681" s="7" t="str">
        <f>Preencher!$B$3&amp;$U$8&amp;$V$8&amp;A681&amp;$AF$6</f>
        <v>JARINU-FRG227989MQ.GIROFREEZER</v>
      </c>
      <c r="AG681" s="7" t="str">
        <f>Preencher!$B$3&amp;$U$8&amp;$V$8&amp;A681&amp;$AG$6</f>
        <v>JARINU-FRG227989MQ.GIROFREEZER (1)</v>
      </c>
      <c r="AH681" s="7" t="str">
        <f>Preencher!$B$3&amp;$U$8&amp;$V$8&amp;A681&amp;$AH$6</f>
        <v>JARINU-FRG227989MQ.GIROFREEZER (2)</v>
      </c>
      <c r="AI681" s="7" t="str">
        <f>Preencher!$B$3&amp;$U$8&amp;$V$8&amp;A681&amp;$AI$6</f>
        <v>JARINU-FRG227989MQ.GIROFREEZER REV04</v>
      </c>
      <c r="AJ681" s="7" t="str">
        <f>Preencher!$B$3&amp;$U$8&amp;$V$8&amp;A681&amp;$AJ$6</f>
        <v>JARINU-FRG227989MQ.GIROFREEZER (3)</v>
      </c>
      <c r="AK681" s="327">
        <f>IFERROR(SUMIF('BD Otimix'!A:A,'BD VOLUME'!AG681,'BD Otimix'!O:O)+SUMIF('BD Otimix'!A:A,'BD VOLUME'!AH681,'BD Otimix'!O:O)+SUMIF('BD Otimix'!A:A,'BD VOLUME'!AI681,'BD Otimix'!O:O)+SUMIF('BD Otimix'!A:A,'BD VOLUME'!AJ681,'BD Otimix'!O:O)+SUMIF('BD Otimix'!A:A,'BD VOLUME'!AF681,'BD Otimix'!O:O),0)</f>
        <v>0</v>
      </c>
      <c r="AL681" s="7">
        <f>IFERROR(F681/$E$3/1000/AK681,0)</f>
        <v>0</v>
      </c>
    </row>
    <row r="682" spans="1:38">
      <c r="A682" s="685">
        <v>124593</v>
      </c>
      <c r="B682" s="685" t="s">
        <v>2539</v>
      </c>
      <c r="C682" s="5" t="s">
        <v>2540</v>
      </c>
      <c r="D682" s="5" t="s">
        <v>896</v>
      </c>
      <c r="E682" s="5" t="s">
        <v>2</v>
      </c>
      <c r="F682" s="132">
        <f>SUMIF('COLAR PLANO'!$A:$A,A682,'COLAR PLANO'!$D:$D)</f>
        <v>0</v>
      </c>
      <c r="G682" s="131">
        <f t="shared" si="232"/>
        <v>0</v>
      </c>
      <c r="H682" s="6">
        <v>0.12</v>
      </c>
      <c r="I682" s="7">
        <f t="shared" si="233"/>
        <v>0</v>
      </c>
      <c r="J682" s="130">
        <f t="shared" si="234"/>
        <v>0</v>
      </c>
      <c r="K682" s="685">
        <v>17</v>
      </c>
      <c r="L682" s="685">
        <v>1</v>
      </c>
      <c r="M682" s="685">
        <v>17</v>
      </c>
      <c r="N682" s="7">
        <f t="shared" si="235"/>
        <v>0</v>
      </c>
      <c r="O682" s="7"/>
      <c r="P682" s="7"/>
      <c r="Q682" s="7">
        <f t="shared" si="236"/>
        <v>0</v>
      </c>
      <c r="R682" s="7"/>
      <c r="S682" s="7"/>
      <c r="T682" s="7"/>
      <c r="U682" s="7" t="s">
        <v>2288</v>
      </c>
      <c r="V682" s="7" t="s">
        <v>2289</v>
      </c>
      <c r="W682" s="7" t="str">
        <f>Preencher!$B$3&amp;U682&amp;V682&amp;A682&amp;$W$6</f>
        <v>JARINU-FRG124593MQ.TUNEL DE CG (CONTINUO)</v>
      </c>
      <c r="X682" s="7" t="str">
        <f>Preencher!$B$3&amp;U682&amp;V682&amp;A682&amp;$X$6</f>
        <v>JARINU-FRG124593MQ.TUNEL DE CG (CONTINUO) (1)</v>
      </c>
      <c r="Y682" s="7" t="str">
        <f>Preencher!$B$3&amp;U682&amp;V682&amp;A682&amp;$Y$6</f>
        <v>JARINU-FRG124593MQ.TUNEL DE CG (CONTINUO) (2)</v>
      </c>
      <c r="Z682" s="7" t="str">
        <f>Preencher!$B$3&amp;U682&amp;V682&amp;A682&amp;$Z$6</f>
        <v>JARINU-FRG124593MQ.TUNEL DE CG (CONTINUO) (3)</v>
      </c>
      <c r="AA682" s="7" t="str">
        <f>Preencher!$B$3&amp;U682&amp;V682&amp;A682&amp;$AA$6</f>
        <v>JARINU-FRG124593MQ.TUNEL DE CG (ESTATICO)</v>
      </c>
      <c r="AB682" s="7" t="str">
        <f>Preencher!$B$3&amp;U682&amp;V682&amp;A682&amp;$AB$6</f>
        <v>JARINU-FRG124593MQ.TUNEL DE CG (ESTATICO) (1)</v>
      </c>
      <c r="AC682" s="7" t="str">
        <f>Preencher!$B$3&amp;U682&amp;V682&amp;A682&amp;$AC$6</f>
        <v>JARINU-FRG124593MQ.TUNEL DE CG (ESTATICO) (2)</v>
      </c>
      <c r="AD682" s="327">
        <f>IFERROR(SUMIF('BD Otimix'!A:A,'BD VOLUME'!X682,'BD Otimix'!O:O)+SUMIF('BD Otimix'!A:A,'BD VOLUME'!Y682,'BD Otimix'!O:O)+SUMIF('BD Otimix'!A:A,'BD VOLUME'!Z682,'BD Otimix'!O:O)+SUMIF('BD Otimix'!A:A,'BD VOLUME'!AA682,'BD Otimix'!O:O)+SUMIF('BD Otimix'!A:A,'BD VOLUME'!AB682,'BD Otimix'!O:O)+SUMIF('BD Otimix'!A:A,'BD VOLUME'!AC682,'BD Otimix'!O:O)+SUMIF('BD Otimix'!A:A,'BD VOLUME'!W682,'BD Otimix'!O:O),0)</f>
        <v>0</v>
      </c>
      <c r="AE682" s="327">
        <f>IFERROR(F682/$E$3/1000/AD682,0)</f>
        <v>0</v>
      </c>
      <c r="AF682" s="7" t="str">
        <f>Preencher!$B$3&amp;$U$8&amp;$V$8&amp;A682&amp;$AF$6</f>
        <v>JARINU-FRG124593MQ.GIROFREEZER</v>
      </c>
      <c r="AG682" s="7" t="str">
        <f>Preencher!$B$3&amp;$U$8&amp;$V$8&amp;A682&amp;$AG$6</f>
        <v>JARINU-FRG124593MQ.GIROFREEZER (1)</v>
      </c>
      <c r="AH682" s="7" t="str">
        <f>Preencher!$B$3&amp;$U$8&amp;$V$8&amp;A682&amp;$AH$6</f>
        <v>JARINU-FRG124593MQ.GIROFREEZER (2)</v>
      </c>
      <c r="AI682" s="7" t="str">
        <f>Preencher!$B$3&amp;$U$8&amp;$V$8&amp;A682&amp;$AI$6</f>
        <v>JARINU-FRG124593MQ.GIROFREEZER REV04</v>
      </c>
      <c r="AJ682" s="7" t="str">
        <f>Preencher!$B$3&amp;$U$8&amp;$V$8&amp;A682&amp;$AJ$6</f>
        <v>JARINU-FRG124593MQ.GIROFREEZER (3)</v>
      </c>
      <c r="AK682" s="327">
        <f>IFERROR(SUMIF('BD Otimix'!A:A,'BD VOLUME'!AG682,'BD Otimix'!O:O)+SUMIF('BD Otimix'!A:A,'BD VOLUME'!AH682,'BD Otimix'!O:O)+SUMIF('BD Otimix'!A:A,'BD VOLUME'!AI682,'BD Otimix'!O:O)+SUMIF('BD Otimix'!A:A,'BD VOLUME'!AJ682,'BD Otimix'!O:O)+SUMIF('BD Otimix'!A:A,'BD VOLUME'!AF682,'BD Otimix'!O:O),0)</f>
        <v>0</v>
      </c>
      <c r="AL682" s="7">
        <f>IFERROR(F682/$E$3/1000/AK682,0)</f>
        <v>0</v>
      </c>
    </row>
    <row r="683" spans="1:38">
      <c r="A683" s="685">
        <v>124113</v>
      </c>
      <c r="B683" s="685"/>
      <c r="C683" s="5" t="s">
        <v>2540</v>
      </c>
      <c r="D683" s="5" t="s">
        <v>896</v>
      </c>
      <c r="E683" s="5" t="s">
        <v>2</v>
      </c>
      <c r="F683" s="132">
        <f>SUMIF('COLAR PLANO'!$A:$A,A683,'COLAR PLANO'!$D:$D)</f>
        <v>0</v>
      </c>
      <c r="G683" s="131">
        <f t="shared" si="232"/>
        <v>0</v>
      </c>
      <c r="H683" s="6">
        <v>0.12</v>
      </c>
      <c r="I683" s="7">
        <f t="shared" si="233"/>
        <v>0</v>
      </c>
      <c r="J683" s="130">
        <f t="shared" si="234"/>
        <v>0</v>
      </c>
      <c r="K683" s="685">
        <v>17</v>
      </c>
      <c r="L683" s="685">
        <v>1</v>
      </c>
      <c r="M683" s="685">
        <v>17</v>
      </c>
      <c r="N683" s="7">
        <f t="shared" si="235"/>
        <v>0</v>
      </c>
      <c r="O683" s="7"/>
      <c r="P683" s="7"/>
      <c r="Q683" s="7">
        <f t="shared" si="236"/>
        <v>0</v>
      </c>
      <c r="R683" s="7"/>
      <c r="S683" s="7"/>
      <c r="T683" s="7"/>
      <c r="U683" s="7" t="s">
        <v>2288</v>
      </c>
      <c r="V683" s="7" t="s">
        <v>2289</v>
      </c>
      <c r="W683" s="7" t="str">
        <f>Preencher!$B$3&amp;U683&amp;V683&amp;A683&amp;$W$6</f>
        <v>JARINU-FRG124113MQ.TUNEL DE CG (CONTINUO)</v>
      </c>
      <c r="X683" s="7" t="str">
        <f>Preencher!$B$3&amp;U683&amp;V683&amp;A683&amp;$X$6</f>
        <v>JARINU-FRG124113MQ.TUNEL DE CG (CONTINUO) (1)</v>
      </c>
      <c r="Y683" s="7" t="str">
        <f>Preencher!$B$3&amp;U683&amp;V683&amp;A683&amp;$Y$6</f>
        <v>JARINU-FRG124113MQ.TUNEL DE CG (CONTINUO) (2)</v>
      </c>
      <c r="Z683" s="7" t="str">
        <f>Preencher!$B$3&amp;U683&amp;V683&amp;A683&amp;$Z$6</f>
        <v>JARINU-FRG124113MQ.TUNEL DE CG (CONTINUO) (3)</v>
      </c>
      <c r="AA683" s="7" t="str">
        <f>Preencher!$B$3&amp;U683&amp;V683&amp;A683&amp;$AA$6</f>
        <v>JARINU-FRG124113MQ.TUNEL DE CG (ESTATICO)</v>
      </c>
      <c r="AB683" s="7" t="str">
        <f>Preencher!$B$3&amp;U683&amp;V683&amp;A683&amp;$AB$6</f>
        <v>JARINU-FRG124113MQ.TUNEL DE CG (ESTATICO) (1)</v>
      </c>
      <c r="AC683" s="7" t="str">
        <f>Preencher!$B$3&amp;U683&amp;V683&amp;A683&amp;$AC$6</f>
        <v>JARINU-FRG124113MQ.TUNEL DE CG (ESTATICO) (2)</v>
      </c>
      <c r="AD683" s="327">
        <f>IFERROR(SUMIF('BD Otimix'!A:A,'BD VOLUME'!X683,'BD Otimix'!O:O)+SUMIF('BD Otimix'!A:A,'BD VOLUME'!Y683,'BD Otimix'!O:O)+SUMIF('BD Otimix'!A:A,'BD VOLUME'!Z683,'BD Otimix'!O:O)+SUMIF('BD Otimix'!A:A,'BD VOLUME'!AA683,'BD Otimix'!O:O)+SUMIF('BD Otimix'!A:A,'BD VOLUME'!AB683,'BD Otimix'!O:O)+SUMIF('BD Otimix'!A:A,'BD VOLUME'!AC683,'BD Otimix'!O:O)+SUMIF('BD Otimix'!A:A,'BD VOLUME'!W683,'BD Otimix'!O:O),0)</f>
        <v>0</v>
      </c>
      <c r="AE683" s="327">
        <f>IFERROR(F683/$E$3/1000/AD683,0)</f>
        <v>0</v>
      </c>
      <c r="AF683" s="7" t="str">
        <f>Preencher!$B$3&amp;$U$8&amp;$V$8&amp;A683&amp;$AF$6</f>
        <v>JARINU-FRG124113MQ.GIROFREEZER</v>
      </c>
      <c r="AG683" s="7" t="str">
        <f>Preencher!$B$3&amp;$U$8&amp;$V$8&amp;A683&amp;$AG$6</f>
        <v>JARINU-FRG124113MQ.GIROFREEZER (1)</v>
      </c>
      <c r="AH683" s="7" t="str">
        <f>Preencher!$B$3&amp;$U$8&amp;$V$8&amp;A683&amp;$AH$6</f>
        <v>JARINU-FRG124113MQ.GIROFREEZER (2)</v>
      </c>
      <c r="AI683" s="7" t="str">
        <f>Preencher!$B$3&amp;$U$8&amp;$V$8&amp;A683&amp;$AI$6</f>
        <v>JARINU-FRG124113MQ.GIROFREEZER REV04</v>
      </c>
      <c r="AJ683" s="7" t="str">
        <f>Preencher!$B$3&amp;$U$8&amp;$V$8&amp;A683&amp;$AJ$6</f>
        <v>JARINU-FRG124113MQ.GIROFREEZER (3)</v>
      </c>
      <c r="AK683" s="327">
        <f>IFERROR(SUMIF('BD Otimix'!A:A,'BD VOLUME'!AG683,'BD Otimix'!O:O)+SUMIF('BD Otimix'!A:A,'BD VOLUME'!AH683,'BD Otimix'!O:O)+SUMIF('BD Otimix'!A:A,'BD VOLUME'!AI683,'BD Otimix'!O:O)+SUMIF('BD Otimix'!A:A,'BD VOLUME'!AJ683,'BD Otimix'!O:O)+SUMIF('BD Otimix'!A:A,'BD VOLUME'!AF683,'BD Otimix'!O:O),0)</f>
        <v>0</v>
      </c>
      <c r="AL683" s="7">
        <f>IFERROR(F683/$E$3/1000/AK683,0)</f>
        <v>0</v>
      </c>
    </row>
    <row r="684" spans="1:38">
      <c r="A684" s="685">
        <v>124523</v>
      </c>
      <c r="B684" s="685"/>
      <c r="C684" s="5" t="s">
        <v>2540</v>
      </c>
      <c r="D684" s="5" t="s">
        <v>896</v>
      </c>
      <c r="E684" s="5" t="s">
        <v>2</v>
      </c>
      <c r="F684" s="132">
        <f>SUMIF('COLAR PLANO'!$A:$A,A684,'COLAR PLANO'!$D:$D)</f>
        <v>0</v>
      </c>
      <c r="G684" s="131">
        <f t="shared" si="232"/>
        <v>0</v>
      </c>
      <c r="H684" s="6">
        <v>0.12</v>
      </c>
      <c r="I684" s="7">
        <f t="shared" si="233"/>
        <v>0</v>
      </c>
      <c r="J684" s="130">
        <f t="shared" si="234"/>
        <v>0</v>
      </c>
      <c r="K684" s="685">
        <v>17</v>
      </c>
      <c r="L684" s="685">
        <v>1</v>
      </c>
      <c r="M684" s="685">
        <v>17</v>
      </c>
      <c r="N684" s="7">
        <f t="shared" si="235"/>
        <v>0</v>
      </c>
      <c r="O684" s="7"/>
      <c r="P684" s="7"/>
      <c r="Q684" s="7">
        <f t="shared" si="236"/>
        <v>0</v>
      </c>
      <c r="R684" s="7"/>
      <c r="S684" s="7"/>
      <c r="T684" s="7"/>
      <c r="U684" s="7" t="s">
        <v>2288</v>
      </c>
      <c r="V684" s="7" t="s">
        <v>2289</v>
      </c>
      <c r="W684" s="7" t="str">
        <f>Preencher!$B$3&amp;U684&amp;V684&amp;A684&amp;$W$6</f>
        <v>JARINU-FRG124523MQ.TUNEL DE CG (CONTINUO)</v>
      </c>
      <c r="X684" s="7" t="str">
        <f>Preencher!$B$3&amp;U684&amp;V684&amp;A684&amp;$X$6</f>
        <v>JARINU-FRG124523MQ.TUNEL DE CG (CONTINUO) (1)</v>
      </c>
      <c r="Y684" s="7" t="str">
        <f>Preencher!$B$3&amp;U684&amp;V684&amp;A684&amp;$Y$6</f>
        <v>JARINU-FRG124523MQ.TUNEL DE CG (CONTINUO) (2)</v>
      </c>
      <c r="Z684" s="7" t="str">
        <f>Preencher!$B$3&amp;U684&amp;V684&amp;A684&amp;$Z$6</f>
        <v>JARINU-FRG124523MQ.TUNEL DE CG (CONTINUO) (3)</v>
      </c>
      <c r="AA684" s="7" t="str">
        <f>Preencher!$B$3&amp;U684&amp;V684&amp;A684&amp;$AA$6</f>
        <v>JARINU-FRG124523MQ.TUNEL DE CG (ESTATICO)</v>
      </c>
      <c r="AB684" s="7" t="str">
        <f>Preencher!$B$3&amp;U684&amp;V684&amp;A684&amp;$AB$6</f>
        <v>JARINU-FRG124523MQ.TUNEL DE CG (ESTATICO) (1)</v>
      </c>
      <c r="AC684" s="7" t="str">
        <f>Preencher!$B$3&amp;U684&amp;V684&amp;A684&amp;$AC$6</f>
        <v>JARINU-FRG124523MQ.TUNEL DE CG (ESTATICO) (2)</v>
      </c>
      <c r="AD684" s="327">
        <f>IFERROR(SUMIF('BD Otimix'!A:A,'BD VOLUME'!X684,'BD Otimix'!O:O)+SUMIF('BD Otimix'!A:A,'BD VOLUME'!Y684,'BD Otimix'!O:O)+SUMIF('BD Otimix'!A:A,'BD VOLUME'!Z684,'BD Otimix'!O:O)+SUMIF('BD Otimix'!A:A,'BD VOLUME'!AA684,'BD Otimix'!O:O)+SUMIF('BD Otimix'!A:A,'BD VOLUME'!AB684,'BD Otimix'!O:O)+SUMIF('BD Otimix'!A:A,'BD VOLUME'!AC684,'BD Otimix'!O:O)+SUMIF('BD Otimix'!A:A,'BD VOLUME'!W684,'BD Otimix'!O:O),0)</f>
        <v>0</v>
      </c>
      <c r="AE684" s="327">
        <f>IFERROR(F684/$E$3/1000/AD684,0)</f>
        <v>0</v>
      </c>
      <c r="AF684" s="7" t="str">
        <f>Preencher!$B$3&amp;$U$8&amp;$V$8&amp;A684&amp;$AF$6</f>
        <v>JARINU-FRG124523MQ.GIROFREEZER</v>
      </c>
      <c r="AG684" s="7" t="str">
        <f>Preencher!$B$3&amp;$U$8&amp;$V$8&amp;A684&amp;$AG$6</f>
        <v>JARINU-FRG124523MQ.GIROFREEZER (1)</v>
      </c>
      <c r="AH684" s="7" t="str">
        <f>Preencher!$B$3&amp;$U$8&amp;$V$8&amp;A684&amp;$AH$6</f>
        <v>JARINU-FRG124523MQ.GIROFREEZER (2)</v>
      </c>
      <c r="AI684" s="7" t="str">
        <f>Preencher!$B$3&amp;$U$8&amp;$V$8&amp;A684&amp;$AI$6</f>
        <v>JARINU-FRG124523MQ.GIROFREEZER REV04</v>
      </c>
      <c r="AJ684" s="7" t="str">
        <f>Preencher!$B$3&amp;$U$8&amp;$V$8&amp;A684&amp;$AJ$6</f>
        <v>JARINU-FRG124523MQ.GIROFREEZER (3)</v>
      </c>
      <c r="AK684" s="327">
        <f>IFERROR(SUMIF('BD Otimix'!A:A,'BD VOLUME'!AG684,'BD Otimix'!O:O)+SUMIF('BD Otimix'!A:A,'BD VOLUME'!AH684,'BD Otimix'!O:O)+SUMIF('BD Otimix'!A:A,'BD VOLUME'!AI684,'BD Otimix'!O:O)+SUMIF('BD Otimix'!A:A,'BD VOLUME'!AJ684,'BD Otimix'!O:O)+SUMIF('BD Otimix'!A:A,'BD VOLUME'!AF684,'BD Otimix'!O:O),0)</f>
        <v>0</v>
      </c>
      <c r="AL684" s="7">
        <f>IFERROR(F684/$E$3/1000/AK684,0)</f>
        <v>0</v>
      </c>
    </row>
    <row r="685" spans="1:38">
      <c r="A685" s="685">
        <v>13846</v>
      </c>
      <c r="B685" s="685" t="s">
        <v>3017</v>
      </c>
      <c r="C685" s="5" t="s">
        <v>3018</v>
      </c>
      <c r="D685" s="5" t="s">
        <v>896</v>
      </c>
      <c r="E685" s="5" t="s">
        <v>2</v>
      </c>
      <c r="F685" s="132">
        <f>SUMIF('COLAR PLANO'!$A:$A,A685,'COLAR PLANO'!$D:$D)</f>
        <v>0</v>
      </c>
      <c r="G685" s="131">
        <f>IFERROR(F685/($E$3*$C$3),0)</f>
        <v>0</v>
      </c>
      <c r="H685" s="6">
        <v>0.12</v>
      </c>
      <c r="I685" s="7">
        <f>IFERROR(G685/$D$3/H685,0)</f>
        <v>0</v>
      </c>
      <c r="J685" s="130">
        <f>IFERROR(I685/$B$3,0)</f>
        <v>0</v>
      </c>
      <c r="K685" s="750">
        <v>17</v>
      </c>
      <c r="L685" s="750">
        <v>1</v>
      </c>
      <c r="M685" s="750">
        <v>17</v>
      </c>
      <c r="N685" s="7">
        <f>IFERROR(G685/K685,"-")</f>
        <v>0</v>
      </c>
      <c r="O685" s="7"/>
      <c r="P685" s="7"/>
      <c r="Q685" s="7">
        <f>IFERROR(G685/M685,0)</f>
        <v>0</v>
      </c>
      <c r="R685" s="7"/>
      <c r="S685" s="7"/>
      <c r="T685" s="7"/>
      <c r="U685" s="7" t="s">
        <v>2288</v>
      </c>
      <c r="V685" s="7" t="s">
        <v>2289</v>
      </c>
      <c r="W685" s="7" t="str">
        <f>Preencher!$B$3&amp;U685&amp;V685&amp;A685&amp;$W$6</f>
        <v>JARINU-FRG13846MQ.TUNEL DE CG (CONTINUO)</v>
      </c>
      <c r="X685" s="7" t="str">
        <f>Preencher!$B$3&amp;U685&amp;V685&amp;A685&amp;$X$6</f>
        <v>JARINU-FRG13846MQ.TUNEL DE CG (CONTINUO) (1)</v>
      </c>
      <c r="Y685" s="7" t="str">
        <f>Preencher!$B$3&amp;U685&amp;V685&amp;A685&amp;$Y$6</f>
        <v>JARINU-FRG13846MQ.TUNEL DE CG (CONTINUO) (2)</v>
      </c>
      <c r="Z685" s="7" t="str">
        <f>Preencher!$B$3&amp;U685&amp;V685&amp;A685&amp;$Z$6</f>
        <v>JARINU-FRG13846MQ.TUNEL DE CG (CONTINUO) (3)</v>
      </c>
      <c r="AA685" s="7" t="str">
        <f>Preencher!$B$3&amp;U685&amp;V685&amp;A685&amp;$AA$6</f>
        <v>JARINU-FRG13846MQ.TUNEL DE CG (ESTATICO)</v>
      </c>
      <c r="AB685" s="7" t="str">
        <f>Preencher!$B$3&amp;U685&amp;V685&amp;A685&amp;$AB$6</f>
        <v>JARINU-FRG13846MQ.TUNEL DE CG (ESTATICO) (1)</v>
      </c>
      <c r="AC685" s="7" t="str">
        <f>Preencher!$B$3&amp;U685&amp;V685&amp;A685&amp;$AC$6</f>
        <v>JARINU-FRG13846MQ.TUNEL DE CG (ESTATICO) (2)</v>
      </c>
      <c r="AD685" s="327">
        <f>IFERROR(SUMIF('BD Otimix'!A:A,'BD VOLUME'!X685,'BD Otimix'!O:O)+SUMIF('BD Otimix'!A:A,'BD VOLUME'!Y685,'BD Otimix'!O:O)+SUMIF('BD Otimix'!A:A,'BD VOLUME'!Z685,'BD Otimix'!O:O)+SUMIF('BD Otimix'!A:A,'BD VOLUME'!AA685,'BD Otimix'!O:O)+SUMIF('BD Otimix'!A:A,'BD VOLUME'!AB685,'BD Otimix'!O:O)+SUMIF('BD Otimix'!A:A,'BD VOLUME'!AC685,'BD Otimix'!O:O)+SUMIF('BD Otimix'!A:A,'BD VOLUME'!W685,'BD Otimix'!O:O),0)</f>
        <v>0</v>
      </c>
      <c r="AE685" s="327">
        <f>IFERROR(F685/$E$3/1000/AD685,0)</f>
        <v>0</v>
      </c>
      <c r="AF685" s="7" t="str">
        <f>Preencher!$B$3&amp;$U$8&amp;$V$8&amp;A685&amp;$AF$6</f>
        <v>JARINU-FRG13846MQ.GIROFREEZER</v>
      </c>
      <c r="AG685" s="7" t="str">
        <f>Preencher!$B$3&amp;$U$8&amp;$V$8&amp;A685&amp;$AG$6</f>
        <v>JARINU-FRG13846MQ.GIROFREEZER (1)</v>
      </c>
      <c r="AH685" s="7" t="str">
        <f>Preencher!$B$3&amp;$U$8&amp;$V$8&amp;A685&amp;$AH$6</f>
        <v>JARINU-FRG13846MQ.GIROFREEZER (2)</v>
      </c>
      <c r="AI685" s="7" t="str">
        <f>Preencher!$B$3&amp;$U$8&amp;$V$8&amp;A685&amp;$AI$6</f>
        <v>JARINU-FRG13846MQ.GIROFREEZER REV04</v>
      </c>
      <c r="AJ685" s="7" t="str">
        <f>Preencher!$B$3&amp;$U$8&amp;$V$8&amp;A685&amp;$AJ$6</f>
        <v>JARINU-FRG13846MQ.GIROFREEZER (3)</v>
      </c>
      <c r="AK685" s="327">
        <f>IFERROR(SUMIF('BD Otimix'!A:A,'BD VOLUME'!AG685,'BD Otimix'!O:O)+SUMIF('BD Otimix'!A:A,'BD VOLUME'!AH685,'BD Otimix'!O:O)+SUMIF('BD Otimix'!A:A,'BD VOLUME'!AI685,'BD Otimix'!O:O)+SUMIF('BD Otimix'!A:A,'BD VOLUME'!AJ685,'BD Otimix'!O:O)+SUMIF('BD Otimix'!A:A,'BD VOLUME'!AF685,'BD Otimix'!O:O),0)</f>
        <v>0</v>
      </c>
      <c r="AL685" s="7">
        <f>IFERROR(F685/$E$3/1000/AK685,0)</f>
        <v>0</v>
      </c>
    </row>
    <row r="686" spans="1:38">
      <c r="A686" s="128">
        <v>4162</v>
      </c>
      <c r="B686" s="128" t="s">
        <v>1022</v>
      </c>
      <c r="C686" s="5" t="s">
        <v>2</v>
      </c>
      <c r="D686" s="5" t="s">
        <v>896</v>
      </c>
      <c r="E686" s="5" t="s">
        <v>2</v>
      </c>
      <c r="F686" s="132">
        <f>SUMIF('COLAR PLANO'!$A:$A,A686,'COLAR PLANO'!$D:$D)</f>
        <v>0</v>
      </c>
      <c r="G686" s="131">
        <f t="shared" ref="G686:G696" si="239">IFERROR(F686/($E$3*$C$3),0)</f>
        <v>0</v>
      </c>
      <c r="H686" s="6">
        <v>0.12</v>
      </c>
      <c r="I686" s="7">
        <f t="shared" ref="I686:I696" si="240">IFERROR(G686/$D$3/H686,0)</f>
        <v>0</v>
      </c>
      <c r="J686" s="130">
        <f t="shared" ref="J686:J696" si="241">IFERROR(I686/$B$3,0)</f>
        <v>0</v>
      </c>
      <c r="K686" s="257">
        <v>20</v>
      </c>
      <c r="L686" s="257">
        <v>1</v>
      </c>
      <c r="M686" s="257">
        <v>20</v>
      </c>
      <c r="N686" s="7">
        <f t="shared" ref="N686:N696" si="242">IFERROR(G686/K686,"-")</f>
        <v>0</v>
      </c>
      <c r="O686" s="7"/>
      <c r="P686" s="7"/>
      <c r="Q686" s="7">
        <f t="shared" ref="Q686:Q696" si="243">IFERROR(G686/M686,0)</f>
        <v>0</v>
      </c>
      <c r="R686" s="7"/>
      <c r="S686" s="7"/>
      <c r="T686" s="7"/>
      <c r="U686" s="7" t="s">
        <v>2288</v>
      </c>
      <c r="V686" s="7" t="s">
        <v>2289</v>
      </c>
      <c r="W686" s="7" t="str">
        <f>Preencher!$B$3&amp;U686&amp;V686&amp;A686&amp;$W$6</f>
        <v>JARINU-FRG4162MQ.TUNEL DE CG (CONTINUO)</v>
      </c>
      <c r="X686" s="7" t="str">
        <f>Preencher!$B$3&amp;U686&amp;V686&amp;A686&amp;$X$6</f>
        <v>JARINU-FRG4162MQ.TUNEL DE CG (CONTINUO) (1)</v>
      </c>
      <c r="Y686" s="7" t="str">
        <f>Preencher!$B$3&amp;U686&amp;V686&amp;A686&amp;$Y$6</f>
        <v>JARINU-FRG4162MQ.TUNEL DE CG (CONTINUO) (2)</v>
      </c>
      <c r="Z686" s="7" t="str">
        <f>Preencher!$B$3&amp;U686&amp;V686&amp;A686&amp;$Z$6</f>
        <v>JARINU-FRG4162MQ.TUNEL DE CG (CONTINUO) (3)</v>
      </c>
      <c r="AA686" s="7" t="str">
        <f>Preencher!$B$3&amp;U686&amp;V686&amp;A686&amp;$AA$6</f>
        <v>JARINU-FRG4162MQ.TUNEL DE CG (ESTATICO)</v>
      </c>
      <c r="AB686" s="7" t="str">
        <f>Preencher!$B$3&amp;U686&amp;V686&amp;A686&amp;$AB$6</f>
        <v>JARINU-FRG4162MQ.TUNEL DE CG (ESTATICO) (1)</v>
      </c>
      <c r="AC686" s="7" t="str">
        <f>Preencher!$B$3&amp;U686&amp;V686&amp;A686&amp;$AC$6</f>
        <v>JARINU-FRG4162MQ.TUNEL DE CG (ESTATICO) (2)</v>
      </c>
      <c r="AD686" s="327">
        <f>IFERROR(SUMIF('BD Otimix'!A:A,'BD VOLUME'!X686,'BD Otimix'!O:O)+SUMIF('BD Otimix'!A:A,'BD VOLUME'!Y686,'BD Otimix'!O:O)+SUMIF('BD Otimix'!A:A,'BD VOLUME'!Z686,'BD Otimix'!O:O)+SUMIF('BD Otimix'!A:A,'BD VOLUME'!AA686,'BD Otimix'!O:O)+SUMIF('BD Otimix'!A:A,'BD VOLUME'!AB686,'BD Otimix'!O:O)+SUMIF('BD Otimix'!A:A,'BD VOLUME'!AC686,'BD Otimix'!O:O)+SUMIF('BD Otimix'!A:A,'BD VOLUME'!W686,'BD Otimix'!O:O),0)</f>
        <v>0</v>
      </c>
      <c r="AE686" s="327">
        <f t="shared" si="237"/>
        <v>0</v>
      </c>
      <c r="AF686" s="7" t="str">
        <f>Preencher!$B$3&amp;$U$8&amp;$V$8&amp;A686&amp;$AF$6</f>
        <v>JARINU-FRG4162MQ.GIROFREEZER</v>
      </c>
      <c r="AG686" s="7" t="str">
        <f>Preencher!$B$3&amp;$U$8&amp;$V$8&amp;A686&amp;$AG$6</f>
        <v>JARINU-FRG4162MQ.GIROFREEZER (1)</v>
      </c>
      <c r="AH686" s="7" t="str">
        <f>Preencher!$B$3&amp;$U$8&amp;$V$8&amp;A686&amp;$AH$6</f>
        <v>JARINU-FRG4162MQ.GIROFREEZER (2)</v>
      </c>
      <c r="AI686" s="7" t="str">
        <f>Preencher!$B$3&amp;$U$8&amp;$V$8&amp;A686&amp;$AI$6</f>
        <v>JARINU-FRG4162MQ.GIROFREEZER REV04</v>
      </c>
      <c r="AJ686" s="7" t="str">
        <f>Preencher!$B$3&amp;$U$8&amp;$V$8&amp;A686&amp;$AJ$6</f>
        <v>JARINU-FRG4162MQ.GIROFREEZER (3)</v>
      </c>
      <c r="AK686" s="327">
        <f>IFERROR(SUMIF('BD Otimix'!A:A,'BD VOLUME'!AG686,'BD Otimix'!O:O)+SUMIF('BD Otimix'!A:A,'BD VOLUME'!AH686,'BD Otimix'!O:O)+SUMIF('BD Otimix'!A:A,'BD VOLUME'!AI686,'BD Otimix'!O:O)+SUMIF('BD Otimix'!A:A,'BD VOLUME'!AJ686,'BD Otimix'!O:O)+SUMIF('BD Otimix'!A:A,'BD VOLUME'!AF686,'BD Otimix'!O:O),0)</f>
        <v>0</v>
      </c>
      <c r="AL686" s="7">
        <f t="shared" si="238"/>
        <v>0</v>
      </c>
    </row>
    <row r="687" spans="1:38">
      <c r="A687" s="666">
        <v>729353</v>
      </c>
      <c r="B687" s="666"/>
      <c r="C687" s="5" t="s">
        <v>2234</v>
      </c>
      <c r="D687" s="5" t="s">
        <v>896</v>
      </c>
      <c r="E687" s="5" t="s">
        <v>2</v>
      </c>
      <c r="F687" s="132">
        <f>SUMIF('COLAR PLANO'!$A:$A,A687,'COLAR PLANO'!$D:$D)</f>
        <v>0</v>
      </c>
      <c r="G687" s="131">
        <f t="shared" si="239"/>
        <v>0</v>
      </c>
      <c r="H687" s="6">
        <v>0.12</v>
      </c>
      <c r="I687" s="7">
        <f t="shared" si="240"/>
        <v>0</v>
      </c>
      <c r="J687" s="130">
        <f t="shared" si="241"/>
        <v>0</v>
      </c>
      <c r="K687" s="666">
        <v>20</v>
      </c>
      <c r="L687" s="666">
        <v>1</v>
      </c>
      <c r="M687" s="666">
        <v>20</v>
      </c>
      <c r="N687" s="7">
        <f t="shared" si="242"/>
        <v>0</v>
      </c>
      <c r="O687" s="7"/>
      <c r="P687" s="7"/>
      <c r="Q687" s="7">
        <f t="shared" si="243"/>
        <v>0</v>
      </c>
      <c r="R687" s="7"/>
      <c r="S687" s="7"/>
      <c r="T687" s="7"/>
      <c r="U687" s="7" t="s">
        <v>2288</v>
      </c>
      <c r="V687" s="7" t="s">
        <v>2289</v>
      </c>
      <c r="W687" s="7" t="str">
        <f>Preencher!$B$3&amp;U687&amp;V687&amp;A687&amp;$W$6</f>
        <v>JARINU-FRG729353MQ.TUNEL DE CG (CONTINUO)</v>
      </c>
      <c r="X687" s="7" t="str">
        <f>Preencher!$B$3&amp;U687&amp;V687&amp;A687&amp;$X$6</f>
        <v>JARINU-FRG729353MQ.TUNEL DE CG (CONTINUO) (1)</v>
      </c>
      <c r="Y687" s="7" t="str">
        <f>Preencher!$B$3&amp;U687&amp;V687&amp;A687&amp;$Y$6</f>
        <v>JARINU-FRG729353MQ.TUNEL DE CG (CONTINUO) (2)</v>
      </c>
      <c r="Z687" s="7" t="str">
        <f>Preencher!$B$3&amp;U687&amp;V687&amp;A687&amp;$Z$6</f>
        <v>JARINU-FRG729353MQ.TUNEL DE CG (CONTINUO) (3)</v>
      </c>
      <c r="AA687" s="7" t="str">
        <f>Preencher!$B$3&amp;U687&amp;V687&amp;A687&amp;$AA$6</f>
        <v>JARINU-FRG729353MQ.TUNEL DE CG (ESTATICO)</v>
      </c>
      <c r="AB687" s="7" t="str">
        <f>Preencher!$B$3&amp;U687&amp;V687&amp;A687&amp;$AB$6</f>
        <v>JARINU-FRG729353MQ.TUNEL DE CG (ESTATICO) (1)</v>
      </c>
      <c r="AC687" s="7" t="str">
        <f>Preencher!$B$3&amp;U687&amp;V687&amp;A687&amp;$AC$6</f>
        <v>JARINU-FRG729353MQ.TUNEL DE CG (ESTATICO) (2)</v>
      </c>
      <c r="AD687" s="327">
        <f>IFERROR(SUMIF('BD Otimix'!A:A,'BD VOLUME'!X687,'BD Otimix'!O:O)+SUMIF('BD Otimix'!A:A,'BD VOLUME'!Y687,'BD Otimix'!O:O)+SUMIF('BD Otimix'!A:A,'BD VOLUME'!Z687,'BD Otimix'!O:O)+SUMIF('BD Otimix'!A:A,'BD VOLUME'!AA687,'BD Otimix'!O:O)+SUMIF('BD Otimix'!A:A,'BD VOLUME'!AB687,'BD Otimix'!O:O)+SUMIF('BD Otimix'!A:A,'BD VOLUME'!AC687,'BD Otimix'!O:O)+SUMIF('BD Otimix'!A:A,'BD VOLUME'!W687,'BD Otimix'!O:O),0)</f>
        <v>0</v>
      </c>
      <c r="AE687" s="327">
        <f>IFERROR(F687/$E$3/1000/AD687,0)</f>
        <v>0</v>
      </c>
      <c r="AF687" s="7" t="str">
        <f>Preencher!$B$3&amp;$U$8&amp;$V$8&amp;A687&amp;$AF$6</f>
        <v>JARINU-FRG729353MQ.GIROFREEZER</v>
      </c>
      <c r="AG687" s="7" t="str">
        <f>Preencher!$B$3&amp;$U$8&amp;$V$8&amp;A687&amp;$AG$6</f>
        <v>JARINU-FRG729353MQ.GIROFREEZER (1)</v>
      </c>
      <c r="AH687" s="7" t="str">
        <f>Preencher!$B$3&amp;$U$8&amp;$V$8&amp;A687&amp;$AH$6</f>
        <v>JARINU-FRG729353MQ.GIROFREEZER (2)</v>
      </c>
      <c r="AI687" s="7" t="str">
        <f>Preencher!$B$3&amp;$U$8&amp;$V$8&amp;A687&amp;$AI$6</f>
        <v>JARINU-FRG729353MQ.GIROFREEZER REV04</v>
      </c>
      <c r="AJ687" s="7" t="str">
        <f>Preencher!$B$3&amp;$U$8&amp;$V$8&amp;A687&amp;$AJ$6</f>
        <v>JARINU-FRG729353MQ.GIROFREEZER (3)</v>
      </c>
      <c r="AK687" s="327">
        <f>IFERROR(SUMIF('BD Otimix'!A:A,'BD VOLUME'!AG687,'BD Otimix'!O:O)+SUMIF('BD Otimix'!A:A,'BD VOLUME'!AH687,'BD Otimix'!O:O)+SUMIF('BD Otimix'!A:A,'BD VOLUME'!AI687,'BD Otimix'!O:O)+SUMIF('BD Otimix'!A:A,'BD VOLUME'!AJ687,'BD Otimix'!O:O)+SUMIF('BD Otimix'!A:A,'BD VOLUME'!AF687,'BD Otimix'!O:O),0)</f>
        <v>0</v>
      </c>
      <c r="AL687" s="7">
        <f>IFERROR(F687/$E$3/1000/AK687,0)</f>
        <v>0</v>
      </c>
    </row>
    <row r="688" spans="1:38">
      <c r="A688" s="666">
        <v>728276</v>
      </c>
      <c r="B688" s="666"/>
      <c r="C688" s="5" t="s">
        <v>2245</v>
      </c>
      <c r="D688" s="5" t="s">
        <v>896</v>
      </c>
      <c r="E688" s="5" t="s">
        <v>898</v>
      </c>
      <c r="F688" s="132">
        <f>SUMIF('COLAR PLANO'!$A:$A,A688,'COLAR PLANO'!$D:$D)</f>
        <v>0</v>
      </c>
      <c r="G688" s="131">
        <f t="shared" si="239"/>
        <v>0</v>
      </c>
      <c r="H688" s="6">
        <v>0.12</v>
      </c>
      <c r="I688" s="7">
        <f t="shared" si="240"/>
        <v>0</v>
      </c>
      <c r="J688" s="130">
        <f t="shared" si="241"/>
        <v>0</v>
      </c>
      <c r="K688" s="666">
        <v>20</v>
      </c>
      <c r="L688" s="666">
        <v>1</v>
      </c>
      <c r="M688" s="666">
        <v>20</v>
      </c>
      <c r="N688" s="7">
        <f t="shared" si="242"/>
        <v>0</v>
      </c>
      <c r="O688" s="7"/>
      <c r="P688" s="7"/>
      <c r="Q688" s="7">
        <f t="shared" si="243"/>
        <v>0</v>
      </c>
      <c r="R688" s="7"/>
      <c r="S688" s="7"/>
      <c r="T688" s="7"/>
      <c r="U688" s="7" t="s">
        <v>2288</v>
      </c>
      <c r="V688" s="7" t="s">
        <v>2289</v>
      </c>
      <c r="W688" s="7" t="str">
        <f>Preencher!$B$3&amp;U688&amp;V688&amp;A688&amp;$W$6</f>
        <v>JARINU-FRG728276MQ.TUNEL DE CG (CONTINUO)</v>
      </c>
      <c r="X688" s="7" t="str">
        <f>Preencher!$B$3&amp;U688&amp;V688&amp;A688&amp;$X$6</f>
        <v>JARINU-FRG728276MQ.TUNEL DE CG (CONTINUO) (1)</v>
      </c>
      <c r="Y688" s="7" t="str">
        <f>Preencher!$B$3&amp;U688&amp;V688&amp;A688&amp;$Y$6</f>
        <v>JARINU-FRG728276MQ.TUNEL DE CG (CONTINUO) (2)</v>
      </c>
      <c r="Z688" s="7" t="str">
        <f>Preencher!$B$3&amp;U688&amp;V688&amp;A688&amp;$Z$6</f>
        <v>JARINU-FRG728276MQ.TUNEL DE CG (CONTINUO) (3)</v>
      </c>
      <c r="AA688" s="7" t="str">
        <f>Preencher!$B$3&amp;U688&amp;V688&amp;A688&amp;$AA$6</f>
        <v>JARINU-FRG728276MQ.TUNEL DE CG (ESTATICO)</v>
      </c>
      <c r="AB688" s="7" t="str">
        <f>Preencher!$B$3&amp;U688&amp;V688&amp;A688&amp;$AB$6</f>
        <v>JARINU-FRG728276MQ.TUNEL DE CG (ESTATICO) (1)</v>
      </c>
      <c r="AC688" s="7" t="str">
        <f>Preencher!$B$3&amp;U688&amp;V688&amp;A688&amp;$AC$6</f>
        <v>JARINU-FRG728276MQ.TUNEL DE CG (ESTATICO) (2)</v>
      </c>
      <c r="AD688" s="327">
        <f>IFERROR(SUMIF('BD Otimix'!A:A,'BD VOLUME'!X688,'BD Otimix'!O:O)+SUMIF('BD Otimix'!A:A,'BD VOLUME'!Y688,'BD Otimix'!O:O)+SUMIF('BD Otimix'!A:A,'BD VOLUME'!Z688,'BD Otimix'!O:O)+SUMIF('BD Otimix'!A:A,'BD VOLUME'!AA688,'BD Otimix'!O:O)+SUMIF('BD Otimix'!A:A,'BD VOLUME'!AB688,'BD Otimix'!O:O)+SUMIF('BD Otimix'!A:A,'BD VOLUME'!AC688,'BD Otimix'!O:O)+SUMIF('BD Otimix'!A:A,'BD VOLUME'!W688,'BD Otimix'!O:O),0)</f>
        <v>0</v>
      </c>
      <c r="AE688" s="327">
        <f>IFERROR(F688/$E$3/1000/AD688,0)</f>
        <v>0</v>
      </c>
      <c r="AF688" s="7" t="str">
        <f>Preencher!$B$3&amp;$U$8&amp;$V$8&amp;A688&amp;$AF$6</f>
        <v>JARINU-FRG728276MQ.GIROFREEZER</v>
      </c>
      <c r="AG688" s="7" t="str">
        <f>Preencher!$B$3&amp;$U$8&amp;$V$8&amp;A688&amp;$AG$6</f>
        <v>JARINU-FRG728276MQ.GIROFREEZER (1)</v>
      </c>
      <c r="AH688" s="7" t="str">
        <f>Preencher!$B$3&amp;$U$8&amp;$V$8&amp;A688&amp;$AH$6</f>
        <v>JARINU-FRG728276MQ.GIROFREEZER (2)</v>
      </c>
      <c r="AI688" s="7" t="str">
        <f>Preencher!$B$3&amp;$U$8&amp;$V$8&amp;A688&amp;$AI$6</f>
        <v>JARINU-FRG728276MQ.GIROFREEZER REV04</v>
      </c>
      <c r="AJ688" s="7" t="str">
        <f>Preencher!$B$3&amp;$U$8&amp;$V$8&amp;A688&amp;$AJ$6</f>
        <v>JARINU-FRG728276MQ.GIROFREEZER (3)</v>
      </c>
      <c r="AK688" s="327">
        <f>IFERROR(SUMIF('BD Otimix'!A:A,'BD VOLUME'!AG688,'BD Otimix'!O:O)+SUMIF('BD Otimix'!A:A,'BD VOLUME'!AH688,'BD Otimix'!O:O)+SUMIF('BD Otimix'!A:A,'BD VOLUME'!AI688,'BD Otimix'!O:O)+SUMIF('BD Otimix'!A:A,'BD VOLUME'!AJ688,'BD Otimix'!O:O)+SUMIF('BD Otimix'!A:A,'BD VOLUME'!AF688,'BD Otimix'!O:O),0)</f>
        <v>0</v>
      </c>
      <c r="AL688" s="7">
        <f>IFERROR(F688/$E$3/1000/AK688,0)</f>
        <v>0</v>
      </c>
    </row>
    <row r="689" spans="1:38">
      <c r="A689" s="666">
        <v>937991</v>
      </c>
      <c r="B689" s="666" t="s">
        <v>2452</v>
      </c>
      <c r="C689" s="5" t="s">
        <v>2369</v>
      </c>
      <c r="D689" s="5" t="s">
        <v>896</v>
      </c>
      <c r="E689" s="5" t="s">
        <v>2</v>
      </c>
      <c r="F689" s="132">
        <f>SUMIF('COLAR PLANO'!$A:$A,A689,'COLAR PLANO'!$D:$D)</f>
        <v>0</v>
      </c>
      <c r="G689" s="131">
        <f t="shared" si="239"/>
        <v>0</v>
      </c>
      <c r="H689" s="6">
        <v>0.12</v>
      </c>
      <c r="I689" s="7">
        <f t="shared" si="240"/>
        <v>0</v>
      </c>
      <c r="J689" s="130">
        <f t="shared" si="241"/>
        <v>0</v>
      </c>
      <c r="K689" s="666">
        <v>20</v>
      </c>
      <c r="L689" s="666">
        <v>1</v>
      </c>
      <c r="M689" s="666">
        <v>20</v>
      </c>
      <c r="N689" s="7">
        <f t="shared" si="242"/>
        <v>0</v>
      </c>
      <c r="O689" s="7"/>
      <c r="P689" s="7"/>
      <c r="Q689" s="7">
        <f t="shared" si="243"/>
        <v>0</v>
      </c>
      <c r="R689" s="7"/>
      <c r="S689" s="7"/>
      <c r="T689" s="7"/>
      <c r="U689" s="7" t="s">
        <v>2288</v>
      </c>
      <c r="V689" s="7" t="s">
        <v>2289</v>
      </c>
      <c r="W689" s="7" t="str">
        <f>Preencher!$B$3&amp;U689&amp;V689&amp;A689&amp;$W$6</f>
        <v>JARINU-FRG937991MQ.TUNEL DE CG (CONTINUO)</v>
      </c>
      <c r="X689" s="7" t="str">
        <f>Preencher!$B$3&amp;U689&amp;V689&amp;A689&amp;$X$6</f>
        <v>JARINU-FRG937991MQ.TUNEL DE CG (CONTINUO) (1)</v>
      </c>
      <c r="Y689" s="7" t="str">
        <f>Preencher!$B$3&amp;U689&amp;V689&amp;A689&amp;$Y$6</f>
        <v>JARINU-FRG937991MQ.TUNEL DE CG (CONTINUO) (2)</v>
      </c>
      <c r="Z689" s="7" t="str">
        <f>Preencher!$B$3&amp;U689&amp;V689&amp;A689&amp;$Z$6</f>
        <v>JARINU-FRG937991MQ.TUNEL DE CG (CONTINUO) (3)</v>
      </c>
      <c r="AA689" s="7" t="str">
        <f>Preencher!$B$3&amp;U689&amp;V689&amp;A689&amp;$AA$6</f>
        <v>JARINU-FRG937991MQ.TUNEL DE CG (ESTATICO)</v>
      </c>
      <c r="AB689" s="7" t="str">
        <f>Preencher!$B$3&amp;U689&amp;V689&amp;A689&amp;$AB$6</f>
        <v>JARINU-FRG937991MQ.TUNEL DE CG (ESTATICO) (1)</v>
      </c>
      <c r="AC689" s="7" t="str">
        <f>Preencher!$B$3&amp;U689&amp;V689&amp;A689&amp;$AC$6</f>
        <v>JARINU-FRG937991MQ.TUNEL DE CG (ESTATICO) (2)</v>
      </c>
      <c r="AD689" s="327">
        <f>IFERROR(SUMIF('BD Otimix'!A:A,'BD VOLUME'!X689,'BD Otimix'!O:O)+SUMIF('BD Otimix'!A:A,'BD VOLUME'!Y689,'BD Otimix'!O:O)+SUMIF('BD Otimix'!A:A,'BD VOLUME'!Z689,'BD Otimix'!O:O)+SUMIF('BD Otimix'!A:A,'BD VOLUME'!AA689,'BD Otimix'!O:O)+SUMIF('BD Otimix'!A:A,'BD VOLUME'!AB689,'BD Otimix'!O:O)+SUMIF('BD Otimix'!A:A,'BD VOLUME'!AC689,'BD Otimix'!O:O)+SUMIF('BD Otimix'!A:A,'BD VOLUME'!W689,'BD Otimix'!O:O),0)</f>
        <v>0</v>
      </c>
      <c r="AE689" s="327">
        <f>IFERROR(F689/$E$3/1000/AD689,0)</f>
        <v>0</v>
      </c>
      <c r="AF689" s="7" t="str">
        <f>Preencher!$B$3&amp;$U$8&amp;$V$8&amp;A689&amp;$AF$6</f>
        <v>JARINU-FRG937991MQ.GIROFREEZER</v>
      </c>
      <c r="AG689" s="7" t="str">
        <f>Preencher!$B$3&amp;$U$8&amp;$V$8&amp;A689&amp;$AG$6</f>
        <v>JARINU-FRG937991MQ.GIROFREEZER (1)</v>
      </c>
      <c r="AH689" s="7" t="str">
        <f>Preencher!$B$3&amp;$U$8&amp;$V$8&amp;A689&amp;$AH$6</f>
        <v>JARINU-FRG937991MQ.GIROFREEZER (2)</v>
      </c>
      <c r="AI689" s="7" t="str">
        <f>Preencher!$B$3&amp;$U$8&amp;$V$8&amp;A689&amp;$AI$6</f>
        <v>JARINU-FRG937991MQ.GIROFREEZER REV04</v>
      </c>
      <c r="AJ689" s="7" t="str">
        <f>Preencher!$B$3&amp;$U$8&amp;$V$8&amp;A689&amp;$AJ$6</f>
        <v>JARINU-FRG937991MQ.GIROFREEZER (3)</v>
      </c>
      <c r="AK689" s="327">
        <f>IFERROR(SUMIF('BD Otimix'!A:A,'BD VOLUME'!AG689,'BD Otimix'!O:O)+SUMIF('BD Otimix'!A:A,'BD VOLUME'!AH689,'BD Otimix'!O:O)+SUMIF('BD Otimix'!A:A,'BD VOLUME'!AI689,'BD Otimix'!O:O)+SUMIF('BD Otimix'!A:A,'BD VOLUME'!AJ689,'BD Otimix'!O:O)+SUMIF('BD Otimix'!A:A,'BD VOLUME'!AF689,'BD Otimix'!O:O),0)</f>
        <v>0</v>
      </c>
      <c r="AL689" s="7">
        <f>IFERROR(F689/$E$3/1000/AK689,0)</f>
        <v>0</v>
      </c>
    </row>
    <row r="690" spans="1:38">
      <c r="A690" s="651">
        <v>726508</v>
      </c>
      <c r="B690" s="651" t="s">
        <v>2368</v>
      </c>
      <c r="C690" s="5" t="s">
        <v>2369</v>
      </c>
      <c r="D690" s="5" t="s">
        <v>896</v>
      </c>
      <c r="E690" s="5" t="s">
        <v>2</v>
      </c>
      <c r="F690" s="132">
        <f>SUMIF('COLAR PLANO'!$A:$A,A690,'COLAR PLANO'!$D:$D)</f>
        <v>0</v>
      </c>
      <c r="G690" s="131">
        <f t="shared" si="239"/>
        <v>0</v>
      </c>
      <c r="H690" s="6">
        <v>0.12</v>
      </c>
      <c r="I690" s="7">
        <f t="shared" si="240"/>
        <v>0</v>
      </c>
      <c r="J690" s="130">
        <f t="shared" si="241"/>
        <v>0</v>
      </c>
      <c r="K690" s="651">
        <v>20</v>
      </c>
      <c r="L690" s="651">
        <v>1</v>
      </c>
      <c r="M690" s="651">
        <v>20</v>
      </c>
      <c r="N690" s="7">
        <f t="shared" si="242"/>
        <v>0</v>
      </c>
      <c r="O690" s="7"/>
      <c r="P690" s="7"/>
      <c r="Q690" s="7">
        <f t="shared" si="243"/>
        <v>0</v>
      </c>
      <c r="R690" s="7"/>
      <c r="S690" s="7"/>
      <c r="T690" s="7"/>
      <c r="U690" s="7" t="s">
        <v>2288</v>
      </c>
      <c r="V690" s="7" t="s">
        <v>2289</v>
      </c>
      <c r="W690" s="7" t="str">
        <f>Preencher!$B$3&amp;U690&amp;V690&amp;A690&amp;$W$6</f>
        <v>JARINU-FRG726508MQ.TUNEL DE CG (CONTINUO)</v>
      </c>
      <c r="X690" s="7" t="str">
        <f>Preencher!$B$3&amp;U690&amp;V690&amp;A690&amp;$X$6</f>
        <v>JARINU-FRG726508MQ.TUNEL DE CG (CONTINUO) (1)</v>
      </c>
      <c r="Y690" s="7" t="str">
        <f>Preencher!$B$3&amp;U690&amp;V690&amp;A690&amp;$Y$6</f>
        <v>JARINU-FRG726508MQ.TUNEL DE CG (CONTINUO) (2)</v>
      </c>
      <c r="Z690" s="7" t="str">
        <f>Preencher!$B$3&amp;U690&amp;V690&amp;A690&amp;$Z$6</f>
        <v>JARINU-FRG726508MQ.TUNEL DE CG (CONTINUO) (3)</v>
      </c>
      <c r="AA690" s="7" t="str">
        <f>Preencher!$B$3&amp;U690&amp;V690&amp;A690&amp;$AA$6</f>
        <v>JARINU-FRG726508MQ.TUNEL DE CG (ESTATICO)</v>
      </c>
      <c r="AB690" s="7" t="str">
        <f>Preencher!$B$3&amp;U690&amp;V690&amp;A690&amp;$AB$6</f>
        <v>JARINU-FRG726508MQ.TUNEL DE CG (ESTATICO) (1)</v>
      </c>
      <c r="AC690" s="7" t="str">
        <f>Preencher!$B$3&amp;U690&amp;V690&amp;A690&amp;$AC$6</f>
        <v>JARINU-FRG726508MQ.TUNEL DE CG (ESTATICO) (2)</v>
      </c>
      <c r="AD690" s="327">
        <f>IFERROR(SUMIF('BD Otimix'!A:A,'BD VOLUME'!X690,'BD Otimix'!O:O)+SUMIF('BD Otimix'!A:A,'BD VOLUME'!Y690,'BD Otimix'!O:O)+SUMIF('BD Otimix'!A:A,'BD VOLUME'!Z690,'BD Otimix'!O:O)+SUMIF('BD Otimix'!A:A,'BD VOLUME'!AA690,'BD Otimix'!O:O)+SUMIF('BD Otimix'!A:A,'BD VOLUME'!AB690,'BD Otimix'!O:O)+SUMIF('BD Otimix'!A:A,'BD VOLUME'!AC690,'BD Otimix'!O:O)+SUMIF('BD Otimix'!A:A,'BD VOLUME'!W690,'BD Otimix'!O:O),0)</f>
        <v>0</v>
      </c>
      <c r="AE690" s="327">
        <f t="shared" si="237"/>
        <v>0</v>
      </c>
      <c r="AF690" s="7" t="str">
        <f>Preencher!$B$3&amp;$U$8&amp;$V$8&amp;A690&amp;$AF$6</f>
        <v>JARINU-FRG726508MQ.GIROFREEZER</v>
      </c>
      <c r="AG690" s="7" t="str">
        <f>Preencher!$B$3&amp;$U$8&amp;$V$8&amp;A690&amp;$AG$6</f>
        <v>JARINU-FRG726508MQ.GIROFREEZER (1)</v>
      </c>
      <c r="AH690" s="7" t="str">
        <f>Preencher!$B$3&amp;$U$8&amp;$V$8&amp;A690&amp;$AH$6</f>
        <v>JARINU-FRG726508MQ.GIROFREEZER (2)</v>
      </c>
      <c r="AI690" s="7" t="str">
        <f>Preencher!$B$3&amp;$U$8&amp;$V$8&amp;A690&amp;$AI$6</f>
        <v>JARINU-FRG726508MQ.GIROFREEZER REV04</v>
      </c>
      <c r="AJ690" s="7" t="str">
        <f>Preencher!$B$3&amp;$U$8&amp;$V$8&amp;A690&amp;$AJ$6</f>
        <v>JARINU-FRG726508MQ.GIROFREEZER (3)</v>
      </c>
      <c r="AK690" s="327">
        <f>IFERROR(SUMIF('BD Otimix'!A:A,'BD VOLUME'!AG690,'BD Otimix'!O:O)+SUMIF('BD Otimix'!A:A,'BD VOLUME'!AH690,'BD Otimix'!O:O)+SUMIF('BD Otimix'!A:A,'BD VOLUME'!AI690,'BD Otimix'!O:O)+SUMIF('BD Otimix'!A:A,'BD VOLUME'!AJ690,'BD Otimix'!O:O)+SUMIF('BD Otimix'!A:A,'BD VOLUME'!AF690,'BD Otimix'!O:O),0)</f>
        <v>0</v>
      </c>
      <c r="AL690" s="7">
        <f t="shared" si="238"/>
        <v>0</v>
      </c>
    </row>
    <row r="691" spans="1:38">
      <c r="A691" s="710">
        <v>52620</v>
      </c>
      <c r="B691" s="710" t="s">
        <v>2733</v>
      </c>
      <c r="C691" s="5" t="s">
        <v>2369</v>
      </c>
      <c r="D691" s="5" t="s">
        <v>896</v>
      </c>
      <c r="E691" s="5" t="s">
        <v>2</v>
      </c>
      <c r="F691" s="132">
        <f>SUMIF('COLAR PLANO'!$A:$A,A691,'COLAR PLANO'!$D:$D)</f>
        <v>0</v>
      </c>
      <c r="G691" s="131">
        <f t="shared" si="239"/>
        <v>0</v>
      </c>
      <c r="H691" s="6">
        <v>0.12</v>
      </c>
      <c r="I691" s="7">
        <f t="shared" si="240"/>
        <v>0</v>
      </c>
      <c r="J691" s="130">
        <f t="shared" si="241"/>
        <v>0</v>
      </c>
      <c r="K691" s="710">
        <v>20</v>
      </c>
      <c r="L691" s="710">
        <v>1</v>
      </c>
      <c r="M691" s="710">
        <v>20</v>
      </c>
      <c r="N691" s="7">
        <f t="shared" si="242"/>
        <v>0</v>
      </c>
      <c r="O691" s="7"/>
      <c r="P691" s="7"/>
      <c r="Q691" s="7">
        <f t="shared" si="243"/>
        <v>0</v>
      </c>
      <c r="R691" s="7"/>
      <c r="S691" s="7"/>
      <c r="T691" s="7"/>
      <c r="U691" s="7" t="s">
        <v>2288</v>
      </c>
      <c r="V691" s="7" t="s">
        <v>2289</v>
      </c>
      <c r="W691" s="7" t="str">
        <f>Preencher!$B$3&amp;U691&amp;V691&amp;A691&amp;$W$6</f>
        <v>JARINU-FRG52620MQ.TUNEL DE CG (CONTINUO)</v>
      </c>
      <c r="X691" s="7" t="str">
        <f>Preencher!$B$3&amp;U691&amp;V691&amp;A691&amp;$X$6</f>
        <v>JARINU-FRG52620MQ.TUNEL DE CG (CONTINUO) (1)</v>
      </c>
      <c r="Y691" s="7" t="str">
        <f>Preencher!$B$3&amp;U691&amp;V691&amp;A691&amp;$Y$6</f>
        <v>JARINU-FRG52620MQ.TUNEL DE CG (CONTINUO) (2)</v>
      </c>
      <c r="Z691" s="7" t="str">
        <f>Preencher!$B$3&amp;U691&amp;V691&amp;A691&amp;$Z$6</f>
        <v>JARINU-FRG52620MQ.TUNEL DE CG (CONTINUO) (3)</v>
      </c>
      <c r="AA691" s="7" t="str">
        <f>Preencher!$B$3&amp;U691&amp;V691&amp;A691&amp;$AA$6</f>
        <v>JARINU-FRG52620MQ.TUNEL DE CG (ESTATICO)</v>
      </c>
      <c r="AB691" s="7" t="str">
        <f>Preencher!$B$3&amp;U691&amp;V691&amp;A691&amp;$AB$6</f>
        <v>JARINU-FRG52620MQ.TUNEL DE CG (ESTATICO) (1)</v>
      </c>
      <c r="AC691" s="7" t="str">
        <f>Preencher!$B$3&amp;U691&amp;V691&amp;A691&amp;$AC$6</f>
        <v>JARINU-FRG52620MQ.TUNEL DE CG (ESTATICO) (2)</v>
      </c>
      <c r="AD691" s="327">
        <f>IFERROR(SUMIF('BD Otimix'!A:A,'BD VOLUME'!X691,'BD Otimix'!O:O)+SUMIF('BD Otimix'!A:A,'BD VOLUME'!Y691,'BD Otimix'!O:O)+SUMIF('BD Otimix'!A:A,'BD VOLUME'!Z691,'BD Otimix'!O:O)+SUMIF('BD Otimix'!A:A,'BD VOLUME'!AA691,'BD Otimix'!O:O)+SUMIF('BD Otimix'!A:A,'BD VOLUME'!AB691,'BD Otimix'!O:O)+SUMIF('BD Otimix'!A:A,'BD VOLUME'!AC691,'BD Otimix'!O:O)+SUMIF('BD Otimix'!A:A,'BD VOLUME'!W691,'BD Otimix'!O:O),0)</f>
        <v>0</v>
      </c>
      <c r="AE691" s="327">
        <f t="shared" ref="AE691:AE696" si="244">IFERROR(F691/$E$3/1000/AD691,0)</f>
        <v>0</v>
      </c>
      <c r="AF691" s="7" t="str">
        <f>Preencher!$B$3&amp;$U$8&amp;$V$8&amp;A691&amp;$AF$6</f>
        <v>JARINU-FRG52620MQ.GIROFREEZER</v>
      </c>
      <c r="AG691" s="7" t="str">
        <f>Preencher!$B$3&amp;$U$8&amp;$V$8&amp;A691&amp;$AG$6</f>
        <v>JARINU-FRG52620MQ.GIROFREEZER (1)</v>
      </c>
      <c r="AH691" s="7" t="str">
        <f>Preencher!$B$3&amp;$U$8&amp;$V$8&amp;A691&amp;$AH$6</f>
        <v>JARINU-FRG52620MQ.GIROFREEZER (2)</v>
      </c>
      <c r="AI691" s="7" t="str">
        <f>Preencher!$B$3&amp;$U$8&amp;$V$8&amp;A691&amp;$AI$6</f>
        <v>JARINU-FRG52620MQ.GIROFREEZER REV04</v>
      </c>
      <c r="AJ691" s="7" t="str">
        <f>Preencher!$B$3&amp;$U$8&amp;$V$8&amp;A691&amp;$AJ$6</f>
        <v>JARINU-FRG52620MQ.GIROFREEZER (3)</v>
      </c>
      <c r="AK691" s="327">
        <f>IFERROR(SUMIF('BD Otimix'!A:A,'BD VOLUME'!AG691,'BD Otimix'!O:O)+SUMIF('BD Otimix'!A:A,'BD VOLUME'!AH691,'BD Otimix'!O:O)+SUMIF('BD Otimix'!A:A,'BD VOLUME'!AI691,'BD Otimix'!O:O)+SUMIF('BD Otimix'!A:A,'BD VOLUME'!AJ691,'BD Otimix'!O:O)+SUMIF('BD Otimix'!A:A,'BD VOLUME'!AF691,'BD Otimix'!O:O),0)</f>
        <v>0</v>
      </c>
      <c r="AL691" s="7">
        <f t="shared" ref="AL691:AL696" si="245">IFERROR(F691/$E$3/1000/AK691,0)</f>
        <v>0</v>
      </c>
    </row>
    <row r="692" spans="1:38">
      <c r="A692" s="789">
        <v>999808</v>
      </c>
      <c r="B692" s="789"/>
      <c r="C692" s="5" t="s">
        <v>2369</v>
      </c>
      <c r="D692" s="5" t="s">
        <v>896</v>
      </c>
      <c r="E692" s="5" t="s">
        <v>2</v>
      </c>
      <c r="F692" s="132">
        <f>SUMIF('COLAR PLANO'!$A:$A,A692,'COLAR PLANO'!$D:$D)</f>
        <v>0</v>
      </c>
      <c r="G692" s="131">
        <f>IFERROR(F692/($E$3*$C$3),0)</f>
        <v>0</v>
      </c>
      <c r="H692" s="6">
        <v>0.12</v>
      </c>
      <c r="I692" s="7">
        <f>IFERROR(G692/$D$3/H692,0)</f>
        <v>0</v>
      </c>
      <c r="J692" s="130">
        <f>IFERROR(I692/$B$3,0)</f>
        <v>0</v>
      </c>
      <c r="K692" s="789">
        <v>20</v>
      </c>
      <c r="L692" s="789">
        <v>1</v>
      </c>
      <c r="M692" s="789">
        <v>20</v>
      </c>
      <c r="N692" s="7">
        <f>IFERROR(G692/K692,"-")</f>
        <v>0</v>
      </c>
      <c r="O692" s="7"/>
      <c r="P692" s="7"/>
      <c r="Q692" s="7">
        <f>IFERROR(G692/M692,0)</f>
        <v>0</v>
      </c>
      <c r="R692" s="7"/>
      <c r="S692" s="7"/>
      <c r="T692" s="7"/>
      <c r="U692" s="7" t="s">
        <v>2288</v>
      </c>
      <c r="V692" s="7" t="s">
        <v>2289</v>
      </c>
      <c r="W692" s="7" t="str">
        <f>Preencher!$B$3&amp;U692&amp;V692&amp;A692&amp;$W$6</f>
        <v>JARINU-FRG999808MQ.TUNEL DE CG (CONTINUO)</v>
      </c>
      <c r="X692" s="7" t="str">
        <f>Preencher!$B$3&amp;U692&amp;V692&amp;A692&amp;$X$6</f>
        <v>JARINU-FRG999808MQ.TUNEL DE CG (CONTINUO) (1)</v>
      </c>
      <c r="Y692" s="7" t="str">
        <f>Preencher!$B$3&amp;U692&amp;V692&amp;A692&amp;$Y$6</f>
        <v>JARINU-FRG999808MQ.TUNEL DE CG (CONTINUO) (2)</v>
      </c>
      <c r="Z692" s="7" t="str">
        <f>Preencher!$B$3&amp;U692&amp;V692&amp;A692&amp;$Z$6</f>
        <v>JARINU-FRG999808MQ.TUNEL DE CG (CONTINUO) (3)</v>
      </c>
      <c r="AA692" s="7" t="str">
        <f>Preencher!$B$3&amp;U692&amp;V692&amp;A692&amp;$AA$6</f>
        <v>JARINU-FRG999808MQ.TUNEL DE CG (ESTATICO)</v>
      </c>
      <c r="AB692" s="7" t="str">
        <f>Preencher!$B$3&amp;U692&amp;V692&amp;A692&amp;$AB$6</f>
        <v>JARINU-FRG999808MQ.TUNEL DE CG (ESTATICO) (1)</v>
      </c>
      <c r="AC692" s="7" t="str">
        <f>Preencher!$B$3&amp;U692&amp;V692&amp;A692&amp;$AC$6</f>
        <v>JARINU-FRG999808MQ.TUNEL DE CG (ESTATICO) (2)</v>
      </c>
      <c r="AD692" s="327">
        <f>IFERROR(SUMIF('BD Otimix'!A:A,'BD VOLUME'!X692,'BD Otimix'!O:O)+SUMIF('BD Otimix'!A:A,'BD VOLUME'!Y692,'BD Otimix'!O:O)+SUMIF('BD Otimix'!A:A,'BD VOLUME'!Z692,'BD Otimix'!O:O)+SUMIF('BD Otimix'!A:A,'BD VOLUME'!AA692,'BD Otimix'!O:O)+SUMIF('BD Otimix'!A:A,'BD VOLUME'!AB692,'BD Otimix'!O:O)+SUMIF('BD Otimix'!A:A,'BD VOLUME'!AC692,'BD Otimix'!O:O)+SUMIF('BD Otimix'!A:A,'BD VOLUME'!W692,'BD Otimix'!O:O),0)</f>
        <v>0</v>
      </c>
      <c r="AE692" s="327">
        <f t="shared" si="244"/>
        <v>0</v>
      </c>
      <c r="AF692" s="7" t="str">
        <f>Preencher!$B$3&amp;$U$8&amp;$V$8&amp;A692&amp;$AF$6</f>
        <v>JARINU-FRG999808MQ.GIROFREEZER</v>
      </c>
      <c r="AG692" s="7" t="str">
        <f>Preencher!$B$3&amp;$U$8&amp;$V$8&amp;A692&amp;$AG$6</f>
        <v>JARINU-FRG999808MQ.GIROFREEZER (1)</v>
      </c>
      <c r="AH692" s="7" t="str">
        <f>Preencher!$B$3&amp;$U$8&amp;$V$8&amp;A692&amp;$AH$6</f>
        <v>JARINU-FRG999808MQ.GIROFREEZER (2)</v>
      </c>
      <c r="AI692" s="7" t="str">
        <f>Preencher!$B$3&amp;$U$8&amp;$V$8&amp;A692&amp;$AI$6</f>
        <v>JARINU-FRG999808MQ.GIROFREEZER REV04</v>
      </c>
      <c r="AJ692" s="7" t="str">
        <f>Preencher!$B$3&amp;$U$8&amp;$V$8&amp;A692&amp;$AJ$6</f>
        <v>JARINU-FRG999808MQ.GIROFREEZER (3)</v>
      </c>
      <c r="AK692" s="327">
        <f>IFERROR(SUMIF('BD Otimix'!A:A,'BD VOLUME'!AG692,'BD Otimix'!O:O)+SUMIF('BD Otimix'!A:A,'BD VOLUME'!AH692,'BD Otimix'!O:O)+SUMIF('BD Otimix'!A:A,'BD VOLUME'!AI692,'BD Otimix'!O:O)+SUMIF('BD Otimix'!A:A,'BD VOLUME'!AJ692,'BD Otimix'!O:O)+SUMIF('BD Otimix'!A:A,'BD VOLUME'!AF692,'BD Otimix'!O:O),0)</f>
        <v>0</v>
      </c>
      <c r="AL692" s="7">
        <f t="shared" si="245"/>
        <v>0</v>
      </c>
    </row>
    <row r="693" spans="1:38">
      <c r="A693" s="710">
        <v>56308</v>
      </c>
      <c r="B693" s="710" t="s">
        <v>2734</v>
      </c>
      <c r="C693" s="5" t="s">
        <v>2083</v>
      </c>
      <c r="D693" s="5" t="s">
        <v>896</v>
      </c>
      <c r="E693" s="5" t="s">
        <v>2</v>
      </c>
      <c r="F693" s="132">
        <f>SUMIF('COLAR PLANO'!$A:$A,A693,'COLAR PLANO'!$D:$D)</f>
        <v>0</v>
      </c>
      <c r="G693" s="131">
        <f t="shared" si="239"/>
        <v>0</v>
      </c>
      <c r="H693" s="6">
        <v>0.12</v>
      </c>
      <c r="I693" s="7">
        <f t="shared" si="240"/>
        <v>0</v>
      </c>
      <c r="J693" s="130">
        <f t="shared" si="241"/>
        <v>0</v>
      </c>
      <c r="K693" s="710">
        <v>20</v>
      </c>
      <c r="L693" s="710">
        <v>1</v>
      </c>
      <c r="M693" s="710">
        <v>20</v>
      </c>
      <c r="N693" s="7">
        <f t="shared" si="242"/>
        <v>0</v>
      </c>
      <c r="O693" s="7"/>
      <c r="P693" s="7"/>
      <c r="Q693" s="7">
        <f t="shared" si="243"/>
        <v>0</v>
      </c>
      <c r="R693" s="7"/>
      <c r="S693" s="7"/>
      <c r="T693" s="7"/>
      <c r="U693" s="7" t="s">
        <v>2288</v>
      </c>
      <c r="V693" s="7" t="s">
        <v>2289</v>
      </c>
      <c r="W693" s="7" t="str">
        <f>Preencher!$B$3&amp;U693&amp;V693&amp;A693&amp;$W$6</f>
        <v>JARINU-FRG56308MQ.TUNEL DE CG (CONTINUO)</v>
      </c>
      <c r="X693" s="7" t="str">
        <f>Preencher!$B$3&amp;U693&amp;V693&amp;A693&amp;$X$6</f>
        <v>JARINU-FRG56308MQ.TUNEL DE CG (CONTINUO) (1)</v>
      </c>
      <c r="Y693" s="7" t="str">
        <f>Preencher!$B$3&amp;U693&amp;V693&amp;A693&amp;$Y$6</f>
        <v>JARINU-FRG56308MQ.TUNEL DE CG (CONTINUO) (2)</v>
      </c>
      <c r="Z693" s="7" t="str">
        <f>Preencher!$B$3&amp;U693&amp;V693&amp;A693&amp;$Z$6</f>
        <v>JARINU-FRG56308MQ.TUNEL DE CG (CONTINUO) (3)</v>
      </c>
      <c r="AA693" s="7" t="str">
        <f>Preencher!$B$3&amp;U693&amp;V693&amp;A693&amp;$AA$6</f>
        <v>JARINU-FRG56308MQ.TUNEL DE CG (ESTATICO)</v>
      </c>
      <c r="AB693" s="7" t="str">
        <f>Preencher!$B$3&amp;U693&amp;V693&amp;A693&amp;$AB$6</f>
        <v>JARINU-FRG56308MQ.TUNEL DE CG (ESTATICO) (1)</v>
      </c>
      <c r="AC693" s="7" t="str">
        <f>Preencher!$B$3&amp;U693&amp;V693&amp;A693&amp;$AC$6</f>
        <v>JARINU-FRG56308MQ.TUNEL DE CG (ESTATICO) (2)</v>
      </c>
      <c r="AD693" s="327">
        <f>IFERROR(SUMIF('BD Otimix'!A:A,'BD VOLUME'!X693,'BD Otimix'!O:O)+SUMIF('BD Otimix'!A:A,'BD VOLUME'!Y693,'BD Otimix'!O:O)+SUMIF('BD Otimix'!A:A,'BD VOLUME'!Z693,'BD Otimix'!O:O)+SUMIF('BD Otimix'!A:A,'BD VOLUME'!AA693,'BD Otimix'!O:O)+SUMIF('BD Otimix'!A:A,'BD VOLUME'!AB693,'BD Otimix'!O:O)+SUMIF('BD Otimix'!A:A,'BD VOLUME'!AC693,'BD Otimix'!O:O)+SUMIF('BD Otimix'!A:A,'BD VOLUME'!W693,'BD Otimix'!O:O),0)</f>
        <v>0</v>
      </c>
      <c r="AE693" s="327">
        <f t="shared" si="244"/>
        <v>0</v>
      </c>
      <c r="AF693" s="7" t="str">
        <f>Preencher!$B$3&amp;$U$8&amp;$V$8&amp;A693&amp;$AF$6</f>
        <v>JARINU-FRG56308MQ.GIROFREEZER</v>
      </c>
      <c r="AG693" s="7" t="str">
        <f>Preencher!$B$3&amp;$U$8&amp;$V$8&amp;A693&amp;$AG$6</f>
        <v>JARINU-FRG56308MQ.GIROFREEZER (1)</v>
      </c>
      <c r="AH693" s="7" t="str">
        <f>Preencher!$B$3&amp;$U$8&amp;$V$8&amp;A693&amp;$AH$6</f>
        <v>JARINU-FRG56308MQ.GIROFREEZER (2)</v>
      </c>
      <c r="AI693" s="7" t="str">
        <f>Preencher!$B$3&amp;$U$8&amp;$V$8&amp;A693&amp;$AI$6</f>
        <v>JARINU-FRG56308MQ.GIROFREEZER REV04</v>
      </c>
      <c r="AJ693" s="7" t="str">
        <f>Preencher!$B$3&amp;$U$8&amp;$V$8&amp;A693&amp;$AJ$6</f>
        <v>JARINU-FRG56308MQ.GIROFREEZER (3)</v>
      </c>
      <c r="AK693" s="327">
        <f>IFERROR(SUMIF('BD Otimix'!A:A,'BD VOLUME'!AG693,'BD Otimix'!O:O)+SUMIF('BD Otimix'!A:A,'BD VOLUME'!AH693,'BD Otimix'!O:O)+SUMIF('BD Otimix'!A:A,'BD VOLUME'!AI693,'BD Otimix'!O:O)+SUMIF('BD Otimix'!A:A,'BD VOLUME'!AJ693,'BD Otimix'!O:O)+SUMIF('BD Otimix'!A:A,'BD VOLUME'!AF693,'BD Otimix'!O:O),0)</f>
        <v>0</v>
      </c>
      <c r="AL693" s="7">
        <f t="shared" si="245"/>
        <v>0</v>
      </c>
    </row>
    <row r="694" spans="1:38">
      <c r="A694" s="710">
        <v>95605</v>
      </c>
      <c r="B694" s="710" t="s">
        <v>2730</v>
      </c>
      <c r="C694" s="5" t="s">
        <v>2731</v>
      </c>
      <c r="D694" s="5" t="s">
        <v>896</v>
      </c>
      <c r="E694" s="5" t="s">
        <v>2</v>
      </c>
      <c r="F694" s="132">
        <f>SUMIF('COLAR PLANO'!$A:$A,A694,'COLAR PLANO'!$D:$D)</f>
        <v>0</v>
      </c>
      <c r="G694" s="131">
        <f t="shared" si="239"/>
        <v>0</v>
      </c>
      <c r="H694" s="6">
        <v>0.12</v>
      </c>
      <c r="I694" s="7">
        <f t="shared" si="240"/>
        <v>0</v>
      </c>
      <c r="J694" s="130">
        <f t="shared" si="241"/>
        <v>0</v>
      </c>
      <c r="K694" s="710">
        <v>20</v>
      </c>
      <c r="L694" s="710">
        <v>1</v>
      </c>
      <c r="M694" s="710">
        <v>20</v>
      </c>
      <c r="N694" s="7">
        <f t="shared" si="242"/>
        <v>0</v>
      </c>
      <c r="O694" s="7"/>
      <c r="P694" s="7"/>
      <c r="Q694" s="7">
        <f t="shared" si="243"/>
        <v>0</v>
      </c>
      <c r="R694" s="7"/>
      <c r="S694" s="7"/>
      <c r="T694" s="7"/>
      <c r="U694" s="7" t="s">
        <v>2288</v>
      </c>
      <c r="V694" s="7" t="s">
        <v>2289</v>
      </c>
      <c r="W694" s="7" t="str">
        <f>Preencher!$B$3&amp;U694&amp;V694&amp;A694&amp;$W$6</f>
        <v>JARINU-FRG95605MQ.TUNEL DE CG (CONTINUO)</v>
      </c>
      <c r="X694" s="7" t="str">
        <f>Preencher!$B$3&amp;U694&amp;V694&amp;A694&amp;$X$6</f>
        <v>JARINU-FRG95605MQ.TUNEL DE CG (CONTINUO) (1)</v>
      </c>
      <c r="Y694" s="7" t="str">
        <f>Preencher!$B$3&amp;U694&amp;V694&amp;A694&amp;$Y$6</f>
        <v>JARINU-FRG95605MQ.TUNEL DE CG (CONTINUO) (2)</v>
      </c>
      <c r="Z694" s="7" t="str">
        <f>Preencher!$B$3&amp;U694&amp;V694&amp;A694&amp;$Z$6</f>
        <v>JARINU-FRG95605MQ.TUNEL DE CG (CONTINUO) (3)</v>
      </c>
      <c r="AA694" s="7" t="str">
        <f>Preencher!$B$3&amp;U694&amp;V694&amp;A694&amp;$AA$6</f>
        <v>JARINU-FRG95605MQ.TUNEL DE CG (ESTATICO)</v>
      </c>
      <c r="AB694" s="7" t="str">
        <f>Preencher!$B$3&amp;U694&amp;V694&amp;A694&amp;$AB$6</f>
        <v>JARINU-FRG95605MQ.TUNEL DE CG (ESTATICO) (1)</v>
      </c>
      <c r="AC694" s="7" t="str">
        <f>Preencher!$B$3&amp;U694&amp;V694&amp;A694&amp;$AC$6</f>
        <v>JARINU-FRG95605MQ.TUNEL DE CG (ESTATICO) (2)</v>
      </c>
      <c r="AD694" s="327">
        <f>IFERROR(SUMIF('BD Otimix'!A:A,'BD VOLUME'!X694,'BD Otimix'!O:O)+SUMIF('BD Otimix'!A:A,'BD VOLUME'!Y694,'BD Otimix'!O:O)+SUMIF('BD Otimix'!A:A,'BD VOLUME'!Z694,'BD Otimix'!O:O)+SUMIF('BD Otimix'!A:A,'BD VOLUME'!AA694,'BD Otimix'!O:O)+SUMIF('BD Otimix'!A:A,'BD VOLUME'!AB694,'BD Otimix'!O:O)+SUMIF('BD Otimix'!A:A,'BD VOLUME'!AC694,'BD Otimix'!O:O)+SUMIF('BD Otimix'!A:A,'BD VOLUME'!W694,'BD Otimix'!O:O),0)</f>
        <v>0</v>
      </c>
      <c r="AE694" s="327">
        <f t="shared" si="244"/>
        <v>0</v>
      </c>
      <c r="AF694" s="7" t="str">
        <f>Preencher!$B$3&amp;$U$8&amp;$V$8&amp;A694&amp;$AF$6</f>
        <v>JARINU-FRG95605MQ.GIROFREEZER</v>
      </c>
      <c r="AG694" s="7" t="str">
        <f>Preencher!$B$3&amp;$U$8&amp;$V$8&amp;A694&amp;$AG$6</f>
        <v>JARINU-FRG95605MQ.GIROFREEZER (1)</v>
      </c>
      <c r="AH694" s="7" t="str">
        <f>Preencher!$B$3&amp;$U$8&amp;$V$8&amp;A694&amp;$AH$6</f>
        <v>JARINU-FRG95605MQ.GIROFREEZER (2)</v>
      </c>
      <c r="AI694" s="7" t="str">
        <f>Preencher!$B$3&amp;$U$8&amp;$V$8&amp;A694&amp;$AI$6</f>
        <v>JARINU-FRG95605MQ.GIROFREEZER REV04</v>
      </c>
      <c r="AJ694" s="7" t="str">
        <f>Preencher!$B$3&amp;$U$8&amp;$V$8&amp;A694&amp;$AJ$6</f>
        <v>JARINU-FRG95605MQ.GIROFREEZER (3)</v>
      </c>
      <c r="AK694" s="327">
        <f>IFERROR(SUMIF('BD Otimix'!A:A,'BD VOLUME'!AG694,'BD Otimix'!O:O)+SUMIF('BD Otimix'!A:A,'BD VOLUME'!AH694,'BD Otimix'!O:O)+SUMIF('BD Otimix'!A:A,'BD VOLUME'!AI694,'BD Otimix'!O:O)+SUMIF('BD Otimix'!A:A,'BD VOLUME'!AJ694,'BD Otimix'!O:O)+SUMIF('BD Otimix'!A:A,'BD VOLUME'!AF694,'BD Otimix'!O:O),0)</f>
        <v>0</v>
      </c>
      <c r="AL694" s="7">
        <f t="shared" si="245"/>
        <v>0</v>
      </c>
    </row>
    <row r="695" spans="1:38">
      <c r="A695" s="710">
        <v>95338</v>
      </c>
      <c r="B695" s="710" t="s">
        <v>2732</v>
      </c>
      <c r="C695" s="5" t="s">
        <v>2731</v>
      </c>
      <c r="D695" s="5" t="s">
        <v>896</v>
      </c>
      <c r="E695" s="5" t="s">
        <v>2</v>
      </c>
      <c r="F695" s="132">
        <f>SUMIF('COLAR PLANO'!$A:$A,A695,'COLAR PLANO'!$D:$D)</f>
        <v>0</v>
      </c>
      <c r="G695" s="131">
        <f t="shared" si="239"/>
        <v>0</v>
      </c>
      <c r="H695" s="6">
        <v>0.12</v>
      </c>
      <c r="I695" s="7">
        <f t="shared" si="240"/>
        <v>0</v>
      </c>
      <c r="J695" s="130">
        <f t="shared" si="241"/>
        <v>0</v>
      </c>
      <c r="K695" s="710">
        <v>20</v>
      </c>
      <c r="L695" s="710">
        <v>1</v>
      </c>
      <c r="M695" s="710">
        <v>20</v>
      </c>
      <c r="N695" s="7">
        <f t="shared" si="242"/>
        <v>0</v>
      </c>
      <c r="O695" s="7"/>
      <c r="P695" s="7"/>
      <c r="Q695" s="7">
        <f t="shared" si="243"/>
        <v>0</v>
      </c>
      <c r="R695" s="7"/>
      <c r="S695" s="7"/>
      <c r="T695" s="7"/>
      <c r="U695" s="7" t="s">
        <v>2288</v>
      </c>
      <c r="V695" s="7" t="s">
        <v>2289</v>
      </c>
      <c r="W695" s="7" t="str">
        <f>Preencher!$B$3&amp;U695&amp;V695&amp;A695&amp;$W$6</f>
        <v>JARINU-FRG95338MQ.TUNEL DE CG (CONTINUO)</v>
      </c>
      <c r="X695" s="7" t="str">
        <f>Preencher!$B$3&amp;U695&amp;V695&amp;A695&amp;$X$6</f>
        <v>JARINU-FRG95338MQ.TUNEL DE CG (CONTINUO) (1)</v>
      </c>
      <c r="Y695" s="7" t="str">
        <f>Preencher!$B$3&amp;U695&amp;V695&amp;A695&amp;$Y$6</f>
        <v>JARINU-FRG95338MQ.TUNEL DE CG (CONTINUO) (2)</v>
      </c>
      <c r="Z695" s="7" t="str">
        <f>Preencher!$B$3&amp;U695&amp;V695&amp;A695&amp;$Z$6</f>
        <v>JARINU-FRG95338MQ.TUNEL DE CG (CONTINUO) (3)</v>
      </c>
      <c r="AA695" s="7" t="str">
        <f>Preencher!$B$3&amp;U695&amp;V695&amp;A695&amp;$AA$6</f>
        <v>JARINU-FRG95338MQ.TUNEL DE CG (ESTATICO)</v>
      </c>
      <c r="AB695" s="7" t="str">
        <f>Preencher!$B$3&amp;U695&amp;V695&amp;A695&amp;$AB$6</f>
        <v>JARINU-FRG95338MQ.TUNEL DE CG (ESTATICO) (1)</v>
      </c>
      <c r="AC695" s="7" t="str">
        <f>Preencher!$B$3&amp;U695&amp;V695&amp;A695&amp;$AC$6</f>
        <v>JARINU-FRG95338MQ.TUNEL DE CG (ESTATICO) (2)</v>
      </c>
      <c r="AD695" s="327">
        <f>IFERROR(SUMIF('BD Otimix'!A:A,'BD VOLUME'!X695,'BD Otimix'!O:O)+SUMIF('BD Otimix'!A:A,'BD VOLUME'!Y695,'BD Otimix'!O:O)+SUMIF('BD Otimix'!A:A,'BD VOLUME'!Z695,'BD Otimix'!O:O)+SUMIF('BD Otimix'!A:A,'BD VOLUME'!AA695,'BD Otimix'!O:O)+SUMIF('BD Otimix'!A:A,'BD VOLUME'!AB695,'BD Otimix'!O:O)+SUMIF('BD Otimix'!A:A,'BD VOLUME'!AC695,'BD Otimix'!O:O)+SUMIF('BD Otimix'!A:A,'BD VOLUME'!W695,'BD Otimix'!O:O),0)</f>
        <v>0</v>
      </c>
      <c r="AE695" s="327">
        <f t="shared" si="244"/>
        <v>0</v>
      </c>
      <c r="AF695" s="7" t="str">
        <f>Preencher!$B$3&amp;$U$8&amp;$V$8&amp;A695&amp;$AF$6</f>
        <v>JARINU-FRG95338MQ.GIROFREEZER</v>
      </c>
      <c r="AG695" s="7" t="str">
        <f>Preencher!$B$3&amp;$U$8&amp;$V$8&amp;A695&amp;$AG$6</f>
        <v>JARINU-FRG95338MQ.GIROFREEZER (1)</v>
      </c>
      <c r="AH695" s="7" t="str">
        <f>Preencher!$B$3&amp;$U$8&amp;$V$8&amp;A695&amp;$AH$6</f>
        <v>JARINU-FRG95338MQ.GIROFREEZER (2)</v>
      </c>
      <c r="AI695" s="7" t="str">
        <f>Preencher!$B$3&amp;$U$8&amp;$V$8&amp;A695&amp;$AI$6</f>
        <v>JARINU-FRG95338MQ.GIROFREEZER REV04</v>
      </c>
      <c r="AJ695" s="7" t="str">
        <f>Preencher!$B$3&amp;$U$8&amp;$V$8&amp;A695&amp;$AJ$6</f>
        <v>JARINU-FRG95338MQ.GIROFREEZER (3)</v>
      </c>
      <c r="AK695" s="327">
        <f>IFERROR(SUMIF('BD Otimix'!A:A,'BD VOLUME'!AG695,'BD Otimix'!O:O)+SUMIF('BD Otimix'!A:A,'BD VOLUME'!AH695,'BD Otimix'!O:O)+SUMIF('BD Otimix'!A:A,'BD VOLUME'!AI695,'BD Otimix'!O:O)+SUMIF('BD Otimix'!A:A,'BD VOLUME'!AJ695,'BD Otimix'!O:O)+SUMIF('BD Otimix'!A:A,'BD VOLUME'!AF695,'BD Otimix'!O:O),0)</f>
        <v>0</v>
      </c>
      <c r="AL695" s="7">
        <f t="shared" si="245"/>
        <v>0</v>
      </c>
    </row>
    <row r="696" spans="1:38">
      <c r="A696" s="710">
        <v>236518</v>
      </c>
      <c r="B696" s="710"/>
      <c r="C696" s="5" t="s">
        <v>3151</v>
      </c>
      <c r="D696" s="5" t="s">
        <v>896</v>
      </c>
      <c r="E696" s="5" t="s">
        <v>2</v>
      </c>
      <c r="F696" s="132">
        <f>SUMIF('COLAR PLANO'!$A:$A,A696,'COLAR PLANO'!$D:$D)</f>
        <v>0</v>
      </c>
      <c r="G696" s="131">
        <f t="shared" si="239"/>
        <v>0</v>
      </c>
      <c r="H696" s="6">
        <v>0.12</v>
      </c>
      <c r="I696" s="7">
        <f t="shared" si="240"/>
        <v>0</v>
      </c>
      <c r="J696" s="130">
        <f t="shared" si="241"/>
        <v>0</v>
      </c>
      <c r="K696" s="720">
        <v>20</v>
      </c>
      <c r="L696" s="720">
        <v>1</v>
      </c>
      <c r="M696" s="720">
        <v>20</v>
      </c>
      <c r="N696" s="7">
        <f t="shared" si="242"/>
        <v>0</v>
      </c>
      <c r="O696" s="7"/>
      <c r="P696" s="7"/>
      <c r="Q696" s="7">
        <f t="shared" si="243"/>
        <v>0</v>
      </c>
      <c r="R696" s="7"/>
      <c r="S696" s="7"/>
      <c r="T696" s="7"/>
      <c r="U696" s="7" t="s">
        <v>2288</v>
      </c>
      <c r="V696" s="7" t="s">
        <v>2289</v>
      </c>
      <c r="W696" s="7" t="str">
        <f>Preencher!$B$3&amp;U696&amp;V696&amp;A696&amp;$W$6</f>
        <v>JARINU-FRG236518MQ.TUNEL DE CG (CONTINUO)</v>
      </c>
      <c r="X696" s="7" t="str">
        <f>Preencher!$B$3&amp;U696&amp;V696&amp;A696&amp;$X$6</f>
        <v>JARINU-FRG236518MQ.TUNEL DE CG (CONTINUO) (1)</v>
      </c>
      <c r="Y696" s="7" t="str">
        <f>Preencher!$B$3&amp;U696&amp;V696&amp;A696&amp;$Y$6</f>
        <v>JARINU-FRG236518MQ.TUNEL DE CG (CONTINUO) (2)</v>
      </c>
      <c r="Z696" s="7" t="str">
        <f>Preencher!$B$3&amp;U696&amp;V696&amp;A696&amp;$Z$6</f>
        <v>JARINU-FRG236518MQ.TUNEL DE CG (CONTINUO) (3)</v>
      </c>
      <c r="AA696" s="7" t="str">
        <f>Preencher!$B$3&amp;U696&amp;V696&amp;A696&amp;$AA$6</f>
        <v>JARINU-FRG236518MQ.TUNEL DE CG (ESTATICO)</v>
      </c>
      <c r="AB696" s="7" t="str">
        <f>Preencher!$B$3&amp;U696&amp;V696&amp;A696&amp;$AB$6</f>
        <v>JARINU-FRG236518MQ.TUNEL DE CG (ESTATICO) (1)</v>
      </c>
      <c r="AC696" s="7" t="str">
        <f>Preencher!$B$3&amp;U696&amp;V696&amp;A696&amp;$AC$6</f>
        <v>JARINU-FRG236518MQ.TUNEL DE CG (ESTATICO) (2)</v>
      </c>
      <c r="AD696" s="327">
        <f>IFERROR(SUMIF('BD Otimix'!A:A,'BD VOLUME'!X696,'BD Otimix'!O:O)+SUMIF('BD Otimix'!A:A,'BD VOLUME'!Y696,'BD Otimix'!O:O)+SUMIF('BD Otimix'!A:A,'BD VOLUME'!Z696,'BD Otimix'!O:O)+SUMIF('BD Otimix'!A:A,'BD VOLUME'!AA696,'BD Otimix'!O:O)+SUMIF('BD Otimix'!A:A,'BD VOLUME'!AB696,'BD Otimix'!O:O)+SUMIF('BD Otimix'!A:A,'BD VOLUME'!AC696,'BD Otimix'!O:O)+SUMIF('BD Otimix'!A:A,'BD VOLUME'!W696,'BD Otimix'!O:O),0)</f>
        <v>0</v>
      </c>
      <c r="AE696" s="327">
        <f t="shared" si="244"/>
        <v>0</v>
      </c>
      <c r="AF696" s="7" t="str">
        <f>Preencher!$B$3&amp;$U$8&amp;$V$8&amp;A696&amp;$AF$6</f>
        <v>JARINU-FRG236518MQ.GIROFREEZER</v>
      </c>
      <c r="AG696" s="7" t="str">
        <f>Preencher!$B$3&amp;$U$8&amp;$V$8&amp;A696&amp;$AG$6</f>
        <v>JARINU-FRG236518MQ.GIROFREEZER (1)</v>
      </c>
      <c r="AH696" s="7" t="str">
        <f>Preencher!$B$3&amp;$U$8&amp;$V$8&amp;A696&amp;$AH$6</f>
        <v>JARINU-FRG236518MQ.GIROFREEZER (2)</v>
      </c>
      <c r="AI696" s="7" t="str">
        <f>Preencher!$B$3&amp;$U$8&amp;$V$8&amp;A696&amp;$AI$6</f>
        <v>JARINU-FRG236518MQ.GIROFREEZER REV04</v>
      </c>
      <c r="AJ696" s="7" t="str">
        <f>Preencher!$B$3&amp;$U$8&amp;$V$8&amp;A696&amp;$AJ$6</f>
        <v>JARINU-FRG236518MQ.GIROFREEZER (3)</v>
      </c>
      <c r="AK696" s="327">
        <f>IFERROR(SUMIF('BD Otimix'!A:A,'BD VOLUME'!AG696,'BD Otimix'!O:O)+SUMIF('BD Otimix'!A:A,'BD VOLUME'!AH696,'BD Otimix'!O:O)+SUMIF('BD Otimix'!A:A,'BD VOLUME'!AI696,'BD Otimix'!O:O)+SUMIF('BD Otimix'!A:A,'BD VOLUME'!AJ696,'BD Otimix'!O:O)+SUMIF('BD Otimix'!A:A,'BD VOLUME'!AF696,'BD Otimix'!O:O),0)</f>
        <v>0</v>
      </c>
      <c r="AL696" s="7">
        <f t="shared" si="245"/>
        <v>0</v>
      </c>
    </row>
    <row r="697" spans="1:38">
      <c r="A697" s="710"/>
      <c r="B697" s="710"/>
      <c r="C697" s="5"/>
      <c r="D697" s="5"/>
      <c r="E697" s="5"/>
      <c r="F697" s="132">
        <f>SUMIF('COLAR PLANO'!$A:$A,A697,'COLAR PLANO'!$D:$D)</f>
        <v>0</v>
      </c>
      <c r="G697" s="131"/>
      <c r="H697" s="6"/>
      <c r="I697" s="7"/>
      <c r="J697" s="130"/>
      <c r="K697" s="710"/>
      <c r="L697" s="710"/>
      <c r="M697" s="710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327"/>
      <c r="AE697" s="327"/>
      <c r="AF697" s="7"/>
      <c r="AG697" s="7"/>
      <c r="AH697" s="7"/>
      <c r="AI697" s="7"/>
      <c r="AJ697" s="7"/>
      <c r="AK697" s="327"/>
      <c r="AL697" s="7"/>
    </row>
    <row r="698" spans="1:38">
      <c r="A698" s="651">
        <v>794708</v>
      </c>
      <c r="B698" s="651" t="s">
        <v>2366</v>
      </c>
      <c r="C698" s="5" t="s">
        <v>2236</v>
      </c>
      <c r="D698" s="5" t="s">
        <v>896</v>
      </c>
      <c r="E698" s="5" t="s">
        <v>2</v>
      </c>
      <c r="F698" s="132">
        <f>SUMIF('COLAR PLANO'!$A:$A,A698,'COLAR PLANO'!$D:$D)</f>
        <v>0</v>
      </c>
      <c r="G698" s="131">
        <f t="shared" ref="G698:G710" si="246">IFERROR(F698/($E$3*$C$3),0)</f>
        <v>0</v>
      </c>
      <c r="H698" s="6">
        <v>0.12</v>
      </c>
      <c r="I698" s="7">
        <f t="shared" ref="I698:I710" si="247">IFERROR(G698/$D$3/H698,0)</f>
        <v>0</v>
      </c>
      <c r="J698" s="130">
        <f t="shared" ref="J698:J710" si="248">IFERROR(I698/$B$3,0)</f>
        <v>0</v>
      </c>
      <c r="K698" s="651">
        <v>20</v>
      </c>
      <c r="L698" s="651">
        <v>1</v>
      </c>
      <c r="M698" s="651">
        <v>20</v>
      </c>
      <c r="N698" s="7">
        <f t="shared" ref="N698:N710" si="249">IFERROR(G698/K698,"-")</f>
        <v>0</v>
      </c>
      <c r="O698" s="7"/>
      <c r="P698" s="7"/>
      <c r="Q698" s="7">
        <f t="shared" ref="Q698:Q710" si="250">IFERROR(G698/M698,0)</f>
        <v>0</v>
      </c>
      <c r="R698" s="7"/>
      <c r="S698" s="7"/>
      <c r="T698" s="7"/>
      <c r="U698" s="7" t="s">
        <v>2288</v>
      </c>
      <c r="V698" s="7" t="s">
        <v>2289</v>
      </c>
      <c r="W698" s="7" t="str">
        <f>Preencher!$B$3&amp;U698&amp;V698&amp;A698&amp;$W$6</f>
        <v>JARINU-FRG794708MQ.TUNEL DE CG (CONTINUO)</v>
      </c>
      <c r="X698" s="7" t="str">
        <f>Preencher!$B$3&amp;U698&amp;V698&amp;A698&amp;$X$6</f>
        <v>JARINU-FRG794708MQ.TUNEL DE CG (CONTINUO) (1)</v>
      </c>
      <c r="Y698" s="7" t="str">
        <f>Preencher!$B$3&amp;U698&amp;V698&amp;A698&amp;$Y$6</f>
        <v>JARINU-FRG794708MQ.TUNEL DE CG (CONTINUO) (2)</v>
      </c>
      <c r="Z698" s="7" t="str">
        <f>Preencher!$B$3&amp;U698&amp;V698&amp;A698&amp;$Z$6</f>
        <v>JARINU-FRG794708MQ.TUNEL DE CG (CONTINUO) (3)</v>
      </c>
      <c r="AA698" s="7" t="str">
        <f>Preencher!$B$3&amp;U698&amp;V698&amp;A698&amp;$AA$6</f>
        <v>JARINU-FRG794708MQ.TUNEL DE CG (ESTATICO)</v>
      </c>
      <c r="AB698" s="7" t="str">
        <f>Preencher!$B$3&amp;U698&amp;V698&amp;A698&amp;$AB$6</f>
        <v>JARINU-FRG794708MQ.TUNEL DE CG (ESTATICO) (1)</v>
      </c>
      <c r="AC698" s="7" t="str">
        <f>Preencher!$B$3&amp;U698&amp;V698&amp;A698&amp;$AC$6</f>
        <v>JARINU-FRG794708MQ.TUNEL DE CG (ESTATICO) (2)</v>
      </c>
      <c r="AD698" s="327">
        <f>IFERROR(SUMIF('BD Otimix'!A:A,'BD VOLUME'!X698,'BD Otimix'!O:O)+SUMIF('BD Otimix'!A:A,'BD VOLUME'!Y698,'BD Otimix'!O:O)+SUMIF('BD Otimix'!A:A,'BD VOLUME'!Z698,'BD Otimix'!O:O)+SUMIF('BD Otimix'!A:A,'BD VOLUME'!AA698,'BD Otimix'!O:O)+SUMIF('BD Otimix'!A:A,'BD VOLUME'!AB698,'BD Otimix'!O:O)+SUMIF('BD Otimix'!A:A,'BD VOLUME'!AC698,'BD Otimix'!O:O)+SUMIF('BD Otimix'!A:A,'BD VOLUME'!W698,'BD Otimix'!O:O),0)</f>
        <v>0</v>
      </c>
      <c r="AE698" s="327">
        <f t="shared" si="237"/>
        <v>0</v>
      </c>
      <c r="AF698" s="7" t="str">
        <f>Preencher!$B$3&amp;$U$8&amp;$V$8&amp;A698&amp;$AF$6</f>
        <v>JARINU-FRG794708MQ.GIROFREEZER</v>
      </c>
      <c r="AG698" s="7" t="str">
        <f>Preencher!$B$3&amp;$U$8&amp;$V$8&amp;A698&amp;$AG$6</f>
        <v>JARINU-FRG794708MQ.GIROFREEZER (1)</v>
      </c>
      <c r="AH698" s="7" t="str">
        <f>Preencher!$B$3&amp;$U$8&amp;$V$8&amp;A698&amp;$AH$6</f>
        <v>JARINU-FRG794708MQ.GIROFREEZER (2)</v>
      </c>
      <c r="AI698" s="7" t="str">
        <f>Preencher!$B$3&amp;$U$8&amp;$V$8&amp;A698&amp;$AI$6</f>
        <v>JARINU-FRG794708MQ.GIROFREEZER REV04</v>
      </c>
      <c r="AJ698" s="7" t="str">
        <f>Preencher!$B$3&amp;$U$8&amp;$V$8&amp;A698&amp;$AJ$6</f>
        <v>JARINU-FRG794708MQ.GIROFREEZER (3)</v>
      </c>
      <c r="AK698" s="327">
        <f>IFERROR(SUMIF('BD Otimix'!A:A,'BD VOLUME'!AG698,'BD Otimix'!O:O)+SUMIF('BD Otimix'!A:A,'BD VOLUME'!AH698,'BD Otimix'!O:O)+SUMIF('BD Otimix'!A:A,'BD VOLUME'!AI698,'BD Otimix'!O:O)+SUMIF('BD Otimix'!A:A,'BD VOLUME'!AJ698,'BD Otimix'!O:O)+SUMIF('BD Otimix'!A:A,'BD VOLUME'!AF698,'BD Otimix'!O:O),0)</f>
        <v>0</v>
      </c>
      <c r="AL698" s="7">
        <f t="shared" si="238"/>
        <v>0</v>
      </c>
    </row>
    <row r="699" spans="1:38">
      <c r="A699" s="651">
        <v>645184</v>
      </c>
      <c r="B699" s="651" t="s">
        <v>2367</v>
      </c>
      <c r="C699" s="5" t="s">
        <v>2256</v>
      </c>
      <c r="D699" s="5" t="s">
        <v>896</v>
      </c>
      <c r="E699" s="5" t="s">
        <v>2</v>
      </c>
      <c r="F699" s="132">
        <f>SUMIF('COLAR PLANO'!$A:$A,A699,'COLAR PLANO'!$D:$D)</f>
        <v>0</v>
      </c>
      <c r="G699" s="131">
        <f t="shared" si="246"/>
        <v>0</v>
      </c>
      <c r="H699" s="6">
        <v>0.12</v>
      </c>
      <c r="I699" s="7">
        <f t="shared" si="247"/>
        <v>0</v>
      </c>
      <c r="J699" s="130">
        <f t="shared" si="248"/>
        <v>0</v>
      </c>
      <c r="K699" s="651">
        <v>20</v>
      </c>
      <c r="L699" s="651">
        <v>1</v>
      </c>
      <c r="M699" s="651">
        <v>20</v>
      </c>
      <c r="N699" s="7">
        <f t="shared" si="249"/>
        <v>0</v>
      </c>
      <c r="O699" s="7"/>
      <c r="P699" s="7"/>
      <c r="Q699" s="7">
        <f t="shared" si="250"/>
        <v>0</v>
      </c>
      <c r="R699" s="7"/>
      <c r="S699" s="7"/>
      <c r="T699" s="7"/>
      <c r="U699" s="7" t="s">
        <v>2288</v>
      </c>
      <c r="V699" s="7" t="s">
        <v>2289</v>
      </c>
      <c r="W699" s="7" t="str">
        <f>Preencher!$B$3&amp;U699&amp;V699&amp;A699&amp;$W$6</f>
        <v>JARINU-FRG645184MQ.TUNEL DE CG (CONTINUO)</v>
      </c>
      <c r="X699" s="7" t="str">
        <f>Preencher!$B$3&amp;U699&amp;V699&amp;A699&amp;$X$6</f>
        <v>JARINU-FRG645184MQ.TUNEL DE CG (CONTINUO) (1)</v>
      </c>
      <c r="Y699" s="7" t="str">
        <f>Preencher!$B$3&amp;U699&amp;V699&amp;A699&amp;$Y$6</f>
        <v>JARINU-FRG645184MQ.TUNEL DE CG (CONTINUO) (2)</v>
      </c>
      <c r="Z699" s="7" t="str">
        <f>Preencher!$B$3&amp;U699&amp;V699&amp;A699&amp;$Z$6</f>
        <v>JARINU-FRG645184MQ.TUNEL DE CG (CONTINUO) (3)</v>
      </c>
      <c r="AA699" s="7" t="str">
        <f>Preencher!$B$3&amp;U699&amp;V699&amp;A699&amp;$AA$6</f>
        <v>JARINU-FRG645184MQ.TUNEL DE CG (ESTATICO)</v>
      </c>
      <c r="AB699" s="7" t="str">
        <f>Preencher!$B$3&amp;U699&amp;V699&amp;A699&amp;$AB$6</f>
        <v>JARINU-FRG645184MQ.TUNEL DE CG (ESTATICO) (1)</v>
      </c>
      <c r="AC699" s="7" t="str">
        <f>Preencher!$B$3&amp;U699&amp;V699&amp;A699&amp;$AC$6</f>
        <v>JARINU-FRG645184MQ.TUNEL DE CG (ESTATICO) (2)</v>
      </c>
      <c r="AD699" s="327">
        <f>IFERROR(SUMIF('BD Otimix'!A:A,'BD VOLUME'!X699,'BD Otimix'!O:O)+SUMIF('BD Otimix'!A:A,'BD VOLUME'!Y699,'BD Otimix'!O:O)+SUMIF('BD Otimix'!A:A,'BD VOLUME'!Z699,'BD Otimix'!O:O)+SUMIF('BD Otimix'!A:A,'BD VOLUME'!AA699,'BD Otimix'!O:O)+SUMIF('BD Otimix'!A:A,'BD VOLUME'!AB699,'BD Otimix'!O:O)+SUMIF('BD Otimix'!A:A,'BD VOLUME'!AC699,'BD Otimix'!O:O)+SUMIF('BD Otimix'!A:A,'BD VOLUME'!W699,'BD Otimix'!O:O),0)</f>
        <v>0</v>
      </c>
      <c r="AE699" s="327">
        <f t="shared" si="237"/>
        <v>0</v>
      </c>
      <c r="AF699" s="7" t="str">
        <f>Preencher!$B$3&amp;$U$8&amp;$V$8&amp;A699&amp;$AF$6</f>
        <v>JARINU-FRG645184MQ.GIROFREEZER</v>
      </c>
      <c r="AG699" s="7" t="str">
        <f>Preencher!$B$3&amp;$U$8&amp;$V$8&amp;A699&amp;$AG$6</f>
        <v>JARINU-FRG645184MQ.GIROFREEZER (1)</v>
      </c>
      <c r="AH699" s="7" t="str">
        <f>Preencher!$B$3&amp;$U$8&amp;$V$8&amp;A699&amp;$AH$6</f>
        <v>JARINU-FRG645184MQ.GIROFREEZER (2)</v>
      </c>
      <c r="AI699" s="7" t="str">
        <f>Preencher!$B$3&amp;$U$8&amp;$V$8&amp;A699&amp;$AI$6</f>
        <v>JARINU-FRG645184MQ.GIROFREEZER REV04</v>
      </c>
      <c r="AJ699" s="7" t="str">
        <f>Preencher!$B$3&amp;$U$8&amp;$V$8&amp;A699&amp;$AJ$6</f>
        <v>JARINU-FRG645184MQ.GIROFREEZER (3)</v>
      </c>
      <c r="AK699" s="327">
        <f>IFERROR(SUMIF('BD Otimix'!A:A,'BD VOLUME'!AG699,'BD Otimix'!O:O)+SUMIF('BD Otimix'!A:A,'BD VOLUME'!AH699,'BD Otimix'!O:O)+SUMIF('BD Otimix'!A:A,'BD VOLUME'!AI699,'BD Otimix'!O:O)+SUMIF('BD Otimix'!A:A,'BD VOLUME'!AJ699,'BD Otimix'!O:O)+SUMIF('BD Otimix'!A:A,'BD VOLUME'!AF699,'BD Otimix'!O:O),0)</f>
        <v>0</v>
      </c>
      <c r="AL699" s="7">
        <f t="shared" si="238"/>
        <v>0</v>
      </c>
    </row>
    <row r="700" spans="1:38">
      <c r="A700" s="580">
        <v>94315</v>
      </c>
      <c r="B700" s="580"/>
      <c r="C700" s="5" t="s">
        <v>2084</v>
      </c>
      <c r="D700" s="5" t="s">
        <v>896</v>
      </c>
      <c r="E700" s="5" t="s">
        <v>2</v>
      </c>
      <c r="F700" s="132">
        <f>SUMIF('COLAR PLANO'!$A:$A,A700,'COLAR PLANO'!$D:$D)</f>
        <v>0</v>
      </c>
      <c r="G700" s="131">
        <f t="shared" si="246"/>
        <v>0</v>
      </c>
      <c r="H700" s="6">
        <v>0.12</v>
      </c>
      <c r="I700" s="7">
        <f t="shared" si="247"/>
        <v>0</v>
      </c>
      <c r="J700" s="130">
        <f t="shared" si="248"/>
        <v>0</v>
      </c>
      <c r="K700" s="580">
        <v>20</v>
      </c>
      <c r="L700" s="580">
        <v>1</v>
      </c>
      <c r="M700" s="580">
        <v>20</v>
      </c>
      <c r="N700" s="7">
        <f t="shared" si="249"/>
        <v>0</v>
      </c>
      <c r="O700" s="7"/>
      <c r="P700" s="7"/>
      <c r="Q700" s="7">
        <f t="shared" si="250"/>
        <v>0</v>
      </c>
      <c r="R700" s="7"/>
      <c r="S700" s="7"/>
      <c r="T700" s="7"/>
      <c r="U700" s="7" t="s">
        <v>2288</v>
      </c>
      <c r="V700" s="7" t="s">
        <v>2289</v>
      </c>
      <c r="W700" s="7" t="str">
        <f>Preencher!$B$3&amp;U700&amp;V700&amp;A700&amp;$W$6</f>
        <v>JARINU-FRG94315MQ.TUNEL DE CG (CONTINUO)</v>
      </c>
      <c r="X700" s="7" t="str">
        <f>Preencher!$B$3&amp;U700&amp;V700&amp;A700&amp;$X$6</f>
        <v>JARINU-FRG94315MQ.TUNEL DE CG (CONTINUO) (1)</v>
      </c>
      <c r="Y700" s="7" t="str">
        <f>Preencher!$B$3&amp;U700&amp;V700&amp;A700&amp;$Y$6</f>
        <v>JARINU-FRG94315MQ.TUNEL DE CG (CONTINUO) (2)</v>
      </c>
      <c r="Z700" s="7" t="str">
        <f>Preencher!$B$3&amp;U700&amp;V700&amp;A700&amp;$Z$6</f>
        <v>JARINU-FRG94315MQ.TUNEL DE CG (CONTINUO) (3)</v>
      </c>
      <c r="AA700" s="7" t="str">
        <f>Preencher!$B$3&amp;U700&amp;V700&amp;A700&amp;$AA$6</f>
        <v>JARINU-FRG94315MQ.TUNEL DE CG (ESTATICO)</v>
      </c>
      <c r="AB700" s="7" t="str">
        <f>Preencher!$B$3&amp;U700&amp;V700&amp;A700&amp;$AB$6</f>
        <v>JARINU-FRG94315MQ.TUNEL DE CG (ESTATICO) (1)</v>
      </c>
      <c r="AC700" s="7" t="str">
        <f>Preencher!$B$3&amp;U700&amp;V700&amp;A700&amp;$AC$6</f>
        <v>JARINU-FRG94315MQ.TUNEL DE CG (ESTATICO) (2)</v>
      </c>
      <c r="AD700" s="327">
        <f>IFERROR(SUMIF('BD Otimix'!A:A,'BD VOLUME'!X700,'BD Otimix'!O:O)+SUMIF('BD Otimix'!A:A,'BD VOLUME'!Y700,'BD Otimix'!O:O)+SUMIF('BD Otimix'!A:A,'BD VOLUME'!Z700,'BD Otimix'!O:O)+SUMIF('BD Otimix'!A:A,'BD VOLUME'!AA700,'BD Otimix'!O:O)+SUMIF('BD Otimix'!A:A,'BD VOLUME'!AB700,'BD Otimix'!O:O)+SUMIF('BD Otimix'!A:A,'BD VOLUME'!AC700,'BD Otimix'!O:O)+SUMIF('BD Otimix'!A:A,'BD VOLUME'!W700,'BD Otimix'!O:O),0)</f>
        <v>0</v>
      </c>
      <c r="AE700" s="327">
        <f t="shared" si="237"/>
        <v>0</v>
      </c>
      <c r="AF700" s="7" t="str">
        <f>Preencher!$B$3&amp;$U$8&amp;$V$8&amp;A700&amp;$AF$6</f>
        <v>JARINU-FRG94315MQ.GIROFREEZER</v>
      </c>
      <c r="AG700" s="7" t="str">
        <f>Preencher!$B$3&amp;$U$8&amp;$V$8&amp;A700&amp;$AG$6</f>
        <v>JARINU-FRG94315MQ.GIROFREEZER (1)</v>
      </c>
      <c r="AH700" s="7" t="str">
        <f>Preencher!$B$3&amp;$U$8&amp;$V$8&amp;A700&amp;$AH$6</f>
        <v>JARINU-FRG94315MQ.GIROFREEZER (2)</v>
      </c>
      <c r="AI700" s="7" t="str">
        <f>Preencher!$B$3&amp;$U$8&amp;$V$8&amp;A700&amp;$AI$6</f>
        <v>JARINU-FRG94315MQ.GIROFREEZER REV04</v>
      </c>
      <c r="AJ700" s="7" t="str">
        <f>Preencher!$B$3&amp;$U$8&amp;$V$8&amp;A700&amp;$AJ$6</f>
        <v>JARINU-FRG94315MQ.GIROFREEZER (3)</v>
      </c>
      <c r="AK700" s="327">
        <f>IFERROR(SUMIF('BD Otimix'!A:A,'BD VOLUME'!AG700,'BD Otimix'!O:O)+SUMIF('BD Otimix'!A:A,'BD VOLUME'!AH700,'BD Otimix'!O:O)+SUMIF('BD Otimix'!A:A,'BD VOLUME'!AI700,'BD Otimix'!O:O)+SUMIF('BD Otimix'!A:A,'BD VOLUME'!AJ700,'BD Otimix'!O:O)+SUMIF('BD Otimix'!A:A,'BD VOLUME'!AF700,'BD Otimix'!O:O),0)</f>
        <v>0</v>
      </c>
      <c r="AL700" s="7">
        <f t="shared" si="238"/>
        <v>0</v>
      </c>
    </row>
    <row r="701" spans="1:38">
      <c r="A701" s="128">
        <v>94323</v>
      </c>
      <c r="B701" s="128" t="s">
        <v>1022</v>
      </c>
      <c r="C701" s="5" t="s">
        <v>901</v>
      </c>
      <c r="D701" s="5" t="s">
        <v>896</v>
      </c>
      <c r="E701" s="5" t="s">
        <v>897</v>
      </c>
      <c r="F701" s="132">
        <f>SUMIF('COLAR PLANO'!$A:$A,A701,'COLAR PLANO'!$D:$D)</f>
        <v>0</v>
      </c>
      <c r="G701" s="131">
        <f t="shared" si="246"/>
        <v>0</v>
      </c>
      <c r="H701" s="6">
        <v>0.12</v>
      </c>
      <c r="I701" s="7">
        <f t="shared" si="247"/>
        <v>0</v>
      </c>
      <c r="J701" s="130">
        <f t="shared" si="248"/>
        <v>0</v>
      </c>
      <c r="K701" s="602">
        <v>15</v>
      </c>
      <c r="L701" s="602">
        <v>1</v>
      </c>
      <c r="M701" s="602">
        <v>15</v>
      </c>
      <c r="N701" s="7">
        <f t="shared" si="249"/>
        <v>0</v>
      </c>
      <c r="O701" s="7"/>
      <c r="P701" s="7"/>
      <c r="Q701" s="7">
        <f t="shared" si="250"/>
        <v>0</v>
      </c>
      <c r="R701" s="7"/>
      <c r="S701" s="7"/>
      <c r="T701" s="7"/>
      <c r="U701" s="7" t="s">
        <v>2288</v>
      </c>
      <c r="V701" s="7" t="s">
        <v>2289</v>
      </c>
      <c r="W701" s="7" t="str">
        <f>Preencher!$B$3&amp;U701&amp;V701&amp;A701&amp;$W$6</f>
        <v>JARINU-FRG94323MQ.TUNEL DE CG (CONTINUO)</v>
      </c>
      <c r="X701" s="7" t="str">
        <f>Preencher!$B$3&amp;U701&amp;V701&amp;A701&amp;$X$6</f>
        <v>JARINU-FRG94323MQ.TUNEL DE CG (CONTINUO) (1)</v>
      </c>
      <c r="Y701" s="7" t="str">
        <f>Preencher!$B$3&amp;U701&amp;V701&amp;A701&amp;$Y$6</f>
        <v>JARINU-FRG94323MQ.TUNEL DE CG (CONTINUO) (2)</v>
      </c>
      <c r="Z701" s="7" t="str">
        <f>Preencher!$B$3&amp;U701&amp;V701&amp;A701&amp;$Z$6</f>
        <v>JARINU-FRG94323MQ.TUNEL DE CG (CONTINUO) (3)</v>
      </c>
      <c r="AA701" s="7" t="str">
        <f>Preencher!$B$3&amp;U701&amp;V701&amp;A701&amp;$AA$6</f>
        <v>JARINU-FRG94323MQ.TUNEL DE CG (ESTATICO)</v>
      </c>
      <c r="AB701" s="7" t="str">
        <f>Preencher!$B$3&amp;U701&amp;V701&amp;A701&amp;$AB$6</f>
        <v>JARINU-FRG94323MQ.TUNEL DE CG (ESTATICO) (1)</v>
      </c>
      <c r="AC701" s="7" t="str">
        <f>Preencher!$B$3&amp;U701&amp;V701&amp;A701&amp;$AC$6</f>
        <v>JARINU-FRG94323MQ.TUNEL DE CG (ESTATICO) (2)</v>
      </c>
      <c r="AD701" s="327">
        <f>IFERROR(SUMIF('BD Otimix'!A:A,'BD VOLUME'!X701,'BD Otimix'!O:O)+SUMIF('BD Otimix'!A:A,'BD VOLUME'!Y701,'BD Otimix'!O:O)+SUMIF('BD Otimix'!A:A,'BD VOLUME'!Z701,'BD Otimix'!O:O)+SUMIF('BD Otimix'!A:A,'BD VOLUME'!AA701,'BD Otimix'!O:O)+SUMIF('BD Otimix'!A:A,'BD VOLUME'!AB701,'BD Otimix'!O:O)+SUMIF('BD Otimix'!A:A,'BD VOLUME'!AC701,'BD Otimix'!O:O)+SUMIF('BD Otimix'!A:A,'BD VOLUME'!W701,'BD Otimix'!O:O),0)</f>
        <v>0</v>
      </c>
      <c r="AE701" s="327">
        <f t="shared" si="237"/>
        <v>0</v>
      </c>
      <c r="AF701" s="7" t="str">
        <f>Preencher!$B$3&amp;$U$8&amp;$V$8&amp;A701&amp;$AF$6</f>
        <v>JARINU-FRG94323MQ.GIROFREEZER</v>
      </c>
      <c r="AG701" s="7" t="str">
        <f>Preencher!$B$3&amp;$U$8&amp;$V$8&amp;A701&amp;$AG$6</f>
        <v>JARINU-FRG94323MQ.GIROFREEZER (1)</v>
      </c>
      <c r="AH701" s="7" t="str">
        <f>Preencher!$B$3&amp;$U$8&amp;$V$8&amp;A701&amp;$AH$6</f>
        <v>JARINU-FRG94323MQ.GIROFREEZER (2)</v>
      </c>
      <c r="AI701" s="7" t="str">
        <f>Preencher!$B$3&amp;$U$8&amp;$V$8&amp;A701&amp;$AI$6</f>
        <v>JARINU-FRG94323MQ.GIROFREEZER REV04</v>
      </c>
      <c r="AJ701" s="7" t="str">
        <f>Preencher!$B$3&amp;$U$8&amp;$V$8&amp;A701&amp;$AJ$6</f>
        <v>JARINU-FRG94323MQ.GIROFREEZER (3)</v>
      </c>
      <c r="AK701" s="327">
        <f>IFERROR(SUMIF('BD Otimix'!A:A,'BD VOLUME'!AG701,'BD Otimix'!O:O)+SUMIF('BD Otimix'!A:A,'BD VOLUME'!AH701,'BD Otimix'!O:O)+SUMIF('BD Otimix'!A:A,'BD VOLUME'!AI701,'BD Otimix'!O:O)+SUMIF('BD Otimix'!A:A,'BD VOLUME'!AJ701,'BD Otimix'!O:O)+SUMIF('BD Otimix'!A:A,'BD VOLUME'!AF701,'BD Otimix'!O:O),0)</f>
        <v>0</v>
      </c>
      <c r="AL701" s="7">
        <f t="shared" si="238"/>
        <v>0</v>
      </c>
    </row>
    <row r="702" spans="1:38">
      <c r="A702" s="128">
        <v>794694</v>
      </c>
      <c r="B702" s="128" t="s">
        <v>900</v>
      </c>
      <c r="C702" s="5" t="s">
        <v>899</v>
      </c>
      <c r="D702" s="5" t="s">
        <v>896</v>
      </c>
      <c r="E702" s="5" t="s">
        <v>898</v>
      </c>
      <c r="F702" s="132">
        <f>SUMIF('COLAR PLANO'!$A:$A,A702,'COLAR PLANO'!$D:$D)</f>
        <v>0</v>
      </c>
      <c r="G702" s="131">
        <f t="shared" si="246"/>
        <v>0</v>
      </c>
      <c r="H702" s="6">
        <v>0.12</v>
      </c>
      <c r="I702" s="7">
        <f t="shared" si="247"/>
        <v>0</v>
      </c>
      <c r="J702" s="130">
        <f t="shared" si="248"/>
        <v>0</v>
      </c>
      <c r="K702" s="602">
        <v>15</v>
      </c>
      <c r="L702" s="602">
        <v>1</v>
      </c>
      <c r="M702" s="602">
        <v>15</v>
      </c>
      <c r="N702" s="7">
        <f t="shared" si="249"/>
        <v>0</v>
      </c>
      <c r="O702" s="7"/>
      <c r="P702" s="7"/>
      <c r="Q702" s="7">
        <f t="shared" si="250"/>
        <v>0</v>
      </c>
      <c r="R702" s="7"/>
      <c r="S702" s="7"/>
      <c r="T702" s="7"/>
      <c r="U702" s="7" t="s">
        <v>2288</v>
      </c>
      <c r="V702" s="7" t="s">
        <v>2289</v>
      </c>
      <c r="W702" s="7" t="str">
        <f>Preencher!$B$3&amp;U702&amp;V702&amp;A702&amp;$W$6</f>
        <v>JARINU-FRG794694MQ.TUNEL DE CG (CONTINUO)</v>
      </c>
      <c r="X702" s="7" t="str">
        <f>Preencher!$B$3&amp;U702&amp;V702&amp;A702&amp;$X$6</f>
        <v>JARINU-FRG794694MQ.TUNEL DE CG (CONTINUO) (1)</v>
      </c>
      <c r="Y702" s="7" t="str">
        <f>Preencher!$B$3&amp;U702&amp;V702&amp;A702&amp;$Y$6</f>
        <v>JARINU-FRG794694MQ.TUNEL DE CG (CONTINUO) (2)</v>
      </c>
      <c r="Z702" s="7" t="str">
        <f>Preencher!$B$3&amp;U702&amp;V702&amp;A702&amp;$Z$6</f>
        <v>JARINU-FRG794694MQ.TUNEL DE CG (CONTINUO) (3)</v>
      </c>
      <c r="AA702" s="7" t="str">
        <f>Preencher!$B$3&amp;U702&amp;V702&amp;A702&amp;$AA$6</f>
        <v>JARINU-FRG794694MQ.TUNEL DE CG (ESTATICO)</v>
      </c>
      <c r="AB702" s="7" t="str">
        <f>Preencher!$B$3&amp;U702&amp;V702&amp;A702&amp;$AB$6</f>
        <v>JARINU-FRG794694MQ.TUNEL DE CG (ESTATICO) (1)</v>
      </c>
      <c r="AC702" s="7" t="str">
        <f>Preencher!$B$3&amp;U702&amp;V702&amp;A702&amp;$AC$6</f>
        <v>JARINU-FRG794694MQ.TUNEL DE CG (ESTATICO) (2)</v>
      </c>
      <c r="AD702" s="327">
        <f>IFERROR(SUMIF('BD Otimix'!A:A,'BD VOLUME'!X702,'BD Otimix'!O:O)+SUMIF('BD Otimix'!A:A,'BD VOLUME'!Y702,'BD Otimix'!O:O)+SUMIF('BD Otimix'!A:A,'BD VOLUME'!Z702,'BD Otimix'!O:O)+SUMIF('BD Otimix'!A:A,'BD VOLUME'!AA702,'BD Otimix'!O:O)+SUMIF('BD Otimix'!A:A,'BD VOLUME'!AB702,'BD Otimix'!O:O)+SUMIF('BD Otimix'!A:A,'BD VOLUME'!AC702,'BD Otimix'!O:O)+SUMIF('BD Otimix'!A:A,'BD VOLUME'!W702,'BD Otimix'!O:O),0)</f>
        <v>0</v>
      </c>
      <c r="AE702" s="327">
        <f t="shared" si="237"/>
        <v>0</v>
      </c>
      <c r="AF702" s="7" t="str">
        <f>Preencher!$B$3&amp;$U$8&amp;$V$8&amp;A702&amp;$AF$6</f>
        <v>JARINU-FRG794694MQ.GIROFREEZER</v>
      </c>
      <c r="AG702" s="7" t="str">
        <f>Preencher!$B$3&amp;$U$8&amp;$V$8&amp;A702&amp;$AG$6</f>
        <v>JARINU-FRG794694MQ.GIROFREEZER (1)</v>
      </c>
      <c r="AH702" s="7" t="str">
        <f>Preencher!$B$3&amp;$U$8&amp;$V$8&amp;A702&amp;$AH$6</f>
        <v>JARINU-FRG794694MQ.GIROFREEZER (2)</v>
      </c>
      <c r="AI702" s="7" t="str">
        <f>Preencher!$B$3&amp;$U$8&amp;$V$8&amp;A702&amp;$AI$6</f>
        <v>JARINU-FRG794694MQ.GIROFREEZER REV04</v>
      </c>
      <c r="AJ702" s="7" t="str">
        <f>Preencher!$B$3&amp;$U$8&amp;$V$8&amp;A702&amp;$AJ$6</f>
        <v>JARINU-FRG794694MQ.GIROFREEZER (3)</v>
      </c>
      <c r="AK702" s="327">
        <f>IFERROR(SUMIF('BD Otimix'!A:A,'BD VOLUME'!AG702,'BD Otimix'!O:O)+SUMIF('BD Otimix'!A:A,'BD VOLUME'!AH702,'BD Otimix'!O:O)+SUMIF('BD Otimix'!A:A,'BD VOLUME'!AI702,'BD Otimix'!O:O)+SUMIF('BD Otimix'!A:A,'BD VOLUME'!AJ702,'BD Otimix'!O:O)+SUMIF('BD Otimix'!A:A,'BD VOLUME'!AF702,'BD Otimix'!O:O),0)</f>
        <v>0</v>
      </c>
      <c r="AL702" s="7">
        <f t="shared" si="238"/>
        <v>0</v>
      </c>
    </row>
    <row r="703" spans="1:38">
      <c r="A703" s="318">
        <v>15040</v>
      </c>
      <c r="B703" s="318" t="s">
        <v>1130</v>
      </c>
      <c r="C703" s="5" t="s">
        <v>1088</v>
      </c>
      <c r="D703" s="5" t="s">
        <v>896</v>
      </c>
      <c r="E703" s="5" t="s">
        <v>1131</v>
      </c>
      <c r="F703" s="132">
        <f>SUMIF('COLAR PLANO'!$A:$A,A703,'COLAR PLANO'!$D:$D)</f>
        <v>0</v>
      </c>
      <c r="G703" s="131">
        <f t="shared" si="246"/>
        <v>0</v>
      </c>
      <c r="H703" s="6">
        <v>1.913409145712661E-2</v>
      </c>
      <c r="I703" s="7">
        <f t="shared" si="247"/>
        <v>0</v>
      </c>
      <c r="J703" s="130">
        <f t="shared" si="248"/>
        <v>0</v>
      </c>
      <c r="K703" s="318">
        <v>15</v>
      </c>
      <c r="L703" s="318">
        <v>1</v>
      </c>
      <c r="M703" s="318">
        <v>15</v>
      </c>
      <c r="N703" s="7">
        <f t="shared" si="249"/>
        <v>0</v>
      </c>
      <c r="O703" s="7"/>
      <c r="P703" s="7"/>
      <c r="Q703" s="7">
        <f t="shared" si="250"/>
        <v>0</v>
      </c>
      <c r="R703" s="7"/>
      <c r="S703" s="7"/>
      <c r="T703" s="7"/>
      <c r="U703" s="7" t="s">
        <v>2288</v>
      </c>
      <c r="V703" s="7" t="s">
        <v>2289</v>
      </c>
      <c r="W703" s="7" t="str">
        <f>Preencher!$B$3&amp;U703&amp;V703&amp;A703&amp;$W$6</f>
        <v>JARINU-FRG15040MQ.TUNEL DE CG (CONTINUO)</v>
      </c>
      <c r="X703" s="7" t="str">
        <f>Preencher!$B$3&amp;U703&amp;V703&amp;A703&amp;$X$6</f>
        <v>JARINU-FRG15040MQ.TUNEL DE CG (CONTINUO) (1)</v>
      </c>
      <c r="Y703" s="7" t="str">
        <f>Preencher!$B$3&amp;U703&amp;V703&amp;A703&amp;$Y$6</f>
        <v>JARINU-FRG15040MQ.TUNEL DE CG (CONTINUO) (2)</v>
      </c>
      <c r="Z703" s="7" t="str">
        <f>Preencher!$B$3&amp;U703&amp;V703&amp;A703&amp;$Z$6</f>
        <v>JARINU-FRG15040MQ.TUNEL DE CG (CONTINUO) (3)</v>
      </c>
      <c r="AA703" s="7" t="str">
        <f>Preencher!$B$3&amp;U703&amp;V703&amp;A703&amp;$AA$6</f>
        <v>JARINU-FRG15040MQ.TUNEL DE CG (ESTATICO)</v>
      </c>
      <c r="AB703" s="7" t="str">
        <f>Preencher!$B$3&amp;U703&amp;V703&amp;A703&amp;$AB$6</f>
        <v>JARINU-FRG15040MQ.TUNEL DE CG (ESTATICO) (1)</v>
      </c>
      <c r="AC703" s="7" t="str">
        <f>Preencher!$B$3&amp;U703&amp;V703&amp;A703&amp;$AC$6</f>
        <v>JARINU-FRG15040MQ.TUNEL DE CG (ESTATICO) (2)</v>
      </c>
      <c r="AD703" s="327">
        <f>IFERROR(SUMIF('BD Otimix'!A:A,'BD VOLUME'!X703,'BD Otimix'!O:O)+SUMIF('BD Otimix'!A:A,'BD VOLUME'!Y703,'BD Otimix'!O:O)+SUMIF('BD Otimix'!A:A,'BD VOLUME'!Z703,'BD Otimix'!O:O)+SUMIF('BD Otimix'!A:A,'BD VOLUME'!AA703,'BD Otimix'!O:O)+SUMIF('BD Otimix'!A:A,'BD VOLUME'!AB703,'BD Otimix'!O:O)+SUMIF('BD Otimix'!A:A,'BD VOLUME'!AC703,'BD Otimix'!O:O)+SUMIF('BD Otimix'!A:A,'BD VOLUME'!W703,'BD Otimix'!O:O),0)</f>
        <v>0</v>
      </c>
      <c r="AE703" s="327">
        <f t="shared" si="237"/>
        <v>0</v>
      </c>
      <c r="AF703" s="7" t="str">
        <f>Preencher!$B$3&amp;$U$8&amp;$V$8&amp;A703&amp;$AF$6</f>
        <v>JARINU-FRG15040MQ.GIROFREEZER</v>
      </c>
      <c r="AG703" s="7" t="str">
        <f>Preencher!$B$3&amp;$U$8&amp;$V$8&amp;A703&amp;$AG$6</f>
        <v>JARINU-FRG15040MQ.GIROFREEZER (1)</v>
      </c>
      <c r="AH703" s="7" t="str">
        <f>Preencher!$B$3&amp;$U$8&amp;$V$8&amp;A703&amp;$AH$6</f>
        <v>JARINU-FRG15040MQ.GIROFREEZER (2)</v>
      </c>
      <c r="AI703" s="7" t="str">
        <f>Preencher!$B$3&amp;$U$8&amp;$V$8&amp;A703&amp;$AI$6</f>
        <v>JARINU-FRG15040MQ.GIROFREEZER REV04</v>
      </c>
      <c r="AJ703" s="7" t="str">
        <f>Preencher!$B$3&amp;$U$8&amp;$V$8&amp;A703&amp;$AJ$6</f>
        <v>JARINU-FRG15040MQ.GIROFREEZER (3)</v>
      </c>
      <c r="AK703" s="327">
        <f>IFERROR(SUMIF('BD Otimix'!A:A,'BD VOLUME'!AG703,'BD Otimix'!O:O)+SUMIF('BD Otimix'!A:A,'BD VOLUME'!AH703,'BD Otimix'!O:O)+SUMIF('BD Otimix'!A:A,'BD VOLUME'!AI703,'BD Otimix'!O:O)+SUMIF('BD Otimix'!A:A,'BD VOLUME'!AJ703,'BD Otimix'!O:O)+SUMIF('BD Otimix'!A:A,'BD VOLUME'!AF703,'BD Otimix'!O:O),0)</f>
        <v>0</v>
      </c>
      <c r="AL703" s="7">
        <f t="shared" si="238"/>
        <v>0</v>
      </c>
    </row>
    <row r="704" spans="1:38">
      <c r="A704" s="750"/>
      <c r="B704" s="750"/>
      <c r="C704" s="5"/>
      <c r="D704" s="5"/>
      <c r="E704" s="5"/>
      <c r="F704" s="132"/>
      <c r="G704" s="131"/>
      <c r="H704" s="6"/>
      <c r="I704" s="7"/>
      <c r="J704" s="130"/>
      <c r="K704" s="750"/>
      <c r="L704" s="750"/>
      <c r="M704" s="750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327"/>
      <c r="AE704" s="327"/>
      <c r="AF704" s="7"/>
      <c r="AG704" s="7"/>
      <c r="AH704" s="7"/>
      <c r="AI704" s="7"/>
      <c r="AJ704" s="7"/>
      <c r="AK704" s="327"/>
      <c r="AL704" s="7"/>
    </row>
    <row r="705" spans="1:38">
      <c r="A705" s="750">
        <v>124633</v>
      </c>
      <c r="B705" s="750" t="s">
        <v>2992</v>
      </c>
      <c r="C705" s="5" t="s">
        <v>3019</v>
      </c>
      <c r="D705" s="5" t="s">
        <v>896</v>
      </c>
      <c r="E705" s="5" t="s">
        <v>2135</v>
      </c>
      <c r="F705" s="132">
        <f>SUMIF('COLAR PLANO'!$A:$A,A705,'COLAR PLANO'!$D:$D)</f>
        <v>0</v>
      </c>
      <c r="G705" s="131">
        <f>IFERROR(F705/($E$3*$C$3),0)</f>
        <v>0</v>
      </c>
      <c r="H705" s="6">
        <v>2.6076122502328047E-2</v>
      </c>
      <c r="I705" s="7">
        <f>IFERROR(G705/$D$3/H705,0)</f>
        <v>0</v>
      </c>
      <c r="J705" s="130">
        <f>IFERROR(I705/$B$3,0)</f>
        <v>0</v>
      </c>
      <c r="K705" s="750">
        <v>15</v>
      </c>
      <c r="L705" s="750">
        <v>1</v>
      </c>
      <c r="M705" s="750">
        <v>15</v>
      </c>
      <c r="N705" s="7">
        <f>IFERROR(G705/K705,"-")</f>
        <v>0</v>
      </c>
      <c r="O705" s="7"/>
      <c r="P705" s="7"/>
      <c r="Q705" s="7">
        <f>IFERROR(G705/M705,0)</f>
        <v>0</v>
      </c>
      <c r="R705" s="7"/>
      <c r="S705" s="7"/>
      <c r="T705" s="7"/>
      <c r="U705" s="7" t="s">
        <v>2288</v>
      </c>
      <c r="V705" s="7" t="s">
        <v>2289</v>
      </c>
      <c r="W705" s="7" t="str">
        <f>Preencher!$B$3&amp;U705&amp;V705&amp;A705&amp;$W$6</f>
        <v>JARINU-FRG124633MQ.TUNEL DE CG (CONTINUO)</v>
      </c>
      <c r="X705" s="7" t="str">
        <f>Preencher!$B$3&amp;U705&amp;V705&amp;A705&amp;$X$6</f>
        <v>JARINU-FRG124633MQ.TUNEL DE CG (CONTINUO) (1)</v>
      </c>
      <c r="Y705" s="7" t="str">
        <f>Preencher!$B$3&amp;U705&amp;V705&amp;A705&amp;$Y$6</f>
        <v>JARINU-FRG124633MQ.TUNEL DE CG (CONTINUO) (2)</v>
      </c>
      <c r="Z705" s="7" t="str">
        <f>Preencher!$B$3&amp;U705&amp;V705&amp;A705&amp;$Z$6</f>
        <v>JARINU-FRG124633MQ.TUNEL DE CG (CONTINUO) (3)</v>
      </c>
      <c r="AA705" s="7" t="str">
        <f>Preencher!$B$3&amp;U705&amp;V705&amp;A705&amp;$AA$6</f>
        <v>JARINU-FRG124633MQ.TUNEL DE CG (ESTATICO)</v>
      </c>
      <c r="AB705" s="7" t="str">
        <f>Preencher!$B$3&amp;U705&amp;V705&amp;A705&amp;$AB$6</f>
        <v>JARINU-FRG124633MQ.TUNEL DE CG (ESTATICO) (1)</v>
      </c>
      <c r="AC705" s="7" t="str">
        <f>Preencher!$B$3&amp;U705&amp;V705&amp;A705&amp;$AC$6</f>
        <v>JARINU-FRG124633MQ.TUNEL DE CG (ESTATICO) (2)</v>
      </c>
      <c r="AD705" s="327">
        <f>IFERROR(SUMIF('BD Otimix'!A:A,'BD VOLUME'!X705,'BD Otimix'!O:O)+SUMIF('BD Otimix'!A:A,'BD VOLUME'!Y705,'BD Otimix'!O:O)+SUMIF('BD Otimix'!A:A,'BD VOLUME'!Z705,'BD Otimix'!O:O)+SUMIF('BD Otimix'!A:A,'BD VOLUME'!AA705,'BD Otimix'!O:O)+SUMIF('BD Otimix'!A:A,'BD VOLUME'!AB705,'BD Otimix'!O:O)+SUMIF('BD Otimix'!A:A,'BD VOLUME'!AC705,'BD Otimix'!O:O)+SUMIF('BD Otimix'!A:A,'BD VOLUME'!W705,'BD Otimix'!O:O),0)</f>
        <v>0</v>
      </c>
      <c r="AE705" s="327">
        <f>IFERROR(F705/$E$3/1000/AD705,0)</f>
        <v>0</v>
      </c>
      <c r="AF705" s="7" t="str">
        <f>Preencher!$B$3&amp;$U$8&amp;$V$8&amp;A705&amp;$AF$6</f>
        <v>JARINU-FRG124633MQ.GIROFREEZER</v>
      </c>
      <c r="AG705" s="7" t="str">
        <f>Preencher!$B$3&amp;$U$8&amp;$V$8&amp;A705&amp;$AG$6</f>
        <v>JARINU-FRG124633MQ.GIROFREEZER (1)</v>
      </c>
      <c r="AH705" s="7" t="str">
        <f>Preencher!$B$3&amp;$U$8&amp;$V$8&amp;A705&amp;$AH$6</f>
        <v>JARINU-FRG124633MQ.GIROFREEZER (2)</v>
      </c>
      <c r="AI705" s="7" t="str">
        <f>Preencher!$B$3&amp;$U$8&amp;$V$8&amp;A705&amp;$AI$6</f>
        <v>JARINU-FRG124633MQ.GIROFREEZER REV04</v>
      </c>
      <c r="AJ705" s="7" t="str">
        <f>Preencher!$B$3&amp;$U$8&amp;$V$8&amp;A705&amp;$AJ$6</f>
        <v>JARINU-FRG124633MQ.GIROFREEZER (3)</v>
      </c>
      <c r="AK705" s="327">
        <f>IFERROR(SUMIF('BD Otimix'!A:A,'BD VOLUME'!AG705,'BD Otimix'!O:O)+SUMIF('BD Otimix'!A:A,'BD VOLUME'!AH705,'BD Otimix'!O:O)+SUMIF('BD Otimix'!A:A,'BD VOLUME'!AI705,'BD Otimix'!O:O)+SUMIF('BD Otimix'!A:A,'BD VOLUME'!AJ705,'BD Otimix'!O:O)+SUMIF('BD Otimix'!A:A,'BD VOLUME'!AF705,'BD Otimix'!O:O),0)</f>
        <v>0</v>
      </c>
      <c r="AL705" s="7">
        <f>IFERROR(F705/$E$3/1000/AK705,0)</f>
        <v>0</v>
      </c>
    </row>
    <row r="706" spans="1:38">
      <c r="A706" s="584">
        <v>57648</v>
      </c>
      <c r="B706" s="584"/>
      <c r="C706" s="5" t="s">
        <v>3050</v>
      </c>
      <c r="D706" s="5" t="s">
        <v>896</v>
      </c>
      <c r="E706" s="5" t="s">
        <v>2135</v>
      </c>
      <c r="F706" s="132">
        <f>SUMIF('COLAR PLANO'!$A:$A,A706,'COLAR PLANO'!$D:$D)</f>
        <v>0</v>
      </c>
      <c r="G706" s="131">
        <f t="shared" si="246"/>
        <v>0</v>
      </c>
      <c r="H706" s="6">
        <v>2.6076122502328047E-2</v>
      </c>
      <c r="I706" s="7">
        <f t="shared" si="247"/>
        <v>0</v>
      </c>
      <c r="J706" s="130">
        <f t="shared" si="248"/>
        <v>0</v>
      </c>
      <c r="K706" s="584">
        <v>15</v>
      </c>
      <c r="L706" s="584">
        <v>1</v>
      </c>
      <c r="M706" s="584">
        <v>15</v>
      </c>
      <c r="N706" s="7">
        <f t="shared" si="249"/>
        <v>0</v>
      </c>
      <c r="O706" s="7"/>
      <c r="P706" s="7"/>
      <c r="Q706" s="7">
        <f t="shared" si="250"/>
        <v>0</v>
      </c>
      <c r="R706" s="7"/>
      <c r="S706" s="7"/>
      <c r="T706" s="7"/>
      <c r="U706" s="7" t="s">
        <v>2288</v>
      </c>
      <c r="V706" s="7" t="s">
        <v>2289</v>
      </c>
      <c r="W706" s="7" t="str">
        <f>Preencher!$B$3&amp;U706&amp;V706&amp;A706&amp;$W$6</f>
        <v>JARINU-FRG57648MQ.TUNEL DE CG (CONTINUO)</v>
      </c>
      <c r="X706" s="7" t="str">
        <f>Preencher!$B$3&amp;U706&amp;V706&amp;A706&amp;$X$6</f>
        <v>JARINU-FRG57648MQ.TUNEL DE CG (CONTINUO) (1)</v>
      </c>
      <c r="Y706" s="7" t="str">
        <f>Preencher!$B$3&amp;U706&amp;V706&amp;A706&amp;$Y$6</f>
        <v>JARINU-FRG57648MQ.TUNEL DE CG (CONTINUO) (2)</v>
      </c>
      <c r="Z706" s="7" t="str">
        <f>Preencher!$B$3&amp;U706&amp;V706&amp;A706&amp;$Z$6</f>
        <v>JARINU-FRG57648MQ.TUNEL DE CG (CONTINUO) (3)</v>
      </c>
      <c r="AA706" s="7" t="str">
        <f>Preencher!$B$3&amp;U706&amp;V706&amp;A706&amp;$AA$6</f>
        <v>JARINU-FRG57648MQ.TUNEL DE CG (ESTATICO)</v>
      </c>
      <c r="AB706" s="7" t="str">
        <f>Preencher!$B$3&amp;U706&amp;V706&amp;A706&amp;$AB$6</f>
        <v>JARINU-FRG57648MQ.TUNEL DE CG (ESTATICO) (1)</v>
      </c>
      <c r="AC706" s="7" t="str">
        <f>Preencher!$B$3&amp;U706&amp;V706&amp;A706&amp;$AC$6</f>
        <v>JARINU-FRG57648MQ.TUNEL DE CG (ESTATICO) (2)</v>
      </c>
      <c r="AD706" s="327">
        <f>IFERROR(SUMIF('BD Otimix'!A:A,'BD VOLUME'!X706,'BD Otimix'!O:O)+SUMIF('BD Otimix'!A:A,'BD VOLUME'!Y706,'BD Otimix'!O:O)+SUMIF('BD Otimix'!A:A,'BD VOLUME'!Z706,'BD Otimix'!O:O)+SUMIF('BD Otimix'!A:A,'BD VOLUME'!AA706,'BD Otimix'!O:O)+SUMIF('BD Otimix'!A:A,'BD VOLUME'!AB706,'BD Otimix'!O:O)+SUMIF('BD Otimix'!A:A,'BD VOLUME'!AC706,'BD Otimix'!O:O)+SUMIF('BD Otimix'!A:A,'BD VOLUME'!W706,'BD Otimix'!O:O),0)</f>
        <v>0</v>
      </c>
      <c r="AE706" s="327">
        <f t="shared" si="237"/>
        <v>0</v>
      </c>
      <c r="AF706" s="7" t="str">
        <f>Preencher!$B$3&amp;$U$8&amp;$V$8&amp;A706&amp;$AF$6</f>
        <v>JARINU-FRG57648MQ.GIROFREEZER</v>
      </c>
      <c r="AG706" s="7" t="str">
        <f>Preencher!$B$3&amp;$U$8&amp;$V$8&amp;A706&amp;$AG$6</f>
        <v>JARINU-FRG57648MQ.GIROFREEZER (1)</v>
      </c>
      <c r="AH706" s="7" t="str">
        <f>Preencher!$B$3&amp;$U$8&amp;$V$8&amp;A706&amp;$AH$6</f>
        <v>JARINU-FRG57648MQ.GIROFREEZER (2)</v>
      </c>
      <c r="AI706" s="7" t="str">
        <f>Preencher!$B$3&amp;$U$8&amp;$V$8&amp;A706&amp;$AI$6</f>
        <v>JARINU-FRG57648MQ.GIROFREEZER REV04</v>
      </c>
      <c r="AJ706" s="7" t="str">
        <f>Preencher!$B$3&amp;$U$8&amp;$V$8&amp;A706&amp;$AJ$6</f>
        <v>JARINU-FRG57648MQ.GIROFREEZER (3)</v>
      </c>
      <c r="AK706" s="327">
        <f>IFERROR(SUMIF('BD Otimix'!A:A,'BD VOLUME'!AG706,'BD Otimix'!O:O)+SUMIF('BD Otimix'!A:A,'BD VOLUME'!AH706,'BD Otimix'!O:O)+SUMIF('BD Otimix'!A:A,'BD VOLUME'!AI706,'BD Otimix'!O:O)+SUMIF('BD Otimix'!A:A,'BD VOLUME'!AJ706,'BD Otimix'!O:O)+SUMIF('BD Otimix'!A:A,'BD VOLUME'!AF706,'BD Otimix'!O:O),0)</f>
        <v>0</v>
      </c>
      <c r="AL706" s="7">
        <f t="shared" si="238"/>
        <v>0</v>
      </c>
    </row>
    <row r="707" spans="1:38">
      <c r="A707" s="710">
        <v>12645</v>
      </c>
      <c r="B707" s="710"/>
      <c r="C707" s="5" t="s">
        <v>3080</v>
      </c>
      <c r="D707" s="5" t="s">
        <v>896</v>
      </c>
      <c r="E707" s="5" t="s">
        <v>2135</v>
      </c>
      <c r="F707" s="132">
        <f>SUMIF('COLAR PLANO'!$A:$A,A707,'COLAR PLANO'!$D:$D)</f>
        <v>51552.000000000007</v>
      </c>
      <c r="G707" s="131">
        <f t="shared" si="246"/>
        <v>244.72822216947549</v>
      </c>
      <c r="H707" s="6">
        <v>2.6076122502328047E-2</v>
      </c>
      <c r="I707" s="7">
        <f t="shared" si="247"/>
        <v>3128.3820686610447</v>
      </c>
      <c r="J707" s="130">
        <f t="shared" si="248"/>
        <v>0.6656501846095445</v>
      </c>
      <c r="K707" s="710">
        <v>15</v>
      </c>
      <c r="L707" s="710">
        <v>1</v>
      </c>
      <c r="M707" s="710">
        <v>15</v>
      </c>
      <c r="N707" s="7">
        <f t="shared" si="249"/>
        <v>16.315214811298365</v>
      </c>
      <c r="O707" s="7"/>
      <c r="P707" s="7"/>
      <c r="Q707" s="7">
        <f t="shared" si="250"/>
        <v>16.315214811298365</v>
      </c>
      <c r="R707" s="7"/>
      <c r="S707" s="7"/>
      <c r="T707" s="7"/>
      <c r="U707" s="7" t="s">
        <v>2288</v>
      </c>
      <c r="V707" s="7" t="s">
        <v>2289</v>
      </c>
      <c r="W707" s="7" t="str">
        <f>Preencher!$B$3&amp;U707&amp;V707&amp;A707&amp;$W$6</f>
        <v>JARINU-FRG12645MQ.TUNEL DE CG (CONTINUO)</v>
      </c>
      <c r="X707" s="7" t="str">
        <f>Preencher!$B$3&amp;U707&amp;V707&amp;A707&amp;$X$6</f>
        <v>JARINU-FRG12645MQ.TUNEL DE CG (CONTINUO) (1)</v>
      </c>
      <c r="Y707" s="7" t="str">
        <f>Preencher!$B$3&amp;U707&amp;V707&amp;A707&amp;$Y$6</f>
        <v>JARINU-FRG12645MQ.TUNEL DE CG (CONTINUO) (2)</v>
      </c>
      <c r="Z707" s="7" t="str">
        <f>Preencher!$B$3&amp;U707&amp;V707&amp;A707&amp;$Z$6</f>
        <v>JARINU-FRG12645MQ.TUNEL DE CG (CONTINUO) (3)</v>
      </c>
      <c r="AA707" s="7" t="str">
        <f>Preencher!$B$3&amp;U707&amp;V707&amp;A707&amp;$AA$6</f>
        <v>JARINU-FRG12645MQ.TUNEL DE CG (ESTATICO)</v>
      </c>
      <c r="AB707" s="7" t="str">
        <f>Preencher!$B$3&amp;U707&amp;V707&amp;A707&amp;$AB$6</f>
        <v>JARINU-FRG12645MQ.TUNEL DE CG (ESTATICO) (1)</v>
      </c>
      <c r="AC707" s="7" t="str">
        <f>Preencher!$B$3&amp;U707&amp;V707&amp;A707&amp;$AC$6</f>
        <v>JARINU-FRG12645MQ.TUNEL DE CG (ESTATICO) (2)</v>
      </c>
      <c r="AD707" s="327">
        <f>IFERROR(SUMIF('BD Otimix'!A:A,'BD VOLUME'!X707,'BD Otimix'!O:O)+SUMIF('BD Otimix'!A:A,'BD VOLUME'!Y707,'BD Otimix'!O:O)+SUMIF('BD Otimix'!A:A,'BD VOLUME'!Z707,'BD Otimix'!O:O)+SUMIF('BD Otimix'!A:A,'BD VOLUME'!AA707,'BD Otimix'!O:O)+SUMIF('BD Otimix'!A:A,'BD VOLUME'!AB707,'BD Otimix'!O:O)+SUMIF('BD Otimix'!A:A,'BD VOLUME'!AC707,'BD Otimix'!O:O)+SUMIF('BD Otimix'!A:A,'BD VOLUME'!W707,'BD Otimix'!O:O),0)</f>
        <v>0</v>
      </c>
      <c r="AE707" s="327">
        <f>IFERROR(F707/$E$3/1000/AD707,0)</f>
        <v>0</v>
      </c>
      <c r="AF707" s="7" t="str">
        <f>Preencher!$B$3&amp;$U$8&amp;$V$8&amp;A707&amp;$AF$6</f>
        <v>JARINU-FRG12645MQ.GIROFREEZER</v>
      </c>
      <c r="AG707" s="7" t="str">
        <f>Preencher!$B$3&amp;$U$8&amp;$V$8&amp;A707&amp;$AG$6</f>
        <v>JARINU-FRG12645MQ.GIROFREEZER (1)</v>
      </c>
      <c r="AH707" s="7" t="str">
        <f>Preencher!$B$3&amp;$U$8&amp;$V$8&amp;A707&amp;$AH$6</f>
        <v>JARINU-FRG12645MQ.GIROFREEZER (2)</v>
      </c>
      <c r="AI707" s="7" t="str">
        <f>Preencher!$B$3&amp;$U$8&amp;$V$8&amp;A707&amp;$AI$6</f>
        <v>JARINU-FRG12645MQ.GIROFREEZER REV04</v>
      </c>
      <c r="AJ707" s="7" t="str">
        <f>Preencher!$B$3&amp;$U$8&amp;$V$8&amp;A707&amp;$AJ$6</f>
        <v>JARINU-FRG12645MQ.GIROFREEZER (3)</v>
      </c>
      <c r="AK707" s="327">
        <f>IFERROR(SUMIF('BD Otimix'!A:A,'BD VOLUME'!AG707,'BD Otimix'!O:O)+SUMIF('BD Otimix'!A:A,'BD VOLUME'!AH707,'BD Otimix'!O:O)+SUMIF('BD Otimix'!A:A,'BD VOLUME'!AI707,'BD Otimix'!O:O)+SUMIF('BD Otimix'!A:A,'BD VOLUME'!AJ707,'BD Otimix'!O:O)+SUMIF('BD Otimix'!A:A,'BD VOLUME'!AF707,'BD Otimix'!O:O),0)</f>
        <v>0</v>
      </c>
      <c r="AL707" s="7">
        <f>IFERROR(F707/$E$3/1000/AK707,0)</f>
        <v>0</v>
      </c>
    </row>
    <row r="708" spans="1:38">
      <c r="A708" s="710">
        <v>797464</v>
      </c>
      <c r="B708" s="710" t="s">
        <v>2738</v>
      </c>
      <c r="C708" s="5" t="s">
        <v>2739</v>
      </c>
      <c r="D708" s="5" t="s">
        <v>896</v>
      </c>
      <c r="E708" s="5" t="s">
        <v>2135</v>
      </c>
      <c r="F708" s="132">
        <f>SUMIF('COLAR PLANO'!$A:$A,A708,'COLAR PLANO'!$D:$D)</f>
        <v>0</v>
      </c>
      <c r="G708" s="131">
        <f t="shared" si="246"/>
        <v>0</v>
      </c>
      <c r="H708" s="6">
        <v>2.6076122502328047E-2</v>
      </c>
      <c r="I708" s="7">
        <f t="shared" si="247"/>
        <v>0</v>
      </c>
      <c r="J708" s="130">
        <f t="shared" si="248"/>
        <v>0</v>
      </c>
      <c r="K708" s="710">
        <v>15</v>
      </c>
      <c r="L708" s="710">
        <v>1</v>
      </c>
      <c r="M708" s="710">
        <v>15</v>
      </c>
      <c r="N708" s="7">
        <f t="shared" si="249"/>
        <v>0</v>
      </c>
      <c r="O708" s="7"/>
      <c r="P708" s="7"/>
      <c r="Q708" s="7">
        <f t="shared" si="250"/>
        <v>0</v>
      </c>
      <c r="R708" s="7"/>
      <c r="S708" s="7"/>
      <c r="T708" s="7"/>
      <c r="U708" s="7" t="s">
        <v>2288</v>
      </c>
      <c r="V708" s="7" t="s">
        <v>2289</v>
      </c>
      <c r="W708" s="7" t="str">
        <f>Preencher!$B$3&amp;U708&amp;V708&amp;A708&amp;$W$6</f>
        <v>JARINU-FRG797464MQ.TUNEL DE CG (CONTINUO)</v>
      </c>
      <c r="X708" s="7" t="str">
        <f>Preencher!$B$3&amp;U708&amp;V708&amp;A708&amp;$X$6</f>
        <v>JARINU-FRG797464MQ.TUNEL DE CG (CONTINUO) (1)</v>
      </c>
      <c r="Y708" s="7" t="str">
        <f>Preencher!$B$3&amp;U708&amp;V708&amp;A708&amp;$Y$6</f>
        <v>JARINU-FRG797464MQ.TUNEL DE CG (CONTINUO) (2)</v>
      </c>
      <c r="Z708" s="7" t="str">
        <f>Preencher!$B$3&amp;U708&amp;V708&amp;A708&amp;$Z$6</f>
        <v>JARINU-FRG797464MQ.TUNEL DE CG (CONTINUO) (3)</v>
      </c>
      <c r="AA708" s="7" t="str">
        <f>Preencher!$B$3&amp;U708&amp;V708&amp;A708&amp;$AA$6</f>
        <v>JARINU-FRG797464MQ.TUNEL DE CG (ESTATICO)</v>
      </c>
      <c r="AB708" s="7" t="str">
        <f>Preencher!$B$3&amp;U708&amp;V708&amp;A708&amp;$AB$6</f>
        <v>JARINU-FRG797464MQ.TUNEL DE CG (ESTATICO) (1)</v>
      </c>
      <c r="AC708" s="7" t="str">
        <f>Preencher!$B$3&amp;U708&amp;V708&amp;A708&amp;$AC$6</f>
        <v>JARINU-FRG797464MQ.TUNEL DE CG (ESTATICO) (2)</v>
      </c>
      <c r="AD708" s="327">
        <f>IFERROR(SUMIF('BD Otimix'!A:A,'BD VOLUME'!X708,'BD Otimix'!O:O)+SUMIF('BD Otimix'!A:A,'BD VOLUME'!Y708,'BD Otimix'!O:O)+SUMIF('BD Otimix'!A:A,'BD VOLUME'!Z708,'BD Otimix'!O:O)+SUMIF('BD Otimix'!A:A,'BD VOLUME'!AA708,'BD Otimix'!O:O)+SUMIF('BD Otimix'!A:A,'BD VOLUME'!AB708,'BD Otimix'!O:O)+SUMIF('BD Otimix'!A:A,'BD VOLUME'!AC708,'BD Otimix'!O:O)+SUMIF('BD Otimix'!A:A,'BD VOLUME'!W708,'BD Otimix'!O:O),0)</f>
        <v>0</v>
      </c>
      <c r="AE708" s="327">
        <f>IFERROR(F708/$E$3/1000/AD708,0)</f>
        <v>0</v>
      </c>
      <c r="AF708" s="7" t="str">
        <f>Preencher!$B$3&amp;$U$8&amp;$V$8&amp;A708&amp;$AF$6</f>
        <v>JARINU-FRG797464MQ.GIROFREEZER</v>
      </c>
      <c r="AG708" s="7" t="str">
        <f>Preencher!$B$3&amp;$U$8&amp;$V$8&amp;A708&amp;$AG$6</f>
        <v>JARINU-FRG797464MQ.GIROFREEZER (1)</v>
      </c>
      <c r="AH708" s="7" t="str">
        <f>Preencher!$B$3&amp;$U$8&amp;$V$8&amp;A708&amp;$AH$6</f>
        <v>JARINU-FRG797464MQ.GIROFREEZER (2)</v>
      </c>
      <c r="AI708" s="7" t="str">
        <f>Preencher!$B$3&amp;$U$8&amp;$V$8&amp;A708&amp;$AI$6</f>
        <v>JARINU-FRG797464MQ.GIROFREEZER REV04</v>
      </c>
      <c r="AJ708" s="7" t="str">
        <f>Preencher!$B$3&amp;$U$8&amp;$V$8&amp;A708&amp;$AJ$6</f>
        <v>JARINU-FRG797464MQ.GIROFREEZER (3)</v>
      </c>
      <c r="AK708" s="327">
        <f>IFERROR(SUMIF('BD Otimix'!A:A,'BD VOLUME'!AG708,'BD Otimix'!O:O)+SUMIF('BD Otimix'!A:A,'BD VOLUME'!AH708,'BD Otimix'!O:O)+SUMIF('BD Otimix'!A:A,'BD VOLUME'!AI708,'BD Otimix'!O:O)+SUMIF('BD Otimix'!A:A,'BD VOLUME'!AJ708,'BD Otimix'!O:O)+SUMIF('BD Otimix'!A:A,'BD VOLUME'!AF708,'BD Otimix'!O:O),0)</f>
        <v>0</v>
      </c>
      <c r="AL708" s="7">
        <f>IFERROR(F708/$E$3/1000/AK708,0)</f>
        <v>0</v>
      </c>
    </row>
    <row r="709" spans="1:38">
      <c r="A709" s="710">
        <v>95257</v>
      </c>
      <c r="B709" s="710" t="s">
        <v>2740</v>
      </c>
      <c r="C709" s="5" t="s">
        <v>2741</v>
      </c>
      <c r="D709" s="5" t="s">
        <v>896</v>
      </c>
      <c r="E709" s="5" t="s">
        <v>2135</v>
      </c>
      <c r="F709" s="132">
        <f>SUMIF('COLAR PLANO'!$A:$A,A709,'COLAR PLANO'!$D:$D)</f>
        <v>0</v>
      </c>
      <c r="G709" s="131">
        <f t="shared" si="246"/>
        <v>0</v>
      </c>
      <c r="H709" s="6">
        <v>2.6076122502328047E-2</v>
      </c>
      <c r="I709" s="7">
        <f t="shared" si="247"/>
        <v>0</v>
      </c>
      <c r="J709" s="130">
        <f t="shared" si="248"/>
        <v>0</v>
      </c>
      <c r="K709" s="710">
        <v>15</v>
      </c>
      <c r="L709" s="710">
        <v>1</v>
      </c>
      <c r="M709" s="710">
        <v>15</v>
      </c>
      <c r="N709" s="7">
        <f t="shared" si="249"/>
        <v>0</v>
      </c>
      <c r="O709" s="7"/>
      <c r="P709" s="7"/>
      <c r="Q709" s="7">
        <f t="shared" si="250"/>
        <v>0</v>
      </c>
      <c r="R709" s="7"/>
      <c r="S709" s="7"/>
      <c r="T709" s="7"/>
      <c r="U709" s="7" t="s">
        <v>2288</v>
      </c>
      <c r="V709" s="7" t="s">
        <v>2289</v>
      </c>
      <c r="W709" s="7" t="str">
        <f>Preencher!$B$3&amp;U709&amp;V709&amp;A709&amp;$W$6</f>
        <v>JARINU-FRG95257MQ.TUNEL DE CG (CONTINUO)</v>
      </c>
      <c r="X709" s="7" t="str">
        <f>Preencher!$B$3&amp;U709&amp;V709&amp;A709&amp;$X$6</f>
        <v>JARINU-FRG95257MQ.TUNEL DE CG (CONTINUO) (1)</v>
      </c>
      <c r="Y709" s="7" t="str">
        <f>Preencher!$B$3&amp;U709&amp;V709&amp;A709&amp;$Y$6</f>
        <v>JARINU-FRG95257MQ.TUNEL DE CG (CONTINUO) (2)</v>
      </c>
      <c r="Z709" s="7" t="str">
        <f>Preencher!$B$3&amp;U709&amp;V709&amp;A709&amp;$Z$6</f>
        <v>JARINU-FRG95257MQ.TUNEL DE CG (CONTINUO) (3)</v>
      </c>
      <c r="AA709" s="7" t="str">
        <f>Preencher!$B$3&amp;U709&amp;V709&amp;A709&amp;$AA$6</f>
        <v>JARINU-FRG95257MQ.TUNEL DE CG (ESTATICO)</v>
      </c>
      <c r="AB709" s="7" t="str">
        <f>Preencher!$B$3&amp;U709&amp;V709&amp;A709&amp;$AB$6</f>
        <v>JARINU-FRG95257MQ.TUNEL DE CG (ESTATICO) (1)</v>
      </c>
      <c r="AC709" s="7" t="str">
        <f>Preencher!$B$3&amp;U709&amp;V709&amp;A709&amp;$AC$6</f>
        <v>JARINU-FRG95257MQ.TUNEL DE CG (ESTATICO) (2)</v>
      </c>
      <c r="AD709" s="327">
        <f>IFERROR(SUMIF('BD Otimix'!A:A,'BD VOLUME'!X709,'BD Otimix'!O:O)+SUMIF('BD Otimix'!A:A,'BD VOLUME'!Y709,'BD Otimix'!O:O)+SUMIF('BD Otimix'!A:A,'BD VOLUME'!Z709,'BD Otimix'!O:O)+SUMIF('BD Otimix'!A:A,'BD VOLUME'!AA709,'BD Otimix'!O:O)+SUMIF('BD Otimix'!A:A,'BD VOLUME'!AB709,'BD Otimix'!O:O)+SUMIF('BD Otimix'!A:A,'BD VOLUME'!AC709,'BD Otimix'!O:O)+SUMIF('BD Otimix'!A:A,'BD VOLUME'!W709,'BD Otimix'!O:O),0)</f>
        <v>0</v>
      </c>
      <c r="AE709" s="327">
        <f>IFERROR(F709/$E$3/1000/AD709,0)</f>
        <v>0</v>
      </c>
      <c r="AF709" s="7" t="str">
        <f>Preencher!$B$3&amp;$U$8&amp;$V$8&amp;A709&amp;$AF$6</f>
        <v>JARINU-FRG95257MQ.GIROFREEZER</v>
      </c>
      <c r="AG709" s="7" t="str">
        <f>Preencher!$B$3&amp;$U$8&amp;$V$8&amp;A709&amp;$AG$6</f>
        <v>JARINU-FRG95257MQ.GIROFREEZER (1)</v>
      </c>
      <c r="AH709" s="7" t="str">
        <f>Preencher!$B$3&amp;$U$8&amp;$V$8&amp;A709&amp;$AH$6</f>
        <v>JARINU-FRG95257MQ.GIROFREEZER (2)</v>
      </c>
      <c r="AI709" s="7" t="str">
        <f>Preencher!$B$3&amp;$U$8&amp;$V$8&amp;A709&amp;$AI$6</f>
        <v>JARINU-FRG95257MQ.GIROFREEZER REV04</v>
      </c>
      <c r="AJ709" s="7" t="str">
        <f>Preencher!$B$3&amp;$U$8&amp;$V$8&amp;A709&amp;$AJ$6</f>
        <v>JARINU-FRG95257MQ.GIROFREEZER (3)</v>
      </c>
      <c r="AK709" s="327">
        <f>IFERROR(SUMIF('BD Otimix'!A:A,'BD VOLUME'!AG709,'BD Otimix'!O:O)+SUMIF('BD Otimix'!A:A,'BD VOLUME'!AH709,'BD Otimix'!O:O)+SUMIF('BD Otimix'!A:A,'BD VOLUME'!AI709,'BD Otimix'!O:O)+SUMIF('BD Otimix'!A:A,'BD VOLUME'!AJ709,'BD Otimix'!O:O)+SUMIF('BD Otimix'!A:A,'BD VOLUME'!AF709,'BD Otimix'!O:O),0)</f>
        <v>0</v>
      </c>
      <c r="AL709" s="7">
        <f>IFERROR(F709/$E$3/1000/AK709,0)</f>
        <v>0</v>
      </c>
    </row>
    <row r="710" spans="1:38">
      <c r="A710" s="710">
        <v>999504</v>
      </c>
      <c r="B710" s="710"/>
      <c r="C710" s="5" t="s">
        <v>2742</v>
      </c>
      <c r="D710" s="5" t="s">
        <v>896</v>
      </c>
      <c r="E710" s="5" t="s">
        <v>2135</v>
      </c>
      <c r="F710" s="132">
        <f>SUMIF('COLAR PLANO'!$A:$A,A710,'COLAR PLANO'!$D:$D)</f>
        <v>0</v>
      </c>
      <c r="G710" s="131">
        <f t="shared" si="246"/>
        <v>0</v>
      </c>
      <c r="H710" s="6">
        <v>2.6076122502328047E-2</v>
      </c>
      <c r="I710" s="7">
        <f t="shared" si="247"/>
        <v>0</v>
      </c>
      <c r="J710" s="130">
        <f t="shared" si="248"/>
        <v>0</v>
      </c>
      <c r="K710" s="710">
        <v>15</v>
      </c>
      <c r="L710" s="710">
        <v>1</v>
      </c>
      <c r="M710" s="710">
        <v>15</v>
      </c>
      <c r="N710" s="7">
        <f t="shared" si="249"/>
        <v>0</v>
      </c>
      <c r="O710" s="7"/>
      <c r="P710" s="7"/>
      <c r="Q710" s="7">
        <f t="shared" si="250"/>
        <v>0</v>
      </c>
      <c r="R710" s="7"/>
      <c r="S710" s="7"/>
      <c r="T710" s="7"/>
      <c r="U710" s="7" t="s">
        <v>2288</v>
      </c>
      <c r="V710" s="7" t="s">
        <v>2289</v>
      </c>
      <c r="W710" s="7" t="str">
        <f>Preencher!$B$3&amp;U710&amp;V710&amp;A710&amp;$W$6</f>
        <v>JARINU-FRG999504MQ.TUNEL DE CG (CONTINUO)</v>
      </c>
      <c r="X710" s="7" t="str">
        <f>Preencher!$B$3&amp;U710&amp;V710&amp;A710&amp;$X$6</f>
        <v>JARINU-FRG999504MQ.TUNEL DE CG (CONTINUO) (1)</v>
      </c>
      <c r="Y710" s="7" t="str">
        <f>Preencher!$B$3&amp;U710&amp;V710&amp;A710&amp;$Y$6</f>
        <v>JARINU-FRG999504MQ.TUNEL DE CG (CONTINUO) (2)</v>
      </c>
      <c r="Z710" s="7" t="str">
        <f>Preencher!$B$3&amp;U710&amp;V710&amp;A710&amp;$Z$6</f>
        <v>JARINU-FRG999504MQ.TUNEL DE CG (CONTINUO) (3)</v>
      </c>
      <c r="AA710" s="7" t="str">
        <f>Preencher!$B$3&amp;U710&amp;V710&amp;A710&amp;$AA$6</f>
        <v>JARINU-FRG999504MQ.TUNEL DE CG (ESTATICO)</v>
      </c>
      <c r="AB710" s="7" t="str">
        <f>Preencher!$B$3&amp;U710&amp;V710&amp;A710&amp;$AB$6</f>
        <v>JARINU-FRG999504MQ.TUNEL DE CG (ESTATICO) (1)</v>
      </c>
      <c r="AC710" s="7" t="str">
        <f>Preencher!$B$3&amp;U710&amp;V710&amp;A710&amp;$AC$6</f>
        <v>JARINU-FRG999504MQ.TUNEL DE CG (ESTATICO) (2)</v>
      </c>
      <c r="AD710" s="327">
        <f>IFERROR(SUMIF('BD Otimix'!A:A,'BD VOLUME'!X710,'BD Otimix'!O:O)+SUMIF('BD Otimix'!A:A,'BD VOLUME'!Y710,'BD Otimix'!O:O)+SUMIF('BD Otimix'!A:A,'BD VOLUME'!Z710,'BD Otimix'!O:O)+SUMIF('BD Otimix'!A:A,'BD VOLUME'!AA710,'BD Otimix'!O:O)+SUMIF('BD Otimix'!A:A,'BD VOLUME'!AB710,'BD Otimix'!O:O)+SUMIF('BD Otimix'!A:A,'BD VOLUME'!AC710,'BD Otimix'!O:O)+SUMIF('BD Otimix'!A:A,'BD VOLUME'!W710,'BD Otimix'!O:O),0)</f>
        <v>0</v>
      </c>
      <c r="AE710" s="327">
        <f>IFERROR(F710/$E$3/1000/AD710,0)</f>
        <v>0</v>
      </c>
      <c r="AF710" s="7" t="str">
        <f>Preencher!$B$3&amp;$U$8&amp;$V$8&amp;A710&amp;$AF$6</f>
        <v>JARINU-FRG999504MQ.GIROFREEZER</v>
      </c>
      <c r="AG710" s="7" t="str">
        <f>Preencher!$B$3&amp;$U$8&amp;$V$8&amp;A710&amp;$AG$6</f>
        <v>JARINU-FRG999504MQ.GIROFREEZER (1)</v>
      </c>
      <c r="AH710" s="7" t="str">
        <f>Preencher!$B$3&amp;$U$8&amp;$V$8&amp;A710&amp;$AH$6</f>
        <v>JARINU-FRG999504MQ.GIROFREEZER (2)</v>
      </c>
      <c r="AI710" s="7" t="str">
        <f>Preencher!$B$3&amp;$U$8&amp;$V$8&amp;A710&amp;$AI$6</f>
        <v>JARINU-FRG999504MQ.GIROFREEZER REV04</v>
      </c>
      <c r="AJ710" s="7" t="str">
        <f>Preencher!$B$3&amp;$U$8&amp;$V$8&amp;A710&amp;$AJ$6</f>
        <v>JARINU-FRG999504MQ.GIROFREEZER (3)</v>
      </c>
      <c r="AK710" s="327">
        <f>IFERROR(SUMIF('BD Otimix'!A:A,'BD VOLUME'!AG710,'BD Otimix'!O:O)+SUMIF('BD Otimix'!A:A,'BD VOLUME'!AH710,'BD Otimix'!O:O)+SUMIF('BD Otimix'!A:A,'BD VOLUME'!AI710,'BD Otimix'!O:O)+SUMIF('BD Otimix'!A:A,'BD VOLUME'!AJ710,'BD Otimix'!O:O)+SUMIF('BD Otimix'!A:A,'BD VOLUME'!AF710,'BD Otimix'!O:O),0)</f>
        <v>0</v>
      </c>
      <c r="AL710" s="7">
        <f>IFERROR(F710/$E$3/1000/AK710,0)</f>
        <v>0</v>
      </c>
    </row>
    <row r="711" spans="1:38">
      <c r="A711" s="710"/>
      <c r="B711" s="710"/>
      <c r="C711" s="5"/>
      <c r="D711" s="5"/>
      <c r="E711" s="5"/>
      <c r="F711" s="132">
        <f>SUMIF('COLAR PLANO'!$A:$A,A711,'COLAR PLANO'!$D:$D)</f>
        <v>0</v>
      </c>
      <c r="G711" s="131"/>
      <c r="H711" s="6"/>
      <c r="I711" s="7"/>
      <c r="J711" s="130"/>
      <c r="K711" s="710"/>
      <c r="L711" s="710"/>
      <c r="M711" s="710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327"/>
      <c r="AE711" s="327"/>
      <c r="AF711" s="7"/>
      <c r="AG711" s="7"/>
      <c r="AH711" s="7"/>
      <c r="AI711" s="7"/>
      <c r="AJ711" s="7"/>
      <c r="AK711" s="327"/>
      <c r="AL711" s="7"/>
    </row>
    <row r="712" spans="1:38">
      <c r="A712" s="710"/>
      <c r="B712" s="710"/>
      <c r="C712" s="5"/>
      <c r="D712" s="5"/>
      <c r="E712" s="5"/>
      <c r="F712" s="132">
        <f>SUMIF('COLAR PLANO'!$A:$A,A712,'COLAR PLANO'!$D:$D)</f>
        <v>0</v>
      </c>
      <c r="G712" s="131"/>
      <c r="H712" s="6"/>
      <c r="I712" s="7"/>
      <c r="J712" s="130"/>
      <c r="K712" s="710"/>
      <c r="L712" s="710"/>
      <c r="M712" s="710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327"/>
      <c r="AE712" s="327"/>
      <c r="AF712" s="7"/>
      <c r="AG712" s="7"/>
      <c r="AH712" s="7"/>
      <c r="AI712" s="7"/>
      <c r="AJ712" s="7"/>
      <c r="AK712" s="327"/>
      <c r="AL712" s="7"/>
    </row>
    <row r="713" spans="1:38">
      <c r="A713" s="685">
        <v>228418</v>
      </c>
      <c r="B713" s="685"/>
      <c r="C713" s="5" t="s">
        <v>3100</v>
      </c>
      <c r="D713" s="5" t="s">
        <v>896</v>
      </c>
      <c r="E713" s="5" t="s">
        <v>2135</v>
      </c>
      <c r="F713" s="132">
        <f>SUMIF('COLAR PLANO'!$A:$A,A713,'COLAR PLANO'!$D:$D)</f>
        <v>0</v>
      </c>
      <c r="G713" s="131">
        <f t="shared" ref="G713:G725" si="251">IFERROR(F713/($E$3*$C$3),0)</f>
        <v>0</v>
      </c>
      <c r="H713" s="6">
        <v>2.6076122502328047E-2</v>
      </c>
      <c r="I713" s="7">
        <f t="shared" ref="I713:I725" si="252">IFERROR(G713/$D$3/H713,0)</f>
        <v>0</v>
      </c>
      <c r="J713" s="130">
        <f t="shared" ref="J713:J725" si="253">IFERROR(I713/$B$3,0)</f>
        <v>0</v>
      </c>
      <c r="K713" s="685">
        <v>15</v>
      </c>
      <c r="L713" s="685">
        <v>1</v>
      </c>
      <c r="M713" s="685">
        <v>15</v>
      </c>
      <c r="N713" s="7">
        <f t="shared" ref="N713:N725" si="254">IFERROR(G713/K713,"-")</f>
        <v>0</v>
      </c>
      <c r="O713" s="7"/>
      <c r="P713" s="7"/>
      <c r="Q713" s="7">
        <f>IFERROR(G713/M713,0)</f>
        <v>0</v>
      </c>
      <c r="R713" s="7"/>
      <c r="S713" s="7"/>
      <c r="T713" s="7"/>
      <c r="U713" s="7" t="s">
        <v>2288</v>
      </c>
      <c r="V713" s="7" t="s">
        <v>2289</v>
      </c>
      <c r="W713" s="7" t="str">
        <f>Preencher!$B$3&amp;U713&amp;V713&amp;A713&amp;$W$6</f>
        <v>JARINU-FRG228418MQ.TUNEL DE CG (CONTINUO)</v>
      </c>
      <c r="X713" s="7" t="str">
        <f>Preencher!$B$3&amp;U713&amp;V713&amp;A713&amp;$X$6</f>
        <v>JARINU-FRG228418MQ.TUNEL DE CG (CONTINUO) (1)</v>
      </c>
      <c r="Y713" s="7" t="str">
        <f>Preencher!$B$3&amp;U713&amp;V713&amp;A713&amp;$Y$6</f>
        <v>JARINU-FRG228418MQ.TUNEL DE CG (CONTINUO) (2)</v>
      </c>
      <c r="Z713" s="7" t="str">
        <f>Preencher!$B$3&amp;U713&amp;V713&amp;A713&amp;$Z$6</f>
        <v>JARINU-FRG228418MQ.TUNEL DE CG (CONTINUO) (3)</v>
      </c>
      <c r="AA713" s="7" t="str">
        <f>Preencher!$B$3&amp;U713&amp;V713&amp;A713&amp;$AA$6</f>
        <v>JARINU-FRG228418MQ.TUNEL DE CG (ESTATICO)</v>
      </c>
      <c r="AB713" s="7" t="str">
        <f>Preencher!$B$3&amp;U713&amp;V713&amp;A713&amp;$AB$6</f>
        <v>JARINU-FRG228418MQ.TUNEL DE CG (ESTATICO) (1)</v>
      </c>
      <c r="AC713" s="7" t="str">
        <f>Preencher!$B$3&amp;U713&amp;V713&amp;A713&amp;$AC$6</f>
        <v>JARINU-FRG228418MQ.TUNEL DE CG (ESTATICO) (2)</v>
      </c>
      <c r="AD713" s="327">
        <f>IFERROR(SUMIF('BD Otimix'!A:A,'BD VOLUME'!X713,'BD Otimix'!O:O)+SUMIF('BD Otimix'!A:A,'BD VOLUME'!Y713,'BD Otimix'!O:O)+SUMIF('BD Otimix'!A:A,'BD VOLUME'!Z713,'BD Otimix'!O:O)+SUMIF('BD Otimix'!A:A,'BD VOLUME'!AA713,'BD Otimix'!O:O)+SUMIF('BD Otimix'!A:A,'BD VOLUME'!AB713,'BD Otimix'!O:O)+SUMIF('BD Otimix'!A:A,'BD VOLUME'!AC713,'BD Otimix'!O:O)+SUMIF('BD Otimix'!A:A,'BD VOLUME'!W713,'BD Otimix'!O:O),0)</f>
        <v>0</v>
      </c>
      <c r="AE713" s="327">
        <f>IFERROR(F713/$E$3/1000/AD713,0)</f>
        <v>0</v>
      </c>
      <c r="AF713" s="7" t="str">
        <f>Preencher!$B$3&amp;$U$8&amp;$V$8&amp;A713&amp;$AF$6</f>
        <v>JARINU-FRG228418MQ.GIROFREEZER</v>
      </c>
      <c r="AG713" s="7" t="str">
        <f>Preencher!$B$3&amp;$U$8&amp;$V$8&amp;A713&amp;$AG$6</f>
        <v>JARINU-FRG228418MQ.GIROFREEZER (1)</v>
      </c>
      <c r="AH713" s="7" t="str">
        <f>Preencher!$B$3&amp;$U$8&amp;$V$8&amp;A713&amp;$AH$6</f>
        <v>JARINU-FRG228418MQ.GIROFREEZER (2)</v>
      </c>
      <c r="AI713" s="7" t="str">
        <f>Preencher!$B$3&amp;$U$8&amp;$V$8&amp;A713&amp;$AI$6</f>
        <v>JARINU-FRG228418MQ.GIROFREEZER REV04</v>
      </c>
      <c r="AJ713" s="7" t="str">
        <f>Preencher!$B$3&amp;$U$8&amp;$V$8&amp;A713&amp;$AJ$6</f>
        <v>JARINU-FRG228418MQ.GIROFREEZER (3)</v>
      </c>
      <c r="AK713" s="327">
        <f>IFERROR(SUMIF('BD Otimix'!A:A,'BD VOLUME'!AG713,'BD Otimix'!O:O)+SUMIF('BD Otimix'!A:A,'BD VOLUME'!AH713,'BD Otimix'!O:O)+SUMIF('BD Otimix'!A:A,'BD VOLUME'!AI713,'BD Otimix'!O:O)+SUMIF('BD Otimix'!A:A,'BD VOLUME'!AJ713,'BD Otimix'!O:O)+SUMIF('BD Otimix'!A:A,'BD VOLUME'!AF713,'BD Otimix'!O:O),0)</f>
        <v>0</v>
      </c>
      <c r="AL713" s="7">
        <f>IFERROR(F713/$E$3/1000/AK713,0)</f>
        <v>0</v>
      </c>
    </row>
    <row r="714" spans="1:38">
      <c r="A714" s="734">
        <v>51250</v>
      </c>
      <c r="B714" s="734" t="s">
        <v>3003</v>
      </c>
      <c r="C714" s="5" t="s">
        <v>2739</v>
      </c>
      <c r="D714" s="5" t="s">
        <v>896</v>
      </c>
      <c r="E714" s="5" t="s">
        <v>2135</v>
      </c>
      <c r="F714" s="132">
        <f>SUMIF('COLAR PLANO'!$A:$A,A714,'COLAR PLANO'!$D:$D)</f>
        <v>0</v>
      </c>
      <c r="G714" s="131">
        <f>IFERROR(F714/($E$3*$C$3),0)</f>
        <v>0</v>
      </c>
      <c r="H714" s="6">
        <v>2.6076122502328047E-2</v>
      </c>
      <c r="I714" s="7">
        <f>IFERROR(G714/$D$3/H714,0)</f>
        <v>0</v>
      </c>
      <c r="J714" s="130">
        <f>IFERROR(I714/$B$3,0)</f>
        <v>0</v>
      </c>
      <c r="K714" s="734">
        <v>15</v>
      </c>
      <c r="L714" s="734">
        <v>1</v>
      </c>
      <c r="M714" s="734">
        <v>15</v>
      </c>
      <c r="N714" s="7">
        <f>IFERROR(G714/K714,"-")</f>
        <v>0</v>
      </c>
      <c r="O714" s="7"/>
      <c r="P714" s="7"/>
      <c r="Q714" s="7">
        <f>IFERROR(G714/M714,0)</f>
        <v>0</v>
      </c>
      <c r="R714" s="7"/>
      <c r="S714" s="7"/>
      <c r="T714" s="7"/>
      <c r="U714" s="7" t="s">
        <v>2288</v>
      </c>
      <c r="V714" s="7" t="s">
        <v>2289</v>
      </c>
      <c r="W714" s="7" t="str">
        <f>Preencher!$B$3&amp;U714&amp;V714&amp;A714&amp;$W$6</f>
        <v>JARINU-FRG51250MQ.TUNEL DE CG (CONTINUO)</v>
      </c>
      <c r="X714" s="7" t="str">
        <f>Preencher!$B$3&amp;U714&amp;V714&amp;A714&amp;$X$6</f>
        <v>JARINU-FRG51250MQ.TUNEL DE CG (CONTINUO) (1)</v>
      </c>
      <c r="Y714" s="7" t="str">
        <f>Preencher!$B$3&amp;U714&amp;V714&amp;A714&amp;$Y$6</f>
        <v>JARINU-FRG51250MQ.TUNEL DE CG (CONTINUO) (2)</v>
      </c>
      <c r="Z714" s="7" t="str">
        <f>Preencher!$B$3&amp;U714&amp;V714&amp;A714&amp;$Z$6</f>
        <v>JARINU-FRG51250MQ.TUNEL DE CG (CONTINUO) (3)</v>
      </c>
      <c r="AA714" s="7" t="str">
        <f>Preencher!$B$3&amp;U714&amp;V714&amp;A714&amp;$AA$6</f>
        <v>JARINU-FRG51250MQ.TUNEL DE CG (ESTATICO)</v>
      </c>
      <c r="AB714" s="7" t="str">
        <f>Preencher!$B$3&amp;U714&amp;V714&amp;A714&amp;$AB$6</f>
        <v>JARINU-FRG51250MQ.TUNEL DE CG (ESTATICO) (1)</v>
      </c>
      <c r="AC714" s="7" t="str">
        <f>Preencher!$B$3&amp;U714&amp;V714&amp;A714&amp;$AC$6</f>
        <v>JARINU-FRG51250MQ.TUNEL DE CG (ESTATICO) (2)</v>
      </c>
      <c r="AD714" s="327">
        <f>IFERROR(SUMIF('BD Otimix'!A:A,'BD VOLUME'!X714,'BD Otimix'!O:O)+SUMIF('BD Otimix'!A:A,'BD VOLUME'!Y714,'BD Otimix'!O:O)+SUMIF('BD Otimix'!A:A,'BD VOLUME'!Z714,'BD Otimix'!O:O)+SUMIF('BD Otimix'!A:A,'BD VOLUME'!AA714,'BD Otimix'!O:O)+SUMIF('BD Otimix'!A:A,'BD VOLUME'!AB714,'BD Otimix'!O:O)+SUMIF('BD Otimix'!A:A,'BD VOLUME'!AC714,'BD Otimix'!O:O)+SUMIF('BD Otimix'!A:A,'BD VOLUME'!W714,'BD Otimix'!O:O),0)</f>
        <v>0</v>
      </c>
      <c r="AE714" s="327">
        <f>IFERROR(F714/$E$3/1000/AD714,0)</f>
        <v>0</v>
      </c>
      <c r="AF714" s="7" t="str">
        <f>Preencher!$B$3&amp;$U$8&amp;$V$8&amp;A714&amp;$AF$6</f>
        <v>JARINU-FRG51250MQ.GIROFREEZER</v>
      </c>
      <c r="AG714" s="7" t="str">
        <f>Preencher!$B$3&amp;$U$8&amp;$V$8&amp;A714&amp;$AG$6</f>
        <v>JARINU-FRG51250MQ.GIROFREEZER (1)</v>
      </c>
      <c r="AH714" s="7" t="str">
        <f>Preencher!$B$3&amp;$U$8&amp;$V$8&amp;A714&amp;$AH$6</f>
        <v>JARINU-FRG51250MQ.GIROFREEZER (2)</v>
      </c>
      <c r="AI714" s="7" t="str">
        <f>Preencher!$B$3&amp;$U$8&amp;$V$8&amp;A714&amp;$AI$6</f>
        <v>JARINU-FRG51250MQ.GIROFREEZER REV04</v>
      </c>
      <c r="AJ714" s="7" t="str">
        <f>Preencher!$B$3&amp;$U$8&amp;$V$8&amp;A714&amp;$AJ$6</f>
        <v>JARINU-FRG51250MQ.GIROFREEZER (3)</v>
      </c>
      <c r="AK714" s="327">
        <f>IFERROR(SUMIF('BD Otimix'!A:A,'BD VOLUME'!AG714,'BD Otimix'!O:O)+SUMIF('BD Otimix'!A:A,'BD VOLUME'!AH714,'BD Otimix'!O:O)+SUMIF('BD Otimix'!A:A,'BD VOLUME'!AI714,'BD Otimix'!O:O)+SUMIF('BD Otimix'!A:A,'BD VOLUME'!AJ714,'BD Otimix'!O:O)+SUMIF('BD Otimix'!A:A,'BD VOLUME'!AF714,'BD Otimix'!O:O),0)</f>
        <v>0</v>
      </c>
      <c r="AL714" s="7">
        <f>IFERROR(F714/$E$3/1000/AK714,0)</f>
        <v>0</v>
      </c>
    </row>
    <row r="715" spans="1:38">
      <c r="A715" s="584">
        <v>793140</v>
      </c>
      <c r="B715" s="584" t="s">
        <v>2093</v>
      </c>
      <c r="C715" s="5" t="s">
        <v>2094</v>
      </c>
      <c r="D715" s="5" t="s">
        <v>896</v>
      </c>
      <c r="E715" s="5" t="s">
        <v>2135</v>
      </c>
      <c r="F715" s="132">
        <f>SUMIF('COLAR PLANO'!$A:$A,A715,'COLAR PLANO'!$D:$D)</f>
        <v>0</v>
      </c>
      <c r="G715" s="131">
        <f t="shared" si="251"/>
        <v>0</v>
      </c>
      <c r="H715" s="6">
        <v>2.6076122502328047E-2</v>
      </c>
      <c r="I715" s="7">
        <f t="shared" si="252"/>
        <v>0</v>
      </c>
      <c r="J715" s="130">
        <f t="shared" si="253"/>
        <v>0</v>
      </c>
      <c r="K715" s="584">
        <v>15</v>
      </c>
      <c r="L715" s="584">
        <v>1</v>
      </c>
      <c r="M715" s="584">
        <v>15</v>
      </c>
      <c r="N715" s="7">
        <f t="shared" si="254"/>
        <v>0</v>
      </c>
      <c r="O715" s="7"/>
      <c r="P715" s="7"/>
      <c r="Q715" s="7">
        <f>IFERROR(G715/M715,0)</f>
        <v>0</v>
      </c>
      <c r="R715" s="7"/>
      <c r="S715" s="7"/>
      <c r="T715" s="7"/>
      <c r="U715" s="7" t="s">
        <v>2288</v>
      </c>
      <c r="V715" s="7" t="s">
        <v>2289</v>
      </c>
      <c r="W715" s="7" t="str">
        <f>Preencher!$B$3&amp;U715&amp;V715&amp;A715&amp;$W$6</f>
        <v>JARINU-FRG793140MQ.TUNEL DE CG (CONTINUO)</v>
      </c>
      <c r="X715" s="7" t="str">
        <f>Preencher!$B$3&amp;U715&amp;V715&amp;A715&amp;$X$6</f>
        <v>JARINU-FRG793140MQ.TUNEL DE CG (CONTINUO) (1)</v>
      </c>
      <c r="Y715" s="7" t="str">
        <f>Preencher!$B$3&amp;U715&amp;V715&amp;A715&amp;$Y$6</f>
        <v>JARINU-FRG793140MQ.TUNEL DE CG (CONTINUO) (2)</v>
      </c>
      <c r="Z715" s="7" t="str">
        <f>Preencher!$B$3&amp;U715&amp;V715&amp;A715&amp;$Z$6</f>
        <v>JARINU-FRG793140MQ.TUNEL DE CG (CONTINUO) (3)</v>
      </c>
      <c r="AA715" s="7" t="str">
        <f>Preencher!$B$3&amp;U715&amp;V715&amp;A715&amp;$AA$6</f>
        <v>JARINU-FRG793140MQ.TUNEL DE CG (ESTATICO)</v>
      </c>
      <c r="AB715" s="7" t="str">
        <f>Preencher!$B$3&amp;U715&amp;V715&amp;A715&amp;$AB$6</f>
        <v>JARINU-FRG793140MQ.TUNEL DE CG (ESTATICO) (1)</v>
      </c>
      <c r="AC715" s="7" t="str">
        <f>Preencher!$B$3&amp;U715&amp;V715&amp;A715&amp;$AC$6</f>
        <v>JARINU-FRG793140MQ.TUNEL DE CG (ESTATICO) (2)</v>
      </c>
      <c r="AD715" s="327">
        <f>IFERROR(SUMIF('BD Otimix'!A:A,'BD VOLUME'!X715,'BD Otimix'!O:O)+SUMIF('BD Otimix'!A:A,'BD VOLUME'!Y715,'BD Otimix'!O:O)+SUMIF('BD Otimix'!A:A,'BD VOLUME'!Z715,'BD Otimix'!O:O)+SUMIF('BD Otimix'!A:A,'BD VOLUME'!AA715,'BD Otimix'!O:O)+SUMIF('BD Otimix'!A:A,'BD VOLUME'!AB715,'BD Otimix'!O:O)+SUMIF('BD Otimix'!A:A,'BD VOLUME'!AC715,'BD Otimix'!O:O)+SUMIF('BD Otimix'!A:A,'BD VOLUME'!W715,'BD Otimix'!O:O),0)</f>
        <v>0</v>
      </c>
      <c r="AE715" s="327">
        <f t="shared" si="237"/>
        <v>0</v>
      </c>
      <c r="AF715" s="7" t="str">
        <f>Preencher!$B$3&amp;$U$8&amp;$V$8&amp;A715&amp;$AF$6</f>
        <v>JARINU-FRG793140MQ.GIROFREEZER</v>
      </c>
      <c r="AG715" s="7" t="str">
        <f>Preencher!$B$3&amp;$U$8&amp;$V$8&amp;A715&amp;$AG$6</f>
        <v>JARINU-FRG793140MQ.GIROFREEZER (1)</v>
      </c>
      <c r="AH715" s="7" t="str">
        <f>Preencher!$B$3&amp;$U$8&amp;$V$8&amp;A715&amp;$AH$6</f>
        <v>JARINU-FRG793140MQ.GIROFREEZER (2)</v>
      </c>
      <c r="AI715" s="7" t="str">
        <f>Preencher!$B$3&amp;$U$8&amp;$V$8&amp;A715&amp;$AI$6</f>
        <v>JARINU-FRG793140MQ.GIROFREEZER REV04</v>
      </c>
      <c r="AJ715" s="7" t="str">
        <f>Preencher!$B$3&amp;$U$8&amp;$V$8&amp;A715&amp;$AJ$6</f>
        <v>JARINU-FRG793140MQ.GIROFREEZER (3)</v>
      </c>
      <c r="AK715" s="327">
        <f>IFERROR(SUMIF('BD Otimix'!A:A,'BD VOLUME'!AG715,'BD Otimix'!O:O)+SUMIF('BD Otimix'!A:A,'BD VOLUME'!AH715,'BD Otimix'!O:O)+SUMIF('BD Otimix'!A:A,'BD VOLUME'!AI715,'BD Otimix'!O:O)+SUMIF('BD Otimix'!A:A,'BD VOLUME'!AJ715,'BD Otimix'!O:O)+SUMIF('BD Otimix'!A:A,'BD VOLUME'!AF715,'BD Otimix'!O:O),0)</f>
        <v>0</v>
      </c>
      <c r="AL715" s="7">
        <f t="shared" si="238"/>
        <v>0</v>
      </c>
    </row>
    <row r="716" spans="1:38">
      <c r="A716" s="321">
        <v>32421</v>
      </c>
      <c r="B716" s="321"/>
      <c r="C716" s="5" t="s">
        <v>3093</v>
      </c>
      <c r="D716" s="5" t="s">
        <v>896</v>
      </c>
      <c r="E716" s="5" t="s">
        <v>1166</v>
      </c>
      <c r="F716" s="132">
        <f>SUMIF('COLAR PLANO'!$A:$A,A716,'COLAR PLANO'!$D:$D)</f>
        <v>20160</v>
      </c>
      <c r="G716" s="131">
        <f t="shared" si="251"/>
        <v>95.70377403275576</v>
      </c>
      <c r="H716" s="6">
        <v>5.5933924864130296E-3</v>
      </c>
      <c r="I716" s="7">
        <f t="shared" si="252"/>
        <v>5703.3827124433474</v>
      </c>
      <c r="J716" s="130">
        <f t="shared" si="253"/>
        <v>1.21355309936989</v>
      </c>
      <c r="K716" s="321">
        <v>1</v>
      </c>
      <c r="L716" s="321">
        <v>15</v>
      </c>
      <c r="M716" s="321">
        <v>15</v>
      </c>
      <c r="N716" s="7">
        <f t="shared" si="254"/>
        <v>95.70377403275576</v>
      </c>
      <c r="O716" s="7"/>
      <c r="P716" s="7">
        <f>IFERROR(G716/M716,0)</f>
        <v>6.3802516021837175</v>
      </c>
      <c r="Q716" s="7"/>
      <c r="R716" s="7"/>
      <c r="S716" s="7"/>
      <c r="T716" s="7"/>
      <c r="U716" s="7" t="s">
        <v>2288</v>
      </c>
      <c r="V716" s="7" t="s">
        <v>2289</v>
      </c>
      <c r="W716" s="7" t="str">
        <f>Preencher!$B$3&amp;U716&amp;V716&amp;A716&amp;$W$6</f>
        <v>JARINU-FRG32421MQ.TUNEL DE CG (CONTINUO)</v>
      </c>
      <c r="X716" s="7" t="str">
        <f>Preencher!$B$3&amp;U716&amp;V716&amp;A716&amp;$X$6</f>
        <v>JARINU-FRG32421MQ.TUNEL DE CG (CONTINUO) (1)</v>
      </c>
      <c r="Y716" s="7" t="str">
        <f>Preencher!$B$3&amp;U716&amp;V716&amp;A716&amp;$Y$6</f>
        <v>JARINU-FRG32421MQ.TUNEL DE CG (CONTINUO) (2)</v>
      </c>
      <c r="Z716" s="7" t="str">
        <f>Preencher!$B$3&amp;U716&amp;V716&amp;A716&amp;$Z$6</f>
        <v>JARINU-FRG32421MQ.TUNEL DE CG (CONTINUO) (3)</v>
      </c>
      <c r="AA716" s="7" t="str">
        <f>Preencher!$B$3&amp;U716&amp;V716&amp;A716&amp;$AA$6</f>
        <v>JARINU-FRG32421MQ.TUNEL DE CG (ESTATICO)</v>
      </c>
      <c r="AB716" s="7" t="str">
        <f>Preencher!$B$3&amp;U716&amp;V716&amp;A716&amp;$AB$6</f>
        <v>JARINU-FRG32421MQ.TUNEL DE CG (ESTATICO) (1)</v>
      </c>
      <c r="AC716" s="7" t="str">
        <f>Preencher!$B$3&amp;U716&amp;V716&amp;A716&amp;$AC$6</f>
        <v>JARINU-FRG32421MQ.TUNEL DE CG (ESTATICO) (2)</v>
      </c>
      <c r="AD716" s="327">
        <f>IFERROR(SUMIF('BD Otimix'!A:A,'BD VOLUME'!X716,'BD Otimix'!O:O)+SUMIF('BD Otimix'!A:A,'BD VOLUME'!Y716,'BD Otimix'!O:O)+SUMIF('BD Otimix'!A:A,'BD VOLUME'!Z716,'BD Otimix'!O:O)+SUMIF('BD Otimix'!A:A,'BD VOLUME'!AA716,'BD Otimix'!O:O)+SUMIF('BD Otimix'!A:A,'BD VOLUME'!AB716,'BD Otimix'!O:O)+SUMIF('BD Otimix'!A:A,'BD VOLUME'!AC716,'BD Otimix'!O:O)+SUMIF('BD Otimix'!A:A,'BD VOLUME'!W716,'BD Otimix'!O:O),0)</f>
        <v>0</v>
      </c>
      <c r="AE716" s="327">
        <f t="shared" si="237"/>
        <v>0</v>
      </c>
      <c r="AF716" s="7" t="str">
        <f>Preencher!$B$3&amp;$U$8&amp;$V$8&amp;A716&amp;$AF$6</f>
        <v>JARINU-FRG32421MQ.GIROFREEZER</v>
      </c>
      <c r="AG716" s="7" t="str">
        <f>Preencher!$B$3&amp;$U$8&amp;$V$8&amp;A716&amp;$AG$6</f>
        <v>JARINU-FRG32421MQ.GIROFREEZER (1)</v>
      </c>
      <c r="AH716" s="7" t="str">
        <f>Preencher!$B$3&amp;$U$8&amp;$V$8&amp;A716&amp;$AH$6</f>
        <v>JARINU-FRG32421MQ.GIROFREEZER (2)</v>
      </c>
      <c r="AI716" s="7" t="str">
        <f>Preencher!$B$3&amp;$U$8&amp;$V$8&amp;A716&amp;$AI$6</f>
        <v>JARINU-FRG32421MQ.GIROFREEZER REV04</v>
      </c>
      <c r="AJ716" s="7" t="str">
        <f>Preencher!$B$3&amp;$U$8&amp;$V$8&amp;A716&amp;$AJ$6</f>
        <v>JARINU-FRG32421MQ.GIROFREEZER (3)</v>
      </c>
      <c r="AK716" s="327">
        <f>IFERROR(SUMIF('BD Otimix'!A:A,'BD VOLUME'!AG716,'BD Otimix'!O:O)+SUMIF('BD Otimix'!A:A,'BD VOLUME'!AH716,'BD Otimix'!O:O)+SUMIF('BD Otimix'!A:A,'BD VOLUME'!AI716,'BD Otimix'!O:O)+SUMIF('BD Otimix'!A:A,'BD VOLUME'!AJ716,'BD Otimix'!O:O)+SUMIF('BD Otimix'!A:A,'BD VOLUME'!AF716,'BD Otimix'!O:O),0)</f>
        <v>0</v>
      </c>
      <c r="AL716" s="7">
        <f t="shared" si="238"/>
        <v>0</v>
      </c>
    </row>
    <row r="717" spans="1:38">
      <c r="A717" s="321">
        <v>435805</v>
      </c>
      <c r="B717" s="321" t="s">
        <v>1164</v>
      </c>
      <c r="C717" s="5" t="s">
        <v>1165</v>
      </c>
      <c r="D717" s="5" t="s">
        <v>896</v>
      </c>
      <c r="E717" s="5" t="s">
        <v>1166</v>
      </c>
      <c r="F717" s="132">
        <f>SUMIF('COLAR PLANO'!$A:$A,A717,'COLAR PLANO'!$D:$D)</f>
        <v>0</v>
      </c>
      <c r="G717" s="131">
        <f t="shared" si="251"/>
        <v>0</v>
      </c>
      <c r="H717" s="6">
        <v>5.5933924864130348E-3</v>
      </c>
      <c r="I717" s="7">
        <f t="shared" si="252"/>
        <v>0</v>
      </c>
      <c r="J717" s="130">
        <f t="shared" si="253"/>
        <v>0</v>
      </c>
      <c r="K717" s="321">
        <v>1</v>
      </c>
      <c r="L717" s="321">
        <v>15</v>
      </c>
      <c r="M717" s="321">
        <v>15</v>
      </c>
      <c r="N717" s="7">
        <f t="shared" si="254"/>
        <v>0</v>
      </c>
      <c r="O717" s="7"/>
      <c r="P717" s="7">
        <f>IFERROR(G717/M717,0)</f>
        <v>0</v>
      </c>
      <c r="Q717" s="7"/>
      <c r="R717" s="7"/>
      <c r="S717" s="7"/>
      <c r="T717" s="7"/>
      <c r="U717" s="7" t="s">
        <v>2288</v>
      </c>
      <c r="V717" s="7" t="s">
        <v>2289</v>
      </c>
      <c r="W717" s="7" t="str">
        <f>Preencher!$B$3&amp;U717&amp;V717&amp;A717&amp;$W$6</f>
        <v>JARINU-FRG435805MQ.TUNEL DE CG (CONTINUO)</v>
      </c>
      <c r="X717" s="7" t="str">
        <f>Preencher!$B$3&amp;U717&amp;V717&amp;A717&amp;$X$6</f>
        <v>JARINU-FRG435805MQ.TUNEL DE CG (CONTINUO) (1)</v>
      </c>
      <c r="Y717" s="7" t="str">
        <f>Preencher!$B$3&amp;U717&amp;V717&amp;A717&amp;$Y$6</f>
        <v>JARINU-FRG435805MQ.TUNEL DE CG (CONTINUO) (2)</v>
      </c>
      <c r="Z717" s="7" t="str">
        <f>Preencher!$B$3&amp;U717&amp;V717&amp;A717&amp;$Z$6</f>
        <v>JARINU-FRG435805MQ.TUNEL DE CG (CONTINUO) (3)</v>
      </c>
      <c r="AA717" s="7" t="str">
        <f>Preencher!$B$3&amp;U717&amp;V717&amp;A717&amp;$AA$6</f>
        <v>JARINU-FRG435805MQ.TUNEL DE CG (ESTATICO)</v>
      </c>
      <c r="AB717" s="7" t="str">
        <f>Preencher!$B$3&amp;U717&amp;V717&amp;A717&amp;$AB$6</f>
        <v>JARINU-FRG435805MQ.TUNEL DE CG (ESTATICO) (1)</v>
      </c>
      <c r="AC717" s="7" t="str">
        <f>Preencher!$B$3&amp;U717&amp;V717&amp;A717&amp;$AC$6</f>
        <v>JARINU-FRG435805MQ.TUNEL DE CG (ESTATICO) (2)</v>
      </c>
      <c r="AD717" s="327">
        <f>IFERROR(SUMIF('BD Otimix'!A:A,'BD VOLUME'!X717,'BD Otimix'!O:O)+SUMIF('BD Otimix'!A:A,'BD VOLUME'!Y717,'BD Otimix'!O:O)+SUMIF('BD Otimix'!A:A,'BD VOLUME'!Z717,'BD Otimix'!O:O)+SUMIF('BD Otimix'!A:A,'BD VOLUME'!AA717,'BD Otimix'!O:O)+SUMIF('BD Otimix'!A:A,'BD VOLUME'!AB717,'BD Otimix'!O:O)+SUMIF('BD Otimix'!A:A,'BD VOLUME'!AC717,'BD Otimix'!O:O)+SUMIF('BD Otimix'!A:A,'BD VOLUME'!W717,'BD Otimix'!O:O),0)</f>
        <v>0</v>
      </c>
      <c r="AE717" s="327">
        <f t="shared" si="237"/>
        <v>0</v>
      </c>
      <c r="AF717" s="7" t="str">
        <f>Preencher!$B$3&amp;$U$8&amp;$V$8&amp;A717&amp;$AF$6</f>
        <v>JARINU-FRG435805MQ.GIROFREEZER</v>
      </c>
      <c r="AG717" s="7" t="str">
        <f>Preencher!$B$3&amp;$U$8&amp;$V$8&amp;A717&amp;$AG$6</f>
        <v>JARINU-FRG435805MQ.GIROFREEZER (1)</v>
      </c>
      <c r="AH717" s="7" t="str">
        <f>Preencher!$B$3&amp;$U$8&amp;$V$8&amp;A717&amp;$AH$6</f>
        <v>JARINU-FRG435805MQ.GIROFREEZER (2)</v>
      </c>
      <c r="AI717" s="7" t="str">
        <f>Preencher!$B$3&amp;$U$8&amp;$V$8&amp;A717&amp;$AI$6</f>
        <v>JARINU-FRG435805MQ.GIROFREEZER REV04</v>
      </c>
      <c r="AJ717" s="7" t="str">
        <f>Preencher!$B$3&amp;$U$8&amp;$V$8&amp;A717&amp;$AJ$6</f>
        <v>JARINU-FRG435805MQ.GIROFREEZER (3)</v>
      </c>
      <c r="AK717" s="327">
        <f>IFERROR(SUMIF('BD Otimix'!A:A,'BD VOLUME'!AG717,'BD Otimix'!O:O)+SUMIF('BD Otimix'!A:A,'BD VOLUME'!AH717,'BD Otimix'!O:O)+SUMIF('BD Otimix'!A:A,'BD VOLUME'!AI717,'BD Otimix'!O:O)+SUMIF('BD Otimix'!A:A,'BD VOLUME'!AJ717,'BD Otimix'!O:O)+SUMIF('BD Otimix'!A:A,'BD VOLUME'!AF717,'BD Otimix'!O:O),0)</f>
        <v>0</v>
      </c>
      <c r="AL717" s="7">
        <f t="shared" si="238"/>
        <v>0</v>
      </c>
    </row>
    <row r="718" spans="1:38">
      <c r="A718" s="336">
        <v>220808</v>
      </c>
      <c r="B718" s="336"/>
      <c r="C718" s="5" t="s">
        <v>2430</v>
      </c>
      <c r="D718" s="5" t="s">
        <v>896</v>
      </c>
      <c r="E718" s="5" t="s">
        <v>1351</v>
      </c>
      <c r="F718" s="132">
        <f>SUMIF('COLAR PLANO'!$A:$A,A718,'COLAR PLANO'!$D:$D)</f>
        <v>0</v>
      </c>
      <c r="G718" s="131">
        <f t="shared" si="251"/>
        <v>0</v>
      </c>
      <c r="H718" s="6">
        <v>2.2016700487808719E-3</v>
      </c>
      <c r="I718" s="7">
        <f t="shared" si="252"/>
        <v>0</v>
      </c>
      <c r="J718" s="130">
        <f t="shared" si="253"/>
        <v>0</v>
      </c>
      <c r="K718" s="336">
        <v>1</v>
      </c>
      <c r="L718" s="336">
        <v>12</v>
      </c>
      <c r="M718" s="336">
        <v>12</v>
      </c>
      <c r="N718" s="7">
        <f t="shared" si="254"/>
        <v>0</v>
      </c>
      <c r="O718" s="7"/>
      <c r="P718" s="7">
        <f>IFERROR(G718/M718,0)</f>
        <v>0</v>
      </c>
      <c r="Q718" s="7"/>
      <c r="R718" s="7"/>
      <c r="S718" s="7"/>
      <c r="T718" s="7"/>
      <c r="U718" s="7" t="s">
        <v>2288</v>
      </c>
      <c r="V718" s="7" t="s">
        <v>2289</v>
      </c>
      <c r="W718" s="7" t="str">
        <f>Preencher!$B$3&amp;U718&amp;V718&amp;A718&amp;$W$6</f>
        <v>JARINU-FRG220808MQ.TUNEL DE CG (CONTINUO)</v>
      </c>
      <c r="X718" s="7" t="str">
        <f>Preencher!$B$3&amp;U718&amp;V718&amp;A718&amp;$X$6</f>
        <v>JARINU-FRG220808MQ.TUNEL DE CG (CONTINUO) (1)</v>
      </c>
      <c r="Y718" s="7" t="str">
        <f>Preencher!$B$3&amp;U718&amp;V718&amp;A718&amp;$Y$6</f>
        <v>JARINU-FRG220808MQ.TUNEL DE CG (CONTINUO) (2)</v>
      </c>
      <c r="Z718" s="7" t="str">
        <f>Preencher!$B$3&amp;U718&amp;V718&amp;A718&amp;$Z$6</f>
        <v>JARINU-FRG220808MQ.TUNEL DE CG (CONTINUO) (3)</v>
      </c>
      <c r="AA718" s="7" t="str">
        <f>Preencher!$B$3&amp;U718&amp;V718&amp;A718&amp;$AA$6</f>
        <v>JARINU-FRG220808MQ.TUNEL DE CG (ESTATICO)</v>
      </c>
      <c r="AB718" s="7" t="str">
        <f>Preencher!$B$3&amp;U718&amp;V718&amp;A718&amp;$AB$6</f>
        <v>JARINU-FRG220808MQ.TUNEL DE CG (ESTATICO) (1)</v>
      </c>
      <c r="AC718" s="7" t="str">
        <f>Preencher!$B$3&amp;U718&amp;V718&amp;A718&amp;$AC$6</f>
        <v>JARINU-FRG220808MQ.TUNEL DE CG (ESTATICO) (2)</v>
      </c>
      <c r="AD718" s="327">
        <f>IFERROR(SUMIF('BD Otimix'!A:A,'BD VOLUME'!X718,'BD Otimix'!O:O)+SUMIF('BD Otimix'!A:A,'BD VOLUME'!Y718,'BD Otimix'!O:O)+SUMIF('BD Otimix'!A:A,'BD VOLUME'!Z718,'BD Otimix'!O:O)+SUMIF('BD Otimix'!A:A,'BD VOLUME'!AA718,'BD Otimix'!O:O)+SUMIF('BD Otimix'!A:A,'BD VOLUME'!AB718,'BD Otimix'!O:O)+SUMIF('BD Otimix'!A:A,'BD VOLUME'!AC718,'BD Otimix'!O:O)+SUMIF('BD Otimix'!A:A,'BD VOLUME'!W718,'BD Otimix'!O:O),0)</f>
        <v>0</v>
      </c>
      <c r="AE718" s="327">
        <f t="shared" si="237"/>
        <v>0</v>
      </c>
      <c r="AF718" s="7" t="str">
        <f>Preencher!$B$3&amp;$U$8&amp;$V$8&amp;A718&amp;$AF$6</f>
        <v>JARINU-FRG220808MQ.GIROFREEZER</v>
      </c>
      <c r="AG718" s="7" t="str">
        <f>Preencher!$B$3&amp;$U$8&amp;$V$8&amp;A718&amp;$AG$6</f>
        <v>JARINU-FRG220808MQ.GIROFREEZER (1)</v>
      </c>
      <c r="AH718" s="7" t="str">
        <f>Preencher!$B$3&amp;$U$8&amp;$V$8&amp;A718&amp;$AH$6</f>
        <v>JARINU-FRG220808MQ.GIROFREEZER (2)</v>
      </c>
      <c r="AI718" s="7" t="str">
        <f>Preencher!$B$3&amp;$U$8&amp;$V$8&amp;A718&amp;$AI$6</f>
        <v>JARINU-FRG220808MQ.GIROFREEZER REV04</v>
      </c>
      <c r="AJ718" s="7" t="str">
        <f>Preencher!$B$3&amp;$U$8&amp;$V$8&amp;A718&amp;$AJ$6</f>
        <v>JARINU-FRG220808MQ.GIROFREEZER (3)</v>
      </c>
      <c r="AK718" s="327">
        <f>IFERROR(SUMIF('BD Otimix'!A:A,'BD VOLUME'!AG718,'BD Otimix'!O:O)+SUMIF('BD Otimix'!A:A,'BD VOLUME'!AH718,'BD Otimix'!O:O)+SUMIF('BD Otimix'!A:A,'BD VOLUME'!AI718,'BD Otimix'!O:O)+SUMIF('BD Otimix'!A:A,'BD VOLUME'!AJ718,'BD Otimix'!O:O)+SUMIF('BD Otimix'!A:A,'BD VOLUME'!AF718,'BD Otimix'!O:O),0)</f>
        <v>0</v>
      </c>
      <c r="AL718" s="7">
        <f t="shared" si="238"/>
        <v>0</v>
      </c>
    </row>
    <row r="719" spans="1:38">
      <c r="A719" s="580">
        <v>54950</v>
      </c>
      <c r="B719" s="580"/>
      <c r="C719" s="5" t="s">
        <v>2081</v>
      </c>
      <c r="D719" s="5" t="s">
        <v>896</v>
      </c>
      <c r="E719" s="5" t="s">
        <v>1716</v>
      </c>
      <c r="F719" s="132">
        <f>SUMIF('COLAR PLANO'!$A:$A,A719,'COLAR PLANO'!$D:$D)</f>
        <v>0</v>
      </c>
      <c r="G719" s="131">
        <f t="shared" si="251"/>
        <v>0</v>
      </c>
      <c r="H719" s="6">
        <v>2.2016700487808719E-3</v>
      </c>
      <c r="I719" s="7">
        <f t="shared" si="252"/>
        <v>0</v>
      </c>
      <c r="J719" s="130">
        <f t="shared" si="253"/>
        <v>0</v>
      </c>
      <c r="K719" s="580">
        <v>2</v>
      </c>
      <c r="L719" s="580">
        <v>6</v>
      </c>
      <c r="M719" s="580">
        <v>12</v>
      </c>
      <c r="N719" s="7">
        <f t="shared" si="254"/>
        <v>0</v>
      </c>
      <c r="O719" s="7"/>
      <c r="P719" s="7">
        <f>IFERROR(G719/M719,0)</f>
        <v>0</v>
      </c>
      <c r="Q719" s="7"/>
      <c r="R719" s="7"/>
      <c r="S719" s="7"/>
      <c r="T719" s="7"/>
      <c r="U719" s="7" t="s">
        <v>2288</v>
      </c>
      <c r="V719" s="7" t="s">
        <v>2289</v>
      </c>
      <c r="W719" s="7" t="str">
        <f>Preencher!$B$3&amp;U719&amp;V719&amp;A719&amp;$W$6</f>
        <v>JARINU-FRG54950MQ.TUNEL DE CG (CONTINUO)</v>
      </c>
      <c r="X719" s="7" t="str">
        <f>Preencher!$B$3&amp;U719&amp;V719&amp;A719&amp;$X$6</f>
        <v>JARINU-FRG54950MQ.TUNEL DE CG (CONTINUO) (1)</v>
      </c>
      <c r="Y719" s="7" t="str">
        <f>Preencher!$B$3&amp;U719&amp;V719&amp;A719&amp;$Y$6</f>
        <v>JARINU-FRG54950MQ.TUNEL DE CG (CONTINUO) (2)</v>
      </c>
      <c r="Z719" s="7" t="str">
        <f>Preencher!$B$3&amp;U719&amp;V719&amp;A719&amp;$Z$6</f>
        <v>JARINU-FRG54950MQ.TUNEL DE CG (CONTINUO) (3)</v>
      </c>
      <c r="AA719" s="7" t="str">
        <f>Preencher!$B$3&amp;U719&amp;V719&amp;A719&amp;$AA$6</f>
        <v>JARINU-FRG54950MQ.TUNEL DE CG (ESTATICO)</v>
      </c>
      <c r="AB719" s="7" t="str">
        <f>Preencher!$B$3&amp;U719&amp;V719&amp;A719&amp;$AB$6</f>
        <v>JARINU-FRG54950MQ.TUNEL DE CG (ESTATICO) (1)</v>
      </c>
      <c r="AC719" s="7" t="str">
        <f>Preencher!$B$3&amp;U719&amp;V719&amp;A719&amp;$AC$6</f>
        <v>JARINU-FRG54950MQ.TUNEL DE CG (ESTATICO) (2)</v>
      </c>
      <c r="AD719" s="327">
        <f>IFERROR(SUMIF('BD Otimix'!A:A,'BD VOLUME'!X719,'BD Otimix'!O:O)+SUMIF('BD Otimix'!A:A,'BD VOLUME'!Y719,'BD Otimix'!O:O)+SUMIF('BD Otimix'!A:A,'BD VOLUME'!Z719,'BD Otimix'!O:O)+SUMIF('BD Otimix'!A:A,'BD VOLUME'!AA719,'BD Otimix'!O:O)+SUMIF('BD Otimix'!A:A,'BD VOLUME'!AB719,'BD Otimix'!O:O)+SUMIF('BD Otimix'!A:A,'BD VOLUME'!AC719,'BD Otimix'!O:O)+SUMIF('BD Otimix'!A:A,'BD VOLUME'!W719,'BD Otimix'!O:O),0)</f>
        <v>0</v>
      </c>
      <c r="AE719" s="327">
        <f t="shared" si="237"/>
        <v>0</v>
      </c>
      <c r="AF719" s="7" t="str">
        <f>Preencher!$B$3&amp;$U$8&amp;$V$8&amp;A719&amp;$AF$6</f>
        <v>JARINU-FRG54950MQ.GIROFREEZER</v>
      </c>
      <c r="AG719" s="7" t="str">
        <f>Preencher!$B$3&amp;$U$8&amp;$V$8&amp;A719&amp;$AG$6</f>
        <v>JARINU-FRG54950MQ.GIROFREEZER (1)</v>
      </c>
      <c r="AH719" s="7" t="str">
        <f>Preencher!$B$3&amp;$U$8&amp;$V$8&amp;A719&amp;$AH$6</f>
        <v>JARINU-FRG54950MQ.GIROFREEZER (2)</v>
      </c>
      <c r="AI719" s="7" t="str">
        <f>Preencher!$B$3&amp;$U$8&amp;$V$8&amp;A719&amp;$AI$6</f>
        <v>JARINU-FRG54950MQ.GIROFREEZER REV04</v>
      </c>
      <c r="AJ719" s="7" t="str">
        <f>Preencher!$B$3&amp;$U$8&amp;$V$8&amp;A719&amp;$AJ$6</f>
        <v>JARINU-FRG54950MQ.GIROFREEZER (3)</v>
      </c>
      <c r="AK719" s="327">
        <f>IFERROR(SUMIF('BD Otimix'!A:A,'BD VOLUME'!AG719,'BD Otimix'!O:O)+SUMIF('BD Otimix'!A:A,'BD VOLUME'!AH719,'BD Otimix'!O:O)+SUMIF('BD Otimix'!A:A,'BD VOLUME'!AI719,'BD Otimix'!O:O)+SUMIF('BD Otimix'!A:A,'BD VOLUME'!AJ719,'BD Otimix'!O:O)+SUMIF('BD Otimix'!A:A,'BD VOLUME'!AF719,'BD Otimix'!O:O),0)</f>
        <v>0</v>
      </c>
      <c r="AL719" s="7">
        <f t="shared" si="238"/>
        <v>0</v>
      </c>
    </row>
    <row r="720" spans="1:38">
      <c r="A720" s="726">
        <v>124312</v>
      </c>
      <c r="B720" s="726" t="s">
        <v>2984</v>
      </c>
      <c r="C720" s="5" t="s">
        <v>2985</v>
      </c>
      <c r="D720" s="5" t="s">
        <v>896</v>
      </c>
      <c r="E720" s="5" t="s">
        <v>1351</v>
      </c>
      <c r="F720" s="132">
        <f>SUMIF('COLAR PLANO'!$A:$A,A720,'COLAR PLANO'!$D:$D)</f>
        <v>0</v>
      </c>
      <c r="G720" s="131">
        <f t="shared" si="251"/>
        <v>0</v>
      </c>
      <c r="H720" s="6">
        <v>2.2016700487808719E-3</v>
      </c>
      <c r="I720" s="7">
        <f>IFERROR(G720/$D$3/H720,0)</f>
        <v>0</v>
      </c>
      <c r="J720" s="130">
        <f t="shared" si="253"/>
        <v>0</v>
      </c>
      <c r="K720" s="726">
        <v>1</v>
      </c>
      <c r="L720" s="726">
        <v>12</v>
      </c>
      <c r="M720" s="726">
        <v>12</v>
      </c>
      <c r="N720" s="7">
        <f>IFERROR(G720/K720,"-")</f>
        <v>0</v>
      </c>
      <c r="O720" s="7"/>
      <c r="P720" s="7">
        <f>IFERROR(G720/M720,0)</f>
        <v>0</v>
      </c>
      <c r="Q720" s="7"/>
      <c r="R720" s="7"/>
      <c r="S720" s="7"/>
      <c r="T720" s="7"/>
      <c r="U720" s="7" t="s">
        <v>2288</v>
      </c>
      <c r="V720" s="7" t="s">
        <v>2289</v>
      </c>
      <c r="W720" s="7" t="str">
        <f>Preencher!$B$3&amp;U720&amp;V720&amp;A720&amp;$W$6</f>
        <v>JARINU-FRG124312MQ.TUNEL DE CG (CONTINUO)</v>
      </c>
      <c r="X720" s="7" t="str">
        <f>Preencher!$B$3&amp;U720&amp;V720&amp;A720&amp;$X$6</f>
        <v>JARINU-FRG124312MQ.TUNEL DE CG (CONTINUO) (1)</v>
      </c>
      <c r="Y720" s="7" t="str">
        <f>Preencher!$B$3&amp;U720&amp;V720&amp;A720&amp;$Y$6</f>
        <v>JARINU-FRG124312MQ.TUNEL DE CG (CONTINUO) (2)</v>
      </c>
      <c r="Z720" s="7" t="str">
        <f>Preencher!$B$3&amp;U720&amp;V720&amp;A720&amp;$Z$6</f>
        <v>JARINU-FRG124312MQ.TUNEL DE CG (CONTINUO) (3)</v>
      </c>
      <c r="AA720" s="7" t="str">
        <f>Preencher!$B$3&amp;U720&amp;V720&amp;A720&amp;$AA$6</f>
        <v>JARINU-FRG124312MQ.TUNEL DE CG (ESTATICO)</v>
      </c>
      <c r="AB720" s="7" t="str">
        <f>Preencher!$B$3&amp;U720&amp;V720&amp;A720&amp;$AB$6</f>
        <v>JARINU-FRG124312MQ.TUNEL DE CG (ESTATICO) (1)</v>
      </c>
      <c r="AC720" s="7" t="str">
        <f>Preencher!$B$3&amp;U720&amp;V720&amp;A720&amp;$AC$6</f>
        <v>JARINU-FRG124312MQ.TUNEL DE CG (ESTATICO) (2)</v>
      </c>
      <c r="AD720" s="327">
        <f>IFERROR(SUMIF('BD Otimix'!A:A,'BD VOLUME'!X720,'BD Otimix'!O:O)+SUMIF('BD Otimix'!A:A,'BD VOLUME'!Y720,'BD Otimix'!O:O)+SUMIF('BD Otimix'!A:A,'BD VOLUME'!Z720,'BD Otimix'!O:O)+SUMIF('BD Otimix'!A:A,'BD VOLUME'!AA720,'BD Otimix'!O:O)+SUMIF('BD Otimix'!A:A,'BD VOLUME'!AB720,'BD Otimix'!O:O)+SUMIF('BD Otimix'!A:A,'BD VOLUME'!AC720,'BD Otimix'!O:O)+SUMIF('BD Otimix'!A:A,'BD VOLUME'!W720,'BD Otimix'!O:O),0)</f>
        <v>0</v>
      </c>
      <c r="AE720" s="327">
        <f>IFERROR(F720/$E$3/1000/AD720,0)</f>
        <v>0</v>
      </c>
      <c r="AF720" s="7" t="str">
        <f>Preencher!$B$3&amp;$U$8&amp;$V$8&amp;A720&amp;$AF$6</f>
        <v>JARINU-FRG124312MQ.GIROFREEZER</v>
      </c>
      <c r="AG720" s="7" t="str">
        <f>Preencher!$B$3&amp;$U$8&amp;$V$8&amp;A720&amp;$AG$6</f>
        <v>JARINU-FRG124312MQ.GIROFREEZER (1)</v>
      </c>
      <c r="AH720" s="7" t="str">
        <f>Preencher!$B$3&amp;$U$8&amp;$V$8&amp;A720&amp;$AH$6</f>
        <v>JARINU-FRG124312MQ.GIROFREEZER (2)</v>
      </c>
      <c r="AI720" s="7" t="str">
        <f>Preencher!$B$3&amp;$U$8&amp;$V$8&amp;A720&amp;$AI$6</f>
        <v>JARINU-FRG124312MQ.GIROFREEZER REV04</v>
      </c>
      <c r="AJ720" s="7" t="str">
        <f>Preencher!$B$3&amp;$U$8&amp;$V$8&amp;A720&amp;$AJ$6</f>
        <v>JARINU-FRG124312MQ.GIROFREEZER (3)</v>
      </c>
      <c r="AK720" s="327">
        <f>IFERROR(SUMIF('BD Otimix'!A:A,'BD VOLUME'!AG720,'BD Otimix'!O:O)+SUMIF('BD Otimix'!A:A,'BD VOLUME'!AH720,'BD Otimix'!O:O)+SUMIF('BD Otimix'!A:A,'BD VOLUME'!AI720,'BD Otimix'!O:O)+SUMIF('BD Otimix'!A:A,'BD VOLUME'!AJ720,'BD Otimix'!O:O)+SUMIF('BD Otimix'!A:A,'BD VOLUME'!AF720,'BD Otimix'!O:O),0)</f>
        <v>0</v>
      </c>
      <c r="AL720" s="7">
        <f>IFERROR(F720/$E$3/1000/AK720,0)</f>
        <v>0</v>
      </c>
    </row>
    <row r="721" spans="1:38">
      <c r="A721" s="726"/>
      <c r="B721" s="726"/>
      <c r="C721" s="5"/>
      <c r="D721" s="5"/>
      <c r="E721" s="5"/>
      <c r="F721" s="132">
        <f>SUMIF('COLAR PLANO'!$A:$A,A721,'COLAR PLANO'!$D:$D)</f>
        <v>0</v>
      </c>
      <c r="G721" s="131"/>
      <c r="H721" s="6"/>
      <c r="I721" s="7"/>
      <c r="J721" s="130"/>
      <c r="K721" s="726"/>
      <c r="L721" s="726"/>
      <c r="M721" s="726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327"/>
      <c r="AE721" s="327"/>
      <c r="AF721" s="7"/>
      <c r="AG721" s="7"/>
      <c r="AH721" s="7"/>
      <c r="AI721" s="7"/>
      <c r="AJ721" s="7"/>
      <c r="AK721" s="327"/>
      <c r="AL721" s="7"/>
    </row>
    <row r="722" spans="1:38">
      <c r="A722" s="408">
        <v>31210</v>
      </c>
      <c r="B722" s="408"/>
      <c r="C722" s="5" t="s">
        <v>2081</v>
      </c>
      <c r="D722" s="5" t="s">
        <v>896</v>
      </c>
      <c r="E722" s="5" t="s">
        <v>1716</v>
      </c>
      <c r="F722" s="132">
        <f>SUMIF('COLAR PLANO'!$A:$A,A722,'COLAR PLANO'!$D:$D)</f>
        <v>0</v>
      </c>
      <c r="G722" s="131">
        <f t="shared" si="251"/>
        <v>0</v>
      </c>
      <c r="H722" s="6">
        <v>2.2016700487808719E-3</v>
      </c>
      <c r="I722" s="7">
        <f t="shared" si="252"/>
        <v>0</v>
      </c>
      <c r="J722" s="130">
        <f t="shared" si="253"/>
        <v>0</v>
      </c>
      <c r="K722" s="408">
        <v>2</v>
      </c>
      <c r="L722" s="408">
        <v>6</v>
      </c>
      <c r="M722" s="408">
        <v>12</v>
      </c>
      <c r="N722" s="7">
        <f t="shared" si="254"/>
        <v>0</v>
      </c>
      <c r="O722" s="7"/>
      <c r="P722" s="7">
        <f>IFERROR(G722/M722,0)</f>
        <v>0</v>
      </c>
      <c r="Q722" s="7"/>
      <c r="R722" s="7"/>
      <c r="S722" s="7"/>
      <c r="T722" s="7"/>
      <c r="U722" s="7" t="s">
        <v>2288</v>
      </c>
      <c r="V722" s="7" t="s">
        <v>2289</v>
      </c>
      <c r="W722" s="7" t="str">
        <f>Preencher!$B$3&amp;U722&amp;V722&amp;A722&amp;$W$6</f>
        <v>JARINU-FRG31210MQ.TUNEL DE CG (CONTINUO)</v>
      </c>
      <c r="X722" s="7" t="str">
        <f>Preencher!$B$3&amp;U722&amp;V722&amp;A722&amp;$X$6</f>
        <v>JARINU-FRG31210MQ.TUNEL DE CG (CONTINUO) (1)</v>
      </c>
      <c r="Y722" s="7" t="str">
        <f>Preencher!$B$3&amp;U722&amp;V722&amp;A722&amp;$Y$6</f>
        <v>JARINU-FRG31210MQ.TUNEL DE CG (CONTINUO) (2)</v>
      </c>
      <c r="Z722" s="7" t="str">
        <f>Preencher!$B$3&amp;U722&amp;V722&amp;A722&amp;$Z$6</f>
        <v>JARINU-FRG31210MQ.TUNEL DE CG (CONTINUO) (3)</v>
      </c>
      <c r="AA722" s="7" t="str">
        <f>Preencher!$B$3&amp;U722&amp;V722&amp;A722&amp;$AA$6</f>
        <v>JARINU-FRG31210MQ.TUNEL DE CG (ESTATICO)</v>
      </c>
      <c r="AB722" s="7" t="str">
        <f>Preencher!$B$3&amp;U722&amp;V722&amp;A722&amp;$AB$6</f>
        <v>JARINU-FRG31210MQ.TUNEL DE CG (ESTATICO) (1)</v>
      </c>
      <c r="AC722" s="7" t="str">
        <f>Preencher!$B$3&amp;U722&amp;V722&amp;A722&amp;$AC$6</f>
        <v>JARINU-FRG31210MQ.TUNEL DE CG (ESTATICO) (2)</v>
      </c>
      <c r="AD722" s="327">
        <f>IFERROR(SUMIF('BD Otimix'!A:A,'BD VOLUME'!X722,'BD Otimix'!O:O)+SUMIF('BD Otimix'!A:A,'BD VOLUME'!Y722,'BD Otimix'!O:O)+SUMIF('BD Otimix'!A:A,'BD VOLUME'!Z722,'BD Otimix'!O:O)+SUMIF('BD Otimix'!A:A,'BD VOLUME'!AA722,'BD Otimix'!O:O)+SUMIF('BD Otimix'!A:A,'BD VOLUME'!AB722,'BD Otimix'!O:O)+SUMIF('BD Otimix'!A:A,'BD VOLUME'!AC722,'BD Otimix'!O:O)+SUMIF('BD Otimix'!A:A,'BD VOLUME'!W722,'BD Otimix'!O:O),0)</f>
        <v>0</v>
      </c>
      <c r="AE722" s="327">
        <f t="shared" si="237"/>
        <v>0</v>
      </c>
      <c r="AF722" s="7" t="str">
        <f>Preencher!$B$3&amp;$U$8&amp;$V$8&amp;A722&amp;$AF$6</f>
        <v>JARINU-FRG31210MQ.GIROFREEZER</v>
      </c>
      <c r="AG722" s="7" t="str">
        <f>Preencher!$B$3&amp;$U$8&amp;$V$8&amp;A722&amp;$AG$6</f>
        <v>JARINU-FRG31210MQ.GIROFREEZER (1)</v>
      </c>
      <c r="AH722" s="7" t="str">
        <f>Preencher!$B$3&amp;$U$8&amp;$V$8&amp;A722&amp;$AH$6</f>
        <v>JARINU-FRG31210MQ.GIROFREEZER (2)</v>
      </c>
      <c r="AI722" s="7" t="str">
        <f>Preencher!$B$3&amp;$U$8&amp;$V$8&amp;A722&amp;$AI$6</f>
        <v>JARINU-FRG31210MQ.GIROFREEZER REV04</v>
      </c>
      <c r="AJ722" s="7" t="str">
        <f>Preencher!$B$3&amp;$U$8&amp;$V$8&amp;A722&amp;$AJ$6</f>
        <v>JARINU-FRG31210MQ.GIROFREEZER (3)</v>
      </c>
      <c r="AK722" s="327">
        <f>IFERROR(SUMIF('BD Otimix'!A:A,'BD VOLUME'!AG722,'BD Otimix'!O:O)+SUMIF('BD Otimix'!A:A,'BD VOLUME'!AH722,'BD Otimix'!O:O)+SUMIF('BD Otimix'!A:A,'BD VOLUME'!AI722,'BD Otimix'!O:O)+SUMIF('BD Otimix'!A:A,'BD VOLUME'!AJ722,'BD Otimix'!O:O)+SUMIF('BD Otimix'!A:A,'BD VOLUME'!AF722,'BD Otimix'!O:O),0)</f>
        <v>0</v>
      </c>
      <c r="AL722" s="7">
        <f t="shared" si="238"/>
        <v>0</v>
      </c>
    </row>
    <row r="723" spans="1:38">
      <c r="A723" s="345">
        <v>11800</v>
      </c>
      <c r="B723" s="345" t="s">
        <v>1022</v>
      </c>
      <c r="C723" s="5" t="s">
        <v>1357</v>
      </c>
      <c r="D723" s="5" t="s">
        <v>896</v>
      </c>
      <c r="E723" s="5" t="s">
        <v>1358</v>
      </c>
      <c r="F723" s="132">
        <f>SUMIF('COLAR PLANO'!$A:$A,A723,'COLAR PLANO'!$D:$D)</f>
        <v>0</v>
      </c>
      <c r="G723" s="131">
        <f t="shared" si="251"/>
        <v>0</v>
      </c>
      <c r="H723" s="6">
        <v>1.5318779593722045E-2</v>
      </c>
      <c r="I723" s="7">
        <f t="shared" si="252"/>
        <v>0</v>
      </c>
      <c r="J723" s="130">
        <f t="shared" si="253"/>
        <v>0</v>
      </c>
      <c r="K723" s="345">
        <v>15</v>
      </c>
      <c r="L723" s="345">
        <v>1</v>
      </c>
      <c r="M723" s="345">
        <v>15</v>
      </c>
      <c r="N723" s="7">
        <f t="shared" si="254"/>
        <v>0</v>
      </c>
      <c r="O723" s="7"/>
      <c r="P723" s="7"/>
      <c r="Q723" s="7">
        <f>IFERROR(G723/M723,0)</f>
        <v>0</v>
      </c>
      <c r="R723" s="7"/>
      <c r="S723" s="7"/>
      <c r="T723" s="7"/>
      <c r="U723" s="7" t="s">
        <v>2288</v>
      </c>
      <c r="V723" s="7" t="s">
        <v>2289</v>
      </c>
      <c r="W723" s="7" t="str">
        <f>Preencher!$B$3&amp;U723&amp;V723&amp;A723&amp;$W$6</f>
        <v>JARINU-FRG11800MQ.TUNEL DE CG (CONTINUO)</v>
      </c>
      <c r="X723" s="7" t="str">
        <f>Preencher!$B$3&amp;U723&amp;V723&amp;A723&amp;$X$6</f>
        <v>JARINU-FRG11800MQ.TUNEL DE CG (CONTINUO) (1)</v>
      </c>
      <c r="Y723" s="7" t="str">
        <f>Preencher!$B$3&amp;U723&amp;V723&amp;A723&amp;$Y$6</f>
        <v>JARINU-FRG11800MQ.TUNEL DE CG (CONTINUO) (2)</v>
      </c>
      <c r="Z723" s="7" t="str">
        <f>Preencher!$B$3&amp;U723&amp;V723&amp;A723&amp;$Z$6</f>
        <v>JARINU-FRG11800MQ.TUNEL DE CG (CONTINUO) (3)</v>
      </c>
      <c r="AA723" s="7" t="str">
        <f>Preencher!$B$3&amp;U723&amp;V723&amp;A723&amp;$AA$6</f>
        <v>JARINU-FRG11800MQ.TUNEL DE CG (ESTATICO)</v>
      </c>
      <c r="AB723" s="7" t="str">
        <f>Preencher!$B$3&amp;U723&amp;V723&amp;A723&amp;$AB$6</f>
        <v>JARINU-FRG11800MQ.TUNEL DE CG (ESTATICO) (1)</v>
      </c>
      <c r="AC723" s="7" t="str">
        <f>Preencher!$B$3&amp;U723&amp;V723&amp;A723&amp;$AC$6</f>
        <v>JARINU-FRG11800MQ.TUNEL DE CG (ESTATICO) (2)</v>
      </c>
      <c r="AD723" s="327">
        <f>IFERROR(SUMIF('BD Otimix'!A:A,'BD VOLUME'!X723,'BD Otimix'!O:O)+SUMIF('BD Otimix'!A:A,'BD VOLUME'!Y723,'BD Otimix'!O:O)+SUMIF('BD Otimix'!A:A,'BD VOLUME'!Z723,'BD Otimix'!O:O)+SUMIF('BD Otimix'!A:A,'BD VOLUME'!AA723,'BD Otimix'!O:O)+SUMIF('BD Otimix'!A:A,'BD VOLUME'!AB723,'BD Otimix'!O:O)+SUMIF('BD Otimix'!A:A,'BD VOLUME'!AC723,'BD Otimix'!O:O)+SUMIF('BD Otimix'!A:A,'BD VOLUME'!W723,'BD Otimix'!O:O),0)</f>
        <v>0</v>
      </c>
      <c r="AE723" s="327">
        <f t="shared" si="237"/>
        <v>0</v>
      </c>
      <c r="AF723" s="7" t="str">
        <f>Preencher!$B$3&amp;$U$8&amp;$V$8&amp;A723&amp;$AF$6</f>
        <v>JARINU-FRG11800MQ.GIROFREEZER</v>
      </c>
      <c r="AG723" s="7" t="str">
        <f>Preencher!$B$3&amp;$U$8&amp;$V$8&amp;A723&amp;$AG$6</f>
        <v>JARINU-FRG11800MQ.GIROFREEZER (1)</v>
      </c>
      <c r="AH723" s="7" t="str">
        <f>Preencher!$B$3&amp;$U$8&amp;$V$8&amp;A723&amp;$AH$6</f>
        <v>JARINU-FRG11800MQ.GIROFREEZER (2)</v>
      </c>
      <c r="AI723" s="7" t="str">
        <f>Preencher!$B$3&amp;$U$8&amp;$V$8&amp;A723&amp;$AI$6</f>
        <v>JARINU-FRG11800MQ.GIROFREEZER REV04</v>
      </c>
      <c r="AJ723" s="7" t="str">
        <f>Preencher!$B$3&amp;$U$8&amp;$V$8&amp;A723&amp;$AJ$6</f>
        <v>JARINU-FRG11800MQ.GIROFREEZER (3)</v>
      </c>
      <c r="AK723" s="327">
        <f>IFERROR(SUMIF('BD Otimix'!A:A,'BD VOLUME'!AG723,'BD Otimix'!O:O)+SUMIF('BD Otimix'!A:A,'BD VOLUME'!AH723,'BD Otimix'!O:O)+SUMIF('BD Otimix'!A:A,'BD VOLUME'!AI723,'BD Otimix'!O:O)+SUMIF('BD Otimix'!A:A,'BD VOLUME'!AJ723,'BD Otimix'!O:O)+SUMIF('BD Otimix'!A:A,'BD VOLUME'!AF723,'BD Otimix'!O:O),0)</f>
        <v>0</v>
      </c>
      <c r="AL723" s="7">
        <f t="shared" si="238"/>
        <v>0</v>
      </c>
    </row>
    <row r="724" spans="1:38">
      <c r="A724" s="710">
        <v>43699</v>
      </c>
      <c r="B724" s="710" t="s">
        <v>2743</v>
      </c>
      <c r="C724" s="5" t="s">
        <v>2656</v>
      </c>
      <c r="D724" s="5" t="s">
        <v>896</v>
      </c>
      <c r="E724" s="5" t="s">
        <v>1358</v>
      </c>
      <c r="F724" s="132">
        <f>SUMIF('COLAR PLANO'!$A:$A,A724,'COLAR PLANO'!$D:$D)</f>
        <v>0</v>
      </c>
      <c r="G724" s="131">
        <f t="shared" si="251"/>
        <v>0</v>
      </c>
      <c r="H724" s="6">
        <v>1.5318779593722045E-2</v>
      </c>
      <c r="I724" s="7">
        <f t="shared" si="252"/>
        <v>0</v>
      </c>
      <c r="J724" s="130">
        <f t="shared" si="253"/>
        <v>0</v>
      </c>
      <c r="K724" s="710">
        <v>15</v>
      </c>
      <c r="L724" s="710">
        <v>1</v>
      </c>
      <c r="M724" s="710">
        <v>15</v>
      </c>
      <c r="N724" s="7">
        <f t="shared" si="254"/>
        <v>0</v>
      </c>
      <c r="O724" s="7"/>
      <c r="P724" s="7"/>
      <c r="Q724" s="7">
        <f>IFERROR(G724/M724,0)</f>
        <v>0</v>
      </c>
      <c r="R724" s="7"/>
      <c r="S724" s="7"/>
      <c r="T724" s="7"/>
      <c r="U724" s="7" t="s">
        <v>2288</v>
      </c>
      <c r="V724" s="7" t="s">
        <v>2289</v>
      </c>
      <c r="W724" s="7" t="str">
        <f>Preencher!$B$3&amp;U724&amp;V724&amp;A724&amp;$W$6</f>
        <v>JARINU-FRG43699MQ.TUNEL DE CG (CONTINUO)</v>
      </c>
      <c r="X724" s="7" t="str">
        <f>Preencher!$B$3&amp;U724&amp;V724&amp;A724&amp;$X$6</f>
        <v>JARINU-FRG43699MQ.TUNEL DE CG (CONTINUO) (1)</v>
      </c>
      <c r="Y724" s="7" t="str">
        <f>Preencher!$B$3&amp;U724&amp;V724&amp;A724&amp;$Y$6</f>
        <v>JARINU-FRG43699MQ.TUNEL DE CG (CONTINUO) (2)</v>
      </c>
      <c r="Z724" s="7" t="str">
        <f>Preencher!$B$3&amp;U724&amp;V724&amp;A724&amp;$Z$6</f>
        <v>JARINU-FRG43699MQ.TUNEL DE CG (CONTINUO) (3)</v>
      </c>
      <c r="AA724" s="7" t="str">
        <f>Preencher!$B$3&amp;U724&amp;V724&amp;A724&amp;$AA$6</f>
        <v>JARINU-FRG43699MQ.TUNEL DE CG (ESTATICO)</v>
      </c>
      <c r="AB724" s="7" t="str">
        <f>Preencher!$B$3&amp;U724&amp;V724&amp;A724&amp;$AB$6</f>
        <v>JARINU-FRG43699MQ.TUNEL DE CG (ESTATICO) (1)</v>
      </c>
      <c r="AC724" s="7" t="str">
        <f>Preencher!$B$3&amp;U724&amp;V724&amp;A724&amp;$AC$6</f>
        <v>JARINU-FRG43699MQ.TUNEL DE CG (ESTATICO) (2)</v>
      </c>
      <c r="AD724" s="327">
        <f>IFERROR(SUMIF('BD Otimix'!A:A,'BD VOLUME'!X724,'BD Otimix'!O:O)+SUMIF('BD Otimix'!A:A,'BD VOLUME'!Y724,'BD Otimix'!O:O)+SUMIF('BD Otimix'!A:A,'BD VOLUME'!Z724,'BD Otimix'!O:O)+SUMIF('BD Otimix'!A:A,'BD VOLUME'!AA724,'BD Otimix'!O:O)+SUMIF('BD Otimix'!A:A,'BD VOLUME'!AB724,'BD Otimix'!O:O)+SUMIF('BD Otimix'!A:A,'BD VOLUME'!AC724,'BD Otimix'!O:O)+SUMIF('BD Otimix'!A:A,'BD VOLUME'!W724,'BD Otimix'!O:O),0)</f>
        <v>0</v>
      </c>
      <c r="AE724" s="327">
        <f>IFERROR(F724/$E$3/1000/AD724,0)</f>
        <v>0</v>
      </c>
      <c r="AF724" s="7" t="str">
        <f>Preencher!$B$3&amp;$U$8&amp;$V$8&amp;A724&amp;$AF$6</f>
        <v>JARINU-FRG43699MQ.GIROFREEZER</v>
      </c>
      <c r="AG724" s="7" t="str">
        <f>Preencher!$B$3&amp;$U$8&amp;$V$8&amp;A724&amp;$AG$6</f>
        <v>JARINU-FRG43699MQ.GIROFREEZER (1)</v>
      </c>
      <c r="AH724" s="7" t="str">
        <f>Preencher!$B$3&amp;$U$8&amp;$V$8&amp;A724&amp;$AH$6</f>
        <v>JARINU-FRG43699MQ.GIROFREEZER (2)</v>
      </c>
      <c r="AI724" s="7" t="str">
        <f>Preencher!$B$3&amp;$U$8&amp;$V$8&amp;A724&amp;$AI$6</f>
        <v>JARINU-FRG43699MQ.GIROFREEZER REV04</v>
      </c>
      <c r="AJ724" s="7" t="str">
        <f>Preencher!$B$3&amp;$U$8&amp;$V$8&amp;A724&amp;$AJ$6</f>
        <v>JARINU-FRG43699MQ.GIROFREEZER (3)</v>
      </c>
      <c r="AK724" s="327">
        <f>IFERROR(SUMIF('BD Otimix'!A:A,'BD VOLUME'!AG724,'BD Otimix'!O:O)+SUMIF('BD Otimix'!A:A,'BD VOLUME'!AH724,'BD Otimix'!O:O)+SUMIF('BD Otimix'!A:A,'BD VOLUME'!AI724,'BD Otimix'!O:O)+SUMIF('BD Otimix'!A:A,'BD VOLUME'!AJ724,'BD Otimix'!O:O)+SUMIF('BD Otimix'!A:A,'BD VOLUME'!AF724,'BD Otimix'!O:O),0)</f>
        <v>0</v>
      </c>
      <c r="AL724" s="7">
        <f>IFERROR(F724/$E$3/1000/AK724,0)</f>
        <v>0</v>
      </c>
    </row>
    <row r="725" spans="1:38">
      <c r="A725" s="710">
        <v>93971</v>
      </c>
      <c r="B725" s="710"/>
      <c r="C725" s="5" t="s">
        <v>2746</v>
      </c>
      <c r="D725" s="5" t="s">
        <v>896</v>
      </c>
      <c r="E725" s="5" t="s">
        <v>1358</v>
      </c>
      <c r="F725" s="132">
        <f>SUMIF('COLAR PLANO'!$A:$A,A725,'COLAR PLANO'!$D:$D)</f>
        <v>0</v>
      </c>
      <c r="G725" s="131">
        <f t="shared" si="251"/>
        <v>0</v>
      </c>
      <c r="H725" s="6">
        <v>1.5318779593722045E-2</v>
      </c>
      <c r="I725" s="7">
        <f t="shared" si="252"/>
        <v>0</v>
      </c>
      <c r="J725" s="130">
        <f t="shared" si="253"/>
        <v>0</v>
      </c>
      <c r="K725" s="710">
        <v>15</v>
      </c>
      <c r="L725" s="710">
        <v>1</v>
      </c>
      <c r="M725" s="710">
        <v>15</v>
      </c>
      <c r="N725" s="7">
        <f t="shared" si="254"/>
        <v>0</v>
      </c>
      <c r="O725" s="7"/>
      <c r="P725" s="7"/>
      <c r="Q725" s="7">
        <f>IFERROR(G725/M725,0)</f>
        <v>0</v>
      </c>
      <c r="R725" s="7"/>
      <c r="S725" s="7"/>
      <c r="T725" s="7"/>
      <c r="U725" s="7" t="s">
        <v>2288</v>
      </c>
      <c r="V725" s="7" t="s">
        <v>2289</v>
      </c>
      <c r="W725" s="7" t="str">
        <f>Preencher!$B$3&amp;U725&amp;V725&amp;A725&amp;$W$6</f>
        <v>JARINU-FRG93971MQ.TUNEL DE CG (CONTINUO)</v>
      </c>
      <c r="X725" s="7" t="str">
        <f>Preencher!$B$3&amp;U725&amp;V725&amp;A725&amp;$X$6</f>
        <v>JARINU-FRG93971MQ.TUNEL DE CG (CONTINUO) (1)</v>
      </c>
      <c r="Y725" s="7" t="str">
        <f>Preencher!$B$3&amp;U725&amp;V725&amp;A725&amp;$Y$6</f>
        <v>JARINU-FRG93971MQ.TUNEL DE CG (CONTINUO) (2)</v>
      </c>
      <c r="Z725" s="7" t="str">
        <f>Preencher!$B$3&amp;U725&amp;V725&amp;A725&amp;$Z$6</f>
        <v>JARINU-FRG93971MQ.TUNEL DE CG (CONTINUO) (3)</v>
      </c>
      <c r="AA725" s="7" t="str">
        <f>Preencher!$B$3&amp;U725&amp;V725&amp;A725&amp;$AA$6</f>
        <v>JARINU-FRG93971MQ.TUNEL DE CG (ESTATICO)</v>
      </c>
      <c r="AB725" s="7" t="str">
        <f>Preencher!$B$3&amp;U725&amp;V725&amp;A725&amp;$AB$6</f>
        <v>JARINU-FRG93971MQ.TUNEL DE CG (ESTATICO) (1)</v>
      </c>
      <c r="AC725" s="7" t="str">
        <f>Preencher!$B$3&amp;U725&amp;V725&amp;A725&amp;$AC$6</f>
        <v>JARINU-FRG93971MQ.TUNEL DE CG (ESTATICO) (2)</v>
      </c>
      <c r="AD725" s="327">
        <f>IFERROR(SUMIF('BD Otimix'!A:A,'BD VOLUME'!X725,'BD Otimix'!O:O)+SUMIF('BD Otimix'!A:A,'BD VOLUME'!Y725,'BD Otimix'!O:O)+SUMIF('BD Otimix'!A:A,'BD VOLUME'!Z725,'BD Otimix'!O:O)+SUMIF('BD Otimix'!A:A,'BD VOLUME'!AA725,'BD Otimix'!O:O)+SUMIF('BD Otimix'!A:A,'BD VOLUME'!AB725,'BD Otimix'!O:O)+SUMIF('BD Otimix'!A:A,'BD VOLUME'!AC725,'BD Otimix'!O:O)+SUMIF('BD Otimix'!A:A,'BD VOLUME'!W725,'BD Otimix'!O:O),0)</f>
        <v>0</v>
      </c>
      <c r="AE725" s="327">
        <f>IFERROR(F725/$E$3/1000/AD725,0)</f>
        <v>0</v>
      </c>
      <c r="AF725" s="7" t="str">
        <f>Preencher!$B$3&amp;$U$8&amp;$V$8&amp;A725&amp;$AF$6</f>
        <v>JARINU-FRG93971MQ.GIROFREEZER</v>
      </c>
      <c r="AG725" s="7" t="str">
        <f>Preencher!$B$3&amp;$U$8&amp;$V$8&amp;A725&amp;$AG$6</f>
        <v>JARINU-FRG93971MQ.GIROFREEZER (1)</v>
      </c>
      <c r="AH725" s="7" t="str">
        <f>Preencher!$B$3&amp;$U$8&amp;$V$8&amp;A725&amp;$AH$6</f>
        <v>JARINU-FRG93971MQ.GIROFREEZER (2)</v>
      </c>
      <c r="AI725" s="7" t="str">
        <f>Preencher!$B$3&amp;$U$8&amp;$V$8&amp;A725&amp;$AI$6</f>
        <v>JARINU-FRG93971MQ.GIROFREEZER REV04</v>
      </c>
      <c r="AJ725" s="7" t="str">
        <f>Preencher!$B$3&amp;$U$8&amp;$V$8&amp;A725&amp;$AJ$6</f>
        <v>JARINU-FRG93971MQ.GIROFREEZER (3)</v>
      </c>
      <c r="AK725" s="327">
        <f>IFERROR(SUMIF('BD Otimix'!A:A,'BD VOLUME'!AG725,'BD Otimix'!O:O)+SUMIF('BD Otimix'!A:A,'BD VOLUME'!AH725,'BD Otimix'!O:O)+SUMIF('BD Otimix'!A:A,'BD VOLUME'!AI725,'BD Otimix'!O:O)+SUMIF('BD Otimix'!A:A,'BD VOLUME'!AJ725,'BD Otimix'!O:O)+SUMIF('BD Otimix'!A:A,'BD VOLUME'!AF725,'BD Otimix'!O:O),0)</f>
        <v>0</v>
      </c>
      <c r="AL725" s="7">
        <f>IFERROR(F725/$E$3/1000/AK725,0)</f>
        <v>0</v>
      </c>
    </row>
    <row r="726" spans="1:38">
      <c r="A726" s="710"/>
      <c r="B726" s="710"/>
      <c r="C726" s="5"/>
      <c r="D726" s="5"/>
      <c r="E726" s="5"/>
      <c r="F726" s="132">
        <f>SUMIF('COLAR PLANO'!$A:$A,A726,'COLAR PLANO'!$D:$D)</f>
        <v>0</v>
      </c>
      <c r="G726" s="131"/>
      <c r="H726" s="6"/>
      <c r="I726" s="7"/>
      <c r="J726" s="130"/>
      <c r="K726" s="710"/>
      <c r="L726" s="710"/>
      <c r="M726" s="710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327"/>
      <c r="AE726" s="327"/>
      <c r="AF726" s="7"/>
      <c r="AG726" s="7"/>
      <c r="AH726" s="7"/>
      <c r="AI726" s="7"/>
      <c r="AJ726" s="7"/>
      <c r="AK726" s="327"/>
      <c r="AL726" s="7"/>
    </row>
    <row r="727" spans="1:38">
      <c r="A727" s="710">
        <v>17884</v>
      </c>
      <c r="B727" s="710" t="s">
        <v>2744</v>
      </c>
      <c r="C727" s="5" t="s">
        <v>2745</v>
      </c>
      <c r="D727" s="5" t="s">
        <v>896</v>
      </c>
      <c r="E727" s="5" t="s">
        <v>1358</v>
      </c>
      <c r="F727" s="132">
        <f>SUMIF('COLAR PLANO'!$A:$A,A727,'COLAR PLANO'!$D:$D)</f>
        <v>0</v>
      </c>
      <c r="G727" s="131">
        <f t="shared" ref="G727:G744" si="255">IFERROR(F727/($E$3*$C$3),0)</f>
        <v>0</v>
      </c>
      <c r="H727" s="6">
        <v>1.5318779593722045E-2</v>
      </c>
      <c r="I727" s="7">
        <f t="shared" ref="I727:I744" si="256">IFERROR(G727/$D$3/H727,0)</f>
        <v>0</v>
      </c>
      <c r="J727" s="130">
        <f t="shared" ref="J727:J744" si="257">IFERROR(I727/$B$3,0)</f>
        <v>0</v>
      </c>
      <c r="K727" s="710">
        <v>15</v>
      </c>
      <c r="L727" s="710">
        <v>1</v>
      </c>
      <c r="M727" s="710">
        <v>15</v>
      </c>
      <c r="N727" s="7">
        <f t="shared" ref="N727:N744" si="258">IFERROR(G727/K727,"-")</f>
        <v>0</v>
      </c>
      <c r="O727" s="7"/>
      <c r="P727" s="7"/>
      <c r="Q727" s="7">
        <f>IFERROR(G727/M727,0)</f>
        <v>0</v>
      </c>
      <c r="R727" s="7"/>
      <c r="S727" s="7"/>
      <c r="T727" s="7"/>
      <c r="U727" s="7" t="s">
        <v>2288</v>
      </c>
      <c r="V727" s="7" t="s">
        <v>2289</v>
      </c>
      <c r="W727" s="7" t="str">
        <f>Preencher!$B$3&amp;U727&amp;V727&amp;A727&amp;$W$6</f>
        <v>JARINU-FRG17884MQ.TUNEL DE CG (CONTINUO)</v>
      </c>
      <c r="X727" s="7" t="str">
        <f>Preencher!$B$3&amp;U727&amp;V727&amp;A727&amp;$X$6</f>
        <v>JARINU-FRG17884MQ.TUNEL DE CG (CONTINUO) (1)</v>
      </c>
      <c r="Y727" s="7" t="str">
        <f>Preencher!$B$3&amp;U727&amp;V727&amp;A727&amp;$Y$6</f>
        <v>JARINU-FRG17884MQ.TUNEL DE CG (CONTINUO) (2)</v>
      </c>
      <c r="Z727" s="7" t="str">
        <f>Preencher!$B$3&amp;U727&amp;V727&amp;A727&amp;$Z$6</f>
        <v>JARINU-FRG17884MQ.TUNEL DE CG (CONTINUO) (3)</v>
      </c>
      <c r="AA727" s="7" t="str">
        <f>Preencher!$B$3&amp;U727&amp;V727&amp;A727&amp;$AA$6</f>
        <v>JARINU-FRG17884MQ.TUNEL DE CG (ESTATICO)</v>
      </c>
      <c r="AB727" s="7" t="str">
        <f>Preencher!$B$3&amp;U727&amp;V727&amp;A727&amp;$AB$6</f>
        <v>JARINU-FRG17884MQ.TUNEL DE CG (ESTATICO) (1)</v>
      </c>
      <c r="AC727" s="7" t="str">
        <f>Preencher!$B$3&amp;U727&amp;V727&amp;A727&amp;$AC$6</f>
        <v>JARINU-FRG17884MQ.TUNEL DE CG (ESTATICO) (2)</v>
      </c>
      <c r="AD727" s="327">
        <f>IFERROR(SUMIF('BD Otimix'!A:A,'BD VOLUME'!X727,'BD Otimix'!O:O)+SUMIF('BD Otimix'!A:A,'BD VOLUME'!Y727,'BD Otimix'!O:O)+SUMIF('BD Otimix'!A:A,'BD VOLUME'!Z727,'BD Otimix'!O:O)+SUMIF('BD Otimix'!A:A,'BD VOLUME'!AA727,'BD Otimix'!O:O)+SUMIF('BD Otimix'!A:A,'BD VOLUME'!AB727,'BD Otimix'!O:O)+SUMIF('BD Otimix'!A:A,'BD VOLUME'!AC727,'BD Otimix'!O:O)+SUMIF('BD Otimix'!A:A,'BD VOLUME'!W727,'BD Otimix'!O:O),0)</f>
        <v>0</v>
      </c>
      <c r="AE727" s="327">
        <f>IFERROR(F727/$E$3/1000/AD727,0)</f>
        <v>0</v>
      </c>
      <c r="AF727" s="7" t="str">
        <f>Preencher!$B$3&amp;$U$8&amp;$V$8&amp;A727&amp;$AF$6</f>
        <v>JARINU-FRG17884MQ.GIROFREEZER</v>
      </c>
      <c r="AG727" s="7" t="str">
        <f>Preencher!$B$3&amp;$U$8&amp;$V$8&amp;A727&amp;$AG$6</f>
        <v>JARINU-FRG17884MQ.GIROFREEZER (1)</v>
      </c>
      <c r="AH727" s="7" t="str">
        <f>Preencher!$B$3&amp;$U$8&amp;$V$8&amp;A727&amp;$AH$6</f>
        <v>JARINU-FRG17884MQ.GIROFREEZER (2)</v>
      </c>
      <c r="AI727" s="7" t="str">
        <f>Preencher!$B$3&amp;$U$8&amp;$V$8&amp;A727&amp;$AI$6</f>
        <v>JARINU-FRG17884MQ.GIROFREEZER REV04</v>
      </c>
      <c r="AJ727" s="7" t="str">
        <f>Preencher!$B$3&amp;$U$8&amp;$V$8&amp;A727&amp;$AJ$6</f>
        <v>JARINU-FRG17884MQ.GIROFREEZER (3)</v>
      </c>
      <c r="AK727" s="327">
        <f>IFERROR(SUMIF('BD Otimix'!A:A,'BD VOLUME'!AG727,'BD Otimix'!O:O)+SUMIF('BD Otimix'!A:A,'BD VOLUME'!AH727,'BD Otimix'!O:O)+SUMIF('BD Otimix'!A:A,'BD VOLUME'!AI727,'BD Otimix'!O:O)+SUMIF('BD Otimix'!A:A,'BD VOLUME'!AJ727,'BD Otimix'!O:O)+SUMIF('BD Otimix'!A:A,'BD VOLUME'!AF727,'BD Otimix'!O:O),0)</f>
        <v>0</v>
      </c>
      <c r="AL727" s="7">
        <f>IFERROR(F727/$E$3/1000/AK727,0)</f>
        <v>0</v>
      </c>
    </row>
    <row r="728" spans="1:38">
      <c r="A728" s="720">
        <v>956830</v>
      </c>
      <c r="B728" s="720"/>
      <c r="C728" s="5" t="s">
        <v>2549</v>
      </c>
      <c r="D728" s="5" t="s">
        <v>896</v>
      </c>
      <c r="E728" s="5" t="s">
        <v>1358</v>
      </c>
      <c r="F728" s="132">
        <f>SUMIF('COLAR PLANO'!$A:$A,A728,'COLAR PLANO'!$D:$D)</f>
        <v>0</v>
      </c>
      <c r="G728" s="131">
        <f t="shared" si="255"/>
        <v>0</v>
      </c>
      <c r="H728" s="6">
        <v>1.5318779593722045E-2</v>
      </c>
      <c r="I728" s="7">
        <f t="shared" si="256"/>
        <v>0</v>
      </c>
      <c r="J728" s="130">
        <f t="shared" si="257"/>
        <v>0</v>
      </c>
      <c r="K728" s="720">
        <v>15</v>
      </c>
      <c r="L728" s="720">
        <v>1</v>
      </c>
      <c r="M728" s="720">
        <v>15</v>
      </c>
      <c r="N728" s="7">
        <f t="shared" si="258"/>
        <v>0</v>
      </c>
      <c r="O728" s="7"/>
      <c r="P728" s="7"/>
      <c r="Q728" s="7">
        <f>IFERROR(G728/M728,0)</f>
        <v>0</v>
      </c>
      <c r="R728" s="7"/>
      <c r="S728" s="7"/>
      <c r="T728" s="7"/>
      <c r="U728" s="7" t="s">
        <v>2288</v>
      </c>
      <c r="V728" s="7" t="s">
        <v>2289</v>
      </c>
      <c r="W728" s="7" t="str">
        <f>Preencher!$B$3&amp;U728&amp;V728&amp;A728&amp;$W$6</f>
        <v>JARINU-FRG956830MQ.TUNEL DE CG (CONTINUO)</v>
      </c>
      <c r="X728" s="7" t="str">
        <f>Preencher!$B$3&amp;U728&amp;V728&amp;A728&amp;$X$6</f>
        <v>JARINU-FRG956830MQ.TUNEL DE CG (CONTINUO) (1)</v>
      </c>
      <c r="Y728" s="7" t="str">
        <f>Preencher!$B$3&amp;U728&amp;V728&amp;A728&amp;$Y$6</f>
        <v>JARINU-FRG956830MQ.TUNEL DE CG (CONTINUO) (2)</v>
      </c>
      <c r="Z728" s="7" t="str">
        <f>Preencher!$B$3&amp;U728&amp;V728&amp;A728&amp;$Z$6</f>
        <v>JARINU-FRG956830MQ.TUNEL DE CG (CONTINUO) (3)</v>
      </c>
      <c r="AA728" s="7" t="str">
        <f>Preencher!$B$3&amp;U728&amp;V728&amp;A728&amp;$AA$6</f>
        <v>JARINU-FRG956830MQ.TUNEL DE CG (ESTATICO)</v>
      </c>
      <c r="AB728" s="7" t="str">
        <f>Preencher!$B$3&amp;U728&amp;V728&amp;A728&amp;$AB$6</f>
        <v>JARINU-FRG956830MQ.TUNEL DE CG (ESTATICO) (1)</v>
      </c>
      <c r="AC728" s="7" t="str">
        <f>Preencher!$B$3&amp;U728&amp;V728&amp;A728&amp;$AC$6</f>
        <v>JARINU-FRG956830MQ.TUNEL DE CG (ESTATICO) (2)</v>
      </c>
      <c r="AD728" s="327">
        <f>IFERROR(SUMIF('BD Otimix'!A:A,'BD VOLUME'!X728,'BD Otimix'!O:O)+SUMIF('BD Otimix'!A:A,'BD VOLUME'!Y728,'BD Otimix'!O:O)+SUMIF('BD Otimix'!A:A,'BD VOLUME'!Z728,'BD Otimix'!O:O)+SUMIF('BD Otimix'!A:A,'BD VOLUME'!AA728,'BD Otimix'!O:O)+SUMIF('BD Otimix'!A:A,'BD VOLUME'!AB728,'BD Otimix'!O:O)+SUMIF('BD Otimix'!A:A,'BD VOLUME'!AC728,'BD Otimix'!O:O)+SUMIF('BD Otimix'!A:A,'BD VOLUME'!W728,'BD Otimix'!O:O),0)</f>
        <v>0</v>
      </c>
      <c r="AE728" s="327">
        <f>IFERROR(F728/$E$3/1000/AD728,0)</f>
        <v>0</v>
      </c>
      <c r="AF728" s="7" t="str">
        <f>Preencher!$B$3&amp;$U$8&amp;$V$8&amp;A728&amp;$AF$6</f>
        <v>JARINU-FRG956830MQ.GIROFREEZER</v>
      </c>
      <c r="AG728" s="7" t="str">
        <f>Preencher!$B$3&amp;$U$8&amp;$V$8&amp;A728&amp;$AG$6</f>
        <v>JARINU-FRG956830MQ.GIROFREEZER (1)</v>
      </c>
      <c r="AH728" s="7" t="str">
        <f>Preencher!$B$3&amp;$U$8&amp;$V$8&amp;A728&amp;$AH$6</f>
        <v>JARINU-FRG956830MQ.GIROFREEZER (2)</v>
      </c>
      <c r="AI728" s="7" t="str">
        <f>Preencher!$B$3&amp;$U$8&amp;$V$8&amp;A728&amp;$AI$6</f>
        <v>JARINU-FRG956830MQ.GIROFREEZER REV04</v>
      </c>
      <c r="AJ728" s="7" t="str">
        <f>Preencher!$B$3&amp;$U$8&amp;$V$8&amp;A728&amp;$AJ$6</f>
        <v>JARINU-FRG956830MQ.GIROFREEZER (3)</v>
      </c>
      <c r="AK728" s="327">
        <f>IFERROR(SUMIF('BD Otimix'!A:A,'BD VOLUME'!AG728,'BD Otimix'!O:O)+SUMIF('BD Otimix'!A:A,'BD VOLUME'!AH728,'BD Otimix'!O:O)+SUMIF('BD Otimix'!A:A,'BD VOLUME'!AI728,'BD Otimix'!O:O)+SUMIF('BD Otimix'!A:A,'BD VOLUME'!AJ728,'BD Otimix'!O:O)+SUMIF('BD Otimix'!A:A,'BD VOLUME'!AF728,'BD Otimix'!O:O),0)</f>
        <v>0</v>
      </c>
      <c r="AL728" s="7">
        <f>IFERROR(F728/$E$3/1000/AK728,0)</f>
        <v>0</v>
      </c>
    </row>
    <row r="729" spans="1:38">
      <c r="A729" s="663">
        <v>94048</v>
      </c>
      <c r="B729" s="663" t="s">
        <v>2437</v>
      </c>
      <c r="C729" s="5" t="s">
        <v>2224</v>
      </c>
      <c r="D729" s="5" t="s">
        <v>896</v>
      </c>
      <c r="E729" s="5" t="s">
        <v>1358</v>
      </c>
      <c r="F729" s="132">
        <f>SUMIF('COLAR PLANO'!$A:$A,A729,'COLAR PLANO'!$D:$D)</f>
        <v>0</v>
      </c>
      <c r="G729" s="131">
        <f t="shared" si="255"/>
        <v>0</v>
      </c>
      <c r="H729" s="6">
        <v>1.5318779593722045E-2</v>
      </c>
      <c r="I729" s="7">
        <f t="shared" si="256"/>
        <v>0</v>
      </c>
      <c r="J729" s="130">
        <f t="shared" si="257"/>
        <v>0</v>
      </c>
      <c r="K729" s="663">
        <v>15</v>
      </c>
      <c r="L729" s="663">
        <v>1</v>
      </c>
      <c r="M729" s="663">
        <v>15</v>
      </c>
      <c r="N729" s="7">
        <f t="shared" si="258"/>
        <v>0</v>
      </c>
      <c r="O729" s="7"/>
      <c r="P729" s="7"/>
      <c r="Q729" s="7">
        <f>IFERROR(G729/M729,0)</f>
        <v>0</v>
      </c>
      <c r="R729" s="7"/>
      <c r="S729" s="7"/>
      <c r="T729" s="7"/>
      <c r="U729" s="7" t="s">
        <v>2288</v>
      </c>
      <c r="V729" s="7" t="s">
        <v>2289</v>
      </c>
      <c r="W729" s="7" t="str">
        <f>Preencher!$B$3&amp;U729&amp;V729&amp;A729&amp;$W$6</f>
        <v>JARINU-FRG94048MQ.TUNEL DE CG (CONTINUO)</v>
      </c>
      <c r="X729" s="7" t="str">
        <f>Preencher!$B$3&amp;U729&amp;V729&amp;A729&amp;$X$6</f>
        <v>JARINU-FRG94048MQ.TUNEL DE CG (CONTINUO) (1)</v>
      </c>
      <c r="Y729" s="7" t="str">
        <f>Preencher!$B$3&amp;U729&amp;V729&amp;A729&amp;$Y$6</f>
        <v>JARINU-FRG94048MQ.TUNEL DE CG (CONTINUO) (2)</v>
      </c>
      <c r="Z729" s="7" t="str">
        <f>Preencher!$B$3&amp;U729&amp;V729&amp;A729&amp;$Z$6</f>
        <v>JARINU-FRG94048MQ.TUNEL DE CG (CONTINUO) (3)</v>
      </c>
      <c r="AA729" s="7" t="str">
        <f>Preencher!$B$3&amp;U729&amp;V729&amp;A729&amp;$AA$6</f>
        <v>JARINU-FRG94048MQ.TUNEL DE CG (ESTATICO)</v>
      </c>
      <c r="AB729" s="7" t="str">
        <f>Preencher!$B$3&amp;U729&amp;V729&amp;A729&amp;$AB$6</f>
        <v>JARINU-FRG94048MQ.TUNEL DE CG (ESTATICO) (1)</v>
      </c>
      <c r="AC729" s="7" t="str">
        <f>Preencher!$B$3&amp;U729&amp;V729&amp;A729&amp;$AC$6</f>
        <v>JARINU-FRG94048MQ.TUNEL DE CG (ESTATICO) (2)</v>
      </c>
      <c r="AD729" s="327">
        <f>IFERROR(SUMIF('BD Otimix'!A:A,'BD VOLUME'!X729,'BD Otimix'!O:O)+SUMIF('BD Otimix'!A:A,'BD VOLUME'!Y729,'BD Otimix'!O:O)+SUMIF('BD Otimix'!A:A,'BD VOLUME'!Z729,'BD Otimix'!O:O)+SUMIF('BD Otimix'!A:A,'BD VOLUME'!AA729,'BD Otimix'!O:O)+SUMIF('BD Otimix'!A:A,'BD VOLUME'!AB729,'BD Otimix'!O:O)+SUMIF('BD Otimix'!A:A,'BD VOLUME'!AC729,'BD Otimix'!O:O)+SUMIF('BD Otimix'!A:A,'BD VOLUME'!W729,'BD Otimix'!O:O),0)</f>
        <v>0</v>
      </c>
      <c r="AE729" s="327">
        <f t="shared" si="237"/>
        <v>0</v>
      </c>
      <c r="AF729" s="7" t="str">
        <f>Preencher!$B$3&amp;$U$8&amp;$V$8&amp;A729&amp;$AF$6</f>
        <v>JARINU-FRG94048MQ.GIROFREEZER</v>
      </c>
      <c r="AG729" s="7" t="str">
        <f>Preencher!$B$3&amp;$U$8&amp;$V$8&amp;A729&amp;$AG$6</f>
        <v>JARINU-FRG94048MQ.GIROFREEZER (1)</v>
      </c>
      <c r="AH729" s="7" t="str">
        <f>Preencher!$B$3&amp;$U$8&amp;$V$8&amp;A729&amp;$AH$6</f>
        <v>JARINU-FRG94048MQ.GIROFREEZER (2)</v>
      </c>
      <c r="AI729" s="7" t="str">
        <f>Preencher!$B$3&amp;$U$8&amp;$V$8&amp;A729&amp;$AI$6</f>
        <v>JARINU-FRG94048MQ.GIROFREEZER REV04</v>
      </c>
      <c r="AJ729" s="7" t="str">
        <f>Preencher!$B$3&amp;$U$8&amp;$V$8&amp;A729&amp;$AJ$6</f>
        <v>JARINU-FRG94048MQ.GIROFREEZER (3)</v>
      </c>
      <c r="AK729" s="327">
        <f>IFERROR(SUMIF('BD Otimix'!A:A,'BD VOLUME'!AG729,'BD Otimix'!O:O)+SUMIF('BD Otimix'!A:A,'BD VOLUME'!AH729,'BD Otimix'!O:O)+SUMIF('BD Otimix'!A:A,'BD VOLUME'!AI729,'BD Otimix'!O:O)+SUMIF('BD Otimix'!A:A,'BD VOLUME'!AJ729,'BD Otimix'!O:O)+SUMIF('BD Otimix'!A:A,'BD VOLUME'!AF729,'BD Otimix'!O:O),0)</f>
        <v>0</v>
      </c>
      <c r="AL729" s="7">
        <f t="shared" si="238"/>
        <v>0</v>
      </c>
    </row>
    <row r="730" spans="1:38">
      <c r="A730" s="685">
        <v>124166</v>
      </c>
      <c r="B730" s="685"/>
      <c r="C730" s="5" t="s">
        <v>2549</v>
      </c>
      <c r="D730" s="5" t="s">
        <v>896</v>
      </c>
      <c r="E730" s="5" t="s">
        <v>1358</v>
      </c>
      <c r="F730" s="132">
        <f>SUMIF('COLAR PLANO'!$A:$A,A730,'COLAR PLANO'!$D:$D)</f>
        <v>0</v>
      </c>
      <c r="G730" s="131">
        <f t="shared" si="255"/>
        <v>0</v>
      </c>
      <c r="H730" s="6">
        <v>1.5318779593722045E-2</v>
      </c>
      <c r="I730" s="7">
        <f t="shared" si="256"/>
        <v>0</v>
      </c>
      <c r="J730" s="130">
        <f t="shared" si="257"/>
        <v>0</v>
      </c>
      <c r="K730" s="685">
        <v>15</v>
      </c>
      <c r="L730" s="685">
        <v>1</v>
      </c>
      <c r="M730" s="685">
        <v>15</v>
      </c>
      <c r="N730" s="7">
        <f t="shared" si="258"/>
        <v>0</v>
      </c>
      <c r="O730" s="7"/>
      <c r="P730" s="7"/>
      <c r="Q730" s="7">
        <f>IFERROR(G730/M730,0)</f>
        <v>0</v>
      </c>
      <c r="R730" s="7"/>
      <c r="S730" s="7"/>
      <c r="T730" s="7"/>
      <c r="U730" s="7" t="s">
        <v>2288</v>
      </c>
      <c r="V730" s="7" t="s">
        <v>2289</v>
      </c>
      <c r="W730" s="7" t="str">
        <f>Preencher!$B$3&amp;U730&amp;V730&amp;A730&amp;$W$6</f>
        <v>JARINU-FRG124166MQ.TUNEL DE CG (CONTINUO)</v>
      </c>
      <c r="X730" s="7" t="str">
        <f>Preencher!$B$3&amp;U730&amp;V730&amp;A730&amp;$X$6</f>
        <v>JARINU-FRG124166MQ.TUNEL DE CG (CONTINUO) (1)</v>
      </c>
      <c r="Y730" s="7" t="str">
        <f>Preencher!$B$3&amp;U730&amp;V730&amp;A730&amp;$Y$6</f>
        <v>JARINU-FRG124166MQ.TUNEL DE CG (CONTINUO) (2)</v>
      </c>
      <c r="Z730" s="7" t="str">
        <f>Preencher!$B$3&amp;U730&amp;V730&amp;A730&amp;$Z$6</f>
        <v>JARINU-FRG124166MQ.TUNEL DE CG (CONTINUO) (3)</v>
      </c>
      <c r="AA730" s="7" t="str">
        <f>Preencher!$B$3&amp;U730&amp;V730&amp;A730&amp;$AA$6</f>
        <v>JARINU-FRG124166MQ.TUNEL DE CG (ESTATICO)</v>
      </c>
      <c r="AB730" s="7" t="str">
        <f>Preencher!$B$3&amp;U730&amp;V730&amp;A730&amp;$AB$6</f>
        <v>JARINU-FRG124166MQ.TUNEL DE CG (ESTATICO) (1)</v>
      </c>
      <c r="AC730" s="7" t="str">
        <f>Preencher!$B$3&amp;U730&amp;V730&amp;A730&amp;$AC$6</f>
        <v>JARINU-FRG124166MQ.TUNEL DE CG (ESTATICO) (2)</v>
      </c>
      <c r="AD730" s="327">
        <f>IFERROR(SUMIF('BD Otimix'!A:A,'BD VOLUME'!X730,'BD Otimix'!O:O)+SUMIF('BD Otimix'!A:A,'BD VOLUME'!Y730,'BD Otimix'!O:O)+SUMIF('BD Otimix'!A:A,'BD VOLUME'!Z730,'BD Otimix'!O:O)+SUMIF('BD Otimix'!A:A,'BD VOLUME'!AA730,'BD Otimix'!O:O)+SUMIF('BD Otimix'!A:A,'BD VOLUME'!AB730,'BD Otimix'!O:O)+SUMIF('BD Otimix'!A:A,'BD VOLUME'!AC730,'BD Otimix'!O:O)+SUMIF('BD Otimix'!A:A,'BD VOLUME'!W730,'BD Otimix'!O:O),0)</f>
        <v>0</v>
      </c>
      <c r="AE730" s="327">
        <f>IFERROR(F730/$E$3/1000/AD730,0)</f>
        <v>0</v>
      </c>
      <c r="AF730" s="7" t="str">
        <f>Preencher!$B$3&amp;$U$8&amp;$V$8&amp;A730&amp;$AF$6</f>
        <v>JARINU-FRG124166MQ.GIROFREEZER</v>
      </c>
      <c r="AG730" s="7" t="str">
        <f>Preencher!$B$3&amp;$U$8&amp;$V$8&amp;A730&amp;$AG$6</f>
        <v>JARINU-FRG124166MQ.GIROFREEZER (1)</v>
      </c>
      <c r="AH730" s="7" t="str">
        <f>Preencher!$B$3&amp;$U$8&amp;$V$8&amp;A730&amp;$AH$6</f>
        <v>JARINU-FRG124166MQ.GIROFREEZER (2)</v>
      </c>
      <c r="AI730" s="7" t="str">
        <f>Preencher!$B$3&amp;$U$8&amp;$V$8&amp;A730&amp;$AI$6</f>
        <v>JARINU-FRG124166MQ.GIROFREEZER REV04</v>
      </c>
      <c r="AJ730" s="7" t="str">
        <f>Preencher!$B$3&amp;$U$8&amp;$V$8&amp;A730&amp;$AJ$6</f>
        <v>JARINU-FRG124166MQ.GIROFREEZER (3)</v>
      </c>
      <c r="AK730" s="327">
        <f>IFERROR(SUMIF('BD Otimix'!A:A,'BD VOLUME'!AG730,'BD Otimix'!O:O)+SUMIF('BD Otimix'!A:A,'BD VOLUME'!AH730,'BD Otimix'!O:O)+SUMIF('BD Otimix'!A:A,'BD VOLUME'!AI730,'BD Otimix'!O:O)+SUMIF('BD Otimix'!A:A,'BD VOLUME'!AJ730,'BD Otimix'!O:O)+SUMIF('BD Otimix'!A:A,'BD VOLUME'!AF730,'BD Otimix'!O:O),0)</f>
        <v>0</v>
      </c>
      <c r="AL730" s="7">
        <f>IFERROR(F730/$E$3/1000/AK730,0)</f>
        <v>0</v>
      </c>
    </row>
    <row r="731" spans="1:38">
      <c r="A731" s="345">
        <v>12939</v>
      </c>
      <c r="B731" s="345"/>
      <c r="C731" s="5" t="s">
        <v>1356</v>
      </c>
      <c r="D731" s="5" t="s">
        <v>896</v>
      </c>
      <c r="E731" s="5" t="s">
        <v>1358</v>
      </c>
      <c r="F731" s="132">
        <f>SUMIF('COLAR PLANO'!$A:$A,A731,'COLAR PLANO'!$D:$D)</f>
        <v>0</v>
      </c>
      <c r="G731" s="131">
        <f t="shared" si="255"/>
        <v>0</v>
      </c>
      <c r="H731" s="6">
        <v>1.5318779593722045E-2</v>
      </c>
      <c r="I731" s="7">
        <f t="shared" si="256"/>
        <v>0</v>
      </c>
      <c r="J731" s="130">
        <f t="shared" si="257"/>
        <v>0</v>
      </c>
      <c r="K731" s="345">
        <v>15</v>
      </c>
      <c r="L731" s="345">
        <v>1</v>
      </c>
      <c r="M731" s="345">
        <v>15</v>
      </c>
      <c r="N731" s="7">
        <f t="shared" si="258"/>
        <v>0</v>
      </c>
      <c r="O731" s="7"/>
      <c r="P731" s="7"/>
      <c r="Q731" s="7">
        <f>IFERROR(G731/M731,0)</f>
        <v>0</v>
      </c>
      <c r="R731" s="7"/>
      <c r="S731" s="7"/>
      <c r="T731" s="7"/>
      <c r="U731" s="7" t="s">
        <v>2288</v>
      </c>
      <c r="V731" s="7" t="s">
        <v>2289</v>
      </c>
      <c r="W731" s="7" t="str">
        <f>Preencher!$B$3&amp;U731&amp;V731&amp;A731&amp;$W$6</f>
        <v>JARINU-FRG12939MQ.TUNEL DE CG (CONTINUO)</v>
      </c>
      <c r="X731" s="7" t="str">
        <f>Preencher!$B$3&amp;U731&amp;V731&amp;A731&amp;$X$6</f>
        <v>JARINU-FRG12939MQ.TUNEL DE CG (CONTINUO) (1)</v>
      </c>
      <c r="Y731" s="7" t="str">
        <f>Preencher!$B$3&amp;U731&amp;V731&amp;A731&amp;$Y$6</f>
        <v>JARINU-FRG12939MQ.TUNEL DE CG (CONTINUO) (2)</v>
      </c>
      <c r="Z731" s="7" t="str">
        <f>Preencher!$B$3&amp;U731&amp;V731&amp;A731&amp;$Z$6</f>
        <v>JARINU-FRG12939MQ.TUNEL DE CG (CONTINUO) (3)</v>
      </c>
      <c r="AA731" s="7" t="str">
        <f>Preencher!$B$3&amp;U731&amp;V731&amp;A731&amp;$AA$6</f>
        <v>JARINU-FRG12939MQ.TUNEL DE CG (ESTATICO)</v>
      </c>
      <c r="AB731" s="7" t="str">
        <f>Preencher!$B$3&amp;U731&amp;V731&amp;A731&amp;$AB$6</f>
        <v>JARINU-FRG12939MQ.TUNEL DE CG (ESTATICO) (1)</v>
      </c>
      <c r="AC731" s="7" t="str">
        <f>Preencher!$B$3&amp;U731&amp;V731&amp;A731&amp;$AC$6</f>
        <v>JARINU-FRG12939MQ.TUNEL DE CG (ESTATICO) (2)</v>
      </c>
      <c r="AD731" s="327">
        <f>IFERROR(SUMIF('BD Otimix'!A:A,'BD VOLUME'!X731,'BD Otimix'!O:O)+SUMIF('BD Otimix'!A:A,'BD VOLUME'!Y731,'BD Otimix'!O:O)+SUMIF('BD Otimix'!A:A,'BD VOLUME'!Z731,'BD Otimix'!O:O)+SUMIF('BD Otimix'!A:A,'BD VOLUME'!AA731,'BD Otimix'!O:O)+SUMIF('BD Otimix'!A:A,'BD VOLUME'!AB731,'BD Otimix'!O:O)+SUMIF('BD Otimix'!A:A,'BD VOLUME'!AC731,'BD Otimix'!O:O)+SUMIF('BD Otimix'!A:A,'BD VOLUME'!W731,'BD Otimix'!O:O),0)</f>
        <v>0</v>
      </c>
      <c r="AE731" s="327">
        <f t="shared" si="237"/>
        <v>0</v>
      </c>
      <c r="AF731" s="7" t="str">
        <f>Preencher!$B$3&amp;$U$8&amp;$V$8&amp;A731&amp;$AF$6</f>
        <v>JARINU-FRG12939MQ.GIROFREEZER</v>
      </c>
      <c r="AG731" s="7" t="str">
        <f>Preencher!$B$3&amp;$U$8&amp;$V$8&amp;A731&amp;$AG$6</f>
        <v>JARINU-FRG12939MQ.GIROFREEZER (1)</v>
      </c>
      <c r="AH731" s="7" t="str">
        <f>Preencher!$B$3&amp;$U$8&amp;$V$8&amp;A731&amp;$AH$6</f>
        <v>JARINU-FRG12939MQ.GIROFREEZER (2)</v>
      </c>
      <c r="AI731" s="7" t="str">
        <f>Preencher!$B$3&amp;$U$8&amp;$V$8&amp;A731&amp;$AI$6</f>
        <v>JARINU-FRG12939MQ.GIROFREEZER REV04</v>
      </c>
      <c r="AJ731" s="7" t="str">
        <f>Preencher!$B$3&amp;$U$8&amp;$V$8&amp;A731&amp;$AJ$6</f>
        <v>JARINU-FRG12939MQ.GIROFREEZER (3)</v>
      </c>
      <c r="AK731" s="327">
        <f>IFERROR(SUMIF('BD Otimix'!A:A,'BD VOLUME'!AG731,'BD Otimix'!O:O)+SUMIF('BD Otimix'!A:A,'BD VOLUME'!AH731,'BD Otimix'!O:O)+SUMIF('BD Otimix'!A:A,'BD VOLUME'!AI731,'BD Otimix'!O:O)+SUMIF('BD Otimix'!A:A,'BD VOLUME'!AJ731,'BD Otimix'!O:O)+SUMIF('BD Otimix'!A:A,'BD VOLUME'!AF731,'BD Otimix'!O:O),0)</f>
        <v>0</v>
      </c>
      <c r="AL731" s="7">
        <f t="shared" si="238"/>
        <v>0</v>
      </c>
    </row>
    <row r="732" spans="1:38">
      <c r="A732" s="345">
        <v>997939</v>
      </c>
      <c r="B732" s="345"/>
      <c r="C732" s="5" t="s">
        <v>3005</v>
      </c>
      <c r="D732" s="5" t="s">
        <v>896</v>
      </c>
      <c r="E732" s="5" t="s">
        <v>974</v>
      </c>
      <c r="F732" s="132">
        <f>SUMIF('COLAR PLANO'!$A:$A,A732,'COLAR PLANO'!$D:$D)</f>
        <v>0</v>
      </c>
      <c r="G732" s="131">
        <f t="shared" si="255"/>
        <v>0</v>
      </c>
      <c r="H732" s="6">
        <v>5.2359625636528372E-2</v>
      </c>
      <c r="I732" s="7">
        <f t="shared" si="256"/>
        <v>0</v>
      </c>
      <c r="J732" s="130">
        <f t="shared" si="257"/>
        <v>0</v>
      </c>
      <c r="K732" s="345">
        <v>10</v>
      </c>
      <c r="L732" s="345">
        <v>1</v>
      </c>
      <c r="M732" s="345">
        <v>10</v>
      </c>
      <c r="N732" s="7">
        <f t="shared" si="258"/>
        <v>0</v>
      </c>
      <c r="O732" s="7"/>
      <c r="P732" s="7">
        <f>IFERROR(G732/M732,0)</f>
        <v>0</v>
      </c>
      <c r="Q732" s="7"/>
      <c r="R732" s="7"/>
      <c r="S732" s="7"/>
      <c r="T732" s="7"/>
      <c r="U732" s="7" t="s">
        <v>2288</v>
      </c>
      <c r="V732" s="7" t="s">
        <v>2289</v>
      </c>
      <c r="W732" s="7" t="str">
        <f>Preencher!$B$3&amp;U732&amp;V732&amp;A732&amp;$W$6</f>
        <v>JARINU-FRG997939MQ.TUNEL DE CG (CONTINUO)</v>
      </c>
      <c r="X732" s="7" t="str">
        <f>Preencher!$B$3&amp;U732&amp;V732&amp;A732&amp;$X$6</f>
        <v>JARINU-FRG997939MQ.TUNEL DE CG (CONTINUO) (1)</v>
      </c>
      <c r="Y732" s="7" t="str">
        <f>Preencher!$B$3&amp;U732&amp;V732&amp;A732&amp;$Y$6</f>
        <v>JARINU-FRG997939MQ.TUNEL DE CG (CONTINUO) (2)</v>
      </c>
      <c r="Z732" s="7" t="str">
        <f>Preencher!$B$3&amp;U732&amp;V732&amp;A732&amp;$Z$6</f>
        <v>JARINU-FRG997939MQ.TUNEL DE CG (CONTINUO) (3)</v>
      </c>
      <c r="AA732" s="7" t="str">
        <f>Preencher!$B$3&amp;U732&amp;V732&amp;A732&amp;$AA$6</f>
        <v>JARINU-FRG997939MQ.TUNEL DE CG (ESTATICO)</v>
      </c>
      <c r="AB732" s="7" t="str">
        <f>Preencher!$B$3&amp;U732&amp;V732&amp;A732&amp;$AB$6</f>
        <v>JARINU-FRG997939MQ.TUNEL DE CG (ESTATICO) (1)</v>
      </c>
      <c r="AC732" s="7" t="str">
        <f>Preencher!$B$3&amp;U732&amp;V732&amp;A732&amp;$AC$6</f>
        <v>JARINU-FRG997939MQ.TUNEL DE CG (ESTATICO) (2)</v>
      </c>
      <c r="AD732" s="327">
        <f>IFERROR(SUMIF('BD Otimix'!A:A,'BD VOLUME'!X732,'BD Otimix'!O:O)+SUMIF('BD Otimix'!A:A,'BD VOLUME'!Y732,'BD Otimix'!O:O)+SUMIF('BD Otimix'!A:A,'BD VOLUME'!Z732,'BD Otimix'!O:O)+SUMIF('BD Otimix'!A:A,'BD VOLUME'!AA732,'BD Otimix'!O:O)+SUMIF('BD Otimix'!A:A,'BD VOLUME'!AB732,'BD Otimix'!O:O)+SUMIF('BD Otimix'!A:A,'BD VOLUME'!AC732,'BD Otimix'!O:O)+SUMIF('BD Otimix'!A:A,'BD VOLUME'!W732,'BD Otimix'!O:O),0)</f>
        <v>0</v>
      </c>
      <c r="AE732" s="327">
        <f t="shared" si="237"/>
        <v>0</v>
      </c>
      <c r="AF732" s="7" t="str">
        <f>Preencher!$B$3&amp;$U$8&amp;$V$8&amp;A732&amp;$AF$6</f>
        <v>JARINU-FRG997939MQ.GIROFREEZER</v>
      </c>
      <c r="AG732" s="7" t="str">
        <f>Preencher!$B$3&amp;$U$8&amp;$V$8&amp;A732&amp;$AG$6</f>
        <v>JARINU-FRG997939MQ.GIROFREEZER (1)</v>
      </c>
      <c r="AH732" s="7" t="str">
        <f>Preencher!$B$3&amp;$U$8&amp;$V$8&amp;A732&amp;$AH$6</f>
        <v>JARINU-FRG997939MQ.GIROFREEZER (2)</v>
      </c>
      <c r="AI732" s="7" t="str">
        <f>Preencher!$B$3&amp;$U$8&amp;$V$8&amp;A732&amp;$AI$6</f>
        <v>JARINU-FRG997939MQ.GIROFREEZER REV04</v>
      </c>
      <c r="AJ732" s="7" t="str">
        <f>Preencher!$B$3&amp;$U$8&amp;$V$8&amp;A732&amp;$AJ$6</f>
        <v>JARINU-FRG997939MQ.GIROFREEZER (3)</v>
      </c>
      <c r="AK732" s="327">
        <f>IFERROR(SUMIF('BD Otimix'!A:A,'BD VOLUME'!AG732,'BD Otimix'!O:O)+SUMIF('BD Otimix'!A:A,'BD VOLUME'!AH732,'BD Otimix'!O:O)+SUMIF('BD Otimix'!A:A,'BD VOLUME'!AI732,'BD Otimix'!O:O)+SUMIF('BD Otimix'!A:A,'BD VOLUME'!AJ732,'BD Otimix'!O:O)+SUMIF('BD Otimix'!A:A,'BD VOLUME'!AF732,'BD Otimix'!O:O),0)</f>
        <v>0</v>
      </c>
      <c r="AL732" s="7">
        <f t="shared" si="238"/>
        <v>0</v>
      </c>
    </row>
    <row r="733" spans="1:38">
      <c r="A733" s="735">
        <v>226299</v>
      </c>
      <c r="B733" s="735" t="s">
        <v>3004</v>
      </c>
      <c r="C733" s="5" t="s">
        <v>3005</v>
      </c>
      <c r="D733" s="5" t="s">
        <v>896</v>
      </c>
      <c r="E733" s="5" t="s">
        <v>974</v>
      </c>
      <c r="F733" s="132">
        <f>SUMIF('COLAR PLANO'!$A:$A,A733,'COLAR PLANO'!$D:$D)</f>
        <v>0</v>
      </c>
      <c r="G733" s="131">
        <f>IFERROR(F733/($E$3*$C$3),0)</f>
        <v>0</v>
      </c>
      <c r="H733" s="6">
        <v>5.2359625636528372E-2</v>
      </c>
      <c r="I733" s="7">
        <f>IFERROR(G733/$D$3/H733,0)</f>
        <v>0</v>
      </c>
      <c r="J733" s="130">
        <f>IFERROR(I733/$B$3,0)</f>
        <v>0</v>
      </c>
      <c r="K733" s="735">
        <v>10</v>
      </c>
      <c r="L733" s="735">
        <v>1</v>
      </c>
      <c r="M733" s="735">
        <v>10</v>
      </c>
      <c r="N733" s="7">
        <f>IFERROR(G733/K733,"-")</f>
        <v>0</v>
      </c>
      <c r="O733" s="7"/>
      <c r="P733" s="7">
        <f>IFERROR(G733/M733,0)</f>
        <v>0</v>
      </c>
      <c r="Q733" s="7"/>
      <c r="R733" s="7"/>
      <c r="S733" s="7"/>
      <c r="T733" s="7"/>
      <c r="U733" s="7" t="s">
        <v>2288</v>
      </c>
      <c r="V733" s="7" t="s">
        <v>2289</v>
      </c>
      <c r="W733" s="7" t="str">
        <f>Preencher!$B$3&amp;U733&amp;V733&amp;A733&amp;$W$6</f>
        <v>JARINU-FRG226299MQ.TUNEL DE CG (CONTINUO)</v>
      </c>
      <c r="X733" s="7" t="str">
        <f>Preencher!$B$3&amp;U733&amp;V733&amp;A733&amp;$X$6</f>
        <v>JARINU-FRG226299MQ.TUNEL DE CG (CONTINUO) (1)</v>
      </c>
      <c r="Y733" s="7" t="str">
        <f>Preencher!$B$3&amp;U733&amp;V733&amp;A733&amp;$Y$6</f>
        <v>JARINU-FRG226299MQ.TUNEL DE CG (CONTINUO) (2)</v>
      </c>
      <c r="Z733" s="7" t="str">
        <f>Preencher!$B$3&amp;U733&amp;V733&amp;A733&amp;$Z$6</f>
        <v>JARINU-FRG226299MQ.TUNEL DE CG (CONTINUO) (3)</v>
      </c>
      <c r="AA733" s="7" t="str">
        <f>Preencher!$B$3&amp;U733&amp;V733&amp;A733&amp;$AA$6</f>
        <v>JARINU-FRG226299MQ.TUNEL DE CG (ESTATICO)</v>
      </c>
      <c r="AB733" s="7" t="str">
        <f>Preencher!$B$3&amp;U733&amp;V733&amp;A733&amp;$AB$6</f>
        <v>JARINU-FRG226299MQ.TUNEL DE CG (ESTATICO) (1)</v>
      </c>
      <c r="AC733" s="7" t="str">
        <f>Preencher!$B$3&amp;U733&amp;V733&amp;A733&amp;$AC$6</f>
        <v>JARINU-FRG226299MQ.TUNEL DE CG (ESTATICO) (2)</v>
      </c>
      <c r="AD733" s="327">
        <f>IFERROR(SUMIF('BD Otimix'!A:A,'BD VOLUME'!X733,'BD Otimix'!O:O)+SUMIF('BD Otimix'!A:A,'BD VOLUME'!Y733,'BD Otimix'!O:O)+SUMIF('BD Otimix'!A:A,'BD VOLUME'!Z733,'BD Otimix'!O:O)+SUMIF('BD Otimix'!A:A,'BD VOLUME'!AA733,'BD Otimix'!O:O)+SUMIF('BD Otimix'!A:A,'BD VOLUME'!AB733,'BD Otimix'!O:O)+SUMIF('BD Otimix'!A:A,'BD VOLUME'!AC733,'BD Otimix'!O:O)+SUMIF('BD Otimix'!A:A,'BD VOLUME'!W733,'BD Otimix'!O:O),0)</f>
        <v>0</v>
      </c>
      <c r="AE733" s="327">
        <f>IFERROR(F733/$E$3/1000/AD733,0)</f>
        <v>0</v>
      </c>
      <c r="AF733" s="7" t="str">
        <f>Preencher!$B$3&amp;$U$8&amp;$V$8&amp;A733&amp;$AF$6</f>
        <v>JARINU-FRG226299MQ.GIROFREEZER</v>
      </c>
      <c r="AG733" s="7" t="str">
        <f>Preencher!$B$3&amp;$U$8&amp;$V$8&amp;A733&amp;$AG$6</f>
        <v>JARINU-FRG226299MQ.GIROFREEZER (1)</v>
      </c>
      <c r="AH733" s="7" t="str">
        <f>Preencher!$B$3&amp;$U$8&amp;$V$8&amp;A733&amp;$AH$6</f>
        <v>JARINU-FRG226299MQ.GIROFREEZER (2)</v>
      </c>
      <c r="AI733" s="7" t="str">
        <f>Preencher!$B$3&amp;$U$8&amp;$V$8&amp;A733&amp;$AI$6</f>
        <v>JARINU-FRG226299MQ.GIROFREEZER REV04</v>
      </c>
      <c r="AJ733" s="7" t="str">
        <f>Preencher!$B$3&amp;$U$8&amp;$V$8&amp;A733&amp;$AJ$6</f>
        <v>JARINU-FRG226299MQ.GIROFREEZER (3)</v>
      </c>
      <c r="AK733" s="327">
        <f>IFERROR(SUMIF('BD Otimix'!A:A,'BD VOLUME'!AG733,'BD Otimix'!O:O)+SUMIF('BD Otimix'!A:A,'BD VOLUME'!AH733,'BD Otimix'!O:O)+SUMIF('BD Otimix'!A:A,'BD VOLUME'!AI733,'BD Otimix'!O:O)+SUMIF('BD Otimix'!A:A,'BD VOLUME'!AJ733,'BD Otimix'!O:O)+SUMIF('BD Otimix'!A:A,'BD VOLUME'!AF733,'BD Otimix'!O:O),0)</f>
        <v>0</v>
      </c>
      <c r="AL733" s="7">
        <f>IFERROR(F733/$E$3/1000/AK733,0)</f>
        <v>0</v>
      </c>
    </row>
    <row r="734" spans="1:38">
      <c r="A734" s="733">
        <v>27085</v>
      </c>
      <c r="B734" s="733"/>
      <c r="C734" s="5" t="s">
        <v>3150</v>
      </c>
      <c r="D734" s="5" t="s">
        <v>896</v>
      </c>
      <c r="E734" s="5" t="s">
        <v>974</v>
      </c>
      <c r="F734" s="132">
        <f>SUMIF('COLAR PLANO'!$A:$A,A734,'COLAR PLANO'!$D:$D)</f>
        <v>0</v>
      </c>
      <c r="G734" s="131">
        <f>IFERROR(F734/($E$3*$C$3),0)</f>
        <v>0</v>
      </c>
      <c r="H734" s="6">
        <v>5.2359625636528372E-2</v>
      </c>
      <c r="I734" s="7">
        <f>IFERROR(G734/$D$3/H734,0)</f>
        <v>0</v>
      </c>
      <c r="J734" s="130">
        <f>IFERROR(I734/$B$3,0)</f>
        <v>0</v>
      </c>
      <c r="K734" s="733">
        <v>10</v>
      </c>
      <c r="L734" s="733">
        <v>1</v>
      </c>
      <c r="M734" s="733">
        <v>10</v>
      </c>
      <c r="N734" s="7">
        <f>IFERROR(G734/K734,"-")</f>
        <v>0</v>
      </c>
      <c r="O734" s="7"/>
      <c r="P734" s="7">
        <f>IFERROR(G734/M734,0)</f>
        <v>0</v>
      </c>
      <c r="Q734" s="7"/>
      <c r="R734" s="7"/>
      <c r="S734" s="7"/>
      <c r="T734" s="7"/>
      <c r="U734" s="7" t="s">
        <v>2288</v>
      </c>
      <c r="V734" s="7" t="s">
        <v>2289</v>
      </c>
      <c r="W734" s="7" t="str">
        <f>Preencher!$B$3&amp;U734&amp;V734&amp;A734&amp;$W$6</f>
        <v>JARINU-FRG27085MQ.TUNEL DE CG (CONTINUO)</v>
      </c>
      <c r="X734" s="7" t="str">
        <f>Preencher!$B$3&amp;U734&amp;V734&amp;A734&amp;$X$6</f>
        <v>JARINU-FRG27085MQ.TUNEL DE CG (CONTINUO) (1)</v>
      </c>
      <c r="Y734" s="7" t="str">
        <f>Preencher!$B$3&amp;U734&amp;V734&amp;A734&amp;$Y$6</f>
        <v>JARINU-FRG27085MQ.TUNEL DE CG (CONTINUO) (2)</v>
      </c>
      <c r="Z734" s="7" t="str">
        <f>Preencher!$B$3&amp;U734&amp;V734&amp;A734&amp;$Z$6</f>
        <v>JARINU-FRG27085MQ.TUNEL DE CG (CONTINUO) (3)</v>
      </c>
      <c r="AA734" s="7" t="str">
        <f>Preencher!$B$3&amp;U734&amp;V734&amp;A734&amp;$AA$6</f>
        <v>JARINU-FRG27085MQ.TUNEL DE CG (ESTATICO)</v>
      </c>
      <c r="AB734" s="7" t="str">
        <f>Preencher!$B$3&amp;U734&amp;V734&amp;A734&amp;$AB$6</f>
        <v>JARINU-FRG27085MQ.TUNEL DE CG (ESTATICO) (1)</v>
      </c>
      <c r="AC734" s="7" t="str">
        <f>Preencher!$B$3&amp;U734&amp;V734&amp;A734&amp;$AC$6</f>
        <v>JARINU-FRG27085MQ.TUNEL DE CG (ESTATICO) (2)</v>
      </c>
      <c r="AD734" s="327">
        <f>IFERROR(SUMIF('BD Otimix'!A:A,'BD VOLUME'!X734,'BD Otimix'!O:O)+SUMIF('BD Otimix'!A:A,'BD VOLUME'!Y734,'BD Otimix'!O:O)+SUMIF('BD Otimix'!A:A,'BD VOLUME'!Z734,'BD Otimix'!O:O)+SUMIF('BD Otimix'!A:A,'BD VOLUME'!AA734,'BD Otimix'!O:O)+SUMIF('BD Otimix'!A:A,'BD VOLUME'!AB734,'BD Otimix'!O:O)+SUMIF('BD Otimix'!A:A,'BD VOLUME'!AC734,'BD Otimix'!O:O)+SUMIF('BD Otimix'!A:A,'BD VOLUME'!W734,'BD Otimix'!O:O),0)</f>
        <v>0</v>
      </c>
      <c r="AE734" s="327">
        <f>IFERROR(F734/$E$3/1000/AD734,0)</f>
        <v>0</v>
      </c>
      <c r="AF734" s="7" t="str">
        <f>Preencher!$B$3&amp;$U$8&amp;$V$8&amp;A734&amp;$AF$6</f>
        <v>JARINU-FRG27085MQ.GIROFREEZER</v>
      </c>
      <c r="AG734" s="7" t="str">
        <f>Preencher!$B$3&amp;$U$8&amp;$V$8&amp;A734&amp;$AG$6</f>
        <v>JARINU-FRG27085MQ.GIROFREEZER (1)</v>
      </c>
      <c r="AH734" s="7" t="str">
        <f>Preencher!$B$3&amp;$U$8&amp;$V$8&amp;A734&amp;$AH$6</f>
        <v>JARINU-FRG27085MQ.GIROFREEZER (2)</v>
      </c>
      <c r="AI734" s="7" t="str">
        <f>Preencher!$B$3&amp;$U$8&amp;$V$8&amp;A734&amp;$AI$6</f>
        <v>JARINU-FRG27085MQ.GIROFREEZER REV04</v>
      </c>
      <c r="AJ734" s="7" t="str">
        <f>Preencher!$B$3&amp;$U$8&amp;$V$8&amp;A734&amp;$AJ$6</f>
        <v>JARINU-FRG27085MQ.GIROFREEZER (3)</v>
      </c>
      <c r="AK734" s="327">
        <f>IFERROR(SUMIF('BD Otimix'!A:A,'BD VOLUME'!AG734,'BD Otimix'!O:O)+SUMIF('BD Otimix'!A:A,'BD VOLUME'!AH734,'BD Otimix'!O:O)+SUMIF('BD Otimix'!A:A,'BD VOLUME'!AI734,'BD Otimix'!O:O)+SUMIF('BD Otimix'!A:A,'BD VOLUME'!AJ734,'BD Otimix'!O:O)+SUMIF('BD Otimix'!A:A,'BD VOLUME'!AF734,'BD Otimix'!O:O),0)</f>
        <v>0</v>
      </c>
      <c r="AL734" s="7">
        <f>IFERROR(F734/$E$3/1000/AK734,0)</f>
        <v>0</v>
      </c>
    </row>
    <row r="735" spans="1:38">
      <c r="A735" s="355">
        <v>552968</v>
      </c>
      <c r="B735" s="355" t="s">
        <v>1427</v>
      </c>
      <c r="C735" s="5" t="s">
        <v>1428</v>
      </c>
      <c r="D735" s="5" t="s">
        <v>896</v>
      </c>
      <c r="E735" s="5" t="s">
        <v>1429</v>
      </c>
      <c r="F735" s="132">
        <f>SUMIF('COLAR PLANO'!$A:$A,A735,'COLAR PLANO'!$D:$D)</f>
        <v>0</v>
      </c>
      <c r="G735" s="131">
        <f t="shared" si="255"/>
        <v>0</v>
      </c>
      <c r="H735" s="6">
        <v>0.32</v>
      </c>
      <c r="I735" s="7">
        <f t="shared" si="256"/>
        <v>0</v>
      </c>
      <c r="J735" s="130">
        <f t="shared" si="257"/>
        <v>0</v>
      </c>
      <c r="K735" s="355">
        <v>0.6</v>
      </c>
      <c r="L735" s="355">
        <v>20</v>
      </c>
      <c r="M735" s="355">
        <v>12</v>
      </c>
      <c r="N735" s="7">
        <f t="shared" si="258"/>
        <v>0</v>
      </c>
      <c r="O735" s="7">
        <f t="shared" ref="O735:O748" si="259">IFERROR(G735/M735,0)</f>
        <v>0</v>
      </c>
      <c r="P735" s="7"/>
      <c r="Q735" s="7"/>
      <c r="R735" s="7"/>
      <c r="S735" s="7"/>
      <c r="T735" s="7"/>
      <c r="U735" s="7" t="s">
        <v>2288</v>
      </c>
      <c r="V735" s="7" t="s">
        <v>2289</v>
      </c>
      <c r="W735" s="7" t="str">
        <f>Preencher!$B$3&amp;U735&amp;V735&amp;A735&amp;$W$6</f>
        <v>JARINU-FRG552968MQ.TUNEL DE CG (CONTINUO)</v>
      </c>
      <c r="X735" s="7" t="str">
        <f>Preencher!$B$3&amp;U735&amp;V735&amp;A735&amp;$X$6</f>
        <v>JARINU-FRG552968MQ.TUNEL DE CG (CONTINUO) (1)</v>
      </c>
      <c r="Y735" s="7" t="str">
        <f>Preencher!$B$3&amp;U735&amp;V735&amp;A735&amp;$Y$6</f>
        <v>JARINU-FRG552968MQ.TUNEL DE CG (CONTINUO) (2)</v>
      </c>
      <c r="Z735" s="7" t="str">
        <f>Preencher!$B$3&amp;U735&amp;V735&amp;A735&amp;$Z$6</f>
        <v>JARINU-FRG552968MQ.TUNEL DE CG (CONTINUO) (3)</v>
      </c>
      <c r="AA735" s="7" t="str">
        <f>Preencher!$B$3&amp;U735&amp;V735&amp;A735&amp;$AA$6</f>
        <v>JARINU-FRG552968MQ.TUNEL DE CG (ESTATICO)</v>
      </c>
      <c r="AB735" s="7" t="str">
        <f>Preencher!$B$3&amp;U735&amp;V735&amp;A735&amp;$AB$6</f>
        <v>JARINU-FRG552968MQ.TUNEL DE CG (ESTATICO) (1)</v>
      </c>
      <c r="AC735" s="7" t="str">
        <f>Preencher!$B$3&amp;U735&amp;V735&amp;A735&amp;$AC$6</f>
        <v>JARINU-FRG552968MQ.TUNEL DE CG (ESTATICO) (2)</v>
      </c>
      <c r="AD735" s="327">
        <f>IFERROR(SUMIF('BD Otimix'!A:A,'BD VOLUME'!X735,'BD Otimix'!O:O)+SUMIF('BD Otimix'!A:A,'BD VOLUME'!Y735,'BD Otimix'!O:O)+SUMIF('BD Otimix'!A:A,'BD VOLUME'!Z735,'BD Otimix'!O:O)+SUMIF('BD Otimix'!A:A,'BD VOLUME'!AA735,'BD Otimix'!O:O)+SUMIF('BD Otimix'!A:A,'BD VOLUME'!AB735,'BD Otimix'!O:O)+SUMIF('BD Otimix'!A:A,'BD VOLUME'!AC735,'BD Otimix'!O:O)+SUMIF('BD Otimix'!A:A,'BD VOLUME'!W735,'BD Otimix'!O:O),0)</f>
        <v>0</v>
      </c>
      <c r="AE735" s="327">
        <f t="shared" si="237"/>
        <v>0</v>
      </c>
      <c r="AF735" s="7" t="str">
        <f>Preencher!$B$3&amp;$U$8&amp;$V$8&amp;A735&amp;$AF$6</f>
        <v>JARINU-FRG552968MQ.GIROFREEZER</v>
      </c>
      <c r="AG735" s="7" t="str">
        <f>Preencher!$B$3&amp;$U$8&amp;$V$8&amp;A735&amp;$AG$6</f>
        <v>JARINU-FRG552968MQ.GIROFREEZER (1)</v>
      </c>
      <c r="AH735" s="7" t="str">
        <f>Preencher!$B$3&amp;$U$8&amp;$V$8&amp;A735&amp;$AH$6</f>
        <v>JARINU-FRG552968MQ.GIROFREEZER (2)</v>
      </c>
      <c r="AI735" s="7" t="str">
        <f>Preencher!$B$3&amp;$U$8&amp;$V$8&amp;A735&amp;$AI$6</f>
        <v>JARINU-FRG552968MQ.GIROFREEZER REV04</v>
      </c>
      <c r="AJ735" s="7" t="str">
        <f>Preencher!$B$3&amp;$U$8&amp;$V$8&amp;A735&amp;$AJ$6</f>
        <v>JARINU-FRG552968MQ.GIROFREEZER (3)</v>
      </c>
      <c r="AK735" s="327">
        <f>IFERROR(SUMIF('BD Otimix'!A:A,'BD VOLUME'!AG735,'BD Otimix'!O:O)+SUMIF('BD Otimix'!A:A,'BD VOLUME'!AH735,'BD Otimix'!O:O)+SUMIF('BD Otimix'!A:A,'BD VOLUME'!AI735,'BD Otimix'!O:O)+SUMIF('BD Otimix'!A:A,'BD VOLUME'!AJ735,'BD Otimix'!O:O)+SUMIF('BD Otimix'!A:A,'BD VOLUME'!AF735,'BD Otimix'!O:O),0)</f>
        <v>0</v>
      </c>
      <c r="AL735" s="7">
        <f t="shared" si="238"/>
        <v>0</v>
      </c>
    </row>
    <row r="736" spans="1:38">
      <c r="A736" s="355">
        <v>958905</v>
      </c>
      <c r="B736" s="355" t="s">
        <v>1404</v>
      </c>
      <c r="C736" s="5" t="s">
        <v>1405</v>
      </c>
      <c r="D736" s="5" t="s">
        <v>896</v>
      </c>
      <c r="E736" s="5" t="s">
        <v>1439</v>
      </c>
      <c r="F736" s="132">
        <f>SUMIF('COLAR PLANO'!$A:$A,A736,'COLAR PLANO'!$D:$D)</f>
        <v>0</v>
      </c>
      <c r="G736" s="131">
        <f t="shared" si="255"/>
        <v>0</v>
      </c>
      <c r="H736" s="6">
        <v>0.32</v>
      </c>
      <c r="I736" s="7">
        <f t="shared" si="256"/>
        <v>0</v>
      </c>
      <c r="J736" s="130">
        <f t="shared" si="257"/>
        <v>0</v>
      </c>
      <c r="K736" s="355">
        <v>1</v>
      </c>
      <c r="L736" s="355">
        <v>12</v>
      </c>
      <c r="M736" s="355">
        <v>12</v>
      </c>
      <c r="N736" s="7">
        <f t="shared" si="258"/>
        <v>0</v>
      </c>
      <c r="O736" s="7">
        <f t="shared" si="259"/>
        <v>0</v>
      </c>
      <c r="P736" s="7"/>
      <c r="Q736" s="7"/>
      <c r="R736" s="7"/>
      <c r="S736" s="7"/>
      <c r="T736" s="7"/>
      <c r="U736" s="7" t="s">
        <v>2288</v>
      </c>
      <c r="V736" s="7" t="s">
        <v>2289</v>
      </c>
      <c r="W736" s="7" t="str">
        <f>Preencher!$B$3&amp;U736&amp;V736&amp;A736&amp;$W$6</f>
        <v>JARINU-FRG958905MQ.TUNEL DE CG (CONTINUO)</v>
      </c>
      <c r="X736" s="7" t="str">
        <f>Preencher!$B$3&amp;U736&amp;V736&amp;A736&amp;$X$6</f>
        <v>JARINU-FRG958905MQ.TUNEL DE CG (CONTINUO) (1)</v>
      </c>
      <c r="Y736" s="7" t="str">
        <f>Preencher!$B$3&amp;U736&amp;V736&amp;A736&amp;$Y$6</f>
        <v>JARINU-FRG958905MQ.TUNEL DE CG (CONTINUO) (2)</v>
      </c>
      <c r="Z736" s="7" t="str">
        <f>Preencher!$B$3&amp;U736&amp;V736&amp;A736&amp;$Z$6</f>
        <v>JARINU-FRG958905MQ.TUNEL DE CG (CONTINUO) (3)</v>
      </c>
      <c r="AA736" s="7" t="str">
        <f>Preencher!$B$3&amp;U736&amp;V736&amp;A736&amp;$AA$6</f>
        <v>JARINU-FRG958905MQ.TUNEL DE CG (ESTATICO)</v>
      </c>
      <c r="AB736" s="7" t="str">
        <f>Preencher!$B$3&amp;U736&amp;V736&amp;A736&amp;$AB$6</f>
        <v>JARINU-FRG958905MQ.TUNEL DE CG (ESTATICO) (1)</v>
      </c>
      <c r="AC736" s="7" t="str">
        <f>Preencher!$B$3&amp;U736&amp;V736&amp;A736&amp;$AC$6</f>
        <v>JARINU-FRG958905MQ.TUNEL DE CG (ESTATICO) (2)</v>
      </c>
      <c r="AD736" s="327">
        <f>IFERROR(SUMIF('BD Otimix'!A:A,'BD VOLUME'!X736,'BD Otimix'!O:O)+SUMIF('BD Otimix'!A:A,'BD VOLUME'!Y736,'BD Otimix'!O:O)+SUMIF('BD Otimix'!A:A,'BD VOLUME'!Z736,'BD Otimix'!O:O)+SUMIF('BD Otimix'!A:A,'BD VOLUME'!AA736,'BD Otimix'!O:O)+SUMIF('BD Otimix'!A:A,'BD VOLUME'!AB736,'BD Otimix'!O:O)+SUMIF('BD Otimix'!A:A,'BD VOLUME'!AC736,'BD Otimix'!O:O)+SUMIF('BD Otimix'!A:A,'BD VOLUME'!W736,'BD Otimix'!O:O),0)</f>
        <v>0</v>
      </c>
      <c r="AE736" s="327">
        <f t="shared" si="237"/>
        <v>0</v>
      </c>
      <c r="AF736" s="7" t="str">
        <f>Preencher!$B$3&amp;$U$8&amp;$V$8&amp;A736&amp;$AF$6</f>
        <v>JARINU-FRG958905MQ.GIROFREEZER</v>
      </c>
      <c r="AG736" s="7" t="str">
        <f>Preencher!$B$3&amp;$U$8&amp;$V$8&amp;A736&amp;$AG$6</f>
        <v>JARINU-FRG958905MQ.GIROFREEZER (1)</v>
      </c>
      <c r="AH736" s="7" t="str">
        <f>Preencher!$B$3&amp;$U$8&amp;$V$8&amp;A736&amp;$AH$6</f>
        <v>JARINU-FRG958905MQ.GIROFREEZER (2)</v>
      </c>
      <c r="AI736" s="7" t="str">
        <f>Preencher!$B$3&amp;$U$8&amp;$V$8&amp;A736&amp;$AI$6</f>
        <v>JARINU-FRG958905MQ.GIROFREEZER REV04</v>
      </c>
      <c r="AJ736" s="7" t="str">
        <f>Preencher!$B$3&amp;$U$8&amp;$V$8&amp;A736&amp;$AJ$6</f>
        <v>JARINU-FRG958905MQ.GIROFREEZER (3)</v>
      </c>
      <c r="AK736" s="327">
        <f>IFERROR(SUMIF('BD Otimix'!A:A,'BD VOLUME'!AG736,'BD Otimix'!O:O)+SUMIF('BD Otimix'!A:A,'BD VOLUME'!AH736,'BD Otimix'!O:O)+SUMIF('BD Otimix'!A:A,'BD VOLUME'!AI736,'BD Otimix'!O:O)+SUMIF('BD Otimix'!A:A,'BD VOLUME'!AJ736,'BD Otimix'!O:O)+SUMIF('BD Otimix'!A:A,'BD VOLUME'!AF736,'BD Otimix'!O:O),0)</f>
        <v>0</v>
      </c>
      <c r="AL736" s="7">
        <f t="shared" si="238"/>
        <v>0</v>
      </c>
    </row>
    <row r="737" spans="1:38">
      <c r="A737" s="355">
        <v>963828</v>
      </c>
      <c r="B737" s="355" t="s">
        <v>1404</v>
      </c>
      <c r="C737" s="5" t="s">
        <v>1405</v>
      </c>
      <c r="D737" s="5" t="s">
        <v>896</v>
      </c>
      <c r="E737" s="5" t="s">
        <v>1439</v>
      </c>
      <c r="F737" s="132">
        <f>SUMIF('COLAR PLANO'!$A:$A,A737,'COLAR PLANO'!$D:$D)</f>
        <v>0</v>
      </c>
      <c r="G737" s="131">
        <f t="shared" si="255"/>
        <v>0</v>
      </c>
      <c r="H737" s="6">
        <v>0.32</v>
      </c>
      <c r="I737" s="7">
        <f t="shared" si="256"/>
        <v>0</v>
      </c>
      <c r="J737" s="130">
        <f t="shared" si="257"/>
        <v>0</v>
      </c>
      <c r="K737" s="355">
        <v>1</v>
      </c>
      <c r="L737" s="355">
        <v>12</v>
      </c>
      <c r="M737" s="355">
        <v>12</v>
      </c>
      <c r="N737" s="7">
        <f t="shared" si="258"/>
        <v>0</v>
      </c>
      <c r="O737" s="7">
        <f t="shared" si="259"/>
        <v>0</v>
      </c>
      <c r="P737" s="7"/>
      <c r="Q737" s="7"/>
      <c r="R737" s="7"/>
      <c r="S737" s="7"/>
      <c r="T737" s="7"/>
      <c r="U737" s="7" t="s">
        <v>2288</v>
      </c>
      <c r="V737" s="7" t="s">
        <v>2289</v>
      </c>
      <c r="W737" s="7" t="str">
        <f>Preencher!$B$3&amp;U737&amp;V737&amp;A737&amp;$W$6</f>
        <v>JARINU-FRG963828MQ.TUNEL DE CG (CONTINUO)</v>
      </c>
      <c r="X737" s="7" t="str">
        <f>Preencher!$B$3&amp;U737&amp;V737&amp;A737&amp;$X$6</f>
        <v>JARINU-FRG963828MQ.TUNEL DE CG (CONTINUO) (1)</v>
      </c>
      <c r="Y737" s="7" t="str">
        <f>Preencher!$B$3&amp;U737&amp;V737&amp;A737&amp;$Y$6</f>
        <v>JARINU-FRG963828MQ.TUNEL DE CG (CONTINUO) (2)</v>
      </c>
      <c r="Z737" s="7" t="str">
        <f>Preencher!$B$3&amp;U737&amp;V737&amp;A737&amp;$Z$6</f>
        <v>JARINU-FRG963828MQ.TUNEL DE CG (CONTINUO) (3)</v>
      </c>
      <c r="AA737" s="7" t="str">
        <f>Preencher!$B$3&amp;U737&amp;V737&amp;A737&amp;$AA$6</f>
        <v>JARINU-FRG963828MQ.TUNEL DE CG (ESTATICO)</v>
      </c>
      <c r="AB737" s="7" t="str">
        <f>Preencher!$B$3&amp;U737&amp;V737&amp;A737&amp;$AB$6</f>
        <v>JARINU-FRG963828MQ.TUNEL DE CG (ESTATICO) (1)</v>
      </c>
      <c r="AC737" s="7" t="str">
        <f>Preencher!$B$3&amp;U737&amp;V737&amp;A737&amp;$AC$6</f>
        <v>JARINU-FRG963828MQ.TUNEL DE CG (ESTATICO) (2)</v>
      </c>
      <c r="AD737" s="327">
        <f>IFERROR(SUMIF('BD Otimix'!A:A,'BD VOLUME'!X737,'BD Otimix'!O:O)+SUMIF('BD Otimix'!A:A,'BD VOLUME'!Y737,'BD Otimix'!O:O)+SUMIF('BD Otimix'!A:A,'BD VOLUME'!Z737,'BD Otimix'!O:O)+SUMIF('BD Otimix'!A:A,'BD VOLUME'!AA737,'BD Otimix'!O:O)+SUMIF('BD Otimix'!A:A,'BD VOLUME'!AB737,'BD Otimix'!O:O)+SUMIF('BD Otimix'!A:A,'BD VOLUME'!AC737,'BD Otimix'!O:O)+SUMIF('BD Otimix'!A:A,'BD VOLUME'!W737,'BD Otimix'!O:O),0)</f>
        <v>0</v>
      </c>
      <c r="AE737" s="327">
        <f t="shared" si="237"/>
        <v>0</v>
      </c>
      <c r="AF737" s="7" t="str">
        <f>Preencher!$B$3&amp;$U$8&amp;$V$8&amp;A737&amp;$AF$6</f>
        <v>JARINU-FRG963828MQ.GIROFREEZER</v>
      </c>
      <c r="AG737" s="7" t="str">
        <f>Preencher!$B$3&amp;$U$8&amp;$V$8&amp;A737&amp;$AG$6</f>
        <v>JARINU-FRG963828MQ.GIROFREEZER (1)</v>
      </c>
      <c r="AH737" s="7" t="str">
        <f>Preencher!$B$3&amp;$U$8&amp;$V$8&amp;A737&amp;$AH$6</f>
        <v>JARINU-FRG963828MQ.GIROFREEZER (2)</v>
      </c>
      <c r="AI737" s="7" t="str">
        <f>Preencher!$B$3&amp;$U$8&amp;$V$8&amp;A737&amp;$AI$6</f>
        <v>JARINU-FRG963828MQ.GIROFREEZER REV04</v>
      </c>
      <c r="AJ737" s="7" t="str">
        <f>Preencher!$B$3&amp;$U$8&amp;$V$8&amp;A737&amp;$AJ$6</f>
        <v>JARINU-FRG963828MQ.GIROFREEZER (3)</v>
      </c>
      <c r="AK737" s="327">
        <f>IFERROR(SUMIF('BD Otimix'!A:A,'BD VOLUME'!AG737,'BD Otimix'!O:O)+SUMIF('BD Otimix'!A:A,'BD VOLUME'!AH737,'BD Otimix'!O:O)+SUMIF('BD Otimix'!A:A,'BD VOLUME'!AI737,'BD Otimix'!O:O)+SUMIF('BD Otimix'!A:A,'BD VOLUME'!AJ737,'BD Otimix'!O:O)+SUMIF('BD Otimix'!A:A,'BD VOLUME'!AF737,'BD Otimix'!O:O),0)</f>
        <v>0</v>
      </c>
      <c r="AL737" s="7">
        <f t="shared" si="238"/>
        <v>0</v>
      </c>
    </row>
    <row r="738" spans="1:38">
      <c r="A738" s="355">
        <v>43041</v>
      </c>
      <c r="B738" s="355" t="s">
        <v>1404</v>
      </c>
      <c r="C738" s="5" t="s">
        <v>1405</v>
      </c>
      <c r="D738" s="5" t="s">
        <v>896</v>
      </c>
      <c r="E738" s="5" t="s">
        <v>1439</v>
      </c>
      <c r="F738" s="132">
        <f>SUMIF('COLAR PLANO'!$A:$A,A738,'COLAR PLANO'!$D:$D)</f>
        <v>0</v>
      </c>
      <c r="G738" s="131">
        <f t="shared" si="255"/>
        <v>0</v>
      </c>
      <c r="H738" s="6">
        <v>0.32</v>
      </c>
      <c r="I738" s="7">
        <f t="shared" si="256"/>
        <v>0</v>
      </c>
      <c r="J738" s="130">
        <f t="shared" si="257"/>
        <v>0</v>
      </c>
      <c r="K738" s="355">
        <v>1</v>
      </c>
      <c r="L738" s="355">
        <v>12</v>
      </c>
      <c r="M738" s="355">
        <v>12</v>
      </c>
      <c r="N738" s="7">
        <f t="shared" si="258"/>
        <v>0</v>
      </c>
      <c r="O738" s="7">
        <f t="shared" si="259"/>
        <v>0</v>
      </c>
      <c r="P738" s="7"/>
      <c r="Q738" s="7"/>
      <c r="R738" s="7"/>
      <c r="S738" s="7"/>
      <c r="T738" s="7"/>
      <c r="U738" s="7" t="s">
        <v>2288</v>
      </c>
      <c r="V738" s="7" t="s">
        <v>2289</v>
      </c>
      <c r="W738" s="7" t="str">
        <f>Preencher!$B$3&amp;U738&amp;V738&amp;A738&amp;$W$6</f>
        <v>JARINU-FRG43041MQ.TUNEL DE CG (CONTINUO)</v>
      </c>
      <c r="X738" s="7" t="str">
        <f>Preencher!$B$3&amp;U738&amp;V738&amp;A738&amp;$X$6</f>
        <v>JARINU-FRG43041MQ.TUNEL DE CG (CONTINUO) (1)</v>
      </c>
      <c r="Y738" s="7" t="str">
        <f>Preencher!$B$3&amp;U738&amp;V738&amp;A738&amp;$Y$6</f>
        <v>JARINU-FRG43041MQ.TUNEL DE CG (CONTINUO) (2)</v>
      </c>
      <c r="Z738" s="7" t="str">
        <f>Preencher!$B$3&amp;U738&amp;V738&amp;A738&amp;$Z$6</f>
        <v>JARINU-FRG43041MQ.TUNEL DE CG (CONTINUO) (3)</v>
      </c>
      <c r="AA738" s="7" t="str">
        <f>Preencher!$B$3&amp;U738&amp;V738&amp;A738&amp;$AA$6</f>
        <v>JARINU-FRG43041MQ.TUNEL DE CG (ESTATICO)</v>
      </c>
      <c r="AB738" s="7" t="str">
        <f>Preencher!$B$3&amp;U738&amp;V738&amp;A738&amp;$AB$6</f>
        <v>JARINU-FRG43041MQ.TUNEL DE CG (ESTATICO) (1)</v>
      </c>
      <c r="AC738" s="7" t="str">
        <f>Preencher!$B$3&amp;U738&amp;V738&amp;A738&amp;$AC$6</f>
        <v>JARINU-FRG43041MQ.TUNEL DE CG (ESTATICO) (2)</v>
      </c>
      <c r="AD738" s="327">
        <f>IFERROR(SUMIF('BD Otimix'!A:A,'BD VOLUME'!X738,'BD Otimix'!O:O)+SUMIF('BD Otimix'!A:A,'BD VOLUME'!Y738,'BD Otimix'!O:O)+SUMIF('BD Otimix'!A:A,'BD VOLUME'!Z738,'BD Otimix'!O:O)+SUMIF('BD Otimix'!A:A,'BD VOLUME'!AA738,'BD Otimix'!O:O)+SUMIF('BD Otimix'!A:A,'BD VOLUME'!AB738,'BD Otimix'!O:O)+SUMIF('BD Otimix'!A:A,'BD VOLUME'!AC738,'BD Otimix'!O:O)+SUMIF('BD Otimix'!A:A,'BD VOLUME'!W738,'BD Otimix'!O:O),0)</f>
        <v>0</v>
      </c>
      <c r="AE738" s="327">
        <f t="shared" si="237"/>
        <v>0</v>
      </c>
      <c r="AF738" s="7" t="str">
        <f>Preencher!$B$3&amp;$U$8&amp;$V$8&amp;A738&amp;$AF$6</f>
        <v>JARINU-FRG43041MQ.GIROFREEZER</v>
      </c>
      <c r="AG738" s="7" t="str">
        <f>Preencher!$B$3&amp;$U$8&amp;$V$8&amp;A738&amp;$AG$6</f>
        <v>JARINU-FRG43041MQ.GIROFREEZER (1)</v>
      </c>
      <c r="AH738" s="7" t="str">
        <f>Preencher!$B$3&amp;$U$8&amp;$V$8&amp;A738&amp;$AH$6</f>
        <v>JARINU-FRG43041MQ.GIROFREEZER (2)</v>
      </c>
      <c r="AI738" s="7" t="str">
        <f>Preencher!$B$3&amp;$U$8&amp;$V$8&amp;A738&amp;$AI$6</f>
        <v>JARINU-FRG43041MQ.GIROFREEZER REV04</v>
      </c>
      <c r="AJ738" s="7" t="str">
        <f>Preencher!$B$3&amp;$U$8&amp;$V$8&amp;A738&amp;$AJ$6</f>
        <v>JARINU-FRG43041MQ.GIROFREEZER (3)</v>
      </c>
      <c r="AK738" s="327">
        <f>IFERROR(SUMIF('BD Otimix'!A:A,'BD VOLUME'!AG738,'BD Otimix'!O:O)+SUMIF('BD Otimix'!A:A,'BD VOLUME'!AH738,'BD Otimix'!O:O)+SUMIF('BD Otimix'!A:A,'BD VOLUME'!AI738,'BD Otimix'!O:O)+SUMIF('BD Otimix'!A:A,'BD VOLUME'!AJ738,'BD Otimix'!O:O)+SUMIF('BD Otimix'!A:A,'BD VOLUME'!AF738,'BD Otimix'!O:O),0)</f>
        <v>0</v>
      </c>
      <c r="AL738" s="7">
        <f t="shared" si="238"/>
        <v>0</v>
      </c>
    </row>
    <row r="739" spans="1:38">
      <c r="A739" s="355">
        <v>198188</v>
      </c>
      <c r="B739" s="355" t="s">
        <v>1404</v>
      </c>
      <c r="C739" s="5" t="s">
        <v>1405</v>
      </c>
      <c r="D739" s="5" t="s">
        <v>896</v>
      </c>
      <c r="E739" s="5" t="s">
        <v>1439</v>
      </c>
      <c r="F739" s="132">
        <f>SUMIF('COLAR PLANO'!$A:$A,A739,'COLAR PLANO'!$D:$D)</f>
        <v>0</v>
      </c>
      <c r="G739" s="131">
        <f t="shared" si="255"/>
        <v>0</v>
      </c>
      <c r="H739" s="6">
        <v>0.32</v>
      </c>
      <c r="I739" s="7">
        <f t="shared" si="256"/>
        <v>0</v>
      </c>
      <c r="J739" s="130">
        <f t="shared" si="257"/>
        <v>0</v>
      </c>
      <c r="K739" s="355">
        <v>1</v>
      </c>
      <c r="L739" s="355">
        <v>12</v>
      </c>
      <c r="M739" s="355">
        <v>12</v>
      </c>
      <c r="N739" s="7">
        <f t="shared" si="258"/>
        <v>0</v>
      </c>
      <c r="O739" s="7">
        <f t="shared" si="259"/>
        <v>0</v>
      </c>
      <c r="P739" s="7"/>
      <c r="Q739" s="7"/>
      <c r="R739" s="7"/>
      <c r="S739" s="7"/>
      <c r="T739" s="7"/>
      <c r="U739" s="7" t="s">
        <v>2288</v>
      </c>
      <c r="V739" s="7" t="s">
        <v>2289</v>
      </c>
      <c r="W739" s="7" t="str">
        <f>Preencher!$B$3&amp;U739&amp;V739&amp;A739&amp;$W$6</f>
        <v>JARINU-FRG198188MQ.TUNEL DE CG (CONTINUO)</v>
      </c>
      <c r="X739" s="7" t="str">
        <f>Preencher!$B$3&amp;U739&amp;V739&amp;A739&amp;$X$6</f>
        <v>JARINU-FRG198188MQ.TUNEL DE CG (CONTINUO) (1)</v>
      </c>
      <c r="Y739" s="7" t="str">
        <f>Preencher!$B$3&amp;U739&amp;V739&amp;A739&amp;$Y$6</f>
        <v>JARINU-FRG198188MQ.TUNEL DE CG (CONTINUO) (2)</v>
      </c>
      <c r="Z739" s="7" t="str">
        <f>Preencher!$B$3&amp;U739&amp;V739&amp;A739&amp;$Z$6</f>
        <v>JARINU-FRG198188MQ.TUNEL DE CG (CONTINUO) (3)</v>
      </c>
      <c r="AA739" s="7" t="str">
        <f>Preencher!$B$3&amp;U739&amp;V739&amp;A739&amp;$AA$6</f>
        <v>JARINU-FRG198188MQ.TUNEL DE CG (ESTATICO)</v>
      </c>
      <c r="AB739" s="7" t="str">
        <f>Preencher!$B$3&amp;U739&amp;V739&amp;A739&amp;$AB$6</f>
        <v>JARINU-FRG198188MQ.TUNEL DE CG (ESTATICO) (1)</v>
      </c>
      <c r="AC739" s="7" t="str">
        <f>Preencher!$B$3&amp;U739&amp;V739&amp;A739&amp;$AC$6</f>
        <v>JARINU-FRG198188MQ.TUNEL DE CG (ESTATICO) (2)</v>
      </c>
      <c r="AD739" s="327">
        <f>IFERROR(SUMIF('BD Otimix'!A:A,'BD VOLUME'!X739,'BD Otimix'!O:O)+SUMIF('BD Otimix'!A:A,'BD VOLUME'!Y739,'BD Otimix'!O:O)+SUMIF('BD Otimix'!A:A,'BD VOLUME'!Z739,'BD Otimix'!O:O)+SUMIF('BD Otimix'!A:A,'BD VOLUME'!AA739,'BD Otimix'!O:O)+SUMIF('BD Otimix'!A:A,'BD VOLUME'!AB739,'BD Otimix'!O:O)+SUMIF('BD Otimix'!A:A,'BD VOLUME'!AC739,'BD Otimix'!O:O)+SUMIF('BD Otimix'!A:A,'BD VOLUME'!W739,'BD Otimix'!O:O),0)</f>
        <v>0</v>
      </c>
      <c r="AE739" s="327">
        <f t="shared" si="237"/>
        <v>0</v>
      </c>
      <c r="AF739" s="7" t="str">
        <f>Preencher!$B$3&amp;$U$8&amp;$V$8&amp;A739&amp;$AF$6</f>
        <v>JARINU-FRG198188MQ.GIROFREEZER</v>
      </c>
      <c r="AG739" s="7" t="str">
        <f>Preencher!$B$3&amp;$U$8&amp;$V$8&amp;A739&amp;$AG$6</f>
        <v>JARINU-FRG198188MQ.GIROFREEZER (1)</v>
      </c>
      <c r="AH739" s="7" t="str">
        <f>Preencher!$B$3&amp;$U$8&amp;$V$8&amp;A739&amp;$AH$6</f>
        <v>JARINU-FRG198188MQ.GIROFREEZER (2)</v>
      </c>
      <c r="AI739" s="7" t="str">
        <f>Preencher!$B$3&amp;$U$8&amp;$V$8&amp;A739&amp;$AI$6</f>
        <v>JARINU-FRG198188MQ.GIROFREEZER REV04</v>
      </c>
      <c r="AJ739" s="7" t="str">
        <f>Preencher!$B$3&amp;$U$8&amp;$V$8&amp;A739&amp;$AJ$6</f>
        <v>JARINU-FRG198188MQ.GIROFREEZER (3)</v>
      </c>
      <c r="AK739" s="327">
        <f>IFERROR(SUMIF('BD Otimix'!A:A,'BD VOLUME'!AG739,'BD Otimix'!O:O)+SUMIF('BD Otimix'!A:A,'BD VOLUME'!AH739,'BD Otimix'!O:O)+SUMIF('BD Otimix'!A:A,'BD VOLUME'!AI739,'BD Otimix'!O:O)+SUMIF('BD Otimix'!A:A,'BD VOLUME'!AJ739,'BD Otimix'!O:O)+SUMIF('BD Otimix'!A:A,'BD VOLUME'!AF739,'BD Otimix'!O:O),0)</f>
        <v>0</v>
      </c>
      <c r="AL739" s="7">
        <f t="shared" si="238"/>
        <v>0</v>
      </c>
    </row>
    <row r="740" spans="1:38">
      <c r="A740" s="355">
        <v>124056</v>
      </c>
      <c r="B740" s="355"/>
      <c r="C740" s="5" t="s">
        <v>1406</v>
      </c>
      <c r="D740" s="5" t="s">
        <v>896</v>
      </c>
      <c r="E740" s="5" t="s">
        <v>1439</v>
      </c>
      <c r="F740" s="132">
        <f>SUMIF('COLAR PLANO'!$A:$A,A740,'COLAR PLANO'!$D:$D)</f>
        <v>0</v>
      </c>
      <c r="G740" s="131">
        <f t="shared" si="255"/>
        <v>0</v>
      </c>
      <c r="H740" s="6">
        <v>0.32</v>
      </c>
      <c r="I740" s="7">
        <f t="shared" si="256"/>
        <v>0</v>
      </c>
      <c r="J740" s="130">
        <f t="shared" si="257"/>
        <v>0</v>
      </c>
      <c r="K740" s="355">
        <v>1</v>
      </c>
      <c r="L740" s="355">
        <v>16</v>
      </c>
      <c r="M740" s="355">
        <v>16</v>
      </c>
      <c r="N740" s="7">
        <f t="shared" si="258"/>
        <v>0</v>
      </c>
      <c r="O740" s="7">
        <f t="shared" si="259"/>
        <v>0</v>
      </c>
      <c r="P740" s="7"/>
      <c r="Q740" s="7"/>
      <c r="R740" s="7"/>
      <c r="S740" s="7"/>
      <c r="T740" s="7"/>
      <c r="U740" s="7" t="s">
        <v>2288</v>
      </c>
      <c r="V740" s="7" t="s">
        <v>2289</v>
      </c>
      <c r="W740" s="7" t="str">
        <f>Preencher!$B$3&amp;U740&amp;V740&amp;A740&amp;$W$6</f>
        <v>JARINU-FRG124056MQ.TUNEL DE CG (CONTINUO)</v>
      </c>
      <c r="X740" s="7" t="str">
        <f>Preencher!$B$3&amp;U740&amp;V740&amp;A740&amp;$X$6</f>
        <v>JARINU-FRG124056MQ.TUNEL DE CG (CONTINUO) (1)</v>
      </c>
      <c r="Y740" s="7" t="str">
        <f>Preencher!$B$3&amp;U740&amp;V740&amp;A740&amp;$Y$6</f>
        <v>JARINU-FRG124056MQ.TUNEL DE CG (CONTINUO) (2)</v>
      </c>
      <c r="Z740" s="7" t="str">
        <f>Preencher!$B$3&amp;U740&amp;V740&amp;A740&amp;$Z$6</f>
        <v>JARINU-FRG124056MQ.TUNEL DE CG (CONTINUO) (3)</v>
      </c>
      <c r="AA740" s="7" t="str">
        <f>Preencher!$B$3&amp;U740&amp;V740&amp;A740&amp;$AA$6</f>
        <v>JARINU-FRG124056MQ.TUNEL DE CG (ESTATICO)</v>
      </c>
      <c r="AB740" s="7" t="str">
        <f>Preencher!$B$3&amp;U740&amp;V740&amp;A740&amp;$AB$6</f>
        <v>JARINU-FRG124056MQ.TUNEL DE CG (ESTATICO) (1)</v>
      </c>
      <c r="AC740" s="7" t="str">
        <f>Preencher!$B$3&amp;U740&amp;V740&amp;A740&amp;$AC$6</f>
        <v>JARINU-FRG124056MQ.TUNEL DE CG (ESTATICO) (2)</v>
      </c>
      <c r="AD740" s="327">
        <f>IFERROR(SUMIF('BD Otimix'!A:A,'BD VOLUME'!X740,'BD Otimix'!O:O)+SUMIF('BD Otimix'!A:A,'BD VOLUME'!Y740,'BD Otimix'!O:O)+SUMIF('BD Otimix'!A:A,'BD VOLUME'!Z740,'BD Otimix'!O:O)+SUMIF('BD Otimix'!A:A,'BD VOLUME'!AA740,'BD Otimix'!O:O)+SUMIF('BD Otimix'!A:A,'BD VOLUME'!AB740,'BD Otimix'!O:O)+SUMIF('BD Otimix'!A:A,'BD VOLUME'!AC740,'BD Otimix'!O:O)+SUMIF('BD Otimix'!A:A,'BD VOLUME'!W740,'BD Otimix'!O:O),0)</f>
        <v>0</v>
      </c>
      <c r="AE740" s="327">
        <f t="shared" si="237"/>
        <v>0</v>
      </c>
      <c r="AF740" s="7" t="str">
        <f>Preencher!$B$3&amp;$U$8&amp;$V$8&amp;A740&amp;$AF$6</f>
        <v>JARINU-FRG124056MQ.GIROFREEZER</v>
      </c>
      <c r="AG740" s="7" t="str">
        <f>Preencher!$B$3&amp;$U$8&amp;$V$8&amp;A740&amp;$AG$6</f>
        <v>JARINU-FRG124056MQ.GIROFREEZER (1)</v>
      </c>
      <c r="AH740" s="7" t="str">
        <f>Preencher!$B$3&amp;$U$8&amp;$V$8&amp;A740&amp;$AH$6</f>
        <v>JARINU-FRG124056MQ.GIROFREEZER (2)</v>
      </c>
      <c r="AI740" s="7" t="str">
        <f>Preencher!$B$3&amp;$U$8&amp;$V$8&amp;A740&amp;$AI$6</f>
        <v>JARINU-FRG124056MQ.GIROFREEZER REV04</v>
      </c>
      <c r="AJ740" s="7" t="str">
        <f>Preencher!$B$3&amp;$U$8&amp;$V$8&amp;A740&amp;$AJ$6</f>
        <v>JARINU-FRG124056MQ.GIROFREEZER (3)</v>
      </c>
      <c r="AK740" s="327">
        <f>IFERROR(SUMIF('BD Otimix'!A:A,'BD VOLUME'!AG740,'BD Otimix'!O:O)+SUMIF('BD Otimix'!A:A,'BD VOLUME'!AH740,'BD Otimix'!O:O)+SUMIF('BD Otimix'!A:A,'BD VOLUME'!AI740,'BD Otimix'!O:O)+SUMIF('BD Otimix'!A:A,'BD VOLUME'!AJ740,'BD Otimix'!O:O)+SUMIF('BD Otimix'!A:A,'BD VOLUME'!AF740,'BD Otimix'!O:O),0)</f>
        <v>0</v>
      </c>
      <c r="AL740" s="7">
        <f t="shared" si="238"/>
        <v>0</v>
      </c>
    </row>
    <row r="741" spans="1:38">
      <c r="A741" s="355">
        <v>197696</v>
      </c>
      <c r="B741" s="355" t="s">
        <v>1022</v>
      </c>
      <c r="C741" s="5" t="s">
        <v>1407</v>
      </c>
      <c r="D741" s="5" t="s">
        <v>896</v>
      </c>
      <c r="E741" s="5" t="s">
        <v>1419</v>
      </c>
      <c r="F741" s="132">
        <f>SUMIF('COLAR PLANO'!$A:$A,A741,'COLAR PLANO'!$D:$D)</f>
        <v>0</v>
      </c>
      <c r="G741" s="131">
        <f t="shared" si="255"/>
        <v>0</v>
      </c>
      <c r="H741" s="6">
        <v>0.32</v>
      </c>
      <c r="I741" s="7">
        <f t="shared" si="256"/>
        <v>0</v>
      </c>
      <c r="J741" s="130">
        <f t="shared" si="257"/>
        <v>0</v>
      </c>
      <c r="K741" s="355">
        <v>1</v>
      </c>
      <c r="L741" s="355">
        <v>12</v>
      </c>
      <c r="M741" s="355">
        <v>12</v>
      </c>
      <c r="N741" s="7">
        <f t="shared" si="258"/>
        <v>0</v>
      </c>
      <c r="O741" s="7">
        <f t="shared" si="259"/>
        <v>0</v>
      </c>
      <c r="P741" s="7"/>
      <c r="Q741" s="7"/>
      <c r="R741" s="7"/>
      <c r="S741" s="7"/>
      <c r="T741" s="7"/>
      <c r="U741" s="7" t="s">
        <v>2288</v>
      </c>
      <c r="V741" s="7" t="s">
        <v>2289</v>
      </c>
      <c r="W741" s="7" t="str">
        <f>Preencher!$B$3&amp;U741&amp;V741&amp;A741&amp;$W$6</f>
        <v>JARINU-FRG197696MQ.TUNEL DE CG (CONTINUO)</v>
      </c>
      <c r="X741" s="7" t="str">
        <f>Preencher!$B$3&amp;U741&amp;V741&amp;A741&amp;$X$6</f>
        <v>JARINU-FRG197696MQ.TUNEL DE CG (CONTINUO) (1)</v>
      </c>
      <c r="Y741" s="7" t="str">
        <f>Preencher!$B$3&amp;U741&amp;V741&amp;A741&amp;$Y$6</f>
        <v>JARINU-FRG197696MQ.TUNEL DE CG (CONTINUO) (2)</v>
      </c>
      <c r="Z741" s="7" t="str">
        <f>Preencher!$B$3&amp;U741&amp;V741&amp;A741&amp;$Z$6</f>
        <v>JARINU-FRG197696MQ.TUNEL DE CG (CONTINUO) (3)</v>
      </c>
      <c r="AA741" s="7" t="str">
        <f>Preencher!$B$3&amp;U741&amp;V741&amp;A741&amp;$AA$6</f>
        <v>JARINU-FRG197696MQ.TUNEL DE CG (ESTATICO)</v>
      </c>
      <c r="AB741" s="7" t="str">
        <f>Preencher!$B$3&amp;U741&amp;V741&amp;A741&amp;$AB$6</f>
        <v>JARINU-FRG197696MQ.TUNEL DE CG (ESTATICO) (1)</v>
      </c>
      <c r="AC741" s="7" t="str">
        <f>Preencher!$B$3&amp;U741&amp;V741&amp;A741&amp;$AC$6</f>
        <v>JARINU-FRG197696MQ.TUNEL DE CG (ESTATICO) (2)</v>
      </c>
      <c r="AD741" s="327">
        <f>IFERROR(SUMIF('BD Otimix'!A:A,'BD VOLUME'!X741,'BD Otimix'!O:O)+SUMIF('BD Otimix'!A:A,'BD VOLUME'!Y741,'BD Otimix'!O:O)+SUMIF('BD Otimix'!A:A,'BD VOLUME'!Z741,'BD Otimix'!O:O)+SUMIF('BD Otimix'!A:A,'BD VOLUME'!AA741,'BD Otimix'!O:O)+SUMIF('BD Otimix'!A:A,'BD VOLUME'!AB741,'BD Otimix'!O:O)+SUMIF('BD Otimix'!A:A,'BD VOLUME'!AC741,'BD Otimix'!O:O)+SUMIF('BD Otimix'!A:A,'BD VOLUME'!W741,'BD Otimix'!O:O),0)</f>
        <v>0</v>
      </c>
      <c r="AE741" s="327">
        <f t="shared" si="237"/>
        <v>0</v>
      </c>
      <c r="AF741" s="7" t="str">
        <f>Preencher!$B$3&amp;$U$8&amp;$V$8&amp;A741&amp;$AF$6</f>
        <v>JARINU-FRG197696MQ.GIROFREEZER</v>
      </c>
      <c r="AG741" s="7" t="str">
        <f>Preencher!$B$3&amp;$U$8&amp;$V$8&amp;A741&amp;$AG$6</f>
        <v>JARINU-FRG197696MQ.GIROFREEZER (1)</v>
      </c>
      <c r="AH741" s="7" t="str">
        <f>Preencher!$B$3&amp;$U$8&amp;$V$8&amp;A741&amp;$AH$6</f>
        <v>JARINU-FRG197696MQ.GIROFREEZER (2)</v>
      </c>
      <c r="AI741" s="7" t="str">
        <f>Preencher!$B$3&amp;$U$8&amp;$V$8&amp;A741&amp;$AI$6</f>
        <v>JARINU-FRG197696MQ.GIROFREEZER REV04</v>
      </c>
      <c r="AJ741" s="7" t="str">
        <f>Preencher!$B$3&amp;$U$8&amp;$V$8&amp;A741&amp;$AJ$6</f>
        <v>JARINU-FRG197696MQ.GIROFREEZER (3)</v>
      </c>
      <c r="AK741" s="327">
        <f>IFERROR(SUMIF('BD Otimix'!A:A,'BD VOLUME'!AG741,'BD Otimix'!O:O)+SUMIF('BD Otimix'!A:A,'BD VOLUME'!AH741,'BD Otimix'!O:O)+SUMIF('BD Otimix'!A:A,'BD VOLUME'!AI741,'BD Otimix'!O:O)+SUMIF('BD Otimix'!A:A,'BD VOLUME'!AJ741,'BD Otimix'!O:O)+SUMIF('BD Otimix'!A:A,'BD VOLUME'!AF741,'BD Otimix'!O:O),0)</f>
        <v>0</v>
      </c>
      <c r="AL741" s="7">
        <f t="shared" si="238"/>
        <v>0</v>
      </c>
    </row>
    <row r="742" spans="1:38">
      <c r="A742" s="355">
        <v>769886</v>
      </c>
      <c r="B742" s="355"/>
      <c r="C742" s="5" t="s">
        <v>1407</v>
      </c>
      <c r="D742" s="5" t="s">
        <v>896</v>
      </c>
      <c r="E742" s="5" t="s">
        <v>1419</v>
      </c>
      <c r="F742" s="132">
        <f>SUMIF('COLAR PLANO'!$A:$A,A742,'COLAR PLANO'!$D:$D)</f>
        <v>0</v>
      </c>
      <c r="G742" s="131">
        <f t="shared" si="255"/>
        <v>0</v>
      </c>
      <c r="H742" s="6">
        <v>0.32</v>
      </c>
      <c r="I742" s="7">
        <f t="shared" si="256"/>
        <v>0</v>
      </c>
      <c r="J742" s="130">
        <f t="shared" si="257"/>
        <v>0</v>
      </c>
      <c r="K742" s="355">
        <v>1</v>
      </c>
      <c r="L742" s="355">
        <v>12</v>
      </c>
      <c r="M742" s="355">
        <v>12</v>
      </c>
      <c r="N742" s="7">
        <f t="shared" si="258"/>
        <v>0</v>
      </c>
      <c r="O742" s="7">
        <f t="shared" si="259"/>
        <v>0</v>
      </c>
      <c r="P742" s="7"/>
      <c r="Q742" s="7"/>
      <c r="R742" s="7"/>
      <c r="S742" s="7"/>
      <c r="T742" s="7"/>
      <c r="U742" s="7" t="s">
        <v>2288</v>
      </c>
      <c r="V742" s="7" t="s">
        <v>2289</v>
      </c>
      <c r="W742" s="7" t="str">
        <f>Preencher!$B$3&amp;U742&amp;V742&amp;A742&amp;$W$6</f>
        <v>JARINU-FRG769886MQ.TUNEL DE CG (CONTINUO)</v>
      </c>
      <c r="X742" s="7" t="str">
        <f>Preencher!$B$3&amp;U742&amp;V742&amp;A742&amp;$X$6</f>
        <v>JARINU-FRG769886MQ.TUNEL DE CG (CONTINUO) (1)</v>
      </c>
      <c r="Y742" s="7" t="str">
        <f>Preencher!$B$3&amp;U742&amp;V742&amp;A742&amp;$Y$6</f>
        <v>JARINU-FRG769886MQ.TUNEL DE CG (CONTINUO) (2)</v>
      </c>
      <c r="Z742" s="7" t="str">
        <f>Preencher!$B$3&amp;U742&amp;V742&amp;A742&amp;$Z$6</f>
        <v>JARINU-FRG769886MQ.TUNEL DE CG (CONTINUO) (3)</v>
      </c>
      <c r="AA742" s="7" t="str">
        <f>Preencher!$B$3&amp;U742&amp;V742&amp;A742&amp;$AA$6</f>
        <v>JARINU-FRG769886MQ.TUNEL DE CG (ESTATICO)</v>
      </c>
      <c r="AB742" s="7" t="str">
        <f>Preencher!$B$3&amp;U742&amp;V742&amp;A742&amp;$AB$6</f>
        <v>JARINU-FRG769886MQ.TUNEL DE CG (ESTATICO) (1)</v>
      </c>
      <c r="AC742" s="7" t="str">
        <f>Preencher!$B$3&amp;U742&amp;V742&amp;A742&amp;$AC$6</f>
        <v>JARINU-FRG769886MQ.TUNEL DE CG (ESTATICO) (2)</v>
      </c>
      <c r="AD742" s="327">
        <f>IFERROR(SUMIF('BD Otimix'!A:A,'BD VOLUME'!X742,'BD Otimix'!O:O)+SUMIF('BD Otimix'!A:A,'BD VOLUME'!Y742,'BD Otimix'!O:O)+SUMIF('BD Otimix'!A:A,'BD VOLUME'!Z742,'BD Otimix'!O:O)+SUMIF('BD Otimix'!A:A,'BD VOLUME'!AA742,'BD Otimix'!O:O)+SUMIF('BD Otimix'!A:A,'BD VOLUME'!AB742,'BD Otimix'!O:O)+SUMIF('BD Otimix'!A:A,'BD VOLUME'!AC742,'BD Otimix'!O:O)+SUMIF('BD Otimix'!A:A,'BD VOLUME'!W742,'BD Otimix'!O:O),0)</f>
        <v>0</v>
      </c>
      <c r="AE742" s="327">
        <f t="shared" si="237"/>
        <v>0</v>
      </c>
      <c r="AF742" s="7" t="str">
        <f>Preencher!$B$3&amp;$U$8&amp;$V$8&amp;A742&amp;$AF$6</f>
        <v>JARINU-FRG769886MQ.GIROFREEZER</v>
      </c>
      <c r="AG742" s="7" t="str">
        <f>Preencher!$B$3&amp;$U$8&amp;$V$8&amp;A742&amp;$AG$6</f>
        <v>JARINU-FRG769886MQ.GIROFREEZER (1)</v>
      </c>
      <c r="AH742" s="7" t="str">
        <f>Preencher!$B$3&amp;$U$8&amp;$V$8&amp;A742&amp;$AH$6</f>
        <v>JARINU-FRG769886MQ.GIROFREEZER (2)</v>
      </c>
      <c r="AI742" s="7" t="str">
        <f>Preencher!$B$3&amp;$U$8&amp;$V$8&amp;A742&amp;$AI$6</f>
        <v>JARINU-FRG769886MQ.GIROFREEZER REV04</v>
      </c>
      <c r="AJ742" s="7" t="str">
        <f>Preencher!$B$3&amp;$U$8&amp;$V$8&amp;A742&amp;$AJ$6</f>
        <v>JARINU-FRG769886MQ.GIROFREEZER (3)</v>
      </c>
      <c r="AK742" s="327">
        <f>IFERROR(SUMIF('BD Otimix'!A:A,'BD VOLUME'!AG742,'BD Otimix'!O:O)+SUMIF('BD Otimix'!A:A,'BD VOLUME'!AH742,'BD Otimix'!O:O)+SUMIF('BD Otimix'!A:A,'BD VOLUME'!AI742,'BD Otimix'!O:O)+SUMIF('BD Otimix'!A:A,'BD VOLUME'!AJ742,'BD Otimix'!O:O)+SUMIF('BD Otimix'!A:A,'BD VOLUME'!AF742,'BD Otimix'!O:O),0)</f>
        <v>0</v>
      </c>
      <c r="AL742" s="7">
        <f t="shared" si="238"/>
        <v>0</v>
      </c>
    </row>
    <row r="743" spans="1:38">
      <c r="A743" s="355">
        <v>954155</v>
      </c>
      <c r="B743" s="355"/>
      <c r="C743" s="5" t="s">
        <v>1426</v>
      </c>
      <c r="D743" s="5" t="s">
        <v>896</v>
      </c>
      <c r="E743" s="5" t="s">
        <v>1419</v>
      </c>
      <c r="F743" s="132">
        <f>SUMIF('COLAR PLANO'!$A:$A,A743,'COLAR PLANO'!$D:$D)</f>
        <v>0</v>
      </c>
      <c r="G743" s="131">
        <f t="shared" si="255"/>
        <v>0</v>
      </c>
      <c r="H743" s="6">
        <v>0.32</v>
      </c>
      <c r="I743" s="7">
        <f t="shared" si="256"/>
        <v>0</v>
      </c>
      <c r="J743" s="130">
        <f t="shared" si="257"/>
        <v>0</v>
      </c>
      <c r="K743" s="355">
        <v>1</v>
      </c>
      <c r="L743" s="355">
        <v>12</v>
      </c>
      <c r="M743" s="355">
        <v>12</v>
      </c>
      <c r="N743" s="7">
        <f t="shared" si="258"/>
        <v>0</v>
      </c>
      <c r="O743" s="7">
        <f t="shared" si="259"/>
        <v>0</v>
      </c>
      <c r="P743" s="7"/>
      <c r="Q743" s="7"/>
      <c r="R743" s="7"/>
      <c r="S743" s="7"/>
      <c r="T743" s="7"/>
      <c r="U743" s="7" t="s">
        <v>2288</v>
      </c>
      <c r="V743" s="7" t="s">
        <v>2289</v>
      </c>
      <c r="W743" s="7" t="str">
        <f>Preencher!$B$3&amp;U743&amp;V743&amp;A743&amp;$W$6</f>
        <v>JARINU-FRG954155MQ.TUNEL DE CG (CONTINUO)</v>
      </c>
      <c r="X743" s="7" t="str">
        <f>Preencher!$B$3&amp;U743&amp;V743&amp;A743&amp;$X$6</f>
        <v>JARINU-FRG954155MQ.TUNEL DE CG (CONTINUO) (1)</v>
      </c>
      <c r="Y743" s="7" t="str">
        <f>Preencher!$B$3&amp;U743&amp;V743&amp;A743&amp;$Y$6</f>
        <v>JARINU-FRG954155MQ.TUNEL DE CG (CONTINUO) (2)</v>
      </c>
      <c r="Z743" s="7" t="str">
        <f>Preencher!$B$3&amp;U743&amp;V743&amp;A743&amp;$Z$6</f>
        <v>JARINU-FRG954155MQ.TUNEL DE CG (CONTINUO) (3)</v>
      </c>
      <c r="AA743" s="7" t="str">
        <f>Preencher!$B$3&amp;U743&amp;V743&amp;A743&amp;$AA$6</f>
        <v>JARINU-FRG954155MQ.TUNEL DE CG (ESTATICO)</v>
      </c>
      <c r="AB743" s="7" t="str">
        <f>Preencher!$B$3&amp;U743&amp;V743&amp;A743&amp;$AB$6</f>
        <v>JARINU-FRG954155MQ.TUNEL DE CG (ESTATICO) (1)</v>
      </c>
      <c r="AC743" s="7" t="str">
        <f>Preencher!$B$3&amp;U743&amp;V743&amp;A743&amp;$AC$6</f>
        <v>JARINU-FRG954155MQ.TUNEL DE CG (ESTATICO) (2)</v>
      </c>
      <c r="AD743" s="327">
        <f>IFERROR(SUMIF('BD Otimix'!A:A,'BD VOLUME'!X743,'BD Otimix'!O:O)+SUMIF('BD Otimix'!A:A,'BD VOLUME'!Y743,'BD Otimix'!O:O)+SUMIF('BD Otimix'!A:A,'BD VOLUME'!Z743,'BD Otimix'!O:O)+SUMIF('BD Otimix'!A:A,'BD VOLUME'!AA743,'BD Otimix'!O:O)+SUMIF('BD Otimix'!A:A,'BD VOLUME'!AB743,'BD Otimix'!O:O)+SUMIF('BD Otimix'!A:A,'BD VOLUME'!AC743,'BD Otimix'!O:O)+SUMIF('BD Otimix'!A:A,'BD VOLUME'!W743,'BD Otimix'!O:O),0)</f>
        <v>0</v>
      </c>
      <c r="AE743" s="327">
        <f t="shared" si="237"/>
        <v>0</v>
      </c>
      <c r="AF743" s="7" t="str">
        <f>Preencher!$B$3&amp;$U$8&amp;$V$8&amp;A743&amp;$AF$6</f>
        <v>JARINU-FRG954155MQ.GIROFREEZER</v>
      </c>
      <c r="AG743" s="7" t="str">
        <f>Preencher!$B$3&amp;$U$8&amp;$V$8&amp;A743&amp;$AG$6</f>
        <v>JARINU-FRG954155MQ.GIROFREEZER (1)</v>
      </c>
      <c r="AH743" s="7" t="str">
        <f>Preencher!$B$3&amp;$U$8&amp;$V$8&amp;A743&amp;$AH$6</f>
        <v>JARINU-FRG954155MQ.GIROFREEZER (2)</v>
      </c>
      <c r="AI743" s="7" t="str">
        <f>Preencher!$B$3&amp;$U$8&amp;$V$8&amp;A743&amp;$AI$6</f>
        <v>JARINU-FRG954155MQ.GIROFREEZER REV04</v>
      </c>
      <c r="AJ743" s="7" t="str">
        <f>Preencher!$B$3&amp;$U$8&amp;$V$8&amp;A743&amp;$AJ$6</f>
        <v>JARINU-FRG954155MQ.GIROFREEZER (3)</v>
      </c>
      <c r="AK743" s="327">
        <f>IFERROR(SUMIF('BD Otimix'!A:A,'BD VOLUME'!AG743,'BD Otimix'!O:O)+SUMIF('BD Otimix'!A:A,'BD VOLUME'!AH743,'BD Otimix'!O:O)+SUMIF('BD Otimix'!A:A,'BD VOLUME'!AI743,'BD Otimix'!O:O)+SUMIF('BD Otimix'!A:A,'BD VOLUME'!AJ743,'BD Otimix'!O:O)+SUMIF('BD Otimix'!A:A,'BD VOLUME'!AF743,'BD Otimix'!O:O),0)</f>
        <v>0</v>
      </c>
      <c r="AL743" s="7">
        <f t="shared" si="238"/>
        <v>0</v>
      </c>
    </row>
    <row r="744" spans="1:38">
      <c r="A744" s="355">
        <v>960238</v>
      </c>
      <c r="B744" s="355"/>
      <c r="C744" s="5" t="s">
        <v>1407</v>
      </c>
      <c r="D744" s="5" t="s">
        <v>896</v>
      </c>
      <c r="E744" s="5" t="s">
        <v>1419</v>
      </c>
      <c r="F744" s="132">
        <f>SUMIF('COLAR PLANO'!$A:$A,A744,'COLAR PLANO'!$D:$D)</f>
        <v>0</v>
      </c>
      <c r="G744" s="131">
        <f t="shared" si="255"/>
        <v>0</v>
      </c>
      <c r="H744" s="6">
        <v>0.32</v>
      </c>
      <c r="I744" s="7">
        <f t="shared" si="256"/>
        <v>0</v>
      </c>
      <c r="J744" s="130">
        <f t="shared" si="257"/>
        <v>0</v>
      </c>
      <c r="K744" s="355">
        <v>1</v>
      </c>
      <c r="L744" s="355">
        <v>15</v>
      </c>
      <c r="M744" s="355">
        <v>15</v>
      </c>
      <c r="N744" s="7">
        <f t="shared" si="258"/>
        <v>0</v>
      </c>
      <c r="O744" s="7">
        <f t="shared" si="259"/>
        <v>0</v>
      </c>
      <c r="P744" s="7"/>
      <c r="Q744" s="7"/>
      <c r="R744" s="7"/>
      <c r="S744" s="7"/>
      <c r="T744" s="7"/>
      <c r="U744" s="7" t="s">
        <v>2288</v>
      </c>
      <c r="V744" s="7" t="s">
        <v>2289</v>
      </c>
      <c r="W744" s="7" t="str">
        <f>Preencher!$B$3&amp;U744&amp;V744&amp;A744&amp;$W$6</f>
        <v>JARINU-FRG960238MQ.TUNEL DE CG (CONTINUO)</v>
      </c>
      <c r="X744" s="7" t="str">
        <f>Preencher!$B$3&amp;U744&amp;V744&amp;A744&amp;$X$6</f>
        <v>JARINU-FRG960238MQ.TUNEL DE CG (CONTINUO) (1)</v>
      </c>
      <c r="Y744" s="7" t="str">
        <f>Preencher!$B$3&amp;U744&amp;V744&amp;A744&amp;$Y$6</f>
        <v>JARINU-FRG960238MQ.TUNEL DE CG (CONTINUO) (2)</v>
      </c>
      <c r="Z744" s="7" t="str">
        <f>Preencher!$B$3&amp;U744&amp;V744&amp;A744&amp;$Z$6</f>
        <v>JARINU-FRG960238MQ.TUNEL DE CG (CONTINUO) (3)</v>
      </c>
      <c r="AA744" s="7" t="str">
        <f>Preencher!$B$3&amp;U744&amp;V744&amp;A744&amp;$AA$6</f>
        <v>JARINU-FRG960238MQ.TUNEL DE CG (ESTATICO)</v>
      </c>
      <c r="AB744" s="7" t="str">
        <f>Preencher!$B$3&amp;U744&amp;V744&amp;A744&amp;$AB$6</f>
        <v>JARINU-FRG960238MQ.TUNEL DE CG (ESTATICO) (1)</v>
      </c>
      <c r="AC744" s="7" t="str">
        <f>Preencher!$B$3&amp;U744&amp;V744&amp;A744&amp;$AC$6</f>
        <v>JARINU-FRG960238MQ.TUNEL DE CG (ESTATICO) (2)</v>
      </c>
      <c r="AD744" s="327">
        <f>IFERROR(SUMIF('BD Otimix'!A:A,'BD VOLUME'!X744,'BD Otimix'!O:O)+SUMIF('BD Otimix'!A:A,'BD VOLUME'!Y744,'BD Otimix'!O:O)+SUMIF('BD Otimix'!A:A,'BD VOLUME'!Z744,'BD Otimix'!O:O)+SUMIF('BD Otimix'!A:A,'BD VOLUME'!AA744,'BD Otimix'!O:O)+SUMIF('BD Otimix'!A:A,'BD VOLUME'!AB744,'BD Otimix'!O:O)+SUMIF('BD Otimix'!A:A,'BD VOLUME'!AC744,'BD Otimix'!O:O)+SUMIF('BD Otimix'!A:A,'BD VOLUME'!W744,'BD Otimix'!O:O),0)</f>
        <v>0</v>
      </c>
      <c r="AE744" s="327">
        <f t="shared" si="237"/>
        <v>0</v>
      </c>
      <c r="AF744" s="7" t="str">
        <f>Preencher!$B$3&amp;$U$8&amp;$V$8&amp;A744&amp;$AF$6</f>
        <v>JARINU-FRG960238MQ.GIROFREEZER</v>
      </c>
      <c r="AG744" s="7" t="str">
        <f>Preencher!$B$3&amp;$U$8&amp;$V$8&amp;A744&amp;$AG$6</f>
        <v>JARINU-FRG960238MQ.GIROFREEZER (1)</v>
      </c>
      <c r="AH744" s="7" t="str">
        <f>Preencher!$B$3&amp;$U$8&amp;$V$8&amp;A744&amp;$AH$6</f>
        <v>JARINU-FRG960238MQ.GIROFREEZER (2)</v>
      </c>
      <c r="AI744" s="7" t="str">
        <f>Preencher!$B$3&amp;$U$8&amp;$V$8&amp;A744&amp;$AI$6</f>
        <v>JARINU-FRG960238MQ.GIROFREEZER REV04</v>
      </c>
      <c r="AJ744" s="7" t="str">
        <f>Preencher!$B$3&amp;$U$8&amp;$V$8&amp;A744&amp;$AJ$6</f>
        <v>JARINU-FRG960238MQ.GIROFREEZER (3)</v>
      </c>
      <c r="AK744" s="327">
        <f>IFERROR(SUMIF('BD Otimix'!A:A,'BD VOLUME'!AG744,'BD Otimix'!O:O)+SUMIF('BD Otimix'!A:A,'BD VOLUME'!AH744,'BD Otimix'!O:O)+SUMIF('BD Otimix'!A:A,'BD VOLUME'!AI744,'BD Otimix'!O:O)+SUMIF('BD Otimix'!A:A,'BD VOLUME'!AJ744,'BD Otimix'!O:O)+SUMIF('BD Otimix'!A:A,'BD VOLUME'!AF744,'BD Otimix'!O:O),0)</f>
        <v>0</v>
      </c>
      <c r="AL744" s="7">
        <f t="shared" si="238"/>
        <v>0</v>
      </c>
    </row>
    <row r="745" spans="1:38">
      <c r="A745" s="355">
        <v>124454</v>
      </c>
      <c r="B745" s="355" t="s">
        <v>1022</v>
      </c>
      <c r="C745" s="5" t="s">
        <v>1406</v>
      </c>
      <c r="D745" s="5" t="s">
        <v>896</v>
      </c>
      <c r="E745" s="5" t="s">
        <v>1419</v>
      </c>
      <c r="F745" s="132">
        <f>SUMIF('COLAR PLANO'!$A:$A,A745,'COLAR PLANO'!$D:$D)</f>
        <v>0</v>
      </c>
      <c r="G745" s="131">
        <f t="shared" ref="G745:G763" si="260">IFERROR(F745/($E$3*$C$3),0)</f>
        <v>0</v>
      </c>
      <c r="H745" s="6">
        <v>0.32</v>
      </c>
      <c r="I745" s="7">
        <f t="shared" ref="I745:I763" si="261">IFERROR(G745/$D$3/H745,0)</f>
        <v>0</v>
      </c>
      <c r="J745" s="130">
        <f t="shared" ref="J745:J763" si="262">IFERROR(I745/$B$3,0)</f>
        <v>0</v>
      </c>
      <c r="K745" s="355">
        <v>1</v>
      </c>
      <c r="L745" s="355">
        <v>16</v>
      </c>
      <c r="M745" s="355">
        <v>16</v>
      </c>
      <c r="N745" s="7">
        <f t="shared" ref="N745:N763" si="263">IFERROR(G745/K745,"-")</f>
        <v>0</v>
      </c>
      <c r="O745" s="7">
        <f t="shared" si="259"/>
        <v>0</v>
      </c>
      <c r="P745" s="7"/>
      <c r="Q745" s="7"/>
      <c r="R745" s="7"/>
      <c r="S745" s="7"/>
      <c r="T745" s="7"/>
      <c r="U745" s="7" t="s">
        <v>2288</v>
      </c>
      <c r="V745" s="7" t="s">
        <v>2289</v>
      </c>
      <c r="W745" s="7" t="str">
        <f>Preencher!$B$3&amp;U745&amp;V745&amp;A745&amp;$W$6</f>
        <v>JARINU-FRG124454MQ.TUNEL DE CG (CONTINUO)</v>
      </c>
      <c r="X745" s="7" t="str">
        <f>Preencher!$B$3&amp;U745&amp;V745&amp;A745&amp;$X$6</f>
        <v>JARINU-FRG124454MQ.TUNEL DE CG (CONTINUO) (1)</v>
      </c>
      <c r="Y745" s="7" t="str">
        <f>Preencher!$B$3&amp;U745&amp;V745&amp;A745&amp;$Y$6</f>
        <v>JARINU-FRG124454MQ.TUNEL DE CG (CONTINUO) (2)</v>
      </c>
      <c r="Z745" s="7" t="str">
        <f>Preencher!$B$3&amp;U745&amp;V745&amp;A745&amp;$Z$6</f>
        <v>JARINU-FRG124454MQ.TUNEL DE CG (CONTINUO) (3)</v>
      </c>
      <c r="AA745" s="7" t="str">
        <f>Preencher!$B$3&amp;U745&amp;V745&amp;A745&amp;$AA$6</f>
        <v>JARINU-FRG124454MQ.TUNEL DE CG (ESTATICO)</v>
      </c>
      <c r="AB745" s="7" t="str">
        <f>Preencher!$B$3&amp;U745&amp;V745&amp;A745&amp;$AB$6</f>
        <v>JARINU-FRG124454MQ.TUNEL DE CG (ESTATICO) (1)</v>
      </c>
      <c r="AC745" s="7" t="str">
        <f>Preencher!$B$3&amp;U745&amp;V745&amp;A745&amp;$AC$6</f>
        <v>JARINU-FRG124454MQ.TUNEL DE CG (ESTATICO) (2)</v>
      </c>
      <c r="AD745" s="327">
        <f>IFERROR(SUMIF('BD Otimix'!A:A,'BD VOLUME'!X745,'BD Otimix'!O:O)+SUMIF('BD Otimix'!A:A,'BD VOLUME'!Y745,'BD Otimix'!O:O)+SUMIF('BD Otimix'!A:A,'BD VOLUME'!Z745,'BD Otimix'!O:O)+SUMIF('BD Otimix'!A:A,'BD VOLUME'!AA745,'BD Otimix'!O:O)+SUMIF('BD Otimix'!A:A,'BD VOLUME'!AB745,'BD Otimix'!O:O)+SUMIF('BD Otimix'!A:A,'BD VOLUME'!AC745,'BD Otimix'!O:O)+SUMIF('BD Otimix'!A:A,'BD VOLUME'!W745,'BD Otimix'!O:O),0)</f>
        <v>0</v>
      </c>
      <c r="AE745" s="327">
        <f t="shared" si="237"/>
        <v>0</v>
      </c>
      <c r="AF745" s="7" t="str">
        <f>Preencher!$B$3&amp;$U$8&amp;$V$8&amp;A745&amp;$AF$6</f>
        <v>JARINU-FRG124454MQ.GIROFREEZER</v>
      </c>
      <c r="AG745" s="7" t="str">
        <f>Preencher!$B$3&amp;$U$8&amp;$V$8&amp;A745&amp;$AG$6</f>
        <v>JARINU-FRG124454MQ.GIROFREEZER (1)</v>
      </c>
      <c r="AH745" s="7" t="str">
        <f>Preencher!$B$3&amp;$U$8&amp;$V$8&amp;A745&amp;$AH$6</f>
        <v>JARINU-FRG124454MQ.GIROFREEZER (2)</v>
      </c>
      <c r="AI745" s="7" t="str">
        <f>Preencher!$B$3&amp;$U$8&amp;$V$8&amp;A745&amp;$AI$6</f>
        <v>JARINU-FRG124454MQ.GIROFREEZER REV04</v>
      </c>
      <c r="AJ745" s="7" t="str">
        <f>Preencher!$B$3&amp;$U$8&amp;$V$8&amp;A745&amp;$AJ$6</f>
        <v>JARINU-FRG124454MQ.GIROFREEZER (3)</v>
      </c>
      <c r="AK745" s="327">
        <f>IFERROR(SUMIF('BD Otimix'!A:A,'BD VOLUME'!AG745,'BD Otimix'!O:O)+SUMIF('BD Otimix'!A:A,'BD VOLUME'!AH745,'BD Otimix'!O:O)+SUMIF('BD Otimix'!A:A,'BD VOLUME'!AI745,'BD Otimix'!O:O)+SUMIF('BD Otimix'!A:A,'BD VOLUME'!AJ745,'BD Otimix'!O:O)+SUMIF('BD Otimix'!A:A,'BD VOLUME'!AF745,'BD Otimix'!O:O),0)</f>
        <v>0</v>
      </c>
      <c r="AL745" s="7">
        <f t="shared" si="238"/>
        <v>0</v>
      </c>
    </row>
    <row r="746" spans="1:38">
      <c r="A746" s="355">
        <v>124740</v>
      </c>
      <c r="B746" s="355"/>
      <c r="C746" s="5" t="s">
        <v>1407</v>
      </c>
      <c r="D746" s="5" t="s">
        <v>896</v>
      </c>
      <c r="E746" s="5" t="s">
        <v>1419</v>
      </c>
      <c r="F746" s="132">
        <f>SUMIF('COLAR PLANO'!$A:$A,A746,'COLAR PLANO'!$D:$D)</f>
        <v>0</v>
      </c>
      <c r="G746" s="131">
        <f t="shared" si="260"/>
        <v>0</v>
      </c>
      <c r="H746" s="6">
        <v>0.32</v>
      </c>
      <c r="I746" s="7">
        <f t="shared" si="261"/>
        <v>0</v>
      </c>
      <c r="J746" s="130">
        <f t="shared" si="262"/>
        <v>0</v>
      </c>
      <c r="K746" s="355">
        <v>1</v>
      </c>
      <c r="L746" s="355">
        <v>16</v>
      </c>
      <c r="M746" s="355">
        <v>16</v>
      </c>
      <c r="N746" s="7">
        <f t="shared" si="263"/>
        <v>0</v>
      </c>
      <c r="O746" s="7">
        <f t="shared" si="259"/>
        <v>0</v>
      </c>
      <c r="P746" s="7"/>
      <c r="Q746" s="7"/>
      <c r="R746" s="7"/>
      <c r="S746" s="7"/>
      <c r="T746" s="7"/>
      <c r="U746" s="7" t="s">
        <v>2288</v>
      </c>
      <c r="V746" s="7" t="s">
        <v>2289</v>
      </c>
      <c r="W746" s="7" t="str">
        <f>Preencher!$B$3&amp;U746&amp;V746&amp;A746&amp;$W$6</f>
        <v>JARINU-FRG124740MQ.TUNEL DE CG (CONTINUO)</v>
      </c>
      <c r="X746" s="7" t="str">
        <f>Preencher!$B$3&amp;U746&amp;V746&amp;A746&amp;$X$6</f>
        <v>JARINU-FRG124740MQ.TUNEL DE CG (CONTINUO) (1)</v>
      </c>
      <c r="Y746" s="7" t="str">
        <f>Preencher!$B$3&amp;U746&amp;V746&amp;A746&amp;$Y$6</f>
        <v>JARINU-FRG124740MQ.TUNEL DE CG (CONTINUO) (2)</v>
      </c>
      <c r="Z746" s="7" t="str">
        <f>Preencher!$B$3&amp;U746&amp;V746&amp;A746&amp;$Z$6</f>
        <v>JARINU-FRG124740MQ.TUNEL DE CG (CONTINUO) (3)</v>
      </c>
      <c r="AA746" s="7" t="str">
        <f>Preencher!$B$3&amp;U746&amp;V746&amp;A746&amp;$AA$6</f>
        <v>JARINU-FRG124740MQ.TUNEL DE CG (ESTATICO)</v>
      </c>
      <c r="AB746" s="7" t="str">
        <f>Preencher!$B$3&amp;U746&amp;V746&amp;A746&amp;$AB$6</f>
        <v>JARINU-FRG124740MQ.TUNEL DE CG (ESTATICO) (1)</v>
      </c>
      <c r="AC746" s="7" t="str">
        <f>Preencher!$B$3&amp;U746&amp;V746&amp;A746&amp;$AC$6</f>
        <v>JARINU-FRG124740MQ.TUNEL DE CG (ESTATICO) (2)</v>
      </c>
      <c r="AD746" s="327">
        <f>IFERROR(SUMIF('BD Otimix'!A:A,'BD VOLUME'!X746,'BD Otimix'!O:O)+SUMIF('BD Otimix'!A:A,'BD VOLUME'!Y746,'BD Otimix'!O:O)+SUMIF('BD Otimix'!A:A,'BD VOLUME'!Z746,'BD Otimix'!O:O)+SUMIF('BD Otimix'!A:A,'BD VOLUME'!AA746,'BD Otimix'!O:O)+SUMIF('BD Otimix'!A:A,'BD VOLUME'!AB746,'BD Otimix'!O:O)+SUMIF('BD Otimix'!A:A,'BD VOLUME'!AC746,'BD Otimix'!O:O)+SUMIF('BD Otimix'!A:A,'BD VOLUME'!W746,'BD Otimix'!O:O),0)</f>
        <v>0</v>
      </c>
      <c r="AE746" s="327">
        <f t="shared" si="237"/>
        <v>0</v>
      </c>
      <c r="AF746" s="7" t="str">
        <f>Preencher!$B$3&amp;$U$8&amp;$V$8&amp;A746&amp;$AF$6</f>
        <v>JARINU-FRG124740MQ.GIROFREEZER</v>
      </c>
      <c r="AG746" s="7" t="str">
        <f>Preencher!$B$3&amp;$U$8&amp;$V$8&amp;A746&amp;$AG$6</f>
        <v>JARINU-FRG124740MQ.GIROFREEZER (1)</v>
      </c>
      <c r="AH746" s="7" t="str">
        <f>Preencher!$B$3&amp;$U$8&amp;$V$8&amp;A746&amp;$AH$6</f>
        <v>JARINU-FRG124740MQ.GIROFREEZER (2)</v>
      </c>
      <c r="AI746" s="7" t="str">
        <f>Preencher!$B$3&amp;$U$8&amp;$V$8&amp;A746&amp;$AI$6</f>
        <v>JARINU-FRG124740MQ.GIROFREEZER REV04</v>
      </c>
      <c r="AJ746" s="7" t="str">
        <f>Preencher!$B$3&amp;$U$8&amp;$V$8&amp;A746&amp;$AJ$6</f>
        <v>JARINU-FRG124740MQ.GIROFREEZER (3)</v>
      </c>
      <c r="AK746" s="327">
        <f>IFERROR(SUMIF('BD Otimix'!A:A,'BD VOLUME'!AG746,'BD Otimix'!O:O)+SUMIF('BD Otimix'!A:A,'BD VOLUME'!AH746,'BD Otimix'!O:O)+SUMIF('BD Otimix'!A:A,'BD VOLUME'!AI746,'BD Otimix'!O:O)+SUMIF('BD Otimix'!A:A,'BD VOLUME'!AJ746,'BD Otimix'!O:O)+SUMIF('BD Otimix'!A:A,'BD VOLUME'!AF746,'BD Otimix'!O:O),0)</f>
        <v>0</v>
      </c>
      <c r="AL746" s="7">
        <f t="shared" si="238"/>
        <v>0</v>
      </c>
    </row>
    <row r="747" spans="1:38">
      <c r="A747" s="355">
        <v>40248</v>
      </c>
      <c r="B747" s="355" t="s">
        <v>1022</v>
      </c>
      <c r="C747" s="5" t="s">
        <v>1413</v>
      </c>
      <c r="D747" s="5" t="s">
        <v>896</v>
      </c>
      <c r="E747" s="5" t="s">
        <v>1419</v>
      </c>
      <c r="F747" s="132">
        <f>SUMIF('COLAR PLANO'!$A:$A,A747,'COLAR PLANO'!$D:$D)</f>
        <v>0</v>
      </c>
      <c r="G747" s="131">
        <f t="shared" si="260"/>
        <v>0</v>
      </c>
      <c r="H747" s="6">
        <v>0.32</v>
      </c>
      <c r="I747" s="7">
        <f t="shared" si="261"/>
        <v>0</v>
      </c>
      <c r="J747" s="130">
        <f t="shared" si="262"/>
        <v>0</v>
      </c>
      <c r="K747" s="355">
        <v>1</v>
      </c>
      <c r="L747" s="355">
        <v>18</v>
      </c>
      <c r="M747" s="355">
        <v>18</v>
      </c>
      <c r="N747" s="7">
        <f t="shared" si="263"/>
        <v>0</v>
      </c>
      <c r="O747" s="7">
        <f t="shared" si="259"/>
        <v>0</v>
      </c>
      <c r="P747" s="7"/>
      <c r="Q747" s="7"/>
      <c r="R747" s="7"/>
      <c r="S747" s="7"/>
      <c r="T747" s="7"/>
      <c r="U747" s="7" t="s">
        <v>2288</v>
      </c>
      <c r="V747" s="7" t="s">
        <v>2289</v>
      </c>
      <c r="W747" s="7" t="str">
        <f>Preencher!$B$3&amp;U747&amp;V747&amp;A747&amp;$W$6</f>
        <v>JARINU-FRG40248MQ.TUNEL DE CG (CONTINUO)</v>
      </c>
      <c r="X747" s="7" t="str">
        <f>Preencher!$B$3&amp;U747&amp;V747&amp;A747&amp;$X$6</f>
        <v>JARINU-FRG40248MQ.TUNEL DE CG (CONTINUO) (1)</v>
      </c>
      <c r="Y747" s="7" t="str">
        <f>Preencher!$B$3&amp;U747&amp;V747&amp;A747&amp;$Y$6</f>
        <v>JARINU-FRG40248MQ.TUNEL DE CG (CONTINUO) (2)</v>
      </c>
      <c r="Z747" s="7" t="str">
        <f>Preencher!$B$3&amp;U747&amp;V747&amp;A747&amp;$Z$6</f>
        <v>JARINU-FRG40248MQ.TUNEL DE CG (CONTINUO) (3)</v>
      </c>
      <c r="AA747" s="7" t="str">
        <f>Preencher!$B$3&amp;U747&amp;V747&amp;A747&amp;$AA$6</f>
        <v>JARINU-FRG40248MQ.TUNEL DE CG (ESTATICO)</v>
      </c>
      <c r="AB747" s="7" t="str">
        <f>Preencher!$B$3&amp;U747&amp;V747&amp;A747&amp;$AB$6</f>
        <v>JARINU-FRG40248MQ.TUNEL DE CG (ESTATICO) (1)</v>
      </c>
      <c r="AC747" s="7" t="str">
        <f>Preencher!$B$3&amp;U747&amp;V747&amp;A747&amp;$AC$6</f>
        <v>JARINU-FRG40248MQ.TUNEL DE CG (ESTATICO) (2)</v>
      </c>
      <c r="AD747" s="327">
        <f>IFERROR(SUMIF('BD Otimix'!A:A,'BD VOLUME'!X747,'BD Otimix'!O:O)+SUMIF('BD Otimix'!A:A,'BD VOLUME'!Y747,'BD Otimix'!O:O)+SUMIF('BD Otimix'!A:A,'BD VOLUME'!Z747,'BD Otimix'!O:O)+SUMIF('BD Otimix'!A:A,'BD VOLUME'!AA747,'BD Otimix'!O:O)+SUMIF('BD Otimix'!A:A,'BD VOLUME'!AB747,'BD Otimix'!O:O)+SUMIF('BD Otimix'!A:A,'BD VOLUME'!AC747,'BD Otimix'!O:O)+SUMIF('BD Otimix'!A:A,'BD VOLUME'!W747,'BD Otimix'!O:O),0)</f>
        <v>0</v>
      </c>
      <c r="AE747" s="327">
        <f t="shared" si="237"/>
        <v>0</v>
      </c>
      <c r="AF747" s="7" t="str">
        <f>Preencher!$B$3&amp;$U$8&amp;$V$8&amp;A747&amp;$AF$6</f>
        <v>JARINU-FRG40248MQ.GIROFREEZER</v>
      </c>
      <c r="AG747" s="7" t="str">
        <f>Preencher!$B$3&amp;$U$8&amp;$V$8&amp;A747&amp;$AG$6</f>
        <v>JARINU-FRG40248MQ.GIROFREEZER (1)</v>
      </c>
      <c r="AH747" s="7" t="str">
        <f>Preencher!$B$3&amp;$U$8&amp;$V$8&amp;A747&amp;$AH$6</f>
        <v>JARINU-FRG40248MQ.GIROFREEZER (2)</v>
      </c>
      <c r="AI747" s="7" t="str">
        <f>Preencher!$B$3&amp;$U$8&amp;$V$8&amp;A747&amp;$AI$6</f>
        <v>JARINU-FRG40248MQ.GIROFREEZER REV04</v>
      </c>
      <c r="AJ747" s="7" t="str">
        <f>Preencher!$B$3&amp;$U$8&amp;$V$8&amp;A747&amp;$AJ$6</f>
        <v>JARINU-FRG40248MQ.GIROFREEZER (3)</v>
      </c>
      <c r="AK747" s="327">
        <f>IFERROR(SUMIF('BD Otimix'!A:A,'BD VOLUME'!AG747,'BD Otimix'!O:O)+SUMIF('BD Otimix'!A:A,'BD VOLUME'!AH747,'BD Otimix'!O:O)+SUMIF('BD Otimix'!A:A,'BD VOLUME'!AI747,'BD Otimix'!O:O)+SUMIF('BD Otimix'!A:A,'BD VOLUME'!AJ747,'BD Otimix'!O:O)+SUMIF('BD Otimix'!A:A,'BD VOLUME'!AF747,'BD Otimix'!O:O),0)</f>
        <v>0</v>
      </c>
      <c r="AL747" s="7">
        <f t="shared" si="238"/>
        <v>0</v>
      </c>
    </row>
    <row r="748" spans="1:38">
      <c r="A748" s="355">
        <v>964581</v>
      </c>
      <c r="B748" s="355" t="s">
        <v>1022</v>
      </c>
      <c r="C748" s="5" t="s">
        <v>1413</v>
      </c>
      <c r="D748" s="5" t="s">
        <v>896</v>
      </c>
      <c r="E748" s="5" t="s">
        <v>1419</v>
      </c>
      <c r="F748" s="132">
        <f>SUMIF('COLAR PLANO'!$A:$A,A748,'COLAR PLANO'!$D:$D)</f>
        <v>0</v>
      </c>
      <c r="G748" s="131">
        <f t="shared" si="260"/>
        <v>0</v>
      </c>
      <c r="H748" s="6">
        <v>0.32</v>
      </c>
      <c r="I748" s="7">
        <f t="shared" si="261"/>
        <v>0</v>
      </c>
      <c r="J748" s="130">
        <f t="shared" si="262"/>
        <v>0</v>
      </c>
      <c r="K748" s="355">
        <v>2</v>
      </c>
      <c r="L748" s="355">
        <v>9</v>
      </c>
      <c r="M748" s="355">
        <v>18</v>
      </c>
      <c r="N748" s="7">
        <f t="shared" si="263"/>
        <v>0</v>
      </c>
      <c r="O748" s="7">
        <f t="shared" si="259"/>
        <v>0</v>
      </c>
      <c r="P748" s="7"/>
      <c r="Q748" s="7"/>
      <c r="R748" s="7"/>
      <c r="S748" s="7"/>
      <c r="T748" s="7"/>
      <c r="U748" s="7" t="s">
        <v>2288</v>
      </c>
      <c r="V748" s="7" t="s">
        <v>2289</v>
      </c>
      <c r="W748" s="7" t="str">
        <f>Preencher!$B$3&amp;U748&amp;V748&amp;A748&amp;$W$6</f>
        <v>JARINU-FRG964581MQ.TUNEL DE CG (CONTINUO)</v>
      </c>
      <c r="X748" s="7" t="str">
        <f>Preencher!$B$3&amp;U748&amp;V748&amp;A748&amp;$X$6</f>
        <v>JARINU-FRG964581MQ.TUNEL DE CG (CONTINUO) (1)</v>
      </c>
      <c r="Y748" s="7" t="str">
        <f>Preencher!$B$3&amp;U748&amp;V748&amp;A748&amp;$Y$6</f>
        <v>JARINU-FRG964581MQ.TUNEL DE CG (CONTINUO) (2)</v>
      </c>
      <c r="Z748" s="7" t="str">
        <f>Preencher!$B$3&amp;U748&amp;V748&amp;A748&amp;$Z$6</f>
        <v>JARINU-FRG964581MQ.TUNEL DE CG (CONTINUO) (3)</v>
      </c>
      <c r="AA748" s="7" t="str">
        <f>Preencher!$B$3&amp;U748&amp;V748&amp;A748&amp;$AA$6</f>
        <v>JARINU-FRG964581MQ.TUNEL DE CG (ESTATICO)</v>
      </c>
      <c r="AB748" s="7" t="str">
        <f>Preencher!$B$3&amp;U748&amp;V748&amp;A748&amp;$AB$6</f>
        <v>JARINU-FRG964581MQ.TUNEL DE CG (ESTATICO) (1)</v>
      </c>
      <c r="AC748" s="7" t="str">
        <f>Preencher!$B$3&amp;U748&amp;V748&amp;A748&amp;$AC$6</f>
        <v>JARINU-FRG964581MQ.TUNEL DE CG (ESTATICO) (2)</v>
      </c>
      <c r="AD748" s="327">
        <f>IFERROR(SUMIF('BD Otimix'!A:A,'BD VOLUME'!X748,'BD Otimix'!O:O)+SUMIF('BD Otimix'!A:A,'BD VOLUME'!Y748,'BD Otimix'!O:O)+SUMIF('BD Otimix'!A:A,'BD VOLUME'!Z748,'BD Otimix'!O:O)+SUMIF('BD Otimix'!A:A,'BD VOLUME'!AA748,'BD Otimix'!O:O)+SUMIF('BD Otimix'!A:A,'BD VOLUME'!AB748,'BD Otimix'!O:O)+SUMIF('BD Otimix'!A:A,'BD VOLUME'!AC748,'BD Otimix'!O:O)+SUMIF('BD Otimix'!A:A,'BD VOLUME'!W748,'BD Otimix'!O:O),0)</f>
        <v>0</v>
      </c>
      <c r="AE748" s="327">
        <f t="shared" si="237"/>
        <v>0</v>
      </c>
      <c r="AF748" s="7" t="str">
        <f>Preencher!$B$3&amp;$U$8&amp;$V$8&amp;A748&amp;$AF$6</f>
        <v>JARINU-FRG964581MQ.GIROFREEZER</v>
      </c>
      <c r="AG748" s="7" t="str">
        <f>Preencher!$B$3&amp;$U$8&amp;$V$8&amp;A748&amp;$AG$6</f>
        <v>JARINU-FRG964581MQ.GIROFREEZER (1)</v>
      </c>
      <c r="AH748" s="7" t="str">
        <f>Preencher!$B$3&amp;$U$8&amp;$V$8&amp;A748&amp;$AH$6</f>
        <v>JARINU-FRG964581MQ.GIROFREEZER (2)</v>
      </c>
      <c r="AI748" s="7" t="str">
        <f>Preencher!$B$3&amp;$U$8&amp;$V$8&amp;A748&amp;$AI$6</f>
        <v>JARINU-FRG964581MQ.GIROFREEZER REV04</v>
      </c>
      <c r="AJ748" s="7" t="str">
        <f>Preencher!$B$3&amp;$U$8&amp;$V$8&amp;A748&amp;$AJ$6</f>
        <v>JARINU-FRG964581MQ.GIROFREEZER (3)</v>
      </c>
      <c r="AK748" s="327">
        <f>IFERROR(SUMIF('BD Otimix'!A:A,'BD VOLUME'!AG748,'BD Otimix'!O:O)+SUMIF('BD Otimix'!A:A,'BD VOLUME'!AH748,'BD Otimix'!O:O)+SUMIF('BD Otimix'!A:A,'BD VOLUME'!AI748,'BD Otimix'!O:O)+SUMIF('BD Otimix'!A:A,'BD VOLUME'!AJ748,'BD Otimix'!O:O)+SUMIF('BD Otimix'!A:A,'BD VOLUME'!AF748,'BD Otimix'!O:O),0)</f>
        <v>0</v>
      </c>
      <c r="AL748" s="7">
        <f t="shared" si="238"/>
        <v>0</v>
      </c>
    </row>
    <row r="749" spans="1:38">
      <c r="A749" s="355">
        <v>980572</v>
      </c>
      <c r="B749" s="355" t="s">
        <v>1022</v>
      </c>
      <c r="C749" s="5" t="s">
        <v>1412</v>
      </c>
      <c r="D749" s="5" t="s">
        <v>896</v>
      </c>
      <c r="E749" s="5" t="s">
        <v>1433</v>
      </c>
      <c r="F749" s="132">
        <f>SUMIF('COLAR PLANO'!$A:$A,A749,'COLAR PLANO'!$D:$D)</f>
        <v>0</v>
      </c>
      <c r="G749" s="131">
        <f t="shared" si="260"/>
        <v>0</v>
      </c>
      <c r="H749" s="6">
        <v>0.32</v>
      </c>
      <c r="I749" s="7">
        <f t="shared" si="261"/>
        <v>0</v>
      </c>
      <c r="J749" s="130">
        <f t="shared" si="262"/>
        <v>0</v>
      </c>
      <c r="K749" s="355">
        <v>25</v>
      </c>
      <c r="L749" s="355">
        <v>1</v>
      </c>
      <c r="M749" s="355">
        <v>25</v>
      </c>
      <c r="N749" s="7">
        <f t="shared" si="263"/>
        <v>0</v>
      </c>
      <c r="O749" s="7"/>
      <c r="P749" s="7"/>
      <c r="Q749" s="7"/>
      <c r="R749" s="7"/>
      <c r="S749" s="7">
        <f t="shared" ref="S749:S754" si="264">IFERROR(G749/M749,0)</f>
        <v>0</v>
      </c>
      <c r="T749" s="7"/>
      <c r="U749" s="7" t="s">
        <v>2288</v>
      </c>
      <c r="V749" s="7" t="s">
        <v>2289</v>
      </c>
      <c r="W749" s="7" t="str">
        <f>Preencher!$B$3&amp;U749&amp;V749&amp;A749&amp;$W$6</f>
        <v>JARINU-FRG980572MQ.TUNEL DE CG (CONTINUO)</v>
      </c>
      <c r="X749" s="7" t="str">
        <f>Preencher!$B$3&amp;U749&amp;V749&amp;A749&amp;$X$6</f>
        <v>JARINU-FRG980572MQ.TUNEL DE CG (CONTINUO) (1)</v>
      </c>
      <c r="Y749" s="7" t="str">
        <f>Preencher!$B$3&amp;U749&amp;V749&amp;A749&amp;$Y$6</f>
        <v>JARINU-FRG980572MQ.TUNEL DE CG (CONTINUO) (2)</v>
      </c>
      <c r="Z749" s="7" t="str">
        <f>Preencher!$B$3&amp;U749&amp;V749&amp;A749&amp;$Z$6</f>
        <v>JARINU-FRG980572MQ.TUNEL DE CG (CONTINUO) (3)</v>
      </c>
      <c r="AA749" s="7" t="str">
        <f>Preencher!$B$3&amp;U749&amp;V749&amp;A749&amp;$AA$6</f>
        <v>JARINU-FRG980572MQ.TUNEL DE CG (ESTATICO)</v>
      </c>
      <c r="AB749" s="7" t="str">
        <f>Preencher!$B$3&amp;U749&amp;V749&amp;A749&amp;$AB$6</f>
        <v>JARINU-FRG980572MQ.TUNEL DE CG (ESTATICO) (1)</v>
      </c>
      <c r="AC749" s="7" t="str">
        <f>Preencher!$B$3&amp;U749&amp;V749&amp;A749&amp;$AC$6</f>
        <v>JARINU-FRG980572MQ.TUNEL DE CG (ESTATICO) (2)</v>
      </c>
      <c r="AD749" s="327">
        <f>IFERROR(SUMIF('BD Otimix'!A:A,'BD VOLUME'!X749,'BD Otimix'!O:O)+SUMIF('BD Otimix'!A:A,'BD VOLUME'!Y749,'BD Otimix'!O:O)+SUMIF('BD Otimix'!A:A,'BD VOLUME'!Z749,'BD Otimix'!O:O)+SUMIF('BD Otimix'!A:A,'BD VOLUME'!AA749,'BD Otimix'!O:O)+SUMIF('BD Otimix'!A:A,'BD VOLUME'!AB749,'BD Otimix'!O:O)+SUMIF('BD Otimix'!A:A,'BD VOLUME'!AC749,'BD Otimix'!O:O)+SUMIF('BD Otimix'!A:A,'BD VOLUME'!W749,'BD Otimix'!O:O),0)</f>
        <v>0</v>
      </c>
      <c r="AE749" s="327">
        <f t="shared" si="237"/>
        <v>0</v>
      </c>
      <c r="AF749" s="7" t="str">
        <f>Preencher!$B$3&amp;$U$8&amp;$V$8&amp;A749&amp;$AF$6</f>
        <v>JARINU-FRG980572MQ.GIROFREEZER</v>
      </c>
      <c r="AG749" s="7" t="str">
        <f>Preencher!$B$3&amp;$U$8&amp;$V$8&amp;A749&amp;$AG$6</f>
        <v>JARINU-FRG980572MQ.GIROFREEZER (1)</v>
      </c>
      <c r="AH749" s="7" t="str">
        <f>Preencher!$B$3&amp;$U$8&amp;$V$8&amp;A749&amp;$AH$6</f>
        <v>JARINU-FRG980572MQ.GIROFREEZER (2)</v>
      </c>
      <c r="AI749" s="7" t="str">
        <f>Preencher!$B$3&amp;$U$8&amp;$V$8&amp;A749&amp;$AI$6</f>
        <v>JARINU-FRG980572MQ.GIROFREEZER REV04</v>
      </c>
      <c r="AJ749" s="7" t="str">
        <f>Preencher!$B$3&amp;$U$8&amp;$V$8&amp;A749&amp;$AJ$6</f>
        <v>JARINU-FRG980572MQ.GIROFREEZER (3)</v>
      </c>
      <c r="AK749" s="327">
        <f>IFERROR(SUMIF('BD Otimix'!A:A,'BD VOLUME'!AG749,'BD Otimix'!O:O)+SUMIF('BD Otimix'!A:A,'BD VOLUME'!AH749,'BD Otimix'!O:O)+SUMIF('BD Otimix'!A:A,'BD VOLUME'!AI749,'BD Otimix'!O:O)+SUMIF('BD Otimix'!A:A,'BD VOLUME'!AJ749,'BD Otimix'!O:O)+SUMIF('BD Otimix'!A:A,'BD VOLUME'!AF749,'BD Otimix'!O:O),0)</f>
        <v>0</v>
      </c>
      <c r="AL749" s="7">
        <f t="shared" si="238"/>
        <v>0</v>
      </c>
    </row>
    <row r="750" spans="1:38">
      <c r="A750" s="355">
        <v>962104</v>
      </c>
      <c r="B750" s="355"/>
      <c r="C750" s="5" t="s">
        <v>1417</v>
      </c>
      <c r="D750" s="5" t="s">
        <v>896</v>
      </c>
      <c r="E750" s="5" t="s">
        <v>1433</v>
      </c>
      <c r="F750" s="132">
        <f>SUMIF('COLAR PLANO'!$A:$A,A750,'COLAR PLANO'!$D:$D)</f>
        <v>0</v>
      </c>
      <c r="G750" s="131">
        <f t="shared" si="260"/>
        <v>0</v>
      </c>
      <c r="H750" s="6">
        <v>0.32</v>
      </c>
      <c r="I750" s="7">
        <f t="shared" si="261"/>
        <v>0</v>
      </c>
      <c r="J750" s="130">
        <f t="shared" si="262"/>
        <v>0</v>
      </c>
      <c r="K750" s="355">
        <v>25</v>
      </c>
      <c r="L750" s="355">
        <v>1</v>
      </c>
      <c r="M750" s="355">
        <v>25</v>
      </c>
      <c r="N750" s="7">
        <f t="shared" si="263"/>
        <v>0</v>
      </c>
      <c r="O750" s="7"/>
      <c r="P750" s="7"/>
      <c r="Q750" s="7"/>
      <c r="R750" s="7"/>
      <c r="S750" s="7">
        <f t="shared" si="264"/>
        <v>0</v>
      </c>
      <c r="T750" s="7"/>
      <c r="U750" s="7" t="s">
        <v>2288</v>
      </c>
      <c r="V750" s="7" t="s">
        <v>2289</v>
      </c>
      <c r="W750" s="7" t="str">
        <f>Preencher!$B$3&amp;U750&amp;V750&amp;A750&amp;$W$6</f>
        <v>JARINU-FRG962104MQ.TUNEL DE CG (CONTINUO)</v>
      </c>
      <c r="X750" s="7" t="str">
        <f>Preencher!$B$3&amp;U750&amp;V750&amp;A750&amp;$X$6</f>
        <v>JARINU-FRG962104MQ.TUNEL DE CG (CONTINUO) (1)</v>
      </c>
      <c r="Y750" s="7" t="str">
        <f>Preencher!$B$3&amp;U750&amp;V750&amp;A750&amp;$Y$6</f>
        <v>JARINU-FRG962104MQ.TUNEL DE CG (CONTINUO) (2)</v>
      </c>
      <c r="Z750" s="7" t="str">
        <f>Preencher!$B$3&amp;U750&amp;V750&amp;A750&amp;$Z$6</f>
        <v>JARINU-FRG962104MQ.TUNEL DE CG (CONTINUO) (3)</v>
      </c>
      <c r="AA750" s="7" t="str">
        <f>Preencher!$B$3&amp;U750&amp;V750&amp;A750&amp;$AA$6</f>
        <v>JARINU-FRG962104MQ.TUNEL DE CG (ESTATICO)</v>
      </c>
      <c r="AB750" s="7" t="str">
        <f>Preencher!$B$3&amp;U750&amp;V750&amp;A750&amp;$AB$6</f>
        <v>JARINU-FRG962104MQ.TUNEL DE CG (ESTATICO) (1)</v>
      </c>
      <c r="AC750" s="7" t="str">
        <f>Preencher!$B$3&amp;U750&amp;V750&amp;A750&amp;$AC$6</f>
        <v>JARINU-FRG962104MQ.TUNEL DE CG (ESTATICO) (2)</v>
      </c>
      <c r="AD750" s="327">
        <f>IFERROR(SUMIF('BD Otimix'!A:A,'BD VOLUME'!X750,'BD Otimix'!O:O)+SUMIF('BD Otimix'!A:A,'BD VOLUME'!Y750,'BD Otimix'!O:O)+SUMIF('BD Otimix'!A:A,'BD VOLUME'!Z750,'BD Otimix'!O:O)+SUMIF('BD Otimix'!A:A,'BD VOLUME'!AA750,'BD Otimix'!O:O)+SUMIF('BD Otimix'!A:A,'BD VOLUME'!AB750,'BD Otimix'!O:O)+SUMIF('BD Otimix'!A:A,'BD VOLUME'!AC750,'BD Otimix'!O:O)+SUMIF('BD Otimix'!A:A,'BD VOLUME'!W750,'BD Otimix'!O:O),0)</f>
        <v>0</v>
      </c>
      <c r="AE750" s="327">
        <f t="shared" si="237"/>
        <v>0</v>
      </c>
      <c r="AF750" s="7" t="str">
        <f>Preencher!$B$3&amp;$U$8&amp;$V$8&amp;A750&amp;$AF$6</f>
        <v>JARINU-FRG962104MQ.GIROFREEZER</v>
      </c>
      <c r="AG750" s="7" t="str">
        <f>Preencher!$B$3&amp;$U$8&amp;$V$8&amp;A750&amp;$AG$6</f>
        <v>JARINU-FRG962104MQ.GIROFREEZER (1)</v>
      </c>
      <c r="AH750" s="7" t="str">
        <f>Preencher!$B$3&amp;$U$8&amp;$V$8&amp;A750&amp;$AH$6</f>
        <v>JARINU-FRG962104MQ.GIROFREEZER (2)</v>
      </c>
      <c r="AI750" s="7" t="str">
        <f>Preencher!$B$3&amp;$U$8&amp;$V$8&amp;A750&amp;$AI$6</f>
        <v>JARINU-FRG962104MQ.GIROFREEZER REV04</v>
      </c>
      <c r="AJ750" s="7" t="str">
        <f>Preencher!$B$3&amp;$U$8&amp;$V$8&amp;A750&amp;$AJ$6</f>
        <v>JARINU-FRG962104MQ.GIROFREEZER (3)</v>
      </c>
      <c r="AK750" s="327">
        <f>IFERROR(SUMIF('BD Otimix'!A:A,'BD VOLUME'!AG750,'BD Otimix'!O:O)+SUMIF('BD Otimix'!A:A,'BD VOLUME'!AH750,'BD Otimix'!O:O)+SUMIF('BD Otimix'!A:A,'BD VOLUME'!AI750,'BD Otimix'!O:O)+SUMIF('BD Otimix'!A:A,'BD VOLUME'!AJ750,'BD Otimix'!O:O)+SUMIF('BD Otimix'!A:A,'BD VOLUME'!AF750,'BD Otimix'!O:O),0)</f>
        <v>0</v>
      </c>
      <c r="AL750" s="7">
        <f t="shared" si="238"/>
        <v>0</v>
      </c>
    </row>
    <row r="751" spans="1:38">
      <c r="A751" s="355">
        <v>683884</v>
      </c>
      <c r="B751" s="355"/>
      <c r="C751" s="5" t="s">
        <v>1435</v>
      </c>
      <c r="D751" s="5" t="s">
        <v>896</v>
      </c>
      <c r="E751" s="5" t="s">
        <v>1433</v>
      </c>
      <c r="F751" s="132">
        <f>SUMIF('COLAR PLANO'!$A:$A,A751,'COLAR PLANO'!$D:$D)</f>
        <v>0</v>
      </c>
      <c r="G751" s="131">
        <f t="shared" si="260"/>
        <v>0</v>
      </c>
      <c r="H751" s="6">
        <v>0.32</v>
      </c>
      <c r="I751" s="7">
        <f t="shared" si="261"/>
        <v>0</v>
      </c>
      <c r="J751" s="130">
        <f t="shared" si="262"/>
        <v>0</v>
      </c>
      <c r="K751" s="355">
        <v>15</v>
      </c>
      <c r="L751" s="355">
        <v>1</v>
      </c>
      <c r="M751" s="355">
        <v>15</v>
      </c>
      <c r="N751" s="7">
        <f t="shared" si="263"/>
        <v>0</v>
      </c>
      <c r="O751" s="7"/>
      <c r="P751" s="7"/>
      <c r="Q751" s="7"/>
      <c r="R751" s="7"/>
      <c r="S751" s="7">
        <f t="shared" si="264"/>
        <v>0</v>
      </c>
      <c r="T751" s="7"/>
      <c r="U751" s="7" t="s">
        <v>2288</v>
      </c>
      <c r="V751" s="7" t="s">
        <v>2289</v>
      </c>
      <c r="W751" s="7" t="str">
        <f>Preencher!$B$3&amp;U751&amp;V751&amp;A751&amp;$W$6</f>
        <v>JARINU-FRG683884MQ.TUNEL DE CG (CONTINUO)</v>
      </c>
      <c r="X751" s="7" t="str">
        <f>Preencher!$B$3&amp;U751&amp;V751&amp;A751&amp;$X$6</f>
        <v>JARINU-FRG683884MQ.TUNEL DE CG (CONTINUO) (1)</v>
      </c>
      <c r="Y751" s="7" t="str">
        <f>Preencher!$B$3&amp;U751&amp;V751&amp;A751&amp;$Y$6</f>
        <v>JARINU-FRG683884MQ.TUNEL DE CG (CONTINUO) (2)</v>
      </c>
      <c r="Z751" s="7" t="str">
        <f>Preencher!$B$3&amp;U751&amp;V751&amp;A751&amp;$Z$6</f>
        <v>JARINU-FRG683884MQ.TUNEL DE CG (CONTINUO) (3)</v>
      </c>
      <c r="AA751" s="7" t="str">
        <f>Preencher!$B$3&amp;U751&amp;V751&amp;A751&amp;$AA$6</f>
        <v>JARINU-FRG683884MQ.TUNEL DE CG (ESTATICO)</v>
      </c>
      <c r="AB751" s="7" t="str">
        <f>Preencher!$B$3&amp;U751&amp;V751&amp;A751&amp;$AB$6</f>
        <v>JARINU-FRG683884MQ.TUNEL DE CG (ESTATICO) (1)</v>
      </c>
      <c r="AC751" s="7" t="str">
        <f>Preencher!$B$3&amp;U751&amp;V751&amp;A751&amp;$AC$6</f>
        <v>JARINU-FRG683884MQ.TUNEL DE CG (ESTATICO) (2)</v>
      </c>
      <c r="AD751" s="327">
        <f>IFERROR(SUMIF('BD Otimix'!A:A,'BD VOLUME'!X751,'BD Otimix'!O:O)+SUMIF('BD Otimix'!A:A,'BD VOLUME'!Y751,'BD Otimix'!O:O)+SUMIF('BD Otimix'!A:A,'BD VOLUME'!Z751,'BD Otimix'!O:O)+SUMIF('BD Otimix'!A:A,'BD VOLUME'!AA751,'BD Otimix'!O:O)+SUMIF('BD Otimix'!A:A,'BD VOLUME'!AB751,'BD Otimix'!O:O)+SUMIF('BD Otimix'!A:A,'BD VOLUME'!AC751,'BD Otimix'!O:O)+SUMIF('BD Otimix'!A:A,'BD VOLUME'!W751,'BD Otimix'!O:O),0)</f>
        <v>0</v>
      </c>
      <c r="AE751" s="327">
        <f t="shared" si="237"/>
        <v>0</v>
      </c>
      <c r="AF751" s="7" t="str">
        <f>Preencher!$B$3&amp;$U$8&amp;$V$8&amp;A751&amp;$AF$6</f>
        <v>JARINU-FRG683884MQ.GIROFREEZER</v>
      </c>
      <c r="AG751" s="7" t="str">
        <f>Preencher!$B$3&amp;$U$8&amp;$V$8&amp;A751&amp;$AG$6</f>
        <v>JARINU-FRG683884MQ.GIROFREEZER (1)</v>
      </c>
      <c r="AH751" s="7" t="str">
        <f>Preencher!$B$3&amp;$U$8&amp;$V$8&amp;A751&amp;$AH$6</f>
        <v>JARINU-FRG683884MQ.GIROFREEZER (2)</v>
      </c>
      <c r="AI751" s="7" t="str">
        <f>Preencher!$B$3&amp;$U$8&amp;$V$8&amp;A751&amp;$AI$6</f>
        <v>JARINU-FRG683884MQ.GIROFREEZER REV04</v>
      </c>
      <c r="AJ751" s="7" t="str">
        <f>Preencher!$B$3&amp;$U$8&amp;$V$8&amp;A751&amp;$AJ$6</f>
        <v>JARINU-FRG683884MQ.GIROFREEZER (3)</v>
      </c>
      <c r="AK751" s="327">
        <f>IFERROR(SUMIF('BD Otimix'!A:A,'BD VOLUME'!AG751,'BD Otimix'!O:O)+SUMIF('BD Otimix'!A:A,'BD VOLUME'!AH751,'BD Otimix'!O:O)+SUMIF('BD Otimix'!A:A,'BD VOLUME'!AI751,'BD Otimix'!O:O)+SUMIF('BD Otimix'!A:A,'BD VOLUME'!AJ751,'BD Otimix'!O:O)+SUMIF('BD Otimix'!A:A,'BD VOLUME'!AF751,'BD Otimix'!O:O),0)</f>
        <v>0</v>
      </c>
      <c r="AL751" s="7">
        <f t="shared" si="238"/>
        <v>0</v>
      </c>
    </row>
    <row r="752" spans="1:38">
      <c r="A752" s="355">
        <v>927341</v>
      </c>
      <c r="B752" s="355" t="s">
        <v>1430</v>
      </c>
      <c r="C752" s="5" t="s">
        <v>1431</v>
      </c>
      <c r="D752" s="5" t="s">
        <v>896</v>
      </c>
      <c r="E752" s="5" t="s">
        <v>1432</v>
      </c>
      <c r="F752" s="132">
        <f>SUMIF('COLAR PLANO'!$A:$A,A752,'COLAR PLANO'!$D:$D)</f>
        <v>0</v>
      </c>
      <c r="G752" s="131">
        <f t="shared" si="260"/>
        <v>0</v>
      </c>
      <c r="H752" s="6">
        <v>0.32</v>
      </c>
      <c r="I752" s="7">
        <f t="shared" si="261"/>
        <v>0</v>
      </c>
      <c r="J752" s="130">
        <f t="shared" si="262"/>
        <v>0</v>
      </c>
      <c r="K752" s="355">
        <v>5</v>
      </c>
      <c r="L752" s="355">
        <v>3</v>
      </c>
      <c r="M752" s="355">
        <v>15</v>
      </c>
      <c r="N752" s="7">
        <f t="shared" si="263"/>
        <v>0</v>
      </c>
      <c r="O752" s="7"/>
      <c r="P752" s="7"/>
      <c r="Q752" s="7"/>
      <c r="R752" s="7"/>
      <c r="S752" s="7">
        <f t="shared" si="264"/>
        <v>0</v>
      </c>
      <c r="T752" s="7"/>
      <c r="U752" s="7" t="s">
        <v>2288</v>
      </c>
      <c r="V752" s="7" t="s">
        <v>2289</v>
      </c>
      <c r="W752" s="7" t="str">
        <f>Preencher!$B$3&amp;U752&amp;V752&amp;A752&amp;$W$6</f>
        <v>JARINU-FRG927341MQ.TUNEL DE CG (CONTINUO)</v>
      </c>
      <c r="X752" s="7" t="str">
        <f>Preencher!$B$3&amp;U752&amp;V752&amp;A752&amp;$X$6</f>
        <v>JARINU-FRG927341MQ.TUNEL DE CG (CONTINUO) (1)</v>
      </c>
      <c r="Y752" s="7" t="str">
        <f>Preencher!$B$3&amp;U752&amp;V752&amp;A752&amp;$Y$6</f>
        <v>JARINU-FRG927341MQ.TUNEL DE CG (CONTINUO) (2)</v>
      </c>
      <c r="Z752" s="7" t="str">
        <f>Preencher!$B$3&amp;U752&amp;V752&amp;A752&amp;$Z$6</f>
        <v>JARINU-FRG927341MQ.TUNEL DE CG (CONTINUO) (3)</v>
      </c>
      <c r="AA752" s="7" t="str">
        <f>Preencher!$B$3&amp;U752&amp;V752&amp;A752&amp;$AA$6</f>
        <v>JARINU-FRG927341MQ.TUNEL DE CG (ESTATICO)</v>
      </c>
      <c r="AB752" s="7" t="str">
        <f>Preencher!$B$3&amp;U752&amp;V752&amp;A752&amp;$AB$6</f>
        <v>JARINU-FRG927341MQ.TUNEL DE CG (ESTATICO) (1)</v>
      </c>
      <c r="AC752" s="7" t="str">
        <f>Preencher!$B$3&amp;U752&amp;V752&amp;A752&amp;$AC$6</f>
        <v>JARINU-FRG927341MQ.TUNEL DE CG (ESTATICO) (2)</v>
      </c>
      <c r="AD752" s="327">
        <f>IFERROR(SUMIF('BD Otimix'!A:A,'BD VOLUME'!X752,'BD Otimix'!O:O)+SUMIF('BD Otimix'!A:A,'BD VOLUME'!Y752,'BD Otimix'!O:O)+SUMIF('BD Otimix'!A:A,'BD VOLUME'!Z752,'BD Otimix'!O:O)+SUMIF('BD Otimix'!A:A,'BD VOLUME'!AA752,'BD Otimix'!O:O)+SUMIF('BD Otimix'!A:A,'BD VOLUME'!AB752,'BD Otimix'!O:O)+SUMIF('BD Otimix'!A:A,'BD VOLUME'!AC752,'BD Otimix'!O:O)+SUMIF('BD Otimix'!A:A,'BD VOLUME'!W752,'BD Otimix'!O:O),0)</f>
        <v>0</v>
      </c>
      <c r="AE752" s="327">
        <f t="shared" si="237"/>
        <v>0</v>
      </c>
      <c r="AF752" s="7" t="str">
        <f>Preencher!$B$3&amp;$U$8&amp;$V$8&amp;A752&amp;$AF$6</f>
        <v>JARINU-FRG927341MQ.GIROFREEZER</v>
      </c>
      <c r="AG752" s="7" t="str">
        <f>Preencher!$B$3&amp;$U$8&amp;$V$8&amp;A752&amp;$AG$6</f>
        <v>JARINU-FRG927341MQ.GIROFREEZER (1)</v>
      </c>
      <c r="AH752" s="7" t="str">
        <f>Preencher!$B$3&amp;$U$8&amp;$V$8&amp;A752&amp;$AH$6</f>
        <v>JARINU-FRG927341MQ.GIROFREEZER (2)</v>
      </c>
      <c r="AI752" s="7" t="str">
        <f>Preencher!$B$3&amp;$U$8&amp;$V$8&amp;A752&amp;$AI$6</f>
        <v>JARINU-FRG927341MQ.GIROFREEZER REV04</v>
      </c>
      <c r="AJ752" s="7" t="str">
        <f>Preencher!$B$3&amp;$U$8&amp;$V$8&amp;A752&amp;$AJ$6</f>
        <v>JARINU-FRG927341MQ.GIROFREEZER (3)</v>
      </c>
      <c r="AK752" s="327">
        <f>IFERROR(SUMIF('BD Otimix'!A:A,'BD VOLUME'!AG752,'BD Otimix'!O:O)+SUMIF('BD Otimix'!A:A,'BD VOLUME'!AH752,'BD Otimix'!O:O)+SUMIF('BD Otimix'!A:A,'BD VOLUME'!AI752,'BD Otimix'!O:O)+SUMIF('BD Otimix'!A:A,'BD VOLUME'!AJ752,'BD Otimix'!O:O)+SUMIF('BD Otimix'!A:A,'BD VOLUME'!AF752,'BD Otimix'!O:O),0)</f>
        <v>0</v>
      </c>
      <c r="AL752" s="7">
        <f t="shared" si="238"/>
        <v>0</v>
      </c>
    </row>
    <row r="753" spans="1:38">
      <c r="A753" s="355">
        <v>40337</v>
      </c>
      <c r="B753" s="355" t="s">
        <v>1022</v>
      </c>
      <c r="C753" s="5" t="s">
        <v>1414</v>
      </c>
      <c r="D753" s="5" t="s">
        <v>896</v>
      </c>
      <c r="E753" s="5" t="s">
        <v>1420</v>
      </c>
      <c r="F753" s="132">
        <f>SUMIF('COLAR PLANO'!$A:$A,A753,'COLAR PLANO'!$D:$D)</f>
        <v>0</v>
      </c>
      <c r="G753" s="131">
        <f t="shared" si="260"/>
        <v>0</v>
      </c>
      <c r="H753" s="6">
        <v>0.32</v>
      </c>
      <c r="I753" s="7">
        <f t="shared" si="261"/>
        <v>0</v>
      </c>
      <c r="J753" s="130">
        <f t="shared" si="262"/>
        <v>0</v>
      </c>
      <c r="K753" s="355">
        <v>0.8</v>
      </c>
      <c r="L753" s="355">
        <v>22.5</v>
      </c>
      <c r="M753" s="355">
        <v>18</v>
      </c>
      <c r="N753" s="7">
        <f t="shared" si="263"/>
        <v>0</v>
      </c>
      <c r="O753" s="7"/>
      <c r="P753" s="7"/>
      <c r="Q753" s="7"/>
      <c r="R753" s="7"/>
      <c r="S753" s="7">
        <f t="shared" si="264"/>
        <v>0</v>
      </c>
      <c r="T753" s="7"/>
      <c r="U753" s="7" t="s">
        <v>2288</v>
      </c>
      <c r="V753" s="7" t="s">
        <v>2289</v>
      </c>
      <c r="W753" s="7" t="str">
        <f>Preencher!$B$3&amp;U753&amp;V753&amp;A753&amp;$W$6</f>
        <v>JARINU-FRG40337MQ.TUNEL DE CG (CONTINUO)</v>
      </c>
      <c r="X753" s="7" t="str">
        <f>Preencher!$B$3&amp;U753&amp;V753&amp;A753&amp;$X$6</f>
        <v>JARINU-FRG40337MQ.TUNEL DE CG (CONTINUO) (1)</v>
      </c>
      <c r="Y753" s="7" t="str">
        <f>Preencher!$B$3&amp;U753&amp;V753&amp;A753&amp;$Y$6</f>
        <v>JARINU-FRG40337MQ.TUNEL DE CG (CONTINUO) (2)</v>
      </c>
      <c r="Z753" s="7" t="str">
        <f>Preencher!$B$3&amp;U753&amp;V753&amp;A753&amp;$Z$6</f>
        <v>JARINU-FRG40337MQ.TUNEL DE CG (CONTINUO) (3)</v>
      </c>
      <c r="AA753" s="7" t="str">
        <f>Preencher!$B$3&amp;U753&amp;V753&amp;A753&amp;$AA$6</f>
        <v>JARINU-FRG40337MQ.TUNEL DE CG (ESTATICO)</v>
      </c>
      <c r="AB753" s="7" t="str">
        <f>Preencher!$B$3&amp;U753&amp;V753&amp;A753&amp;$AB$6</f>
        <v>JARINU-FRG40337MQ.TUNEL DE CG (ESTATICO) (1)</v>
      </c>
      <c r="AC753" s="7" t="str">
        <f>Preencher!$B$3&amp;U753&amp;V753&amp;A753&amp;$AC$6</f>
        <v>JARINU-FRG40337MQ.TUNEL DE CG (ESTATICO) (2)</v>
      </c>
      <c r="AD753" s="327">
        <f>IFERROR(SUMIF('BD Otimix'!A:A,'BD VOLUME'!X753,'BD Otimix'!O:O)+SUMIF('BD Otimix'!A:A,'BD VOLUME'!Y753,'BD Otimix'!O:O)+SUMIF('BD Otimix'!A:A,'BD VOLUME'!Z753,'BD Otimix'!O:O)+SUMIF('BD Otimix'!A:A,'BD VOLUME'!AA753,'BD Otimix'!O:O)+SUMIF('BD Otimix'!A:A,'BD VOLUME'!AB753,'BD Otimix'!O:O)+SUMIF('BD Otimix'!A:A,'BD VOLUME'!AC753,'BD Otimix'!O:O)+SUMIF('BD Otimix'!A:A,'BD VOLUME'!W753,'BD Otimix'!O:O),0)</f>
        <v>0</v>
      </c>
      <c r="AE753" s="327">
        <f t="shared" si="237"/>
        <v>0</v>
      </c>
      <c r="AF753" s="7" t="str">
        <f>Preencher!$B$3&amp;$U$8&amp;$V$8&amp;A753&amp;$AF$6</f>
        <v>JARINU-FRG40337MQ.GIROFREEZER</v>
      </c>
      <c r="AG753" s="7" t="str">
        <f>Preencher!$B$3&amp;$U$8&amp;$V$8&amp;A753&amp;$AG$6</f>
        <v>JARINU-FRG40337MQ.GIROFREEZER (1)</v>
      </c>
      <c r="AH753" s="7" t="str">
        <f>Preencher!$B$3&amp;$U$8&amp;$V$8&amp;A753&amp;$AH$6</f>
        <v>JARINU-FRG40337MQ.GIROFREEZER (2)</v>
      </c>
      <c r="AI753" s="7" t="str">
        <f>Preencher!$B$3&amp;$U$8&amp;$V$8&amp;A753&amp;$AI$6</f>
        <v>JARINU-FRG40337MQ.GIROFREEZER REV04</v>
      </c>
      <c r="AJ753" s="7" t="str">
        <f>Preencher!$B$3&amp;$U$8&amp;$V$8&amp;A753&amp;$AJ$6</f>
        <v>JARINU-FRG40337MQ.GIROFREEZER (3)</v>
      </c>
      <c r="AK753" s="327">
        <f>IFERROR(SUMIF('BD Otimix'!A:A,'BD VOLUME'!AG753,'BD Otimix'!O:O)+SUMIF('BD Otimix'!A:A,'BD VOLUME'!AH753,'BD Otimix'!O:O)+SUMIF('BD Otimix'!A:A,'BD VOLUME'!AI753,'BD Otimix'!O:O)+SUMIF('BD Otimix'!A:A,'BD VOLUME'!AJ753,'BD Otimix'!O:O)+SUMIF('BD Otimix'!A:A,'BD VOLUME'!AF753,'BD Otimix'!O:O),0)</f>
        <v>0</v>
      </c>
      <c r="AL753" s="7">
        <f t="shared" si="238"/>
        <v>0</v>
      </c>
    </row>
    <row r="754" spans="1:38">
      <c r="A754" s="355">
        <v>962210</v>
      </c>
      <c r="B754" s="355"/>
      <c r="C754" s="5" t="s">
        <v>1423</v>
      </c>
      <c r="D754" s="5" t="s">
        <v>896</v>
      </c>
      <c r="E754" s="5" t="s">
        <v>1420</v>
      </c>
      <c r="F754" s="132">
        <f>SUMIF('COLAR PLANO'!$A:$A,A754,'COLAR PLANO'!$D:$D)</f>
        <v>0</v>
      </c>
      <c r="G754" s="131">
        <f t="shared" si="260"/>
        <v>0</v>
      </c>
      <c r="H754" s="6">
        <v>0.32</v>
      </c>
      <c r="I754" s="7">
        <f t="shared" si="261"/>
        <v>0</v>
      </c>
      <c r="J754" s="130">
        <f t="shared" si="262"/>
        <v>0</v>
      </c>
      <c r="K754" s="355">
        <v>0.8</v>
      </c>
      <c r="L754" s="355">
        <v>22.5</v>
      </c>
      <c r="M754" s="355">
        <v>18</v>
      </c>
      <c r="N754" s="7">
        <f t="shared" si="263"/>
        <v>0</v>
      </c>
      <c r="O754" s="7"/>
      <c r="P754" s="7"/>
      <c r="Q754" s="7"/>
      <c r="R754" s="7"/>
      <c r="S754" s="7">
        <f t="shared" si="264"/>
        <v>0</v>
      </c>
      <c r="T754" s="7"/>
      <c r="U754" s="7" t="s">
        <v>2288</v>
      </c>
      <c r="V754" s="7" t="s">
        <v>2289</v>
      </c>
      <c r="W754" s="7" t="str">
        <f>Preencher!$B$3&amp;U754&amp;V754&amp;A754&amp;$W$6</f>
        <v>JARINU-FRG962210MQ.TUNEL DE CG (CONTINUO)</v>
      </c>
      <c r="X754" s="7" t="str">
        <f>Preencher!$B$3&amp;U754&amp;V754&amp;A754&amp;$X$6</f>
        <v>JARINU-FRG962210MQ.TUNEL DE CG (CONTINUO) (1)</v>
      </c>
      <c r="Y754" s="7" t="str">
        <f>Preencher!$B$3&amp;U754&amp;V754&amp;A754&amp;$Y$6</f>
        <v>JARINU-FRG962210MQ.TUNEL DE CG (CONTINUO) (2)</v>
      </c>
      <c r="Z754" s="7" t="str">
        <f>Preencher!$B$3&amp;U754&amp;V754&amp;A754&amp;$Z$6</f>
        <v>JARINU-FRG962210MQ.TUNEL DE CG (CONTINUO) (3)</v>
      </c>
      <c r="AA754" s="7" t="str">
        <f>Preencher!$B$3&amp;U754&amp;V754&amp;A754&amp;$AA$6</f>
        <v>JARINU-FRG962210MQ.TUNEL DE CG (ESTATICO)</v>
      </c>
      <c r="AB754" s="7" t="str">
        <f>Preencher!$B$3&amp;U754&amp;V754&amp;A754&amp;$AB$6</f>
        <v>JARINU-FRG962210MQ.TUNEL DE CG (ESTATICO) (1)</v>
      </c>
      <c r="AC754" s="7" t="str">
        <f>Preencher!$B$3&amp;U754&amp;V754&amp;A754&amp;$AC$6</f>
        <v>JARINU-FRG962210MQ.TUNEL DE CG (ESTATICO) (2)</v>
      </c>
      <c r="AD754" s="327">
        <f>IFERROR(SUMIF('BD Otimix'!A:A,'BD VOLUME'!X754,'BD Otimix'!O:O)+SUMIF('BD Otimix'!A:A,'BD VOLUME'!Y754,'BD Otimix'!O:O)+SUMIF('BD Otimix'!A:A,'BD VOLUME'!Z754,'BD Otimix'!O:O)+SUMIF('BD Otimix'!A:A,'BD VOLUME'!AA754,'BD Otimix'!O:O)+SUMIF('BD Otimix'!A:A,'BD VOLUME'!AB754,'BD Otimix'!O:O)+SUMIF('BD Otimix'!A:A,'BD VOLUME'!AC754,'BD Otimix'!O:O)+SUMIF('BD Otimix'!A:A,'BD VOLUME'!W754,'BD Otimix'!O:O),0)</f>
        <v>0</v>
      </c>
      <c r="AE754" s="327">
        <f t="shared" si="237"/>
        <v>0</v>
      </c>
      <c r="AF754" s="7" t="str">
        <f>Preencher!$B$3&amp;$U$8&amp;$V$8&amp;A754&amp;$AF$6</f>
        <v>JARINU-FRG962210MQ.GIROFREEZER</v>
      </c>
      <c r="AG754" s="7" t="str">
        <f>Preencher!$B$3&amp;$U$8&amp;$V$8&amp;A754&amp;$AG$6</f>
        <v>JARINU-FRG962210MQ.GIROFREEZER (1)</v>
      </c>
      <c r="AH754" s="7" t="str">
        <f>Preencher!$B$3&amp;$U$8&amp;$V$8&amp;A754&amp;$AH$6</f>
        <v>JARINU-FRG962210MQ.GIROFREEZER (2)</v>
      </c>
      <c r="AI754" s="7" t="str">
        <f>Preencher!$B$3&amp;$U$8&amp;$V$8&amp;A754&amp;$AI$6</f>
        <v>JARINU-FRG962210MQ.GIROFREEZER REV04</v>
      </c>
      <c r="AJ754" s="7" t="str">
        <f>Preencher!$B$3&amp;$U$8&amp;$V$8&amp;A754&amp;$AJ$6</f>
        <v>JARINU-FRG962210MQ.GIROFREEZER (3)</v>
      </c>
      <c r="AK754" s="327">
        <f>IFERROR(SUMIF('BD Otimix'!A:A,'BD VOLUME'!AG754,'BD Otimix'!O:O)+SUMIF('BD Otimix'!A:A,'BD VOLUME'!AH754,'BD Otimix'!O:O)+SUMIF('BD Otimix'!A:A,'BD VOLUME'!AI754,'BD Otimix'!O:O)+SUMIF('BD Otimix'!A:A,'BD VOLUME'!AJ754,'BD Otimix'!O:O)+SUMIF('BD Otimix'!A:A,'BD VOLUME'!AF754,'BD Otimix'!O:O),0)</f>
        <v>0</v>
      </c>
      <c r="AL754" s="7">
        <f t="shared" si="238"/>
        <v>0</v>
      </c>
    </row>
    <row r="755" spans="1:38">
      <c r="A755" s="355">
        <v>40456</v>
      </c>
      <c r="B755" s="355"/>
      <c r="C755" s="5" t="s">
        <v>1415</v>
      </c>
      <c r="D755" s="5" t="s">
        <v>896</v>
      </c>
      <c r="E755" s="5" t="s">
        <v>1421</v>
      </c>
      <c r="F755" s="132">
        <f>SUMIF('COLAR PLANO'!$A:$A,A755,'COLAR PLANO'!$D:$D)</f>
        <v>0</v>
      </c>
      <c r="G755" s="131">
        <f t="shared" si="260"/>
        <v>0</v>
      </c>
      <c r="H755" s="6">
        <v>0.32</v>
      </c>
      <c r="I755" s="7">
        <f t="shared" si="261"/>
        <v>0</v>
      </c>
      <c r="J755" s="130">
        <f t="shared" si="262"/>
        <v>0</v>
      </c>
      <c r="K755" s="355">
        <v>0.8</v>
      </c>
      <c r="L755" s="355">
        <v>22.5</v>
      </c>
      <c r="M755" s="355">
        <v>18</v>
      </c>
      <c r="N755" s="7">
        <f t="shared" si="263"/>
        <v>0</v>
      </c>
      <c r="O755" s="7"/>
      <c r="P755" s="7">
        <f>IFERROR(G755/M755,0)</f>
        <v>0</v>
      </c>
      <c r="Q755" s="7"/>
      <c r="R755" s="7"/>
      <c r="S755" s="7"/>
      <c r="T755" s="7"/>
      <c r="U755" s="7" t="s">
        <v>2288</v>
      </c>
      <c r="V755" s="7" t="s">
        <v>2289</v>
      </c>
      <c r="W755" s="7" t="str">
        <f>Preencher!$B$3&amp;U755&amp;V755&amp;A755&amp;$W$6</f>
        <v>JARINU-FRG40456MQ.TUNEL DE CG (CONTINUO)</v>
      </c>
      <c r="X755" s="7" t="str">
        <f>Preencher!$B$3&amp;U755&amp;V755&amp;A755&amp;$X$6</f>
        <v>JARINU-FRG40456MQ.TUNEL DE CG (CONTINUO) (1)</v>
      </c>
      <c r="Y755" s="7" t="str">
        <f>Preencher!$B$3&amp;U755&amp;V755&amp;A755&amp;$Y$6</f>
        <v>JARINU-FRG40456MQ.TUNEL DE CG (CONTINUO) (2)</v>
      </c>
      <c r="Z755" s="7" t="str">
        <f>Preencher!$B$3&amp;U755&amp;V755&amp;A755&amp;$Z$6</f>
        <v>JARINU-FRG40456MQ.TUNEL DE CG (CONTINUO) (3)</v>
      </c>
      <c r="AA755" s="7" t="str">
        <f>Preencher!$B$3&amp;U755&amp;V755&amp;A755&amp;$AA$6</f>
        <v>JARINU-FRG40456MQ.TUNEL DE CG (ESTATICO)</v>
      </c>
      <c r="AB755" s="7" t="str">
        <f>Preencher!$B$3&amp;U755&amp;V755&amp;A755&amp;$AB$6</f>
        <v>JARINU-FRG40456MQ.TUNEL DE CG (ESTATICO) (1)</v>
      </c>
      <c r="AC755" s="7" t="str">
        <f>Preencher!$B$3&amp;U755&amp;V755&amp;A755&amp;$AC$6</f>
        <v>JARINU-FRG40456MQ.TUNEL DE CG (ESTATICO) (2)</v>
      </c>
      <c r="AD755" s="327">
        <f>IFERROR(SUMIF('BD Otimix'!A:A,'BD VOLUME'!X755,'BD Otimix'!O:O)+SUMIF('BD Otimix'!A:A,'BD VOLUME'!Y755,'BD Otimix'!O:O)+SUMIF('BD Otimix'!A:A,'BD VOLUME'!Z755,'BD Otimix'!O:O)+SUMIF('BD Otimix'!A:A,'BD VOLUME'!AA755,'BD Otimix'!O:O)+SUMIF('BD Otimix'!A:A,'BD VOLUME'!AB755,'BD Otimix'!O:O)+SUMIF('BD Otimix'!A:A,'BD VOLUME'!AC755,'BD Otimix'!O:O)+SUMIF('BD Otimix'!A:A,'BD VOLUME'!W755,'BD Otimix'!O:O),0)</f>
        <v>0</v>
      </c>
      <c r="AE755" s="327">
        <f t="shared" si="237"/>
        <v>0</v>
      </c>
      <c r="AF755" s="7" t="str">
        <f>Preencher!$B$3&amp;$U$8&amp;$V$8&amp;A755&amp;$AF$6</f>
        <v>JARINU-FRG40456MQ.GIROFREEZER</v>
      </c>
      <c r="AG755" s="7" t="str">
        <f>Preencher!$B$3&amp;$U$8&amp;$V$8&amp;A755&amp;$AG$6</f>
        <v>JARINU-FRG40456MQ.GIROFREEZER (1)</v>
      </c>
      <c r="AH755" s="7" t="str">
        <f>Preencher!$B$3&amp;$U$8&amp;$V$8&amp;A755&amp;$AH$6</f>
        <v>JARINU-FRG40456MQ.GIROFREEZER (2)</v>
      </c>
      <c r="AI755" s="7" t="str">
        <f>Preencher!$B$3&amp;$U$8&amp;$V$8&amp;A755&amp;$AI$6</f>
        <v>JARINU-FRG40456MQ.GIROFREEZER REV04</v>
      </c>
      <c r="AJ755" s="7" t="str">
        <f>Preencher!$B$3&amp;$U$8&amp;$V$8&amp;A755&amp;$AJ$6</f>
        <v>JARINU-FRG40456MQ.GIROFREEZER (3)</v>
      </c>
      <c r="AK755" s="327">
        <f>IFERROR(SUMIF('BD Otimix'!A:A,'BD VOLUME'!AG755,'BD Otimix'!O:O)+SUMIF('BD Otimix'!A:A,'BD VOLUME'!AH755,'BD Otimix'!O:O)+SUMIF('BD Otimix'!A:A,'BD VOLUME'!AI755,'BD Otimix'!O:O)+SUMIF('BD Otimix'!A:A,'BD VOLUME'!AJ755,'BD Otimix'!O:O)+SUMIF('BD Otimix'!A:A,'BD VOLUME'!AF755,'BD Otimix'!O:O),0)</f>
        <v>0</v>
      </c>
      <c r="AL755" s="7">
        <f t="shared" si="238"/>
        <v>0</v>
      </c>
    </row>
    <row r="756" spans="1:38">
      <c r="A756" s="685">
        <v>124359</v>
      </c>
      <c r="B756" s="685"/>
      <c r="C756" s="5" t="s">
        <v>2520</v>
      </c>
      <c r="D756" s="5" t="s">
        <v>896</v>
      </c>
      <c r="E756" s="5" t="s">
        <v>2558</v>
      </c>
      <c r="F756" s="132">
        <f>SUMIF('COLAR PLANO'!$A:$A,A756,'COLAR PLANO'!$D:$D)</f>
        <v>0</v>
      </c>
      <c r="G756" s="131">
        <f t="shared" si="260"/>
        <v>0</v>
      </c>
      <c r="H756" s="6">
        <v>0.32</v>
      </c>
      <c r="I756" s="7">
        <f t="shared" si="261"/>
        <v>0</v>
      </c>
      <c r="J756" s="130">
        <f t="shared" si="262"/>
        <v>0</v>
      </c>
      <c r="K756" s="685">
        <v>1</v>
      </c>
      <c r="L756" s="685">
        <v>12</v>
      </c>
      <c r="M756" s="685">
        <v>12</v>
      </c>
      <c r="N756" s="7">
        <f t="shared" si="263"/>
        <v>0</v>
      </c>
      <c r="O756" s="7">
        <f>IFERROR(G756/M756,0)</f>
        <v>0</v>
      </c>
      <c r="P756" s="7"/>
      <c r="Q756" s="7"/>
      <c r="R756" s="7"/>
      <c r="S756" s="7"/>
      <c r="T756" s="7"/>
      <c r="U756" s="7" t="s">
        <v>2288</v>
      </c>
      <c r="V756" s="7" t="s">
        <v>2289</v>
      </c>
      <c r="W756" s="7" t="str">
        <f>Preencher!$B$3&amp;U756&amp;V756&amp;A756&amp;$W$6</f>
        <v>JARINU-FRG124359MQ.TUNEL DE CG (CONTINUO)</v>
      </c>
      <c r="X756" s="7" t="str">
        <f>Preencher!$B$3&amp;U756&amp;V756&amp;A756&amp;$X$6</f>
        <v>JARINU-FRG124359MQ.TUNEL DE CG (CONTINUO) (1)</v>
      </c>
      <c r="Y756" s="7" t="str">
        <f>Preencher!$B$3&amp;U756&amp;V756&amp;A756&amp;$Y$6</f>
        <v>JARINU-FRG124359MQ.TUNEL DE CG (CONTINUO) (2)</v>
      </c>
      <c r="Z756" s="7" t="str">
        <f>Preencher!$B$3&amp;U756&amp;V756&amp;A756&amp;$Z$6</f>
        <v>JARINU-FRG124359MQ.TUNEL DE CG (CONTINUO) (3)</v>
      </c>
      <c r="AA756" s="7" t="str">
        <f>Preencher!$B$3&amp;U756&amp;V756&amp;A756&amp;$AA$6</f>
        <v>JARINU-FRG124359MQ.TUNEL DE CG (ESTATICO)</v>
      </c>
      <c r="AB756" s="7" t="str">
        <f>Preencher!$B$3&amp;U756&amp;V756&amp;A756&amp;$AB$6</f>
        <v>JARINU-FRG124359MQ.TUNEL DE CG (ESTATICO) (1)</v>
      </c>
      <c r="AC756" s="7" t="str">
        <f>Preencher!$B$3&amp;U756&amp;V756&amp;A756&amp;$AC$6</f>
        <v>JARINU-FRG124359MQ.TUNEL DE CG (ESTATICO) (2)</v>
      </c>
      <c r="AD756" s="327">
        <f>IFERROR(SUMIF('BD Otimix'!A:A,'BD VOLUME'!X756,'BD Otimix'!O:O)+SUMIF('BD Otimix'!A:A,'BD VOLUME'!Y756,'BD Otimix'!O:O)+SUMIF('BD Otimix'!A:A,'BD VOLUME'!Z756,'BD Otimix'!O:O)+SUMIF('BD Otimix'!A:A,'BD VOLUME'!AA756,'BD Otimix'!O:O)+SUMIF('BD Otimix'!A:A,'BD VOLUME'!AB756,'BD Otimix'!O:O)+SUMIF('BD Otimix'!A:A,'BD VOLUME'!AC756,'BD Otimix'!O:O)+SUMIF('BD Otimix'!A:A,'BD VOLUME'!W756,'BD Otimix'!O:O),0)</f>
        <v>0</v>
      </c>
      <c r="AE756" s="327">
        <f>IFERROR(F756/$E$3/1000/AD756,0)</f>
        <v>0</v>
      </c>
      <c r="AF756" s="7" t="str">
        <f>Preencher!$B$3&amp;$U$8&amp;$V$8&amp;A756&amp;$AF$6</f>
        <v>JARINU-FRG124359MQ.GIROFREEZER</v>
      </c>
      <c r="AG756" s="7" t="str">
        <f>Preencher!$B$3&amp;$U$8&amp;$V$8&amp;A756&amp;$AG$6</f>
        <v>JARINU-FRG124359MQ.GIROFREEZER (1)</v>
      </c>
      <c r="AH756" s="7" t="str">
        <f>Preencher!$B$3&amp;$U$8&amp;$V$8&amp;A756&amp;$AH$6</f>
        <v>JARINU-FRG124359MQ.GIROFREEZER (2)</v>
      </c>
      <c r="AI756" s="7" t="str">
        <f>Preencher!$B$3&amp;$U$8&amp;$V$8&amp;A756&amp;$AI$6</f>
        <v>JARINU-FRG124359MQ.GIROFREEZER REV04</v>
      </c>
      <c r="AJ756" s="7" t="str">
        <f>Preencher!$B$3&amp;$U$8&amp;$V$8&amp;A756&amp;$AJ$6</f>
        <v>JARINU-FRG124359MQ.GIROFREEZER (3)</v>
      </c>
      <c r="AK756" s="327">
        <f>IFERROR(SUMIF('BD Otimix'!A:A,'BD VOLUME'!AG756,'BD Otimix'!O:O)+SUMIF('BD Otimix'!A:A,'BD VOLUME'!AH756,'BD Otimix'!O:O)+SUMIF('BD Otimix'!A:A,'BD VOLUME'!AI756,'BD Otimix'!O:O)+SUMIF('BD Otimix'!A:A,'BD VOLUME'!AJ756,'BD Otimix'!O:O)+SUMIF('BD Otimix'!A:A,'BD VOLUME'!AF756,'BD Otimix'!O:O),0)</f>
        <v>0</v>
      </c>
      <c r="AL756" s="7">
        <f>IFERROR(F756/$E$3/1000/AK756,0)</f>
        <v>0</v>
      </c>
    </row>
    <row r="757" spans="1:38">
      <c r="A757" s="685"/>
      <c r="B757" s="685"/>
      <c r="C757" s="5"/>
      <c r="D757" s="5"/>
      <c r="E757" s="5"/>
      <c r="F757" s="132">
        <f>SUMIF('COLAR PLANO'!$A:$A,A757,'COLAR PLANO'!$D:$D)</f>
        <v>0</v>
      </c>
      <c r="G757" s="131"/>
      <c r="H757" s="6"/>
      <c r="I757" s="7"/>
      <c r="J757" s="130"/>
      <c r="K757" s="685"/>
      <c r="L757" s="685"/>
      <c r="M757" s="68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327"/>
      <c r="AE757" s="327"/>
      <c r="AF757" s="7"/>
      <c r="AG757" s="7"/>
      <c r="AH757" s="7"/>
      <c r="AI757" s="7"/>
      <c r="AJ757" s="7"/>
      <c r="AK757" s="327"/>
      <c r="AL757" s="7"/>
    </row>
    <row r="758" spans="1:38">
      <c r="A758" s="355">
        <v>43119</v>
      </c>
      <c r="B758" s="355"/>
      <c r="C758" s="5" t="s">
        <v>1416</v>
      </c>
      <c r="D758" s="5" t="s">
        <v>896</v>
      </c>
      <c r="E758" s="5" t="s">
        <v>1421</v>
      </c>
      <c r="F758" s="132">
        <f>SUMIF('COLAR PLANO'!$A:$A,A758,'COLAR PLANO'!$D:$D)</f>
        <v>0</v>
      </c>
      <c r="G758" s="131">
        <f t="shared" si="260"/>
        <v>0</v>
      </c>
      <c r="H758" s="6">
        <v>0.32</v>
      </c>
      <c r="I758" s="7">
        <f t="shared" si="261"/>
        <v>0</v>
      </c>
      <c r="J758" s="130">
        <f t="shared" si="262"/>
        <v>0</v>
      </c>
      <c r="K758" s="355">
        <v>0.8</v>
      </c>
      <c r="L758" s="355">
        <v>22.5</v>
      </c>
      <c r="M758" s="355">
        <v>18</v>
      </c>
      <c r="N758" s="7">
        <f t="shared" si="263"/>
        <v>0</v>
      </c>
      <c r="O758" s="7"/>
      <c r="P758" s="7">
        <f>IFERROR(G758/M758,0)</f>
        <v>0</v>
      </c>
      <c r="Q758" s="7"/>
      <c r="R758" s="7"/>
      <c r="S758" s="7"/>
      <c r="T758" s="7"/>
      <c r="U758" s="7" t="s">
        <v>2288</v>
      </c>
      <c r="V758" s="7" t="s">
        <v>2289</v>
      </c>
      <c r="W758" s="7" t="str">
        <f>Preencher!$B$3&amp;U758&amp;V758&amp;A758&amp;$W$6</f>
        <v>JARINU-FRG43119MQ.TUNEL DE CG (CONTINUO)</v>
      </c>
      <c r="X758" s="7" t="str">
        <f>Preencher!$B$3&amp;U758&amp;V758&amp;A758&amp;$X$6</f>
        <v>JARINU-FRG43119MQ.TUNEL DE CG (CONTINUO) (1)</v>
      </c>
      <c r="Y758" s="7" t="str">
        <f>Preencher!$B$3&amp;U758&amp;V758&amp;A758&amp;$Y$6</f>
        <v>JARINU-FRG43119MQ.TUNEL DE CG (CONTINUO) (2)</v>
      </c>
      <c r="Z758" s="7" t="str">
        <f>Preencher!$B$3&amp;U758&amp;V758&amp;A758&amp;$Z$6</f>
        <v>JARINU-FRG43119MQ.TUNEL DE CG (CONTINUO) (3)</v>
      </c>
      <c r="AA758" s="7" t="str">
        <f>Preencher!$B$3&amp;U758&amp;V758&amp;A758&amp;$AA$6</f>
        <v>JARINU-FRG43119MQ.TUNEL DE CG (ESTATICO)</v>
      </c>
      <c r="AB758" s="7" t="str">
        <f>Preencher!$B$3&amp;U758&amp;V758&amp;A758&amp;$AB$6</f>
        <v>JARINU-FRG43119MQ.TUNEL DE CG (ESTATICO) (1)</v>
      </c>
      <c r="AC758" s="7" t="str">
        <f>Preencher!$B$3&amp;U758&amp;V758&amp;A758&amp;$AC$6</f>
        <v>JARINU-FRG43119MQ.TUNEL DE CG (ESTATICO) (2)</v>
      </c>
      <c r="AD758" s="327">
        <f>IFERROR(SUMIF('BD Otimix'!A:A,'BD VOLUME'!X758,'BD Otimix'!O:O)+SUMIF('BD Otimix'!A:A,'BD VOLUME'!Y758,'BD Otimix'!O:O)+SUMIF('BD Otimix'!A:A,'BD VOLUME'!Z758,'BD Otimix'!O:O)+SUMIF('BD Otimix'!A:A,'BD VOLUME'!AA758,'BD Otimix'!O:O)+SUMIF('BD Otimix'!A:A,'BD VOLUME'!AB758,'BD Otimix'!O:O)+SUMIF('BD Otimix'!A:A,'BD VOLUME'!AC758,'BD Otimix'!O:O)+SUMIF('BD Otimix'!A:A,'BD VOLUME'!W758,'BD Otimix'!O:O),0)</f>
        <v>0</v>
      </c>
      <c r="AE758" s="327">
        <f t="shared" si="237"/>
        <v>0</v>
      </c>
      <c r="AF758" s="7" t="str">
        <f>Preencher!$B$3&amp;$U$8&amp;$V$8&amp;A758&amp;$AF$6</f>
        <v>JARINU-FRG43119MQ.GIROFREEZER</v>
      </c>
      <c r="AG758" s="7" t="str">
        <f>Preencher!$B$3&amp;$U$8&amp;$V$8&amp;A758&amp;$AG$6</f>
        <v>JARINU-FRG43119MQ.GIROFREEZER (1)</v>
      </c>
      <c r="AH758" s="7" t="str">
        <f>Preencher!$B$3&amp;$U$8&amp;$V$8&amp;A758&amp;$AH$6</f>
        <v>JARINU-FRG43119MQ.GIROFREEZER (2)</v>
      </c>
      <c r="AI758" s="7" t="str">
        <f>Preencher!$B$3&amp;$U$8&amp;$V$8&amp;A758&amp;$AI$6</f>
        <v>JARINU-FRG43119MQ.GIROFREEZER REV04</v>
      </c>
      <c r="AJ758" s="7" t="str">
        <f>Preencher!$B$3&amp;$U$8&amp;$V$8&amp;A758&amp;$AJ$6</f>
        <v>JARINU-FRG43119MQ.GIROFREEZER (3)</v>
      </c>
      <c r="AK758" s="327">
        <f>IFERROR(SUMIF('BD Otimix'!A:A,'BD VOLUME'!AG758,'BD Otimix'!O:O)+SUMIF('BD Otimix'!A:A,'BD VOLUME'!AH758,'BD Otimix'!O:O)+SUMIF('BD Otimix'!A:A,'BD VOLUME'!AI758,'BD Otimix'!O:O)+SUMIF('BD Otimix'!A:A,'BD VOLUME'!AJ758,'BD Otimix'!O:O)+SUMIF('BD Otimix'!A:A,'BD VOLUME'!AF758,'BD Otimix'!O:O),0)</f>
        <v>0</v>
      </c>
      <c r="AL758" s="7">
        <f t="shared" si="238"/>
        <v>0</v>
      </c>
    </row>
    <row r="759" spans="1:38">
      <c r="A759" s="355">
        <v>929930</v>
      </c>
      <c r="B759" s="355"/>
      <c r="C759" s="5" t="s">
        <v>1424</v>
      </c>
      <c r="D759" s="5" t="s">
        <v>896</v>
      </c>
      <c r="E759" s="5" t="s">
        <v>1421</v>
      </c>
      <c r="F759" s="132">
        <f>SUMIF('COLAR PLANO'!$A:$A,A759,'COLAR PLANO'!$D:$D)</f>
        <v>0</v>
      </c>
      <c r="G759" s="131">
        <f t="shared" si="260"/>
        <v>0</v>
      </c>
      <c r="H759" s="6">
        <v>0.32</v>
      </c>
      <c r="I759" s="7">
        <f t="shared" si="261"/>
        <v>0</v>
      </c>
      <c r="J759" s="130">
        <f t="shared" si="262"/>
        <v>0</v>
      </c>
      <c r="K759" s="355">
        <v>1</v>
      </c>
      <c r="L759" s="355">
        <v>18</v>
      </c>
      <c r="M759" s="355">
        <v>18</v>
      </c>
      <c r="N759" s="7">
        <f t="shared" si="263"/>
        <v>0</v>
      </c>
      <c r="O759" s="7"/>
      <c r="P759" s="7">
        <f>IFERROR(G759/M759,0)</f>
        <v>0</v>
      </c>
      <c r="Q759" s="7"/>
      <c r="R759" s="7"/>
      <c r="S759" s="7"/>
      <c r="T759" s="7"/>
      <c r="U759" s="7" t="s">
        <v>2288</v>
      </c>
      <c r="V759" s="7" t="s">
        <v>2289</v>
      </c>
      <c r="W759" s="7" t="str">
        <f>Preencher!$B$3&amp;U759&amp;V759&amp;A759&amp;$W$6</f>
        <v>JARINU-FRG929930MQ.TUNEL DE CG (CONTINUO)</v>
      </c>
      <c r="X759" s="7" t="str">
        <f>Preencher!$B$3&amp;U759&amp;V759&amp;A759&amp;$X$6</f>
        <v>JARINU-FRG929930MQ.TUNEL DE CG (CONTINUO) (1)</v>
      </c>
      <c r="Y759" s="7" t="str">
        <f>Preencher!$B$3&amp;U759&amp;V759&amp;A759&amp;$Y$6</f>
        <v>JARINU-FRG929930MQ.TUNEL DE CG (CONTINUO) (2)</v>
      </c>
      <c r="Z759" s="7" t="str">
        <f>Preencher!$B$3&amp;U759&amp;V759&amp;A759&amp;$Z$6</f>
        <v>JARINU-FRG929930MQ.TUNEL DE CG (CONTINUO) (3)</v>
      </c>
      <c r="AA759" s="7" t="str">
        <f>Preencher!$B$3&amp;U759&amp;V759&amp;A759&amp;$AA$6</f>
        <v>JARINU-FRG929930MQ.TUNEL DE CG (ESTATICO)</v>
      </c>
      <c r="AB759" s="7" t="str">
        <f>Preencher!$B$3&amp;U759&amp;V759&amp;A759&amp;$AB$6</f>
        <v>JARINU-FRG929930MQ.TUNEL DE CG (ESTATICO) (1)</v>
      </c>
      <c r="AC759" s="7" t="str">
        <f>Preencher!$B$3&amp;U759&amp;V759&amp;A759&amp;$AC$6</f>
        <v>JARINU-FRG929930MQ.TUNEL DE CG (ESTATICO) (2)</v>
      </c>
      <c r="AD759" s="327">
        <f>IFERROR(SUMIF('BD Otimix'!A:A,'BD VOLUME'!X759,'BD Otimix'!O:O)+SUMIF('BD Otimix'!A:A,'BD VOLUME'!Y759,'BD Otimix'!O:O)+SUMIF('BD Otimix'!A:A,'BD VOLUME'!Z759,'BD Otimix'!O:O)+SUMIF('BD Otimix'!A:A,'BD VOLUME'!AA759,'BD Otimix'!O:O)+SUMIF('BD Otimix'!A:A,'BD VOLUME'!AB759,'BD Otimix'!O:O)+SUMIF('BD Otimix'!A:A,'BD VOLUME'!AC759,'BD Otimix'!O:O)+SUMIF('BD Otimix'!A:A,'BD VOLUME'!W759,'BD Otimix'!O:O),0)</f>
        <v>0</v>
      </c>
      <c r="AE759" s="327">
        <f t="shared" si="237"/>
        <v>0</v>
      </c>
      <c r="AF759" s="7" t="str">
        <f>Preencher!$B$3&amp;$U$8&amp;$V$8&amp;A759&amp;$AF$6</f>
        <v>JARINU-FRG929930MQ.GIROFREEZER</v>
      </c>
      <c r="AG759" s="7" t="str">
        <f>Preencher!$B$3&amp;$U$8&amp;$V$8&amp;A759&amp;$AG$6</f>
        <v>JARINU-FRG929930MQ.GIROFREEZER (1)</v>
      </c>
      <c r="AH759" s="7" t="str">
        <f>Preencher!$B$3&amp;$U$8&amp;$V$8&amp;A759&amp;$AH$6</f>
        <v>JARINU-FRG929930MQ.GIROFREEZER (2)</v>
      </c>
      <c r="AI759" s="7" t="str">
        <f>Preencher!$B$3&amp;$U$8&amp;$V$8&amp;A759&amp;$AI$6</f>
        <v>JARINU-FRG929930MQ.GIROFREEZER REV04</v>
      </c>
      <c r="AJ759" s="7" t="str">
        <f>Preencher!$B$3&amp;$U$8&amp;$V$8&amp;A759&amp;$AJ$6</f>
        <v>JARINU-FRG929930MQ.GIROFREEZER (3)</v>
      </c>
      <c r="AK759" s="327">
        <f>IFERROR(SUMIF('BD Otimix'!A:A,'BD VOLUME'!AG759,'BD Otimix'!O:O)+SUMIF('BD Otimix'!A:A,'BD VOLUME'!AH759,'BD Otimix'!O:O)+SUMIF('BD Otimix'!A:A,'BD VOLUME'!AI759,'BD Otimix'!O:O)+SUMIF('BD Otimix'!A:A,'BD VOLUME'!AJ759,'BD Otimix'!O:O)+SUMIF('BD Otimix'!A:A,'BD VOLUME'!AF759,'BD Otimix'!O:O),0)</f>
        <v>0</v>
      </c>
      <c r="AL759" s="7">
        <f t="shared" si="238"/>
        <v>0</v>
      </c>
    </row>
    <row r="760" spans="1:38">
      <c r="A760" s="355">
        <v>985503</v>
      </c>
      <c r="B760" s="355"/>
      <c r="C760" s="5" t="s">
        <v>1425</v>
      </c>
      <c r="D760" s="5" t="s">
        <v>896</v>
      </c>
      <c r="E760" s="5" t="s">
        <v>1421</v>
      </c>
      <c r="F760" s="132">
        <f>SUMIF('COLAR PLANO'!$A:$A,A760,'COLAR PLANO'!$D:$D)</f>
        <v>0</v>
      </c>
      <c r="G760" s="131">
        <f t="shared" si="260"/>
        <v>0</v>
      </c>
      <c r="H760" s="6">
        <v>0.32</v>
      </c>
      <c r="I760" s="7">
        <f t="shared" si="261"/>
        <v>0</v>
      </c>
      <c r="J760" s="130">
        <f t="shared" si="262"/>
        <v>0</v>
      </c>
      <c r="K760" s="355">
        <v>1</v>
      </c>
      <c r="L760" s="355">
        <v>18</v>
      </c>
      <c r="M760" s="355">
        <v>18</v>
      </c>
      <c r="N760" s="7">
        <f t="shared" si="263"/>
        <v>0</v>
      </c>
      <c r="O760" s="7"/>
      <c r="P760" s="7">
        <f>IFERROR(G760/M760,0)</f>
        <v>0</v>
      </c>
      <c r="Q760" s="7"/>
      <c r="R760" s="7"/>
      <c r="S760" s="7"/>
      <c r="T760" s="7"/>
      <c r="U760" s="7" t="s">
        <v>2288</v>
      </c>
      <c r="V760" s="7" t="s">
        <v>2289</v>
      </c>
      <c r="W760" s="7" t="str">
        <f>Preencher!$B$3&amp;U760&amp;V760&amp;A760&amp;$W$6</f>
        <v>JARINU-FRG985503MQ.TUNEL DE CG (CONTINUO)</v>
      </c>
      <c r="X760" s="7" t="str">
        <f>Preencher!$B$3&amp;U760&amp;V760&amp;A760&amp;$X$6</f>
        <v>JARINU-FRG985503MQ.TUNEL DE CG (CONTINUO) (1)</v>
      </c>
      <c r="Y760" s="7" t="str">
        <f>Preencher!$B$3&amp;U760&amp;V760&amp;A760&amp;$Y$6</f>
        <v>JARINU-FRG985503MQ.TUNEL DE CG (CONTINUO) (2)</v>
      </c>
      <c r="Z760" s="7" t="str">
        <f>Preencher!$B$3&amp;U760&amp;V760&amp;A760&amp;$Z$6</f>
        <v>JARINU-FRG985503MQ.TUNEL DE CG (CONTINUO) (3)</v>
      </c>
      <c r="AA760" s="7" t="str">
        <f>Preencher!$B$3&amp;U760&amp;V760&amp;A760&amp;$AA$6</f>
        <v>JARINU-FRG985503MQ.TUNEL DE CG (ESTATICO)</v>
      </c>
      <c r="AB760" s="7" t="str">
        <f>Preencher!$B$3&amp;U760&amp;V760&amp;A760&amp;$AB$6</f>
        <v>JARINU-FRG985503MQ.TUNEL DE CG (ESTATICO) (1)</v>
      </c>
      <c r="AC760" s="7" t="str">
        <f>Preencher!$B$3&amp;U760&amp;V760&amp;A760&amp;$AC$6</f>
        <v>JARINU-FRG985503MQ.TUNEL DE CG (ESTATICO) (2)</v>
      </c>
      <c r="AD760" s="327">
        <f>IFERROR(SUMIF('BD Otimix'!A:A,'BD VOLUME'!X760,'BD Otimix'!O:O)+SUMIF('BD Otimix'!A:A,'BD VOLUME'!Y760,'BD Otimix'!O:O)+SUMIF('BD Otimix'!A:A,'BD VOLUME'!Z760,'BD Otimix'!O:O)+SUMIF('BD Otimix'!A:A,'BD VOLUME'!AA760,'BD Otimix'!O:O)+SUMIF('BD Otimix'!A:A,'BD VOLUME'!AB760,'BD Otimix'!O:O)+SUMIF('BD Otimix'!A:A,'BD VOLUME'!AC760,'BD Otimix'!O:O)+SUMIF('BD Otimix'!A:A,'BD VOLUME'!W760,'BD Otimix'!O:O),0)</f>
        <v>0</v>
      </c>
      <c r="AE760" s="327">
        <f t="shared" si="237"/>
        <v>0</v>
      </c>
      <c r="AF760" s="7" t="str">
        <f>Preencher!$B$3&amp;$U$8&amp;$V$8&amp;A760&amp;$AF$6</f>
        <v>JARINU-FRG985503MQ.GIROFREEZER</v>
      </c>
      <c r="AG760" s="7" t="str">
        <f>Preencher!$B$3&amp;$U$8&amp;$V$8&amp;A760&amp;$AG$6</f>
        <v>JARINU-FRG985503MQ.GIROFREEZER (1)</v>
      </c>
      <c r="AH760" s="7" t="str">
        <f>Preencher!$B$3&amp;$U$8&amp;$V$8&amp;A760&amp;$AH$6</f>
        <v>JARINU-FRG985503MQ.GIROFREEZER (2)</v>
      </c>
      <c r="AI760" s="7" t="str">
        <f>Preencher!$B$3&amp;$U$8&amp;$V$8&amp;A760&amp;$AI$6</f>
        <v>JARINU-FRG985503MQ.GIROFREEZER REV04</v>
      </c>
      <c r="AJ760" s="7" t="str">
        <f>Preencher!$B$3&amp;$U$8&amp;$V$8&amp;A760&amp;$AJ$6</f>
        <v>JARINU-FRG985503MQ.GIROFREEZER (3)</v>
      </c>
      <c r="AK760" s="327">
        <f>IFERROR(SUMIF('BD Otimix'!A:A,'BD VOLUME'!AG760,'BD Otimix'!O:O)+SUMIF('BD Otimix'!A:A,'BD VOLUME'!AH760,'BD Otimix'!O:O)+SUMIF('BD Otimix'!A:A,'BD VOLUME'!AI760,'BD Otimix'!O:O)+SUMIF('BD Otimix'!A:A,'BD VOLUME'!AJ760,'BD Otimix'!O:O)+SUMIF('BD Otimix'!A:A,'BD VOLUME'!AF760,'BD Otimix'!O:O),0)</f>
        <v>0</v>
      </c>
      <c r="AL760" s="7">
        <f t="shared" si="238"/>
        <v>0</v>
      </c>
    </row>
    <row r="761" spans="1:38">
      <c r="A761" s="355">
        <v>954541</v>
      </c>
      <c r="B761" s="355"/>
      <c r="C761" s="5" t="s">
        <v>1426</v>
      </c>
      <c r="D761" s="5" t="s">
        <v>896</v>
      </c>
      <c r="E761" s="5" t="s">
        <v>1421</v>
      </c>
      <c r="F761" s="132">
        <f>SUMIF('COLAR PLANO'!$A:$A,A761,'COLAR PLANO'!$D:$D)</f>
        <v>0</v>
      </c>
      <c r="G761" s="131">
        <f t="shared" si="260"/>
        <v>0</v>
      </c>
      <c r="H761" s="6">
        <v>0.32</v>
      </c>
      <c r="I761" s="7">
        <f t="shared" si="261"/>
        <v>0</v>
      </c>
      <c r="J761" s="130">
        <f t="shared" si="262"/>
        <v>0</v>
      </c>
      <c r="K761" s="355">
        <v>1</v>
      </c>
      <c r="L761" s="355">
        <v>18</v>
      </c>
      <c r="M761" s="355">
        <v>18</v>
      </c>
      <c r="N761" s="7">
        <f t="shared" si="263"/>
        <v>0</v>
      </c>
      <c r="O761" s="7"/>
      <c r="P761" s="7">
        <f>IFERROR(G761/M761,0)</f>
        <v>0</v>
      </c>
      <c r="Q761" s="7"/>
      <c r="R761" s="7"/>
      <c r="S761" s="7"/>
      <c r="T761" s="7"/>
      <c r="U761" s="7" t="s">
        <v>2288</v>
      </c>
      <c r="V761" s="7" t="s">
        <v>2289</v>
      </c>
      <c r="W761" s="7" t="str">
        <f>Preencher!$B$3&amp;U761&amp;V761&amp;A761&amp;$W$6</f>
        <v>JARINU-FRG954541MQ.TUNEL DE CG (CONTINUO)</v>
      </c>
      <c r="X761" s="7" t="str">
        <f>Preencher!$B$3&amp;U761&amp;V761&amp;A761&amp;$X$6</f>
        <v>JARINU-FRG954541MQ.TUNEL DE CG (CONTINUO) (1)</v>
      </c>
      <c r="Y761" s="7" t="str">
        <f>Preencher!$B$3&amp;U761&amp;V761&amp;A761&amp;$Y$6</f>
        <v>JARINU-FRG954541MQ.TUNEL DE CG (CONTINUO) (2)</v>
      </c>
      <c r="Z761" s="7" t="str">
        <f>Preencher!$B$3&amp;U761&amp;V761&amp;A761&amp;$Z$6</f>
        <v>JARINU-FRG954541MQ.TUNEL DE CG (CONTINUO) (3)</v>
      </c>
      <c r="AA761" s="7" t="str">
        <f>Preencher!$B$3&amp;U761&amp;V761&amp;A761&amp;$AA$6</f>
        <v>JARINU-FRG954541MQ.TUNEL DE CG (ESTATICO)</v>
      </c>
      <c r="AB761" s="7" t="str">
        <f>Preencher!$B$3&amp;U761&amp;V761&amp;A761&amp;$AB$6</f>
        <v>JARINU-FRG954541MQ.TUNEL DE CG (ESTATICO) (1)</v>
      </c>
      <c r="AC761" s="7" t="str">
        <f>Preencher!$B$3&amp;U761&amp;V761&amp;A761&amp;$AC$6</f>
        <v>JARINU-FRG954541MQ.TUNEL DE CG (ESTATICO) (2)</v>
      </c>
      <c r="AD761" s="327">
        <f>IFERROR(SUMIF('BD Otimix'!A:A,'BD VOLUME'!X761,'BD Otimix'!O:O)+SUMIF('BD Otimix'!A:A,'BD VOLUME'!Y761,'BD Otimix'!O:O)+SUMIF('BD Otimix'!A:A,'BD VOLUME'!Z761,'BD Otimix'!O:O)+SUMIF('BD Otimix'!A:A,'BD VOLUME'!AA761,'BD Otimix'!O:O)+SUMIF('BD Otimix'!A:A,'BD VOLUME'!AB761,'BD Otimix'!O:O)+SUMIF('BD Otimix'!A:A,'BD VOLUME'!AC761,'BD Otimix'!O:O)+SUMIF('BD Otimix'!A:A,'BD VOLUME'!W761,'BD Otimix'!O:O),0)</f>
        <v>0</v>
      </c>
      <c r="AE761" s="327">
        <f t="shared" si="237"/>
        <v>0</v>
      </c>
      <c r="AF761" s="7" t="str">
        <f>Preencher!$B$3&amp;$U$8&amp;$V$8&amp;A761&amp;$AF$6</f>
        <v>JARINU-FRG954541MQ.GIROFREEZER</v>
      </c>
      <c r="AG761" s="7" t="str">
        <f>Preencher!$B$3&amp;$U$8&amp;$V$8&amp;A761&amp;$AG$6</f>
        <v>JARINU-FRG954541MQ.GIROFREEZER (1)</v>
      </c>
      <c r="AH761" s="7" t="str">
        <f>Preencher!$B$3&amp;$U$8&amp;$V$8&amp;A761&amp;$AH$6</f>
        <v>JARINU-FRG954541MQ.GIROFREEZER (2)</v>
      </c>
      <c r="AI761" s="7" t="str">
        <f>Preencher!$B$3&amp;$U$8&amp;$V$8&amp;A761&amp;$AI$6</f>
        <v>JARINU-FRG954541MQ.GIROFREEZER REV04</v>
      </c>
      <c r="AJ761" s="7" t="str">
        <f>Preencher!$B$3&amp;$U$8&amp;$V$8&amp;A761&amp;$AJ$6</f>
        <v>JARINU-FRG954541MQ.GIROFREEZER (3)</v>
      </c>
      <c r="AK761" s="327">
        <f>IFERROR(SUMIF('BD Otimix'!A:A,'BD VOLUME'!AG761,'BD Otimix'!O:O)+SUMIF('BD Otimix'!A:A,'BD VOLUME'!AH761,'BD Otimix'!O:O)+SUMIF('BD Otimix'!A:A,'BD VOLUME'!AI761,'BD Otimix'!O:O)+SUMIF('BD Otimix'!A:A,'BD VOLUME'!AJ761,'BD Otimix'!O:O)+SUMIF('BD Otimix'!A:A,'BD VOLUME'!AF761,'BD Otimix'!O:O),0)</f>
        <v>0</v>
      </c>
      <c r="AL761" s="7">
        <f t="shared" si="238"/>
        <v>0</v>
      </c>
    </row>
    <row r="762" spans="1:38">
      <c r="A762" s="355">
        <v>962147</v>
      </c>
      <c r="B762" s="355" t="s">
        <v>1022</v>
      </c>
      <c r="C762" s="5" t="s">
        <v>1418</v>
      </c>
      <c r="D762" s="5" t="s">
        <v>896</v>
      </c>
      <c r="E762" s="5" t="s">
        <v>1422</v>
      </c>
      <c r="F762" s="132">
        <f>SUMIF('COLAR PLANO'!$A:$A,A762,'COLAR PLANO'!$D:$D)</f>
        <v>0</v>
      </c>
      <c r="G762" s="131">
        <f t="shared" si="260"/>
        <v>0</v>
      </c>
      <c r="H762" s="6">
        <v>0.32</v>
      </c>
      <c r="I762" s="7">
        <f t="shared" si="261"/>
        <v>0</v>
      </c>
      <c r="J762" s="130">
        <f t="shared" si="262"/>
        <v>0</v>
      </c>
      <c r="K762" s="355">
        <v>20</v>
      </c>
      <c r="L762" s="355">
        <v>1</v>
      </c>
      <c r="M762" s="355">
        <v>20</v>
      </c>
      <c r="N762" s="7">
        <f t="shared" si="263"/>
        <v>0</v>
      </c>
      <c r="O762" s="7"/>
      <c r="P762" s="7"/>
      <c r="Q762" s="7">
        <f>IFERROR(G762/M762,0)</f>
        <v>0</v>
      </c>
      <c r="R762" s="7"/>
      <c r="S762" s="7"/>
      <c r="T762" s="7"/>
      <c r="U762" s="7" t="s">
        <v>2288</v>
      </c>
      <c r="V762" s="7" t="s">
        <v>2289</v>
      </c>
      <c r="W762" s="7" t="str">
        <f>Preencher!$B$3&amp;U762&amp;V762&amp;A762&amp;$W$6</f>
        <v>JARINU-FRG962147MQ.TUNEL DE CG (CONTINUO)</v>
      </c>
      <c r="X762" s="7" t="str">
        <f>Preencher!$B$3&amp;U762&amp;V762&amp;A762&amp;$X$6</f>
        <v>JARINU-FRG962147MQ.TUNEL DE CG (CONTINUO) (1)</v>
      </c>
      <c r="Y762" s="7" t="str">
        <f>Preencher!$B$3&amp;U762&amp;V762&amp;A762&amp;$Y$6</f>
        <v>JARINU-FRG962147MQ.TUNEL DE CG (CONTINUO) (2)</v>
      </c>
      <c r="Z762" s="7" t="str">
        <f>Preencher!$B$3&amp;U762&amp;V762&amp;A762&amp;$Z$6</f>
        <v>JARINU-FRG962147MQ.TUNEL DE CG (CONTINUO) (3)</v>
      </c>
      <c r="AA762" s="7" t="str">
        <f>Preencher!$B$3&amp;U762&amp;V762&amp;A762&amp;$AA$6</f>
        <v>JARINU-FRG962147MQ.TUNEL DE CG (ESTATICO)</v>
      </c>
      <c r="AB762" s="7" t="str">
        <f>Preencher!$B$3&amp;U762&amp;V762&amp;A762&amp;$AB$6</f>
        <v>JARINU-FRG962147MQ.TUNEL DE CG (ESTATICO) (1)</v>
      </c>
      <c r="AC762" s="7" t="str">
        <f>Preencher!$B$3&amp;U762&amp;V762&amp;A762&amp;$AC$6</f>
        <v>JARINU-FRG962147MQ.TUNEL DE CG (ESTATICO) (2)</v>
      </c>
      <c r="AD762" s="327">
        <f>IFERROR(SUMIF('BD Otimix'!A:A,'BD VOLUME'!X762,'BD Otimix'!O:O)+SUMIF('BD Otimix'!A:A,'BD VOLUME'!Y762,'BD Otimix'!O:O)+SUMIF('BD Otimix'!A:A,'BD VOLUME'!Z762,'BD Otimix'!O:O)+SUMIF('BD Otimix'!A:A,'BD VOLUME'!AA762,'BD Otimix'!O:O)+SUMIF('BD Otimix'!A:A,'BD VOLUME'!AB762,'BD Otimix'!O:O)+SUMIF('BD Otimix'!A:A,'BD VOLUME'!AC762,'BD Otimix'!O:O)+SUMIF('BD Otimix'!A:A,'BD VOLUME'!W762,'BD Otimix'!O:O),0)</f>
        <v>0</v>
      </c>
      <c r="AE762" s="327">
        <f t="shared" si="237"/>
        <v>0</v>
      </c>
      <c r="AF762" s="7" t="str">
        <f>Preencher!$B$3&amp;$U$8&amp;$V$8&amp;A762&amp;$AF$6</f>
        <v>JARINU-FRG962147MQ.GIROFREEZER</v>
      </c>
      <c r="AG762" s="7" t="str">
        <f>Preencher!$B$3&amp;$U$8&amp;$V$8&amp;A762&amp;$AG$6</f>
        <v>JARINU-FRG962147MQ.GIROFREEZER (1)</v>
      </c>
      <c r="AH762" s="7" t="str">
        <f>Preencher!$B$3&amp;$U$8&amp;$V$8&amp;A762&amp;$AH$6</f>
        <v>JARINU-FRG962147MQ.GIROFREEZER (2)</v>
      </c>
      <c r="AI762" s="7" t="str">
        <f>Preencher!$B$3&amp;$U$8&amp;$V$8&amp;A762&amp;$AI$6</f>
        <v>JARINU-FRG962147MQ.GIROFREEZER REV04</v>
      </c>
      <c r="AJ762" s="7" t="str">
        <f>Preencher!$B$3&amp;$U$8&amp;$V$8&amp;A762&amp;$AJ$6</f>
        <v>JARINU-FRG962147MQ.GIROFREEZER (3)</v>
      </c>
      <c r="AK762" s="327">
        <f>IFERROR(SUMIF('BD Otimix'!A:A,'BD VOLUME'!AG762,'BD Otimix'!O:O)+SUMIF('BD Otimix'!A:A,'BD VOLUME'!AH762,'BD Otimix'!O:O)+SUMIF('BD Otimix'!A:A,'BD VOLUME'!AI762,'BD Otimix'!O:O)+SUMIF('BD Otimix'!A:A,'BD VOLUME'!AJ762,'BD Otimix'!O:O)+SUMIF('BD Otimix'!A:A,'BD VOLUME'!AF762,'BD Otimix'!O:O),0)</f>
        <v>0</v>
      </c>
      <c r="AL762" s="7">
        <f t="shared" si="238"/>
        <v>0</v>
      </c>
    </row>
    <row r="763" spans="1:38">
      <c r="A763" s="355">
        <v>950143</v>
      </c>
      <c r="B763" s="355" t="s">
        <v>2429</v>
      </c>
      <c r="C763" s="5" t="s">
        <v>2430</v>
      </c>
      <c r="D763" s="5" t="s">
        <v>896</v>
      </c>
      <c r="E763" s="5" t="s">
        <v>1351</v>
      </c>
      <c r="F763" s="132">
        <f>SUMIF('COLAR PLANO'!$A:$A,A763,'COLAR PLANO'!$D:$D)</f>
        <v>0</v>
      </c>
      <c r="G763" s="131">
        <f t="shared" si="260"/>
        <v>0</v>
      </c>
      <c r="H763" s="6">
        <v>2.2016700487808719E-3</v>
      </c>
      <c r="I763" s="7">
        <f t="shared" si="261"/>
        <v>0</v>
      </c>
      <c r="J763" s="130">
        <f t="shared" si="262"/>
        <v>0</v>
      </c>
      <c r="K763" s="663">
        <v>1</v>
      </c>
      <c r="L763" s="663">
        <v>12</v>
      </c>
      <c r="M763" s="663">
        <v>12</v>
      </c>
      <c r="N763" s="7">
        <f t="shared" si="263"/>
        <v>0</v>
      </c>
      <c r="O763" s="7"/>
      <c r="P763" s="7">
        <f>IFERROR(G763/M763,0)</f>
        <v>0</v>
      </c>
      <c r="Q763" s="7"/>
      <c r="R763" s="7"/>
      <c r="S763" s="7"/>
      <c r="T763" s="7"/>
      <c r="U763" s="7" t="s">
        <v>2288</v>
      </c>
      <c r="V763" s="7" t="s">
        <v>2289</v>
      </c>
      <c r="W763" s="7" t="str">
        <f>Preencher!$B$3&amp;U763&amp;V763&amp;A763&amp;$W$6</f>
        <v>JARINU-FRG950143MQ.TUNEL DE CG (CONTINUO)</v>
      </c>
      <c r="X763" s="7" t="str">
        <f>Preencher!$B$3&amp;U763&amp;V763&amp;A763&amp;$X$6</f>
        <v>JARINU-FRG950143MQ.TUNEL DE CG (CONTINUO) (1)</v>
      </c>
      <c r="Y763" s="7" t="str">
        <f>Preencher!$B$3&amp;U763&amp;V763&amp;A763&amp;$Y$6</f>
        <v>JARINU-FRG950143MQ.TUNEL DE CG (CONTINUO) (2)</v>
      </c>
      <c r="Z763" s="7" t="str">
        <f>Preencher!$B$3&amp;U763&amp;V763&amp;A763&amp;$Z$6</f>
        <v>JARINU-FRG950143MQ.TUNEL DE CG (CONTINUO) (3)</v>
      </c>
      <c r="AA763" s="7" t="str">
        <f>Preencher!$B$3&amp;U763&amp;V763&amp;A763&amp;$AA$6</f>
        <v>JARINU-FRG950143MQ.TUNEL DE CG (ESTATICO)</v>
      </c>
      <c r="AB763" s="7" t="str">
        <f>Preencher!$B$3&amp;U763&amp;V763&amp;A763&amp;$AB$6</f>
        <v>JARINU-FRG950143MQ.TUNEL DE CG (ESTATICO) (1)</v>
      </c>
      <c r="AC763" s="7" t="str">
        <f>Preencher!$B$3&amp;U763&amp;V763&amp;A763&amp;$AC$6</f>
        <v>JARINU-FRG950143MQ.TUNEL DE CG (ESTATICO) (2)</v>
      </c>
      <c r="AD763" s="327">
        <f>IFERROR(SUMIF('BD Otimix'!A:A,'BD VOLUME'!X763,'BD Otimix'!O:O)+SUMIF('BD Otimix'!A:A,'BD VOLUME'!Y763,'BD Otimix'!O:O)+SUMIF('BD Otimix'!A:A,'BD VOLUME'!Z763,'BD Otimix'!O:O)+SUMIF('BD Otimix'!A:A,'BD VOLUME'!AA763,'BD Otimix'!O:O)+SUMIF('BD Otimix'!A:A,'BD VOLUME'!AB763,'BD Otimix'!O:O)+SUMIF('BD Otimix'!A:A,'BD VOLUME'!AC763,'BD Otimix'!O:O)+SUMIF('BD Otimix'!A:A,'BD VOLUME'!W763,'BD Otimix'!O:O),0)</f>
        <v>0</v>
      </c>
      <c r="AE763" s="327">
        <f t="shared" si="237"/>
        <v>0</v>
      </c>
      <c r="AF763" s="7" t="str">
        <f>Preencher!$B$3&amp;$U$8&amp;$V$8&amp;A763&amp;$AF$6</f>
        <v>JARINU-FRG950143MQ.GIROFREEZER</v>
      </c>
      <c r="AG763" s="7" t="str">
        <f>Preencher!$B$3&amp;$U$8&amp;$V$8&amp;A763&amp;$AG$6</f>
        <v>JARINU-FRG950143MQ.GIROFREEZER (1)</v>
      </c>
      <c r="AH763" s="7" t="str">
        <f>Preencher!$B$3&amp;$U$8&amp;$V$8&amp;A763&amp;$AH$6</f>
        <v>JARINU-FRG950143MQ.GIROFREEZER (2)</v>
      </c>
      <c r="AI763" s="7" t="str">
        <f>Preencher!$B$3&amp;$U$8&amp;$V$8&amp;A763&amp;$AI$6</f>
        <v>JARINU-FRG950143MQ.GIROFREEZER REV04</v>
      </c>
      <c r="AJ763" s="7" t="str">
        <f>Preencher!$B$3&amp;$U$8&amp;$V$8&amp;A763&amp;$AJ$6</f>
        <v>JARINU-FRG950143MQ.GIROFREEZER (3)</v>
      </c>
      <c r="AK763" s="327">
        <f>IFERROR(SUMIF('BD Otimix'!A:A,'BD VOLUME'!AG763,'BD Otimix'!O:O)+SUMIF('BD Otimix'!A:A,'BD VOLUME'!AH763,'BD Otimix'!O:O)+SUMIF('BD Otimix'!A:A,'BD VOLUME'!AI763,'BD Otimix'!O:O)+SUMIF('BD Otimix'!A:A,'BD VOLUME'!AJ763,'BD Otimix'!O:O)+SUMIF('BD Otimix'!A:A,'BD VOLUME'!AF763,'BD Otimix'!O:O),0)</f>
        <v>0</v>
      </c>
      <c r="AL763" s="7">
        <f t="shared" si="238"/>
        <v>0</v>
      </c>
    </row>
    <row r="764" spans="1:38">
      <c r="A764" s="355">
        <v>550396</v>
      </c>
      <c r="B764" s="355" t="s">
        <v>2991</v>
      </c>
      <c r="C764" s="5" t="s">
        <v>2081</v>
      </c>
      <c r="D764" s="5" t="s">
        <v>896</v>
      </c>
      <c r="E764" s="5" t="s">
        <v>1351</v>
      </c>
      <c r="F764" s="132">
        <f>SUMIF('COLAR PLANO'!$A:$A,A764,'COLAR PLANO'!$D:$D)</f>
        <v>0</v>
      </c>
      <c r="G764" s="131">
        <f>IFERROR(F764/($E$3*$C$3),0)</f>
        <v>0</v>
      </c>
      <c r="H764" s="6">
        <v>2.2016700487808719E-3</v>
      </c>
      <c r="I764" s="7">
        <f>IFERROR(G764/$D$3/H764,0)</f>
        <v>0</v>
      </c>
      <c r="J764" s="130">
        <f>IFERROR(I764/$B$3,0)</f>
        <v>0</v>
      </c>
      <c r="K764" s="732">
        <v>1</v>
      </c>
      <c r="L764" s="732">
        <v>12</v>
      </c>
      <c r="M764" s="732">
        <v>12</v>
      </c>
      <c r="N764" s="7">
        <f>IFERROR(G764/K764,"-")</f>
        <v>0</v>
      </c>
      <c r="O764" s="7"/>
      <c r="P764" s="7">
        <f>IFERROR(G764/M764,0)</f>
        <v>0</v>
      </c>
      <c r="Q764" s="7"/>
      <c r="R764" s="7"/>
      <c r="S764" s="7"/>
      <c r="T764" s="7"/>
      <c r="U764" s="7" t="s">
        <v>2288</v>
      </c>
      <c r="V764" s="7" t="s">
        <v>2289</v>
      </c>
      <c r="W764" s="7" t="str">
        <f>Preencher!$B$3&amp;U764&amp;V764&amp;A764&amp;$W$6</f>
        <v>JARINU-FRG550396MQ.TUNEL DE CG (CONTINUO)</v>
      </c>
      <c r="X764" s="7" t="str">
        <f>Preencher!$B$3&amp;U764&amp;V764&amp;A764&amp;$X$6</f>
        <v>JARINU-FRG550396MQ.TUNEL DE CG (CONTINUO) (1)</v>
      </c>
      <c r="Y764" s="7" t="str">
        <f>Preencher!$B$3&amp;U764&amp;V764&amp;A764&amp;$Y$6</f>
        <v>JARINU-FRG550396MQ.TUNEL DE CG (CONTINUO) (2)</v>
      </c>
      <c r="Z764" s="7" t="str">
        <f>Preencher!$B$3&amp;U764&amp;V764&amp;A764&amp;$Z$6</f>
        <v>JARINU-FRG550396MQ.TUNEL DE CG (CONTINUO) (3)</v>
      </c>
      <c r="AA764" s="7" t="str">
        <f>Preencher!$B$3&amp;U764&amp;V764&amp;A764&amp;$AA$6</f>
        <v>JARINU-FRG550396MQ.TUNEL DE CG (ESTATICO)</v>
      </c>
      <c r="AB764" s="7" t="str">
        <f>Preencher!$B$3&amp;U764&amp;V764&amp;A764&amp;$AB$6</f>
        <v>JARINU-FRG550396MQ.TUNEL DE CG (ESTATICO) (1)</v>
      </c>
      <c r="AC764" s="7" t="str">
        <f>Preencher!$B$3&amp;U764&amp;V764&amp;A764&amp;$AC$6</f>
        <v>JARINU-FRG550396MQ.TUNEL DE CG (ESTATICO) (2)</v>
      </c>
      <c r="AD764" s="327">
        <f>IFERROR(SUMIF('BD Otimix'!A:A,'BD VOLUME'!X764,'BD Otimix'!O:O)+SUMIF('BD Otimix'!A:A,'BD VOLUME'!Y764,'BD Otimix'!O:O)+SUMIF('BD Otimix'!A:A,'BD VOLUME'!Z764,'BD Otimix'!O:O)+SUMIF('BD Otimix'!A:A,'BD VOLUME'!AA764,'BD Otimix'!O:O)+SUMIF('BD Otimix'!A:A,'BD VOLUME'!AB764,'BD Otimix'!O:O)+SUMIF('BD Otimix'!A:A,'BD VOLUME'!AC764,'BD Otimix'!O:O)+SUMIF('BD Otimix'!A:A,'BD VOLUME'!W764,'BD Otimix'!O:O),0)</f>
        <v>0</v>
      </c>
      <c r="AE764" s="327">
        <f>IFERROR(F764/$E$3/1000/AD764,0)</f>
        <v>0</v>
      </c>
      <c r="AF764" s="7" t="str">
        <f>Preencher!$B$3&amp;$U$8&amp;$V$8&amp;A764&amp;$AF$6</f>
        <v>JARINU-FRG550396MQ.GIROFREEZER</v>
      </c>
      <c r="AG764" s="7" t="str">
        <f>Preencher!$B$3&amp;$U$8&amp;$V$8&amp;A764&amp;$AG$6</f>
        <v>JARINU-FRG550396MQ.GIROFREEZER (1)</v>
      </c>
      <c r="AH764" s="7" t="str">
        <f>Preencher!$B$3&amp;$U$8&amp;$V$8&amp;A764&amp;$AH$6</f>
        <v>JARINU-FRG550396MQ.GIROFREEZER (2)</v>
      </c>
      <c r="AI764" s="7" t="str">
        <f>Preencher!$B$3&amp;$U$8&amp;$V$8&amp;A764&amp;$AI$6</f>
        <v>JARINU-FRG550396MQ.GIROFREEZER REV04</v>
      </c>
      <c r="AJ764" s="7" t="str">
        <f>Preencher!$B$3&amp;$U$8&amp;$V$8&amp;A764&amp;$AJ$6</f>
        <v>JARINU-FRG550396MQ.GIROFREEZER (3)</v>
      </c>
      <c r="AK764" s="327">
        <f>IFERROR(SUMIF('BD Otimix'!A:A,'BD VOLUME'!AG764,'BD Otimix'!O:O)+SUMIF('BD Otimix'!A:A,'BD VOLUME'!AH764,'BD Otimix'!O:O)+SUMIF('BD Otimix'!A:A,'BD VOLUME'!AI764,'BD Otimix'!O:O)+SUMIF('BD Otimix'!A:A,'BD VOLUME'!AJ764,'BD Otimix'!O:O)+SUMIF('BD Otimix'!A:A,'BD VOLUME'!AF764,'BD Otimix'!O:O),0)</f>
        <v>0</v>
      </c>
      <c r="AL764" s="7">
        <f>IFERROR(F764/$E$3/1000/AK764,0)</f>
        <v>0</v>
      </c>
    </row>
    <row r="765" spans="1:38">
      <c r="A765" s="159"/>
      <c r="B765" s="159" t="s">
        <v>1022</v>
      </c>
      <c r="C765" s="5"/>
      <c r="D765" s="5"/>
      <c r="E765" s="5"/>
      <c r="F765" s="132">
        <f>SUMIF('COLAR PLANO'!$A:$A,A765,'COLAR PLANO'!$D:$D)</f>
        <v>0</v>
      </c>
      <c r="G765" s="131"/>
      <c r="H765" s="6"/>
      <c r="I765" s="7"/>
      <c r="J765" s="130"/>
      <c r="K765" s="253"/>
      <c r="L765" s="253"/>
      <c r="M765" s="253"/>
      <c r="N765" s="7"/>
      <c r="O765" s="7"/>
      <c r="P765" s="7"/>
      <c r="Q765" s="7"/>
      <c r="R765" s="7"/>
      <c r="S765" s="7"/>
      <c r="T765" s="7"/>
      <c r="U765" s="7" t="s">
        <v>2288</v>
      </c>
      <c r="V765" s="7" t="s">
        <v>2289</v>
      </c>
      <c r="W765" s="7" t="str">
        <f>Preencher!$B$3&amp;U765&amp;V765&amp;A765&amp;$W$6</f>
        <v>JARINU-FRGMQ.TUNEL DE CG (CONTINUO)</v>
      </c>
      <c r="X765" s="7" t="str">
        <f>Preencher!$B$3&amp;U765&amp;V765&amp;A765&amp;$X$6</f>
        <v>JARINU-FRGMQ.TUNEL DE CG (CONTINUO) (1)</v>
      </c>
      <c r="Y765" s="7" t="str">
        <f>Preencher!$B$3&amp;U765&amp;V765&amp;A765&amp;$Y$6</f>
        <v>JARINU-FRGMQ.TUNEL DE CG (CONTINUO) (2)</v>
      </c>
      <c r="Z765" s="7" t="str">
        <f>Preencher!$B$3&amp;U765&amp;V765&amp;A765&amp;$Z$6</f>
        <v>JARINU-FRGMQ.TUNEL DE CG (CONTINUO) (3)</v>
      </c>
      <c r="AA765" s="7" t="str">
        <f>Preencher!$B$3&amp;U765&amp;V765&amp;A765&amp;$AA$6</f>
        <v>JARINU-FRGMQ.TUNEL DE CG (ESTATICO)</v>
      </c>
      <c r="AB765" s="7" t="str">
        <f>Preencher!$B$3&amp;U765&amp;V765&amp;A765&amp;$AB$6</f>
        <v>JARINU-FRGMQ.TUNEL DE CG (ESTATICO) (1)</v>
      </c>
      <c r="AC765" s="7" t="str">
        <f>Preencher!$B$3&amp;U765&amp;V765&amp;A765&amp;$AC$6</f>
        <v>JARINU-FRGMQ.TUNEL DE CG (ESTATICO) (2)</v>
      </c>
      <c r="AD765" s="327">
        <f>IFERROR(SUMIF('BD Otimix'!A:A,'BD VOLUME'!X765,'BD Otimix'!O:O)+SUMIF('BD Otimix'!A:A,'BD VOLUME'!Y765,'BD Otimix'!O:O)+SUMIF('BD Otimix'!A:A,'BD VOLUME'!Z765,'BD Otimix'!O:O)+SUMIF('BD Otimix'!A:A,'BD VOLUME'!AA765,'BD Otimix'!O:O)+SUMIF('BD Otimix'!A:A,'BD VOLUME'!AB765,'BD Otimix'!O:O)+SUMIF('BD Otimix'!A:A,'BD VOLUME'!AC765,'BD Otimix'!O:O)+SUMIF('BD Otimix'!A:A,'BD VOLUME'!W765,'BD Otimix'!O:O),0)</f>
        <v>0</v>
      </c>
      <c r="AE765" s="327">
        <f t="shared" si="237"/>
        <v>0</v>
      </c>
      <c r="AF765" s="7" t="str">
        <f>Preencher!$B$3&amp;$U$8&amp;$V$8&amp;A765&amp;$AF$6</f>
        <v>JARINU-FRGMQ.GIROFREEZER</v>
      </c>
      <c r="AG765" s="7" t="str">
        <f>Preencher!$B$3&amp;$U$8&amp;$V$8&amp;A765&amp;$AG$6</f>
        <v>JARINU-FRGMQ.GIROFREEZER (1)</v>
      </c>
      <c r="AH765" s="7" t="str">
        <f>Preencher!$B$3&amp;$U$8&amp;$V$8&amp;A765&amp;$AH$6</f>
        <v>JARINU-FRGMQ.GIROFREEZER (2)</v>
      </c>
      <c r="AI765" s="7" t="str">
        <f>Preencher!$B$3&amp;$U$8&amp;$V$8&amp;A765&amp;$AI$6</f>
        <v>JARINU-FRGMQ.GIROFREEZER REV04</v>
      </c>
      <c r="AJ765" s="7" t="str">
        <f>Preencher!$B$3&amp;$U$8&amp;$V$8&amp;A765&amp;$AJ$6</f>
        <v>JARINU-FRGMQ.GIROFREEZER (3)</v>
      </c>
      <c r="AK765" s="327">
        <f>IFERROR(SUMIF('BD Otimix'!A:A,'BD VOLUME'!AG765,'BD Otimix'!O:O)+SUMIF('BD Otimix'!A:A,'BD VOLUME'!AH765,'BD Otimix'!O:O)+SUMIF('BD Otimix'!A:A,'BD VOLUME'!AI765,'BD Otimix'!O:O)+SUMIF('BD Otimix'!A:A,'BD VOLUME'!AJ765,'BD Otimix'!O:O)+SUMIF('BD Otimix'!A:A,'BD VOLUME'!AF765,'BD Otimix'!O:O),0)</f>
        <v>0</v>
      </c>
      <c r="AL765" s="7">
        <f t="shared" si="238"/>
        <v>0</v>
      </c>
    </row>
    <row r="766" spans="1:38">
      <c r="A766" s="128"/>
      <c r="B766" s="128"/>
      <c r="C766" s="5"/>
      <c r="D766" s="5"/>
      <c r="E766" s="5"/>
      <c r="F766" s="132">
        <f>SUMIF('COLAR PLANO'!$A:$A,A766,'COLAR PLANO'!$D:$D)</f>
        <v>0</v>
      </c>
      <c r="G766" s="131"/>
      <c r="H766" s="6"/>
      <c r="I766" s="7"/>
      <c r="J766" s="130"/>
      <c r="K766" s="253"/>
      <c r="L766" s="253"/>
      <c r="M766" s="253"/>
      <c r="N766" s="7"/>
      <c r="O766" s="7"/>
      <c r="P766" s="7"/>
      <c r="Q766" s="7"/>
      <c r="R766" s="7"/>
      <c r="S766" s="7"/>
      <c r="T766" s="7"/>
      <c r="U766" s="7" t="s">
        <v>2288</v>
      </c>
      <c r="V766" s="7" t="s">
        <v>2289</v>
      </c>
      <c r="W766" s="7" t="str">
        <f>Preencher!$B$3&amp;U766&amp;V766&amp;A766&amp;$W$6</f>
        <v>JARINU-FRGMQ.TUNEL DE CG (CONTINUO)</v>
      </c>
      <c r="X766" s="7" t="str">
        <f>Preencher!$B$3&amp;U766&amp;V766&amp;A766&amp;$X$6</f>
        <v>JARINU-FRGMQ.TUNEL DE CG (CONTINUO) (1)</v>
      </c>
      <c r="Y766" s="7" t="str">
        <f>Preencher!$B$3&amp;U766&amp;V766&amp;A766&amp;$Y$6</f>
        <v>JARINU-FRGMQ.TUNEL DE CG (CONTINUO) (2)</v>
      </c>
      <c r="Z766" s="7" t="str">
        <f>Preencher!$B$3&amp;U766&amp;V766&amp;A766&amp;$Z$6</f>
        <v>JARINU-FRGMQ.TUNEL DE CG (CONTINUO) (3)</v>
      </c>
      <c r="AA766" s="7" t="str">
        <f>Preencher!$B$3&amp;U766&amp;V766&amp;A766&amp;$AA$6</f>
        <v>JARINU-FRGMQ.TUNEL DE CG (ESTATICO)</v>
      </c>
      <c r="AB766" s="7" t="str">
        <f>Preencher!$B$3&amp;U766&amp;V766&amp;A766&amp;$AB$6</f>
        <v>JARINU-FRGMQ.TUNEL DE CG (ESTATICO) (1)</v>
      </c>
      <c r="AC766" s="7" t="str">
        <f>Preencher!$B$3&amp;U766&amp;V766&amp;A766&amp;$AC$6</f>
        <v>JARINU-FRGMQ.TUNEL DE CG (ESTATICO) (2)</v>
      </c>
      <c r="AD766" s="327">
        <f>IFERROR(SUMIF('BD Otimix'!A:A,'BD VOLUME'!X766,'BD Otimix'!O:O)+SUMIF('BD Otimix'!A:A,'BD VOLUME'!Y766,'BD Otimix'!O:O)+SUMIF('BD Otimix'!A:A,'BD VOLUME'!Z766,'BD Otimix'!O:O)+SUMIF('BD Otimix'!A:A,'BD VOLUME'!AA766,'BD Otimix'!O:O)+SUMIF('BD Otimix'!A:A,'BD VOLUME'!AB766,'BD Otimix'!O:O)+SUMIF('BD Otimix'!A:A,'BD VOLUME'!AC766,'BD Otimix'!O:O)+SUMIF('BD Otimix'!A:A,'BD VOLUME'!W766,'BD Otimix'!O:O),0)</f>
        <v>0</v>
      </c>
      <c r="AE766" s="327">
        <f t="shared" si="237"/>
        <v>0</v>
      </c>
      <c r="AF766" s="7" t="str">
        <f>Preencher!$B$3&amp;$U$8&amp;$V$8&amp;A766&amp;$AF$6</f>
        <v>JARINU-FRGMQ.GIROFREEZER</v>
      </c>
      <c r="AG766" s="7" t="str">
        <f>Preencher!$B$3&amp;$U$8&amp;$V$8&amp;A766&amp;$AG$6</f>
        <v>JARINU-FRGMQ.GIROFREEZER (1)</v>
      </c>
      <c r="AH766" s="7" t="str">
        <f>Preencher!$B$3&amp;$U$8&amp;$V$8&amp;A766&amp;$AH$6</f>
        <v>JARINU-FRGMQ.GIROFREEZER (2)</v>
      </c>
      <c r="AI766" s="7" t="str">
        <f>Preencher!$B$3&amp;$U$8&amp;$V$8&amp;A766&amp;$AI$6</f>
        <v>JARINU-FRGMQ.GIROFREEZER REV04</v>
      </c>
      <c r="AJ766" s="7" t="str">
        <f>Preencher!$B$3&amp;$U$8&amp;$V$8&amp;A766&amp;$AJ$6</f>
        <v>JARINU-FRGMQ.GIROFREEZER (3)</v>
      </c>
      <c r="AK766" s="327">
        <f>IFERROR(SUMIF('BD Otimix'!A:A,'BD VOLUME'!AG766,'BD Otimix'!O:O)+SUMIF('BD Otimix'!A:A,'BD VOLUME'!AH766,'BD Otimix'!O:O)+SUMIF('BD Otimix'!A:A,'BD VOLUME'!AI766,'BD Otimix'!O:O)+SUMIF('BD Otimix'!A:A,'BD VOLUME'!AJ766,'BD Otimix'!O:O)+SUMIF('BD Otimix'!A:A,'BD VOLUME'!AF766,'BD Otimix'!O:O),0)</f>
        <v>0</v>
      </c>
      <c r="AL766" s="7">
        <f t="shared" si="238"/>
        <v>0</v>
      </c>
    </row>
    <row r="767" spans="1:38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3"/>
      <c r="AE767" s="123"/>
      <c r="AF767" s="123"/>
      <c r="AG767" s="123"/>
      <c r="AH767" s="123"/>
      <c r="AI767" s="123"/>
      <c r="AJ767" s="123"/>
      <c r="AK767" s="123"/>
      <c r="AL767" s="123"/>
    </row>
    <row r="768" spans="1:3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3"/>
      <c r="AE768" s="123"/>
      <c r="AF768" s="123"/>
      <c r="AG768" s="123"/>
      <c r="AH768" s="123"/>
      <c r="AI768" s="123"/>
      <c r="AJ768" s="123"/>
      <c r="AK768" s="123"/>
      <c r="AL768" s="123"/>
    </row>
    <row r="769" spans="4:38"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3"/>
      <c r="AE769" s="123"/>
      <c r="AF769" s="123"/>
      <c r="AG769" s="123"/>
      <c r="AH769" s="123"/>
      <c r="AI769" s="123"/>
      <c r="AJ769" s="123"/>
      <c r="AK769" s="123"/>
      <c r="AL769" s="123"/>
    </row>
    <row r="770" spans="4:38"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  <c r="AE770" s="123"/>
      <c r="AF770" s="123"/>
      <c r="AG770" s="123"/>
      <c r="AH770" s="123"/>
      <c r="AI770" s="123"/>
      <c r="AJ770" s="123"/>
      <c r="AK770" s="123"/>
      <c r="AL770" s="123"/>
    </row>
    <row r="771" spans="4:38"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3"/>
      <c r="AE771" s="123"/>
      <c r="AF771" s="123"/>
      <c r="AG771" s="123"/>
      <c r="AH771" s="123"/>
      <c r="AI771" s="123"/>
      <c r="AJ771" s="123"/>
      <c r="AK771" s="123"/>
      <c r="AL771" s="123"/>
    </row>
    <row r="772" spans="4:38"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3"/>
      <c r="AE772" s="123"/>
      <c r="AF772" s="123"/>
      <c r="AG772" s="123"/>
      <c r="AH772" s="123"/>
      <c r="AI772" s="123"/>
      <c r="AJ772" s="123"/>
      <c r="AK772" s="123"/>
      <c r="AL772" s="123"/>
    </row>
    <row r="773" spans="4:38"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  <c r="AE773" s="123"/>
      <c r="AF773" s="123"/>
      <c r="AG773" s="123"/>
      <c r="AH773" s="123"/>
      <c r="AI773" s="123"/>
      <c r="AJ773" s="123"/>
      <c r="AK773" s="123"/>
      <c r="AL773" s="123"/>
    </row>
    <row r="774" spans="4:38"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3"/>
      <c r="AE774" s="123"/>
      <c r="AF774" s="123"/>
      <c r="AG774" s="123"/>
      <c r="AH774" s="123"/>
      <c r="AI774" s="123"/>
      <c r="AJ774" s="123"/>
      <c r="AK774" s="123"/>
      <c r="AL774" s="123"/>
    </row>
    <row r="775" spans="4:38"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3"/>
      <c r="AE775" s="123"/>
      <c r="AF775" s="123"/>
      <c r="AG775" s="123"/>
      <c r="AH775" s="123"/>
      <c r="AI775" s="123"/>
      <c r="AJ775" s="123"/>
      <c r="AK775" s="123"/>
      <c r="AL775" s="123"/>
    </row>
    <row r="776" spans="4:38"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  <c r="AE776" s="123"/>
      <c r="AF776" s="123"/>
      <c r="AG776" s="123"/>
      <c r="AH776" s="123"/>
      <c r="AI776" s="123"/>
      <c r="AJ776" s="123"/>
      <c r="AK776" s="123"/>
      <c r="AL776" s="123"/>
    </row>
    <row r="777" spans="4:38"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3"/>
      <c r="AE777" s="123"/>
      <c r="AF777" s="123"/>
      <c r="AG777" s="123"/>
      <c r="AH777" s="123"/>
      <c r="AI777" s="123"/>
      <c r="AJ777" s="123"/>
      <c r="AK777" s="123"/>
      <c r="AL777" s="123"/>
    </row>
    <row r="778" spans="4:38"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3"/>
      <c r="AE778" s="123"/>
      <c r="AF778" s="123"/>
      <c r="AG778" s="123"/>
      <c r="AH778" s="123"/>
      <c r="AI778" s="123"/>
      <c r="AJ778" s="123"/>
      <c r="AK778" s="123"/>
      <c r="AL778" s="123"/>
    </row>
    <row r="779" spans="4:38"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  <c r="AE779" s="123"/>
      <c r="AF779" s="123"/>
      <c r="AG779" s="123"/>
      <c r="AH779" s="123"/>
      <c r="AI779" s="123"/>
      <c r="AJ779" s="123"/>
      <c r="AK779" s="123"/>
      <c r="AL779" s="123"/>
    </row>
    <row r="780" spans="4:38"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3"/>
      <c r="AE780" s="123"/>
      <c r="AF780" s="123"/>
      <c r="AG780" s="123"/>
      <c r="AH780" s="123"/>
      <c r="AI780" s="123"/>
      <c r="AJ780" s="123"/>
      <c r="AK780" s="123"/>
      <c r="AL780" s="123"/>
    </row>
    <row r="781" spans="4:38"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3"/>
      <c r="AE781" s="123"/>
      <c r="AF781" s="123"/>
      <c r="AG781" s="123"/>
      <c r="AH781" s="123"/>
      <c r="AI781" s="123"/>
      <c r="AJ781" s="123"/>
      <c r="AK781" s="123"/>
      <c r="AL781" s="123"/>
    </row>
    <row r="782" spans="4:38"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</row>
    <row r="783" spans="4:38"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3"/>
      <c r="AE783" s="123"/>
      <c r="AF783" s="123"/>
      <c r="AG783" s="123"/>
      <c r="AH783" s="123"/>
      <c r="AI783" s="123"/>
      <c r="AJ783" s="123"/>
      <c r="AK783" s="123"/>
      <c r="AL783" s="123"/>
    </row>
  </sheetData>
  <autoFilter ref="A6:AL783" xr:uid="{00000000-0009-0000-0000-000001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>
    <outlinePr summaryBelow="0" summaryRight="0"/>
  </sheetPr>
  <dimension ref="A1:AI700"/>
  <sheetViews>
    <sheetView zoomScale="80" zoomScaleNormal="80" workbookViewId="0">
      <pane ySplit="5" topLeftCell="A137" activePane="bottomLeft" state="frozen"/>
      <selection pane="bottomLeft" activeCell="E174" sqref="E174"/>
    </sheetView>
  </sheetViews>
  <sheetFormatPr defaultColWidth="9.14453125" defaultRowHeight="15"/>
  <cols>
    <col min="1" max="1" width="24.75" style="123" customWidth="1"/>
    <col min="2" max="2" width="9.01171875" style="157" customWidth="1"/>
    <col min="3" max="3" width="10.76171875" style="157" customWidth="1"/>
    <col min="4" max="13" width="9.55078125" style="157" customWidth="1"/>
    <col min="14" max="14" width="9.14453125" style="123" customWidth="1"/>
    <col min="15" max="15" width="7.53125" style="123" customWidth="1"/>
    <col min="16" max="16" width="16.6796875" style="123" customWidth="1"/>
    <col min="17" max="17" width="9.14453125" style="123"/>
    <col min="18" max="18" width="16.6796875" style="123" customWidth="1"/>
    <col min="19" max="20" width="9.14453125" style="123"/>
    <col min="21" max="21" width="16.6796875" style="123" customWidth="1"/>
    <col min="22" max="22" width="9.14453125" style="123"/>
    <col min="23" max="24" width="9.14453125" style="123" customWidth="1"/>
    <col min="25" max="16384" width="9.14453125" style="123"/>
  </cols>
  <sheetData>
    <row r="1" spans="1:24">
      <c r="N1" s="157"/>
    </row>
    <row r="2" spans="1:24">
      <c r="B2" s="123"/>
      <c r="C2" s="195" t="s">
        <v>717</v>
      </c>
      <c r="N2" s="157"/>
    </row>
    <row r="3" spans="1:24">
      <c r="B3" s="123"/>
      <c r="C3" s="195" t="s">
        <v>979</v>
      </c>
      <c r="N3" s="157"/>
    </row>
    <row r="4" spans="1:24">
      <c r="N4" s="157"/>
      <c r="Q4" s="189" t="s">
        <v>1705</v>
      </c>
      <c r="S4" s="189" t="s">
        <v>1705</v>
      </c>
      <c r="T4" s="189" t="s">
        <v>1919</v>
      </c>
      <c r="V4" s="189" t="s">
        <v>1705</v>
      </c>
      <c r="W4" s="189" t="s">
        <v>1956</v>
      </c>
      <c r="X4" s="189" t="s">
        <v>2190</v>
      </c>
    </row>
    <row r="5" spans="1:24">
      <c r="A5" s="185"/>
      <c r="B5" s="186"/>
      <c r="C5" s="187" t="s">
        <v>975</v>
      </c>
      <c r="D5" s="187" t="s">
        <v>965</v>
      </c>
      <c r="E5" s="187" t="s">
        <v>1731</v>
      </c>
      <c r="F5" s="187" t="s">
        <v>963</v>
      </c>
      <c r="G5" s="187" t="s">
        <v>1864</v>
      </c>
      <c r="H5" s="187" t="s">
        <v>964</v>
      </c>
      <c r="I5" s="187" t="s">
        <v>966</v>
      </c>
      <c r="J5" s="187" t="s">
        <v>967</v>
      </c>
      <c r="K5" s="187" t="s">
        <v>1071</v>
      </c>
      <c r="L5" s="187" t="s">
        <v>1436</v>
      </c>
      <c r="M5" s="187" t="s">
        <v>1072</v>
      </c>
      <c r="N5" s="187" t="s">
        <v>1073</v>
      </c>
      <c r="P5" s="191" t="s">
        <v>1704</v>
      </c>
      <c r="Q5" s="197">
        <f>SUBTOTAL(9,Q7:Q114)</f>
        <v>0</v>
      </c>
      <c r="R5" s="581" t="s">
        <v>1957</v>
      </c>
      <c r="S5" s="197">
        <f>SUBTOTAL(9,S7:S114)</f>
        <v>2927.2254545454543</v>
      </c>
      <c r="T5" s="197"/>
      <c r="U5" s="581" t="s">
        <v>260</v>
      </c>
      <c r="V5" s="197">
        <f>SUBTOTAL(9,V7:V37)</f>
        <v>0</v>
      </c>
      <c r="W5" s="197">
        <f>SUBTOTAL(9,W7:W37)</f>
        <v>0</v>
      </c>
      <c r="X5" s="197">
        <f>SUBTOTAL(9,X7:X37)</f>
        <v>0</v>
      </c>
    </row>
    <row r="6" spans="1:24">
      <c r="A6" s="185"/>
      <c r="B6" s="186"/>
      <c r="C6" s="187">
        <f>D6*'BD VOLUME'!E3</f>
        <v>2160000</v>
      </c>
      <c r="D6" s="187">
        <f>SUBTOTAL(9,D7:D424)</f>
        <v>98181.818181818177</v>
      </c>
      <c r="E6" s="187">
        <f t="shared" ref="E6:N6" si="0">SUBTOTAL(9,E7:E252)</f>
        <v>63490.937464417941</v>
      </c>
      <c r="F6" s="187">
        <f t="shared" si="0"/>
        <v>6630.90730698882</v>
      </c>
      <c r="G6" s="187">
        <f t="shared" si="0"/>
        <v>6970.5578979843676</v>
      </c>
      <c r="H6" s="187">
        <f t="shared" si="0"/>
        <v>727.99560292264937</v>
      </c>
      <c r="I6" s="187">
        <f t="shared" si="0"/>
        <v>56.913925760923163</v>
      </c>
      <c r="J6" s="187">
        <f t="shared" si="0"/>
        <v>433.38831236648474</v>
      </c>
      <c r="K6" s="187">
        <f t="shared" si="0"/>
        <v>237.69336479524165</v>
      </c>
      <c r="L6" s="187">
        <f t="shared" si="0"/>
        <v>0</v>
      </c>
      <c r="M6" s="187">
        <f t="shared" si="0"/>
        <v>0</v>
      </c>
      <c r="N6" s="187">
        <f t="shared" si="0"/>
        <v>0</v>
      </c>
      <c r="P6" s="191"/>
      <c r="Q6" s="197"/>
      <c r="R6" s="196" t="s">
        <v>1931</v>
      </c>
      <c r="S6" s="197">
        <f>SUBTOTAL(9,S7:S23)</f>
        <v>2643.0545454545454</v>
      </c>
      <c r="T6" s="197">
        <f>SUBTOTAL(9,T7:T23)</f>
        <v>2643.0545454545454</v>
      </c>
      <c r="U6" s="196" t="s">
        <v>1953</v>
      </c>
      <c r="V6" s="197">
        <f>SUBTOTAL(9,V7:V19)</f>
        <v>0</v>
      </c>
      <c r="W6" s="197">
        <f>SUBTOTAL(9,W7:W19)</f>
        <v>0</v>
      </c>
      <c r="X6" s="197">
        <f>SUBTOTAL(9,X7:X19)</f>
        <v>0</v>
      </c>
    </row>
    <row r="7" spans="1:24">
      <c r="A7" s="188" t="s">
        <v>958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P7" s="188" t="s">
        <v>1076</v>
      </c>
      <c r="Q7" s="409">
        <f t="shared" ref="Q7:Q18" si="1">SUMIF(A:A,P7,D:D)</f>
        <v>0</v>
      </c>
      <c r="R7" s="188" t="s">
        <v>1889</v>
      </c>
      <c r="S7" s="409">
        <f t="shared" ref="S7:S23" si="2">SUMIF(A:A,R7,D:D)</f>
        <v>0</v>
      </c>
      <c r="T7" s="409">
        <f t="shared" ref="T7:T23" si="3">SUMIF(A:A,R7,E:E)</f>
        <v>0</v>
      </c>
      <c r="U7" s="188" t="s">
        <v>1523</v>
      </c>
      <c r="V7" s="409">
        <f t="shared" ref="V7:V23" si="4">SUMIF(A:A,U7,D:D)</f>
        <v>0</v>
      </c>
      <c r="W7" s="409">
        <f t="shared" ref="W7:W23" si="5">SUMIF(A:A,U7,E:E)</f>
        <v>0</v>
      </c>
      <c r="X7" s="409">
        <f t="shared" ref="X7:X23" si="6">SUMIF(A:A,U7,G:G)</f>
        <v>0</v>
      </c>
    </row>
    <row r="8" spans="1:24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P8" s="188" t="s">
        <v>1077</v>
      </c>
      <c r="Q8" s="409">
        <f t="shared" si="1"/>
        <v>0</v>
      </c>
      <c r="R8" s="188" t="s">
        <v>1100</v>
      </c>
      <c r="S8" s="409">
        <f t="shared" si="2"/>
        <v>0</v>
      </c>
      <c r="T8" s="409">
        <f t="shared" si="3"/>
        <v>0</v>
      </c>
      <c r="U8" s="188" t="s">
        <v>1805</v>
      </c>
      <c r="V8" s="409">
        <f t="shared" si="4"/>
        <v>0</v>
      </c>
      <c r="W8" s="409">
        <f t="shared" si="5"/>
        <v>0</v>
      </c>
      <c r="X8" s="409">
        <f t="shared" si="6"/>
        <v>0</v>
      </c>
    </row>
    <row r="9" spans="1:24">
      <c r="A9" s="191" t="s">
        <v>948</v>
      </c>
      <c r="B9" s="190">
        <f>SUBTOTAL(9,B10:B14)</f>
        <v>0.81454545454545435</v>
      </c>
      <c r="C9" s="190">
        <f>SUBTOTAL(9,C10:C14)</f>
        <v>1</v>
      </c>
      <c r="D9" s="187">
        <f>SUBTOTAL(9,D10:D14)</f>
        <v>1924.3636363636363</v>
      </c>
      <c r="E9" s="187">
        <f>SUBTOTAL(9,E10:E14)</f>
        <v>1924.3636363636365</v>
      </c>
      <c r="F9" s="187">
        <f>SUBTOTAL(9,F10:F14)</f>
        <v>200.97792546878711</v>
      </c>
      <c r="G9" s="187">
        <f t="shared" ref="G9:N9" si="7">SUBTOTAL(9,G10:G14)</f>
        <v>120.27272727272728</v>
      </c>
      <c r="H9" s="187">
        <f t="shared" si="7"/>
        <v>12.561120341799194</v>
      </c>
      <c r="I9" s="187">
        <f t="shared" si="7"/>
        <v>0</v>
      </c>
      <c r="J9" s="187">
        <f t="shared" si="7"/>
        <v>12.561120341799194</v>
      </c>
      <c r="K9" s="187">
        <f t="shared" si="7"/>
        <v>0</v>
      </c>
      <c r="L9" s="187">
        <f t="shared" si="7"/>
        <v>0</v>
      </c>
      <c r="M9" s="187">
        <f t="shared" si="7"/>
        <v>0</v>
      </c>
      <c r="N9" s="187">
        <f t="shared" si="7"/>
        <v>0</v>
      </c>
      <c r="P9" s="188" t="s">
        <v>2406</v>
      </c>
      <c r="Q9" s="409">
        <f t="shared" si="1"/>
        <v>0</v>
      </c>
      <c r="R9" s="188" t="s">
        <v>1101</v>
      </c>
      <c r="S9" s="409">
        <f t="shared" si="2"/>
        <v>0</v>
      </c>
      <c r="T9" s="409">
        <f t="shared" si="3"/>
        <v>0</v>
      </c>
      <c r="U9" s="188" t="s">
        <v>1809</v>
      </c>
      <c r="V9" s="409">
        <f t="shared" si="4"/>
        <v>0</v>
      </c>
      <c r="W9" s="409">
        <f t="shared" si="5"/>
        <v>0</v>
      </c>
      <c r="X9" s="409">
        <f t="shared" si="6"/>
        <v>0</v>
      </c>
    </row>
    <row r="10" spans="1:24">
      <c r="A10" s="188" t="s">
        <v>1888</v>
      </c>
      <c r="B10" s="192">
        <f>SUMIF('BD VOLUME'!$E:$E,A10,'BD VOLUME'!$J:$J)</f>
        <v>0</v>
      </c>
      <c r="C10" s="192">
        <f>IFERROR(B10/$B$9,0)</f>
        <v>0</v>
      </c>
      <c r="D10" s="193">
        <f>IFERROR(SUMIF('BD VOLUME'!E:E,A10,'BD VOLUME'!F:F)/Preencher!$I$11,0)</f>
        <v>0</v>
      </c>
      <c r="E10" s="193">
        <f>SUMIF('BD VOLUME'!E:E,A10,'BD VOLUME'!N:N)*'BD VOLUME'!$C$3</f>
        <v>0</v>
      </c>
      <c r="F10" s="193">
        <f>SUMIF('BD VOLUME'!E:E,A10,'BD VOLUME'!N:N)</f>
        <v>0</v>
      </c>
      <c r="G10" s="193">
        <f>H10*'BD VOLUME'!$C$3</f>
        <v>0</v>
      </c>
      <c r="H10" s="193">
        <f>SUM(I10:M10)</f>
        <v>0</v>
      </c>
      <c r="I10" s="193">
        <f>SUMIF('BD VOLUME'!E:E,A10,'BD VOLUME'!O:O)</f>
        <v>0</v>
      </c>
      <c r="J10" s="193">
        <f>SUMIF('BD VOLUME'!E:E,A10,'BD VOLUME'!P:P)</f>
        <v>0</v>
      </c>
      <c r="K10" s="193">
        <f>SUMIF('BD VOLUME'!E:E,A10,'BD VOLUME'!Q:Q)</f>
        <v>0</v>
      </c>
      <c r="L10" s="193">
        <f>SUMIF('BD VOLUME'!E:E,A10,'BD VOLUME'!R:R)</f>
        <v>0</v>
      </c>
      <c r="M10" s="193">
        <f>SUMIF('BD VOLUME'!E:E,A10,'BD VOLUME'!S:S)</f>
        <v>0</v>
      </c>
      <c r="N10" s="193">
        <f>SUMIF('BD VOLUME'!E:E,A10,'BD VOLUME'!T:T)</f>
        <v>0</v>
      </c>
      <c r="P10" s="188" t="s">
        <v>1078</v>
      </c>
      <c r="Q10" s="409">
        <f t="shared" si="1"/>
        <v>0</v>
      </c>
      <c r="R10" s="188" t="s">
        <v>937</v>
      </c>
      <c r="S10" s="409">
        <f t="shared" si="2"/>
        <v>2643.0545454545454</v>
      </c>
      <c r="T10" s="409">
        <f t="shared" si="3"/>
        <v>2643.0545454545454</v>
      </c>
      <c r="U10" s="188" t="s">
        <v>936</v>
      </c>
      <c r="V10" s="409">
        <f t="shared" si="4"/>
        <v>0</v>
      </c>
      <c r="W10" s="409">
        <f t="shared" si="5"/>
        <v>0</v>
      </c>
      <c r="X10" s="409">
        <f t="shared" si="6"/>
        <v>0</v>
      </c>
    </row>
    <row r="11" spans="1:24">
      <c r="A11" s="188" t="s">
        <v>1889</v>
      </c>
      <c r="B11" s="192">
        <f>SUMIF('BD VOLUME'!$E:$E,A11,'BD VOLUME'!$J:$J)</f>
        <v>0</v>
      </c>
      <c r="C11" s="192">
        <f>IFERROR(B11/$B$9,0)</f>
        <v>0</v>
      </c>
      <c r="D11" s="193">
        <f>IFERROR(SUMIF('BD VOLUME'!E:E,A11,'BD VOLUME'!F:F)/Preencher!$I$11,0)</f>
        <v>0</v>
      </c>
      <c r="E11" s="193">
        <f>SUMIF('BD VOLUME'!E:E,A11,'BD VOLUME'!N:N)*'BD VOLUME'!$C$3</f>
        <v>0</v>
      </c>
      <c r="F11" s="193">
        <f>SUMIF('BD VOLUME'!E:E,A11,'BD VOLUME'!N:N)</f>
        <v>0</v>
      </c>
      <c r="G11" s="193">
        <f>H11*'BD VOLUME'!$C$3</f>
        <v>0</v>
      </c>
      <c r="H11" s="193">
        <f>SUM(I11:M11)</f>
        <v>0</v>
      </c>
      <c r="I11" s="193">
        <f>SUMIF('BD VOLUME'!E:E,A11,'BD VOLUME'!O:O)</f>
        <v>0</v>
      </c>
      <c r="J11" s="193">
        <f>SUMIF('BD VOLUME'!E:E,A11,'BD VOLUME'!P:P)</f>
        <v>0</v>
      </c>
      <c r="K11" s="193">
        <f>SUMIF('BD VOLUME'!E:E,A11,'BD VOLUME'!Q:Q)</f>
        <v>0</v>
      </c>
      <c r="L11" s="193">
        <f>SUMIF('BD VOLUME'!E:E,A11,'BD VOLUME'!R:R)</f>
        <v>0</v>
      </c>
      <c r="M11" s="193">
        <f>SUMIF('BD VOLUME'!E:E,A11,'BD VOLUME'!S:S)</f>
        <v>0</v>
      </c>
      <c r="N11" s="193">
        <f>SUMIF('BD VOLUME'!E:E,A11,'BD VOLUME'!T:T)</f>
        <v>0</v>
      </c>
      <c r="P11" s="188" t="s">
        <v>1079</v>
      </c>
      <c r="Q11" s="409">
        <f t="shared" si="1"/>
        <v>0</v>
      </c>
      <c r="R11" s="188" t="s">
        <v>1590</v>
      </c>
      <c r="S11" s="409">
        <f t="shared" si="2"/>
        <v>0</v>
      </c>
      <c r="T11" s="409">
        <f t="shared" si="3"/>
        <v>0</v>
      </c>
      <c r="U11" s="188" t="s">
        <v>933</v>
      </c>
      <c r="V11" s="409">
        <f t="shared" si="4"/>
        <v>0</v>
      </c>
      <c r="W11" s="409">
        <f t="shared" si="5"/>
        <v>0</v>
      </c>
      <c r="X11" s="409">
        <f t="shared" si="6"/>
        <v>0</v>
      </c>
    </row>
    <row r="12" spans="1:24">
      <c r="A12" s="188" t="s">
        <v>1912</v>
      </c>
      <c r="B12" s="192">
        <f>SUMIF('BD VOLUME'!$E:$E,A12,'BD VOLUME'!$J:$J)</f>
        <v>0</v>
      </c>
      <c r="C12" s="192">
        <f>IFERROR(B12/$B$9,0)</f>
        <v>0</v>
      </c>
      <c r="D12" s="193">
        <f>IFERROR(SUMIF('BD VOLUME'!E:E,A12,'BD VOLUME'!F:F)/Preencher!$I$11,0)</f>
        <v>0</v>
      </c>
      <c r="E12" s="193">
        <f>SUMIF('BD VOLUME'!E:E,A12,'BD VOLUME'!N:N)*'BD VOLUME'!$C$3</f>
        <v>0</v>
      </c>
      <c r="F12" s="193">
        <f>SUMIF('BD VOLUME'!E:E,A12,'BD VOLUME'!N:N)</f>
        <v>0</v>
      </c>
      <c r="G12" s="193">
        <f>H12*'BD VOLUME'!$C$3</f>
        <v>0</v>
      </c>
      <c r="H12" s="193">
        <f>SUM(I12:M12)</f>
        <v>0</v>
      </c>
      <c r="I12" s="193">
        <f>SUMIF('BD VOLUME'!E:E,A12,'BD VOLUME'!O:O)</f>
        <v>0</v>
      </c>
      <c r="J12" s="193">
        <f>SUMIF('BD VOLUME'!E:E,A12,'BD VOLUME'!P:P)</f>
        <v>0</v>
      </c>
      <c r="K12" s="193">
        <f>SUMIF('BD VOLUME'!E:E,A12,'BD VOLUME'!Q:Q)</f>
        <v>0</v>
      </c>
      <c r="L12" s="193">
        <f>SUMIF('BD VOLUME'!E:E,A12,'BD VOLUME'!R:R)</f>
        <v>0</v>
      </c>
      <c r="M12" s="193">
        <f>SUMIF('BD VOLUME'!E:E,A12,'BD VOLUME'!S:S)</f>
        <v>0</v>
      </c>
      <c r="N12" s="193">
        <f>SUMIF('BD VOLUME'!E:E,A12,'BD VOLUME'!T:T)</f>
        <v>0</v>
      </c>
      <c r="P12" s="188" t="s">
        <v>1080</v>
      </c>
      <c r="Q12" s="409">
        <f t="shared" si="1"/>
        <v>0</v>
      </c>
      <c r="R12" s="188" t="s">
        <v>1700</v>
      </c>
      <c r="S12" s="409">
        <f t="shared" si="2"/>
        <v>0</v>
      </c>
      <c r="T12" s="409">
        <f t="shared" si="3"/>
        <v>0</v>
      </c>
      <c r="U12" s="188" t="s">
        <v>1081</v>
      </c>
      <c r="V12" s="409">
        <f t="shared" si="4"/>
        <v>0</v>
      </c>
      <c r="W12" s="409">
        <f t="shared" si="5"/>
        <v>0</v>
      </c>
      <c r="X12" s="409">
        <f t="shared" si="6"/>
        <v>0</v>
      </c>
    </row>
    <row r="13" spans="1:24">
      <c r="A13" s="188" t="s">
        <v>1913</v>
      </c>
      <c r="B13" s="192">
        <f>SUMIF('BD VOLUME'!$E:$E,A13,'BD VOLUME'!$J:$J)</f>
        <v>0.81454545454545435</v>
      </c>
      <c r="C13" s="192">
        <f>IFERROR(B13/$B$9,0)</f>
        <v>1</v>
      </c>
      <c r="D13" s="193">
        <f>IFERROR(SUMIF('BD VOLUME'!E:E,A13,'BD VOLUME'!F:F)/Preencher!$I$11,0)</f>
        <v>1924.3636363636363</v>
      </c>
      <c r="E13" s="193">
        <f>SUMIF('BD VOLUME'!E:E,A13,'BD VOLUME'!N:N)*'BD VOLUME'!$C$3</f>
        <v>1924.3636363636365</v>
      </c>
      <c r="F13" s="193">
        <f>SUMIF('BD VOLUME'!E:E,A13,'BD VOLUME'!N:N)</f>
        <v>200.97792546878711</v>
      </c>
      <c r="G13" s="193">
        <f>H13*'BD VOLUME'!$C$3</f>
        <v>120.27272727272728</v>
      </c>
      <c r="H13" s="193">
        <f>SUM(I13:M13)</f>
        <v>12.561120341799194</v>
      </c>
      <c r="I13" s="193">
        <f>SUMIF('BD VOLUME'!E:E,A13,'BD VOLUME'!O:O)</f>
        <v>0</v>
      </c>
      <c r="J13" s="193">
        <f>SUMIF('BD VOLUME'!E:E,A13,'BD VOLUME'!P:P)</f>
        <v>12.561120341799194</v>
      </c>
      <c r="K13" s="193">
        <f>SUMIF('BD VOLUME'!E:E,A13,'BD VOLUME'!Q:Q)</f>
        <v>0</v>
      </c>
      <c r="L13" s="193">
        <f>SUMIF('BD VOLUME'!E:E,A13,'BD VOLUME'!R:R)</f>
        <v>0</v>
      </c>
      <c r="M13" s="193">
        <f>SUMIF('BD VOLUME'!E:E,A13,'BD VOLUME'!S:S)</f>
        <v>0</v>
      </c>
      <c r="N13" s="193">
        <f>SUMIF('BD VOLUME'!E:E,A13,'BD VOLUME'!T:T)</f>
        <v>0</v>
      </c>
      <c r="P13" s="188" t="s">
        <v>925</v>
      </c>
      <c r="Q13" s="409">
        <f t="shared" si="1"/>
        <v>0</v>
      </c>
      <c r="R13" s="188" t="s">
        <v>1653</v>
      </c>
      <c r="S13" s="409">
        <f t="shared" si="2"/>
        <v>0</v>
      </c>
      <c r="T13" s="409">
        <f t="shared" si="3"/>
        <v>0</v>
      </c>
      <c r="U13" s="188" t="s">
        <v>1655</v>
      </c>
      <c r="V13" s="409">
        <f t="shared" si="4"/>
        <v>0</v>
      </c>
      <c r="W13" s="409">
        <f t="shared" si="5"/>
        <v>0</v>
      </c>
      <c r="X13" s="409">
        <f t="shared" si="6"/>
        <v>0</v>
      </c>
    </row>
    <row r="14" spans="1:24">
      <c r="A14" s="188" t="s">
        <v>1915</v>
      </c>
      <c r="B14" s="192">
        <f>SUMIF('BD VOLUME'!$E:$E,A14,'BD VOLUME'!$J:$J)</f>
        <v>0</v>
      </c>
      <c r="C14" s="192">
        <f>IFERROR(B14/$B$9,0)</f>
        <v>0</v>
      </c>
      <c r="D14" s="193">
        <f>IFERROR(SUMIF('BD VOLUME'!E:E,A14,'BD VOLUME'!F:F)/Preencher!$I$11,0)</f>
        <v>0</v>
      </c>
      <c r="E14" s="193">
        <f>SUMIF('BD VOLUME'!E:E,A14,'BD VOLUME'!N:N)*'BD VOLUME'!$C$3</f>
        <v>0</v>
      </c>
      <c r="F14" s="193">
        <f>SUMIF('BD VOLUME'!E:E,A14,'BD VOLUME'!N:N)</f>
        <v>0</v>
      </c>
      <c r="G14" s="193">
        <f>H14*'BD VOLUME'!$C$3</f>
        <v>0</v>
      </c>
      <c r="H14" s="193">
        <f>SUM(I14:M14)</f>
        <v>0</v>
      </c>
      <c r="I14" s="193">
        <f>SUMIF('BD VOLUME'!E:E,A14,'BD VOLUME'!O:O)</f>
        <v>0</v>
      </c>
      <c r="J14" s="193">
        <f>SUMIF('BD VOLUME'!E:E,A14,'BD VOLUME'!P:P)</f>
        <v>0</v>
      </c>
      <c r="K14" s="193">
        <f>SUMIF('BD VOLUME'!E:E,A14,'BD VOLUME'!Q:Q)</f>
        <v>0</v>
      </c>
      <c r="L14" s="193">
        <f>SUMIF('BD VOLUME'!E:E,A14,'BD VOLUME'!R:R)</f>
        <v>0</v>
      </c>
      <c r="M14" s="193">
        <f>SUMIF('BD VOLUME'!E:E,A14,'BD VOLUME'!S:S)</f>
        <v>0</v>
      </c>
      <c r="N14" s="193">
        <f>SUMIF('BD VOLUME'!E:E,A14,'BD VOLUME'!T:T)</f>
        <v>0</v>
      </c>
      <c r="P14" s="188" t="s">
        <v>1747</v>
      </c>
      <c r="Q14" s="409">
        <f t="shared" si="1"/>
        <v>0</v>
      </c>
      <c r="R14" s="188" t="s">
        <v>1641</v>
      </c>
      <c r="S14" s="409">
        <f t="shared" si="2"/>
        <v>0</v>
      </c>
      <c r="T14" s="409">
        <f t="shared" si="3"/>
        <v>0</v>
      </c>
      <c r="U14" s="188" t="s">
        <v>1643</v>
      </c>
      <c r="V14" s="409">
        <f t="shared" si="4"/>
        <v>0</v>
      </c>
      <c r="W14" s="409">
        <f t="shared" si="5"/>
        <v>0</v>
      </c>
      <c r="X14" s="409">
        <f t="shared" si="6"/>
        <v>0</v>
      </c>
    </row>
    <row r="15" spans="1:24">
      <c r="A15" s="191" t="s">
        <v>947</v>
      </c>
      <c r="B15" s="190">
        <f>SUBTOTAL(9,B16:B20)</f>
        <v>1.1343624928530589</v>
      </c>
      <c r="C15" s="190">
        <f>SUBTOTAL(9,C16:C20)</f>
        <v>1</v>
      </c>
      <c r="D15" s="187">
        <f>SUBTOTAL(9,D16:D20)</f>
        <v>1623.2727272727273</v>
      </c>
      <c r="E15" s="187">
        <f>SUBTOTAL(9,E16:E20)</f>
        <v>1623.2727272727273</v>
      </c>
      <c r="F15" s="187">
        <f>SUBTOTAL(9,F16:F20)</f>
        <v>169.53239971516734</v>
      </c>
      <c r="G15" s="187">
        <f t="shared" ref="G15:N15" si="8">SUBTOTAL(9,G16:G20)</f>
        <v>90.181818181818173</v>
      </c>
      <c r="H15" s="187">
        <f t="shared" si="8"/>
        <v>9.41846665084263</v>
      </c>
      <c r="I15" s="187">
        <f t="shared" si="8"/>
        <v>0</v>
      </c>
      <c r="J15" s="187">
        <f t="shared" si="8"/>
        <v>9.41846665084263</v>
      </c>
      <c r="K15" s="187">
        <f t="shared" si="8"/>
        <v>0</v>
      </c>
      <c r="L15" s="187">
        <f t="shared" si="8"/>
        <v>0</v>
      </c>
      <c r="M15" s="187">
        <f t="shared" si="8"/>
        <v>0</v>
      </c>
      <c r="N15" s="187">
        <f t="shared" si="8"/>
        <v>0</v>
      </c>
      <c r="P15" s="188" t="s">
        <v>2129</v>
      </c>
      <c r="Q15" s="409">
        <f t="shared" si="1"/>
        <v>0</v>
      </c>
      <c r="R15" s="188" t="s">
        <v>1751</v>
      </c>
      <c r="S15" s="409">
        <f t="shared" si="2"/>
        <v>0</v>
      </c>
      <c r="T15" s="409">
        <f t="shared" si="3"/>
        <v>0</v>
      </c>
      <c r="U15" s="188" t="s">
        <v>1009</v>
      </c>
      <c r="V15" s="409">
        <f t="shared" si="4"/>
        <v>0</v>
      </c>
      <c r="W15" s="409">
        <f t="shared" si="5"/>
        <v>0</v>
      </c>
      <c r="X15" s="409">
        <f t="shared" si="6"/>
        <v>0</v>
      </c>
    </row>
    <row r="16" spans="1:24">
      <c r="A16" s="188" t="s">
        <v>1000</v>
      </c>
      <c r="B16" s="192">
        <f>SUMIF('BD VOLUME'!$E:$E,A16,'BD VOLUME'!$J:$J)</f>
        <v>0</v>
      </c>
      <c r="C16" s="192">
        <f>IFERROR(B16/$B$15,0)</f>
        <v>0</v>
      </c>
      <c r="D16" s="193">
        <f>IFERROR(SUMIF('BD VOLUME'!E:E,A16,'BD VOLUME'!F:F)/Preencher!$I$11,0)</f>
        <v>0</v>
      </c>
      <c r="E16" s="193">
        <f>SUMIF('BD VOLUME'!E:E,A16,'BD VOLUME'!N:N)*'BD VOLUME'!$C$3</f>
        <v>0</v>
      </c>
      <c r="F16" s="193">
        <f>SUMIF('BD VOLUME'!E:E,A16,'BD VOLUME'!N:N)</f>
        <v>0</v>
      </c>
      <c r="G16" s="193">
        <f>H16*'BD VOLUME'!$C$3</f>
        <v>0</v>
      </c>
      <c r="H16" s="193">
        <f>SUM(I16:M16)</f>
        <v>0</v>
      </c>
      <c r="I16" s="193">
        <f>SUMIF('BD VOLUME'!E:E,A16,'BD VOLUME'!O:O)</f>
        <v>0</v>
      </c>
      <c r="J16" s="193">
        <f>SUMIF('BD VOLUME'!E:E,A16,'BD VOLUME'!P:P)</f>
        <v>0</v>
      </c>
      <c r="K16" s="193">
        <f>SUMIF('BD VOLUME'!E:E,A16,'BD VOLUME'!Q:Q)</f>
        <v>0</v>
      </c>
      <c r="L16" s="193">
        <f>SUMIF('BD VOLUME'!E:E,A16,'BD VOLUME'!R:R)</f>
        <v>0</v>
      </c>
      <c r="M16" s="193">
        <f>SUMIF('BD VOLUME'!E:E,A16,'BD VOLUME'!S:S)</f>
        <v>0</v>
      </c>
      <c r="N16" s="193">
        <f>SUMIF('BD VOLUME'!E:E,A16,'BD VOLUME'!T:T)</f>
        <v>0</v>
      </c>
      <c r="P16" s="188" t="s">
        <v>2137</v>
      </c>
      <c r="Q16" s="409">
        <f t="shared" si="1"/>
        <v>0</v>
      </c>
      <c r="R16" s="188" t="s">
        <v>1007</v>
      </c>
      <c r="S16" s="409">
        <f t="shared" si="2"/>
        <v>0</v>
      </c>
      <c r="T16" s="409">
        <f t="shared" si="3"/>
        <v>0</v>
      </c>
      <c r="U16" s="188" t="s">
        <v>1016</v>
      </c>
      <c r="V16" s="409">
        <f t="shared" si="4"/>
        <v>0</v>
      </c>
      <c r="W16" s="409">
        <f t="shared" si="5"/>
        <v>0</v>
      </c>
      <c r="X16" s="409">
        <f t="shared" si="6"/>
        <v>0</v>
      </c>
    </row>
    <row r="17" spans="1:24">
      <c r="A17" s="188" t="s">
        <v>1100</v>
      </c>
      <c r="B17" s="192">
        <f>SUMIF('BD VOLUME'!$E:$E,A17,'BD VOLUME'!$J:$J)</f>
        <v>0</v>
      </c>
      <c r="C17" s="192">
        <f>IFERROR(B17/$B$15,0)</f>
        <v>0</v>
      </c>
      <c r="D17" s="193">
        <f>IFERROR(SUMIF('BD VOLUME'!E:E,A17,'BD VOLUME'!F:F)/Preencher!$I$11,0)</f>
        <v>0</v>
      </c>
      <c r="E17" s="193">
        <f>SUMIF('BD VOLUME'!E:E,A17,'BD VOLUME'!N:N)*'BD VOLUME'!$C$3</f>
        <v>0</v>
      </c>
      <c r="F17" s="193">
        <f>SUMIF('BD VOLUME'!E:E,A17,'BD VOLUME'!N:N)</f>
        <v>0</v>
      </c>
      <c r="G17" s="193">
        <f>H17*'BD VOLUME'!$C$3</f>
        <v>0</v>
      </c>
      <c r="H17" s="193">
        <f>SUM(I17:M17)</f>
        <v>0</v>
      </c>
      <c r="I17" s="193">
        <f>SUMIF('BD VOLUME'!E:E,A17,'BD VOLUME'!O:O)</f>
        <v>0</v>
      </c>
      <c r="J17" s="193">
        <f>SUMIF('BD VOLUME'!E:E,A17,'BD VOLUME'!P:P)</f>
        <v>0</v>
      </c>
      <c r="K17" s="193">
        <f>SUMIF('BD VOLUME'!E:E,A17,'BD VOLUME'!Q:Q)</f>
        <v>0</v>
      </c>
      <c r="L17" s="193">
        <f>SUMIF('BD VOLUME'!E:E,A17,'BD VOLUME'!R:R)</f>
        <v>0</v>
      </c>
      <c r="M17" s="193">
        <f>SUMIF('BD VOLUME'!E:E,A17,'BD VOLUME'!S:S)</f>
        <v>0</v>
      </c>
      <c r="N17" s="193">
        <f>SUMIF('BD VOLUME'!E:E,A17,'BD VOLUME'!T:T)</f>
        <v>0</v>
      </c>
      <c r="P17" s="188" t="s">
        <v>2399</v>
      </c>
      <c r="Q17" s="409">
        <f t="shared" si="1"/>
        <v>0</v>
      </c>
      <c r="R17" s="188" t="s">
        <v>1014</v>
      </c>
      <c r="S17" s="409">
        <f t="shared" si="2"/>
        <v>0</v>
      </c>
      <c r="T17" s="409">
        <f t="shared" si="3"/>
        <v>0</v>
      </c>
      <c r="U17" s="188" t="s">
        <v>1440</v>
      </c>
      <c r="V17" s="409">
        <f t="shared" si="4"/>
        <v>0</v>
      </c>
      <c r="W17" s="409">
        <f t="shared" si="5"/>
        <v>0</v>
      </c>
      <c r="X17" s="409">
        <f t="shared" si="6"/>
        <v>0</v>
      </c>
    </row>
    <row r="18" spans="1:24">
      <c r="A18" s="188" t="s">
        <v>1905</v>
      </c>
      <c r="B18" s="192">
        <f>SUMIF('BD VOLUME'!$E:$E,A18,'BD VOLUME'!$J:$J)</f>
        <v>0</v>
      </c>
      <c r="C18" s="192">
        <f>IFERROR(B18/$B$15,0)</f>
        <v>0</v>
      </c>
      <c r="D18" s="193">
        <f>IFERROR(SUMIF('BD VOLUME'!E:E,A18,'BD VOLUME'!F:F)/Preencher!$I$11,0)</f>
        <v>0</v>
      </c>
      <c r="E18" s="193">
        <f>SUMIF('BD VOLUME'!E:E,A18,'BD VOLUME'!N:N)*'BD VOLUME'!$C$3</f>
        <v>0</v>
      </c>
      <c r="F18" s="193">
        <f>SUMIF('BD VOLUME'!E:E,A18,'BD VOLUME'!N:N)</f>
        <v>0</v>
      </c>
      <c r="G18" s="193">
        <f>H18*'BD VOLUME'!$C$3</f>
        <v>0</v>
      </c>
      <c r="H18" s="193">
        <f>SUM(I18:M18)</f>
        <v>0</v>
      </c>
      <c r="I18" s="193">
        <f>SUMIF('BD VOLUME'!E:E,A18,'BD VOLUME'!O:O)</f>
        <v>0</v>
      </c>
      <c r="J18" s="193">
        <f>SUMIF('BD VOLUME'!E:E,A18,'BD VOLUME'!P:P)</f>
        <v>0</v>
      </c>
      <c r="K18" s="193">
        <f>SUMIF('BD VOLUME'!E:E,A18,'BD VOLUME'!Q:Q)</f>
        <v>0</v>
      </c>
      <c r="L18" s="193">
        <f>SUMIF('BD VOLUME'!E:E,A18,'BD VOLUME'!R:R)</f>
        <v>0</v>
      </c>
      <c r="M18" s="193">
        <f>SUMIF('BD VOLUME'!E:E,A18,'BD VOLUME'!S:S)</f>
        <v>0</v>
      </c>
      <c r="N18" s="193">
        <f>SUMIF('BD VOLUME'!E:E,A18,'BD VOLUME'!T:T)</f>
        <v>0</v>
      </c>
      <c r="P18" s="188" t="s">
        <v>2401</v>
      </c>
      <c r="Q18" s="409">
        <f t="shared" si="1"/>
        <v>0</v>
      </c>
      <c r="R18" s="188" t="s">
        <v>1438</v>
      </c>
      <c r="S18" s="409">
        <f t="shared" si="2"/>
        <v>0</v>
      </c>
      <c r="T18" s="409">
        <f t="shared" si="3"/>
        <v>0</v>
      </c>
      <c r="U18" s="188" t="s">
        <v>2399</v>
      </c>
      <c r="V18" s="409">
        <f t="shared" si="4"/>
        <v>0</v>
      </c>
      <c r="W18" s="409">
        <f t="shared" si="5"/>
        <v>0</v>
      </c>
      <c r="X18" s="409">
        <f t="shared" si="6"/>
        <v>0</v>
      </c>
    </row>
    <row r="19" spans="1:24">
      <c r="A19" s="188" t="s">
        <v>1906</v>
      </c>
      <c r="B19" s="192">
        <f>SUMIF('BD VOLUME'!$E:$E,A19,'BD VOLUME'!$J:$J)</f>
        <v>1.1343624928530589</v>
      </c>
      <c r="C19" s="192">
        <f>IFERROR(B19/$B$15,0)</f>
        <v>1</v>
      </c>
      <c r="D19" s="193">
        <f>IFERROR(SUMIF('BD VOLUME'!E:E,A19,'BD VOLUME'!F:F)/Preencher!$I$11,0)</f>
        <v>1623.2727272727273</v>
      </c>
      <c r="E19" s="193">
        <f>SUMIF('BD VOLUME'!E:E,A19,'BD VOLUME'!N:N)*'BD VOLUME'!$C$3</f>
        <v>1623.2727272727273</v>
      </c>
      <c r="F19" s="193">
        <f>SUMIF('BD VOLUME'!E:E,A19,'BD VOLUME'!N:N)</f>
        <v>169.53239971516734</v>
      </c>
      <c r="G19" s="193">
        <f>H19*'BD VOLUME'!$C$3</f>
        <v>90.181818181818173</v>
      </c>
      <c r="H19" s="193">
        <f>SUM(I19:M19)</f>
        <v>9.41846665084263</v>
      </c>
      <c r="I19" s="193">
        <f>SUMIF('BD VOLUME'!E:E,A19,'BD VOLUME'!O:O)</f>
        <v>0</v>
      </c>
      <c r="J19" s="193">
        <f>SUMIF('BD VOLUME'!E:E,A19,'BD VOLUME'!P:P)</f>
        <v>9.41846665084263</v>
      </c>
      <c r="K19" s="193">
        <f>SUMIF('BD VOLUME'!E:E,A19,'BD VOLUME'!Q:Q)</f>
        <v>0</v>
      </c>
      <c r="L19" s="193">
        <f>SUMIF('BD VOLUME'!E:E,A19,'BD VOLUME'!R:R)</f>
        <v>0</v>
      </c>
      <c r="M19" s="193">
        <f>SUMIF('BD VOLUME'!E:E,A19,'BD VOLUME'!S:S)</f>
        <v>0</v>
      </c>
      <c r="N19" s="193">
        <f>SUMIF('BD VOLUME'!E:E,A19,'BD VOLUME'!T:T)</f>
        <v>0</v>
      </c>
      <c r="P19" s="188"/>
      <c r="Q19" s="409"/>
      <c r="R19" s="188" t="s">
        <v>1163</v>
      </c>
      <c r="S19" s="409">
        <f t="shared" si="2"/>
        <v>0</v>
      </c>
      <c r="T19" s="409">
        <f t="shared" si="3"/>
        <v>0</v>
      </c>
      <c r="U19" s="188" t="s">
        <v>2400</v>
      </c>
      <c r="V19" s="409">
        <f t="shared" si="4"/>
        <v>0</v>
      </c>
      <c r="W19" s="409">
        <f t="shared" si="5"/>
        <v>0</v>
      </c>
      <c r="X19" s="409">
        <f t="shared" si="6"/>
        <v>0</v>
      </c>
    </row>
    <row r="20" spans="1:24">
      <c r="A20" s="188" t="s">
        <v>1909</v>
      </c>
      <c r="B20" s="192">
        <f>SUMIF('BD VOLUME'!$E:$E,A20,'BD VOLUME'!$J:$J)</f>
        <v>0</v>
      </c>
      <c r="C20" s="192">
        <f>IFERROR(B20/$B$15,0)</f>
        <v>0</v>
      </c>
      <c r="D20" s="193">
        <f>IFERROR(SUMIF('BD VOLUME'!E:E,A20,'BD VOLUME'!F:F)/Preencher!$I$11,0)</f>
        <v>0</v>
      </c>
      <c r="E20" s="193">
        <f>SUMIF('BD VOLUME'!E:E,A20,'BD VOLUME'!N:N)*'BD VOLUME'!$C$3</f>
        <v>0</v>
      </c>
      <c r="F20" s="193">
        <f>SUMIF('BD VOLUME'!E:E,A20,'BD VOLUME'!N:N)</f>
        <v>0</v>
      </c>
      <c r="G20" s="193">
        <f>H20*'BD VOLUME'!$C$3</f>
        <v>0</v>
      </c>
      <c r="H20" s="193">
        <f>SUM(I20:M20)</f>
        <v>0</v>
      </c>
      <c r="I20" s="193">
        <f>SUMIF('BD VOLUME'!E:E,A20,'BD VOLUME'!O:O)</f>
        <v>0</v>
      </c>
      <c r="J20" s="193">
        <f>SUMIF('BD VOLUME'!E:E,A20,'BD VOLUME'!P:P)</f>
        <v>0</v>
      </c>
      <c r="K20" s="193">
        <f>SUMIF('BD VOLUME'!E:E,A20,'BD VOLUME'!Q:Q)</f>
        <v>0</v>
      </c>
      <c r="L20" s="193">
        <f>SUMIF('BD VOLUME'!E:E,A20,'BD VOLUME'!R:R)</f>
        <v>0</v>
      </c>
      <c r="M20" s="193">
        <f>SUMIF('BD VOLUME'!E:E,A20,'BD VOLUME'!S:S)</f>
        <v>0</v>
      </c>
      <c r="N20" s="193">
        <f>SUMIF('BD VOLUME'!E:E,A20,'BD VOLUME'!T:T)</f>
        <v>0</v>
      </c>
      <c r="P20" s="188"/>
      <c r="Q20" s="409"/>
      <c r="R20" s="188" t="s">
        <v>2567</v>
      </c>
      <c r="S20" s="409">
        <f t="shared" si="2"/>
        <v>0</v>
      </c>
      <c r="T20" s="409">
        <f t="shared" si="3"/>
        <v>0</v>
      </c>
      <c r="U20" s="188" t="s">
        <v>2401</v>
      </c>
      <c r="V20" s="409">
        <f t="shared" si="4"/>
        <v>0</v>
      </c>
      <c r="W20" s="409">
        <f t="shared" si="5"/>
        <v>0</v>
      </c>
      <c r="X20" s="409">
        <f t="shared" si="6"/>
        <v>0</v>
      </c>
    </row>
    <row r="21" spans="1:24">
      <c r="A21" s="191" t="s">
        <v>946</v>
      </c>
      <c r="B21" s="190">
        <f>SUBTOTAL(9,B22:B27)</f>
        <v>0.8665377176015473</v>
      </c>
      <c r="C21" s="190">
        <f>SUBTOTAL(9,C22:C27)</f>
        <v>1</v>
      </c>
      <c r="D21" s="187">
        <f>SUBTOTAL(9,D22:D27)</f>
        <v>549.81818181818176</v>
      </c>
      <c r="E21" s="187">
        <f>SUBTOTAL(9,E22:E27)</f>
        <v>549.81818181818176</v>
      </c>
      <c r="F21" s="187">
        <f>SUBTOTAL(9,F22:F27)</f>
        <v>57.422264419653452</v>
      </c>
      <c r="G21" s="187">
        <f t="shared" ref="G21:N21" si="9">SUBTOTAL(9,G22:G27)</f>
        <v>45.818181818181813</v>
      </c>
      <c r="H21" s="187">
        <f t="shared" si="9"/>
        <v>4.7851887016377876</v>
      </c>
      <c r="I21" s="187">
        <f t="shared" si="9"/>
        <v>0</v>
      </c>
      <c r="J21" s="187">
        <f t="shared" si="9"/>
        <v>4.7851887016377876</v>
      </c>
      <c r="K21" s="187">
        <f t="shared" si="9"/>
        <v>0</v>
      </c>
      <c r="L21" s="187">
        <f t="shared" si="9"/>
        <v>0</v>
      </c>
      <c r="M21" s="187">
        <f t="shared" si="9"/>
        <v>0</v>
      </c>
      <c r="N21" s="187">
        <f t="shared" si="9"/>
        <v>0</v>
      </c>
      <c r="P21" s="188"/>
      <c r="Q21" s="409"/>
      <c r="R21" s="188" t="s">
        <v>2564</v>
      </c>
      <c r="S21" s="409">
        <f t="shared" si="2"/>
        <v>0</v>
      </c>
      <c r="T21" s="409">
        <f t="shared" si="3"/>
        <v>0</v>
      </c>
      <c r="U21" s="188" t="s">
        <v>2671</v>
      </c>
      <c r="V21" s="409">
        <f t="shared" si="4"/>
        <v>0</v>
      </c>
      <c r="W21" s="409">
        <f t="shared" si="5"/>
        <v>0</v>
      </c>
      <c r="X21" s="409">
        <f t="shared" si="6"/>
        <v>0</v>
      </c>
    </row>
    <row r="22" spans="1:24">
      <c r="A22" s="188" t="s">
        <v>1908</v>
      </c>
      <c r="B22" s="192">
        <f>SUMIF('BD VOLUME'!$E:$E,A22,'BD VOLUME'!$J:$J)</f>
        <v>0</v>
      </c>
      <c r="C22" s="192">
        <f>IFERROR(B22/$B$21,0)</f>
        <v>0</v>
      </c>
      <c r="D22" s="193">
        <f>IFERROR(SUMIF('BD VOLUME'!E:E,A22,'BD VOLUME'!F:F)/Preencher!$I$11,0)</f>
        <v>0</v>
      </c>
      <c r="E22" s="193">
        <f>SUMIF('BD VOLUME'!E:E,A22,'BD VOLUME'!N:N)*'BD VOLUME'!$C$3</f>
        <v>0</v>
      </c>
      <c r="F22" s="193">
        <f>SUMIF('BD VOLUME'!E:E,A22,'BD VOLUME'!N:N)</f>
        <v>0</v>
      </c>
      <c r="G22" s="193">
        <f>H22*'BD VOLUME'!$C$3</f>
        <v>0</v>
      </c>
      <c r="H22" s="193">
        <f>SUM(I22:M22)</f>
        <v>0</v>
      </c>
      <c r="I22" s="193">
        <f>SUMIF('BD VOLUME'!E:E,A22,'BD VOLUME'!O:O)</f>
        <v>0</v>
      </c>
      <c r="J22" s="193">
        <f>SUMIF('BD VOLUME'!E:E,A22,'BD VOLUME'!P:P)</f>
        <v>0</v>
      </c>
      <c r="K22" s="193">
        <f>SUMIF('BD VOLUME'!E:E,A22,'BD VOLUME'!Q:Q)</f>
        <v>0</v>
      </c>
      <c r="L22" s="193">
        <f>SUMIF('BD VOLUME'!E:E,A22,'BD VOLUME'!R:R)</f>
        <v>0</v>
      </c>
      <c r="M22" s="193">
        <f>SUMIF('BD VOLUME'!E:E,A22,'BD VOLUME'!S:S)</f>
        <v>0</v>
      </c>
      <c r="N22" s="193">
        <f>SUMIF('BD VOLUME'!E:E,A22,'BD VOLUME'!T:T)</f>
        <v>0</v>
      </c>
      <c r="P22" s="188"/>
      <c r="Q22" s="409"/>
      <c r="R22" s="188" t="s">
        <v>2562</v>
      </c>
      <c r="S22" s="409">
        <f t="shared" si="2"/>
        <v>0</v>
      </c>
      <c r="T22" s="409">
        <f t="shared" si="3"/>
        <v>0</v>
      </c>
      <c r="U22" s="188"/>
      <c r="V22" s="409">
        <f t="shared" si="4"/>
        <v>0</v>
      </c>
      <c r="W22" s="409">
        <f t="shared" si="5"/>
        <v>0</v>
      </c>
      <c r="X22" s="409">
        <f t="shared" si="6"/>
        <v>0</v>
      </c>
    </row>
    <row r="23" spans="1:24">
      <c r="A23" s="188" t="s">
        <v>1101</v>
      </c>
      <c r="B23" s="192">
        <f>SUMIF('BD VOLUME'!$E:$E,A23,'BD VOLUME'!$J:$J)</f>
        <v>0</v>
      </c>
      <c r="C23" s="192">
        <f>IFERROR(B23/$B$21,0)</f>
        <v>0</v>
      </c>
      <c r="D23" s="193">
        <f>IFERROR(SUMIF('BD VOLUME'!E:E,A23,'BD VOLUME'!F:F)/Preencher!$I$11,0)</f>
        <v>0</v>
      </c>
      <c r="E23" s="193">
        <f>SUMIF('BD VOLUME'!E:E,A23,'BD VOLUME'!N:N)*'BD VOLUME'!$C$3</f>
        <v>0</v>
      </c>
      <c r="F23" s="193">
        <f>SUMIF('BD VOLUME'!E:E,A23,'BD VOLUME'!N:N)</f>
        <v>0</v>
      </c>
      <c r="G23" s="193">
        <f>H23*'BD VOLUME'!$C$3</f>
        <v>0</v>
      </c>
      <c r="H23" s="193">
        <f>SUM(I23:M23)</f>
        <v>0</v>
      </c>
      <c r="I23" s="193">
        <f>SUMIF('BD VOLUME'!E:E,A23,'BD VOLUME'!O:O)</f>
        <v>0</v>
      </c>
      <c r="J23" s="193">
        <f>SUMIF('BD VOLUME'!E:E,A23,'BD VOLUME'!P:P)</f>
        <v>0</v>
      </c>
      <c r="K23" s="193">
        <f>SUMIF('BD VOLUME'!E:E,A23,'BD VOLUME'!Q:Q)</f>
        <v>0</v>
      </c>
      <c r="L23" s="193">
        <f>SUMIF('BD VOLUME'!E:E,A23,'BD VOLUME'!R:R)</f>
        <v>0</v>
      </c>
      <c r="M23" s="193">
        <f>SUMIF('BD VOLUME'!E:E,A23,'BD VOLUME'!S:S)</f>
        <v>0</v>
      </c>
      <c r="N23" s="193">
        <f>SUMIF('BD VOLUME'!E:E,A23,'BD VOLUME'!T:T)</f>
        <v>0</v>
      </c>
      <c r="R23" s="188" t="s">
        <v>2558</v>
      </c>
      <c r="S23" s="409">
        <f t="shared" si="2"/>
        <v>0</v>
      </c>
      <c r="T23" s="409">
        <f t="shared" si="3"/>
        <v>0</v>
      </c>
      <c r="U23" s="188"/>
      <c r="V23" s="409">
        <f t="shared" si="4"/>
        <v>0</v>
      </c>
      <c r="W23" s="409">
        <f t="shared" si="5"/>
        <v>0</v>
      </c>
      <c r="X23" s="409">
        <f t="shared" si="6"/>
        <v>0</v>
      </c>
    </row>
    <row r="24" spans="1:24">
      <c r="A24" s="188" t="s">
        <v>1900</v>
      </c>
      <c r="B24" s="192">
        <f>SUMIF('BD VOLUME'!$E:$E,A24,'BD VOLUME'!$J:$J)</f>
        <v>0</v>
      </c>
      <c r="C24" s="192">
        <f>IFERROR(B24/$B$21,0)</f>
        <v>0</v>
      </c>
      <c r="D24" s="193">
        <f>IFERROR(SUMIF('BD VOLUME'!E:E,A24,'BD VOLUME'!F:F)/Preencher!$I$11,0)</f>
        <v>0</v>
      </c>
      <c r="E24" s="193">
        <f>SUMIF('BD VOLUME'!E:E,A24,'BD VOLUME'!N:N)*'BD VOLUME'!$C$3</f>
        <v>0</v>
      </c>
      <c r="F24" s="193">
        <f>SUMIF('BD VOLUME'!E:E,A24,'BD VOLUME'!N:N)</f>
        <v>0</v>
      </c>
      <c r="G24" s="193">
        <f>H24*'BD VOLUME'!$C$3</f>
        <v>0</v>
      </c>
      <c r="H24" s="193">
        <f>SUM(I24:M24)</f>
        <v>0</v>
      </c>
      <c r="I24" s="193">
        <f>SUMIF('BD VOLUME'!E:E,A24,'BD VOLUME'!O:O)</f>
        <v>0</v>
      </c>
      <c r="J24" s="193">
        <f>SUMIF('BD VOLUME'!E:E,A24,'BD VOLUME'!P:P)</f>
        <v>0</v>
      </c>
      <c r="K24" s="193">
        <f>SUMIF('BD VOLUME'!E:E,A24,'BD VOLUME'!Q:Q)</f>
        <v>0</v>
      </c>
      <c r="L24" s="193">
        <f>SUMIF('BD VOLUME'!E:E,A24,'BD VOLUME'!R:R)</f>
        <v>0</v>
      </c>
      <c r="M24" s="193">
        <f>SUMIF('BD VOLUME'!E:E,A24,'BD VOLUME'!S:S)</f>
        <v>0</v>
      </c>
      <c r="N24" s="193">
        <f>SUMIF('BD VOLUME'!E:E,A24,'BD VOLUME'!T:T)</f>
        <v>0</v>
      </c>
      <c r="R24" s="196" t="s">
        <v>1932</v>
      </c>
      <c r="S24" s="197">
        <f>SUBTOTAL(9,S25:S47)</f>
        <v>284.17090909090911</v>
      </c>
      <c r="T24" s="197">
        <f>SUBTOTAL(9,T25:T47)</f>
        <v>367.41902097902101</v>
      </c>
      <c r="U24" s="196" t="s">
        <v>1954</v>
      </c>
      <c r="V24" s="197">
        <f>SUBTOTAL(9,V25:V32)</f>
        <v>0</v>
      </c>
      <c r="W24" s="197">
        <f>SUBTOTAL(9,W25:W32)</f>
        <v>0</v>
      </c>
      <c r="X24" s="197">
        <f>SUBTOTAL(9,X25:X32)</f>
        <v>0</v>
      </c>
    </row>
    <row r="25" spans="1:24">
      <c r="A25" s="188" t="s">
        <v>1901</v>
      </c>
      <c r="B25" s="192">
        <f>SUMIF('BD VOLUME'!$E:$E,A25,'BD VOLUME'!$J:$J)</f>
        <v>0.8665377176015473</v>
      </c>
      <c r="C25" s="192">
        <f>IFERROR(B25/$B$21,0)</f>
        <v>1</v>
      </c>
      <c r="D25" s="193">
        <f>IFERROR(SUMIF('BD VOLUME'!E:E,A25,'BD VOLUME'!F:F)/Preencher!$I$11,0)</f>
        <v>549.81818181818176</v>
      </c>
      <c r="E25" s="193">
        <f>SUMIF('BD VOLUME'!E:E,A25,'BD VOLUME'!N:N)*'BD VOLUME'!$C$3</f>
        <v>549.81818181818176</v>
      </c>
      <c r="F25" s="193">
        <f>SUMIF('BD VOLUME'!E:E,A25,'BD VOLUME'!N:N)</f>
        <v>57.422264419653452</v>
      </c>
      <c r="G25" s="193">
        <f>H25*'BD VOLUME'!$C$3</f>
        <v>45.818181818181813</v>
      </c>
      <c r="H25" s="193">
        <f>SUM(I25:M25)</f>
        <v>4.7851887016377876</v>
      </c>
      <c r="I25" s="193">
        <f>SUMIF('BD VOLUME'!E:E,A25,'BD VOLUME'!O:O)</f>
        <v>0</v>
      </c>
      <c r="J25" s="193">
        <f>SUMIF('BD VOLUME'!E:E,A25,'BD VOLUME'!P:P)</f>
        <v>4.7851887016377876</v>
      </c>
      <c r="K25" s="193">
        <f>SUMIF('BD VOLUME'!E:E,A25,'BD VOLUME'!Q:Q)</f>
        <v>0</v>
      </c>
      <c r="L25" s="193">
        <f>SUMIF('BD VOLUME'!E:E,A25,'BD VOLUME'!R:R)</f>
        <v>0</v>
      </c>
      <c r="M25" s="193">
        <f>SUMIF('BD VOLUME'!E:E,A25,'BD VOLUME'!S:S)</f>
        <v>0</v>
      </c>
      <c r="N25" s="193">
        <f>SUMIF('BD VOLUME'!E:E,A25,'BD VOLUME'!T:T)</f>
        <v>0</v>
      </c>
      <c r="R25" s="188" t="s">
        <v>1888</v>
      </c>
      <c r="S25" s="409">
        <f t="shared" ref="S25:S42" si="10">SUMIF(A:A,R25,D:D)</f>
        <v>0</v>
      </c>
      <c r="T25" s="409">
        <f t="shared" ref="T25:T42" si="11">SUMIF(A:A,R25,E:E)</f>
        <v>0</v>
      </c>
      <c r="U25" s="188" t="s">
        <v>1529</v>
      </c>
      <c r="V25" s="409">
        <f t="shared" ref="V25:V32" si="12">SUMIF(A:A,U25,D:D)</f>
        <v>0</v>
      </c>
      <c r="W25" s="409">
        <f t="shared" ref="W25:W32" si="13">SUMIF(A:A,U25,E:E)</f>
        <v>0</v>
      </c>
      <c r="X25" s="409">
        <f t="shared" ref="X25:X32" si="14">SUMIF(A:A,U25,G:G)</f>
        <v>0</v>
      </c>
    </row>
    <row r="26" spans="1:24">
      <c r="A26" s="188" t="s">
        <v>1897</v>
      </c>
      <c r="B26" s="192">
        <f>SUMIF('BD VOLUME'!$E:$E,A26,'BD VOLUME'!$J:$J)</f>
        <v>0</v>
      </c>
      <c r="C26" s="192">
        <f>IFERROR(B26/$B$21,0)</f>
        <v>0</v>
      </c>
      <c r="D26" s="193">
        <f>IFERROR(SUMIF('BD VOLUME'!E:E,A26,'BD VOLUME'!F:F)/Preencher!$I$11,0)</f>
        <v>0</v>
      </c>
      <c r="E26" s="193">
        <f>SUMIF('BD VOLUME'!E:E,A26,'BD VOLUME'!N:N)*'BD VOLUME'!$C$3</f>
        <v>0</v>
      </c>
      <c r="F26" s="193">
        <f>SUMIF('BD VOLUME'!E:E,A26,'BD VOLUME'!N:N)</f>
        <v>0</v>
      </c>
      <c r="G26" s="193">
        <f>H26*'BD VOLUME'!$C$3</f>
        <v>0</v>
      </c>
      <c r="H26" s="193">
        <f>SUM(I26:M26)</f>
        <v>0</v>
      </c>
      <c r="I26" s="193">
        <f>SUMIF('BD VOLUME'!E:E,A26,'BD VOLUME'!O:O)</f>
        <v>0</v>
      </c>
      <c r="J26" s="193">
        <f>SUMIF('BD VOLUME'!E:E,A26,'BD VOLUME'!P:P)</f>
        <v>0</v>
      </c>
      <c r="K26" s="193">
        <f>SUMIF('BD VOLUME'!E:E,A26,'BD VOLUME'!Q:Q)</f>
        <v>0</v>
      </c>
      <c r="L26" s="193">
        <f>SUMIF('BD VOLUME'!E:E,A26,'BD VOLUME'!R:R)</f>
        <v>0</v>
      </c>
      <c r="M26" s="193">
        <f>SUMIF('BD VOLUME'!E:E,A26,'BD VOLUME'!S:S)</f>
        <v>0</v>
      </c>
      <c r="N26" s="193">
        <f>SUMIF('BD VOLUME'!E:E,A26,'BD VOLUME'!T:T)</f>
        <v>0</v>
      </c>
      <c r="R26" s="188" t="s">
        <v>1000</v>
      </c>
      <c r="S26" s="409">
        <f t="shared" si="10"/>
        <v>0</v>
      </c>
      <c r="T26" s="409">
        <f t="shared" si="11"/>
        <v>0</v>
      </c>
      <c r="U26" s="188" t="s">
        <v>1522</v>
      </c>
      <c r="V26" s="409">
        <f t="shared" si="12"/>
        <v>0</v>
      </c>
      <c r="W26" s="409">
        <f t="shared" si="13"/>
        <v>0</v>
      </c>
      <c r="X26" s="409">
        <f t="shared" si="14"/>
        <v>0</v>
      </c>
    </row>
    <row r="27" spans="1:24">
      <c r="A27" s="188"/>
      <c r="B27" s="192"/>
      <c r="C27" s="192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R27" s="188" t="s">
        <v>1908</v>
      </c>
      <c r="S27" s="409">
        <f t="shared" si="10"/>
        <v>0</v>
      </c>
      <c r="T27" s="409">
        <f t="shared" si="11"/>
        <v>0</v>
      </c>
      <c r="U27" s="188" t="s">
        <v>2120</v>
      </c>
      <c r="V27" s="409">
        <f t="shared" si="12"/>
        <v>0</v>
      </c>
      <c r="W27" s="409">
        <f t="shared" si="13"/>
        <v>0</v>
      </c>
      <c r="X27" s="409">
        <f t="shared" si="14"/>
        <v>0</v>
      </c>
    </row>
    <row r="28" spans="1:24">
      <c r="A28" s="191" t="s">
        <v>945</v>
      </c>
      <c r="B28" s="190">
        <f>SUBTOTAL(9,B29:B32)</f>
        <v>0.98522792473637455</v>
      </c>
      <c r="C28" s="190">
        <f>SUBTOTAL(9,C29:C32)</f>
        <v>1</v>
      </c>
      <c r="D28" s="187">
        <f>SUBTOTAL(9,D29:D32)</f>
        <v>3102.5454545454545</v>
      </c>
      <c r="E28" s="187">
        <f>SUBTOTAL(9,E29:E32)</f>
        <v>310.25454545454551</v>
      </c>
      <c r="F28" s="187">
        <f>SUBTOTAL(9,F29:F32)</f>
        <v>32.402563493947312</v>
      </c>
      <c r="G28" s="187">
        <f t="shared" ref="G28:N28" si="15">SUBTOTAL(9,G29:G32)</f>
        <v>310.25454545454551</v>
      </c>
      <c r="H28" s="187">
        <f t="shared" si="15"/>
        <v>32.402563493947312</v>
      </c>
      <c r="I28" s="187">
        <f t="shared" si="15"/>
        <v>0</v>
      </c>
      <c r="J28" s="187">
        <f t="shared" si="15"/>
        <v>32.402563493947312</v>
      </c>
      <c r="K28" s="187">
        <f t="shared" si="15"/>
        <v>0</v>
      </c>
      <c r="L28" s="187">
        <f t="shared" si="15"/>
        <v>0</v>
      </c>
      <c r="M28" s="187">
        <f t="shared" si="15"/>
        <v>0</v>
      </c>
      <c r="N28" s="187">
        <f t="shared" si="15"/>
        <v>0</v>
      </c>
      <c r="R28" s="188" t="s">
        <v>1917</v>
      </c>
      <c r="S28" s="409">
        <f t="shared" si="10"/>
        <v>0</v>
      </c>
      <c r="T28" s="409">
        <f t="shared" si="11"/>
        <v>0</v>
      </c>
      <c r="U28" s="188" t="s">
        <v>1602</v>
      </c>
      <c r="V28" s="409">
        <f t="shared" si="12"/>
        <v>0</v>
      </c>
      <c r="W28" s="409">
        <f t="shared" si="13"/>
        <v>0</v>
      </c>
      <c r="X28" s="409">
        <f t="shared" si="14"/>
        <v>0</v>
      </c>
    </row>
    <row r="29" spans="1:24">
      <c r="A29" s="188" t="s">
        <v>1147</v>
      </c>
      <c r="B29" s="192">
        <f>SUMIF('BD VOLUME'!$E:$E,A29,'BD VOLUME'!$J:$J)</f>
        <v>0</v>
      </c>
      <c r="C29" s="192">
        <f>IFERROR(B29/$B$28,0)</f>
        <v>0</v>
      </c>
      <c r="D29" s="193">
        <f>IFERROR(SUMIF('BD VOLUME'!E:E,A29,'BD VOLUME'!F:F)/Preencher!$I$11,0)</f>
        <v>0</v>
      </c>
      <c r="E29" s="193">
        <f>SUMIF('BD VOLUME'!E:E,A29,'BD VOLUME'!N:N)*'BD VOLUME'!$C$3</f>
        <v>0</v>
      </c>
      <c r="F29" s="193">
        <f>SUMIF('BD VOLUME'!E:E,A29,'BD VOLUME'!N:N)</f>
        <v>0</v>
      </c>
      <c r="G29" s="193">
        <f>H29*'BD VOLUME'!$C$3</f>
        <v>0</v>
      </c>
      <c r="H29" s="193">
        <f>SUM(I29:M29)</f>
        <v>0</v>
      </c>
      <c r="I29" s="193">
        <f>SUMIF('BD VOLUME'!E:E,A29,'BD VOLUME'!O:O)</f>
        <v>0</v>
      </c>
      <c r="J29" s="193">
        <f>SUMIF('BD VOLUME'!E:E,A29,'BD VOLUME'!P:P)</f>
        <v>0</v>
      </c>
      <c r="K29" s="193">
        <f>SUMIF('BD VOLUME'!E:E,A29,'BD VOLUME'!Q:Q)</f>
        <v>0</v>
      </c>
      <c r="L29" s="193">
        <f>SUMIF('BD VOLUME'!E:E,A29,'BD VOLUME'!R:R)</f>
        <v>0</v>
      </c>
      <c r="M29" s="193">
        <f>SUMIF('BD VOLUME'!E:E,A29,'BD VOLUME'!S:S)</f>
        <v>0</v>
      </c>
      <c r="N29" s="193">
        <f>SUMIF('BD VOLUME'!E:E,A29,'BD VOLUME'!T:T)</f>
        <v>0</v>
      </c>
      <c r="R29" s="188" t="s">
        <v>976</v>
      </c>
      <c r="S29" s="409">
        <f t="shared" si="10"/>
        <v>66.076363636363638</v>
      </c>
      <c r="T29" s="409">
        <f t="shared" si="11"/>
        <v>66.076363636363638</v>
      </c>
      <c r="U29" s="188" t="s">
        <v>1082</v>
      </c>
      <c r="V29" s="409">
        <f t="shared" si="12"/>
        <v>0</v>
      </c>
      <c r="W29" s="409">
        <f t="shared" si="13"/>
        <v>0</v>
      </c>
      <c r="X29" s="409">
        <f t="shared" si="14"/>
        <v>0</v>
      </c>
    </row>
    <row r="30" spans="1:24">
      <c r="A30" s="188" t="s">
        <v>1148</v>
      </c>
      <c r="B30" s="192">
        <f>SUMIF('BD VOLUME'!$E:$E,A30,'BD VOLUME'!$J:$J)</f>
        <v>0</v>
      </c>
      <c r="C30" s="192">
        <f>IFERROR(B30/$B$28,0)</f>
        <v>0</v>
      </c>
      <c r="D30" s="193">
        <f>IFERROR(SUMIF('BD VOLUME'!E:E,A30,'BD VOLUME'!F:F)/Preencher!$I$11,0)</f>
        <v>0</v>
      </c>
      <c r="E30" s="193">
        <f>SUMIF('BD VOLUME'!E:E,A30,'BD VOLUME'!N:N)*'BD VOLUME'!$C$3</f>
        <v>0</v>
      </c>
      <c r="F30" s="193">
        <f>SUMIF('BD VOLUME'!E:E,A30,'BD VOLUME'!N:N)</f>
        <v>0</v>
      </c>
      <c r="G30" s="193">
        <f>H30*'BD VOLUME'!$C$3</f>
        <v>0</v>
      </c>
      <c r="H30" s="193">
        <f>SUM(I30:M30)</f>
        <v>0</v>
      </c>
      <c r="I30" s="193">
        <f>SUMIF('BD VOLUME'!E:E,A30,'BD VOLUME'!O:O)</f>
        <v>0</v>
      </c>
      <c r="J30" s="193">
        <f>SUMIF('BD VOLUME'!E:E,A30,'BD VOLUME'!P:P)</f>
        <v>0</v>
      </c>
      <c r="K30" s="193">
        <f>SUMIF('BD VOLUME'!E:E,A30,'BD VOLUME'!Q:Q)</f>
        <v>0</v>
      </c>
      <c r="L30" s="193">
        <f>SUMIF('BD VOLUME'!E:E,A30,'BD VOLUME'!R:R)</f>
        <v>0</v>
      </c>
      <c r="M30" s="193">
        <f>SUMIF('BD VOLUME'!E:E,A30,'BD VOLUME'!S:S)</f>
        <v>0</v>
      </c>
      <c r="N30" s="193">
        <f>SUMIF('BD VOLUME'!E:E,A30,'BD VOLUME'!T:T)</f>
        <v>0</v>
      </c>
      <c r="R30" s="188" t="s">
        <v>2118</v>
      </c>
      <c r="S30" s="409">
        <f t="shared" si="10"/>
        <v>0</v>
      </c>
      <c r="T30" s="409">
        <f t="shared" si="11"/>
        <v>0</v>
      </c>
      <c r="U30" s="188" t="s">
        <v>2126</v>
      </c>
      <c r="V30" s="409">
        <f t="shared" si="12"/>
        <v>0</v>
      </c>
      <c r="W30" s="409">
        <f t="shared" si="13"/>
        <v>0</v>
      </c>
      <c r="X30" s="409">
        <f t="shared" si="14"/>
        <v>0</v>
      </c>
    </row>
    <row r="31" spans="1:24">
      <c r="A31" s="188" t="s">
        <v>1149</v>
      </c>
      <c r="B31" s="192">
        <f>SUMIF('BD VOLUME'!$E:$E,A31,'BD VOLUME'!$J:$J)</f>
        <v>0.98522792473637455</v>
      </c>
      <c r="C31" s="192">
        <f>IFERROR(B31/$B$28,0)</f>
        <v>1</v>
      </c>
      <c r="D31" s="193">
        <f>IFERROR(SUMIF('BD VOLUME'!E:E,A31,'BD VOLUME'!F:F)/Preencher!$I$11,0)</f>
        <v>3102.5454545454545</v>
      </c>
      <c r="E31" s="193">
        <f>SUMIF('BD VOLUME'!E:E,A31,'BD VOLUME'!N:N)*'BD VOLUME'!$C$3</f>
        <v>310.25454545454551</v>
      </c>
      <c r="F31" s="193">
        <f>SUMIF('BD VOLUME'!E:E,A31,'BD VOLUME'!N:N)</f>
        <v>32.402563493947312</v>
      </c>
      <c r="G31" s="193">
        <f>H31*'BD VOLUME'!$C$3</f>
        <v>310.25454545454551</v>
      </c>
      <c r="H31" s="193">
        <f>SUM(I31:M31)</f>
        <v>32.402563493947312</v>
      </c>
      <c r="I31" s="193">
        <f>SUMIF('BD VOLUME'!E:E,A31,'BD VOLUME'!O:O)</f>
        <v>0</v>
      </c>
      <c r="J31" s="193">
        <f>SUMIF('BD VOLUME'!E:E,A31,'BD VOLUME'!P:P)</f>
        <v>32.402563493947312</v>
      </c>
      <c r="K31" s="193">
        <f>SUMIF('BD VOLUME'!E:E,A31,'BD VOLUME'!Q:Q)</f>
        <v>0</v>
      </c>
      <c r="L31" s="193">
        <f>SUMIF('BD VOLUME'!E:E,A31,'BD VOLUME'!R:R)</f>
        <v>0</v>
      </c>
      <c r="M31" s="193">
        <f>SUMIF('BD VOLUME'!E:E,A31,'BD VOLUME'!S:S)</f>
        <v>0</v>
      </c>
      <c r="N31" s="193">
        <f>SUMIF('BD VOLUME'!E:E,A31,'BD VOLUME'!T:T)</f>
        <v>0</v>
      </c>
      <c r="R31" s="188" t="s">
        <v>1804</v>
      </c>
      <c r="S31" s="409">
        <f t="shared" si="10"/>
        <v>0</v>
      </c>
      <c r="T31" s="409">
        <f t="shared" si="11"/>
        <v>0</v>
      </c>
      <c r="U31" s="188" t="s">
        <v>1644</v>
      </c>
      <c r="V31" s="409">
        <f t="shared" si="12"/>
        <v>0</v>
      </c>
      <c r="W31" s="409">
        <f t="shared" si="13"/>
        <v>0</v>
      </c>
      <c r="X31" s="409">
        <f t="shared" si="14"/>
        <v>0</v>
      </c>
    </row>
    <row r="32" spans="1:24">
      <c r="A32" s="188" t="s">
        <v>1150</v>
      </c>
      <c r="B32" s="192">
        <f>SUMIF('BD VOLUME'!$E:$E,A32,'BD VOLUME'!$J:$J)</f>
        <v>0</v>
      </c>
      <c r="C32" s="192">
        <f>IFERROR(B32/$B$28,0)</f>
        <v>0</v>
      </c>
      <c r="D32" s="193">
        <f>IFERROR(SUMIF('BD VOLUME'!E:E,A32,'BD VOLUME'!F:F)/Preencher!$I$11,0)</f>
        <v>0</v>
      </c>
      <c r="E32" s="193">
        <f>SUMIF('BD VOLUME'!E:E,A32,'BD VOLUME'!N:N)*'BD VOLUME'!$C$3</f>
        <v>0</v>
      </c>
      <c r="F32" s="193">
        <f>SUMIF('BD VOLUME'!E:E,A32,'BD VOLUME'!N:N)</f>
        <v>0</v>
      </c>
      <c r="G32" s="193">
        <f>H32*'BD VOLUME'!$C$3</f>
        <v>0</v>
      </c>
      <c r="H32" s="193">
        <f>SUM(I32:M32)</f>
        <v>0</v>
      </c>
      <c r="I32" s="193">
        <f>SUMIF('BD VOLUME'!E:E,A32,'BD VOLUME'!O:O)</f>
        <v>0</v>
      </c>
      <c r="J32" s="193">
        <f>SUMIF('BD VOLUME'!E:E,A32,'BD VOLUME'!P:P)</f>
        <v>0</v>
      </c>
      <c r="K32" s="193">
        <f>SUMIF('BD VOLUME'!E:E,A32,'BD VOLUME'!Q:Q)</f>
        <v>0</v>
      </c>
      <c r="L32" s="193">
        <f>SUMIF('BD VOLUME'!E:E,A32,'BD VOLUME'!R:R)</f>
        <v>0</v>
      </c>
      <c r="M32" s="193">
        <f>SUMIF('BD VOLUME'!E:E,A32,'BD VOLUME'!S:S)</f>
        <v>0</v>
      </c>
      <c r="N32" s="193">
        <f>SUMIF('BD VOLUME'!E:E,A32,'BD VOLUME'!T:T)</f>
        <v>0</v>
      </c>
      <c r="R32" s="188" t="s">
        <v>1807</v>
      </c>
      <c r="S32" s="409">
        <f t="shared" si="10"/>
        <v>0</v>
      </c>
      <c r="T32" s="409">
        <f t="shared" si="11"/>
        <v>0</v>
      </c>
      <c r="U32" s="188" t="s">
        <v>2124</v>
      </c>
      <c r="V32" s="409">
        <f t="shared" si="12"/>
        <v>0</v>
      </c>
      <c r="W32" s="409">
        <f t="shared" si="13"/>
        <v>0</v>
      </c>
      <c r="X32" s="409">
        <f t="shared" si="14"/>
        <v>0</v>
      </c>
    </row>
    <row r="33" spans="1:24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R33" s="188" t="s">
        <v>1589</v>
      </c>
      <c r="S33" s="409">
        <f t="shared" si="10"/>
        <v>13.745454545454548</v>
      </c>
      <c r="T33" s="409">
        <f t="shared" si="11"/>
        <v>13.745454545454548</v>
      </c>
      <c r="U33" s="196" t="s">
        <v>1955</v>
      </c>
      <c r="V33" s="197">
        <f>SUBTOTAL(9,V34:V36)</f>
        <v>0</v>
      </c>
      <c r="W33" s="197">
        <f>SUBTOTAL(9,W34:W36)</f>
        <v>0</v>
      </c>
      <c r="X33" s="197">
        <f>SUBTOTAL(9,X34:X36)</f>
        <v>0</v>
      </c>
    </row>
    <row r="34" spans="1:24">
      <c r="A34" s="188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R34" s="188" t="s">
        <v>1701</v>
      </c>
      <c r="S34" s="409">
        <f t="shared" si="10"/>
        <v>0</v>
      </c>
      <c r="T34" s="409">
        <f t="shared" si="11"/>
        <v>0</v>
      </c>
      <c r="U34" s="188" t="s">
        <v>2386</v>
      </c>
      <c r="V34" s="409">
        <f>SUMIF(A:A,U34,D:D)</f>
        <v>0</v>
      </c>
      <c r="W34" s="409">
        <f>SUMIF(A:A,U34,E:E)</f>
        <v>0</v>
      </c>
      <c r="X34" s="409">
        <f>SUMIF(A:A,U34,G:G)</f>
        <v>0</v>
      </c>
    </row>
    <row r="35" spans="1:24">
      <c r="A35" s="188" t="s">
        <v>957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R35" s="188" t="s">
        <v>1654</v>
      </c>
      <c r="S35" s="409">
        <f t="shared" si="10"/>
        <v>0</v>
      </c>
      <c r="T35" s="409">
        <f t="shared" si="11"/>
        <v>0</v>
      </c>
      <c r="U35" s="188" t="s">
        <v>2387</v>
      </c>
      <c r="V35" s="409">
        <f>SUMIF(A:A,U35,D:D)</f>
        <v>0</v>
      </c>
      <c r="W35" s="409">
        <f>SUMIF(A:A,U35,E:E)</f>
        <v>0</v>
      </c>
      <c r="X35" s="409">
        <f>SUMIF(A:A,U35,G:G)</f>
        <v>0</v>
      </c>
    </row>
    <row r="36" spans="1:24">
      <c r="A36" s="191" t="s">
        <v>939</v>
      </c>
      <c r="B36" s="190">
        <f t="shared" ref="B36:N36" si="16">SUBTOTAL(9,B37:B43)</f>
        <v>0</v>
      </c>
      <c r="C36" s="190">
        <f t="shared" si="16"/>
        <v>0</v>
      </c>
      <c r="D36" s="187">
        <f t="shared" si="16"/>
        <v>0</v>
      </c>
      <c r="E36" s="187">
        <f t="shared" si="16"/>
        <v>0</v>
      </c>
      <c r="F36" s="187">
        <f t="shared" si="16"/>
        <v>0</v>
      </c>
      <c r="G36" s="187">
        <f t="shared" si="16"/>
        <v>0</v>
      </c>
      <c r="H36" s="187">
        <f t="shared" si="16"/>
        <v>0</v>
      </c>
      <c r="I36" s="187">
        <f t="shared" si="16"/>
        <v>0</v>
      </c>
      <c r="J36" s="187">
        <f t="shared" si="16"/>
        <v>0</v>
      </c>
      <c r="K36" s="187">
        <f t="shared" si="16"/>
        <v>0</v>
      </c>
      <c r="L36" s="187">
        <f t="shared" si="16"/>
        <v>0</v>
      </c>
      <c r="M36" s="187">
        <f t="shared" si="16"/>
        <v>0</v>
      </c>
      <c r="N36" s="187">
        <f t="shared" si="16"/>
        <v>0</v>
      </c>
      <c r="R36" s="188" t="s">
        <v>1792</v>
      </c>
      <c r="S36" s="409">
        <f t="shared" si="10"/>
        <v>0</v>
      </c>
      <c r="T36" s="409">
        <f t="shared" si="11"/>
        <v>0</v>
      </c>
      <c r="U36" s="188" t="s">
        <v>2388</v>
      </c>
      <c r="V36" s="409">
        <f>SUMIF(A:A,U36,D:D)</f>
        <v>0</v>
      </c>
      <c r="W36" s="409">
        <f>SUMIF(A:A,U36,E:E)</f>
        <v>0</v>
      </c>
      <c r="X36" s="409">
        <f>SUMIF(A:A,U36,G:G)</f>
        <v>0</v>
      </c>
    </row>
    <row r="37" spans="1:24">
      <c r="A37" s="188" t="s">
        <v>1339</v>
      </c>
      <c r="B37" s="192">
        <f>SUMIF('BD VOLUME'!$E:$E,A37,'BD VOLUME'!$J:$J)</f>
        <v>0</v>
      </c>
      <c r="C37" s="192">
        <f t="shared" ref="C37:C46" si="17">B37</f>
        <v>0</v>
      </c>
      <c r="D37" s="193">
        <f>IFERROR(SUMIF('BD VOLUME'!E:E,A37,'BD VOLUME'!F:F)/Preencher!$I$11,0)</f>
        <v>0</v>
      </c>
      <c r="E37" s="193">
        <f>SUMIF('BD VOLUME'!E:E,A37,'BD VOLUME'!N:N)*'BD VOLUME'!$C$3</f>
        <v>0</v>
      </c>
      <c r="F37" s="193">
        <f>SUMIF('BD VOLUME'!E:E,A37,'BD VOLUME'!N:N)</f>
        <v>0</v>
      </c>
      <c r="G37" s="193">
        <f>H37*'BD VOLUME'!$C$3</f>
        <v>0</v>
      </c>
      <c r="H37" s="193">
        <f>SUM(I37:M37)</f>
        <v>0</v>
      </c>
      <c r="I37" s="193">
        <f>SUMIF('BD VOLUME'!E:E,A37,'BD VOLUME'!O:O)</f>
        <v>0</v>
      </c>
      <c r="J37" s="193">
        <f>SUMIF('BD VOLUME'!E:E,A37,'BD VOLUME'!P:P)</f>
        <v>0</v>
      </c>
      <c r="K37" s="193">
        <f>SUMIF('BD VOLUME'!E:E,A37,'BD VOLUME'!Q:Q)</f>
        <v>0</v>
      </c>
      <c r="L37" s="193">
        <f>SUMIF('BD VOLUME'!E:E,A37,'BD VOLUME'!R:R)</f>
        <v>0</v>
      </c>
      <c r="M37" s="193">
        <f>SUMIF('BD VOLUME'!E:E,A37,'BD VOLUME'!S:S)</f>
        <v>0</v>
      </c>
      <c r="N37" s="193">
        <f>SUMIF('BD VOLUME'!E:E,A37,'BD VOLUME'!T:T)</f>
        <v>0</v>
      </c>
      <c r="R37" s="188" t="s">
        <v>1642</v>
      </c>
      <c r="S37" s="409">
        <f t="shared" si="10"/>
        <v>154.60363636363638</v>
      </c>
      <c r="T37" s="409">
        <f t="shared" si="11"/>
        <v>237.85174825174829</v>
      </c>
      <c r="U37" s="188"/>
      <c r="V37" s="409"/>
      <c r="W37" s="409"/>
      <c r="X37" s="409"/>
    </row>
    <row r="38" spans="1:24">
      <c r="A38" s="188" t="s">
        <v>1340</v>
      </c>
      <c r="B38" s="192">
        <f>SUMIF('BD VOLUME'!$E:$E,A38,'BD VOLUME'!$J:$J)</f>
        <v>0</v>
      </c>
      <c r="C38" s="192">
        <f t="shared" si="17"/>
        <v>0</v>
      </c>
      <c r="D38" s="193">
        <f>IFERROR(SUMIF('BD VOLUME'!E:E,A38,'BD VOLUME'!F:F)/Preencher!$I$11,0)</f>
        <v>0</v>
      </c>
      <c r="E38" s="193">
        <f>SUMIF('BD VOLUME'!E:E,A38,'BD VOLUME'!N:N)*'BD VOLUME'!$C$3</f>
        <v>0</v>
      </c>
      <c r="F38" s="193">
        <f>SUMIF('BD VOLUME'!E:E,A38,'BD VOLUME'!N:N)</f>
        <v>0</v>
      </c>
      <c r="G38" s="193">
        <f>H38*'BD VOLUME'!$C$3</f>
        <v>0</v>
      </c>
      <c r="H38" s="193">
        <f t="shared" ref="H38:H46" si="18">SUM(I38:M38)</f>
        <v>0</v>
      </c>
      <c r="I38" s="193">
        <f>SUMIF('BD VOLUME'!E:E,A38,'BD VOLUME'!O:O)</f>
        <v>0</v>
      </c>
      <c r="J38" s="193">
        <f>SUMIF('BD VOLUME'!E:E,A38,'BD VOLUME'!P:P)</f>
        <v>0</v>
      </c>
      <c r="K38" s="193">
        <f>SUMIF('BD VOLUME'!E:E,A38,'BD VOLUME'!Q:Q)</f>
        <v>0</v>
      </c>
      <c r="L38" s="193">
        <f>SUMIF('BD VOLUME'!E:E,A38,'BD VOLUME'!R:R)</f>
        <v>0</v>
      </c>
      <c r="M38" s="193">
        <f>SUMIF('BD VOLUME'!E:E,A38,'BD VOLUME'!S:S)</f>
        <v>0</v>
      </c>
      <c r="N38" s="193">
        <f>SUMIF('BD VOLUME'!E:E,A38,'BD VOLUME'!T:T)</f>
        <v>0</v>
      </c>
      <c r="R38" s="188" t="s">
        <v>1747</v>
      </c>
      <c r="S38" s="409">
        <f t="shared" si="10"/>
        <v>0</v>
      </c>
      <c r="T38" s="409">
        <f t="shared" si="11"/>
        <v>0</v>
      </c>
      <c r="U38" s="188"/>
      <c r="V38" s="409"/>
      <c r="W38" s="189" t="s">
        <v>3083</v>
      </c>
      <c r="X38" s="409"/>
    </row>
    <row r="39" spans="1:24">
      <c r="A39" s="188" t="s">
        <v>2587</v>
      </c>
      <c r="B39" s="192">
        <f>SUMIF('BD VOLUME'!$E:$E,A39,'BD VOLUME'!$J:$J)</f>
        <v>0</v>
      </c>
      <c r="C39" s="192">
        <f>B39</f>
        <v>0</v>
      </c>
      <c r="D39" s="193">
        <f>IFERROR(SUMIF('BD VOLUME'!E:E,A39,'BD VOLUME'!F:F)/Preencher!$I$11,0)</f>
        <v>0</v>
      </c>
      <c r="E39" s="193">
        <f>SUMIF('BD VOLUME'!E:E,A39,'BD VOLUME'!N:N)*'BD VOLUME'!$C$3</f>
        <v>0</v>
      </c>
      <c r="F39" s="193">
        <f>SUMIF('BD VOLUME'!E:E,A39,'BD VOLUME'!N:N)</f>
        <v>0</v>
      </c>
      <c r="G39" s="193">
        <f>H39*'BD VOLUME'!$C$3</f>
        <v>0</v>
      </c>
      <c r="H39" s="193">
        <f t="shared" si="18"/>
        <v>0</v>
      </c>
      <c r="I39" s="193">
        <f>SUMIF('BD VOLUME'!E:E,A39,'BD VOLUME'!O:O)</f>
        <v>0</v>
      </c>
      <c r="J39" s="193">
        <f>SUMIF('BD VOLUME'!E:E,A39,'BD VOLUME'!P:P)</f>
        <v>0</v>
      </c>
      <c r="K39" s="193">
        <f>SUMIF('BD VOLUME'!E:E,A39,'BD VOLUME'!Q:Q)</f>
        <v>0</v>
      </c>
      <c r="L39" s="193">
        <f>SUMIF('BD VOLUME'!E:E,A39,'BD VOLUME'!R:R)</f>
        <v>0</v>
      </c>
      <c r="M39" s="193">
        <f>SUMIF('BD VOLUME'!E:E,A39,'BD VOLUME'!S:S)</f>
        <v>0</v>
      </c>
      <c r="N39" s="193">
        <f>SUMIF('BD VOLUME'!E:E,A39,'BD VOLUME'!T:T)</f>
        <v>0</v>
      </c>
      <c r="R39" s="188" t="s">
        <v>1798</v>
      </c>
      <c r="S39" s="409">
        <f t="shared" si="10"/>
        <v>0</v>
      </c>
      <c r="T39" s="409">
        <f t="shared" si="11"/>
        <v>0</v>
      </c>
      <c r="U39" s="196" t="s">
        <v>3082</v>
      </c>
      <c r="V39" s="197">
        <f>SUBTOTAL(9,V40:V42)</f>
        <v>30766.123636363642</v>
      </c>
      <c r="W39" s="197">
        <f>SUBTOTAL(9,W40:W42)</f>
        <v>3213.1721813434615</v>
      </c>
      <c r="X39" s="197">
        <f>SUBTOTAL(9,X40:X42)</f>
        <v>2051.0749090909094</v>
      </c>
    </row>
    <row r="40" spans="1:24">
      <c r="A40" s="188" t="s">
        <v>2588</v>
      </c>
      <c r="B40" s="192">
        <f>SUMIF('BD VOLUME'!$E:$E,A40,'BD VOLUME'!$J:$J)</f>
        <v>0</v>
      </c>
      <c r="C40" s="192">
        <f t="shared" si="17"/>
        <v>0</v>
      </c>
      <c r="D40" s="193">
        <f>IFERROR(SUMIF('BD VOLUME'!E:E,A40,'BD VOLUME'!F:F)/Preencher!$I$11,0)</f>
        <v>0</v>
      </c>
      <c r="E40" s="193">
        <f>SUMIF('BD VOLUME'!E:E,A40,'BD VOLUME'!N:N)*'BD VOLUME'!$C$3</f>
        <v>0</v>
      </c>
      <c r="F40" s="193">
        <f>SUMIF('BD VOLUME'!E:E,A40,'BD VOLUME'!N:N)</f>
        <v>0</v>
      </c>
      <c r="G40" s="193">
        <f>H40*'BD VOLUME'!$C$3</f>
        <v>0</v>
      </c>
      <c r="H40" s="193">
        <f t="shared" si="18"/>
        <v>0</v>
      </c>
      <c r="I40" s="193">
        <f>SUMIF('BD VOLUME'!E:E,A40,'BD VOLUME'!O:O)</f>
        <v>0</v>
      </c>
      <c r="J40" s="193">
        <f>SUMIF('BD VOLUME'!E:E,A40,'BD VOLUME'!P:P)</f>
        <v>0</v>
      </c>
      <c r="K40" s="193">
        <f>SUMIF('BD VOLUME'!E:E,A40,'BD VOLUME'!Q:Q)</f>
        <v>0</v>
      </c>
      <c r="L40" s="193">
        <f>SUMIF('BD VOLUME'!E:E,A40,'BD VOLUME'!R:R)</f>
        <v>0</v>
      </c>
      <c r="M40" s="193">
        <f>SUMIF('BD VOLUME'!E:E,A40,'BD VOLUME'!S:S)</f>
        <v>0</v>
      </c>
      <c r="N40" s="193">
        <f>SUMIF('BD VOLUME'!E:E,A40,'BD VOLUME'!T:T)</f>
        <v>0</v>
      </c>
      <c r="R40" s="188" t="s">
        <v>1768</v>
      </c>
      <c r="S40" s="409">
        <f t="shared" si="10"/>
        <v>0</v>
      </c>
      <c r="T40" s="409">
        <f t="shared" si="11"/>
        <v>0</v>
      </c>
      <c r="U40" s="188" t="s">
        <v>924</v>
      </c>
      <c r="V40" s="409">
        <f t="shared" ref="V40:V45" si="19">SUMIF(A:A,U40,D:D)</f>
        <v>30766.123636363642</v>
      </c>
      <c r="W40" s="409">
        <f>SUMIF(A:A,U40,F:F)</f>
        <v>3213.1721813434615</v>
      </c>
      <c r="X40" s="409">
        <f t="shared" ref="X40:X45" si="20">SUMIF(A:A,U40,G:G)</f>
        <v>2051.0749090909094</v>
      </c>
    </row>
    <row r="41" spans="1:24">
      <c r="A41" s="188" t="s">
        <v>2586</v>
      </c>
      <c r="B41" s="192">
        <f>SUMIF('BD VOLUME'!$E:$E,A41,'BD VOLUME'!$J:$J)</f>
        <v>0</v>
      </c>
      <c r="C41" s="192">
        <f>B41</f>
        <v>0</v>
      </c>
      <c r="D41" s="193">
        <f>IFERROR(SUMIF('BD VOLUME'!E:E,A41,'BD VOLUME'!F:F)/Preencher!$I$11,0)</f>
        <v>0</v>
      </c>
      <c r="E41" s="193">
        <f>SUMIF('BD VOLUME'!E:E,A41,'BD VOLUME'!N:N)*'BD VOLUME'!$C$3</f>
        <v>0</v>
      </c>
      <c r="F41" s="193">
        <f>SUMIF('BD VOLUME'!E:E,A41,'BD VOLUME'!N:N)</f>
        <v>0</v>
      </c>
      <c r="G41" s="193">
        <f>H41*'BD VOLUME'!$C$3</f>
        <v>0</v>
      </c>
      <c r="H41" s="193">
        <f>SUM(I41:M41)</f>
        <v>0</v>
      </c>
      <c r="I41" s="193">
        <f>SUMIF('BD VOLUME'!E:E,A41,'BD VOLUME'!O:O)</f>
        <v>0</v>
      </c>
      <c r="J41" s="193">
        <f>SUMIF('BD VOLUME'!E:E,A41,'BD VOLUME'!P:P)</f>
        <v>0</v>
      </c>
      <c r="K41" s="193">
        <f>SUMIF('BD VOLUME'!E:E,A41,'BD VOLUME'!Q:Q)</f>
        <v>0</v>
      </c>
      <c r="L41" s="193">
        <f>SUMIF('BD VOLUME'!E:E,A41,'BD VOLUME'!R:R)</f>
        <v>0</v>
      </c>
      <c r="M41" s="193">
        <f>SUMIF('BD VOLUME'!E:E,A41,'BD VOLUME'!S:S)</f>
        <v>0</v>
      </c>
      <c r="N41" s="193">
        <f>SUMIF('BD VOLUME'!E:E,A41,'BD VOLUME'!T:T)</f>
        <v>0</v>
      </c>
      <c r="R41" s="188" t="s">
        <v>1008</v>
      </c>
      <c r="S41" s="409">
        <f t="shared" si="10"/>
        <v>0</v>
      </c>
      <c r="T41" s="409">
        <f t="shared" si="11"/>
        <v>0</v>
      </c>
      <c r="U41" s="188" t="s">
        <v>1702</v>
      </c>
      <c r="V41" s="409">
        <f t="shared" si="19"/>
        <v>0</v>
      </c>
      <c r="W41" s="409">
        <f>SUMIF(A:A,U41,E:E)</f>
        <v>0</v>
      </c>
      <c r="X41" s="409">
        <f t="shared" si="20"/>
        <v>0</v>
      </c>
    </row>
    <row r="42" spans="1:24">
      <c r="A42" s="188" t="s">
        <v>2585</v>
      </c>
      <c r="B42" s="192">
        <f>SUMIF('BD VOLUME'!$E:$E,A42,'BD VOLUME'!$J:$J)</f>
        <v>0</v>
      </c>
      <c r="C42" s="192">
        <f>B42</f>
        <v>0</v>
      </c>
      <c r="D42" s="193">
        <f>IFERROR(SUMIF('BD VOLUME'!E:E,A42,'BD VOLUME'!F:F)/Preencher!$I$11,0)</f>
        <v>0</v>
      </c>
      <c r="E42" s="193">
        <f>SUMIF('BD VOLUME'!E:E,A42,'BD VOLUME'!N:N)*'BD VOLUME'!$C$3</f>
        <v>0</v>
      </c>
      <c r="F42" s="193">
        <f>SUMIF('BD VOLUME'!E:E,A42,'BD VOLUME'!N:N)</f>
        <v>0</v>
      </c>
      <c r="G42" s="193">
        <f>H42*'BD VOLUME'!$C$3</f>
        <v>0</v>
      </c>
      <c r="H42" s="193">
        <f>SUM(I42:M42)</f>
        <v>0</v>
      </c>
      <c r="I42" s="193">
        <f>SUMIF('BD VOLUME'!E:E,A42,'BD VOLUME'!O:O)</f>
        <v>0</v>
      </c>
      <c r="J42" s="193">
        <f>SUMIF('BD VOLUME'!E:E,A42,'BD VOLUME'!P:P)</f>
        <v>0</v>
      </c>
      <c r="K42" s="193">
        <f>SUMIF('BD VOLUME'!E:E,A42,'BD VOLUME'!Q:Q)</f>
        <v>0</v>
      </c>
      <c r="L42" s="193">
        <f>SUMIF('BD VOLUME'!E:E,A42,'BD VOLUME'!R:R)</f>
        <v>0</v>
      </c>
      <c r="M42" s="193">
        <f>SUMIF('BD VOLUME'!E:E,A42,'BD VOLUME'!S:S)</f>
        <v>0</v>
      </c>
      <c r="N42" s="193">
        <f>SUMIF('BD VOLUME'!E:E,A42,'BD VOLUME'!T:T)</f>
        <v>0</v>
      </c>
      <c r="R42" s="188" t="s">
        <v>1015</v>
      </c>
      <c r="S42" s="409">
        <f t="shared" si="10"/>
        <v>49.74545454545455</v>
      </c>
      <c r="T42" s="409">
        <f t="shared" si="11"/>
        <v>49.745454545454557</v>
      </c>
      <c r="U42" s="188" t="s">
        <v>1637</v>
      </c>
      <c r="V42" s="409">
        <f t="shared" si="19"/>
        <v>0</v>
      </c>
      <c r="W42" s="409">
        <f>SUMIF(A:A,U42,E:E)</f>
        <v>0</v>
      </c>
      <c r="X42" s="409">
        <f t="shared" si="20"/>
        <v>0</v>
      </c>
    </row>
    <row r="43" spans="1:24">
      <c r="A43" s="188" t="s">
        <v>2459</v>
      </c>
      <c r="B43" s="192">
        <f>SUMIF('BD VOLUME'!$E:$E,A43,'BD VOLUME'!$J:$J)</f>
        <v>0</v>
      </c>
      <c r="C43" s="192">
        <f t="shared" si="17"/>
        <v>0</v>
      </c>
      <c r="D43" s="193">
        <f>IFERROR(SUMIF('BD VOLUME'!E:E,A43,'BD VOLUME'!F:F)/Preencher!$I$11,0)</f>
        <v>0</v>
      </c>
      <c r="E43" s="193">
        <f>SUMIF('BD VOLUME'!E:E,A43,'BD VOLUME'!N:N)*'BD VOLUME'!$C$3</f>
        <v>0</v>
      </c>
      <c r="F43" s="193">
        <f>SUMIF('BD VOLUME'!E:E,A43,'BD VOLUME'!N:N)</f>
        <v>0</v>
      </c>
      <c r="G43" s="193">
        <f>H43*'BD VOLUME'!$C$3</f>
        <v>0</v>
      </c>
      <c r="H43" s="193">
        <f t="shared" si="18"/>
        <v>0</v>
      </c>
      <c r="I43" s="193">
        <f>SUMIF('BD VOLUME'!E:E,A43,'BD VOLUME'!O:O)</f>
        <v>0</v>
      </c>
      <c r="J43" s="193">
        <f>SUMIF('BD VOLUME'!E:E,A43,'BD VOLUME'!P:P)</f>
        <v>0</v>
      </c>
      <c r="K43" s="193">
        <f>SUMIF('BD VOLUME'!E:E,A43,'BD VOLUME'!Q:Q)</f>
        <v>0</v>
      </c>
      <c r="L43" s="193">
        <f>SUMIF('BD VOLUME'!E:E,A43,'BD VOLUME'!R:R)</f>
        <v>0</v>
      </c>
      <c r="M43" s="193">
        <f>SUMIF('BD VOLUME'!E:E,A43,'BD VOLUME'!S:S)</f>
        <v>0</v>
      </c>
      <c r="N43" s="193">
        <f>SUMIF('BD VOLUME'!E:E,A43,'BD VOLUME'!T:T)</f>
        <v>0</v>
      </c>
      <c r="R43" s="188"/>
      <c r="S43" s="409"/>
      <c r="T43" s="409"/>
      <c r="U43" s="188" t="s">
        <v>1638</v>
      </c>
      <c r="V43" s="409">
        <f t="shared" si="19"/>
        <v>0</v>
      </c>
      <c r="W43" s="409">
        <f>SUMIF(A:A,U43,E:E)</f>
        <v>0</v>
      </c>
      <c r="X43" s="409">
        <f t="shared" si="20"/>
        <v>0</v>
      </c>
    </row>
    <row r="44" spans="1:24">
      <c r="A44" s="188" t="s">
        <v>322</v>
      </c>
      <c r="B44" s="192">
        <f>SUMIF('BD VOLUME'!$E:$E,A44,'BD VOLUME'!$J:$J)</f>
        <v>0</v>
      </c>
      <c r="C44" s="192">
        <f t="shared" si="17"/>
        <v>0</v>
      </c>
      <c r="D44" s="193">
        <f>IFERROR(SUMIF('BD VOLUME'!E:E,A44,'BD VOLUME'!F:F)/Preencher!$I$11,0)</f>
        <v>0</v>
      </c>
      <c r="E44" s="193">
        <f>SUMIF('BD VOLUME'!E:E,A44,'BD VOLUME'!N:N)*'BD VOLUME'!$C$3</f>
        <v>0</v>
      </c>
      <c r="F44" s="193">
        <f>SUMIF('BD VOLUME'!E:E,A44,'BD VOLUME'!N:N)</f>
        <v>0</v>
      </c>
      <c r="G44" s="193">
        <f>H44*'BD VOLUME'!$C$3</f>
        <v>0</v>
      </c>
      <c r="H44" s="193">
        <f t="shared" si="18"/>
        <v>0</v>
      </c>
      <c r="I44" s="193">
        <f>SUMIF('BD VOLUME'!E:E,A44,'BD VOLUME'!O:O)</f>
        <v>0</v>
      </c>
      <c r="J44" s="193">
        <f>SUMIF('BD VOLUME'!E:E,A44,'BD VOLUME'!P:P)</f>
        <v>0</v>
      </c>
      <c r="K44" s="193">
        <f>SUMIF('BD VOLUME'!E:E,A44,'BD VOLUME'!Q:Q)</f>
        <v>0</v>
      </c>
      <c r="L44" s="193">
        <f>SUMIF('BD VOLUME'!E:E,A44,'BD VOLUME'!R:R)</f>
        <v>0</v>
      </c>
      <c r="M44" s="193">
        <f>SUMIF('BD VOLUME'!E:E,A44,'BD VOLUME'!S:S)</f>
        <v>0</v>
      </c>
      <c r="N44" s="193">
        <f>SUMIF('BD VOLUME'!E:E,A44,'BD VOLUME'!T:T)</f>
        <v>0</v>
      </c>
      <c r="R44" s="188"/>
      <c r="S44" s="409"/>
      <c r="T44" s="409"/>
      <c r="U44" s="188" t="s">
        <v>1757</v>
      </c>
      <c r="V44" s="409">
        <f t="shared" si="19"/>
        <v>0</v>
      </c>
      <c r="W44" s="409">
        <f>SUMIF(A:A,U44,E:E)</f>
        <v>0</v>
      </c>
      <c r="X44" s="409">
        <f t="shared" si="20"/>
        <v>0</v>
      </c>
    </row>
    <row r="45" spans="1:24">
      <c r="A45" s="188" t="s">
        <v>2568</v>
      </c>
      <c r="B45" s="192">
        <f>SUMIF('BD VOLUME'!$E:$E,A45,'BD VOLUME'!$J:$J)</f>
        <v>0</v>
      </c>
      <c r="C45" s="192">
        <f>B45</f>
        <v>0</v>
      </c>
      <c r="D45" s="193">
        <f>IFERROR(SUMIF('BD VOLUME'!E:E,A45,'BD VOLUME'!F:F)/Preencher!$I$11,0)</f>
        <v>0</v>
      </c>
      <c r="E45" s="193">
        <f>SUMIF('BD VOLUME'!E:E,A45,'BD VOLUME'!N:N)*'BD VOLUME'!$C$3</f>
        <v>0</v>
      </c>
      <c r="F45" s="193">
        <f>SUMIF('BD VOLUME'!E:E,A45,'BD VOLUME'!N:N)</f>
        <v>0</v>
      </c>
      <c r="G45" s="193">
        <f>H45*'BD VOLUME'!$C$3</f>
        <v>0</v>
      </c>
      <c r="H45" s="193">
        <f>SUM(I45:M45)</f>
        <v>0</v>
      </c>
      <c r="I45" s="193">
        <f>SUMIF('BD VOLUME'!E:E,A45,'BD VOLUME'!O:O)</f>
        <v>0</v>
      </c>
      <c r="J45" s="193">
        <f>SUMIF('BD VOLUME'!E:E,A45,'BD VOLUME'!P:P)</f>
        <v>0</v>
      </c>
      <c r="K45" s="193">
        <f>SUMIF('BD VOLUME'!E:E,A45,'BD VOLUME'!Q:Q)</f>
        <v>0</v>
      </c>
      <c r="L45" s="193">
        <f>SUMIF('BD VOLUME'!E:E,A45,'BD VOLUME'!R:R)</f>
        <v>0</v>
      </c>
      <c r="M45" s="193">
        <f>SUMIF('BD VOLUME'!E:E,A45,'BD VOLUME'!S:S)</f>
        <v>0</v>
      </c>
      <c r="N45" s="193">
        <f>SUMIF('BD VOLUME'!E:E,A45,'BD VOLUME'!T:T)</f>
        <v>0</v>
      </c>
      <c r="R45" s="188"/>
      <c r="S45" s="409"/>
      <c r="T45" s="409"/>
      <c r="U45" s="188" t="s">
        <v>1017</v>
      </c>
      <c r="V45" s="409">
        <f t="shared" si="19"/>
        <v>0</v>
      </c>
      <c r="W45" s="409">
        <f>SUMIF(A:A,U45,E:E)</f>
        <v>0</v>
      </c>
      <c r="X45" s="409">
        <f t="shared" si="20"/>
        <v>0</v>
      </c>
    </row>
    <row r="46" spans="1:24">
      <c r="A46" s="188" t="s">
        <v>238</v>
      </c>
      <c r="B46" s="192">
        <f>SUMIF('BD VOLUME'!$E:$E,A46,'BD VOLUME'!$J:$J)</f>
        <v>0</v>
      </c>
      <c r="C46" s="192">
        <f t="shared" si="17"/>
        <v>0</v>
      </c>
      <c r="D46" s="193">
        <f>IFERROR(SUMIF('BD VOLUME'!E:E,A46,'BD VOLUME'!F:F)/Preencher!$I$11,0)</f>
        <v>0</v>
      </c>
      <c r="E46" s="193">
        <f>SUMIF('BD VOLUME'!E:E,A46,'BD VOLUME'!N:N)*'BD VOLUME'!$C$3</f>
        <v>0</v>
      </c>
      <c r="F46" s="193">
        <f>SUMIF('BD VOLUME'!E:E,A46,'BD VOLUME'!N:N)</f>
        <v>0</v>
      </c>
      <c r="G46" s="193">
        <f>H46*'BD VOLUME'!$C$3</f>
        <v>0</v>
      </c>
      <c r="H46" s="193">
        <f t="shared" si="18"/>
        <v>0</v>
      </c>
      <c r="I46" s="193">
        <f>SUMIF('BD VOLUME'!E:E,A46,'BD VOLUME'!O:O)</f>
        <v>0</v>
      </c>
      <c r="J46" s="193">
        <f>SUMIF('BD VOLUME'!E:E,A46,'BD VOLUME'!P:P)</f>
        <v>0</v>
      </c>
      <c r="K46" s="193">
        <f>SUMIF('BD VOLUME'!E:E,A46,'BD VOLUME'!Q:Q)</f>
        <v>0</v>
      </c>
      <c r="L46" s="193">
        <f>SUMIF('BD VOLUME'!E:E,A46,'BD VOLUME'!R:R)</f>
        <v>0</v>
      </c>
      <c r="M46" s="193">
        <f>SUMIF('BD VOLUME'!E:E,A46,'BD VOLUME'!S:S)</f>
        <v>0</v>
      </c>
      <c r="N46" s="193">
        <f>SUMIF('BD VOLUME'!E:E,A46,'BD VOLUME'!T:T)</f>
        <v>0</v>
      </c>
      <c r="R46" s="188"/>
      <c r="S46" s="409"/>
      <c r="T46" s="409"/>
    </row>
    <row r="47" spans="1:24">
      <c r="R47" s="188" t="s">
        <v>1437</v>
      </c>
      <c r="S47" s="409">
        <f>SUMIF(A:A,R47,D:D)</f>
        <v>0</v>
      </c>
      <c r="T47" s="409">
        <f>SUMIF(A:A,R47,E:E)</f>
        <v>0</v>
      </c>
    </row>
    <row r="48" spans="1:24">
      <c r="R48" s="196" t="s">
        <v>1936</v>
      </c>
      <c r="S48" s="197">
        <f>SUBTOTAL(9,S49:S57)</f>
        <v>0</v>
      </c>
      <c r="T48" s="197">
        <f>SUBTOTAL(9,T49:T57)</f>
        <v>0</v>
      </c>
    </row>
    <row r="49" spans="1:20">
      <c r="A49" s="191" t="s">
        <v>867</v>
      </c>
      <c r="B49" s="190">
        <f>SUBTOTAL(9,B50:B99)</f>
        <v>0.92080107108632481</v>
      </c>
      <c r="C49" s="190">
        <f>SUBTOTAL(9,C50:C99)</f>
        <v>0.99999999999999989</v>
      </c>
      <c r="D49" s="187">
        <f>SUBTOTAL(9,D50:D99)</f>
        <v>26941.090909090908</v>
      </c>
      <c r="E49" s="187">
        <f t="shared" ref="E49:N49" si="21">SUBTOTAL(9,E50:E99)</f>
        <v>9134.9541818181824</v>
      </c>
      <c r="F49" s="187">
        <f t="shared" si="21"/>
        <v>954.0422122003323</v>
      </c>
      <c r="G49" s="187">
        <f t="shared" si="21"/>
        <v>1783.9587272727272</v>
      </c>
      <c r="H49" s="187">
        <f t="shared" si="21"/>
        <v>186.31422739140757</v>
      </c>
      <c r="I49" s="187">
        <f t="shared" si="21"/>
        <v>53.482174222644204</v>
      </c>
      <c r="J49" s="187">
        <f t="shared" si="21"/>
        <v>0</v>
      </c>
      <c r="K49" s="187">
        <f t="shared" si="21"/>
        <v>132.83205316876337</v>
      </c>
      <c r="L49" s="187">
        <f t="shared" si="21"/>
        <v>0</v>
      </c>
      <c r="M49" s="187">
        <f t="shared" si="21"/>
        <v>0</v>
      </c>
      <c r="N49" s="187">
        <f t="shared" si="21"/>
        <v>0</v>
      </c>
      <c r="R49" s="188" t="s">
        <v>1873</v>
      </c>
      <c r="S49" s="409">
        <f t="shared" ref="S49:S57" si="22">SUMIF(A:A,R49,D:D)</f>
        <v>0</v>
      </c>
      <c r="T49" s="409">
        <f t="shared" ref="T49:T57" si="23">SUMIF(A:A,R49,E:E)</f>
        <v>0</v>
      </c>
    </row>
    <row r="50" spans="1:20">
      <c r="A50" s="188" t="s">
        <v>1506</v>
      </c>
      <c r="B50" s="192">
        <f>SUMIF('BD VOLUME'!$E:$E,A50,'BD VOLUME'!$J:$J)</f>
        <v>0</v>
      </c>
      <c r="C50" s="192">
        <f t="shared" ref="C50:C65" si="24">IFERROR(B50/$B$49,0)</f>
        <v>0</v>
      </c>
      <c r="D50" s="193">
        <f>IFERROR(SUMIF('BD VOLUME'!E:E,A50,'BD VOLUME'!F:F)/Preencher!$I$11,0)</f>
        <v>0</v>
      </c>
      <c r="E50" s="193">
        <f>SUMIF('BD VOLUME'!E:E,A50,'BD VOLUME'!N:N)*'BD VOLUME'!$C$3</f>
        <v>0</v>
      </c>
      <c r="F50" s="193">
        <f>SUMIF('BD VOLUME'!E:E,A50,'BD VOLUME'!N:N)</f>
        <v>0</v>
      </c>
      <c r="G50" s="193">
        <f>H50*'BD VOLUME'!$C$3</f>
        <v>0</v>
      </c>
      <c r="H50" s="193">
        <f t="shared" ref="H50:H65" si="25">SUM(I50:M50)</f>
        <v>0</v>
      </c>
      <c r="I50" s="193">
        <f>SUMIF('BD VOLUME'!E:E,A50,'BD VOLUME'!O:O)</f>
        <v>0</v>
      </c>
      <c r="J50" s="193">
        <f>SUMIF('BD VOLUME'!E:E,A50,'BD VOLUME'!P:P)</f>
        <v>0</v>
      </c>
      <c r="K50" s="193">
        <f>SUMIF('BD VOLUME'!E:E,A50,'BD VOLUME'!Q:Q)</f>
        <v>0</v>
      </c>
      <c r="L50" s="193">
        <f>SUMIF('BD VOLUME'!E:E,A50,'BD VOLUME'!R:R)</f>
        <v>0</v>
      </c>
      <c r="M50" s="193">
        <f>SUMIF('BD VOLUME'!E:E,A50,'BD VOLUME'!S:S)</f>
        <v>0</v>
      </c>
      <c r="N50" s="193">
        <f>SUMIF('BD VOLUME'!E:E,A50,'BD VOLUME'!T:T)</f>
        <v>0</v>
      </c>
      <c r="R50" s="188" t="s">
        <v>1874</v>
      </c>
      <c r="S50" s="409">
        <f t="shared" si="22"/>
        <v>0</v>
      </c>
      <c r="T50" s="409">
        <f t="shared" si="23"/>
        <v>0</v>
      </c>
    </row>
    <row r="51" spans="1:20">
      <c r="A51" s="188" t="s">
        <v>1507</v>
      </c>
      <c r="B51" s="192">
        <f>SUMIF('BD VOLUME'!$E:$E,A51,'BD VOLUME'!$J:$J)</f>
        <v>0</v>
      </c>
      <c r="C51" s="192">
        <f t="shared" si="24"/>
        <v>0</v>
      </c>
      <c r="D51" s="193">
        <f>IFERROR(SUMIF('BD VOLUME'!E:E,A51,'BD VOLUME'!F:F)/Preencher!$I$11,0)</f>
        <v>0</v>
      </c>
      <c r="E51" s="193">
        <f>SUMIF('BD VOLUME'!E:E,A51,'BD VOLUME'!N:N)*'BD VOLUME'!$C$3</f>
        <v>0</v>
      </c>
      <c r="F51" s="193">
        <f>SUMIF('BD VOLUME'!E:E,A51,'BD VOLUME'!N:N)</f>
        <v>0</v>
      </c>
      <c r="G51" s="193">
        <f>H51*'BD VOLUME'!$C$3</f>
        <v>0</v>
      </c>
      <c r="H51" s="193">
        <f t="shared" si="25"/>
        <v>0</v>
      </c>
      <c r="I51" s="193">
        <f>SUMIF('BD VOLUME'!E:E,A51,'BD VOLUME'!O:O)</f>
        <v>0</v>
      </c>
      <c r="J51" s="193">
        <f>SUMIF('BD VOLUME'!E:E,A51,'BD VOLUME'!P:P)</f>
        <v>0</v>
      </c>
      <c r="K51" s="193">
        <f>SUMIF('BD VOLUME'!E:E,A51,'BD VOLUME'!Q:Q)</f>
        <v>0</v>
      </c>
      <c r="L51" s="193">
        <f>SUMIF('BD VOLUME'!E:E,A51,'BD VOLUME'!R:R)</f>
        <v>0</v>
      </c>
      <c r="M51" s="193">
        <f>SUMIF('BD VOLUME'!E:E,A51,'BD VOLUME'!S:S)</f>
        <v>0</v>
      </c>
      <c r="N51" s="193">
        <f>SUMIF('BD VOLUME'!E:E,A51,'BD VOLUME'!T:T)</f>
        <v>0</v>
      </c>
      <c r="R51" s="188" t="s">
        <v>1875</v>
      </c>
      <c r="S51" s="409">
        <f t="shared" si="22"/>
        <v>0</v>
      </c>
      <c r="T51" s="409">
        <f t="shared" si="23"/>
        <v>0</v>
      </c>
    </row>
    <row r="52" spans="1:20">
      <c r="A52" s="188" t="s">
        <v>1508</v>
      </c>
      <c r="B52" s="192">
        <f>SUMIF('BD VOLUME'!$E:$E,A52,'BD VOLUME'!$J:$J)</f>
        <v>0</v>
      </c>
      <c r="C52" s="192">
        <f t="shared" si="24"/>
        <v>0</v>
      </c>
      <c r="D52" s="193">
        <f>IFERROR(SUMIF('BD VOLUME'!E:E,A52,'BD VOLUME'!F:F)/Preencher!$I$11,0)</f>
        <v>0</v>
      </c>
      <c r="E52" s="193">
        <f>SUMIF('BD VOLUME'!E:E,A52,'BD VOLUME'!N:N)*'BD VOLUME'!$C$3</f>
        <v>0</v>
      </c>
      <c r="F52" s="193">
        <f>SUMIF('BD VOLUME'!E:E,A52,'BD VOLUME'!N:N)</f>
        <v>0</v>
      </c>
      <c r="G52" s="193">
        <f>H52*'BD VOLUME'!$C$3</f>
        <v>0</v>
      </c>
      <c r="H52" s="193">
        <f t="shared" si="25"/>
        <v>0</v>
      </c>
      <c r="I52" s="193">
        <f>SUMIF('BD VOLUME'!E:E,A52,'BD VOLUME'!O:O)</f>
        <v>0</v>
      </c>
      <c r="J52" s="193">
        <f>SUMIF('BD VOLUME'!E:E,A52,'BD VOLUME'!P:P)</f>
        <v>0</v>
      </c>
      <c r="K52" s="193">
        <f>SUMIF('BD VOLUME'!E:E,A52,'BD VOLUME'!Q:Q)</f>
        <v>0</v>
      </c>
      <c r="L52" s="193">
        <f>SUMIF('BD VOLUME'!E:E,A52,'BD VOLUME'!R:R)</f>
        <v>0</v>
      </c>
      <c r="M52" s="193">
        <f>SUMIF('BD VOLUME'!E:E,A52,'BD VOLUME'!S:S)</f>
        <v>0</v>
      </c>
      <c r="N52" s="193">
        <f>SUMIF('BD VOLUME'!E:E,A52,'BD VOLUME'!T:T)</f>
        <v>0</v>
      </c>
      <c r="R52" s="188" t="s">
        <v>1876</v>
      </c>
      <c r="S52" s="409">
        <f t="shared" si="22"/>
        <v>0</v>
      </c>
      <c r="T52" s="409">
        <f t="shared" si="23"/>
        <v>0</v>
      </c>
    </row>
    <row r="53" spans="1:20">
      <c r="A53" s="188" t="s">
        <v>1509</v>
      </c>
      <c r="B53" s="192">
        <f>SUMIF('BD VOLUME'!$E:$E,A53,'BD VOLUME'!$J:$J)</f>
        <v>0</v>
      </c>
      <c r="C53" s="192">
        <f t="shared" si="24"/>
        <v>0</v>
      </c>
      <c r="D53" s="193">
        <f>IFERROR(SUMIF('BD VOLUME'!E:E,A53,'BD VOLUME'!F:F)/Preencher!$I$11,0)</f>
        <v>0</v>
      </c>
      <c r="E53" s="193">
        <f>SUMIF('BD VOLUME'!E:E,A53,'BD VOLUME'!N:N)*'BD VOLUME'!$C$3</f>
        <v>0</v>
      </c>
      <c r="F53" s="193">
        <f>SUMIF('BD VOLUME'!E:E,A53,'BD VOLUME'!N:N)</f>
        <v>0</v>
      </c>
      <c r="G53" s="193">
        <f>H53*'BD VOLUME'!$C$3</f>
        <v>0</v>
      </c>
      <c r="H53" s="193">
        <f t="shared" si="25"/>
        <v>0</v>
      </c>
      <c r="I53" s="193">
        <f>SUMIF('BD VOLUME'!E:E,A53,'BD VOLUME'!O:O)</f>
        <v>0</v>
      </c>
      <c r="J53" s="193">
        <f>SUMIF('BD VOLUME'!E:E,A53,'BD VOLUME'!P:P)</f>
        <v>0</v>
      </c>
      <c r="K53" s="193">
        <f>SUMIF('BD VOLUME'!E:E,A53,'BD VOLUME'!Q:Q)</f>
        <v>0</v>
      </c>
      <c r="L53" s="193">
        <f>SUMIF('BD VOLUME'!E:E,A53,'BD VOLUME'!R:R)</f>
        <v>0</v>
      </c>
      <c r="M53" s="193">
        <f>SUMIF('BD VOLUME'!E:E,A53,'BD VOLUME'!S:S)</f>
        <v>0</v>
      </c>
      <c r="N53" s="193">
        <f>SUMIF('BD VOLUME'!E:E,A53,'BD VOLUME'!T:T)</f>
        <v>0</v>
      </c>
      <c r="R53" s="188" t="s">
        <v>1876</v>
      </c>
      <c r="S53" s="409">
        <f t="shared" si="22"/>
        <v>0</v>
      </c>
      <c r="T53" s="409">
        <f t="shared" si="23"/>
        <v>0</v>
      </c>
    </row>
    <row r="54" spans="1:20">
      <c r="A54" s="188" t="s">
        <v>3046</v>
      </c>
      <c r="B54" s="192">
        <f>SUMIF('BD VOLUME'!$E:$E,A54,'BD VOLUME'!$J:$J)</f>
        <v>0</v>
      </c>
      <c r="C54" s="192">
        <f t="shared" si="24"/>
        <v>0</v>
      </c>
      <c r="D54" s="193">
        <f>IFERROR(SUMIF('BD VOLUME'!E:E,A54,'BD VOLUME'!F:F)/Preencher!$I$11,0)</f>
        <v>0</v>
      </c>
      <c r="E54" s="193">
        <f>SUMIF('BD VOLUME'!E:E,A54,'BD VOLUME'!N:N)*'BD VOLUME'!$C$3</f>
        <v>0</v>
      </c>
      <c r="F54" s="193">
        <f>SUMIF('BD VOLUME'!E:E,A54,'BD VOLUME'!N:N)</f>
        <v>0</v>
      </c>
      <c r="G54" s="193">
        <f>H54*'BD VOLUME'!$C$3</f>
        <v>0</v>
      </c>
      <c r="H54" s="193">
        <f t="shared" si="25"/>
        <v>0</v>
      </c>
      <c r="I54" s="193">
        <f>SUMIF('BD VOLUME'!E:E,A54,'BD VOLUME'!O:O)</f>
        <v>0</v>
      </c>
      <c r="J54" s="193">
        <f>SUMIF('BD VOLUME'!E:E,A54,'BD VOLUME'!P:P)</f>
        <v>0</v>
      </c>
      <c r="K54" s="193">
        <f>SUMIF('BD VOLUME'!E:E,A54,'BD VOLUME'!Q:Q)</f>
        <v>0</v>
      </c>
      <c r="L54" s="193">
        <f>SUMIF('BD VOLUME'!E:E,A54,'BD VOLUME'!R:R)</f>
        <v>0</v>
      </c>
      <c r="M54" s="193">
        <f>SUMIF('BD VOLUME'!E:E,A54,'BD VOLUME'!S:S)</f>
        <v>0</v>
      </c>
      <c r="N54" s="193">
        <f>SUMIF('BD VOLUME'!E:E,A54,'BD VOLUME'!T:T)</f>
        <v>0</v>
      </c>
      <c r="R54" s="188" t="s">
        <v>1878</v>
      </c>
      <c r="S54" s="409">
        <f t="shared" si="22"/>
        <v>0</v>
      </c>
      <c r="T54" s="409">
        <f t="shared" si="23"/>
        <v>0</v>
      </c>
    </row>
    <row r="55" spans="1:20">
      <c r="A55" s="188" t="s">
        <v>1510</v>
      </c>
      <c r="B55" s="192">
        <f>SUMIF('BD VOLUME'!$E:$E,A55,'BD VOLUME'!$J:$J)</f>
        <v>0</v>
      </c>
      <c r="C55" s="192">
        <f t="shared" si="24"/>
        <v>0</v>
      </c>
      <c r="D55" s="193">
        <f>IFERROR(SUMIF('BD VOLUME'!E:E,A55,'BD VOLUME'!F:F)/Preencher!$I$11,0)</f>
        <v>0</v>
      </c>
      <c r="E55" s="193">
        <f>SUMIF('BD VOLUME'!E:E,A55,'BD VOLUME'!N:N)*'BD VOLUME'!$C$3</f>
        <v>0</v>
      </c>
      <c r="F55" s="193">
        <f>SUMIF('BD VOLUME'!E:E,A55,'BD VOLUME'!N:N)</f>
        <v>0</v>
      </c>
      <c r="G55" s="193">
        <f>H55*'BD VOLUME'!$C$3</f>
        <v>0</v>
      </c>
      <c r="H55" s="193">
        <f t="shared" si="25"/>
        <v>0</v>
      </c>
      <c r="I55" s="193">
        <f>SUMIF('BD VOLUME'!E:E,A55,'BD VOLUME'!O:O)</f>
        <v>0</v>
      </c>
      <c r="J55" s="193">
        <f>SUMIF('BD VOLUME'!E:E,A55,'BD VOLUME'!P:P)</f>
        <v>0</v>
      </c>
      <c r="K55" s="193">
        <f>SUMIF('BD VOLUME'!E:E,A55,'BD VOLUME'!Q:Q)</f>
        <v>0</v>
      </c>
      <c r="L55" s="193">
        <f>SUMIF('BD VOLUME'!E:E,A55,'BD VOLUME'!R:R)</f>
        <v>0</v>
      </c>
      <c r="M55" s="193">
        <f>SUMIF('BD VOLUME'!E:E,A55,'BD VOLUME'!S:S)</f>
        <v>0</v>
      </c>
      <c r="N55" s="193">
        <f>SUMIF('BD VOLUME'!E:E,A55,'BD VOLUME'!T:T)</f>
        <v>0</v>
      </c>
      <c r="R55" s="188" t="s">
        <v>1879</v>
      </c>
      <c r="S55" s="409">
        <f t="shared" si="22"/>
        <v>0</v>
      </c>
      <c r="T55" s="409">
        <f t="shared" si="23"/>
        <v>0</v>
      </c>
    </row>
    <row r="56" spans="1:20">
      <c r="A56" s="188" t="s">
        <v>1511</v>
      </c>
      <c r="B56" s="192">
        <f>SUMIF('BD VOLUME'!$E:$E,A56,'BD VOLUME'!$J:$J)</f>
        <v>1.7427733556765811E-2</v>
      </c>
      <c r="C56" s="192">
        <f t="shared" si="24"/>
        <v>1.8926708606241367E-2</v>
      </c>
      <c r="D56" s="193">
        <f>IFERROR(SUMIF('BD VOLUME'!E:E,A56,'BD VOLUME'!F:F)/Preencher!$I$11,0)</f>
        <v>510.54545454545456</v>
      </c>
      <c r="E56" s="193">
        <f>SUMIF('BD VOLUME'!E:E,A56,'BD VOLUME'!N:N)*'BD VOLUME'!$C$3</f>
        <v>34.036363636363639</v>
      </c>
      <c r="F56" s="193">
        <f>SUMIF('BD VOLUME'!E:E,A56,'BD VOLUME'!N:N)</f>
        <v>3.5547116069309284</v>
      </c>
      <c r="G56" s="193">
        <f>H56*'BD VOLUME'!$C$3</f>
        <v>34.036363636363639</v>
      </c>
      <c r="H56" s="193">
        <f t="shared" si="25"/>
        <v>3.5547116069309284</v>
      </c>
      <c r="I56" s="193">
        <f>SUMIF('BD VOLUME'!E:E,A56,'BD VOLUME'!O:O)</f>
        <v>0</v>
      </c>
      <c r="J56" s="193">
        <f>SUMIF('BD VOLUME'!E:E,A56,'BD VOLUME'!P:P)</f>
        <v>0</v>
      </c>
      <c r="K56" s="193">
        <f>SUMIF('BD VOLUME'!E:E,A56,'BD VOLUME'!Q:Q)</f>
        <v>3.5547116069309284</v>
      </c>
      <c r="L56" s="193">
        <f>SUMIF('BD VOLUME'!E:E,A56,'BD VOLUME'!R:R)</f>
        <v>0</v>
      </c>
      <c r="M56" s="193">
        <f>SUMIF('BD VOLUME'!E:E,A56,'BD VOLUME'!S:S)</f>
        <v>0</v>
      </c>
      <c r="N56" s="193">
        <f>SUMIF('BD VOLUME'!E:E,A56,'BD VOLUME'!T:T)</f>
        <v>0</v>
      </c>
      <c r="R56" s="188" t="s">
        <v>1881</v>
      </c>
      <c r="S56" s="409">
        <f t="shared" si="22"/>
        <v>0</v>
      </c>
      <c r="T56" s="409">
        <f t="shared" si="23"/>
        <v>0</v>
      </c>
    </row>
    <row r="57" spans="1:20">
      <c r="A57" s="188" t="s">
        <v>1517</v>
      </c>
      <c r="B57" s="192">
        <f>SUMIF('BD VOLUME'!$E:$E,A57,'BD VOLUME'!$J:$J)</f>
        <v>0</v>
      </c>
      <c r="C57" s="192">
        <f t="shared" si="24"/>
        <v>0</v>
      </c>
      <c r="D57" s="193">
        <f>IFERROR(SUMIF('BD VOLUME'!E:E,A57,'BD VOLUME'!F:F)/Preencher!$I$11,0)</f>
        <v>0</v>
      </c>
      <c r="E57" s="193">
        <f>SUMIF('BD VOLUME'!E:E,A57,'BD VOLUME'!N:N)*'BD VOLUME'!$C$3</f>
        <v>0</v>
      </c>
      <c r="F57" s="193">
        <f>SUMIF('BD VOLUME'!E:E,A57,'BD VOLUME'!N:N)</f>
        <v>0</v>
      </c>
      <c r="G57" s="193">
        <f>H57*'BD VOLUME'!$C$3</f>
        <v>0</v>
      </c>
      <c r="H57" s="193">
        <f t="shared" si="25"/>
        <v>0</v>
      </c>
      <c r="I57" s="193">
        <f>SUMIF('BD VOLUME'!E:E,A57,'BD VOLUME'!O:O)</f>
        <v>0</v>
      </c>
      <c r="J57" s="193">
        <f>SUMIF('BD VOLUME'!E:E,A57,'BD VOLUME'!P:P)</f>
        <v>0</v>
      </c>
      <c r="K57" s="193">
        <f>SUMIF('BD VOLUME'!E:E,A57,'BD VOLUME'!Q:Q)</f>
        <v>0</v>
      </c>
      <c r="L57" s="193">
        <f>SUMIF('BD VOLUME'!E:E,A57,'BD VOLUME'!R:R)</f>
        <v>0</v>
      </c>
      <c r="M57" s="193">
        <f>SUMIF('BD VOLUME'!E:E,A57,'BD VOLUME'!S:S)</f>
        <v>0</v>
      </c>
      <c r="N57" s="193">
        <f>SUMIF('BD VOLUME'!E:E,A57,'BD VOLUME'!T:T)</f>
        <v>0</v>
      </c>
      <c r="R57" s="188" t="s">
        <v>1882</v>
      </c>
      <c r="S57" s="409">
        <f t="shared" si="22"/>
        <v>0</v>
      </c>
      <c r="T57" s="409">
        <f t="shared" si="23"/>
        <v>0</v>
      </c>
    </row>
    <row r="58" spans="1:20">
      <c r="A58" s="188" t="s">
        <v>1518</v>
      </c>
      <c r="B58" s="192">
        <f>SUMIF('BD VOLUME'!$E:$E,A58,'BD VOLUME'!$J:$J)</f>
        <v>0</v>
      </c>
      <c r="C58" s="192">
        <f t="shared" si="24"/>
        <v>0</v>
      </c>
      <c r="D58" s="193">
        <f>IFERROR(SUMIF('BD VOLUME'!E:E,A58,'BD VOLUME'!F:F)/Preencher!$I$11,0)</f>
        <v>0</v>
      </c>
      <c r="E58" s="193">
        <f>SUMIF('BD VOLUME'!E:E,A58,'BD VOLUME'!N:N)*'BD VOLUME'!$C$3</f>
        <v>0</v>
      </c>
      <c r="F58" s="193">
        <f>SUMIF('BD VOLUME'!E:E,A58,'BD VOLUME'!N:N)</f>
        <v>0</v>
      </c>
      <c r="G58" s="193">
        <f>H58*'BD VOLUME'!$C$3</f>
        <v>0</v>
      </c>
      <c r="H58" s="193">
        <f t="shared" si="25"/>
        <v>0</v>
      </c>
      <c r="I58" s="193">
        <f>SUMIF('BD VOLUME'!E:E,A58,'BD VOLUME'!O:O)</f>
        <v>0</v>
      </c>
      <c r="J58" s="193">
        <f>SUMIF('BD VOLUME'!E:E,A58,'BD VOLUME'!P:P)</f>
        <v>0</v>
      </c>
      <c r="K58" s="193">
        <f>SUMIF('BD VOLUME'!E:E,A58,'BD VOLUME'!Q:Q)</f>
        <v>0</v>
      </c>
      <c r="L58" s="193">
        <f>SUMIF('BD VOLUME'!E:E,A58,'BD VOLUME'!R:R)</f>
        <v>0</v>
      </c>
      <c r="M58" s="193">
        <f>SUMIF('BD VOLUME'!E:E,A58,'BD VOLUME'!S:S)</f>
        <v>0</v>
      </c>
      <c r="N58" s="193">
        <f>SUMIF('BD VOLUME'!E:E,A58,'BD VOLUME'!T:T)</f>
        <v>0</v>
      </c>
    </row>
    <row r="59" spans="1:20">
      <c r="A59" s="188" t="s">
        <v>2140</v>
      </c>
      <c r="B59" s="192">
        <f>SUMIF('BD VOLUME'!$E:$E,A59,'BD VOLUME'!$J:$J)</f>
        <v>0</v>
      </c>
      <c r="C59" s="192">
        <f t="shared" si="24"/>
        <v>0</v>
      </c>
      <c r="D59" s="193">
        <f>IFERROR(SUMIF('BD VOLUME'!E:E,A59,'BD VOLUME'!F:F)/Preencher!$I$11,0)</f>
        <v>0</v>
      </c>
      <c r="E59" s="193">
        <f>SUMIF('BD VOLUME'!E:E,A59,'BD VOLUME'!N:N)*'BD VOLUME'!$C$3</f>
        <v>0</v>
      </c>
      <c r="F59" s="193">
        <f>SUMIF('BD VOLUME'!E:E,A59,'BD VOLUME'!N:N)</f>
        <v>0</v>
      </c>
      <c r="G59" s="193">
        <f>H59*'BD VOLUME'!$C$3</f>
        <v>0</v>
      </c>
      <c r="H59" s="193">
        <f t="shared" si="25"/>
        <v>0</v>
      </c>
      <c r="I59" s="193">
        <f>SUMIF('BD VOLUME'!E:E,A59,'BD VOLUME'!O:O)</f>
        <v>0</v>
      </c>
      <c r="J59" s="193">
        <f>SUMIF('BD VOLUME'!E:E,A59,'BD VOLUME'!P:P)</f>
        <v>0</v>
      </c>
      <c r="K59" s="193">
        <f>SUMIF('BD VOLUME'!E:E,A59,'BD VOLUME'!Q:Q)</f>
        <v>0</v>
      </c>
      <c r="L59" s="193">
        <f>SUMIF('BD VOLUME'!E:E,A59,'BD VOLUME'!R:R)</f>
        <v>0</v>
      </c>
      <c r="M59" s="193">
        <f>SUMIF('BD VOLUME'!E:E,A59,'BD VOLUME'!S:S)</f>
        <v>0</v>
      </c>
      <c r="N59" s="193">
        <f>SUMIF('BD VOLUME'!E:E,A59,'BD VOLUME'!T:T)</f>
        <v>0</v>
      </c>
    </row>
    <row r="60" spans="1:20">
      <c r="A60" s="188" t="s">
        <v>1525</v>
      </c>
      <c r="B60" s="192">
        <f>SUMIF('BD VOLUME'!$E:$E,A60,'BD VOLUME'!$J:$J)</f>
        <v>0</v>
      </c>
      <c r="C60" s="192">
        <f t="shared" si="24"/>
        <v>0</v>
      </c>
      <c r="D60" s="193">
        <f>IFERROR(SUMIF('BD VOLUME'!E:E,A60,'BD VOLUME'!F:F)/Preencher!$I$11,0)</f>
        <v>0</v>
      </c>
      <c r="E60" s="193">
        <f>SUMIF('BD VOLUME'!E:E,A60,'BD VOLUME'!N:N)*'BD VOLUME'!$C$3</f>
        <v>0</v>
      </c>
      <c r="F60" s="193">
        <f>SUMIF('BD VOLUME'!E:E,A60,'BD VOLUME'!N:N)</f>
        <v>0</v>
      </c>
      <c r="G60" s="193">
        <f>H60*'BD VOLUME'!$C$3</f>
        <v>0</v>
      </c>
      <c r="H60" s="193">
        <f t="shared" si="25"/>
        <v>0</v>
      </c>
      <c r="I60" s="193">
        <f>SUMIF('BD VOLUME'!E:E,A60,'BD VOLUME'!O:O)</f>
        <v>0</v>
      </c>
      <c r="J60" s="193">
        <f>SUMIF('BD VOLUME'!E:E,A60,'BD VOLUME'!P:P)</f>
        <v>0</v>
      </c>
      <c r="K60" s="193">
        <f>SUMIF('BD VOLUME'!E:E,A60,'BD VOLUME'!Q:Q)</f>
        <v>0</v>
      </c>
      <c r="L60" s="193">
        <f>SUMIF('BD VOLUME'!E:E,A60,'BD VOLUME'!R:R)</f>
        <v>0</v>
      </c>
      <c r="M60" s="193">
        <f>SUMIF('BD VOLUME'!E:E,A60,'BD VOLUME'!S:S)</f>
        <v>0</v>
      </c>
      <c r="N60" s="193">
        <f>SUMIF('BD VOLUME'!E:E,A60,'BD VOLUME'!T:T)</f>
        <v>0</v>
      </c>
    </row>
    <row r="61" spans="1:20">
      <c r="A61" s="188" t="s">
        <v>938</v>
      </c>
      <c r="B61" s="192">
        <f>SUMIF('BD VOLUME'!$E:$E,A61,'BD VOLUME'!$J:$J)</f>
        <v>0.63380980310012558</v>
      </c>
      <c r="C61" s="192">
        <f t="shared" si="24"/>
        <v>0.68832435474079301</v>
      </c>
      <c r="D61" s="193">
        <f>IFERROR(SUMIF('BD VOLUME'!E:E,A61,'BD VOLUME'!F:F)/Preencher!$I$11,0)</f>
        <v>18567.45818181818</v>
      </c>
      <c r="E61" s="193">
        <f>SUMIF('BD VOLUME'!E:E,A61,'BD VOLUME'!N:N)*'BD VOLUME'!$C$3</f>
        <v>1237.8305454545455</v>
      </c>
      <c r="F61" s="193">
        <f>SUMIF('BD VOLUME'!E:E,A61,'BD VOLUME'!N:N)</f>
        <v>129.27734156183243</v>
      </c>
      <c r="G61" s="193">
        <f>H61*'BD VOLUME'!$C$3</f>
        <v>1237.8305454545455</v>
      </c>
      <c r="H61" s="193">
        <f t="shared" si="25"/>
        <v>129.27734156183243</v>
      </c>
      <c r="I61" s="193">
        <f>SUMIF('BD VOLUME'!E:E,A61,'BD VOLUME'!O:O)</f>
        <v>0</v>
      </c>
      <c r="J61" s="193">
        <f>SUMIF('BD VOLUME'!E:E,A61,'BD VOLUME'!P:P)</f>
        <v>0</v>
      </c>
      <c r="K61" s="193">
        <f>SUMIF('BD VOLUME'!E:E,A61,'BD VOLUME'!Q:Q)</f>
        <v>129.27734156183243</v>
      </c>
      <c r="L61" s="193">
        <f>SUMIF('BD VOLUME'!E:E,A61,'BD VOLUME'!R:R)</f>
        <v>0</v>
      </c>
      <c r="M61" s="193">
        <f>SUMIF('BD VOLUME'!E:E,A61,'BD VOLUME'!S:S)</f>
        <v>0</v>
      </c>
      <c r="N61" s="193">
        <f>SUMIF('BD VOLUME'!E:E,A61,'BD VOLUME'!T:T)</f>
        <v>0</v>
      </c>
    </row>
    <row r="62" spans="1:20">
      <c r="A62" s="188" t="s">
        <v>1505</v>
      </c>
      <c r="B62" s="192">
        <f>SUMIF('BD VOLUME'!$E:$E,A62,'BD VOLUME'!$J:$J)</f>
        <v>0</v>
      </c>
      <c r="C62" s="192">
        <f t="shared" si="24"/>
        <v>0</v>
      </c>
      <c r="D62" s="193">
        <f>IFERROR(SUMIF('BD VOLUME'!E:E,A62,'BD VOLUME'!F:F)/Preencher!$I$11,0)</f>
        <v>0</v>
      </c>
      <c r="E62" s="193">
        <f>SUMIF('BD VOLUME'!E:E,A62,'BD VOLUME'!N:N)*'BD VOLUME'!$C$3</f>
        <v>0</v>
      </c>
      <c r="F62" s="193">
        <f>SUMIF('BD VOLUME'!E:E,A62,'BD VOLUME'!N:N)</f>
        <v>0</v>
      </c>
      <c r="G62" s="193">
        <f>H62*'BD VOLUME'!$C$3</f>
        <v>0</v>
      </c>
      <c r="H62" s="193">
        <f t="shared" si="25"/>
        <v>0</v>
      </c>
      <c r="I62" s="193">
        <f>SUMIF('BD VOLUME'!E:E,A62,'BD VOLUME'!O:O)</f>
        <v>0</v>
      </c>
      <c r="J62" s="193">
        <f>SUMIF('BD VOLUME'!E:E,A62,'BD VOLUME'!P:P)</f>
        <v>0</v>
      </c>
      <c r="K62" s="193">
        <f>SUMIF('BD VOLUME'!E:E,A62,'BD VOLUME'!Q:Q)</f>
        <v>0</v>
      </c>
      <c r="L62" s="193">
        <f>SUMIF('BD VOLUME'!E:E,A62,'BD VOLUME'!R:R)</f>
        <v>0</v>
      </c>
      <c r="M62" s="193">
        <f>SUMIF('BD VOLUME'!E:E,A62,'BD VOLUME'!S:S)</f>
        <v>0</v>
      </c>
      <c r="N62" s="193">
        <f>SUMIF('BD VOLUME'!E:E,A62,'BD VOLUME'!T:T)</f>
        <v>0</v>
      </c>
    </row>
    <row r="63" spans="1:20">
      <c r="A63" s="188" t="s">
        <v>994</v>
      </c>
      <c r="B63" s="192">
        <f>SUMIF('BD VOLUME'!$E:$E,A63,'BD VOLUME'!$J:$J)</f>
        <v>0.17609527004360953</v>
      </c>
      <c r="C63" s="192">
        <f t="shared" si="24"/>
        <v>0.19124138271891808</v>
      </c>
      <c r="D63" s="193">
        <f>IFERROR(SUMIF('BD VOLUME'!E:E,A63,'BD VOLUME'!F:F)/Preencher!$I$11,0)</f>
        <v>5153.9563636363637</v>
      </c>
      <c r="E63" s="193">
        <f>SUMIF('BD VOLUME'!E:E,A63,'BD VOLUME'!N:N)*'BD VOLUME'!$C$3</f>
        <v>5153.9563636363637</v>
      </c>
      <c r="F63" s="193">
        <f>SUMIF('BD VOLUME'!E:E,A63,'BD VOLUME'!N:N)</f>
        <v>538.27220507951586</v>
      </c>
      <c r="G63" s="193">
        <f>H63*'BD VOLUME'!$C$3</f>
        <v>286.33090909090913</v>
      </c>
      <c r="H63" s="193">
        <f t="shared" si="25"/>
        <v>29.904011393306437</v>
      </c>
      <c r="I63" s="193">
        <f>SUMIF('BD VOLUME'!E:E,A63,'BD VOLUME'!O:O)</f>
        <v>29.904011393306437</v>
      </c>
      <c r="J63" s="193">
        <f>SUMIF('BD VOLUME'!E:E,A63,'BD VOLUME'!P:P)</f>
        <v>0</v>
      </c>
      <c r="K63" s="193">
        <f>SUMIF('BD VOLUME'!E:E,A63,'BD VOLUME'!Q:Q)</f>
        <v>0</v>
      </c>
      <c r="L63" s="193">
        <f>SUMIF('BD VOLUME'!E:E,A63,'BD VOLUME'!R:R)</f>
        <v>0</v>
      </c>
      <c r="M63" s="193">
        <f>SUMIF('BD VOLUME'!E:E,A63,'BD VOLUME'!S:S)</f>
        <v>0</v>
      </c>
      <c r="N63" s="193">
        <f>SUMIF('BD VOLUME'!E:E,A63,'BD VOLUME'!T:T)</f>
        <v>0</v>
      </c>
    </row>
    <row r="64" spans="1:20">
      <c r="A64" s="188" t="s">
        <v>1527</v>
      </c>
      <c r="B64" s="192">
        <f>SUMIF('BD VOLUME'!$E:$E,A64,'BD VOLUME'!$J:$J)</f>
        <v>0</v>
      </c>
      <c r="C64" s="192">
        <f t="shared" si="24"/>
        <v>0</v>
      </c>
      <c r="D64" s="193">
        <f>IFERROR(SUMIF('BD VOLUME'!E:E,A64,'BD VOLUME'!F:F)/Preencher!$I$11,0)</f>
        <v>0</v>
      </c>
      <c r="E64" s="193">
        <f>SUMIF('BD VOLUME'!E:E,A64,'BD VOLUME'!N:N)*'BD VOLUME'!$C$3</f>
        <v>0</v>
      </c>
      <c r="F64" s="193">
        <f>SUMIF('BD VOLUME'!E:E,A64,'BD VOLUME'!N:N)</f>
        <v>0</v>
      </c>
      <c r="G64" s="193">
        <f>H64*'BD VOLUME'!$C$3</f>
        <v>0</v>
      </c>
      <c r="H64" s="193">
        <f t="shared" si="25"/>
        <v>0</v>
      </c>
      <c r="I64" s="193">
        <f>SUMIF('BD VOLUME'!E:E,A64,'BD VOLUME'!O:O)</f>
        <v>0</v>
      </c>
      <c r="J64" s="193">
        <f>SUMIF('BD VOLUME'!E:E,A64,'BD VOLUME'!P:P)</f>
        <v>0</v>
      </c>
      <c r="K64" s="193">
        <f>SUMIF('BD VOLUME'!E:E,A64,'BD VOLUME'!Q:Q)</f>
        <v>0</v>
      </c>
      <c r="L64" s="193">
        <f>SUMIF('BD VOLUME'!E:E,A64,'BD VOLUME'!R:R)</f>
        <v>0</v>
      </c>
      <c r="M64" s="193">
        <f>SUMIF('BD VOLUME'!E:E,A64,'BD VOLUME'!S:S)</f>
        <v>0</v>
      </c>
      <c r="N64" s="193">
        <f>SUMIF('BD VOLUME'!E:E,A64,'BD VOLUME'!T:T)</f>
        <v>0</v>
      </c>
    </row>
    <row r="65" spans="1:15">
      <c r="A65" s="188" t="s">
        <v>1529</v>
      </c>
      <c r="B65" s="192">
        <f>SUMIF('BD VOLUME'!$E:$E,A65,'BD VOLUME'!$J:$J)</f>
        <v>0</v>
      </c>
      <c r="C65" s="192">
        <f t="shared" si="24"/>
        <v>0</v>
      </c>
      <c r="D65" s="193">
        <f>IFERROR(SUMIF('BD VOLUME'!E:E,A65,'BD VOLUME'!F:F)/Preencher!$I$11,0)</f>
        <v>0</v>
      </c>
      <c r="E65" s="193">
        <f>SUMIF('BD VOLUME'!E:E,A65,'BD VOLUME'!N:N)*'BD VOLUME'!$C$3</f>
        <v>0</v>
      </c>
      <c r="F65" s="193">
        <f>SUMIF('BD VOLUME'!E:E,A65,'BD VOLUME'!N:N)</f>
        <v>0</v>
      </c>
      <c r="G65" s="193">
        <f>H65*'BD VOLUME'!$C$3</f>
        <v>0</v>
      </c>
      <c r="H65" s="193">
        <f t="shared" si="25"/>
        <v>0</v>
      </c>
      <c r="I65" s="193">
        <f>SUMIF('BD VOLUME'!E:E,A65,'BD VOLUME'!O:O)</f>
        <v>0</v>
      </c>
      <c r="J65" s="193">
        <f>SUMIF('BD VOLUME'!E:E,A65,'BD VOLUME'!P:P)</f>
        <v>0</v>
      </c>
      <c r="K65" s="193">
        <f>SUMIF('BD VOLUME'!E:E,A65,'BD VOLUME'!Q:Q)</f>
        <v>0</v>
      </c>
      <c r="L65" s="193">
        <f>SUMIF('BD VOLUME'!E:E,A65,'BD VOLUME'!R:R)</f>
        <v>0</v>
      </c>
      <c r="M65" s="193">
        <f>SUMIF('BD VOLUME'!E:E,A65,'BD VOLUME'!S:S)</f>
        <v>0</v>
      </c>
      <c r="N65" s="193">
        <f>SUMIF('BD VOLUME'!E:E,A65,'BD VOLUME'!T:T)</f>
        <v>0</v>
      </c>
    </row>
    <row r="66" spans="1:15">
      <c r="A66" s="213" t="s">
        <v>245</v>
      </c>
      <c r="B66" s="214">
        <f t="shared" ref="B66:N66" si="26">SUBTOTAL(9,B67:B73)</f>
        <v>0</v>
      </c>
      <c r="C66" s="214">
        <f t="shared" si="26"/>
        <v>0</v>
      </c>
      <c r="D66" s="215">
        <f t="shared" si="26"/>
        <v>0</v>
      </c>
      <c r="E66" s="215">
        <f t="shared" si="26"/>
        <v>0</v>
      </c>
      <c r="F66" s="215">
        <f t="shared" si="26"/>
        <v>0</v>
      </c>
      <c r="G66" s="215">
        <f t="shared" si="26"/>
        <v>0</v>
      </c>
      <c r="H66" s="215">
        <f t="shared" si="26"/>
        <v>0</v>
      </c>
      <c r="I66" s="215">
        <f t="shared" si="26"/>
        <v>0</v>
      </c>
      <c r="J66" s="215">
        <f t="shared" si="26"/>
        <v>0</v>
      </c>
      <c r="K66" s="215">
        <f t="shared" si="26"/>
        <v>0</v>
      </c>
      <c r="L66" s="215">
        <f t="shared" si="26"/>
        <v>0</v>
      </c>
      <c r="M66" s="215">
        <f t="shared" si="26"/>
        <v>0</v>
      </c>
      <c r="N66" s="215">
        <f t="shared" si="26"/>
        <v>0</v>
      </c>
    </row>
    <row r="67" spans="1:15">
      <c r="A67" s="161" t="s">
        <v>1519</v>
      </c>
      <c r="B67" s="162">
        <f>SUMIF('BD VOLUME'!$E:$E,A67,'BD VOLUME'!$J:$J)</f>
        <v>0</v>
      </c>
      <c r="C67" s="162">
        <f t="shared" ref="C67:C96" si="27">IFERROR(B67/$B$49,0)</f>
        <v>0</v>
      </c>
      <c r="D67" s="163">
        <f>IFERROR(SUMIF('BD VOLUME'!E:E,A67,'BD VOLUME'!F:F)/Preencher!$I$11,0)</f>
        <v>0</v>
      </c>
      <c r="E67" s="163">
        <f>SUMIF('BD VOLUME'!E:E,A67,'BD VOLUME'!N:N)*'BD VOLUME'!$C$3</f>
        <v>0</v>
      </c>
      <c r="F67" s="163">
        <f>SUMIF('BD VOLUME'!E:E,A67,'BD VOLUME'!N:N)</f>
        <v>0</v>
      </c>
      <c r="G67" s="163">
        <f>H67*'BD VOLUME'!$C$3</f>
        <v>0</v>
      </c>
      <c r="H67" s="163">
        <f t="shared" ref="H67:H96" si="28">SUM(I67:M67)</f>
        <v>0</v>
      </c>
      <c r="I67" s="163">
        <f>SUMIF('BD VOLUME'!E:E,A67,'BD VOLUME'!O:O)</f>
        <v>0</v>
      </c>
      <c r="J67" s="163">
        <f>SUMIF('BD VOLUME'!E:E,A67,'BD VOLUME'!P:P)</f>
        <v>0</v>
      </c>
      <c r="K67" s="163">
        <f>SUMIF('BD VOLUME'!E:E,A67,'BD VOLUME'!Q:Q)</f>
        <v>0</v>
      </c>
      <c r="L67" s="163">
        <f>SUMIF('BD VOLUME'!E:E,A67,'BD VOLUME'!R:R)</f>
        <v>0</v>
      </c>
      <c r="M67" s="163">
        <f>SUMIF('BD VOLUME'!E:E,A67,'BD VOLUME'!S:S)</f>
        <v>0</v>
      </c>
      <c r="N67" s="163">
        <f>SUMIF('BD VOLUME'!E:E,A67,'BD VOLUME'!T:T)</f>
        <v>0</v>
      </c>
    </row>
    <row r="68" spans="1:15">
      <c r="A68" s="161" t="s">
        <v>1520</v>
      </c>
      <c r="B68" s="162">
        <f>SUMIF('BD VOLUME'!$E:$E,A68,'BD VOLUME'!$J:$J)</f>
        <v>0</v>
      </c>
      <c r="C68" s="162">
        <f t="shared" si="27"/>
        <v>0</v>
      </c>
      <c r="D68" s="163">
        <f>IFERROR(SUMIF('BD VOLUME'!E:E,A68,'BD VOLUME'!F:F)/Preencher!$I$11,0)</f>
        <v>0</v>
      </c>
      <c r="E68" s="163">
        <f>SUMIF('BD VOLUME'!E:E,A68,'BD VOLUME'!N:N)*'BD VOLUME'!$C$3</f>
        <v>0</v>
      </c>
      <c r="F68" s="163">
        <f>SUMIF('BD VOLUME'!E:E,A68,'BD VOLUME'!N:N)</f>
        <v>0</v>
      </c>
      <c r="G68" s="163">
        <f>H68*'BD VOLUME'!$C$3</f>
        <v>0</v>
      </c>
      <c r="H68" s="163">
        <f t="shared" si="28"/>
        <v>0</v>
      </c>
      <c r="I68" s="163">
        <f>SUMIF('BD VOLUME'!E:E,A68,'BD VOLUME'!O:O)</f>
        <v>0</v>
      </c>
      <c r="J68" s="163">
        <f>SUMIF('BD VOLUME'!E:E,A68,'BD VOLUME'!P:P)</f>
        <v>0</v>
      </c>
      <c r="K68" s="163">
        <f>SUMIF('BD VOLUME'!E:E,A68,'BD VOLUME'!Q:Q)</f>
        <v>0</v>
      </c>
      <c r="L68" s="163">
        <f>SUMIF('BD VOLUME'!E:E,A68,'BD VOLUME'!R:R)</f>
        <v>0</v>
      </c>
      <c r="M68" s="163">
        <f>SUMIF('BD VOLUME'!E:E,A68,'BD VOLUME'!S:S)</f>
        <v>0</v>
      </c>
      <c r="N68" s="163">
        <f>SUMIF('BD VOLUME'!E:E,A68,'BD VOLUME'!T:T)</f>
        <v>0</v>
      </c>
    </row>
    <row r="69" spans="1:15">
      <c r="A69" s="161" t="s">
        <v>1521</v>
      </c>
      <c r="B69" s="162">
        <f>SUMIF('BD VOLUME'!$E:$E,A69,'BD VOLUME'!$J:$J)</f>
        <v>0</v>
      </c>
      <c r="C69" s="162">
        <f t="shared" si="27"/>
        <v>0</v>
      </c>
      <c r="D69" s="163">
        <f>IFERROR(SUMIF('BD VOLUME'!E:E,A69,'BD VOLUME'!F:F)/Preencher!$I$11,0)</f>
        <v>0</v>
      </c>
      <c r="E69" s="163">
        <f>SUMIF('BD VOLUME'!E:E,A69,'BD VOLUME'!N:N)*'BD VOLUME'!$C$3</f>
        <v>0</v>
      </c>
      <c r="F69" s="163">
        <f>SUMIF('BD VOLUME'!E:E,A69,'BD VOLUME'!N:N)</f>
        <v>0</v>
      </c>
      <c r="G69" s="163">
        <f>H69*'BD VOLUME'!$C$3</f>
        <v>0</v>
      </c>
      <c r="H69" s="163">
        <f t="shared" si="28"/>
        <v>0</v>
      </c>
      <c r="I69" s="163">
        <f>SUMIF('BD VOLUME'!E:E,A69,'BD VOLUME'!O:O)</f>
        <v>0</v>
      </c>
      <c r="J69" s="163">
        <f>SUMIF('BD VOLUME'!E:E,A69,'BD VOLUME'!P:P)</f>
        <v>0</v>
      </c>
      <c r="K69" s="163">
        <f>SUMIF('BD VOLUME'!E:E,A69,'BD VOLUME'!Q:Q)</f>
        <v>0</v>
      </c>
      <c r="L69" s="163">
        <f>SUMIF('BD VOLUME'!E:E,A69,'BD VOLUME'!R:R)</f>
        <v>0</v>
      </c>
      <c r="M69" s="163">
        <f>SUMIF('BD VOLUME'!E:E,A69,'BD VOLUME'!S:S)</f>
        <v>0</v>
      </c>
      <c r="N69" s="163">
        <f>SUMIF('BD VOLUME'!E:E,A69,'BD VOLUME'!T:T)</f>
        <v>0</v>
      </c>
    </row>
    <row r="70" spans="1:15">
      <c r="A70" s="161" t="s">
        <v>1522</v>
      </c>
      <c r="B70" s="162">
        <f>SUMIF('BD VOLUME'!$E:$E,A70,'BD VOLUME'!$J:$J)</f>
        <v>0</v>
      </c>
      <c r="C70" s="162">
        <f t="shared" si="27"/>
        <v>0</v>
      </c>
      <c r="D70" s="163">
        <f>IFERROR(SUMIF('BD VOLUME'!E:E,A70,'BD VOLUME'!F:F)/Preencher!$I$11,0)</f>
        <v>0</v>
      </c>
      <c r="E70" s="163">
        <f>SUMIF('BD VOLUME'!E:E,A70,'BD VOLUME'!N:N)*'BD VOLUME'!$C$3</f>
        <v>0</v>
      </c>
      <c r="F70" s="163">
        <f>SUMIF('BD VOLUME'!E:E,A70,'BD VOLUME'!N:N)</f>
        <v>0</v>
      </c>
      <c r="G70" s="163">
        <f>H70*'BD VOLUME'!$C$3</f>
        <v>0</v>
      </c>
      <c r="H70" s="163">
        <f t="shared" si="28"/>
        <v>0</v>
      </c>
      <c r="I70" s="163">
        <f>SUMIF('BD VOLUME'!E:E,A70,'BD VOLUME'!O:O)</f>
        <v>0</v>
      </c>
      <c r="J70" s="163">
        <f>SUMIF('BD VOLUME'!E:E,A70,'BD VOLUME'!P:P)</f>
        <v>0</v>
      </c>
      <c r="K70" s="163">
        <f>SUMIF('BD VOLUME'!E:E,A70,'BD VOLUME'!Q:Q)</f>
        <v>0</v>
      </c>
      <c r="L70" s="163">
        <f>SUMIF('BD VOLUME'!E:E,A70,'BD VOLUME'!R:R)</f>
        <v>0</v>
      </c>
      <c r="M70" s="163">
        <f>SUMIF('BD VOLUME'!E:E,A70,'BD VOLUME'!S:S)</f>
        <v>0</v>
      </c>
      <c r="N70" s="163">
        <f>SUMIF('BD VOLUME'!E:E,A70,'BD VOLUME'!T:T)</f>
        <v>0</v>
      </c>
    </row>
    <row r="71" spans="1:15">
      <c r="A71" s="161" t="s">
        <v>1917</v>
      </c>
      <c r="B71" s="162">
        <f>SUMIF('BD VOLUME'!$E:$E,A71,'BD VOLUME'!$J:$J)</f>
        <v>0</v>
      </c>
      <c r="C71" s="162">
        <f t="shared" si="27"/>
        <v>0</v>
      </c>
      <c r="D71" s="163">
        <f>IFERROR(SUMIF('BD VOLUME'!E:E,A71,'BD VOLUME'!F:F)/Preencher!$I$11,0)</f>
        <v>0</v>
      </c>
      <c r="E71" s="163">
        <f>SUMIF('BD VOLUME'!E:E,A71,'BD VOLUME'!N:N)*'BD VOLUME'!$C$3</f>
        <v>0</v>
      </c>
      <c r="F71" s="163">
        <f>SUMIF('BD VOLUME'!E:E,A71,'BD VOLUME'!N:N)</f>
        <v>0</v>
      </c>
      <c r="G71" s="163">
        <f>H71*'BD VOLUME'!$C$3</f>
        <v>0</v>
      </c>
      <c r="H71" s="163">
        <f t="shared" si="28"/>
        <v>0</v>
      </c>
      <c r="I71" s="163">
        <f>SUMIF('BD VOLUME'!E:E,A71,'BD VOLUME'!O:O)</f>
        <v>0</v>
      </c>
      <c r="J71" s="163">
        <f>SUMIF('BD VOLUME'!E:E,A71,'BD VOLUME'!P:P)</f>
        <v>0</v>
      </c>
      <c r="K71" s="163">
        <f>SUMIF('BD VOLUME'!E:E,A71,'BD VOLUME'!Q:Q)</f>
        <v>0</v>
      </c>
      <c r="L71" s="163">
        <f>SUMIF('BD VOLUME'!E:E,A71,'BD VOLUME'!R:R)</f>
        <v>0</v>
      </c>
      <c r="M71" s="163">
        <f>SUMIF('BD VOLUME'!E:E,A71,'BD VOLUME'!S:S)</f>
        <v>0</v>
      </c>
      <c r="N71" s="163">
        <f>SUMIF('BD VOLUME'!E:E,A71,'BD VOLUME'!T:T)</f>
        <v>0</v>
      </c>
      <c r="O71" s="123" t="s">
        <v>1022</v>
      </c>
    </row>
    <row r="72" spans="1:15">
      <c r="A72" s="161" t="s">
        <v>2386</v>
      </c>
      <c r="B72" s="162">
        <f>SUMIF('BD VOLUME'!$E:$E,A72,'BD VOLUME'!$J:$J)</f>
        <v>0</v>
      </c>
      <c r="C72" s="162">
        <f t="shared" si="27"/>
        <v>0</v>
      </c>
      <c r="D72" s="163">
        <f>IFERROR(SUMIF('BD VOLUME'!E:E,A72,'BD VOLUME'!F:F)/Preencher!$I$11,0)</f>
        <v>0</v>
      </c>
      <c r="E72" s="163">
        <f>SUMIF('BD VOLUME'!E:E,A72,'BD VOLUME'!N:N)*'BD VOLUME'!$C$3</f>
        <v>0</v>
      </c>
      <c r="F72" s="163">
        <f>SUMIF('BD VOLUME'!E:E,A72,'BD VOLUME'!N:N)</f>
        <v>0</v>
      </c>
      <c r="G72" s="163">
        <f>H72*'BD VOLUME'!$C$3</f>
        <v>0</v>
      </c>
      <c r="H72" s="163">
        <f t="shared" si="28"/>
        <v>0</v>
      </c>
      <c r="I72" s="163">
        <f>SUMIF('BD VOLUME'!E:E,A72,'BD VOLUME'!O:O)</f>
        <v>0</v>
      </c>
      <c r="J72" s="163">
        <f>SUMIF('BD VOLUME'!E:E,A72,'BD VOLUME'!P:P)</f>
        <v>0</v>
      </c>
      <c r="K72" s="163">
        <f>SUMIF('BD VOLUME'!E:E,A72,'BD VOLUME'!Q:Q)</f>
        <v>0</v>
      </c>
      <c r="L72" s="163">
        <f>SUMIF('BD VOLUME'!E:E,A72,'BD VOLUME'!R:R)</f>
        <v>0</v>
      </c>
      <c r="M72" s="163">
        <f>SUMIF('BD VOLUME'!E:E,A72,'BD VOLUME'!S:S)</f>
        <v>0</v>
      </c>
      <c r="N72" s="163">
        <f>SUMIF('BD VOLUME'!E:E,A72,'BD VOLUME'!T:T)</f>
        <v>0</v>
      </c>
      <c r="O72" s="123" t="s">
        <v>1022</v>
      </c>
    </row>
    <row r="73" spans="1:15">
      <c r="A73" s="161" t="s">
        <v>1523</v>
      </c>
      <c r="B73" s="162">
        <f>SUMIF('BD VOLUME'!$E:$E,A73,'BD VOLUME'!$J:$J)</f>
        <v>0</v>
      </c>
      <c r="C73" s="162">
        <f t="shared" si="27"/>
        <v>0</v>
      </c>
      <c r="D73" s="163">
        <f>IFERROR(SUMIF('BD VOLUME'!E:E,A73,'BD VOLUME'!F:F)/Preencher!$I$11,0)</f>
        <v>0</v>
      </c>
      <c r="E73" s="163">
        <f>SUMIF('BD VOLUME'!E:E,A73,'BD VOLUME'!N:N)*'BD VOLUME'!$C$3</f>
        <v>0</v>
      </c>
      <c r="F73" s="163">
        <f>SUMIF('BD VOLUME'!E:E,A73,'BD VOLUME'!N:N)</f>
        <v>0</v>
      </c>
      <c r="G73" s="163">
        <f>H73*'BD VOLUME'!$C$3</f>
        <v>0</v>
      </c>
      <c r="H73" s="163">
        <f t="shared" si="28"/>
        <v>0</v>
      </c>
      <c r="I73" s="163">
        <f>SUMIF('BD VOLUME'!E:E,A73,'BD VOLUME'!O:O)</f>
        <v>0</v>
      </c>
      <c r="J73" s="163">
        <f>SUMIF('BD VOLUME'!E:E,A73,'BD VOLUME'!P:P)</f>
        <v>0</v>
      </c>
      <c r="K73" s="163">
        <f>SUMIF('BD VOLUME'!E:E,A73,'BD VOLUME'!Q:Q)</f>
        <v>0</v>
      </c>
      <c r="L73" s="163">
        <f>SUMIF('BD VOLUME'!E:E,A73,'BD VOLUME'!R:R)</f>
        <v>0</v>
      </c>
      <c r="M73" s="163">
        <f>SUMIF('BD VOLUME'!E:E,A73,'BD VOLUME'!S:S)</f>
        <v>0</v>
      </c>
      <c r="N73" s="163">
        <f>SUMIF('BD VOLUME'!E:E,A73,'BD VOLUME'!T:T)</f>
        <v>0</v>
      </c>
    </row>
    <row r="74" spans="1:15">
      <c r="A74" s="188" t="s">
        <v>1514</v>
      </c>
      <c r="B74" s="192">
        <f>SUMIF('BD VOLUME'!$E:$E,A74,'BD VOLUME'!$J:$J)</f>
        <v>0</v>
      </c>
      <c r="C74" s="192">
        <f t="shared" si="27"/>
        <v>0</v>
      </c>
      <c r="D74" s="193">
        <f>IFERROR(SUMIF('BD VOLUME'!E:E,A74,'BD VOLUME'!F:F)/Preencher!$I$11,0)</f>
        <v>0</v>
      </c>
      <c r="E74" s="193">
        <f>SUMIF('BD VOLUME'!E:E,A74,'BD VOLUME'!N:N)*'BD VOLUME'!$C$3</f>
        <v>0</v>
      </c>
      <c r="F74" s="193">
        <f>SUMIF('BD VOLUME'!E:E,A74,'BD VOLUME'!N:N)</f>
        <v>0</v>
      </c>
      <c r="G74" s="193">
        <f>H74*'BD VOLUME'!$C$3</f>
        <v>0</v>
      </c>
      <c r="H74" s="193">
        <f t="shared" si="28"/>
        <v>0</v>
      </c>
      <c r="I74" s="193">
        <f>SUMIF('BD VOLUME'!E:E,A74,'BD VOLUME'!O:O)</f>
        <v>0</v>
      </c>
      <c r="J74" s="193">
        <f>SUMIF('BD VOLUME'!E:E,A74,'BD VOLUME'!P:P)</f>
        <v>0</v>
      </c>
      <c r="K74" s="193">
        <f>SUMIF('BD VOLUME'!E:E,A74,'BD VOLUME'!Q:Q)</f>
        <v>0</v>
      </c>
      <c r="L74" s="193">
        <f>SUMIF('BD VOLUME'!E:E,A74,'BD VOLUME'!R:R)</f>
        <v>0</v>
      </c>
      <c r="M74" s="193">
        <f>SUMIF('BD VOLUME'!E:E,A74,'BD VOLUME'!S:S)</f>
        <v>0</v>
      </c>
      <c r="N74" s="193">
        <f>SUMIF('BD VOLUME'!E:E,A74,'BD VOLUME'!T:T)</f>
        <v>0</v>
      </c>
    </row>
    <row r="75" spans="1:15">
      <c r="A75" s="188" t="s">
        <v>1513</v>
      </c>
      <c r="B75" s="192">
        <f>SUMIF('BD VOLUME'!$E:$E,A75,'BD VOLUME'!$J:$J)</f>
        <v>0</v>
      </c>
      <c r="C75" s="192">
        <f t="shared" si="27"/>
        <v>0</v>
      </c>
      <c r="D75" s="193">
        <f>IFERROR(SUMIF('BD VOLUME'!E:E,A75,'BD VOLUME'!F:F)/Preencher!$I$11,0)</f>
        <v>0</v>
      </c>
      <c r="E75" s="193">
        <f>SUMIF('BD VOLUME'!E:E,A75,'BD VOLUME'!N:N)*'BD VOLUME'!$C$3</f>
        <v>0</v>
      </c>
      <c r="F75" s="193">
        <f>SUMIF('BD VOLUME'!E:E,A75,'BD VOLUME'!N:N)</f>
        <v>0</v>
      </c>
      <c r="G75" s="193">
        <f>H75*'BD VOLUME'!$C$3</f>
        <v>0</v>
      </c>
      <c r="H75" s="193">
        <f t="shared" si="28"/>
        <v>0</v>
      </c>
      <c r="I75" s="193">
        <f>SUMIF('BD VOLUME'!E:E,A75,'BD VOLUME'!O:O)</f>
        <v>0</v>
      </c>
      <c r="J75" s="193">
        <f>SUMIF('BD VOLUME'!E:E,A75,'BD VOLUME'!P:P)</f>
        <v>0</v>
      </c>
      <c r="K75" s="193">
        <f>SUMIF('BD VOLUME'!E:E,A75,'BD VOLUME'!Q:Q)</f>
        <v>0</v>
      </c>
      <c r="L75" s="193">
        <f>SUMIF('BD VOLUME'!E:E,A75,'BD VOLUME'!R:R)</f>
        <v>0</v>
      </c>
      <c r="M75" s="193">
        <f>SUMIF('BD VOLUME'!E:E,A75,'BD VOLUME'!S:S)</f>
        <v>0</v>
      </c>
      <c r="N75" s="193">
        <f>SUMIF('BD VOLUME'!E:E,A75,'BD VOLUME'!T:T)</f>
        <v>0</v>
      </c>
    </row>
    <row r="76" spans="1:15">
      <c r="A76" s="188" t="s">
        <v>1512</v>
      </c>
      <c r="B76" s="192">
        <f>SUMIF('BD VOLUME'!$E:$E,A76,'BD VOLUME'!$J:$J)</f>
        <v>0</v>
      </c>
      <c r="C76" s="192">
        <f t="shared" si="27"/>
        <v>0</v>
      </c>
      <c r="D76" s="193">
        <f>IFERROR(SUMIF('BD VOLUME'!E:E,A76,'BD VOLUME'!F:F)/Preencher!$I$11,0)</f>
        <v>0</v>
      </c>
      <c r="E76" s="193">
        <f>SUMIF('BD VOLUME'!E:E,A76,'BD VOLUME'!N:N)*'BD VOLUME'!$C$3</f>
        <v>0</v>
      </c>
      <c r="F76" s="193">
        <f>SUMIF('BD VOLUME'!E:E,A76,'BD VOLUME'!N:N)</f>
        <v>0</v>
      </c>
      <c r="G76" s="193">
        <f>H76*'BD VOLUME'!$C$3</f>
        <v>0</v>
      </c>
      <c r="H76" s="193">
        <f t="shared" si="28"/>
        <v>0</v>
      </c>
      <c r="I76" s="193">
        <f>SUMIF('BD VOLUME'!E:E,A76,'BD VOLUME'!O:O)</f>
        <v>0</v>
      </c>
      <c r="J76" s="193">
        <f>SUMIF('BD VOLUME'!E:E,A76,'BD VOLUME'!P:P)</f>
        <v>0</v>
      </c>
      <c r="K76" s="193">
        <f>SUMIF('BD VOLUME'!E:E,A76,'BD VOLUME'!Q:Q)</f>
        <v>0</v>
      </c>
      <c r="L76" s="193">
        <f>SUMIF('BD VOLUME'!E:E,A76,'BD VOLUME'!R:R)</f>
        <v>0</v>
      </c>
      <c r="M76" s="193">
        <f>SUMIF('BD VOLUME'!E:E,A76,'BD VOLUME'!S:S)</f>
        <v>0</v>
      </c>
      <c r="N76" s="193">
        <f>SUMIF('BD VOLUME'!E:E,A76,'BD VOLUME'!T:T)</f>
        <v>0</v>
      </c>
    </row>
    <row r="77" spans="1:15">
      <c r="A77" s="188" t="s">
        <v>1516</v>
      </c>
      <c r="B77" s="192">
        <f>SUMIF('BD VOLUME'!$E:$E,A77,'BD VOLUME'!$J:$J)</f>
        <v>0</v>
      </c>
      <c r="C77" s="192">
        <f t="shared" si="27"/>
        <v>0</v>
      </c>
      <c r="D77" s="193">
        <f>IFERROR(SUMIF('BD VOLUME'!E:E,A77,'BD VOLUME'!F:F)/Preencher!$I$11,0)</f>
        <v>0</v>
      </c>
      <c r="E77" s="193">
        <f>SUMIF('BD VOLUME'!E:E,A77,'BD VOLUME'!N:N)*'BD VOLUME'!$C$3</f>
        <v>0</v>
      </c>
      <c r="F77" s="193">
        <f>SUMIF('BD VOLUME'!E:E,A77,'BD VOLUME'!N:N)</f>
        <v>0</v>
      </c>
      <c r="G77" s="193">
        <f>H77*'BD VOLUME'!$C$3</f>
        <v>0</v>
      </c>
      <c r="H77" s="193">
        <f t="shared" si="28"/>
        <v>0</v>
      </c>
      <c r="I77" s="193">
        <f>SUMIF('BD VOLUME'!E:E,A77,'BD VOLUME'!O:O)</f>
        <v>0</v>
      </c>
      <c r="J77" s="193">
        <f>SUMIF('BD VOLUME'!E:E,A77,'BD VOLUME'!P:P)</f>
        <v>0</v>
      </c>
      <c r="K77" s="193">
        <f>SUMIF('BD VOLUME'!E:E,A77,'BD VOLUME'!Q:Q)</f>
        <v>0</v>
      </c>
      <c r="L77" s="193">
        <f>SUMIF('BD VOLUME'!E:E,A77,'BD VOLUME'!R:R)</f>
        <v>0</v>
      </c>
      <c r="M77" s="193">
        <f>SUMIF('BD VOLUME'!E:E,A77,'BD VOLUME'!S:S)</f>
        <v>0</v>
      </c>
      <c r="N77" s="193">
        <f>SUMIF('BD VOLUME'!E:E,A77,'BD VOLUME'!T:T)</f>
        <v>0</v>
      </c>
    </row>
    <row r="78" spans="1:15">
      <c r="A78" s="188" t="s">
        <v>1515</v>
      </c>
      <c r="B78" s="192">
        <f>SUMIF('BD VOLUME'!$E:$E,A78,'BD VOLUME'!$J:$J)</f>
        <v>0</v>
      </c>
      <c r="C78" s="192">
        <f t="shared" si="27"/>
        <v>0</v>
      </c>
      <c r="D78" s="193">
        <f>IFERROR(SUMIF('BD VOLUME'!E:E,A78,'BD VOLUME'!F:F)/Preencher!$I$11,0)</f>
        <v>0</v>
      </c>
      <c r="E78" s="193">
        <f>SUMIF('BD VOLUME'!E:E,A78,'BD VOLUME'!N:N)*'BD VOLUME'!$C$3</f>
        <v>0</v>
      </c>
      <c r="F78" s="193">
        <f>SUMIF('BD VOLUME'!E:E,A78,'BD VOLUME'!N:N)</f>
        <v>0</v>
      </c>
      <c r="G78" s="193">
        <f>H78*'BD VOLUME'!$C$3</f>
        <v>0</v>
      </c>
      <c r="H78" s="193">
        <f t="shared" si="28"/>
        <v>0</v>
      </c>
      <c r="I78" s="193">
        <f>SUMIF('BD VOLUME'!E:E,A78,'BD VOLUME'!O:O)</f>
        <v>0</v>
      </c>
      <c r="J78" s="193">
        <f>SUMIF('BD VOLUME'!E:E,A78,'BD VOLUME'!P:P)</f>
        <v>0</v>
      </c>
      <c r="K78" s="193">
        <f>SUMIF('BD VOLUME'!E:E,A78,'BD VOLUME'!Q:Q)</f>
        <v>0</v>
      </c>
      <c r="L78" s="193">
        <f>SUMIF('BD VOLUME'!E:E,A78,'BD VOLUME'!R:R)</f>
        <v>0</v>
      </c>
      <c r="M78" s="193">
        <f>SUMIF('BD VOLUME'!E:E,A78,'BD VOLUME'!S:S)</f>
        <v>0</v>
      </c>
      <c r="N78" s="193">
        <f>SUMIF('BD VOLUME'!E:E,A78,'BD VOLUME'!T:T)</f>
        <v>0</v>
      </c>
    </row>
    <row r="79" spans="1:15">
      <c r="A79" s="188" t="s">
        <v>937</v>
      </c>
      <c r="B79" s="192">
        <f>SUMIF('BD VOLUME'!$E:$E,A79,'BD VOLUME'!$J:$J)</f>
        <v>9.1188550620315875E-2</v>
      </c>
      <c r="C79" s="192">
        <f t="shared" si="27"/>
        <v>9.903175993565605E-2</v>
      </c>
      <c r="D79" s="193">
        <f>IFERROR(SUMIF('BD VOLUME'!E:E,A79,'BD VOLUME'!F:F)/Preencher!$I$11,0)</f>
        <v>2643.0545454545454</v>
      </c>
      <c r="E79" s="193">
        <f>SUMIF('BD VOLUME'!E:E,A79,'BD VOLUME'!N:N)*'BD VOLUME'!$C$3</f>
        <v>2643.0545454545454</v>
      </c>
      <c r="F79" s="193">
        <f>SUMIF('BD VOLUME'!E:E,A79,'BD VOLUME'!N:N)</f>
        <v>276.03702824590556</v>
      </c>
      <c r="G79" s="193">
        <f>H79*'BD VOLUME'!$C$3</f>
        <v>220.25454545454548</v>
      </c>
      <c r="H79" s="193">
        <f t="shared" si="28"/>
        <v>23.003085687158798</v>
      </c>
      <c r="I79" s="193">
        <f>SUMIF('BD VOLUME'!E:E,A79,'BD VOLUME'!O:O)</f>
        <v>23.003085687158798</v>
      </c>
      <c r="J79" s="193">
        <f>SUMIF('BD VOLUME'!E:E,A79,'BD VOLUME'!P:P)</f>
        <v>0</v>
      </c>
      <c r="K79" s="193">
        <f>SUMIF('BD VOLUME'!E:E,A79,'BD VOLUME'!Q:Q)</f>
        <v>0</v>
      </c>
      <c r="L79" s="193">
        <f>SUMIF('BD VOLUME'!E:E,A79,'BD VOLUME'!R:R)</f>
        <v>0</v>
      </c>
      <c r="M79" s="193">
        <f>SUMIF('BD VOLUME'!E:E,A79,'BD VOLUME'!S:S)</f>
        <v>0</v>
      </c>
      <c r="N79" s="193">
        <f>SUMIF('BD VOLUME'!E:E,A79,'BD VOLUME'!T:T)</f>
        <v>0</v>
      </c>
    </row>
    <row r="80" spans="1:15">
      <c r="A80" s="188" t="s">
        <v>976</v>
      </c>
      <c r="B80" s="192">
        <f>SUMIF('BD VOLUME'!$E:$E,A80,'BD VOLUME'!$J:$J)</f>
        <v>2.2797137655078967E-3</v>
      </c>
      <c r="C80" s="192">
        <f t="shared" si="27"/>
        <v>2.4757939983914008E-3</v>
      </c>
      <c r="D80" s="193">
        <f>IFERROR(SUMIF('BD VOLUME'!E:E,A80,'BD VOLUME'!F:F)/Preencher!$I$11,0)</f>
        <v>66.076363636363638</v>
      </c>
      <c r="E80" s="193">
        <f>SUMIF('BD VOLUME'!E:E,A80,'BD VOLUME'!N:N)*'BD VOLUME'!$C$3</f>
        <v>66.076363636363638</v>
      </c>
      <c r="F80" s="193">
        <f>SUMIF('BD VOLUME'!E:E,A80,'BD VOLUME'!N:N)</f>
        <v>6.900925706147639</v>
      </c>
      <c r="G80" s="193">
        <f>H80*'BD VOLUME'!$C$3</f>
        <v>5.5063636363636359</v>
      </c>
      <c r="H80" s="193">
        <f t="shared" si="28"/>
        <v>0.57507714217896988</v>
      </c>
      <c r="I80" s="193">
        <f>SUMIF('BD VOLUME'!E:E,A80,'BD VOLUME'!O:O)</f>
        <v>0.57507714217896988</v>
      </c>
      <c r="J80" s="193">
        <f>SUMIF('BD VOLUME'!E:E,A80,'BD VOLUME'!P:P)</f>
        <v>0</v>
      </c>
      <c r="K80" s="193">
        <f>SUMIF('BD VOLUME'!E:E,A80,'BD VOLUME'!Q:Q)</f>
        <v>0</v>
      </c>
      <c r="L80" s="193">
        <f>SUMIF('BD VOLUME'!E:E,A80,'BD VOLUME'!R:R)</f>
        <v>0</v>
      </c>
      <c r="M80" s="193">
        <f>SUMIF('BD VOLUME'!E:E,A80,'BD VOLUME'!S:S)</f>
        <v>0</v>
      </c>
      <c r="N80" s="193">
        <f>SUMIF('BD VOLUME'!E:E,A80,'BD VOLUME'!T:T)</f>
        <v>0</v>
      </c>
    </row>
    <row r="81" spans="1:14">
      <c r="A81" s="188" t="s">
        <v>1873</v>
      </c>
      <c r="B81" s="192">
        <f>SUMIF('BD VOLUME'!$E:$E,A81,'BD VOLUME'!$J:$J)</f>
        <v>0</v>
      </c>
      <c r="C81" s="192">
        <f t="shared" si="27"/>
        <v>0</v>
      </c>
      <c r="D81" s="193">
        <f>IFERROR(SUMIF('BD VOLUME'!E:E,A81,'BD VOLUME'!F:F)/Preencher!$I$11,0)</f>
        <v>0</v>
      </c>
      <c r="E81" s="193">
        <f>SUMIF('BD VOLUME'!E:E,A81,'BD VOLUME'!N:N)*'BD VOLUME'!$C$3</f>
        <v>0</v>
      </c>
      <c r="F81" s="193">
        <f>SUMIF('BD VOLUME'!E:E,A81,'BD VOLUME'!N:N)</f>
        <v>0</v>
      </c>
      <c r="G81" s="193">
        <f>H81*'BD VOLUME'!$C$3</f>
        <v>0</v>
      </c>
      <c r="H81" s="193">
        <f t="shared" si="28"/>
        <v>0</v>
      </c>
      <c r="I81" s="193">
        <f>SUMIF('BD VOLUME'!E:E,A81,'BD VOLUME'!O:O)</f>
        <v>0</v>
      </c>
      <c r="J81" s="193">
        <f>SUMIF('BD VOLUME'!E:E,A81,'BD VOLUME'!P:P)</f>
        <v>0</v>
      </c>
      <c r="K81" s="193">
        <f>SUMIF('BD VOLUME'!E:E,A81,'BD VOLUME'!Q:Q)</f>
        <v>0</v>
      </c>
      <c r="L81" s="193">
        <f>SUMIF('BD VOLUME'!E:E,A81,'BD VOLUME'!R:R)</f>
        <v>0</v>
      </c>
      <c r="M81" s="193">
        <f>SUMIF('BD VOLUME'!E:E,A81,'BD VOLUME'!S:S)</f>
        <v>0</v>
      </c>
      <c r="N81" s="193">
        <f>SUMIF('BD VOLUME'!E:E,A81,'BD VOLUME'!T:T)</f>
        <v>0</v>
      </c>
    </row>
    <row r="82" spans="1:14">
      <c r="A82" s="188" t="s">
        <v>2553</v>
      </c>
      <c r="B82" s="192">
        <f>SUMIF('BD VOLUME'!$E:$E,A82,'BD VOLUME'!$J:$J)</f>
        <v>0</v>
      </c>
      <c r="C82" s="192">
        <f t="shared" si="27"/>
        <v>0</v>
      </c>
      <c r="D82" s="193">
        <f>IFERROR(SUMIF('BD VOLUME'!E:E,A82,'BD VOLUME'!F:F)/Preencher!$I$11,0)</f>
        <v>0</v>
      </c>
      <c r="E82" s="193">
        <f>SUMIF('BD VOLUME'!E:E,A82,'BD VOLUME'!N:N)*'BD VOLUME'!$C$3</f>
        <v>0</v>
      </c>
      <c r="F82" s="193">
        <f>SUMIF('BD VOLUME'!E:E,A82,'BD VOLUME'!N:N)</f>
        <v>0</v>
      </c>
      <c r="G82" s="193">
        <f>H82*'BD VOLUME'!$C$3</f>
        <v>0</v>
      </c>
      <c r="H82" s="193">
        <f t="shared" si="28"/>
        <v>0</v>
      </c>
      <c r="I82" s="193">
        <f>SUMIF('BD VOLUME'!E:E,A82,'BD VOLUME'!O:O)</f>
        <v>0</v>
      </c>
      <c r="J82" s="193">
        <f>SUMIF('BD VOLUME'!E:E,A82,'BD VOLUME'!P:P)</f>
        <v>0</v>
      </c>
      <c r="K82" s="193">
        <f>SUMIF('BD VOLUME'!E:E,A82,'BD VOLUME'!Q:Q)</f>
        <v>0</v>
      </c>
      <c r="L82" s="193">
        <f>SUMIF('BD VOLUME'!E:E,A82,'BD VOLUME'!R:R)</f>
        <v>0</v>
      </c>
      <c r="M82" s="193">
        <f>SUMIF('BD VOLUME'!E:E,A82,'BD VOLUME'!S:S)</f>
        <v>0</v>
      </c>
      <c r="N82" s="193">
        <f>SUMIF('BD VOLUME'!E:E,A82,'BD VOLUME'!T:T)</f>
        <v>0</v>
      </c>
    </row>
    <row r="83" spans="1:14">
      <c r="A83" s="188" t="s">
        <v>2118</v>
      </c>
      <c r="B83" s="192">
        <f>SUMIF('BD VOLUME'!$E:$E,A83,'BD VOLUME'!$J:$J)</f>
        <v>0</v>
      </c>
      <c r="C83" s="192">
        <f t="shared" si="27"/>
        <v>0</v>
      </c>
      <c r="D83" s="193">
        <f>IFERROR(SUMIF('BD VOLUME'!E:E,A83,'BD VOLUME'!F:F)/Preencher!$I$11,0)</f>
        <v>0</v>
      </c>
      <c r="E83" s="193">
        <f>SUMIF('BD VOLUME'!E:E,A83,'BD VOLUME'!N:N)*'BD VOLUME'!$C$3</f>
        <v>0</v>
      </c>
      <c r="F83" s="193">
        <f>SUMIF('BD VOLUME'!E:E,A83,'BD VOLUME'!N:N)</f>
        <v>0</v>
      </c>
      <c r="G83" s="193">
        <f>H83*'BD VOLUME'!$C$3</f>
        <v>0</v>
      </c>
      <c r="H83" s="193">
        <f t="shared" si="28"/>
        <v>0</v>
      </c>
      <c r="I83" s="193">
        <f>SUMIF('BD VOLUME'!E:E,A83,'BD VOLUME'!O:O)</f>
        <v>0</v>
      </c>
      <c r="J83" s="193">
        <f>SUMIF('BD VOLUME'!E:E,A83,'BD VOLUME'!P:P)</f>
        <v>0</v>
      </c>
      <c r="K83" s="193">
        <f>SUMIF('BD VOLUME'!E:E,A83,'BD VOLUME'!Q:Q)</f>
        <v>0</v>
      </c>
      <c r="L83" s="193">
        <f>SUMIF('BD VOLUME'!E:E,A83,'BD VOLUME'!R:R)</f>
        <v>0</v>
      </c>
      <c r="M83" s="193">
        <f>SUMIF('BD VOLUME'!E:E,A83,'BD VOLUME'!S:S)</f>
        <v>0</v>
      </c>
      <c r="N83" s="193">
        <f>SUMIF('BD VOLUME'!E:E,A83,'BD VOLUME'!T:T)</f>
        <v>0</v>
      </c>
    </row>
    <row r="84" spans="1:14">
      <c r="A84" s="188" t="s">
        <v>1804</v>
      </c>
      <c r="B84" s="192">
        <f>SUMIF('BD VOLUME'!$E:$E,A84,'BD VOLUME'!$J:$J)</f>
        <v>0</v>
      </c>
      <c r="C84" s="192">
        <f t="shared" si="27"/>
        <v>0</v>
      </c>
      <c r="D84" s="193">
        <f>IFERROR(SUMIF('BD VOLUME'!E:E,A84,'BD VOLUME'!F:F)/Preencher!$I$11,0)</f>
        <v>0</v>
      </c>
      <c r="E84" s="193">
        <f>SUMIF('BD VOLUME'!E:E,A84,'BD VOLUME'!N:N)*'BD VOLUME'!$C$3</f>
        <v>0</v>
      </c>
      <c r="F84" s="193">
        <f>SUMIF('BD VOLUME'!E:E,A84,'BD VOLUME'!N:N)</f>
        <v>0</v>
      </c>
      <c r="G84" s="193">
        <f>H84*'BD VOLUME'!$C$3</f>
        <v>0</v>
      </c>
      <c r="H84" s="193">
        <f t="shared" si="28"/>
        <v>0</v>
      </c>
      <c r="I84" s="193">
        <f>SUMIF('BD VOLUME'!E:E,A84,'BD VOLUME'!O:O)</f>
        <v>0</v>
      </c>
      <c r="J84" s="193">
        <f>SUMIF('BD VOLUME'!E:E,A84,'BD VOLUME'!P:P)</f>
        <v>0</v>
      </c>
      <c r="K84" s="193">
        <f>SUMIF('BD VOLUME'!E:E,A84,'BD VOLUME'!Q:Q)</f>
        <v>0</v>
      </c>
      <c r="L84" s="193">
        <f>SUMIF('BD VOLUME'!E:E,A84,'BD VOLUME'!R:R)</f>
        <v>0</v>
      </c>
      <c r="M84" s="193">
        <f>SUMIF('BD VOLUME'!E:E,A84,'BD VOLUME'!S:S)</f>
        <v>0</v>
      </c>
      <c r="N84" s="193">
        <f>SUMIF('BD VOLUME'!E:E,A84,'BD VOLUME'!T:T)</f>
        <v>0</v>
      </c>
    </row>
    <row r="85" spans="1:14">
      <c r="A85" s="188" t="s">
        <v>1807</v>
      </c>
      <c r="B85" s="192">
        <f>SUMIF('BD VOLUME'!$E:$E,A85,'BD VOLUME'!$J:$J)</f>
        <v>0</v>
      </c>
      <c r="C85" s="192">
        <f t="shared" si="27"/>
        <v>0</v>
      </c>
      <c r="D85" s="193">
        <f>IFERROR(SUMIF('BD VOLUME'!E:E,A85,'BD VOLUME'!F:F)/Preencher!$I$11,0)</f>
        <v>0</v>
      </c>
      <c r="E85" s="193">
        <f>SUMIF('BD VOLUME'!E:E,A85,'BD VOLUME'!N:N)*'BD VOLUME'!$C$3</f>
        <v>0</v>
      </c>
      <c r="F85" s="193">
        <f>SUMIF('BD VOLUME'!E:E,A85,'BD VOLUME'!N:N)</f>
        <v>0</v>
      </c>
      <c r="G85" s="193">
        <f>H85*'BD VOLUME'!$C$3</f>
        <v>0</v>
      </c>
      <c r="H85" s="193">
        <f t="shared" si="28"/>
        <v>0</v>
      </c>
      <c r="I85" s="193">
        <f>SUMIF('BD VOLUME'!E:E,A85,'BD VOLUME'!O:O)</f>
        <v>0</v>
      </c>
      <c r="J85" s="193">
        <f>SUMIF('BD VOLUME'!E:E,A85,'BD VOLUME'!P:P)</f>
        <v>0</v>
      </c>
      <c r="K85" s="193">
        <f>SUMIF('BD VOLUME'!E:E,A85,'BD VOLUME'!Q:Q)</f>
        <v>0</v>
      </c>
      <c r="L85" s="193">
        <f>SUMIF('BD VOLUME'!E:E,A85,'BD VOLUME'!R:R)</f>
        <v>0</v>
      </c>
      <c r="M85" s="193">
        <f>SUMIF('BD VOLUME'!E:E,A85,'BD VOLUME'!S:S)</f>
        <v>0</v>
      </c>
      <c r="N85" s="193">
        <f>SUMIF('BD VOLUME'!E:E,A85,'BD VOLUME'!T:T)</f>
        <v>0</v>
      </c>
    </row>
    <row r="86" spans="1:14">
      <c r="A86" s="188" t="s">
        <v>1806</v>
      </c>
      <c r="B86" s="192">
        <f>SUMIF('BD VOLUME'!$E:$E,A86,'BD VOLUME'!$J:$J)</f>
        <v>0</v>
      </c>
      <c r="C86" s="192">
        <f t="shared" si="27"/>
        <v>0</v>
      </c>
      <c r="D86" s="193">
        <f>IFERROR(SUMIF('BD VOLUME'!E:E,A86,'BD VOLUME'!F:F)/Preencher!$I$11,0)</f>
        <v>0</v>
      </c>
      <c r="E86" s="193">
        <f>SUMIF('BD VOLUME'!E:E,A86,'BD VOLUME'!N:N)*'BD VOLUME'!$C$3</f>
        <v>0</v>
      </c>
      <c r="F86" s="193">
        <f>SUMIF('BD VOLUME'!E:E,A86,'BD VOLUME'!N:N)</f>
        <v>0</v>
      </c>
      <c r="G86" s="193">
        <f>H86*'BD VOLUME'!$C$3</f>
        <v>0</v>
      </c>
      <c r="H86" s="193">
        <f t="shared" si="28"/>
        <v>0</v>
      </c>
      <c r="I86" s="193">
        <f>SUMIF('BD VOLUME'!E:E,A86,'BD VOLUME'!O:O)</f>
        <v>0</v>
      </c>
      <c r="J86" s="193">
        <f>SUMIF('BD VOLUME'!E:E,A86,'BD VOLUME'!P:P)</f>
        <v>0</v>
      </c>
      <c r="K86" s="193">
        <f>SUMIF('BD VOLUME'!E:E,A86,'BD VOLUME'!Q:Q)</f>
        <v>0</v>
      </c>
      <c r="L86" s="193">
        <f>SUMIF('BD VOLUME'!E:E,A86,'BD VOLUME'!R:R)</f>
        <v>0</v>
      </c>
      <c r="M86" s="193">
        <f>SUMIF('BD VOLUME'!E:E,A86,'BD VOLUME'!S:S)</f>
        <v>0</v>
      </c>
      <c r="N86" s="193">
        <f>SUMIF('BD VOLUME'!E:E,A86,'BD VOLUME'!T:T)</f>
        <v>0</v>
      </c>
    </row>
    <row r="87" spans="1:14">
      <c r="A87" s="188" t="s">
        <v>1808</v>
      </c>
      <c r="B87" s="192">
        <f>SUMIF('BD VOLUME'!$E:$E,A87,'BD VOLUME'!$J:$J)</f>
        <v>0</v>
      </c>
      <c r="C87" s="192">
        <f t="shared" si="27"/>
        <v>0</v>
      </c>
      <c r="D87" s="193">
        <f>IFERROR(SUMIF('BD VOLUME'!E:E,A87,'BD VOLUME'!F:F)/Preencher!$I$11,0)</f>
        <v>0</v>
      </c>
      <c r="E87" s="193">
        <f>SUMIF('BD VOLUME'!E:E,A87,'BD VOLUME'!N:N)*'BD VOLUME'!$C$3</f>
        <v>0</v>
      </c>
      <c r="F87" s="193">
        <f>SUMIF('BD VOLUME'!E:E,A87,'BD VOLUME'!N:N)</f>
        <v>0</v>
      </c>
      <c r="G87" s="193">
        <f>H87*'BD VOLUME'!$C$3</f>
        <v>0</v>
      </c>
      <c r="H87" s="193">
        <f t="shared" si="28"/>
        <v>0</v>
      </c>
      <c r="I87" s="193">
        <f>SUMIF('BD VOLUME'!E:E,A87,'BD VOLUME'!O:O)</f>
        <v>0</v>
      </c>
      <c r="J87" s="193">
        <f>SUMIF('BD VOLUME'!E:E,A87,'BD VOLUME'!P:P)</f>
        <v>0</v>
      </c>
      <c r="K87" s="193">
        <f>SUMIF('BD VOLUME'!E:E,A87,'BD VOLUME'!Q:Q)</f>
        <v>0</v>
      </c>
      <c r="L87" s="193">
        <f>SUMIF('BD VOLUME'!E:E,A87,'BD VOLUME'!R:R)</f>
        <v>0</v>
      </c>
      <c r="M87" s="193">
        <f>SUMIF('BD VOLUME'!E:E,A87,'BD VOLUME'!S:S)</f>
        <v>0</v>
      </c>
      <c r="N87" s="193">
        <f>SUMIF('BD VOLUME'!E:E,A87,'BD VOLUME'!T:T)</f>
        <v>0</v>
      </c>
    </row>
    <row r="88" spans="1:14">
      <c r="A88" s="188" t="s">
        <v>2458</v>
      </c>
      <c r="B88" s="192">
        <f>SUMIF('BD VOLUME'!$E:$E,A88,'BD VOLUME'!$J:$J)</f>
        <v>0</v>
      </c>
      <c r="C88" s="192">
        <f t="shared" si="27"/>
        <v>0</v>
      </c>
      <c r="D88" s="193">
        <f>IFERROR(SUMIF('BD VOLUME'!E:E,A88,'BD VOLUME'!F:F)/Preencher!$I$11,0)</f>
        <v>0</v>
      </c>
      <c r="E88" s="193">
        <f>SUMIF('BD VOLUME'!E:E,A88,'BD VOLUME'!N:N)*'BD VOLUME'!$C$3</f>
        <v>0</v>
      </c>
      <c r="F88" s="193">
        <f>SUMIF('BD VOLUME'!E:E,A88,'BD VOLUME'!N:N)</f>
        <v>0</v>
      </c>
      <c r="G88" s="193">
        <f>H88*'BD VOLUME'!$C$3</f>
        <v>0</v>
      </c>
      <c r="H88" s="193">
        <f t="shared" si="28"/>
        <v>0</v>
      </c>
      <c r="I88" s="193">
        <f>SUMIF('BD VOLUME'!E:E,A88,'BD VOLUME'!O:O)</f>
        <v>0</v>
      </c>
      <c r="J88" s="193">
        <f>SUMIF('BD VOLUME'!E:E,A88,'BD VOLUME'!P:P)</f>
        <v>0</v>
      </c>
      <c r="K88" s="193">
        <f>SUMIF('BD VOLUME'!E:E,A88,'BD VOLUME'!Q:Q)</f>
        <v>0</v>
      </c>
      <c r="L88" s="193">
        <f>SUMIF('BD VOLUME'!E:E,A88,'BD VOLUME'!R:R)</f>
        <v>0</v>
      </c>
      <c r="M88" s="193">
        <f>SUMIF('BD VOLUME'!E:E,A88,'BD VOLUME'!S:S)</f>
        <v>0</v>
      </c>
      <c r="N88" s="193">
        <f>SUMIF('BD VOLUME'!E:E,A88,'BD VOLUME'!T:T)</f>
        <v>0</v>
      </c>
    </row>
    <row r="89" spans="1:14">
      <c r="A89" s="188" t="s">
        <v>1810</v>
      </c>
      <c r="B89" s="192">
        <f>SUMIF('BD VOLUME'!$E:$E,A89,'BD VOLUME'!$J:$J)</f>
        <v>0</v>
      </c>
      <c r="C89" s="192">
        <f t="shared" si="27"/>
        <v>0</v>
      </c>
      <c r="D89" s="193">
        <f>IFERROR(SUMIF('BD VOLUME'!E:E,A89,'BD VOLUME'!F:F)/Preencher!$I$11,0)</f>
        <v>0</v>
      </c>
      <c r="E89" s="193">
        <f>SUMIF('BD VOLUME'!E:E,A89,'BD VOLUME'!N:N)*'BD VOLUME'!$C$3</f>
        <v>0</v>
      </c>
      <c r="F89" s="193">
        <f>SUMIF('BD VOLUME'!E:E,A89,'BD VOLUME'!N:N)</f>
        <v>0</v>
      </c>
      <c r="G89" s="193">
        <f>H89*'BD VOLUME'!$C$3</f>
        <v>0</v>
      </c>
      <c r="H89" s="193">
        <f t="shared" si="28"/>
        <v>0</v>
      </c>
      <c r="I89" s="193">
        <f>SUMIF('BD VOLUME'!E:E,A89,'BD VOLUME'!O:O)</f>
        <v>0</v>
      </c>
      <c r="J89" s="193">
        <f>SUMIF('BD VOLUME'!E:E,A89,'BD VOLUME'!P:P)</f>
        <v>0</v>
      </c>
      <c r="K89" s="193">
        <f>SUMIF('BD VOLUME'!E:E,A89,'BD VOLUME'!Q:Q)</f>
        <v>0</v>
      </c>
      <c r="L89" s="193">
        <f>SUMIF('BD VOLUME'!E:E,A89,'BD VOLUME'!R:R)</f>
        <v>0</v>
      </c>
      <c r="M89" s="193">
        <f>SUMIF('BD VOLUME'!E:E,A89,'BD VOLUME'!S:S)</f>
        <v>0</v>
      </c>
      <c r="N89" s="193">
        <f>SUMIF('BD VOLUME'!E:E,A89,'BD VOLUME'!T:T)</f>
        <v>0</v>
      </c>
    </row>
    <row r="90" spans="1:14">
      <c r="A90" s="188" t="s">
        <v>1811</v>
      </c>
      <c r="B90" s="192">
        <f>SUMIF('BD VOLUME'!$E:$E,A90,'BD VOLUME'!$J:$J)</f>
        <v>0</v>
      </c>
      <c r="C90" s="192">
        <f t="shared" si="27"/>
        <v>0</v>
      </c>
      <c r="D90" s="193">
        <f>IFERROR(SUMIF('BD VOLUME'!E:E,A90,'BD VOLUME'!F:F)/Preencher!$I$11,0)</f>
        <v>0</v>
      </c>
      <c r="E90" s="193">
        <f>SUMIF('BD VOLUME'!E:E,A90,'BD VOLUME'!N:N)*'BD VOLUME'!$C$3</f>
        <v>0</v>
      </c>
      <c r="F90" s="193">
        <f>SUMIF('BD VOLUME'!E:E,A90,'BD VOLUME'!N:N)</f>
        <v>0</v>
      </c>
      <c r="G90" s="193">
        <f>H90*'BD VOLUME'!$C$3</f>
        <v>0</v>
      </c>
      <c r="H90" s="193">
        <f t="shared" si="28"/>
        <v>0</v>
      </c>
      <c r="I90" s="193">
        <f>SUMIF('BD VOLUME'!E:E,A90,'BD VOLUME'!O:O)</f>
        <v>0</v>
      </c>
      <c r="J90" s="193">
        <f>SUMIF('BD VOLUME'!E:E,A90,'BD VOLUME'!P:P)</f>
        <v>0</v>
      </c>
      <c r="K90" s="193">
        <f>SUMIF('BD VOLUME'!E:E,A90,'BD VOLUME'!Q:Q)</f>
        <v>0</v>
      </c>
      <c r="L90" s="193">
        <f>SUMIF('BD VOLUME'!E:E,A90,'BD VOLUME'!R:R)</f>
        <v>0</v>
      </c>
      <c r="M90" s="193">
        <f>SUMIF('BD VOLUME'!E:E,A90,'BD VOLUME'!S:S)</f>
        <v>0</v>
      </c>
      <c r="N90" s="193">
        <f>SUMIF('BD VOLUME'!E:E,A90,'BD VOLUME'!T:T)</f>
        <v>0</v>
      </c>
    </row>
    <row r="91" spans="1:14">
      <c r="A91" s="188" t="s">
        <v>1805</v>
      </c>
      <c r="B91" s="192">
        <f>SUMIF('BD VOLUME'!$E:$E,A91,'BD VOLUME'!$J:$J)</f>
        <v>0</v>
      </c>
      <c r="C91" s="192">
        <f t="shared" si="27"/>
        <v>0</v>
      </c>
      <c r="D91" s="193">
        <f>IFERROR(SUMIF('BD VOLUME'!E:E,A91,'BD VOLUME'!F:F)/Preencher!$I$11,0)</f>
        <v>0</v>
      </c>
      <c r="E91" s="193">
        <f>SUMIF('BD VOLUME'!E:E,A91,'BD VOLUME'!N:N)*'BD VOLUME'!$C$3</f>
        <v>0</v>
      </c>
      <c r="F91" s="193">
        <f>SUMIF('BD VOLUME'!E:E,A91,'BD VOLUME'!N:N)</f>
        <v>0</v>
      </c>
      <c r="G91" s="193">
        <f>H91*'BD VOLUME'!$C$3</f>
        <v>0</v>
      </c>
      <c r="H91" s="193">
        <f t="shared" si="28"/>
        <v>0</v>
      </c>
      <c r="I91" s="193">
        <f>SUMIF('BD VOLUME'!E:E,A91,'BD VOLUME'!O:O)</f>
        <v>0</v>
      </c>
      <c r="J91" s="193">
        <f>SUMIF('BD VOLUME'!E:E,A91,'BD VOLUME'!P:P)</f>
        <v>0</v>
      </c>
      <c r="K91" s="193">
        <f>SUMIF('BD VOLUME'!E:E,A91,'BD VOLUME'!Q:Q)</f>
        <v>0</v>
      </c>
      <c r="L91" s="193">
        <f>SUMIF('BD VOLUME'!E:E,A91,'BD VOLUME'!R:R)</f>
        <v>0</v>
      </c>
      <c r="M91" s="193">
        <f>SUMIF('BD VOLUME'!E:E,A91,'BD VOLUME'!S:S)</f>
        <v>0</v>
      </c>
      <c r="N91" s="193">
        <f>SUMIF('BD VOLUME'!E:E,A91,'BD VOLUME'!T:T)</f>
        <v>0</v>
      </c>
    </row>
    <row r="92" spans="1:14">
      <c r="A92" s="188" t="s">
        <v>2387</v>
      </c>
      <c r="B92" s="192">
        <f>SUMIF('BD VOLUME'!$E:$E,A92,'BD VOLUME'!$J:$J)</f>
        <v>0</v>
      </c>
      <c r="C92" s="192">
        <f t="shared" si="27"/>
        <v>0</v>
      </c>
      <c r="D92" s="193">
        <f>IFERROR(SUMIF('BD VOLUME'!E:E,A92,'BD VOLUME'!F:F)/Preencher!$I$11,0)</f>
        <v>0</v>
      </c>
      <c r="E92" s="193">
        <f>SUMIF('BD VOLUME'!E:E,A92,'BD VOLUME'!N:N)*'BD VOLUME'!$C$3</f>
        <v>0</v>
      </c>
      <c r="F92" s="193">
        <f>SUMIF('BD VOLUME'!E:E,A92,'BD VOLUME'!N:N)</f>
        <v>0</v>
      </c>
      <c r="G92" s="193">
        <f>H92*'BD VOLUME'!$C$3</f>
        <v>0</v>
      </c>
      <c r="H92" s="193">
        <f t="shared" si="28"/>
        <v>0</v>
      </c>
      <c r="I92" s="193">
        <f>SUMIF('BD VOLUME'!E:E,A92,'BD VOLUME'!O:O)</f>
        <v>0</v>
      </c>
      <c r="J92" s="193">
        <f>SUMIF('BD VOLUME'!E:E,A92,'BD VOLUME'!P:P)</f>
        <v>0</v>
      </c>
      <c r="K92" s="193">
        <f>SUMIF('BD VOLUME'!E:E,A92,'BD VOLUME'!Q:Q)</f>
        <v>0</v>
      </c>
      <c r="L92" s="193">
        <f>SUMIF('BD VOLUME'!E:E,A92,'BD VOLUME'!R:R)</f>
        <v>0</v>
      </c>
      <c r="M92" s="193">
        <f>SUMIF('BD VOLUME'!E:E,A92,'BD VOLUME'!S:S)</f>
        <v>0</v>
      </c>
      <c r="N92" s="193">
        <f>SUMIF('BD VOLUME'!E:E,A92,'BD VOLUME'!T:T)</f>
        <v>0</v>
      </c>
    </row>
    <row r="93" spans="1:14">
      <c r="A93" s="188" t="s">
        <v>1809</v>
      </c>
      <c r="B93" s="192">
        <f>SUMIF('BD VOLUME'!$E:$E,A93,'BD VOLUME'!$J:$J)</f>
        <v>0</v>
      </c>
      <c r="C93" s="192">
        <f t="shared" si="27"/>
        <v>0</v>
      </c>
      <c r="D93" s="193">
        <f>IFERROR(SUMIF('BD VOLUME'!E:E,A93,'BD VOLUME'!F:F)/Preencher!$I$11,0)</f>
        <v>0</v>
      </c>
      <c r="E93" s="193">
        <f>SUMIF('BD VOLUME'!E:E,A93,'BD VOLUME'!N:N)*'BD VOLUME'!$C$3</f>
        <v>0</v>
      </c>
      <c r="F93" s="193">
        <f>SUMIF('BD VOLUME'!E:E,A93,'BD VOLUME'!N:N)</f>
        <v>0</v>
      </c>
      <c r="G93" s="193">
        <f>H93*'BD VOLUME'!$C$3</f>
        <v>0</v>
      </c>
      <c r="H93" s="193">
        <f t="shared" si="28"/>
        <v>0</v>
      </c>
      <c r="I93" s="193">
        <f>SUMIF('BD VOLUME'!E:E,A93,'BD VOLUME'!O:O)</f>
        <v>0</v>
      </c>
      <c r="J93" s="193">
        <f>SUMIF('BD VOLUME'!E:E,A93,'BD VOLUME'!P:P)</f>
        <v>0</v>
      </c>
      <c r="K93" s="193">
        <f>SUMIF('BD VOLUME'!E:E,A93,'BD VOLUME'!Q:Q)</f>
        <v>0</v>
      </c>
      <c r="L93" s="193">
        <f>SUMIF('BD VOLUME'!E:E,A93,'BD VOLUME'!R:R)</f>
        <v>0</v>
      </c>
      <c r="M93" s="193">
        <f>SUMIF('BD VOLUME'!E:E,A93,'BD VOLUME'!S:S)</f>
        <v>0</v>
      </c>
      <c r="N93" s="193">
        <f>SUMIF('BD VOLUME'!E:E,A93,'BD VOLUME'!T:T)</f>
        <v>0</v>
      </c>
    </row>
    <row r="94" spans="1:14">
      <c r="A94" s="188" t="s">
        <v>2388</v>
      </c>
      <c r="B94" s="192">
        <f>SUMIF('BD VOLUME'!$E:$E,A94,'BD VOLUME'!$J:$J)</f>
        <v>0</v>
      </c>
      <c r="C94" s="192">
        <f t="shared" si="27"/>
        <v>0</v>
      </c>
      <c r="D94" s="193">
        <f>IFERROR(SUMIF('BD VOLUME'!E:E,A94,'BD VOLUME'!F:F)/Preencher!$I$11,0)</f>
        <v>0</v>
      </c>
      <c r="E94" s="193">
        <f>SUMIF('BD VOLUME'!E:E,A94,'BD VOLUME'!N:N)*'BD VOLUME'!$C$3</f>
        <v>0</v>
      </c>
      <c r="F94" s="193">
        <f>SUMIF('BD VOLUME'!E:E,A94,'BD VOLUME'!N:N)</f>
        <v>0</v>
      </c>
      <c r="G94" s="193">
        <f>H94*'BD VOLUME'!$C$3</f>
        <v>0</v>
      </c>
      <c r="H94" s="193">
        <f t="shared" si="28"/>
        <v>0</v>
      </c>
      <c r="I94" s="193">
        <f>SUMIF('BD VOLUME'!E:E,A94,'BD VOLUME'!O:O)</f>
        <v>0</v>
      </c>
      <c r="J94" s="193">
        <f>SUMIF('BD VOLUME'!E:E,A94,'BD VOLUME'!P:P)</f>
        <v>0</v>
      </c>
      <c r="K94" s="193">
        <f>SUMIF('BD VOLUME'!E:E,A94,'BD VOLUME'!Q:Q)</f>
        <v>0</v>
      </c>
      <c r="L94" s="193">
        <f>SUMIF('BD VOLUME'!E:E,A94,'BD VOLUME'!R:R)</f>
        <v>0</v>
      </c>
      <c r="M94" s="193">
        <f>SUMIF('BD VOLUME'!E:E,A94,'BD VOLUME'!S:S)</f>
        <v>0</v>
      </c>
      <c r="N94" s="193">
        <f>SUMIF('BD VOLUME'!E:E,A94,'BD VOLUME'!T:T)</f>
        <v>0</v>
      </c>
    </row>
    <row r="95" spans="1:14">
      <c r="A95" s="188" t="s">
        <v>936</v>
      </c>
      <c r="B95" s="192">
        <f>SUMIF('BD VOLUME'!$E:$E,A95,'BD VOLUME'!$J:$J)</f>
        <v>0</v>
      </c>
      <c r="C95" s="192">
        <f t="shared" si="27"/>
        <v>0</v>
      </c>
      <c r="D95" s="193">
        <f>IFERROR(SUMIF('BD VOLUME'!E:E,A95,'BD VOLUME'!F:F)/Preencher!$I$11,0)</f>
        <v>0</v>
      </c>
      <c r="E95" s="193">
        <f>SUMIF('BD VOLUME'!E:E,A95,'BD VOLUME'!N:N)*'BD VOLUME'!$C$3</f>
        <v>0</v>
      </c>
      <c r="F95" s="193">
        <f>SUMIF('BD VOLUME'!E:E,A95,'BD VOLUME'!N:N)</f>
        <v>0</v>
      </c>
      <c r="G95" s="193">
        <f>H95*'BD VOLUME'!$C$3</f>
        <v>0</v>
      </c>
      <c r="H95" s="193">
        <f t="shared" si="28"/>
        <v>0</v>
      </c>
      <c r="I95" s="193">
        <f>SUMIF('BD VOLUME'!E:E,A95,'BD VOLUME'!O:O)</f>
        <v>0</v>
      </c>
      <c r="J95" s="193">
        <f>SUMIF('BD VOLUME'!E:E,A95,'BD VOLUME'!P:P)</f>
        <v>0</v>
      </c>
      <c r="K95" s="193">
        <f>SUMIF('BD VOLUME'!E:E,A95,'BD VOLUME'!Q:Q)</f>
        <v>0</v>
      </c>
      <c r="L95" s="193">
        <f>SUMIF('BD VOLUME'!E:E,A95,'BD VOLUME'!R:R)</f>
        <v>0</v>
      </c>
      <c r="M95" s="193">
        <f>SUMIF('BD VOLUME'!E:E,A95,'BD VOLUME'!S:S)</f>
        <v>0</v>
      </c>
      <c r="N95" s="193">
        <f>SUMIF('BD VOLUME'!E:E,A95,'BD VOLUME'!T:T)</f>
        <v>0</v>
      </c>
    </row>
    <row r="96" spans="1:14">
      <c r="A96" s="188" t="s">
        <v>2120</v>
      </c>
      <c r="B96" s="192">
        <f>SUMIF('BD VOLUME'!$E:$E,A96,'BD VOLUME'!$J:$J)</f>
        <v>0</v>
      </c>
      <c r="C96" s="192">
        <f t="shared" si="27"/>
        <v>0</v>
      </c>
      <c r="D96" s="193">
        <f>IFERROR(SUMIF('BD VOLUME'!E:E,A96,'BD VOLUME'!F:F)/Preencher!$I$11,0)</f>
        <v>0</v>
      </c>
      <c r="E96" s="193">
        <f>SUMIF('BD VOLUME'!E:E,A96,'BD VOLUME'!N:N)*'BD VOLUME'!$C$3</f>
        <v>0</v>
      </c>
      <c r="F96" s="193">
        <f>SUMIF('BD VOLUME'!E:E,A96,'BD VOLUME'!N:N)</f>
        <v>0</v>
      </c>
      <c r="G96" s="193">
        <f>H96*'BD VOLUME'!$C$3</f>
        <v>0</v>
      </c>
      <c r="H96" s="193">
        <f t="shared" si="28"/>
        <v>0</v>
      </c>
      <c r="I96" s="193">
        <f>SUMIF('BD VOLUME'!E:E,A96,'BD VOLUME'!O:O)</f>
        <v>0</v>
      </c>
      <c r="J96" s="193">
        <f>SUMIF('BD VOLUME'!E:E,A96,'BD VOLUME'!P:P)</f>
        <v>0</v>
      </c>
      <c r="K96" s="193">
        <f>SUMIF('BD VOLUME'!E:E,A96,'BD VOLUME'!Q:Q)</f>
        <v>0</v>
      </c>
      <c r="L96" s="193">
        <f>SUMIF('BD VOLUME'!E:E,A96,'BD VOLUME'!R:R)</f>
        <v>0</v>
      </c>
      <c r="M96" s="193">
        <f>SUMIF('BD VOLUME'!E:E,A96,'BD VOLUME'!S:S)</f>
        <v>0</v>
      </c>
      <c r="N96" s="193">
        <f>SUMIF('BD VOLUME'!E:E,A96,'BD VOLUME'!T:T)</f>
        <v>0</v>
      </c>
    </row>
    <row r="97" spans="1:14">
      <c r="A97" s="188" t="s">
        <v>3130</v>
      </c>
      <c r="B97" s="192">
        <f>SUMIF('BD VOLUME'!$E:$E,A97,'BD VOLUME'!$J:$J)</f>
        <v>0</v>
      </c>
      <c r="C97" s="192">
        <f>IFERROR(B97/$B$49,0)</f>
        <v>0</v>
      </c>
      <c r="D97" s="193">
        <f>IFERROR(SUMIF('BD VOLUME'!E:E,A97,'BD VOLUME'!F:F)/Preencher!$I$11,0)</f>
        <v>0</v>
      </c>
      <c r="E97" s="193">
        <f>SUMIF('BD VOLUME'!E:E,A97,'BD VOLUME'!N:N)*'BD VOLUME'!$C$3</f>
        <v>0</v>
      </c>
      <c r="F97" s="193">
        <f>SUMIF('BD VOLUME'!E:E,A97,'BD VOLUME'!N:N)</f>
        <v>0</v>
      </c>
      <c r="G97" s="193">
        <f>H97*'BD VOLUME'!$C$3</f>
        <v>0</v>
      </c>
      <c r="H97" s="193">
        <f>SUM(I97:M97)</f>
        <v>0</v>
      </c>
      <c r="I97" s="193">
        <f>SUMIF('BD VOLUME'!E:E,A97,'BD VOLUME'!O:O)</f>
        <v>0</v>
      </c>
      <c r="J97" s="193">
        <f>SUMIF('BD VOLUME'!E:E,A97,'BD VOLUME'!P:P)</f>
        <v>0</v>
      </c>
      <c r="K97" s="193">
        <f>SUMIF('BD VOLUME'!E:E,A97,'BD VOLUME'!Q:Q)</f>
        <v>0</v>
      </c>
      <c r="L97" s="193">
        <f>SUMIF('BD VOLUME'!E:E,A97,'BD VOLUME'!R:R)</f>
        <v>0</v>
      </c>
      <c r="M97" s="193">
        <f>SUMIF('BD VOLUME'!E:E,A97,'BD VOLUME'!S:S)</f>
        <v>0</v>
      </c>
      <c r="N97" s="193">
        <f>SUMIF('BD VOLUME'!E:E,A97,'BD VOLUME'!T:T)</f>
        <v>0</v>
      </c>
    </row>
    <row r="98" spans="1:14">
      <c r="A98" s="188" t="s">
        <v>3131</v>
      </c>
      <c r="B98" s="192">
        <f>SUMIF('BD VOLUME'!$E:$E,A98,'BD VOLUME'!$J:$J)</f>
        <v>0</v>
      </c>
      <c r="C98" s="192">
        <f>IFERROR(B98/$B$49,0)</f>
        <v>0</v>
      </c>
      <c r="D98" s="193">
        <f>IFERROR(SUMIF('BD VOLUME'!E:E,A98,'BD VOLUME'!F:F)/Preencher!$I$11,0)</f>
        <v>0</v>
      </c>
      <c r="E98" s="193">
        <f>SUMIF('BD VOLUME'!E:E,A98,'BD VOLUME'!N:N)*'BD VOLUME'!$C$3</f>
        <v>0</v>
      </c>
      <c r="F98" s="193">
        <f>SUMIF('BD VOLUME'!E:E,A98,'BD VOLUME'!N:N)</f>
        <v>0</v>
      </c>
      <c r="G98" s="193">
        <f>H98*'BD VOLUME'!$C$3</f>
        <v>0</v>
      </c>
      <c r="H98" s="193">
        <f>SUM(I98:M98)</f>
        <v>0</v>
      </c>
      <c r="I98" s="193">
        <f>SUMIF('BD VOLUME'!E:E,A98,'BD VOLUME'!O:O)</f>
        <v>0</v>
      </c>
      <c r="J98" s="193">
        <f>SUMIF('BD VOLUME'!E:E,A98,'BD VOLUME'!P:P)</f>
        <v>0</v>
      </c>
      <c r="K98" s="193">
        <f>SUMIF('BD VOLUME'!E:E,A98,'BD VOLUME'!Q:Q)</f>
        <v>0</v>
      </c>
      <c r="L98" s="193">
        <f>SUMIF('BD VOLUME'!E:E,A98,'BD VOLUME'!R:R)</f>
        <v>0</v>
      </c>
      <c r="M98" s="193">
        <f>SUMIF('BD VOLUME'!E:E,A98,'BD VOLUME'!S:S)</f>
        <v>0</v>
      </c>
      <c r="N98" s="193">
        <f>SUMIF('BD VOLUME'!E:E,A98,'BD VOLUME'!T:T)</f>
        <v>0</v>
      </c>
    </row>
    <row r="99" spans="1:14">
      <c r="A99" s="188" t="s">
        <v>3132</v>
      </c>
      <c r="B99" s="192">
        <f>SUMIF('BD VOLUME'!$E:$E,A99,'BD VOLUME'!$J:$J)</f>
        <v>0</v>
      </c>
      <c r="C99" s="192">
        <f>IFERROR(B99/$B$49,0)</f>
        <v>0</v>
      </c>
      <c r="D99" s="193">
        <f>IFERROR(SUMIF('BD VOLUME'!E:E,A99,'BD VOLUME'!F:F)/Preencher!$I$11,0)</f>
        <v>0</v>
      </c>
      <c r="E99" s="193">
        <f>SUMIF('BD VOLUME'!E:E,A99,'BD VOLUME'!N:N)*'BD VOLUME'!$C$3</f>
        <v>0</v>
      </c>
      <c r="F99" s="193">
        <f>SUMIF('BD VOLUME'!E:E,A99,'BD VOLUME'!N:N)</f>
        <v>0</v>
      </c>
      <c r="G99" s="193">
        <f>H99*'BD VOLUME'!$C$3</f>
        <v>0</v>
      </c>
      <c r="H99" s="193">
        <f>SUM(I99:M99)</f>
        <v>0</v>
      </c>
      <c r="I99" s="193">
        <f>SUMIF('BD VOLUME'!E:E,A99,'BD VOLUME'!O:O)</f>
        <v>0</v>
      </c>
      <c r="J99" s="193">
        <f>SUMIF('BD VOLUME'!E:E,A99,'BD VOLUME'!P:P)</f>
        <v>0</v>
      </c>
      <c r="K99" s="193">
        <f>SUMIF('BD VOLUME'!E:E,A99,'BD VOLUME'!Q:Q)</f>
        <v>0</v>
      </c>
      <c r="L99" s="193">
        <f>SUMIF('BD VOLUME'!E:E,A99,'BD VOLUME'!R:R)</f>
        <v>0</v>
      </c>
      <c r="M99" s="193">
        <f>SUMIF('BD VOLUME'!E:E,A99,'BD VOLUME'!S:S)</f>
        <v>0</v>
      </c>
      <c r="N99" s="193">
        <f>SUMIF('BD VOLUME'!E:E,A99,'BD VOLUME'!T:T)</f>
        <v>0</v>
      </c>
    </row>
    <row r="100" spans="1:14">
      <c r="A100" s="191" t="s">
        <v>927</v>
      </c>
      <c r="B100" s="190">
        <f>SUM(B101:B118)</f>
        <v>0.79858183502463287</v>
      </c>
      <c r="C100" s="190">
        <f>SUM(C101:C118)</f>
        <v>1</v>
      </c>
      <c r="D100" s="187">
        <f t="shared" ref="D100:N100" si="29">SUBTOTAL(9,D101:D118)</f>
        <v>5498.1818181818189</v>
      </c>
      <c r="E100" s="187">
        <f t="shared" si="29"/>
        <v>5498.1818181818198</v>
      </c>
      <c r="F100" s="187">
        <f t="shared" si="29"/>
        <v>574.2226441965347</v>
      </c>
      <c r="G100" s="187">
        <f t="shared" si="29"/>
        <v>458.1818181818183</v>
      </c>
      <c r="H100" s="187">
        <f t="shared" si="29"/>
        <v>47.851887016377894</v>
      </c>
      <c r="I100" s="187">
        <f t="shared" si="29"/>
        <v>0.11962971754094472</v>
      </c>
      <c r="J100" s="187">
        <f t="shared" si="29"/>
        <v>47.732257298836949</v>
      </c>
      <c r="K100" s="187">
        <f t="shared" si="29"/>
        <v>0</v>
      </c>
      <c r="L100" s="187">
        <f t="shared" si="29"/>
        <v>0</v>
      </c>
      <c r="M100" s="187">
        <f t="shared" si="29"/>
        <v>0</v>
      </c>
      <c r="N100" s="187">
        <f t="shared" si="29"/>
        <v>0</v>
      </c>
    </row>
    <row r="101" spans="1:14">
      <c r="A101" s="188" t="s">
        <v>1593</v>
      </c>
      <c r="B101" s="192">
        <f>SUMIF('BD VOLUME'!$E:$E,A101,'BD VOLUME'!$J:$J)</f>
        <v>0.79657754010695214</v>
      </c>
      <c r="C101" s="192">
        <f t="shared" ref="C101:C118" si="30">IFERROR(B101/$B$100,0)</f>
        <v>0.99749018218324625</v>
      </c>
      <c r="D101" s="193">
        <f>IFERROR(SUMIF('BD VOLUME'!E:E,A101,'BD VOLUME'!F:F)/Preencher!$I$11,0)</f>
        <v>5484.4363636363641</v>
      </c>
      <c r="E101" s="193">
        <f>SUMIF('BD VOLUME'!E:E,A101,'BD VOLUME'!N:N)*'BD VOLUME'!$C$3</f>
        <v>5484.4363636363651</v>
      </c>
      <c r="F101" s="193">
        <f>SUMIF('BD VOLUME'!E:E,A101,'BD VOLUME'!N:N)</f>
        <v>572.78708758604341</v>
      </c>
      <c r="G101" s="193">
        <f>H101*'BD VOLUME'!$C$3</f>
        <v>457.03636363636377</v>
      </c>
      <c r="H101" s="193">
        <f t="shared" ref="H101:H118" si="31">SUM(I101:M101)</f>
        <v>47.732257298836949</v>
      </c>
      <c r="I101" s="193">
        <f>SUMIF('BD VOLUME'!E:E,A101,'BD VOLUME'!O:O)</f>
        <v>0</v>
      </c>
      <c r="J101" s="193">
        <f>SUMIF('BD VOLUME'!E:E,A101,'BD VOLUME'!P:P)</f>
        <v>47.732257298836949</v>
      </c>
      <c r="K101" s="193">
        <f>SUMIF('BD VOLUME'!E:E,A101,'BD VOLUME'!Q:Q)</f>
        <v>0</v>
      </c>
      <c r="L101" s="193">
        <f>SUMIF('BD VOLUME'!E:E,A101,'BD VOLUME'!R:R)</f>
        <v>0</v>
      </c>
      <c r="M101" s="193">
        <f>SUMIF('BD VOLUME'!E:E,A101,'BD VOLUME'!S:S)</f>
        <v>0</v>
      </c>
      <c r="N101" s="193">
        <f>SUMIF('BD VOLUME'!E:E,A101,'BD VOLUME'!T:T)</f>
        <v>0</v>
      </c>
    </row>
    <row r="102" spans="1:14">
      <c r="A102" s="188" t="s">
        <v>1592</v>
      </c>
      <c r="B102" s="192">
        <f>SUMIF('BD VOLUME'!$E:$E,A102,'BD VOLUME'!$J:$J)</f>
        <v>0</v>
      </c>
      <c r="C102" s="192">
        <f t="shared" si="30"/>
        <v>0</v>
      </c>
      <c r="D102" s="193">
        <f>IFERROR(SUMIF('BD VOLUME'!E:E,A102,'BD VOLUME'!F:F)/Preencher!$I$11,0)</f>
        <v>0</v>
      </c>
      <c r="E102" s="193">
        <f>SUMIF('BD VOLUME'!E:E,A102,'BD VOLUME'!N:N)*'BD VOLUME'!$C$3</f>
        <v>0</v>
      </c>
      <c r="F102" s="193">
        <f>SUMIF('BD VOLUME'!E:E,A102,'BD VOLUME'!N:N)</f>
        <v>0</v>
      </c>
      <c r="G102" s="193">
        <f>H102*'BD VOLUME'!$C$3</f>
        <v>0</v>
      </c>
      <c r="H102" s="193">
        <f t="shared" si="31"/>
        <v>0</v>
      </c>
      <c r="I102" s="193">
        <f>SUMIF('BD VOLUME'!E:E,A102,'BD VOLUME'!O:O)</f>
        <v>0</v>
      </c>
      <c r="J102" s="193">
        <f>SUMIF('BD VOLUME'!E:E,A102,'BD VOLUME'!P:P)</f>
        <v>0</v>
      </c>
      <c r="K102" s="193">
        <f>SUMIF('BD VOLUME'!E:E,A102,'BD VOLUME'!Q:Q)</f>
        <v>0</v>
      </c>
      <c r="L102" s="193">
        <f>SUMIF('BD VOLUME'!E:E,A102,'BD VOLUME'!R:R)</f>
        <v>0</v>
      </c>
      <c r="M102" s="193">
        <f>SUMIF('BD VOLUME'!E:E,A102,'BD VOLUME'!S:S)</f>
        <v>0</v>
      </c>
      <c r="N102" s="193">
        <f>SUMIF('BD VOLUME'!E:E,A102,'BD VOLUME'!T:T)</f>
        <v>0</v>
      </c>
    </row>
    <row r="103" spans="1:14">
      <c r="A103" s="188" t="s">
        <v>1594</v>
      </c>
      <c r="B103" s="192">
        <f>SUMIF('BD VOLUME'!$E:$E,A103,'BD VOLUME'!$J:$J)</f>
        <v>0</v>
      </c>
      <c r="C103" s="192">
        <f t="shared" si="30"/>
        <v>0</v>
      </c>
      <c r="D103" s="193">
        <f>IFERROR(SUMIF('BD VOLUME'!E:E,A103,'BD VOLUME'!F:F)/Preencher!$I$11,0)</f>
        <v>0</v>
      </c>
      <c r="E103" s="193">
        <f>SUMIF('BD VOLUME'!E:E,A103,'BD VOLUME'!N:N)*'BD VOLUME'!$C$3</f>
        <v>0</v>
      </c>
      <c r="F103" s="193">
        <f>SUMIF('BD VOLUME'!E:E,A103,'BD VOLUME'!N:N)</f>
        <v>0</v>
      </c>
      <c r="G103" s="193">
        <f>H103*'BD VOLUME'!$C$3</f>
        <v>0</v>
      </c>
      <c r="H103" s="193">
        <f t="shared" si="31"/>
        <v>0</v>
      </c>
      <c r="I103" s="193">
        <f>SUMIF('BD VOLUME'!E:E,A103,'BD VOLUME'!O:O)</f>
        <v>0</v>
      </c>
      <c r="J103" s="193">
        <f>SUMIF('BD VOLUME'!E:E,A103,'BD VOLUME'!P:P)</f>
        <v>0</v>
      </c>
      <c r="K103" s="193">
        <f>SUMIF('BD VOLUME'!E:E,A103,'BD VOLUME'!Q:Q)</f>
        <v>0</v>
      </c>
      <c r="L103" s="193">
        <f>SUMIF('BD VOLUME'!E:E,A103,'BD VOLUME'!R:R)</f>
        <v>0</v>
      </c>
      <c r="M103" s="193">
        <f>SUMIF('BD VOLUME'!E:E,A103,'BD VOLUME'!S:S)</f>
        <v>0</v>
      </c>
      <c r="N103" s="193">
        <f>SUMIF('BD VOLUME'!E:E,A103,'BD VOLUME'!T:T)</f>
        <v>0</v>
      </c>
    </row>
    <row r="104" spans="1:14">
      <c r="A104" s="188" t="s">
        <v>1595</v>
      </c>
      <c r="B104" s="192">
        <f>SUMIF('BD VOLUME'!$E:$E,A104,'BD VOLUME'!$J:$J)</f>
        <v>0</v>
      </c>
      <c r="C104" s="192">
        <f t="shared" si="30"/>
        <v>0</v>
      </c>
      <c r="D104" s="193">
        <f>IFERROR(SUMIF('BD VOLUME'!E:E,A104,'BD VOLUME'!F:F)/Preencher!$I$11,0)</f>
        <v>0</v>
      </c>
      <c r="E104" s="193">
        <f>SUMIF('BD VOLUME'!E:E,A104,'BD VOLUME'!N:N)*'BD VOLUME'!$C$3</f>
        <v>0</v>
      </c>
      <c r="F104" s="193">
        <f>SUMIF('BD VOLUME'!E:E,A104,'BD VOLUME'!N:N)</f>
        <v>0</v>
      </c>
      <c r="G104" s="193">
        <f>H104*'BD VOLUME'!$C$3</f>
        <v>0</v>
      </c>
      <c r="H104" s="193">
        <f t="shared" si="31"/>
        <v>0</v>
      </c>
      <c r="I104" s="193">
        <f>SUMIF('BD VOLUME'!E:E,A104,'BD VOLUME'!O:O)</f>
        <v>0</v>
      </c>
      <c r="J104" s="193">
        <f>SUMIF('BD VOLUME'!E:E,A104,'BD VOLUME'!P:P)</f>
        <v>0</v>
      </c>
      <c r="K104" s="193">
        <f>SUMIF('BD VOLUME'!E:E,A104,'BD VOLUME'!Q:Q)</f>
        <v>0</v>
      </c>
      <c r="L104" s="193">
        <f>SUMIF('BD VOLUME'!E:E,A104,'BD VOLUME'!R:R)</f>
        <v>0</v>
      </c>
      <c r="M104" s="193">
        <f>SUMIF('BD VOLUME'!E:E,A104,'BD VOLUME'!S:S)</f>
        <v>0</v>
      </c>
      <c r="N104" s="193">
        <f>SUMIF('BD VOLUME'!E:E,A104,'BD VOLUME'!T:T)</f>
        <v>0</v>
      </c>
    </row>
    <row r="105" spans="1:14">
      <c r="A105" s="188" t="s">
        <v>1596</v>
      </c>
      <c r="B105" s="192">
        <f>SUMIF('BD VOLUME'!$E:$E,A105,'BD VOLUME'!$J:$J)</f>
        <v>0</v>
      </c>
      <c r="C105" s="192">
        <f t="shared" si="30"/>
        <v>0</v>
      </c>
      <c r="D105" s="193">
        <f>IFERROR(SUMIF('BD VOLUME'!E:E,A105,'BD VOLUME'!F:F)/Preencher!$I$11,0)</f>
        <v>0</v>
      </c>
      <c r="E105" s="193">
        <f>SUMIF('BD VOLUME'!E:E,A105,'BD VOLUME'!N:N)*'BD VOLUME'!$C$3</f>
        <v>0</v>
      </c>
      <c r="F105" s="193">
        <f>SUMIF('BD VOLUME'!E:E,A105,'BD VOLUME'!N:N)</f>
        <v>0</v>
      </c>
      <c r="G105" s="193">
        <f>H105*'BD VOLUME'!$C$3</f>
        <v>0</v>
      </c>
      <c r="H105" s="193">
        <f t="shared" si="31"/>
        <v>0</v>
      </c>
      <c r="I105" s="193">
        <f>SUMIF('BD VOLUME'!E:E,A105,'BD VOLUME'!O:O)</f>
        <v>0</v>
      </c>
      <c r="J105" s="193">
        <f>SUMIF('BD VOLUME'!E:E,A105,'BD VOLUME'!P:P)</f>
        <v>0</v>
      </c>
      <c r="K105" s="193">
        <f>SUMIF('BD VOLUME'!E:E,A105,'BD VOLUME'!Q:Q)</f>
        <v>0</v>
      </c>
      <c r="L105" s="193">
        <f>SUMIF('BD VOLUME'!E:E,A105,'BD VOLUME'!R:R)</f>
        <v>0</v>
      </c>
      <c r="M105" s="193">
        <f>SUMIF('BD VOLUME'!E:E,A105,'BD VOLUME'!S:S)</f>
        <v>0</v>
      </c>
      <c r="N105" s="193">
        <f>SUMIF('BD VOLUME'!E:E,A105,'BD VOLUME'!T:T)</f>
        <v>0</v>
      </c>
    </row>
    <row r="106" spans="1:14">
      <c r="A106" s="188" t="s">
        <v>1601</v>
      </c>
      <c r="B106" s="192">
        <f>SUMIF('BD VOLUME'!$E:$E,A106,'BD VOLUME'!$J:$J)</f>
        <v>0</v>
      </c>
      <c r="C106" s="192">
        <f t="shared" si="30"/>
        <v>0</v>
      </c>
      <c r="D106" s="193">
        <f>IFERROR(SUMIF('BD VOLUME'!E:E,A106,'BD VOLUME'!F:F)/Preencher!$I$11,0)</f>
        <v>0</v>
      </c>
      <c r="E106" s="193">
        <f>SUMIF('BD VOLUME'!E:E,A106,'BD VOLUME'!N:N)*'BD VOLUME'!$C$3</f>
        <v>0</v>
      </c>
      <c r="F106" s="193">
        <f>SUMIF('BD VOLUME'!E:E,A106,'BD VOLUME'!N:N)</f>
        <v>0</v>
      </c>
      <c r="G106" s="193">
        <f>H106*'BD VOLUME'!$C$3</f>
        <v>0</v>
      </c>
      <c r="H106" s="193">
        <f t="shared" si="31"/>
        <v>0</v>
      </c>
      <c r="I106" s="193">
        <f>SUMIF('BD VOLUME'!E:E,A106,'BD VOLUME'!O:O)</f>
        <v>0</v>
      </c>
      <c r="J106" s="193">
        <f>SUMIF('BD VOLUME'!E:E,A106,'BD VOLUME'!P:P)</f>
        <v>0</v>
      </c>
      <c r="K106" s="193">
        <f>SUMIF('BD VOLUME'!E:E,A106,'BD VOLUME'!Q:Q)</f>
        <v>0</v>
      </c>
      <c r="L106" s="193">
        <f>SUMIF('BD VOLUME'!E:E,A106,'BD VOLUME'!R:R)</f>
        <v>0</v>
      </c>
      <c r="M106" s="193">
        <f>SUMIF('BD VOLUME'!E:E,A106,'BD VOLUME'!S:S)</f>
        <v>0</v>
      </c>
      <c r="N106" s="193">
        <f>SUMIF('BD VOLUME'!E:E,A106,'BD VOLUME'!T:T)</f>
        <v>0</v>
      </c>
    </row>
    <row r="107" spans="1:14">
      <c r="A107" s="188" t="s">
        <v>1597</v>
      </c>
      <c r="B107" s="192">
        <f>SUMIF('BD VOLUME'!$E:$E,A107,'BD VOLUME'!$J:$J)</f>
        <v>0</v>
      </c>
      <c r="C107" s="192">
        <f t="shared" si="30"/>
        <v>0</v>
      </c>
      <c r="D107" s="193">
        <f>IFERROR(SUMIF('BD VOLUME'!E:E,A107,'BD VOLUME'!F:F)/Preencher!$I$11,0)</f>
        <v>0</v>
      </c>
      <c r="E107" s="193">
        <f>SUMIF('BD VOLUME'!E:E,A107,'BD VOLUME'!N:N)*'BD VOLUME'!$C$3</f>
        <v>0</v>
      </c>
      <c r="F107" s="193">
        <f>SUMIF('BD VOLUME'!E:E,A107,'BD VOLUME'!N:N)</f>
        <v>0</v>
      </c>
      <c r="G107" s="193">
        <f>H107*'BD VOLUME'!$C$3</f>
        <v>0</v>
      </c>
      <c r="H107" s="193">
        <f t="shared" si="31"/>
        <v>0</v>
      </c>
      <c r="I107" s="193">
        <f>SUMIF('BD VOLUME'!E:E,A107,'BD VOLUME'!O:O)</f>
        <v>0</v>
      </c>
      <c r="J107" s="193">
        <f>SUMIF('BD VOLUME'!E:E,A107,'BD VOLUME'!P:P)</f>
        <v>0</v>
      </c>
      <c r="K107" s="193">
        <f>SUMIF('BD VOLUME'!E:E,A107,'BD VOLUME'!Q:Q)</f>
        <v>0</v>
      </c>
      <c r="L107" s="193">
        <f>SUMIF('BD VOLUME'!E:E,A107,'BD VOLUME'!R:R)</f>
        <v>0</v>
      </c>
      <c r="M107" s="193">
        <f>SUMIF('BD VOLUME'!E:E,A107,'BD VOLUME'!S:S)</f>
        <v>0</v>
      </c>
      <c r="N107" s="193">
        <f>SUMIF('BD VOLUME'!E:E,A107,'BD VOLUME'!T:T)</f>
        <v>0</v>
      </c>
    </row>
    <row r="108" spans="1:14">
      <c r="A108" s="188" t="s">
        <v>1598</v>
      </c>
      <c r="B108" s="192">
        <f>SUMIF('BD VOLUME'!$E:$E,A108,'BD VOLUME'!$J:$J)</f>
        <v>0</v>
      </c>
      <c r="C108" s="192">
        <f t="shared" si="30"/>
        <v>0</v>
      </c>
      <c r="D108" s="193">
        <f>IFERROR(SUMIF('BD VOLUME'!E:E,A108,'BD VOLUME'!F:F)/Preencher!$I$11,0)</f>
        <v>0</v>
      </c>
      <c r="E108" s="193">
        <f>SUMIF('BD VOLUME'!E:E,A108,'BD VOLUME'!N:N)*'BD VOLUME'!$C$3</f>
        <v>0</v>
      </c>
      <c r="F108" s="193">
        <f>SUMIF('BD VOLUME'!E:E,A108,'BD VOLUME'!N:N)</f>
        <v>0</v>
      </c>
      <c r="G108" s="193">
        <f>H108*'BD VOLUME'!$C$3</f>
        <v>0</v>
      </c>
      <c r="H108" s="193">
        <f t="shared" si="31"/>
        <v>0</v>
      </c>
      <c r="I108" s="193">
        <f>SUMIF('BD VOLUME'!E:E,A108,'BD VOLUME'!O:O)</f>
        <v>0</v>
      </c>
      <c r="J108" s="193">
        <f>SUMIF('BD VOLUME'!E:E,A108,'BD VOLUME'!P:P)</f>
        <v>0</v>
      </c>
      <c r="K108" s="193">
        <f>SUMIF('BD VOLUME'!E:E,A108,'BD VOLUME'!Q:Q)</f>
        <v>0</v>
      </c>
      <c r="L108" s="193">
        <f>SUMIF('BD VOLUME'!E:E,A108,'BD VOLUME'!R:R)</f>
        <v>0</v>
      </c>
      <c r="M108" s="193">
        <f>SUMIF('BD VOLUME'!E:E,A108,'BD VOLUME'!S:S)</f>
        <v>0</v>
      </c>
      <c r="N108" s="193">
        <f>SUMIF('BD VOLUME'!E:E,A108,'BD VOLUME'!T:T)</f>
        <v>0</v>
      </c>
    </row>
    <row r="109" spans="1:14">
      <c r="A109" s="188" t="s">
        <v>2402</v>
      </c>
      <c r="B109" s="192">
        <f>SUMIF('BD VOLUME'!$E:$E,A109,'BD VOLUME'!$J:$J)</f>
        <v>0</v>
      </c>
      <c r="C109" s="192">
        <f t="shared" si="30"/>
        <v>0</v>
      </c>
      <c r="D109" s="193">
        <f>IFERROR(SUMIF('BD VOLUME'!E:E,A109,'BD VOLUME'!F:F)/Preencher!$I$11,0)</f>
        <v>0</v>
      </c>
      <c r="E109" s="193">
        <f>SUMIF('BD VOLUME'!E:E,A109,'BD VOLUME'!N:N)*'BD VOLUME'!$C$3</f>
        <v>0</v>
      </c>
      <c r="F109" s="193">
        <f>SUMIF('BD VOLUME'!E:E,A109,'BD VOLUME'!N:N)</f>
        <v>0</v>
      </c>
      <c r="G109" s="193">
        <f>H109*'BD VOLUME'!$C$3</f>
        <v>0</v>
      </c>
      <c r="H109" s="193">
        <f t="shared" si="31"/>
        <v>0</v>
      </c>
      <c r="I109" s="193">
        <f>SUMIF('BD VOLUME'!E:E,A109,'BD VOLUME'!O:O)</f>
        <v>0</v>
      </c>
      <c r="J109" s="193">
        <f>SUMIF('BD VOLUME'!E:E,A109,'BD VOLUME'!P:P)</f>
        <v>0</v>
      </c>
      <c r="K109" s="193">
        <f>SUMIF('BD VOLUME'!E:E,A109,'BD VOLUME'!Q:Q)</f>
        <v>0</v>
      </c>
      <c r="L109" s="193">
        <f>SUMIF('BD VOLUME'!E:E,A109,'BD VOLUME'!R:R)</f>
        <v>0</v>
      </c>
      <c r="M109" s="193">
        <f>SUMIF('BD VOLUME'!E:E,A109,'BD VOLUME'!S:S)</f>
        <v>0</v>
      </c>
      <c r="N109" s="193">
        <f>SUMIF('BD VOLUME'!E:E,A109,'BD VOLUME'!T:T)</f>
        <v>0</v>
      </c>
    </row>
    <row r="110" spans="1:14">
      <c r="A110" s="188" t="s">
        <v>1591</v>
      </c>
      <c r="B110" s="192">
        <f>SUMIF('BD VOLUME'!$E:$E,A110,'BD VOLUME'!$J:$J)</f>
        <v>0</v>
      </c>
      <c r="C110" s="192">
        <f t="shared" si="30"/>
        <v>0</v>
      </c>
      <c r="D110" s="193">
        <f>IFERROR(SUMIF('BD VOLUME'!E:E,A110,'BD VOLUME'!F:F)/Preencher!$I$11,0)</f>
        <v>0</v>
      </c>
      <c r="E110" s="193">
        <f>SUMIF('BD VOLUME'!E:E,A110,'BD VOLUME'!N:N)*'BD VOLUME'!$C$3</f>
        <v>0</v>
      </c>
      <c r="F110" s="193">
        <f>SUMIF('BD VOLUME'!E:E,A110,'BD VOLUME'!N:N)</f>
        <v>0</v>
      </c>
      <c r="G110" s="193">
        <f>H110*'BD VOLUME'!$C$3</f>
        <v>0</v>
      </c>
      <c r="H110" s="193">
        <f t="shared" si="31"/>
        <v>0</v>
      </c>
      <c r="I110" s="193">
        <f>SUMIF('BD VOLUME'!E:E,A110,'BD VOLUME'!O:O)</f>
        <v>0</v>
      </c>
      <c r="J110" s="193">
        <f>SUMIF('BD VOLUME'!E:E,A110,'BD VOLUME'!P:P)</f>
        <v>0</v>
      </c>
      <c r="K110" s="193">
        <f>SUMIF('BD VOLUME'!E:E,A110,'BD VOLUME'!Q:Q)</f>
        <v>0</v>
      </c>
      <c r="L110" s="193">
        <f>SUMIF('BD VOLUME'!E:E,A110,'BD VOLUME'!R:R)</f>
        <v>0</v>
      </c>
      <c r="M110" s="193">
        <f>SUMIF('BD VOLUME'!E:E,A110,'BD VOLUME'!S:S)</f>
        <v>0</v>
      </c>
      <c r="N110" s="193">
        <f>SUMIF('BD VOLUME'!E:E,A110,'BD VOLUME'!T:T)</f>
        <v>0</v>
      </c>
    </row>
    <row r="111" spans="1:14">
      <c r="A111" s="188" t="s">
        <v>892</v>
      </c>
      <c r="B111" s="192">
        <f>SUMIF('BD VOLUME'!$E:$E,A111,'BD VOLUME'!$J:$J)</f>
        <v>0</v>
      </c>
      <c r="C111" s="192">
        <f t="shared" si="30"/>
        <v>0</v>
      </c>
      <c r="D111" s="193">
        <f>IFERROR(SUMIF('BD VOLUME'!E:E,A111,'BD VOLUME'!F:F)/Preencher!$I$11,0)</f>
        <v>0</v>
      </c>
      <c r="E111" s="193">
        <f>SUMIF('BD VOLUME'!E:E,A111,'BD VOLUME'!N:N)*'BD VOLUME'!$C$3</f>
        <v>0</v>
      </c>
      <c r="F111" s="193">
        <f>SUMIF('BD VOLUME'!E:E,A111,'BD VOLUME'!N:N)</f>
        <v>0</v>
      </c>
      <c r="G111" s="193">
        <f>H111*'BD VOLUME'!$C$3</f>
        <v>0</v>
      </c>
      <c r="H111" s="193">
        <f t="shared" si="31"/>
        <v>0</v>
      </c>
      <c r="I111" s="193">
        <f>SUMIF('BD VOLUME'!E:E,A111,'BD VOLUME'!O:O)</f>
        <v>0</v>
      </c>
      <c r="J111" s="193">
        <f>SUMIF('BD VOLUME'!E:E,A111,'BD VOLUME'!P:P)</f>
        <v>0</v>
      </c>
      <c r="K111" s="193">
        <f>SUMIF('BD VOLUME'!E:E,A111,'BD VOLUME'!Q:Q)</f>
        <v>0</v>
      </c>
      <c r="L111" s="193">
        <f>SUMIF('BD VOLUME'!E:E,A111,'BD VOLUME'!R:R)</f>
        <v>0</v>
      </c>
      <c r="M111" s="193">
        <f>SUMIF('BD VOLUME'!E:E,A111,'BD VOLUME'!S:S)</f>
        <v>0</v>
      </c>
      <c r="N111" s="193">
        <f>SUMIF('BD VOLUME'!E:E,A111,'BD VOLUME'!T:T)</f>
        <v>0</v>
      </c>
    </row>
    <row r="112" spans="1:14">
      <c r="A112" s="188" t="s">
        <v>1590</v>
      </c>
      <c r="B112" s="192">
        <f>SUMIF('BD VOLUME'!$E:$E,A112,'BD VOLUME'!$J:$J)</f>
        <v>0</v>
      </c>
      <c r="C112" s="192">
        <f t="shared" si="30"/>
        <v>0</v>
      </c>
      <c r="D112" s="193">
        <f>IFERROR(SUMIF('BD VOLUME'!E:E,A112,'BD VOLUME'!F:F)/Preencher!$I$11,0)</f>
        <v>0</v>
      </c>
      <c r="E112" s="193">
        <f>SUMIF('BD VOLUME'!E:E,A112,'BD VOLUME'!N:N)*'BD VOLUME'!$C$3</f>
        <v>0</v>
      </c>
      <c r="F112" s="193">
        <f>SUMIF('BD VOLUME'!E:E,A112,'BD VOLUME'!N:N)</f>
        <v>0</v>
      </c>
      <c r="G112" s="193">
        <f>H112*'BD VOLUME'!$C$3</f>
        <v>0</v>
      </c>
      <c r="H112" s="193">
        <f t="shared" si="31"/>
        <v>0</v>
      </c>
      <c r="I112" s="193">
        <f>SUMIF('BD VOLUME'!E:E,A112,'BD VOLUME'!O:O)</f>
        <v>0</v>
      </c>
      <c r="J112" s="193">
        <f>SUMIF('BD VOLUME'!E:E,A112,'BD VOLUME'!P:P)</f>
        <v>0</v>
      </c>
      <c r="K112" s="193">
        <f>SUMIF('BD VOLUME'!E:E,A112,'BD VOLUME'!Q:Q)</f>
        <v>0</v>
      </c>
      <c r="L112" s="193">
        <f>SUMIF('BD VOLUME'!E:E,A112,'BD VOLUME'!R:R)</f>
        <v>0</v>
      </c>
      <c r="M112" s="193">
        <f>SUMIF('BD VOLUME'!E:E,A112,'BD VOLUME'!S:S)</f>
        <v>0</v>
      </c>
      <c r="N112" s="193">
        <f>SUMIF('BD VOLUME'!E:E,A112,'BD VOLUME'!T:T)</f>
        <v>0</v>
      </c>
    </row>
    <row r="113" spans="1:35">
      <c r="A113" s="188" t="s">
        <v>2567</v>
      </c>
      <c r="B113" s="192">
        <f>SUMIF('BD VOLUME'!$E:$E,A113,'BD VOLUME'!$J:$J)</f>
        <v>0</v>
      </c>
      <c r="C113" s="192">
        <f t="shared" si="30"/>
        <v>0</v>
      </c>
      <c r="D113" s="193">
        <f>IFERROR(SUMIF('BD VOLUME'!E:E,A113,'BD VOLUME'!F:F)/Preencher!$I$11,0)</f>
        <v>0</v>
      </c>
      <c r="E113" s="193">
        <f>SUMIF('BD VOLUME'!E:E,A113,'BD VOLUME'!N:N)*'BD VOLUME'!$C$3</f>
        <v>0</v>
      </c>
      <c r="F113" s="193">
        <f>SUMIF('BD VOLUME'!E:E,A113,'BD VOLUME'!N:N)</f>
        <v>0</v>
      </c>
      <c r="G113" s="193">
        <f>H113*'BD VOLUME'!$C$3</f>
        <v>0</v>
      </c>
      <c r="H113" s="193">
        <f t="shared" si="31"/>
        <v>0</v>
      </c>
      <c r="I113" s="193">
        <f>SUMIF('BD VOLUME'!E:E,A113,'BD VOLUME'!O:O)</f>
        <v>0</v>
      </c>
      <c r="J113" s="193">
        <f>SUMIF('BD VOLUME'!E:E,A113,'BD VOLUME'!P:P)</f>
        <v>0</v>
      </c>
      <c r="K113" s="193">
        <f>SUMIF('BD VOLUME'!E:E,A113,'BD VOLUME'!Q:Q)</f>
        <v>0</v>
      </c>
      <c r="L113" s="193">
        <f>SUMIF('BD VOLUME'!E:E,A113,'BD VOLUME'!R:R)</f>
        <v>0</v>
      </c>
      <c r="M113" s="193">
        <f>SUMIF('BD VOLUME'!E:E,A113,'BD VOLUME'!S:S)</f>
        <v>0</v>
      </c>
      <c r="N113" s="193">
        <f>SUMIF('BD VOLUME'!E:E,A113,'BD VOLUME'!T:T)</f>
        <v>0</v>
      </c>
    </row>
    <row r="114" spans="1:35">
      <c r="A114" s="188" t="s">
        <v>1589</v>
      </c>
      <c r="B114" s="192">
        <f>SUMIF('BD VOLUME'!$E:$E,A114,'BD VOLUME'!$J:$J)</f>
        <v>2.0042949176807445E-3</v>
      </c>
      <c r="C114" s="192">
        <f t="shared" si="30"/>
        <v>2.5098178167537715E-3</v>
      </c>
      <c r="D114" s="193">
        <f>IFERROR(SUMIF('BD VOLUME'!E:E,A114,'BD VOLUME'!F:F)/Preencher!$I$11,0)</f>
        <v>13.745454545454548</v>
      </c>
      <c r="E114" s="193">
        <f>SUMIF('BD VOLUME'!E:E,A114,'BD VOLUME'!N:N)*'BD VOLUME'!$C$3</f>
        <v>13.745454545454548</v>
      </c>
      <c r="F114" s="193">
        <f>SUMIF('BD VOLUME'!E:E,A114,'BD VOLUME'!N:N)</f>
        <v>1.4355566104913366</v>
      </c>
      <c r="G114" s="193">
        <f>H114*'BD VOLUME'!$C$3</f>
        <v>1.1454545454545455</v>
      </c>
      <c r="H114" s="193">
        <f t="shared" si="31"/>
        <v>0.11962971754094472</v>
      </c>
      <c r="I114" s="193">
        <f>SUMIF('BD VOLUME'!E:E,A114,'BD VOLUME'!O:O)</f>
        <v>0.11962971754094472</v>
      </c>
      <c r="J114" s="193">
        <f>SUMIF('BD VOLUME'!E:E,A114,'BD VOLUME'!P:P)</f>
        <v>0</v>
      </c>
      <c r="K114" s="193">
        <f>SUMIF('BD VOLUME'!E:E,A114,'BD VOLUME'!Q:Q)</f>
        <v>0</v>
      </c>
      <c r="L114" s="193">
        <f>SUMIF('BD VOLUME'!E:E,A114,'BD VOLUME'!R:R)</f>
        <v>0</v>
      </c>
      <c r="M114" s="193">
        <f>SUMIF('BD VOLUME'!E:E,A114,'BD VOLUME'!S:S)</f>
        <v>0</v>
      </c>
      <c r="N114" s="193">
        <f>SUMIF('BD VOLUME'!E:E,A114,'BD VOLUME'!T:T)</f>
        <v>0</v>
      </c>
    </row>
    <row r="115" spans="1:35">
      <c r="A115" s="188" t="s">
        <v>1874</v>
      </c>
      <c r="B115" s="192">
        <f>SUMIF('BD VOLUME'!$E:$E,A115,'BD VOLUME'!$J:$J)</f>
        <v>0</v>
      </c>
      <c r="C115" s="192">
        <f t="shared" si="30"/>
        <v>0</v>
      </c>
      <c r="D115" s="193">
        <f>IFERROR(SUMIF('BD VOLUME'!E:E,A115,'BD VOLUME'!F:F)/Preencher!$I$11,0)</f>
        <v>0</v>
      </c>
      <c r="E115" s="193">
        <f>SUMIF('BD VOLUME'!E:E,A115,'BD VOLUME'!N:N)*'BD VOLUME'!$C$3</f>
        <v>0</v>
      </c>
      <c r="F115" s="193">
        <f>SUMIF('BD VOLUME'!E:E,A115,'BD VOLUME'!N:N)</f>
        <v>0</v>
      </c>
      <c r="G115" s="193">
        <f>H115*'BD VOLUME'!$C$3</f>
        <v>0</v>
      </c>
      <c r="H115" s="193">
        <f t="shared" si="31"/>
        <v>0</v>
      </c>
      <c r="I115" s="193">
        <f>SUMIF('BD VOLUME'!E:E,A115,'BD VOLUME'!O:O)</f>
        <v>0</v>
      </c>
      <c r="J115" s="193">
        <f>SUMIF('BD VOLUME'!E:E,A115,'BD VOLUME'!P:P)</f>
        <v>0</v>
      </c>
      <c r="K115" s="193">
        <f>SUMIF('BD VOLUME'!E:E,A115,'BD VOLUME'!Q:Q)</f>
        <v>0</v>
      </c>
      <c r="L115" s="193">
        <f>SUMIF('BD VOLUME'!E:E,A115,'BD VOLUME'!R:R)</f>
        <v>0</v>
      </c>
      <c r="M115" s="193">
        <f>SUMIF('BD VOLUME'!E:E,A115,'BD VOLUME'!S:S)</f>
        <v>0</v>
      </c>
      <c r="N115" s="193">
        <f>SUMIF('BD VOLUME'!E:E,A115,'BD VOLUME'!T:T)</f>
        <v>0</v>
      </c>
    </row>
    <row r="116" spans="1:35">
      <c r="A116" s="188" t="s">
        <v>1445</v>
      </c>
      <c r="B116" s="192">
        <f>SUMIF('BD VOLUME'!$E:$E,A116,'BD VOLUME'!$J:$J)</f>
        <v>0</v>
      </c>
      <c r="C116" s="192">
        <f t="shared" si="30"/>
        <v>0</v>
      </c>
      <c r="D116" s="193">
        <f>IFERROR(SUMIF('BD VOLUME'!E:E,A116,'BD VOLUME'!F:F)/Preencher!$I$11,0)</f>
        <v>0</v>
      </c>
      <c r="E116" s="193">
        <f>SUMIF('BD VOLUME'!E:E,A116,'BD VOLUME'!N:N)*'BD VOLUME'!$C$3</f>
        <v>0</v>
      </c>
      <c r="F116" s="193">
        <f>SUMIF('BD VOLUME'!E:E,A116,'BD VOLUME'!N:N)</f>
        <v>0</v>
      </c>
      <c r="G116" s="193">
        <f>H116*'BD VOLUME'!$C$3</f>
        <v>0</v>
      </c>
      <c r="H116" s="193">
        <f t="shared" si="31"/>
        <v>0</v>
      </c>
      <c r="I116" s="193">
        <f>SUMIF('BD VOLUME'!E:E,A116,'BD VOLUME'!O:O)</f>
        <v>0</v>
      </c>
      <c r="J116" s="193">
        <f>SUMIF('BD VOLUME'!E:E,A116,'BD VOLUME'!P:P)</f>
        <v>0</v>
      </c>
      <c r="K116" s="193">
        <f>SUMIF('BD VOLUME'!E:E,A116,'BD VOLUME'!Q:Q)</f>
        <v>0</v>
      </c>
      <c r="L116" s="193">
        <f>SUMIF('BD VOLUME'!E:E,A116,'BD VOLUME'!R:R)</f>
        <v>0</v>
      </c>
      <c r="M116" s="193">
        <f>SUMIF('BD VOLUME'!E:E,A116,'BD VOLUME'!S:S)</f>
        <v>0</v>
      </c>
      <c r="N116" s="193">
        <f>SUMIF('BD VOLUME'!E:E,A116,'BD VOLUME'!T:T)</f>
        <v>0</v>
      </c>
    </row>
    <row r="117" spans="1:35">
      <c r="A117" s="188" t="s">
        <v>933</v>
      </c>
      <c r="B117" s="192">
        <f>SUMIF('BD VOLUME'!$E:$E,A117,'BD VOLUME'!$J:$J)</f>
        <v>0</v>
      </c>
      <c r="C117" s="192">
        <f t="shared" si="30"/>
        <v>0</v>
      </c>
      <c r="D117" s="193">
        <f>IFERROR(SUMIF('BD VOLUME'!E:E,A117,'BD VOLUME'!F:F)/Preencher!$I$11,0)</f>
        <v>0</v>
      </c>
      <c r="E117" s="193">
        <f>SUMIF('BD VOLUME'!E:E,A117,'BD VOLUME'!N:N)*'BD VOLUME'!$C$3</f>
        <v>0</v>
      </c>
      <c r="F117" s="193">
        <f>SUMIF('BD VOLUME'!E:E,A117,'BD VOLUME'!N:N)</f>
        <v>0</v>
      </c>
      <c r="G117" s="193">
        <f>H117*'BD VOLUME'!$C$3</f>
        <v>0</v>
      </c>
      <c r="H117" s="193">
        <f t="shared" si="31"/>
        <v>0</v>
      </c>
      <c r="I117" s="193">
        <f>SUMIF('BD VOLUME'!E:E,A117,'BD VOLUME'!O:O)</f>
        <v>0</v>
      </c>
      <c r="J117" s="193">
        <f>SUMIF('BD VOLUME'!E:E,A117,'BD VOLUME'!P:P)</f>
        <v>0</v>
      </c>
      <c r="K117" s="193">
        <f>SUMIF('BD VOLUME'!E:E,A117,'BD VOLUME'!Q:Q)</f>
        <v>0</v>
      </c>
      <c r="L117" s="193">
        <f>SUMIF('BD VOLUME'!E:E,A117,'BD VOLUME'!R:R)</f>
        <v>0</v>
      </c>
      <c r="M117" s="193">
        <f>SUMIF('BD VOLUME'!E:E,A117,'BD VOLUME'!S:S)</f>
        <v>0</v>
      </c>
      <c r="N117" s="193">
        <f>SUMIF('BD VOLUME'!E:E,A117,'BD VOLUME'!T:T)</f>
        <v>0</v>
      </c>
    </row>
    <row r="118" spans="1:35">
      <c r="A118" s="188" t="s">
        <v>1602</v>
      </c>
      <c r="B118" s="192">
        <f>SUMIF('BD VOLUME'!$E:$E,A118,'BD VOLUME'!$J:$J)</f>
        <v>0</v>
      </c>
      <c r="C118" s="192">
        <f t="shared" si="30"/>
        <v>0</v>
      </c>
      <c r="D118" s="193">
        <f>IFERROR(SUMIF('BD VOLUME'!E:E,A118,'BD VOLUME'!F:F)/Preencher!$I$11,0)</f>
        <v>0</v>
      </c>
      <c r="E118" s="193">
        <f>SUMIF('BD VOLUME'!E:E,A118,'BD VOLUME'!N:N)*'BD VOLUME'!$C$3</f>
        <v>0</v>
      </c>
      <c r="F118" s="193">
        <f>SUMIF('BD VOLUME'!E:E,A118,'BD VOLUME'!N:N)</f>
        <v>0</v>
      </c>
      <c r="G118" s="193">
        <f>H118*'BD VOLUME'!$C$3</f>
        <v>0</v>
      </c>
      <c r="H118" s="193">
        <f t="shared" si="31"/>
        <v>0</v>
      </c>
      <c r="I118" s="193">
        <f>SUMIF('BD VOLUME'!E:E,A118,'BD VOLUME'!O:O)</f>
        <v>0</v>
      </c>
      <c r="J118" s="193">
        <f>SUMIF('BD VOLUME'!E:E,A118,'BD VOLUME'!P:P)</f>
        <v>0</v>
      </c>
      <c r="K118" s="193">
        <f>SUMIF('BD VOLUME'!E:E,A118,'BD VOLUME'!Q:Q)</f>
        <v>0</v>
      </c>
      <c r="L118" s="193">
        <f>SUMIF('BD VOLUME'!E:E,A118,'BD VOLUME'!R:R)</f>
        <v>0</v>
      </c>
      <c r="M118" s="193">
        <f>SUMIF('BD VOLUME'!E:E,A118,'BD VOLUME'!S:S)</f>
        <v>0</v>
      </c>
      <c r="N118" s="193">
        <f>SUMIF('BD VOLUME'!E:E,A118,'BD VOLUME'!T:T)</f>
        <v>0</v>
      </c>
    </row>
    <row r="119" spans="1:35">
      <c r="N119" s="157"/>
    </row>
    <row r="120" spans="1:35">
      <c r="A120" s="191" t="s">
        <v>959</v>
      </c>
      <c r="B120" s="190">
        <f>SUBTOTAL(9,B121:B185)</f>
        <v>0.93677176251739458</v>
      </c>
      <c r="C120" s="190"/>
      <c r="D120" s="187">
        <f>SUBTOTAL(9,D121:D185)</f>
        <v>30920.727272727279</v>
      </c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</row>
    <row r="121" spans="1:35">
      <c r="A121" s="188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</row>
    <row r="122" spans="1:35">
      <c r="A122" s="191" t="s">
        <v>1631</v>
      </c>
      <c r="B122" s="190">
        <f t="shared" ref="B122:N122" si="32">SUBTOTAL(9,B123:B143)</f>
        <v>0.92862962011073225</v>
      </c>
      <c r="C122" s="190">
        <f t="shared" si="32"/>
        <v>0.92862962011073225</v>
      </c>
      <c r="D122" s="187">
        <f t="shared" si="32"/>
        <v>30766.123636363642</v>
      </c>
      <c r="E122" s="187">
        <f t="shared" si="32"/>
        <v>30766.123636363642</v>
      </c>
      <c r="F122" s="187">
        <f t="shared" si="32"/>
        <v>3213.1721813434615</v>
      </c>
      <c r="G122" s="187">
        <f t="shared" si="32"/>
        <v>2051.0749090909094</v>
      </c>
      <c r="H122" s="187">
        <f t="shared" si="32"/>
        <v>214.21147875623078</v>
      </c>
      <c r="I122" s="187">
        <f t="shared" si="32"/>
        <v>0</v>
      </c>
      <c r="J122" s="187">
        <f t="shared" si="32"/>
        <v>214.21147875623078</v>
      </c>
      <c r="K122" s="187">
        <f t="shared" si="32"/>
        <v>0</v>
      </c>
      <c r="L122" s="187">
        <f t="shared" si="32"/>
        <v>0</v>
      </c>
      <c r="M122" s="187">
        <f t="shared" si="32"/>
        <v>0</v>
      </c>
      <c r="N122" s="187">
        <f t="shared" si="32"/>
        <v>0</v>
      </c>
    </row>
    <row r="123" spans="1:35">
      <c r="A123" s="188" t="s">
        <v>1076</v>
      </c>
      <c r="B123" s="192">
        <f>SUMIF('BD VOLUME'!$E:$E,A123,'BD VOLUME'!$J:$J)</f>
        <v>0</v>
      </c>
      <c r="C123" s="192">
        <f t="shared" ref="C123:C129" si="33">IF($B$122&gt;100,B123/$B$122,B123)</f>
        <v>0</v>
      </c>
      <c r="D123" s="193">
        <f>IFERROR(SUMIF('BD VOLUME'!E:E,A123,'BD VOLUME'!F:F)/Preencher!$I$11,0)</f>
        <v>0</v>
      </c>
      <c r="E123" s="193">
        <f>SUMIF('BD VOLUME'!E:E,A123,'BD VOLUME'!N:N)*'BD VOLUME'!$C$3</f>
        <v>0</v>
      </c>
      <c r="F123" s="193">
        <f>SUMIF('BD VOLUME'!E:E,A123,'BD VOLUME'!N:N)</f>
        <v>0</v>
      </c>
      <c r="G123" s="193">
        <f>H123*'BD VOLUME'!$C$3</f>
        <v>0</v>
      </c>
      <c r="H123" s="193">
        <f t="shared" ref="H123:H134" si="34">SUM(I123:M123)</f>
        <v>0</v>
      </c>
      <c r="I123" s="193">
        <f>SUMIF('BD VOLUME'!E:E,A123,'BD VOLUME'!O:O)</f>
        <v>0</v>
      </c>
      <c r="J123" s="193">
        <f>SUMIF('BD VOLUME'!E:E,A123,'BD VOLUME'!P:P)</f>
        <v>0</v>
      </c>
      <c r="K123" s="193">
        <f>SUMIF('BD VOLUME'!E:E,A123,'BD VOLUME'!Q:Q)</f>
        <v>0</v>
      </c>
      <c r="L123" s="193">
        <f>SUMIF('BD VOLUME'!E:E,A123,'BD VOLUME'!R:R)</f>
        <v>0</v>
      </c>
      <c r="M123" s="193">
        <f>SUMIF('BD VOLUME'!E:E,A123,'BD VOLUME'!S:S)</f>
        <v>0</v>
      </c>
      <c r="N123" s="193">
        <f>SUMIF('BD VOLUME'!E:E,A123,'BD VOLUME'!T:T)</f>
        <v>0</v>
      </c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</row>
    <row r="124" spans="1:35">
      <c r="A124" s="188" t="s">
        <v>1077</v>
      </c>
      <c r="B124" s="192">
        <f>SUMIF('BD VOLUME'!$E:$E,A124,'BD VOLUME'!$J:$J)</f>
        <v>0</v>
      </c>
      <c r="C124" s="192">
        <f t="shared" si="33"/>
        <v>0</v>
      </c>
      <c r="D124" s="193">
        <f>IFERROR(SUMIF('BD VOLUME'!E:E,A124,'BD VOLUME'!F:F)/Preencher!$I$11,0)</f>
        <v>0</v>
      </c>
      <c r="E124" s="193">
        <f>SUMIF('BD VOLUME'!E:E,A124,'BD VOLUME'!N:N)*'BD VOLUME'!$C$3</f>
        <v>0</v>
      </c>
      <c r="F124" s="193">
        <f>SUMIF('BD VOLUME'!E:E,A124,'BD VOLUME'!N:N)</f>
        <v>0</v>
      </c>
      <c r="G124" s="193">
        <f>H124*'BD VOLUME'!$C$3</f>
        <v>0</v>
      </c>
      <c r="H124" s="193">
        <f t="shared" si="34"/>
        <v>0</v>
      </c>
      <c r="I124" s="193">
        <f>SUMIF('BD VOLUME'!E:E,A124,'BD VOLUME'!O:O)</f>
        <v>0</v>
      </c>
      <c r="J124" s="193">
        <f>SUMIF('BD VOLUME'!E:E,A124,'BD VOLUME'!P:P)</f>
        <v>0</v>
      </c>
      <c r="K124" s="193">
        <f>SUMIF('BD VOLUME'!E:E,A124,'BD VOLUME'!Q:Q)</f>
        <v>0</v>
      </c>
      <c r="L124" s="193">
        <f>SUMIF('BD VOLUME'!E:E,A124,'BD VOLUME'!R:R)</f>
        <v>0</v>
      </c>
      <c r="M124" s="193">
        <f>SUMIF('BD VOLUME'!E:E,A124,'BD VOLUME'!S:S)</f>
        <v>0</v>
      </c>
      <c r="N124" s="193">
        <f>SUMIF('BD VOLUME'!E:E,A124,'BD VOLUME'!T:T)</f>
        <v>0</v>
      </c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</row>
    <row r="125" spans="1:35">
      <c r="A125" s="188" t="s">
        <v>2406</v>
      </c>
      <c r="B125" s="192">
        <f>SUMIF('BD VOLUME'!$E:$E,A125,'BD VOLUME'!$J:$J)</f>
        <v>0</v>
      </c>
      <c r="C125" s="192">
        <f t="shared" si="33"/>
        <v>0</v>
      </c>
      <c r="D125" s="193">
        <f>IFERROR(SUMIF('BD VOLUME'!E:E,A125,'BD VOLUME'!F:F)/Preencher!$I$11,0)</f>
        <v>0</v>
      </c>
      <c r="E125" s="193">
        <f>SUMIF('BD VOLUME'!E:E,A125,'BD VOLUME'!N:N)*'BD VOLUME'!$C$3</f>
        <v>0</v>
      </c>
      <c r="F125" s="193">
        <f>SUMIF('BD VOLUME'!E:E,A125,'BD VOLUME'!N:N)</f>
        <v>0</v>
      </c>
      <c r="G125" s="193">
        <f>H125*'BD VOLUME'!$C$3</f>
        <v>0</v>
      </c>
      <c r="H125" s="193">
        <f t="shared" si="34"/>
        <v>0</v>
      </c>
      <c r="I125" s="193">
        <f>SUMIF('BD VOLUME'!E:E,A125,'BD VOLUME'!O:O)</f>
        <v>0</v>
      </c>
      <c r="J125" s="193">
        <f>SUMIF('BD VOLUME'!E:E,A125,'BD VOLUME'!P:P)</f>
        <v>0</v>
      </c>
      <c r="K125" s="193">
        <f>SUMIF('BD VOLUME'!E:E,A125,'BD VOLUME'!Q:Q)</f>
        <v>0</v>
      </c>
      <c r="L125" s="193">
        <f>SUMIF('BD VOLUME'!E:E,A125,'BD VOLUME'!R:R)</f>
        <v>0</v>
      </c>
      <c r="M125" s="193">
        <f>SUMIF('BD VOLUME'!E:E,A125,'BD VOLUME'!S:S)</f>
        <v>0</v>
      </c>
      <c r="N125" s="193">
        <f>SUMIF('BD VOLUME'!E:E,A125,'BD VOLUME'!T:T)</f>
        <v>0</v>
      </c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</row>
    <row r="126" spans="1:35">
      <c r="A126" s="188" t="s">
        <v>925</v>
      </c>
      <c r="B126" s="192">
        <f>SUMIF('BD VOLUME'!$E:$E,A126,'BD VOLUME'!$J:$J)</f>
        <v>0</v>
      </c>
      <c r="C126" s="192">
        <f t="shared" si="33"/>
        <v>0</v>
      </c>
      <c r="D126" s="193">
        <f>IFERROR(SUMIF('BD VOLUME'!E:E,A126,'BD VOLUME'!F:F)/Preencher!$I$11,0)</f>
        <v>0</v>
      </c>
      <c r="E126" s="193">
        <f>SUMIF('BD VOLUME'!E:E,A126,'BD VOLUME'!N:N)*'BD VOLUME'!$C$3</f>
        <v>0</v>
      </c>
      <c r="F126" s="193">
        <f>SUMIF('BD VOLUME'!E:E,A126,'BD VOLUME'!N:N)</f>
        <v>0</v>
      </c>
      <c r="G126" s="193">
        <f>H126*'BD VOLUME'!$C$3</f>
        <v>0</v>
      </c>
      <c r="H126" s="193">
        <f t="shared" si="34"/>
        <v>0</v>
      </c>
      <c r="I126" s="193">
        <f>SUMIF('BD VOLUME'!E:E,A126,'BD VOLUME'!O:O)</f>
        <v>0</v>
      </c>
      <c r="J126" s="193">
        <f>SUMIF('BD VOLUME'!E:E,A126,'BD VOLUME'!P:P)</f>
        <v>0</v>
      </c>
      <c r="K126" s="193">
        <f>SUMIF('BD VOLUME'!E:E,A126,'BD VOLUME'!Q:Q)</f>
        <v>0</v>
      </c>
      <c r="L126" s="193">
        <f>SUMIF('BD VOLUME'!E:E,A126,'BD VOLUME'!R:R)</f>
        <v>0</v>
      </c>
      <c r="M126" s="193">
        <f>SUMIF('BD VOLUME'!E:E,A126,'BD VOLUME'!S:S)</f>
        <v>0</v>
      </c>
      <c r="N126" s="193">
        <f>SUMIF('BD VOLUME'!E:E,A126,'BD VOLUME'!T:T)</f>
        <v>0</v>
      </c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</row>
    <row r="127" spans="1:35">
      <c r="A127" s="188" t="s">
        <v>1078</v>
      </c>
      <c r="B127" s="192">
        <f>SUMIF('BD VOLUME'!$E:$E,A127,'BD VOLUME'!$J:$J)</f>
        <v>0</v>
      </c>
      <c r="C127" s="192">
        <f t="shared" si="33"/>
        <v>0</v>
      </c>
      <c r="D127" s="193">
        <f>IFERROR(SUMIF('BD VOLUME'!E:E,A127,'BD VOLUME'!F:F)/Preencher!$I$11,0)</f>
        <v>0</v>
      </c>
      <c r="E127" s="193">
        <f>SUMIF('BD VOLUME'!E:E,A127,'BD VOLUME'!N:N)*'BD VOLUME'!$C$3</f>
        <v>0</v>
      </c>
      <c r="F127" s="193">
        <f>SUMIF('BD VOLUME'!E:E,A127,'BD VOLUME'!N:N)</f>
        <v>0</v>
      </c>
      <c r="G127" s="193">
        <f>H127*'BD VOLUME'!$C$3</f>
        <v>0</v>
      </c>
      <c r="H127" s="193">
        <f t="shared" si="34"/>
        <v>0</v>
      </c>
      <c r="I127" s="193">
        <f>SUMIF('BD VOLUME'!E:E,A127,'BD VOLUME'!O:O)</f>
        <v>0</v>
      </c>
      <c r="J127" s="193">
        <f>SUMIF('BD VOLUME'!E:E,A127,'BD VOLUME'!P:P)</f>
        <v>0</v>
      </c>
      <c r="K127" s="193">
        <f>SUMIF('BD VOLUME'!E:E,A127,'BD VOLUME'!Q:Q)</f>
        <v>0</v>
      </c>
      <c r="L127" s="193">
        <f>SUMIF('BD VOLUME'!E:E,A127,'BD VOLUME'!R:R)</f>
        <v>0</v>
      </c>
      <c r="M127" s="193">
        <f>SUMIF('BD VOLUME'!E:E,A127,'BD VOLUME'!S:S)</f>
        <v>0</v>
      </c>
      <c r="N127" s="193">
        <f>SUMIF('BD VOLUME'!E:E,A127,'BD VOLUME'!T:T)</f>
        <v>0</v>
      </c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</row>
    <row r="128" spans="1:35">
      <c r="A128" s="188" t="s">
        <v>1079</v>
      </c>
      <c r="B128" s="192">
        <f>SUMIF('BD VOLUME'!$E:$E,A128,'BD VOLUME'!$J:$J)</f>
        <v>0</v>
      </c>
      <c r="C128" s="192">
        <f t="shared" si="33"/>
        <v>0</v>
      </c>
      <c r="D128" s="193">
        <f>IFERROR(SUMIF('BD VOLUME'!E:E,A128,'BD VOLUME'!F:F)/Preencher!$I$11,0)</f>
        <v>0</v>
      </c>
      <c r="E128" s="193">
        <f>SUMIF('BD VOLUME'!E:E,A128,'BD VOLUME'!N:N)*'BD VOLUME'!$C$3</f>
        <v>0</v>
      </c>
      <c r="F128" s="193">
        <f>SUMIF('BD VOLUME'!E:E,A128,'BD VOLUME'!N:N)</f>
        <v>0</v>
      </c>
      <c r="G128" s="193">
        <f>H128*'BD VOLUME'!$C$3</f>
        <v>0</v>
      </c>
      <c r="H128" s="193">
        <f t="shared" si="34"/>
        <v>0</v>
      </c>
      <c r="I128" s="193">
        <f>SUMIF('BD VOLUME'!E:E,A128,'BD VOLUME'!O:O)</f>
        <v>0</v>
      </c>
      <c r="J128" s="193">
        <f>SUMIF('BD VOLUME'!E:E,A128,'BD VOLUME'!P:P)</f>
        <v>0</v>
      </c>
      <c r="K128" s="193">
        <f>SUMIF('BD VOLUME'!E:E,A128,'BD VOLUME'!Q:Q)</f>
        <v>0</v>
      </c>
      <c r="L128" s="193">
        <f>SUMIF('BD VOLUME'!E:E,A128,'BD VOLUME'!R:R)</f>
        <v>0</v>
      </c>
      <c r="M128" s="193">
        <f>SUMIF('BD VOLUME'!E:E,A128,'BD VOLUME'!S:S)</f>
        <v>0</v>
      </c>
      <c r="N128" s="193">
        <f>SUMIF('BD VOLUME'!E:E,A128,'BD VOLUME'!T:T)</f>
        <v>0</v>
      </c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</row>
    <row r="129" spans="1:35">
      <c r="A129" s="188" t="s">
        <v>1080</v>
      </c>
      <c r="B129" s="192">
        <f>SUMIF('BD VOLUME'!$E:$E,A129,'BD VOLUME'!$J:$J)</f>
        <v>0</v>
      </c>
      <c r="C129" s="192">
        <f t="shared" si="33"/>
        <v>0</v>
      </c>
      <c r="D129" s="193">
        <f>IFERROR(SUMIF('BD VOLUME'!E:E,A129,'BD VOLUME'!F:F)/Preencher!$I$11,0)</f>
        <v>0</v>
      </c>
      <c r="E129" s="193">
        <f>SUMIF('BD VOLUME'!E:E,A129,'BD VOLUME'!N:N)*'BD VOLUME'!$C$3</f>
        <v>0</v>
      </c>
      <c r="F129" s="193">
        <f>SUMIF('BD VOLUME'!E:E,A129,'BD VOLUME'!N:N)</f>
        <v>0</v>
      </c>
      <c r="G129" s="193">
        <f>H129*'BD VOLUME'!$C$3</f>
        <v>0</v>
      </c>
      <c r="H129" s="193">
        <f t="shared" si="34"/>
        <v>0</v>
      </c>
      <c r="I129" s="193">
        <f>SUMIF('BD VOLUME'!E:E,A129,'BD VOLUME'!O:O)</f>
        <v>0</v>
      </c>
      <c r="J129" s="193">
        <f>SUMIF('BD VOLUME'!E:E,A129,'BD VOLUME'!P:P)</f>
        <v>0</v>
      </c>
      <c r="K129" s="193">
        <f>SUMIF('BD VOLUME'!E:E,A129,'BD VOLUME'!Q:Q)</f>
        <v>0</v>
      </c>
      <c r="L129" s="193">
        <f>SUMIF('BD VOLUME'!E:E,A129,'BD VOLUME'!R:R)</f>
        <v>0</v>
      </c>
      <c r="M129" s="193">
        <f>SUMIF('BD VOLUME'!E:E,A129,'BD VOLUME'!S:S)</f>
        <v>0</v>
      </c>
      <c r="N129" s="193">
        <f>SUMIF('BD VOLUME'!E:E,A129,'BD VOLUME'!T:T)</f>
        <v>0</v>
      </c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</row>
    <row r="130" spans="1:35">
      <c r="A130" s="188" t="s">
        <v>2752</v>
      </c>
      <c r="B130" s="192">
        <f>SUMIF('BD VOLUME'!$E:$E,A130,'BD VOLUME'!$J:$J)</f>
        <v>0</v>
      </c>
      <c r="C130" s="192">
        <f>IF($B$122&gt;100,B130/$B$122,B130)</f>
        <v>0</v>
      </c>
      <c r="D130" s="193">
        <f>IFERROR(SUMIF('BD VOLUME'!E:E,A130,'BD VOLUME'!F:F)/Preencher!$I$11,0)</f>
        <v>0</v>
      </c>
      <c r="E130" s="193">
        <f>SUMIF('BD VOLUME'!E:E,A130,'BD VOLUME'!N:N)*'BD VOLUME'!$C$3</f>
        <v>0</v>
      </c>
      <c r="F130" s="193">
        <f>SUMIF('BD VOLUME'!E:E,A130,'BD VOLUME'!N:N)</f>
        <v>0</v>
      </c>
      <c r="G130" s="193">
        <f>H130*'BD VOLUME'!$C$3</f>
        <v>0</v>
      </c>
      <c r="H130" s="193">
        <f t="shared" si="34"/>
        <v>0</v>
      </c>
      <c r="I130" s="193">
        <f>SUMIF('BD VOLUME'!E:E,A130,'BD VOLUME'!O:O)</f>
        <v>0</v>
      </c>
      <c r="J130" s="193">
        <f>SUMIF('BD VOLUME'!E:E,A130,'BD VOLUME'!P:P)</f>
        <v>0</v>
      </c>
      <c r="K130" s="193">
        <f>SUMIF('BD VOLUME'!E:E,A130,'BD VOLUME'!Q:Q)</f>
        <v>0</v>
      </c>
      <c r="L130" s="193">
        <f>SUMIF('BD VOLUME'!E:E,A130,'BD VOLUME'!R:R)</f>
        <v>0</v>
      </c>
      <c r="M130" s="193">
        <f>SUMIF('BD VOLUME'!E:E,A130,'BD VOLUME'!S:S)</f>
        <v>0</v>
      </c>
      <c r="N130" s="193">
        <f>SUMIF('BD VOLUME'!E:E,A130,'BD VOLUME'!T:T)</f>
        <v>0</v>
      </c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</row>
    <row r="131" spans="1:35">
      <c r="A131" s="188" t="s">
        <v>2399</v>
      </c>
      <c r="B131" s="192">
        <f>SUMIF('BD VOLUME'!$E:$E,A131,'BD VOLUME'!$J:$J)</f>
        <v>0</v>
      </c>
      <c r="C131" s="192">
        <f t="shared" ref="C131:C143" si="35">IF($B$122&gt;100,B131/$B$122,B131)</f>
        <v>0</v>
      </c>
      <c r="D131" s="193">
        <f>IFERROR(SUMIF('BD VOLUME'!E:E,A131,'BD VOLUME'!F:F)/Preencher!$I$11,0)</f>
        <v>0</v>
      </c>
      <c r="E131" s="193">
        <f>SUMIF('BD VOLUME'!E:E,A131,'BD VOLUME'!N:N)*'BD VOLUME'!$C$3</f>
        <v>0</v>
      </c>
      <c r="F131" s="193">
        <f>SUMIF('BD VOLUME'!E:E,A131,'BD VOLUME'!N:N)</f>
        <v>0</v>
      </c>
      <c r="G131" s="193">
        <f>H131*'BD VOLUME'!$C$3</f>
        <v>0</v>
      </c>
      <c r="H131" s="193">
        <f t="shared" si="34"/>
        <v>0</v>
      </c>
      <c r="I131" s="193">
        <f>SUMIF('BD VOLUME'!E:E,A131,'BD VOLUME'!O:O)</f>
        <v>0</v>
      </c>
      <c r="J131" s="193">
        <f>SUMIF('BD VOLUME'!E:E,A131,'BD VOLUME'!P:P)</f>
        <v>0</v>
      </c>
      <c r="K131" s="193">
        <f>SUMIF('BD VOLUME'!E:E,A131,'BD VOLUME'!Q:Q)</f>
        <v>0</v>
      </c>
      <c r="L131" s="193">
        <f>SUMIF('BD VOLUME'!E:E,A131,'BD VOLUME'!R:R)</f>
        <v>0</v>
      </c>
      <c r="M131" s="193">
        <f>SUMIF('BD VOLUME'!E:E,A131,'BD VOLUME'!S:S)</f>
        <v>0</v>
      </c>
      <c r="N131" s="193">
        <f>SUMIF('BD VOLUME'!E:E,A131,'BD VOLUME'!T:T)</f>
        <v>0</v>
      </c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</row>
    <row r="132" spans="1:35">
      <c r="A132" s="188" t="s">
        <v>1732</v>
      </c>
      <c r="B132" s="192">
        <f>SUMIF('BD VOLUME'!$E:$E,A132,'BD VOLUME'!$J:$J)</f>
        <v>0</v>
      </c>
      <c r="C132" s="192">
        <f t="shared" si="35"/>
        <v>0</v>
      </c>
      <c r="D132" s="193">
        <f>IFERROR(SUMIF('BD VOLUME'!E:E,A132,'BD VOLUME'!F:F)/Preencher!$I$11,0)</f>
        <v>0</v>
      </c>
      <c r="E132" s="193">
        <f>SUMIF('BD VOLUME'!E:E,A132,'BD VOLUME'!N:N)*'BD VOLUME'!$C$3</f>
        <v>0</v>
      </c>
      <c r="F132" s="193">
        <f>SUMIF('BD VOLUME'!E:E,A132,'BD VOLUME'!N:N)</f>
        <v>0</v>
      </c>
      <c r="G132" s="193">
        <f>H132*'BD VOLUME'!$C$3</f>
        <v>0</v>
      </c>
      <c r="H132" s="193">
        <f t="shared" si="34"/>
        <v>0</v>
      </c>
      <c r="I132" s="193">
        <f>SUMIF('BD VOLUME'!E:E,A132,'BD VOLUME'!O:O)</f>
        <v>0</v>
      </c>
      <c r="J132" s="193">
        <f>SUMIF('BD VOLUME'!E:E,A132,'BD VOLUME'!P:P)</f>
        <v>0</v>
      </c>
      <c r="K132" s="193">
        <f>SUMIF('BD VOLUME'!E:E,A132,'BD VOLUME'!Q:Q)</f>
        <v>0</v>
      </c>
      <c r="L132" s="193">
        <f>SUMIF('BD VOLUME'!E:E,A132,'BD VOLUME'!R:R)</f>
        <v>0</v>
      </c>
      <c r="M132" s="193">
        <f>SUMIF('BD VOLUME'!E:E,A132,'BD VOLUME'!S:S)</f>
        <v>0</v>
      </c>
      <c r="N132" s="193">
        <f>SUMIF('BD VOLUME'!E:E,A132,'BD VOLUME'!T:T)</f>
        <v>0</v>
      </c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</row>
    <row r="133" spans="1:35">
      <c r="A133" s="188" t="s">
        <v>1733</v>
      </c>
      <c r="B133" s="192">
        <f>SUMIF('BD VOLUME'!$E:$E,A133,'BD VOLUME'!$J:$J)</f>
        <v>0</v>
      </c>
      <c r="C133" s="192">
        <f t="shared" si="35"/>
        <v>0</v>
      </c>
      <c r="D133" s="193">
        <f>IFERROR(SUMIF('BD VOLUME'!E:E,A133,'BD VOLUME'!F:F)/Preencher!$I$11,0)</f>
        <v>0</v>
      </c>
      <c r="E133" s="193">
        <f>SUMIF('BD VOLUME'!E:E,A133,'BD VOLUME'!N:N)*'BD VOLUME'!$C$3</f>
        <v>0</v>
      </c>
      <c r="F133" s="193">
        <f>SUMIF('BD VOLUME'!E:E,A133,'BD VOLUME'!N:N)</f>
        <v>0</v>
      </c>
      <c r="G133" s="193">
        <f>H133*'BD VOLUME'!$C$3</f>
        <v>0</v>
      </c>
      <c r="H133" s="193">
        <f t="shared" si="34"/>
        <v>0</v>
      </c>
      <c r="I133" s="193">
        <f>SUMIF('BD VOLUME'!E:E,A133,'BD VOLUME'!O:O)</f>
        <v>0</v>
      </c>
      <c r="J133" s="193">
        <f>SUMIF('BD VOLUME'!E:E,A133,'BD VOLUME'!P:P)</f>
        <v>0</v>
      </c>
      <c r="K133" s="193">
        <f>SUMIF('BD VOLUME'!E:E,A133,'BD VOLUME'!Q:Q)</f>
        <v>0</v>
      </c>
      <c r="L133" s="193">
        <f>SUMIF('BD VOLUME'!E:E,A133,'BD VOLUME'!R:R)</f>
        <v>0</v>
      </c>
      <c r="M133" s="193">
        <f>SUMIF('BD VOLUME'!E:E,A133,'BD VOLUME'!S:S)</f>
        <v>0</v>
      </c>
      <c r="N133" s="193">
        <f>SUMIF('BD VOLUME'!E:E,A133,'BD VOLUME'!T:T)</f>
        <v>0</v>
      </c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</row>
    <row r="134" spans="1:35">
      <c r="A134" s="188" t="s">
        <v>1852</v>
      </c>
      <c r="B134" s="192">
        <f>SUMIF('BD VOLUME'!$E:$E,A134,'BD VOLUME'!$J:$J)</f>
        <v>0</v>
      </c>
      <c r="C134" s="192">
        <f t="shared" si="35"/>
        <v>0</v>
      </c>
      <c r="D134" s="193">
        <f>IFERROR(SUMIF('BD VOLUME'!E:E,A134,'BD VOLUME'!F:F)/Preencher!$I$11,0)</f>
        <v>0</v>
      </c>
      <c r="E134" s="193">
        <f>SUMIF('BD VOLUME'!E:E,A134,'BD VOLUME'!N:N)*'BD VOLUME'!$C$3</f>
        <v>0</v>
      </c>
      <c r="F134" s="193">
        <f>SUMIF('BD VOLUME'!E:E,A134,'BD VOLUME'!N:N)</f>
        <v>0</v>
      </c>
      <c r="G134" s="193">
        <f>H134*'BD VOLUME'!$C$3</f>
        <v>0</v>
      </c>
      <c r="H134" s="193">
        <f t="shared" si="34"/>
        <v>0</v>
      </c>
      <c r="I134" s="193">
        <f>SUMIF('BD VOLUME'!E:E,A134,'BD VOLUME'!O:O)</f>
        <v>0</v>
      </c>
      <c r="J134" s="193">
        <f>SUMIF('BD VOLUME'!E:E,A134,'BD VOLUME'!P:P)</f>
        <v>0</v>
      </c>
      <c r="K134" s="193">
        <f>SUMIF('BD VOLUME'!E:E,A134,'BD VOLUME'!Q:Q)</f>
        <v>0</v>
      </c>
      <c r="L134" s="193">
        <f>SUMIF('BD VOLUME'!E:E,A134,'BD VOLUME'!R:R)</f>
        <v>0</v>
      </c>
      <c r="M134" s="193">
        <f>SUMIF('BD VOLUME'!E:E,A134,'BD VOLUME'!S:S)</f>
        <v>0</v>
      </c>
      <c r="N134" s="193">
        <f>SUMIF('BD VOLUME'!E:E,A134,'BD VOLUME'!T:T)</f>
        <v>0</v>
      </c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</row>
    <row r="135" spans="1:35">
      <c r="A135" s="188" t="s">
        <v>924</v>
      </c>
      <c r="B135" s="192">
        <f>SUMIF('BD VOLUME'!$E:$E,A135,'BD VOLUME'!$J:$J)</f>
        <v>0.92862962011073225</v>
      </c>
      <c r="C135" s="192">
        <f t="shared" si="35"/>
        <v>0.92862962011073225</v>
      </c>
      <c r="D135" s="193">
        <f>IFERROR(SUMIF('BD VOLUME'!E:E,A135,'BD VOLUME'!F:F)/Preencher!$I$11,0)</f>
        <v>30766.123636363642</v>
      </c>
      <c r="E135" s="193">
        <f>SUMIF('BD VOLUME'!E:E,A135,'BD VOLUME'!N:N)*'BD VOLUME'!$C$3</f>
        <v>30766.123636363642</v>
      </c>
      <c r="F135" s="193">
        <f>SUMIF('BD VOLUME'!E:E,A135,'BD VOLUME'!N:N)</f>
        <v>3213.1721813434615</v>
      </c>
      <c r="G135" s="193">
        <f>H135*'BD VOLUME'!$C$3</f>
        <v>2051.0749090909094</v>
      </c>
      <c r="H135" s="193">
        <f t="shared" ref="H135:H143" si="36">SUM(I135:M135)</f>
        <v>214.21147875623078</v>
      </c>
      <c r="I135" s="193">
        <f>SUMIF('BD VOLUME'!E:E,A135,'BD VOLUME'!O:O)</f>
        <v>0</v>
      </c>
      <c r="J135" s="193">
        <f>SUMIF('BD VOLUME'!E:E,A135,'BD VOLUME'!P:P)</f>
        <v>214.21147875623078</v>
      </c>
      <c r="K135" s="193">
        <f>SUMIF('BD VOLUME'!E:E,A135,'BD VOLUME'!Q:Q)</f>
        <v>0</v>
      </c>
      <c r="L135" s="193">
        <f>SUMIF('BD VOLUME'!E:E,A135,'BD VOLUME'!R:R)</f>
        <v>0</v>
      </c>
      <c r="M135" s="193">
        <f>SUMIF('BD VOLUME'!E:E,A135,'BD VOLUME'!S:S)</f>
        <v>0</v>
      </c>
      <c r="N135" s="193">
        <f>SUMIF('BD VOLUME'!E:E,A135,'BD VOLUME'!T:T)</f>
        <v>0</v>
      </c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</row>
    <row r="136" spans="1:35">
      <c r="A136" s="188" t="s">
        <v>1702</v>
      </c>
      <c r="B136" s="192">
        <f>SUMIF('BD VOLUME'!$E:$E,A136,'BD VOLUME'!$J:$J)</f>
        <v>0</v>
      </c>
      <c r="C136" s="192">
        <f t="shared" si="35"/>
        <v>0</v>
      </c>
      <c r="D136" s="193">
        <f>IFERROR(SUMIF('BD VOLUME'!E:E,A136,'BD VOLUME'!F:F)/Preencher!$I$11,0)</f>
        <v>0</v>
      </c>
      <c r="E136" s="193">
        <f>SUMIF('BD VOLUME'!E:E,A136,'BD VOLUME'!N:N)*'BD VOLUME'!$C$3</f>
        <v>0</v>
      </c>
      <c r="F136" s="193">
        <f>SUMIF('BD VOLUME'!E:E,A136,'BD VOLUME'!N:N)</f>
        <v>0</v>
      </c>
      <c r="G136" s="193">
        <f>H136*'BD VOLUME'!$C$3</f>
        <v>0</v>
      </c>
      <c r="H136" s="193">
        <f>SUM(I136:M136)</f>
        <v>0</v>
      </c>
      <c r="I136" s="193">
        <f>SUMIF('BD VOLUME'!E:E,A136,'BD VOLUME'!O:O)</f>
        <v>0</v>
      </c>
      <c r="J136" s="193">
        <f>SUMIF('BD VOLUME'!E:E,A136,'BD VOLUME'!P:P)</f>
        <v>0</v>
      </c>
      <c r="K136" s="193">
        <f>SUMIF('BD VOLUME'!E:E,A136,'BD VOLUME'!Q:Q)</f>
        <v>0</v>
      </c>
      <c r="L136" s="193">
        <f>SUMIF('BD VOLUME'!E:E,A136,'BD VOLUME'!R:R)</f>
        <v>0</v>
      </c>
      <c r="M136" s="193">
        <f>SUMIF('BD VOLUME'!E:E,A136,'BD VOLUME'!S:S)</f>
        <v>0</v>
      </c>
      <c r="N136" s="193">
        <f>SUMIF('BD VOLUME'!E:E,A136,'BD VOLUME'!T:T)</f>
        <v>0</v>
      </c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</row>
    <row r="137" spans="1:35">
      <c r="A137" s="188" t="s">
        <v>1634</v>
      </c>
      <c r="B137" s="192">
        <f>SUMIF('BD VOLUME'!$E:$E,A137,'BD VOLUME'!$J:$J)</f>
        <v>0</v>
      </c>
      <c r="C137" s="192">
        <f t="shared" si="35"/>
        <v>0</v>
      </c>
      <c r="D137" s="193">
        <f>IFERROR(SUMIF('BD VOLUME'!E:E,A137,'BD VOLUME'!F:F)/Preencher!$I$11,0)</f>
        <v>0</v>
      </c>
      <c r="E137" s="193">
        <f>SUMIF('BD VOLUME'!E:E,A137,'BD VOLUME'!N:N)*'BD VOLUME'!$C$3</f>
        <v>0</v>
      </c>
      <c r="F137" s="193">
        <f>SUMIF('BD VOLUME'!E:E,A137,'BD VOLUME'!N:N)</f>
        <v>0</v>
      </c>
      <c r="G137" s="193">
        <f>H137*'BD VOLUME'!$C$3</f>
        <v>0</v>
      </c>
      <c r="H137" s="193">
        <f t="shared" si="36"/>
        <v>0</v>
      </c>
      <c r="I137" s="193">
        <f>SUMIF('BD VOLUME'!E:E,A137,'BD VOLUME'!O:O)</f>
        <v>0</v>
      </c>
      <c r="J137" s="193">
        <f>SUMIF('BD VOLUME'!E:E,A137,'BD VOLUME'!P:P)</f>
        <v>0</v>
      </c>
      <c r="K137" s="193">
        <f>SUMIF('BD VOLUME'!E:E,A137,'BD VOLUME'!Q:Q)</f>
        <v>0</v>
      </c>
      <c r="L137" s="193">
        <f>SUMIF('BD VOLUME'!E:E,A137,'BD VOLUME'!R:R)</f>
        <v>0</v>
      </c>
      <c r="M137" s="193">
        <f>SUMIF('BD VOLUME'!E:E,A137,'BD VOLUME'!S:S)</f>
        <v>0</v>
      </c>
      <c r="N137" s="193">
        <f>SUMIF('BD VOLUME'!E:E,A137,'BD VOLUME'!T:T)</f>
        <v>0</v>
      </c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</row>
    <row r="138" spans="1:35">
      <c r="A138" s="188" t="s">
        <v>1635</v>
      </c>
      <c r="B138" s="192">
        <f>SUMIF('BD VOLUME'!$E:$E,A138,'BD VOLUME'!$J:$J)</f>
        <v>0</v>
      </c>
      <c r="C138" s="192">
        <f t="shared" si="35"/>
        <v>0</v>
      </c>
      <c r="D138" s="193">
        <f>IFERROR(SUMIF('BD VOLUME'!E:E,A138,'BD VOLUME'!F:F)/Preencher!$I$11,0)</f>
        <v>0</v>
      </c>
      <c r="E138" s="193">
        <f>SUMIF('BD VOLUME'!E:E,A138,'BD VOLUME'!N:N)*'BD VOLUME'!$C$3</f>
        <v>0</v>
      </c>
      <c r="F138" s="193">
        <f>SUMIF('BD VOLUME'!E:E,A138,'BD VOLUME'!N:N)</f>
        <v>0</v>
      </c>
      <c r="G138" s="193">
        <f>H138*'BD VOLUME'!$C$3</f>
        <v>0</v>
      </c>
      <c r="H138" s="193">
        <f t="shared" si="36"/>
        <v>0</v>
      </c>
      <c r="I138" s="193">
        <f>SUMIF('BD VOLUME'!E:E,A138,'BD VOLUME'!O:O)</f>
        <v>0</v>
      </c>
      <c r="J138" s="193">
        <f>SUMIF('BD VOLUME'!E:E,A138,'BD VOLUME'!P:P)</f>
        <v>0</v>
      </c>
      <c r="K138" s="193">
        <f>SUMIF('BD VOLUME'!E:E,A138,'BD VOLUME'!Q:Q)</f>
        <v>0</v>
      </c>
      <c r="L138" s="193">
        <f>SUMIF('BD VOLUME'!E:E,A138,'BD VOLUME'!R:R)</f>
        <v>0</v>
      </c>
      <c r="M138" s="193">
        <f>SUMIF('BD VOLUME'!E:E,A138,'BD VOLUME'!S:S)</f>
        <v>0</v>
      </c>
      <c r="N138" s="193">
        <v>0</v>
      </c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</row>
    <row r="139" spans="1:35">
      <c r="A139" s="188" t="s">
        <v>1700</v>
      </c>
      <c r="B139" s="192">
        <f>SUMIF('BD VOLUME'!$E:$E,A139,'BD VOLUME'!$J:$J)</f>
        <v>0</v>
      </c>
      <c r="C139" s="192">
        <f t="shared" si="35"/>
        <v>0</v>
      </c>
      <c r="D139" s="193">
        <f>IFERROR(SUMIF('BD VOLUME'!E:E,A139,'BD VOLUME'!F:F)/Preencher!$I$11,0)</f>
        <v>0</v>
      </c>
      <c r="E139" s="193">
        <f>SUMIF('BD VOLUME'!E:E,A139,'BD VOLUME'!N:N)*'BD VOLUME'!$C$3</f>
        <v>0</v>
      </c>
      <c r="F139" s="193">
        <f>SUMIF('BD VOLUME'!E:E,A139,'BD VOLUME'!N:N)</f>
        <v>0</v>
      </c>
      <c r="G139" s="193">
        <f>H139*'BD VOLUME'!$C$3</f>
        <v>0</v>
      </c>
      <c r="H139" s="193">
        <f t="shared" si="36"/>
        <v>0</v>
      </c>
      <c r="I139" s="193">
        <f>SUMIF('BD VOLUME'!E:E,A139,'BD VOLUME'!O:O)</f>
        <v>0</v>
      </c>
      <c r="J139" s="193">
        <f>SUMIF('BD VOLUME'!E:E,A139,'BD VOLUME'!P:P)</f>
        <v>0</v>
      </c>
      <c r="K139" s="193">
        <f>SUMIF('BD VOLUME'!E:E,A139,'BD VOLUME'!Q:Q)</f>
        <v>0</v>
      </c>
      <c r="L139" s="193">
        <f>SUMIF('BD VOLUME'!E:E,A139,'BD VOLUME'!R:R)</f>
        <v>0</v>
      </c>
      <c r="M139" s="193">
        <f>SUMIF('BD VOLUME'!E:E,A139,'BD VOLUME'!S:S)</f>
        <v>0</v>
      </c>
      <c r="N139" s="193">
        <f>SUMIF('BD VOLUME'!E:E,A139,'BD VOLUME'!T:T)</f>
        <v>0</v>
      </c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</row>
    <row r="140" spans="1:35">
      <c r="A140" s="188" t="s">
        <v>1701</v>
      </c>
      <c r="B140" s="192">
        <f>SUMIF('BD VOLUME'!$E:$E,A140,'BD VOLUME'!$J:$J)</f>
        <v>0</v>
      </c>
      <c r="C140" s="192">
        <f t="shared" si="35"/>
        <v>0</v>
      </c>
      <c r="D140" s="193">
        <f>IFERROR(SUMIF('BD VOLUME'!E:E,A140,'BD VOLUME'!F:F)/Preencher!$I$11,0)</f>
        <v>0</v>
      </c>
      <c r="E140" s="193">
        <f>SUMIF('BD VOLUME'!E:E,A140,'BD VOLUME'!N:N)*'BD VOLUME'!$C$3</f>
        <v>0</v>
      </c>
      <c r="F140" s="193">
        <f>SUMIF('BD VOLUME'!E:E,A140,'BD VOLUME'!N:N)</f>
        <v>0</v>
      </c>
      <c r="G140" s="193">
        <f>H140*'BD VOLUME'!$C$3</f>
        <v>0</v>
      </c>
      <c r="H140" s="193">
        <f>SUM(I140:M140)</f>
        <v>0</v>
      </c>
      <c r="I140" s="193">
        <f>SUMIF('BD VOLUME'!E:E,A140,'BD VOLUME'!O:O)</f>
        <v>0</v>
      </c>
      <c r="J140" s="193">
        <f>SUMIF('BD VOLUME'!E:E,A140,'BD VOLUME'!P:P)</f>
        <v>0</v>
      </c>
      <c r="K140" s="193">
        <f>SUMIF('BD VOLUME'!E:E,A140,'BD VOLUME'!Q:Q)</f>
        <v>0</v>
      </c>
      <c r="L140" s="193">
        <f>SUMIF('BD VOLUME'!E:E,A140,'BD VOLUME'!R:R)</f>
        <v>0</v>
      </c>
      <c r="M140" s="193">
        <f>SUMIF('BD VOLUME'!E:E,A140,'BD VOLUME'!S:S)</f>
        <v>0</v>
      </c>
      <c r="N140" s="193">
        <f>SUMIF('BD VOLUME'!E:E,A140,'BD VOLUME'!T:T)</f>
        <v>0</v>
      </c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</row>
    <row r="141" spans="1:35">
      <c r="A141" s="188" t="s">
        <v>1875</v>
      </c>
      <c r="B141" s="192">
        <f>SUMIF('BD VOLUME'!$E:$E,A141,'BD VOLUME'!$J:$J)</f>
        <v>0</v>
      </c>
      <c r="C141" s="192">
        <f t="shared" si="35"/>
        <v>0</v>
      </c>
      <c r="D141" s="193">
        <f>IFERROR(SUMIF('BD VOLUME'!E:E,A141,'BD VOLUME'!F:F)/Preencher!$I$11,0)</f>
        <v>0</v>
      </c>
      <c r="E141" s="193">
        <f>SUMIF('BD VOLUME'!E:E,A141,'BD VOLUME'!N:N)*'BD VOLUME'!$C$3</f>
        <v>0</v>
      </c>
      <c r="F141" s="193">
        <f>SUMIF('BD VOLUME'!E:E,A141,'BD VOLUME'!N:N)</f>
        <v>0</v>
      </c>
      <c r="G141" s="193">
        <f>H141*'BD VOLUME'!$C$3</f>
        <v>0</v>
      </c>
      <c r="H141" s="193">
        <f>SUM(I141:M141)</f>
        <v>0</v>
      </c>
      <c r="I141" s="193">
        <f>SUMIF('BD VOLUME'!E:E,A141,'BD VOLUME'!O:O)</f>
        <v>0</v>
      </c>
      <c r="J141" s="193">
        <f>SUMIF('BD VOLUME'!E:E,A141,'BD VOLUME'!P:P)</f>
        <v>0</v>
      </c>
      <c r="K141" s="193">
        <f>SUMIF('BD VOLUME'!E:E,A141,'BD VOLUME'!Q:Q)</f>
        <v>0</v>
      </c>
      <c r="L141" s="193">
        <f>SUMIF('BD VOLUME'!E:E,A141,'BD VOLUME'!R:R)</f>
        <v>0</v>
      </c>
      <c r="M141" s="193">
        <f>SUMIF('BD VOLUME'!E:E,A141,'BD VOLUME'!S:S)</f>
        <v>0</v>
      </c>
      <c r="N141" s="193">
        <f>SUMIF('BD VOLUME'!E:E,A141,'BD VOLUME'!T:T)</f>
        <v>0</v>
      </c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</row>
    <row r="142" spans="1:35">
      <c r="A142" s="188" t="s">
        <v>1081</v>
      </c>
      <c r="B142" s="192">
        <f>SUMIF('BD VOLUME'!$E:$E,A142,'BD VOLUME'!$J:$J)</f>
        <v>0</v>
      </c>
      <c r="C142" s="192">
        <f t="shared" si="35"/>
        <v>0</v>
      </c>
      <c r="D142" s="193">
        <f>IFERROR(SUMIF('BD VOLUME'!E:E,A142,'BD VOLUME'!F:F)/Preencher!$I$11,0)</f>
        <v>0</v>
      </c>
      <c r="E142" s="193">
        <f>SUMIF('BD VOLUME'!E:E,A142,'BD VOLUME'!N:N)*'BD VOLUME'!$C$3</f>
        <v>0</v>
      </c>
      <c r="F142" s="193">
        <f>SUMIF('BD VOLUME'!E:E,A142,'BD VOLUME'!N:N)</f>
        <v>0</v>
      </c>
      <c r="G142" s="193">
        <f>H142*'BD VOLUME'!$C$3</f>
        <v>0</v>
      </c>
      <c r="H142" s="193">
        <f t="shared" si="36"/>
        <v>0</v>
      </c>
      <c r="I142" s="193">
        <f>SUMIF('BD VOLUME'!E:E,A142,'BD VOLUME'!O:O)</f>
        <v>0</v>
      </c>
      <c r="J142" s="193">
        <f>SUMIF('BD VOLUME'!E:E,A142,'BD VOLUME'!P:P)</f>
        <v>0</v>
      </c>
      <c r="K142" s="193">
        <f>SUMIF('BD VOLUME'!E:E,A142,'BD VOLUME'!Q:Q)</f>
        <v>0</v>
      </c>
      <c r="L142" s="193">
        <f>SUMIF('BD VOLUME'!E:E,A142,'BD VOLUME'!R:R)</f>
        <v>0</v>
      </c>
      <c r="M142" s="193">
        <f>SUMIF('BD VOLUME'!E:E,A142,'BD VOLUME'!S:S)</f>
        <v>0</v>
      </c>
      <c r="N142" s="193">
        <f>SUMIF('BD VOLUME'!E:E,A142,'BD VOLUME'!T:T)</f>
        <v>0</v>
      </c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</row>
    <row r="143" spans="1:35">
      <c r="A143" s="188" t="s">
        <v>1082</v>
      </c>
      <c r="B143" s="192">
        <f>SUMIF('BD VOLUME'!$E:$E,A143,'BD VOLUME'!$J:$J)</f>
        <v>0</v>
      </c>
      <c r="C143" s="192">
        <f t="shared" si="35"/>
        <v>0</v>
      </c>
      <c r="D143" s="193">
        <f>IFERROR(SUMIF('BD VOLUME'!E:E,A143,'BD VOLUME'!F:F)/Preencher!$I$11,0)</f>
        <v>0</v>
      </c>
      <c r="E143" s="193">
        <f>SUMIF('BD VOLUME'!E:E,A143,'BD VOLUME'!N:N)*'BD VOLUME'!$C$3</f>
        <v>0</v>
      </c>
      <c r="F143" s="193">
        <f>SUMIF('BD VOLUME'!E:E,A143,'BD VOLUME'!N:N)</f>
        <v>0</v>
      </c>
      <c r="G143" s="193">
        <f>H143*'BD VOLUME'!$C$3</f>
        <v>0</v>
      </c>
      <c r="H143" s="193">
        <f t="shared" si="36"/>
        <v>0</v>
      </c>
      <c r="I143" s="193">
        <f>SUMIF('BD VOLUME'!E:E,A143,'BD VOLUME'!O:O)</f>
        <v>0</v>
      </c>
      <c r="J143" s="193">
        <f>SUMIF('BD VOLUME'!E:E,A143,'BD VOLUME'!P:P)</f>
        <v>0</v>
      </c>
      <c r="K143" s="193">
        <f>SUMIF('BD VOLUME'!E:E,A143,'BD VOLUME'!Q:Q)</f>
        <v>0</v>
      </c>
      <c r="L143" s="193">
        <f>SUMIF('BD VOLUME'!E:E,A143,'BD VOLUME'!R:R)</f>
        <v>0</v>
      </c>
      <c r="M143" s="193">
        <f>SUMIF('BD VOLUME'!E:E,A143,'BD VOLUME'!S:S)</f>
        <v>0</v>
      </c>
      <c r="N143" s="193">
        <f>SUMIF('BD VOLUME'!E:E,A143,'BD VOLUME'!T:T)</f>
        <v>0</v>
      </c>
    </row>
    <row r="144" spans="1:35">
      <c r="A144" s="145"/>
      <c r="B144" s="141"/>
      <c r="C144" s="139"/>
      <c r="D144" s="400"/>
      <c r="E144" s="400"/>
      <c r="F144" s="400"/>
      <c r="G144" s="400"/>
      <c r="H144" s="400"/>
      <c r="I144" s="400"/>
      <c r="J144" s="400"/>
      <c r="K144" s="400"/>
      <c r="L144" s="400"/>
      <c r="M144" s="400"/>
      <c r="N144" s="400"/>
    </row>
    <row r="145" spans="1:14">
      <c r="A145" s="191" t="s">
        <v>1632</v>
      </c>
      <c r="B145" s="190">
        <f>SUBTOTAL(9,B146:B162)</f>
        <v>0</v>
      </c>
      <c r="C145" s="190">
        <f>SUBTOTAL(9,C146:C162)</f>
        <v>0</v>
      </c>
      <c r="D145" s="187">
        <f>SUBTOTAL(9,D146:D162)</f>
        <v>0</v>
      </c>
      <c r="E145" s="187">
        <f t="shared" ref="E145:N145" si="37">SUM(E146:E162)</f>
        <v>0</v>
      </c>
      <c r="F145" s="187">
        <f t="shared" si="37"/>
        <v>0</v>
      </c>
      <c r="G145" s="187">
        <f t="shared" si="37"/>
        <v>0</v>
      </c>
      <c r="H145" s="187">
        <f t="shared" si="37"/>
        <v>0</v>
      </c>
      <c r="I145" s="187">
        <f t="shared" si="37"/>
        <v>0</v>
      </c>
      <c r="J145" s="187">
        <f t="shared" si="37"/>
        <v>0</v>
      </c>
      <c r="K145" s="187">
        <f t="shared" si="37"/>
        <v>0</v>
      </c>
      <c r="L145" s="187">
        <f t="shared" si="37"/>
        <v>0</v>
      </c>
      <c r="M145" s="187">
        <f t="shared" si="37"/>
        <v>0</v>
      </c>
      <c r="N145" s="187">
        <f t="shared" si="37"/>
        <v>0</v>
      </c>
    </row>
    <row r="146" spans="1:14">
      <c r="A146" s="188" t="s">
        <v>1648</v>
      </c>
      <c r="B146" s="192">
        <f>SUMIF('BD VOLUME'!$E:$E,A146,'BD VOLUME'!$J:$J)</f>
        <v>0</v>
      </c>
      <c r="C146" s="192">
        <f t="shared" ref="C146:C161" si="38">IFERROR(B146/$B$145,0)</f>
        <v>0</v>
      </c>
      <c r="D146" s="193">
        <f>IFERROR(SUMIF('BD VOLUME'!E:E,A146,'BD VOLUME'!F:F)/Preencher!$I$11,0)</f>
        <v>0</v>
      </c>
      <c r="E146" s="193">
        <f>SUMIF('BD VOLUME'!E:E,A146,'BD VOLUME'!N:N)*'BD VOLUME'!$C$3</f>
        <v>0</v>
      </c>
      <c r="F146" s="193">
        <f>SUMIF('BD VOLUME'!E:E,A146,'BD VOLUME'!N:N)</f>
        <v>0</v>
      </c>
      <c r="G146" s="193">
        <f>H146*'BD VOLUME'!$C$3</f>
        <v>0</v>
      </c>
      <c r="H146" s="193">
        <f t="shared" ref="H146:H159" si="39">SUM(I146:M146)</f>
        <v>0</v>
      </c>
      <c r="I146" s="193">
        <f>SUMIF('BD VOLUME'!E:E,A146,'BD VOLUME'!O:O)</f>
        <v>0</v>
      </c>
      <c r="J146" s="193">
        <f>SUMIF('BD VOLUME'!E:E,A146,'BD VOLUME'!P:P)</f>
        <v>0</v>
      </c>
      <c r="K146" s="193">
        <f>SUMIF('BD VOLUME'!E:E,A146,'BD VOLUME'!Q:Q)</f>
        <v>0</v>
      </c>
      <c r="L146" s="193">
        <f>SUMIF('BD VOLUME'!E:E,A146,'BD VOLUME'!R:R)</f>
        <v>0</v>
      </c>
      <c r="M146" s="193">
        <f>SUMIF('BD VOLUME'!E:E,A146,'BD VOLUME'!S:S)</f>
        <v>0</v>
      </c>
      <c r="N146" s="193">
        <f>SUMIF('BD VOLUME'!E:E,A146,'BD VOLUME'!T:T)</f>
        <v>0</v>
      </c>
    </row>
    <row r="147" spans="1:14">
      <c r="A147" s="188" t="s">
        <v>2409</v>
      </c>
      <c r="B147" s="192">
        <f>SUMIF('BD VOLUME'!$E:$E,A147,'BD VOLUME'!$J:$J)</f>
        <v>0</v>
      </c>
      <c r="C147" s="192">
        <f t="shared" si="38"/>
        <v>0</v>
      </c>
      <c r="D147" s="193">
        <f>IFERROR(SUMIF('BD VOLUME'!E:E,A147,'BD VOLUME'!F:F)/Preencher!$I$11,0)</f>
        <v>0</v>
      </c>
      <c r="E147" s="193">
        <f>SUMIF('BD VOLUME'!E:E,A147,'BD VOLUME'!N:N)*'BD VOLUME'!$C$3</f>
        <v>0</v>
      </c>
      <c r="F147" s="193">
        <f>SUMIF('BD VOLUME'!E:E,A147,'BD VOLUME'!N:N)</f>
        <v>0</v>
      </c>
      <c r="G147" s="193">
        <f>H147*'BD VOLUME'!$C$3</f>
        <v>0</v>
      </c>
      <c r="H147" s="193">
        <f>SUM(I147:M147)</f>
        <v>0</v>
      </c>
      <c r="I147" s="193">
        <f>SUMIF('BD VOLUME'!E:E,A147,'BD VOLUME'!O:O)</f>
        <v>0</v>
      </c>
      <c r="J147" s="193">
        <f>SUMIF('BD VOLUME'!E:E,A147,'BD VOLUME'!P:P)</f>
        <v>0</v>
      </c>
      <c r="K147" s="193">
        <f>SUMIF('BD VOLUME'!E:E,A147,'BD VOLUME'!Q:Q)</f>
        <v>0</v>
      </c>
      <c r="L147" s="193">
        <f>SUMIF('BD VOLUME'!E:E,A147,'BD VOLUME'!R:R)</f>
        <v>0</v>
      </c>
      <c r="M147" s="193">
        <f>SUMIF('BD VOLUME'!E:E,A147,'BD VOLUME'!S:S)</f>
        <v>0</v>
      </c>
      <c r="N147" s="193">
        <f>SUMIF('BD VOLUME'!E:E,A147,'BD VOLUME'!T:T)</f>
        <v>0</v>
      </c>
    </row>
    <row r="148" spans="1:14">
      <c r="A148" s="188" t="s">
        <v>1649</v>
      </c>
      <c r="B148" s="192">
        <f>SUMIF('BD VOLUME'!$E:$E,A148,'BD VOLUME'!$J:$J)</f>
        <v>0</v>
      </c>
      <c r="C148" s="192">
        <f t="shared" si="38"/>
        <v>0</v>
      </c>
      <c r="D148" s="193">
        <f>IFERROR(SUMIF('BD VOLUME'!E:E,A148,'BD VOLUME'!F:F)/Preencher!$I$11,0)</f>
        <v>0</v>
      </c>
      <c r="E148" s="193">
        <f>SUMIF('BD VOLUME'!E:E,A148,'BD VOLUME'!N:N)*'BD VOLUME'!$C$3</f>
        <v>0</v>
      </c>
      <c r="F148" s="193">
        <f>SUMIF('BD VOLUME'!E:E,A148,'BD VOLUME'!N:N)</f>
        <v>0</v>
      </c>
      <c r="G148" s="193">
        <f>H148*'BD VOLUME'!$C$3</f>
        <v>0</v>
      </c>
      <c r="H148" s="193">
        <f t="shared" si="39"/>
        <v>0</v>
      </c>
      <c r="I148" s="193">
        <f>SUMIF('BD VOLUME'!E:E,A148,'BD VOLUME'!O:O)</f>
        <v>0</v>
      </c>
      <c r="J148" s="193">
        <f>SUMIF('BD VOLUME'!E:E,A148,'BD VOLUME'!P:P)</f>
        <v>0</v>
      </c>
      <c r="K148" s="193">
        <f>SUMIF('BD VOLUME'!E:E,A148,'BD VOLUME'!Q:Q)</f>
        <v>0</v>
      </c>
      <c r="L148" s="193">
        <f>SUMIF('BD VOLUME'!E:E,A148,'BD VOLUME'!R:R)</f>
        <v>0</v>
      </c>
      <c r="M148" s="193">
        <f>SUMIF('BD VOLUME'!E:E,A148,'BD VOLUME'!S:S)</f>
        <v>0</v>
      </c>
      <c r="N148" s="193">
        <f>SUMIF('BD VOLUME'!E:E,A148,'BD VOLUME'!T:T)</f>
        <v>0</v>
      </c>
    </row>
    <row r="149" spans="1:14">
      <c r="A149" s="188" t="s">
        <v>1650</v>
      </c>
      <c r="B149" s="192">
        <f>SUMIF('BD VOLUME'!$E:$E,A149,'BD VOLUME'!$J:$J)</f>
        <v>0</v>
      </c>
      <c r="C149" s="192">
        <f t="shared" si="38"/>
        <v>0</v>
      </c>
      <c r="D149" s="193">
        <f>IFERROR(SUMIF('BD VOLUME'!E:E,A149,'BD VOLUME'!F:F)/Preencher!$I$11,0)</f>
        <v>0</v>
      </c>
      <c r="E149" s="193">
        <f>SUMIF('BD VOLUME'!E:E,A149,'BD VOLUME'!N:N)*'BD VOLUME'!$C$3</f>
        <v>0</v>
      </c>
      <c r="F149" s="193">
        <f>SUMIF('BD VOLUME'!E:E,A149,'BD VOLUME'!N:N)</f>
        <v>0</v>
      </c>
      <c r="G149" s="193">
        <f>H149*'BD VOLUME'!$C$3</f>
        <v>0</v>
      </c>
      <c r="H149" s="193">
        <f>SUM(I149:M149)</f>
        <v>0</v>
      </c>
      <c r="I149" s="193">
        <f>SUMIF('BD VOLUME'!E:E,A149,'BD VOLUME'!O:O)</f>
        <v>0</v>
      </c>
      <c r="J149" s="193">
        <f>SUMIF('BD VOLUME'!E:E,A149,'BD VOLUME'!P:P)</f>
        <v>0</v>
      </c>
      <c r="K149" s="193">
        <f>SUMIF('BD VOLUME'!E:E,A149,'BD VOLUME'!Q:Q)</f>
        <v>0</v>
      </c>
      <c r="L149" s="193">
        <f>SUMIF('BD VOLUME'!E:E,A149,'BD VOLUME'!R:R)</f>
        <v>0</v>
      </c>
      <c r="M149" s="193">
        <f>SUMIF('BD VOLUME'!E:E,A149,'BD VOLUME'!S:S)</f>
        <v>0</v>
      </c>
      <c r="N149" s="193">
        <f>SUMIF('BD VOLUME'!E:E,A149,'BD VOLUME'!T:T)</f>
        <v>0</v>
      </c>
    </row>
    <row r="150" spans="1:14">
      <c r="A150" s="188" t="s">
        <v>1651</v>
      </c>
      <c r="B150" s="192">
        <f>SUMIF('BD VOLUME'!$E:$E,A150,'BD VOLUME'!$J:$J)</f>
        <v>0</v>
      </c>
      <c r="C150" s="192">
        <f t="shared" si="38"/>
        <v>0</v>
      </c>
      <c r="D150" s="193">
        <f>IFERROR(SUMIF('BD VOLUME'!E:E,A150,'BD VOLUME'!F:F)/Preencher!$I$11,0)</f>
        <v>0</v>
      </c>
      <c r="E150" s="193">
        <f>SUMIF('BD VOLUME'!E:E,A150,'BD VOLUME'!N:N)*'BD VOLUME'!$C$3</f>
        <v>0</v>
      </c>
      <c r="F150" s="193">
        <f>SUMIF('BD VOLUME'!E:E,A150,'BD VOLUME'!N:N)</f>
        <v>0</v>
      </c>
      <c r="G150" s="193">
        <f>H150*'BD VOLUME'!$C$3</f>
        <v>0</v>
      </c>
      <c r="H150" s="193">
        <f t="shared" si="39"/>
        <v>0</v>
      </c>
      <c r="I150" s="193">
        <f>SUMIF('BD VOLUME'!E:E,A150,'BD VOLUME'!O:O)</f>
        <v>0</v>
      </c>
      <c r="J150" s="193">
        <f>SUMIF('BD VOLUME'!E:E,A150,'BD VOLUME'!P:P)</f>
        <v>0</v>
      </c>
      <c r="K150" s="193">
        <f>SUMIF('BD VOLUME'!E:E,A150,'BD VOLUME'!Q:Q)</f>
        <v>0</v>
      </c>
      <c r="L150" s="193">
        <f>SUMIF('BD VOLUME'!E:E,A150,'BD VOLUME'!R:R)</f>
        <v>0</v>
      </c>
      <c r="M150" s="193">
        <f>SUMIF('BD VOLUME'!E:E,A150,'BD VOLUME'!S:S)</f>
        <v>0</v>
      </c>
      <c r="N150" s="193">
        <f>SUMIF('BD VOLUME'!E:E,A150,'BD VOLUME'!T:T)</f>
        <v>0</v>
      </c>
    </row>
    <row r="151" spans="1:14">
      <c r="A151" s="188" t="s">
        <v>1652</v>
      </c>
      <c r="B151" s="192">
        <f>SUMIF('BD VOLUME'!$E:$E,A151,'BD VOLUME'!$J:$J)</f>
        <v>0</v>
      </c>
      <c r="C151" s="192">
        <f t="shared" si="38"/>
        <v>0</v>
      </c>
      <c r="D151" s="193">
        <f>IFERROR(SUMIF('BD VOLUME'!E:E,A151,'BD VOLUME'!F:F)/Preencher!$I$11,0)</f>
        <v>0</v>
      </c>
      <c r="E151" s="193">
        <f>SUMIF('BD VOLUME'!E:E,A151,'BD VOLUME'!N:N)*'BD VOLUME'!$C$3</f>
        <v>0</v>
      </c>
      <c r="F151" s="193">
        <f>SUMIF('BD VOLUME'!E:E,A151,'BD VOLUME'!N:N)</f>
        <v>0</v>
      </c>
      <c r="G151" s="193">
        <f>H151*'BD VOLUME'!$C$3</f>
        <v>0</v>
      </c>
      <c r="H151" s="193">
        <f t="shared" si="39"/>
        <v>0</v>
      </c>
      <c r="I151" s="193">
        <f>SUMIF('BD VOLUME'!E:E,A151,'BD VOLUME'!O:O)</f>
        <v>0</v>
      </c>
      <c r="J151" s="193">
        <f>SUMIF('BD VOLUME'!E:E,A151,'BD VOLUME'!P:P)</f>
        <v>0</v>
      </c>
      <c r="K151" s="193">
        <f>SUMIF('BD VOLUME'!E:E,A151,'BD VOLUME'!Q:Q)</f>
        <v>0</v>
      </c>
      <c r="L151" s="193">
        <f>SUMIF('BD VOLUME'!E:E,A151,'BD VOLUME'!R:R)</f>
        <v>0</v>
      </c>
      <c r="M151" s="193">
        <f>SUMIF('BD VOLUME'!E:E,A151,'BD VOLUME'!S:S)</f>
        <v>0</v>
      </c>
      <c r="N151" s="193">
        <f>SUMIF('BD VOLUME'!E:E,A151,'BD VOLUME'!T:T)</f>
        <v>0</v>
      </c>
    </row>
    <row r="152" spans="1:14">
      <c r="A152" s="188" t="s">
        <v>1653</v>
      </c>
      <c r="B152" s="192">
        <f>SUMIF('BD VOLUME'!$E:$E,A152,'BD VOLUME'!$J:$J)</f>
        <v>0</v>
      </c>
      <c r="C152" s="192">
        <f t="shared" si="38"/>
        <v>0</v>
      </c>
      <c r="D152" s="193">
        <f>IFERROR(SUMIF('BD VOLUME'!E:E,A152,'BD VOLUME'!F:F)/Preencher!$I$11,0)</f>
        <v>0</v>
      </c>
      <c r="E152" s="193">
        <f>SUMIF('BD VOLUME'!E:E,A152,'BD VOLUME'!N:N)*'BD VOLUME'!$C$3</f>
        <v>0</v>
      </c>
      <c r="F152" s="193">
        <f>SUMIF('BD VOLUME'!E:E,A152,'BD VOLUME'!N:N)</f>
        <v>0</v>
      </c>
      <c r="G152" s="193">
        <f>H152*'BD VOLUME'!$C$3</f>
        <v>0</v>
      </c>
      <c r="H152" s="193">
        <f t="shared" si="39"/>
        <v>0</v>
      </c>
      <c r="I152" s="193">
        <f>SUMIF('BD VOLUME'!E:E,A152,'BD VOLUME'!O:O)</f>
        <v>0</v>
      </c>
      <c r="J152" s="193">
        <f>SUMIF('BD VOLUME'!E:E,A152,'BD VOLUME'!P:P)</f>
        <v>0</v>
      </c>
      <c r="K152" s="193">
        <f>SUMIF('BD VOLUME'!E:E,A152,'BD VOLUME'!Q:Q)</f>
        <v>0</v>
      </c>
      <c r="L152" s="193">
        <f>SUMIF('BD VOLUME'!E:E,A152,'BD VOLUME'!R:R)</f>
        <v>0</v>
      </c>
      <c r="M152" s="193">
        <f>SUMIF('BD VOLUME'!E:E,A152,'BD VOLUME'!S:S)</f>
        <v>0</v>
      </c>
      <c r="N152" s="193">
        <f>SUMIF('BD VOLUME'!E:E,A152,'BD VOLUME'!T:T)</f>
        <v>0</v>
      </c>
    </row>
    <row r="153" spans="1:14">
      <c r="A153" s="188" t="s">
        <v>2565</v>
      </c>
      <c r="B153" s="192">
        <f>SUMIF('BD VOLUME'!$E:$E,A153,'BD VOLUME'!$J:$J)</f>
        <v>0</v>
      </c>
      <c r="C153" s="192">
        <f t="shared" si="38"/>
        <v>0</v>
      </c>
      <c r="D153" s="193">
        <f>IFERROR(SUMIF('BD VOLUME'!E:E,A153,'BD VOLUME'!F:F)/Preencher!$I$11,0)</f>
        <v>0</v>
      </c>
      <c r="E153" s="193">
        <f>SUMIF('BD VOLUME'!E:E,A153,'BD VOLUME'!N:N)*'BD VOLUME'!$C$3</f>
        <v>0</v>
      </c>
      <c r="F153" s="193">
        <f>SUMIF('BD VOLUME'!E:E,A153,'BD VOLUME'!N:N)</f>
        <v>0</v>
      </c>
      <c r="G153" s="193">
        <f>H153*'BD VOLUME'!$C$3</f>
        <v>0</v>
      </c>
      <c r="H153" s="193">
        <f>SUM(I153:M153)</f>
        <v>0</v>
      </c>
      <c r="I153" s="193">
        <f>SUMIF('BD VOLUME'!E:E,A153,'BD VOLUME'!O:O)</f>
        <v>0</v>
      </c>
      <c r="J153" s="193">
        <f>SUMIF('BD VOLUME'!E:E,A153,'BD VOLUME'!P:P)</f>
        <v>0</v>
      </c>
      <c r="K153" s="193">
        <f>SUMIF('BD VOLUME'!E:E,A153,'BD VOLUME'!Q:Q)</f>
        <v>0</v>
      </c>
      <c r="L153" s="193">
        <f>SUMIF('BD VOLUME'!E:E,A153,'BD VOLUME'!R:R)</f>
        <v>0</v>
      </c>
      <c r="M153" s="193">
        <f>SUMIF('BD VOLUME'!E:E,A153,'BD VOLUME'!S:S)</f>
        <v>0</v>
      </c>
      <c r="N153" s="193">
        <f>SUMIF('BD VOLUME'!E:E,A153,'BD VOLUME'!T:T)</f>
        <v>0</v>
      </c>
    </row>
    <row r="154" spans="1:14">
      <c r="A154" s="188" t="s">
        <v>1654</v>
      </c>
      <c r="B154" s="192">
        <f>SUMIF('BD VOLUME'!$E:$E,A154,'BD VOLUME'!$J:$J)</f>
        <v>0</v>
      </c>
      <c r="C154" s="192">
        <f t="shared" si="38"/>
        <v>0</v>
      </c>
      <c r="D154" s="193">
        <f>IFERROR(SUMIF('BD VOLUME'!E:E,A154,'BD VOLUME'!F:F)/Preencher!$I$11,0)</f>
        <v>0</v>
      </c>
      <c r="E154" s="193">
        <f>SUMIF('BD VOLUME'!E:E,A154,'BD VOLUME'!N:N)*'BD VOLUME'!$C$3</f>
        <v>0</v>
      </c>
      <c r="F154" s="193">
        <f>SUMIF('BD VOLUME'!E:E,A154,'BD VOLUME'!N:N)</f>
        <v>0</v>
      </c>
      <c r="G154" s="193">
        <f>H154*'BD VOLUME'!$C$3</f>
        <v>0</v>
      </c>
      <c r="H154" s="193">
        <f>SUM(I154:M154)</f>
        <v>0</v>
      </c>
      <c r="I154" s="193">
        <f>SUMIF('BD VOLUME'!E:E,A154,'BD VOLUME'!O:O)</f>
        <v>0</v>
      </c>
      <c r="J154" s="193">
        <f>SUMIF('BD VOLUME'!E:E,A154,'BD VOLUME'!P:P)</f>
        <v>0</v>
      </c>
      <c r="K154" s="193">
        <f>SUMIF('BD VOLUME'!E:E,A154,'BD VOLUME'!Q:Q)</f>
        <v>0</v>
      </c>
      <c r="L154" s="193">
        <f>SUMIF('BD VOLUME'!E:E,A154,'BD VOLUME'!R:R)</f>
        <v>0</v>
      </c>
      <c r="M154" s="193">
        <f>SUMIF('BD VOLUME'!E:E,A154,'BD VOLUME'!S:S)</f>
        <v>0</v>
      </c>
      <c r="N154" s="193">
        <f>SUMIF('BD VOLUME'!E:E,A154,'BD VOLUME'!T:T)</f>
        <v>0</v>
      </c>
    </row>
    <row r="155" spans="1:14">
      <c r="A155" s="188" t="s">
        <v>1792</v>
      </c>
      <c r="B155" s="192">
        <f>SUMIF('BD VOLUME'!$E:$E,A155,'BD VOLUME'!$J:$J)</f>
        <v>0</v>
      </c>
      <c r="C155" s="192">
        <f t="shared" si="38"/>
        <v>0</v>
      </c>
      <c r="D155" s="193">
        <f>IFERROR(SUMIF('BD VOLUME'!E:E,A155,'BD VOLUME'!F:F)/Preencher!$I$11,0)</f>
        <v>0</v>
      </c>
      <c r="E155" s="193">
        <f>SUMIF('BD VOLUME'!E:E,A155,'BD VOLUME'!N:N)*'BD VOLUME'!$C$3</f>
        <v>0</v>
      </c>
      <c r="F155" s="193">
        <f>SUMIF('BD VOLUME'!E:E,A155,'BD VOLUME'!N:N)</f>
        <v>0</v>
      </c>
      <c r="G155" s="193">
        <f>H155*'BD VOLUME'!$C$3</f>
        <v>0</v>
      </c>
      <c r="H155" s="193">
        <f>SUM(I155:M155)</f>
        <v>0</v>
      </c>
      <c r="I155" s="193">
        <f>SUMIF('BD VOLUME'!E:E,A155,'BD VOLUME'!O:O)</f>
        <v>0</v>
      </c>
      <c r="J155" s="193">
        <f>SUMIF('BD VOLUME'!E:E,A155,'BD VOLUME'!P:P)</f>
        <v>0</v>
      </c>
      <c r="K155" s="193">
        <f>SUMIF('BD VOLUME'!E:E,A155,'BD VOLUME'!Q:Q)</f>
        <v>0</v>
      </c>
      <c r="L155" s="193">
        <f>SUMIF('BD VOLUME'!E:E,A155,'BD VOLUME'!R:R)</f>
        <v>0</v>
      </c>
      <c r="M155" s="193">
        <f>SUMIF('BD VOLUME'!E:E,A155,'BD VOLUME'!S:S)</f>
        <v>0</v>
      </c>
      <c r="N155" s="193">
        <f>SUMIF('BD VOLUME'!E:E,A155,'BD VOLUME'!T:T)</f>
        <v>0</v>
      </c>
    </row>
    <row r="156" spans="1:14">
      <c r="A156" s="188" t="s">
        <v>1876</v>
      </c>
      <c r="B156" s="192">
        <f>SUMIF('BD VOLUME'!$E:$E,A156,'BD VOLUME'!$J:$J)</f>
        <v>0</v>
      </c>
      <c r="C156" s="192">
        <f t="shared" si="38"/>
        <v>0</v>
      </c>
      <c r="D156" s="193">
        <f>IFERROR(SUMIF('BD VOLUME'!E:E,A156,'BD VOLUME'!F:F)/Preencher!$I$11,0)</f>
        <v>0</v>
      </c>
      <c r="E156" s="193">
        <f>SUMIF('BD VOLUME'!E:E,A156,'BD VOLUME'!N:N)*'BD VOLUME'!$C$3</f>
        <v>0</v>
      </c>
      <c r="F156" s="193">
        <f>SUMIF('BD VOLUME'!E:E,A156,'BD VOLUME'!N:N)</f>
        <v>0</v>
      </c>
      <c r="G156" s="193">
        <f>H156*'BD VOLUME'!$C$3</f>
        <v>0</v>
      </c>
      <c r="H156" s="193">
        <f>SUM(I156:M156)</f>
        <v>0</v>
      </c>
      <c r="I156" s="193">
        <f>SUMIF('BD VOLUME'!E:E,A156,'BD VOLUME'!O:O)</f>
        <v>0</v>
      </c>
      <c r="J156" s="193">
        <f>SUMIF('BD VOLUME'!E:E,A156,'BD VOLUME'!P:P)</f>
        <v>0</v>
      </c>
      <c r="K156" s="193">
        <f>SUMIF('BD VOLUME'!E:E,A156,'BD VOLUME'!Q:Q)</f>
        <v>0</v>
      </c>
      <c r="L156" s="193">
        <f>SUMIF('BD VOLUME'!E:E,A156,'BD VOLUME'!R:R)</f>
        <v>0</v>
      </c>
      <c r="M156" s="193">
        <f>SUMIF('BD VOLUME'!E:E,A156,'BD VOLUME'!S:S)</f>
        <v>0</v>
      </c>
      <c r="N156" s="193">
        <f>SUMIF('BD VOLUME'!E:E,A156,'BD VOLUME'!T:T)</f>
        <v>0</v>
      </c>
    </row>
    <row r="157" spans="1:14">
      <c r="A157" s="188" t="s">
        <v>1655</v>
      </c>
      <c r="B157" s="192">
        <f>SUMIF('BD VOLUME'!$E:$E,A157,'BD VOLUME'!$J:$J)</f>
        <v>0</v>
      </c>
      <c r="C157" s="192">
        <f t="shared" si="38"/>
        <v>0</v>
      </c>
      <c r="D157" s="193">
        <f>IFERROR(SUMIF('BD VOLUME'!E:E,A157,'BD VOLUME'!F:F)/Preencher!$I$11,0)</f>
        <v>0</v>
      </c>
      <c r="E157" s="193">
        <f>SUMIF('BD VOLUME'!E:E,A157,'BD VOLUME'!N:N)*'BD VOLUME'!$C$3</f>
        <v>0</v>
      </c>
      <c r="F157" s="193">
        <f>SUMIF('BD VOLUME'!E:E,A157,'BD VOLUME'!N:N)</f>
        <v>0</v>
      </c>
      <c r="G157" s="193">
        <f>H157*'BD VOLUME'!$C$3</f>
        <v>0</v>
      </c>
      <c r="H157" s="193">
        <f t="shared" si="39"/>
        <v>0</v>
      </c>
      <c r="I157" s="193">
        <f>SUMIF('BD VOLUME'!E:E,A157,'BD VOLUME'!O:O)</f>
        <v>0</v>
      </c>
      <c r="J157" s="193">
        <f>SUMIF('BD VOLUME'!E:E,A157,'BD VOLUME'!P:P)</f>
        <v>0</v>
      </c>
      <c r="K157" s="193">
        <f>SUMIF('BD VOLUME'!E:E,A157,'BD VOLUME'!Q:Q)</f>
        <v>0</v>
      </c>
      <c r="L157" s="193">
        <f>SUMIF('BD VOLUME'!E:E,A157,'BD VOLUME'!R:R)</f>
        <v>0</v>
      </c>
      <c r="M157" s="193">
        <f>SUMIF('BD VOLUME'!E:E,A157,'BD VOLUME'!S:S)</f>
        <v>0</v>
      </c>
      <c r="N157" s="193">
        <f>SUMIF('BD VOLUME'!E:E,A157,'BD VOLUME'!T:T)</f>
        <v>0</v>
      </c>
    </row>
    <row r="158" spans="1:14">
      <c r="A158" s="188" t="s">
        <v>2671</v>
      </c>
      <c r="B158" s="192">
        <f>SUMIF('BD VOLUME'!$E:$E,A158,'BD VOLUME'!$J:$J)</f>
        <v>0</v>
      </c>
      <c r="C158" s="192">
        <f t="shared" si="38"/>
        <v>0</v>
      </c>
      <c r="D158" s="193">
        <f>IFERROR(SUMIF('BD VOLUME'!E:E,A158,'BD VOLUME'!F:F)/Preencher!$I$11,0)</f>
        <v>0</v>
      </c>
      <c r="E158" s="193">
        <f>SUMIF('BD VOLUME'!E:E,A158,'BD VOLUME'!N:N)*'BD VOLUME'!$C$3</f>
        <v>0</v>
      </c>
      <c r="F158" s="193">
        <f>SUMIF('BD VOLUME'!E:E,A158,'BD VOLUME'!N:N)</f>
        <v>0</v>
      </c>
      <c r="G158" s="193">
        <f>H158*'BD VOLUME'!$C$3</f>
        <v>0</v>
      </c>
      <c r="H158" s="193">
        <f>SUM(I158:M158)</f>
        <v>0</v>
      </c>
      <c r="I158" s="193">
        <f>SUMIF('BD VOLUME'!E:E,A158,'BD VOLUME'!O:O)</f>
        <v>0</v>
      </c>
      <c r="J158" s="193">
        <f>SUMIF('BD VOLUME'!E:E,A158,'BD VOLUME'!P:P)</f>
        <v>0</v>
      </c>
      <c r="K158" s="193">
        <f>SUMIF('BD VOLUME'!E:E,A158,'BD VOLUME'!Q:Q)</f>
        <v>0</v>
      </c>
      <c r="L158" s="193">
        <f>SUMIF('BD VOLUME'!E:E,A158,'BD VOLUME'!R:R)</f>
        <v>0</v>
      </c>
      <c r="M158" s="193">
        <f>SUMIF('BD VOLUME'!E:E,A158,'BD VOLUME'!S:S)</f>
        <v>0</v>
      </c>
      <c r="N158" s="193">
        <f>SUMIF('BD VOLUME'!E:E,A158,'BD VOLUME'!T:T)</f>
        <v>0</v>
      </c>
    </row>
    <row r="159" spans="1:14">
      <c r="A159" s="188" t="s">
        <v>2126</v>
      </c>
      <c r="B159" s="192">
        <f>SUMIF('BD VOLUME'!$E:$E,A159,'BD VOLUME'!$J:$J)</f>
        <v>0</v>
      </c>
      <c r="C159" s="192">
        <f t="shared" si="38"/>
        <v>0</v>
      </c>
      <c r="D159" s="193">
        <f>IFERROR(SUMIF('BD VOLUME'!E:E,A159,'BD VOLUME'!F:F)/Preencher!$I$11,0)</f>
        <v>0</v>
      </c>
      <c r="E159" s="193">
        <f>SUMIF('BD VOLUME'!E:E,A159,'BD VOLUME'!N:N)*'BD VOLUME'!$C$3</f>
        <v>0</v>
      </c>
      <c r="F159" s="193">
        <f>SUMIF('BD VOLUME'!E:E,A159,'BD VOLUME'!N:N)</f>
        <v>0</v>
      </c>
      <c r="G159" s="193">
        <f>H159*'BD VOLUME'!$C$3</f>
        <v>0</v>
      </c>
      <c r="H159" s="193">
        <f t="shared" si="39"/>
        <v>0</v>
      </c>
      <c r="I159" s="193">
        <f>SUMIF('BD VOLUME'!E:E,A159,'BD VOLUME'!O:O)</f>
        <v>0</v>
      </c>
      <c r="J159" s="193">
        <f>SUMIF('BD VOLUME'!E:E,A159,'BD VOLUME'!P:P)</f>
        <v>0</v>
      </c>
      <c r="K159" s="193">
        <f>SUMIF('BD VOLUME'!E:E,A159,'BD VOLUME'!Q:Q)</f>
        <v>0</v>
      </c>
      <c r="L159" s="193">
        <f>SUMIF('BD VOLUME'!E:E,A159,'BD VOLUME'!R:R)</f>
        <v>0</v>
      </c>
      <c r="M159" s="193">
        <f>SUMIF('BD VOLUME'!E:E,A159,'BD VOLUME'!S:S)</f>
        <v>0</v>
      </c>
      <c r="N159" s="193">
        <f>SUMIF('BD VOLUME'!E:E,A159,'BD VOLUME'!T:T)</f>
        <v>0</v>
      </c>
    </row>
    <row r="160" spans="1:14">
      <c r="A160" s="188" t="s">
        <v>2460</v>
      </c>
      <c r="B160" s="192">
        <f>SUMIF('BD VOLUME'!$E:$E,A160,'BD VOLUME'!$J:$J)</f>
        <v>0</v>
      </c>
      <c r="C160" s="192">
        <f t="shared" si="38"/>
        <v>0</v>
      </c>
      <c r="D160" s="193">
        <f>IFERROR(SUMIF('BD VOLUME'!E:E,A160,'BD VOLUME'!F:F)/Preencher!$I$11,0)</f>
        <v>0</v>
      </c>
      <c r="E160" s="193">
        <f>SUMIF('BD VOLUME'!E:E,A160,'BD VOLUME'!N:N)*'BD VOLUME'!$C$3</f>
        <v>0</v>
      </c>
      <c r="F160" s="193">
        <f>SUMIF('BD VOLUME'!E:E,A160,'BD VOLUME'!N:N)</f>
        <v>0</v>
      </c>
      <c r="G160" s="193">
        <f>H160*'BD VOLUME'!$C$3</f>
        <v>0</v>
      </c>
      <c r="H160" s="193">
        <f>SUM(I160:M160)</f>
        <v>0</v>
      </c>
      <c r="I160" s="193">
        <f>SUMIF('BD VOLUME'!E:E,A160,'BD VOLUME'!O:O)</f>
        <v>0</v>
      </c>
      <c r="J160" s="193">
        <f>SUMIF('BD VOLUME'!E:E,A160,'BD VOLUME'!P:P)</f>
        <v>0</v>
      </c>
      <c r="K160" s="193">
        <f>SUMIF('BD VOLUME'!E:E,A160,'BD VOLUME'!Q:Q)</f>
        <v>0</v>
      </c>
      <c r="L160" s="193">
        <f>SUMIF('BD VOLUME'!E:E,A160,'BD VOLUME'!R:R)</f>
        <v>0</v>
      </c>
      <c r="M160" s="193">
        <f>SUMIF('BD VOLUME'!E:E,A160,'BD VOLUME'!S:S)</f>
        <v>0</v>
      </c>
      <c r="N160" s="193">
        <f>SUMIF('BD VOLUME'!E:E,A160,'BD VOLUME'!T:T)</f>
        <v>0</v>
      </c>
    </row>
    <row r="161" spans="1:14">
      <c r="A161" s="188" t="s">
        <v>1646</v>
      </c>
      <c r="B161" s="192">
        <f>SUMIF('BD VOLUME'!$E:$E,A161,'BD VOLUME'!$J:$J)</f>
        <v>0</v>
      </c>
      <c r="C161" s="192">
        <f t="shared" si="38"/>
        <v>0</v>
      </c>
      <c r="D161" s="193">
        <f>IFERROR(SUMIF('BD VOLUME'!E:E,A161,'BD VOLUME'!F:F)/Preencher!$I$11,0)</f>
        <v>0</v>
      </c>
      <c r="E161" s="193">
        <f>SUMIF('BD VOLUME'!E:E,A161,'BD VOLUME'!N:N)*'BD VOLUME'!$C$3</f>
        <v>0</v>
      </c>
      <c r="F161" s="193">
        <f>SUMIF('BD VOLUME'!E:E,A161,'BD VOLUME'!N:N)</f>
        <v>0</v>
      </c>
      <c r="G161" s="193">
        <f>H161*'BD VOLUME'!$C$3</f>
        <v>0</v>
      </c>
      <c r="H161" s="193">
        <f>SUM(I161:M161)</f>
        <v>0</v>
      </c>
      <c r="I161" s="193">
        <f>SUMIF('BD VOLUME'!E:E,A161,'BD VOLUME'!O:O)</f>
        <v>0</v>
      </c>
      <c r="J161" s="193">
        <f>SUMIF('BD VOLUME'!E:E,A161,'BD VOLUME'!P:P)</f>
        <v>0</v>
      </c>
      <c r="K161" s="193">
        <f>SUMIF('BD VOLUME'!E:E,A161,'BD VOLUME'!Q:Q)</f>
        <v>0</v>
      </c>
      <c r="L161" s="193">
        <f>SUMIF('BD VOLUME'!E:E,A161,'BD VOLUME'!R:R)</f>
        <v>0</v>
      </c>
      <c r="M161" s="193">
        <f>SUMIF('BD VOLUME'!E:E,A161,'BD VOLUME'!S:S)</f>
        <v>0</v>
      </c>
      <c r="N161" s="193">
        <f>SUMIF('BD VOLUME'!E:E,A161,'BD VOLUME'!T:T)</f>
        <v>0</v>
      </c>
    </row>
    <row r="162" spans="1:14">
      <c r="A162" s="188"/>
      <c r="B162" s="194"/>
      <c r="C162" s="189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</row>
    <row r="163" spans="1:14">
      <c r="A163" s="145"/>
      <c r="B163" s="141"/>
      <c r="C163" s="139"/>
      <c r="D163" s="400"/>
      <c r="E163" s="400"/>
      <c r="F163" s="400"/>
      <c r="G163" s="400"/>
      <c r="H163" s="400"/>
      <c r="I163" s="400"/>
      <c r="J163" s="400"/>
      <c r="K163" s="400"/>
      <c r="L163" s="400"/>
      <c r="M163" s="400"/>
      <c r="N163" s="400"/>
    </row>
    <row r="164" spans="1:14">
      <c r="A164" s="191" t="s">
        <v>1633</v>
      </c>
      <c r="B164" s="190">
        <f>SUBTOTAL(9,B165:B185)</f>
        <v>8.1421424066623182E-3</v>
      </c>
      <c r="C164" s="190">
        <f>SUBTOTAL(9,C165:C185)</f>
        <v>1</v>
      </c>
      <c r="D164" s="187">
        <f>SUBTOTAL(9,D165:D185)</f>
        <v>154.60363636363638</v>
      </c>
      <c r="E164" s="187">
        <f t="shared" ref="E164:N164" si="40">SUM(E165:E185)</f>
        <v>237.85174825174829</v>
      </c>
      <c r="F164" s="187">
        <f t="shared" si="40"/>
        <v>24.840913655535072</v>
      </c>
      <c r="G164" s="187">
        <f t="shared" si="40"/>
        <v>15.856783216783219</v>
      </c>
      <c r="H164" s="187">
        <f t="shared" si="40"/>
        <v>1.6560609103690047</v>
      </c>
      <c r="I164" s="187">
        <f t="shared" si="40"/>
        <v>1.6560609103690047</v>
      </c>
      <c r="J164" s="187">
        <f t="shared" si="40"/>
        <v>0</v>
      </c>
      <c r="K164" s="187">
        <f t="shared" si="40"/>
        <v>0</v>
      </c>
      <c r="L164" s="187">
        <f t="shared" si="40"/>
        <v>0</v>
      </c>
      <c r="M164" s="187">
        <f t="shared" si="40"/>
        <v>0</v>
      </c>
      <c r="N164" s="187">
        <f t="shared" si="40"/>
        <v>0</v>
      </c>
    </row>
    <row r="165" spans="1:14">
      <c r="A165" s="188" t="s">
        <v>1636</v>
      </c>
      <c r="B165" s="192">
        <f>SUMIF('BD VOLUME'!$E:$E,A165,'BD VOLUME'!$J:$J)</f>
        <v>0</v>
      </c>
      <c r="C165" s="192">
        <f t="shared" ref="C165:C184" si="41">IFERROR(B165/$B$164,0)</f>
        <v>0</v>
      </c>
      <c r="D165" s="193">
        <f>IFERROR(SUMIF('BD VOLUME'!E:E,A165,'BD VOLUME'!F:F)/Preencher!$I$11,0)</f>
        <v>0</v>
      </c>
      <c r="E165" s="193">
        <f>SUMIF('BD VOLUME'!E:E,A165,'BD VOLUME'!N:N)*'BD VOLUME'!$C$3</f>
        <v>0</v>
      </c>
      <c r="F165" s="193">
        <f>SUMIF('BD VOLUME'!E:E,A165,'BD VOLUME'!N:N)</f>
        <v>0</v>
      </c>
      <c r="G165" s="193">
        <f>H165*'BD VOLUME'!$C$3</f>
        <v>0</v>
      </c>
      <c r="H165" s="193">
        <f t="shared" ref="H165:H184" si="42">SUM(I165:M165)</f>
        <v>0</v>
      </c>
      <c r="I165" s="193">
        <f>SUMIF('BD VOLUME'!E:E,A165,'BD VOLUME'!O:O)</f>
        <v>0</v>
      </c>
      <c r="J165" s="193">
        <f>SUMIF('BD VOLUME'!E:E,A165,'BD VOLUME'!P:P)</f>
        <v>0</v>
      </c>
      <c r="K165" s="193">
        <f>SUMIF('BD VOLUME'!E:E,A165,'BD VOLUME'!Q:Q)</f>
        <v>0</v>
      </c>
      <c r="L165" s="193">
        <f>SUMIF('BD VOLUME'!E:E,A165,'BD VOLUME'!R:R)</f>
        <v>0</v>
      </c>
      <c r="M165" s="193">
        <f>SUMIF('BD VOLUME'!E:E,A165,'BD VOLUME'!S:S)</f>
        <v>0</v>
      </c>
      <c r="N165" s="193">
        <f>SUMIF('BD VOLUME'!E:E,A165,'BD VOLUME'!T:T)</f>
        <v>0</v>
      </c>
    </row>
    <row r="166" spans="1:14">
      <c r="A166" s="188" t="s">
        <v>2410</v>
      </c>
      <c r="B166" s="192">
        <f>SUMIF('BD VOLUME'!$E:$E,A166,'BD VOLUME'!$J:$J)</f>
        <v>0</v>
      </c>
      <c r="C166" s="192">
        <f t="shared" si="41"/>
        <v>0</v>
      </c>
      <c r="D166" s="193">
        <f>IFERROR(SUMIF('BD VOLUME'!E:E,A166,'BD VOLUME'!F:F)/Preencher!$I$11,0)</f>
        <v>0</v>
      </c>
      <c r="E166" s="193">
        <f>SUMIF('BD VOLUME'!E:E,A166,'BD VOLUME'!N:N)*'BD VOLUME'!$C$3</f>
        <v>0</v>
      </c>
      <c r="F166" s="193">
        <f>SUMIF('BD VOLUME'!E:E,A166,'BD VOLUME'!N:N)</f>
        <v>0</v>
      </c>
      <c r="G166" s="193">
        <f>H166*'BD VOLUME'!$C$3</f>
        <v>0</v>
      </c>
      <c r="H166" s="193">
        <f>SUM(I166:M166)</f>
        <v>0</v>
      </c>
      <c r="I166" s="193">
        <f>SUMIF('BD VOLUME'!E:E,A166,'BD VOLUME'!O:O)</f>
        <v>0</v>
      </c>
      <c r="J166" s="193">
        <f>SUMIF('BD VOLUME'!E:E,A166,'BD VOLUME'!P:P)</f>
        <v>0</v>
      </c>
      <c r="K166" s="193">
        <f>SUMIF('BD VOLUME'!E:E,A166,'BD VOLUME'!Q:Q)</f>
        <v>0</v>
      </c>
      <c r="L166" s="193">
        <f>SUMIF('BD VOLUME'!E:E,A166,'BD VOLUME'!R:R)</f>
        <v>0</v>
      </c>
      <c r="M166" s="193">
        <f>SUMIF('BD VOLUME'!E:E,A166,'BD VOLUME'!S:S)</f>
        <v>0</v>
      </c>
      <c r="N166" s="193">
        <f>SUMIF('BD VOLUME'!E:E,A166,'BD VOLUME'!T:T)</f>
        <v>0</v>
      </c>
    </row>
    <row r="167" spans="1:14">
      <c r="A167" s="188" t="s">
        <v>1637</v>
      </c>
      <c r="B167" s="192">
        <f>SUMIF('BD VOLUME'!$E:$E,A167,'BD VOLUME'!$J:$J)</f>
        <v>0</v>
      </c>
      <c r="C167" s="192">
        <f t="shared" si="41"/>
        <v>0</v>
      </c>
      <c r="D167" s="193">
        <f>IFERROR(SUMIF('BD VOLUME'!E:E,A167,'BD VOLUME'!F:F)/Preencher!$I$11,0)</f>
        <v>0</v>
      </c>
      <c r="E167" s="193">
        <f>SUMIF('BD VOLUME'!E:E,A167,'BD VOLUME'!N:N)*'BD VOLUME'!$C$3</f>
        <v>0</v>
      </c>
      <c r="F167" s="193">
        <f>SUMIF('BD VOLUME'!E:E,A167,'BD VOLUME'!N:N)</f>
        <v>0</v>
      </c>
      <c r="G167" s="193">
        <f>H167*'BD VOLUME'!$C$3</f>
        <v>0</v>
      </c>
      <c r="H167" s="193">
        <f t="shared" si="42"/>
        <v>0</v>
      </c>
      <c r="I167" s="193">
        <f>SUMIF('BD VOLUME'!E:E,A167,'BD VOLUME'!O:O)</f>
        <v>0</v>
      </c>
      <c r="J167" s="193">
        <f>SUMIF('BD VOLUME'!E:E,A167,'BD VOLUME'!P:P)</f>
        <v>0</v>
      </c>
      <c r="K167" s="193">
        <f>SUMIF('BD VOLUME'!E:E,A167,'BD VOLUME'!Q:Q)</f>
        <v>0</v>
      </c>
      <c r="L167" s="193">
        <f>SUMIF('BD VOLUME'!E:E,A167,'BD VOLUME'!R:R)</f>
        <v>0</v>
      </c>
      <c r="M167" s="193">
        <f>SUMIF('BD VOLUME'!E:E,A167,'BD VOLUME'!S:S)</f>
        <v>0</v>
      </c>
      <c r="N167" s="193">
        <f>SUMIF('BD VOLUME'!E:E,A167,'BD VOLUME'!T:T)</f>
        <v>0</v>
      </c>
    </row>
    <row r="168" spans="1:14">
      <c r="A168" s="188" t="s">
        <v>1638</v>
      </c>
      <c r="B168" s="192">
        <f>SUMIF('BD VOLUME'!$E:$E,A168,'BD VOLUME'!$J:$J)</f>
        <v>0</v>
      </c>
      <c r="C168" s="192">
        <f t="shared" si="41"/>
        <v>0</v>
      </c>
      <c r="D168" s="193">
        <f>IFERROR(SUMIF('BD VOLUME'!E:E,A168,'BD VOLUME'!F:F)/Preencher!$I$11,0)</f>
        <v>0</v>
      </c>
      <c r="E168" s="193">
        <f>SUMIF('BD VOLUME'!E:E,A168,'BD VOLUME'!N:N)*'BD VOLUME'!$C$3</f>
        <v>0</v>
      </c>
      <c r="F168" s="193">
        <f>SUMIF('BD VOLUME'!E:E,A168,'BD VOLUME'!N:N)</f>
        <v>0</v>
      </c>
      <c r="G168" s="193">
        <f>H168*'BD VOLUME'!$C$3</f>
        <v>0</v>
      </c>
      <c r="H168" s="193">
        <f t="shared" si="42"/>
        <v>0</v>
      </c>
      <c r="I168" s="193">
        <f>SUMIF('BD VOLUME'!E:E,A168,'BD VOLUME'!O:O)</f>
        <v>0</v>
      </c>
      <c r="J168" s="193">
        <f>SUMIF('BD VOLUME'!E:E,A168,'BD VOLUME'!P:P)</f>
        <v>0</v>
      </c>
      <c r="K168" s="193">
        <f>SUMIF('BD VOLUME'!E:E,A168,'BD VOLUME'!Q:Q)</f>
        <v>0</v>
      </c>
      <c r="L168" s="193">
        <f>SUMIF('BD VOLUME'!E:E,A168,'BD VOLUME'!R:R)</f>
        <v>0</v>
      </c>
      <c r="M168" s="193">
        <f>SUMIF('BD VOLUME'!E:E,A168,'BD VOLUME'!S:S)</f>
        <v>0</v>
      </c>
      <c r="N168" s="193">
        <f>SUMIF('BD VOLUME'!E:E,A168,'BD VOLUME'!T:T)</f>
        <v>0</v>
      </c>
    </row>
    <row r="169" spans="1:14">
      <c r="A169" s="188" t="s">
        <v>1639</v>
      </c>
      <c r="B169" s="192">
        <f>SUMIF('BD VOLUME'!$E:$E,A169,'BD VOLUME'!$J:$J)</f>
        <v>0</v>
      </c>
      <c r="C169" s="192">
        <f t="shared" si="41"/>
        <v>0</v>
      </c>
      <c r="D169" s="193">
        <f>IFERROR(SUMIF('BD VOLUME'!E:E,A169,'BD VOLUME'!F:F)/Preencher!$I$11,0)</f>
        <v>0</v>
      </c>
      <c r="E169" s="193">
        <f>SUMIF('BD VOLUME'!E:E,A169,'BD VOLUME'!N:N)*'BD VOLUME'!$C$3</f>
        <v>0</v>
      </c>
      <c r="F169" s="193">
        <f>SUMIF('BD VOLUME'!E:E,A169,'BD VOLUME'!N:N)</f>
        <v>0</v>
      </c>
      <c r="G169" s="193">
        <f>H169*'BD VOLUME'!$C$3</f>
        <v>0</v>
      </c>
      <c r="H169" s="193">
        <f t="shared" si="42"/>
        <v>0</v>
      </c>
      <c r="I169" s="193">
        <f>SUMIF('BD VOLUME'!E:E,A169,'BD VOLUME'!O:O)</f>
        <v>0</v>
      </c>
      <c r="J169" s="193">
        <f>SUMIF('BD VOLUME'!E:E,A169,'BD VOLUME'!P:P)</f>
        <v>0</v>
      </c>
      <c r="K169" s="193">
        <f>SUMIF('BD VOLUME'!E:E,A169,'BD VOLUME'!Q:Q)</f>
        <v>0</v>
      </c>
      <c r="L169" s="193">
        <f>SUMIF('BD VOLUME'!E:E,A169,'BD VOLUME'!R:R)</f>
        <v>0</v>
      </c>
      <c r="M169" s="193">
        <f>SUMIF('BD VOLUME'!E:E,A169,'BD VOLUME'!S:S)</f>
        <v>0</v>
      </c>
      <c r="N169" s="193">
        <f>SUMIF('BD VOLUME'!E:E,A169,'BD VOLUME'!T:T)</f>
        <v>0</v>
      </c>
    </row>
    <row r="170" spans="1:14">
      <c r="A170" s="188" t="s">
        <v>1640</v>
      </c>
      <c r="B170" s="192">
        <f>SUMIF('BD VOLUME'!$E:$E,A170,'BD VOLUME'!$J:$J)</f>
        <v>0</v>
      </c>
      <c r="C170" s="192">
        <f t="shared" si="41"/>
        <v>0</v>
      </c>
      <c r="D170" s="193">
        <f>IFERROR(SUMIF('BD VOLUME'!E:E,A170,'BD VOLUME'!F:F)/Preencher!$I$11,0)</f>
        <v>0</v>
      </c>
      <c r="E170" s="193">
        <f>SUMIF('BD VOLUME'!E:E,A170,'BD VOLUME'!N:N)*'BD VOLUME'!$C$3</f>
        <v>0</v>
      </c>
      <c r="F170" s="193">
        <f>SUMIF('BD VOLUME'!E:E,A170,'BD VOLUME'!N:N)</f>
        <v>0</v>
      </c>
      <c r="G170" s="193">
        <f>H170*'BD VOLUME'!$C$3</f>
        <v>0</v>
      </c>
      <c r="H170" s="193">
        <f t="shared" si="42"/>
        <v>0</v>
      </c>
      <c r="I170" s="193">
        <f>SUMIF('BD VOLUME'!E:E,A170,'BD VOLUME'!O:O)</f>
        <v>0</v>
      </c>
      <c r="J170" s="193">
        <f>SUMIF('BD VOLUME'!E:E,A170,'BD VOLUME'!P:P)</f>
        <v>0</v>
      </c>
      <c r="K170" s="193">
        <f>SUMIF('BD VOLUME'!E:E,A170,'BD VOLUME'!Q:Q)</f>
        <v>0</v>
      </c>
      <c r="L170" s="193">
        <f>SUMIF('BD VOLUME'!E:E,A170,'BD VOLUME'!R:R)</f>
        <v>0</v>
      </c>
      <c r="M170" s="193">
        <f>SUMIF('BD VOLUME'!E:E,A170,'BD VOLUME'!S:S)</f>
        <v>0</v>
      </c>
      <c r="N170" s="193">
        <f>SUMIF('BD VOLUME'!E:E,A170,'BD VOLUME'!T:T)</f>
        <v>0</v>
      </c>
    </row>
    <row r="171" spans="1:14">
      <c r="A171" s="188" t="s">
        <v>1641</v>
      </c>
      <c r="B171" s="192">
        <f>SUMIF('BD VOLUME'!$E:$E,A171,'BD VOLUME'!$J:$J)</f>
        <v>0</v>
      </c>
      <c r="C171" s="192">
        <f t="shared" si="41"/>
        <v>0</v>
      </c>
      <c r="D171" s="193">
        <f>IFERROR(SUMIF('BD VOLUME'!E:E,A171,'BD VOLUME'!F:F)/Preencher!$I$11,0)</f>
        <v>0</v>
      </c>
      <c r="E171" s="193">
        <f>SUMIF('BD VOLUME'!E:E,A171,'BD VOLUME'!N:N)*'BD VOLUME'!$C$3</f>
        <v>0</v>
      </c>
      <c r="F171" s="193">
        <f>SUMIF('BD VOLUME'!E:E,A171,'BD VOLUME'!N:N)</f>
        <v>0</v>
      </c>
      <c r="G171" s="193">
        <f>H171*'BD VOLUME'!$C$3</f>
        <v>0</v>
      </c>
      <c r="H171" s="193">
        <f t="shared" si="42"/>
        <v>0</v>
      </c>
      <c r="I171" s="193">
        <f>SUMIF('BD VOLUME'!E:E,A171,'BD VOLUME'!O:O)</f>
        <v>0</v>
      </c>
      <c r="J171" s="193">
        <f>SUMIF('BD VOLUME'!E:E,A171,'BD VOLUME'!P:P)</f>
        <v>0</v>
      </c>
      <c r="K171" s="193">
        <f>SUMIF('BD VOLUME'!E:E,A171,'BD VOLUME'!Q:Q)</f>
        <v>0</v>
      </c>
      <c r="L171" s="193">
        <f>SUMIF('BD VOLUME'!E:E,A171,'BD VOLUME'!R:R)</f>
        <v>0</v>
      </c>
      <c r="M171" s="193">
        <f>SUMIF('BD VOLUME'!E:E,A171,'BD VOLUME'!S:S)</f>
        <v>0</v>
      </c>
      <c r="N171" s="193">
        <f>SUMIF('BD VOLUME'!E:E,A171,'BD VOLUME'!T:T)</f>
        <v>0</v>
      </c>
    </row>
    <row r="172" spans="1:14">
      <c r="A172" s="188" t="s">
        <v>2564</v>
      </c>
      <c r="B172" s="192">
        <f>SUMIF('BD VOLUME'!$E:$E,A172,'BD VOLUME'!$J:$J)</f>
        <v>0</v>
      </c>
      <c r="C172" s="192">
        <f t="shared" si="41"/>
        <v>0</v>
      </c>
      <c r="D172" s="193">
        <f>IFERROR(SUMIF('BD VOLUME'!E:E,A172,'BD VOLUME'!F:F)/Preencher!$I$11,0)</f>
        <v>0</v>
      </c>
      <c r="E172" s="193">
        <f>SUMIF('BD VOLUME'!E:E,A172,'BD VOLUME'!N:N)*'BD VOLUME'!$C$3</f>
        <v>0</v>
      </c>
      <c r="F172" s="193">
        <f>SUMIF('BD VOLUME'!E:E,A172,'BD VOLUME'!N:N)</f>
        <v>0</v>
      </c>
      <c r="G172" s="193">
        <f>H172*'BD VOLUME'!$C$3</f>
        <v>0</v>
      </c>
      <c r="H172" s="193">
        <f>SUM(I172:M172)</f>
        <v>0</v>
      </c>
      <c r="I172" s="193">
        <f>SUMIF('BD VOLUME'!E:E,A172,'BD VOLUME'!O:O)</f>
        <v>0</v>
      </c>
      <c r="J172" s="193">
        <f>SUMIF('BD VOLUME'!E:E,A172,'BD VOLUME'!P:P)</f>
        <v>0</v>
      </c>
      <c r="K172" s="193">
        <f>SUMIF('BD VOLUME'!E:E,A172,'BD VOLUME'!Q:Q)</f>
        <v>0</v>
      </c>
      <c r="L172" s="193">
        <f>SUMIF('BD VOLUME'!E:E,A172,'BD VOLUME'!R:R)</f>
        <v>0</v>
      </c>
      <c r="M172" s="193">
        <f>SUMIF('BD VOLUME'!E:E,A172,'BD VOLUME'!S:S)</f>
        <v>0</v>
      </c>
      <c r="N172" s="193">
        <f>SUMIF('BD VOLUME'!E:E,A172,'BD VOLUME'!T:T)</f>
        <v>0</v>
      </c>
    </row>
    <row r="173" spans="1:14">
      <c r="A173" s="188" t="s">
        <v>1642</v>
      </c>
      <c r="B173" s="192">
        <f>SUMIF('BD VOLUME'!$E:$E,A173,'BD VOLUME'!$J:$J)</f>
        <v>8.1421424066623182E-3</v>
      </c>
      <c r="C173" s="192">
        <f t="shared" si="41"/>
        <v>1</v>
      </c>
      <c r="D173" s="193">
        <f>IFERROR(SUMIF('BD VOLUME'!E:E,A173,'BD VOLUME'!F:F)/Preencher!$I$11,0)</f>
        <v>154.60363636363638</v>
      </c>
      <c r="E173" s="193">
        <f>SUMIF('BD VOLUME'!E:E,A173,'BD VOLUME'!N:N)*'BD VOLUME'!$C$3</f>
        <v>237.85174825174829</v>
      </c>
      <c r="F173" s="193">
        <f>SUMIF('BD VOLUME'!E:E,A173,'BD VOLUME'!N:N)</f>
        <v>24.840913655535072</v>
      </c>
      <c r="G173" s="193">
        <f>H173*'BD VOLUME'!$C$3</f>
        <v>15.856783216783219</v>
      </c>
      <c r="H173" s="193">
        <f t="shared" si="42"/>
        <v>1.6560609103690047</v>
      </c>
      <c r="I173" s="193">
        <f>SUMIF('BD VOLUME'!E:E,A173,'BD VOLUME'!O:O)</f>
        <v>1.6560609103690047</v>
      </c>
      <c r="J173" s="193">
        <f>SUMIF('BD VOLUME'!E:E,A173,'BD VOLUME'!P:P)</f>
        <v>0</v>
      </c>
      <c r="K173" s="193">
        <f>SUMIF('BD VOLUME'!E:E,A173,'BD VOLUME'!Q:Q)</f>
        <v>0</v>
      </c>
      <c r="L173" s="193">
        <f>SUMIF('BD VOLUME'!E:E,A173,'BD VOLUME'!R:R)</f>
        <v>0</v>
      </c>
      <c r="M173" s="193">
        <f>SUMIF('BD VOLUME'!E:E,A173,'BD VOLUME'!S:S)</f>
        <v>0</v>
      </c>
      <c r="N173" s="193">
        <f>SUMIF('BD VOLUME'!E:E,A173,'BD VOLUME'!T:T)</f>
        <v>0</v>
      </c>
    </row>
    <row r="174" spans="1:14">
      <c r="A174" s="188" t="s">
        <v>1747</v>
      </c>
      <c r="B174" s="192">
        <f>SUMIF('BD VOLUME'!$E:$E,A174,'BD VOLUME'!$J:$J)</f>
        <v>0</v>
      </c>
      <c r="C174" s="192">
        <f t="shared" si="41"/>
        <v>0</v>
      </c>
      <c r="D174" s="193">
        <f>IFERROR(SUMIF('BD VOLUME'!E:E,A174,'BD VOLUME'!F:F)/Preencher!$I$11,0)</f>
        <v>0</v>
      </c>
      <c r="E174" s="193">
        <f>SUMIF('BD VOLUME'!E:E,A174,'BD VOLUME'!N:N)*'BD VOLUME'!$C$3</f>
        <v>0</v>
      </c>
      <c r="F174" s="193">
        <f>SUMIF('BD VOLUME'!E:E,A174,'BD VOLUME'!N:N)</f>
        <v>0</v>
      </c>
      <c r="G174" s="193">
        <f>H174*'BD VOLUME'!$C$3</f>
        <v>0</v>
      </c>
      <c r="H174" s="193">
        <f t="shared" ref="H174:H179" si="43">SUM(I174:M174)</f>
        <v>0</v>
      </c>
      <c r="I174" s="193">
        <f>SUMIF('BD VOLUME'!E:E,A174,'BD VOLUME'!O:O)</f>
        <v>0</v>
      </c>
      <c r="J174" s="193">
        <f>SUMIF('BD VOLUME'!E:E,A174,'BD VOLUME'!P:P)</f>
        <v>0</v>
      </c>
      <c r="K174" s="193">
        <f>SUMIF('BD VOLUME'!E:E,A174,'BD VOLUME'!Q:Q)</f>
        <v>0</v>
      </c>
      <c r="L174" s="193">
        <f>SUMIF('BD VOLUME'!E:E,A174,'BD VOLUME'!R:R)</f>
        <v>0</v>
      </c>
      <c r="M174" s="193">
        <f>SUMIF('BD VOLUME'!E:E,A174,'BD VOLUME'!S:S)</f>
        <v>0</v>
      </c>
      <c r="N174" s="193">
        <f>SUMIF('BD VOLUME'!E:E,A174,'BD VOLUME'!T:T)</f>
        <v>0</v>
      </c>
    </row>
    <row r="175" spans="1:14">
      <c r="A175" s="188" t="s">
        <v>2400</v>
      </c>
      <c r="B175" s="192">
        <f>SUMIF('BD VOLUME'!$E:$E,A175,'BD VOLUME'!$J:$J)</f>
        <v>0</v>
      </c>
      <c r="C175" s="192">
        <f t="shared" si="41"/>
        <v>0</v>
      </c>
      <c r="D175" s="193">
        <f>IFERROR(SUMIF('BD VOLUME'!E:E,A175,'BD VOLUME'!F:F)/Preencher!$I$11,0)</f>
        <v>0</v>
      </c>
      <c r="E175" s="193">
        <f>SUMIF('BD VOLUME'!E:E,A175,'BD VOLUME'!N:N)*'BD VOLUME'!$C$3</f>
        <v>0</v>
      </c>
      <c r="F175" s="193">
        <f>SUMIF('BD VOLUME'!E:E,A175,'BD VOLUME'!N:N)</f>
        <v>0</v>
      </c>
      <c r="G175" s="193">
        <f>H175*'BD VOLUME'!$C$3</f>
        <v>0</v>
      </c>
      <c r="H175" s="193">
        <f t="shared" si="43"/>
        <v>0</v>
      </c>
      <c r="I175" s="193">
        <f>SUMIF('BD VOLUME'!E:E,A175,'BD VOLUME'!O:O)</f>
        <v>0</v>
      </c>
      <c r="J175" s="193">
        <f>SUMIF('BD VOLUME'!E:E,A175,'BD VOLUME'!P:P)</f>
        <v>0</v>
      </c>
      <c r="K175" s="193">
        <f>SUMIF('BD VOLUME'!E:E,A175,'BD VOLUME'!Q:Q)</f>
        <v>0</v>
      </c>
      <c r="L175" s="193">
        <f>SUMIF('BD VOLUME'!E:E,A175,'BD VOLUME'!R:R)</f>
        <v>0</v>
      </c>
      <c r="M175" s="193">
        <f>SUMIF('BD VOLUME'!E:E,A175,'BD VOLUME'!S:S)</f>
        <v>0</v>
      </c>
      <c r="N175" s="193">
        <f>SUMIF('BD VOLUME'!E:E,A175,'BD VOLUME'!T:T)</f>
        <v>0</v>
      </c>
    </row>
    <row r="176" spans="1:14">
      <c r="A176" s="188" t="s">
        <v>1798</v>
      </c>
      <c r="B176" s="192">
        <f>SUMIF('BD VOLUME'!$E:$E,A176,'BD VOLUME'!$J:$J)</f>
        <v>0</v>
      </c>
      <c r="C176" s="192">
        <f t="shared" si="41"/>
        <v>0</v>
      </c>
      <c r="D176" s="193">
        <f>IFERROR(SUMIF('BD VOLUME'!E:E,A176,'BD VOLUME'!F:F)/Preencher!$I$11,0)</f>
        <v>0</v>
      </c>
      <c r="E176" s="193">
        <f>SUMIF('BD VOLUME'!E:E,A176,'BD VOLUME'!N:N)*'BD VOLUME'!$C$3</f>
        <v>0</v>
      </c>
      <c r="F176" s="193">
        <f>SUMIF('BD VOLUME'!E:E,A176,'BD VOLUME'!N:N)</f>
        <v>0</v>
      </c>
      <c r="G176" s="193">
        <f>H176*'BD VOLUME'!$C$3</f>
        <v>0</v>
      </c>
      <c r="H176" s="193">
        <f t="shared" si="43"/>
        <v>0</v>
      </c>
      <c r="I176" s="193">
        <f>SUMIF('BD VOLUME'!E:E,A176,'BD VOLUME'!O:O)</f>
        <v>0</v>
      </c>
      <c r="J176" s="193">
        <f>SUMIF('BD VOLUME'!E:E,A176,'BD VOLUME'!P:P)</f>
        <v>0</v>
      </c>
      <c r="K176" s="193">
        <f>SUMIF('BD VOLUME'!E:E,A176,'BD VOLUME'!Q:Q)</f>
        <v>0</v>
      </c>
      <c r="L176" s="193">
        <f>SUMIF('BD VOLUME'!E:E,A176,'BD VOLUME'!R:R)</f>
        <v>0</v>
      </c>
      <c r="M176" s="193">
        <f>SUMIF('BD VOLUME'!E:E,A176,'BD VOLUME'!S:S)</f>
        <v>0</v>
      </c>
      <c r="N176" s="193">
        <f>SUMIF('BD VOLUME'!E:E,A176,'BD VOLUME'!T:T)</f>
        <v>0</v>
      </c>
    </row>
    <row r="177" spans="1:14">
      <c r="A177" s="188" t="s">
        <v>1878</v>
      </c>
      <c r="B177" s="192">
        <f>SUMIF('BD VOLUME'!$E:$E,A177,'BD VOLUME'!$J:$J)</f>
        <v>0</v>
      </c>
      <c r="C177" s="192">
        <f t="shared" si="41"/>
        <v>0</v>
      </c>
      <c r="D177" s="193">
        <f>IFERROR(SUMIF('BD VOLUME'!E:E,A177,'BD VOLUME'!F:F)/Preencher!$I$11,0)</f>
        <v>0</v>
      </c>
      <c r="E177" s="193">
        <f>SUMIF('BD VOLUME'!E:E,A177,'BD VOLUME'!N:N)*'BD VOLUME'!$C$3</f>
        <v>0</v>
      </c>
      <c r="F177" s="193">
        <f>SUMIF('BD VOLUME'!E:E,A177,'BD VOLUME'!N:N)</f>
        <v>0</v>
      </c>
      <c r="G177" s="193">
        <f>H177*'BD VOLUME'!$C$3</f>
        <v>0</v>
      </c>
      <c r="H177" s="193">
        <f t="shared" si="43"/>
        <v>0</v>
      </c>
      <c r="I177" s="193">
        <f>SUMIF('BD VOLUME'!E:E,A177,'BD VOLUME'!O:O)</f>
        <v>0</v>
      </c>
      <c r="J177" s="193">
        <f>SUMIF('BD VOLUME'!E:E,A177,'BD VOLUME'!P:P)</f>
        <v>0</v>
      </c>
      <c r="K177" s="193">
        <f>SUMIF('BD VOLUME'!E:E,A177,'BD VOLUME'!Q:Q)</f>
        <v>0</v>
      </c>
      <c r="L177" s="193">
        <f>SUMIF('BD VOLUME'!E:E,A177,'BD VOLUME'!R:R)</f>
        <v>0</v>
      </c>
      <c r="M177" s="193">
        <f>SUMIF('BD VOLUME'!E:E,A177,'BD VOLUME'!S:S)</f>
        <v>0</v>
      </c>
      <c r="N177" s="193">
        <f>SUMIF('BD VOLUME'!E:E,A177,'BD VOLUME'!T:T)</f>
        <v>0</v>
      </c>
    </row>
    <row r="178" spans="1:14">
      <c r="A178" s="188" t="s">
        <v>2129</v>
      </c>
      <c r="B178" s="192">
        <f>SUMIF('BD VOLUME'!$E:$E,A178,'BD VOLUME'!$J:$J)</f>
        <v>0</v>
      </c>
      <c r="C178" s="192">
        <f t="shared" si="41"/>
        <v>0</v>
      </c>
      <c r="D178" s="193">
        <f>IFERROR(SUMIF('BD VOLUME'!E:E,A178,'BD VOLUME'!F:F)/Preencher!$I$11,0)</f>
        <v>0</v>
      </c>
      <c r="E178" s="193">
        <f>SUMIF('BD VOLUME'!E:E,A178,'BD VOLUME'!N:N)*'BD VOLUME'!$C$3</f>
        <v>0</v>
      </c>
      <c r="F178" s="193">
        <f>SUMIF('BD VOLUME'!E:E,A178,'BD VOLUME'!N:N)</f>
        <v>0</v>
      </c>
      <c r="G178" s="193">
        <f>H178*'BD VOLUME'!$C$3</f>
        <v>0</v>
      </c>
      <c r="H178" s="193">
        <f t="shared" si="43"/>
        <v>0</v>
      </c>
      <c r="I178" s="193">
        <f>SUMIF('BD VOLUME'!E:E,A178,'BD VOLUME'!O:O)</f>
        <v>0</v>
      </c>
      <c r="J178" s="193">
        <f>SUMIF('BD VOLUME'!E:E,A178,'BD VOLUME'!P:P)</f>
        <v>0</v>
      </c>
      <c r="K178" s="193">
        <f>SUMIF('BD VOLUME'!E:E,A178,'BD VOLUME'!Q:Q)</f>
        <v>0</v>
      </c>
      <c r="L178" s="193">
        <f>SUMIF('BD VOLUME'!E:E,A178,'BD VOLUME'!R:R)</f>
        <v>0</v>
      </c>
      <c r="M178" s="193">
        <f>SUMIF('BD VOLUME'!E:E,A178,'BD VOLUME'!S:S)</f>
        <v>0</v>
      </c>
      <c r="N178" s="193">
        <f>SUMIF('BD VOLUME'!E:E,A178,'BD VOLUME'!T:T)</f>
        <v>0</v>
      </c>
    </row>
    <row r="179" spans="1:14">
      <c r="A179" s="188" t="s">
        <v>2137</v>
      </c>
      <c r="B179" s="192">
        <f>SUMIF('BD VOLUME'!$E:$E,A179,'BD VOLUME'!$J:$J)</f>
        <v>0</v>
      </c>
      <c r="C179" s="192">
        <f t="shared" si="41"/>
        <v>0</v>
      </c>
      <c r="D179" s="193">
        <f>IFERROR(SUMIF('BD VOLUME'!E:E,A179,'BD VOLUME'!F:F)/Preencher!$I$11,0)</f>
        <v>0</v>
      </c>
      <c r="E179" s="193">
        <f>SUMIF('BD VOLUME'!E:E,A179,'BD VOLUME'!N:N)*'BD VOLUME'!$C$3</f>
        <v>0</v>
      </c>
      <c r="F179" s="193">
        <f>SUMIF('BD VOLUME'!E:E,A179,'BD VOLUME'!N:N)</f>
        <v>0</v>
      </c>
      <c r="G179" s="193">
        <f>H179*'BD VOLUME'!$C$3</f>
        <v>0</v>
      </c>
      <c r="H179" s="193">
        <f t="shared" si="43"/>
        <v>0</v>
      </c>
      <c r="I179" s="193">
        <f>SUMIF('BD VOLUME'!E:E,A179,'BD VOLUME'!O:O)</f>
        <v>0</v>
      </c>
      <c r="J179" s="193">
        <f>SUMIF('BD VOLUME'!E:E,A179,'BD VOLUME'!P:P)</f>
        <v>0</v>
      </c>
      <c r="K179" s="193">
        <f>SUMIF('BD VOLUME'!E:E,A179,'BD VOLUME'!Q:Q)</f>
        <v>0</v>
      </c>
      <c r="L179" s="193">
        <f>SUMIF('BD VOLUME'!E:E,A179,'BD VOLUME'!R:R)</f>
        <v>0</v>
      </c>
      <c r="M179" s="193">
        <f>SUMIF('BD VOLUME'!E:E,A179,'BD VOLUME'!S:S)</f>
        <v>0</v>
      </c>
      <c r="N179" s="193">
        <f>SUMIF('BD VOLUME'!E:E,A179,'BD VOLUME'!T:T)</f>
        <v>0</v>
      </c>
    </row>
    <row r="180" spans="1:14">
      <c r="A180" s="188" t="s">
        <v>2619</v>
      </c>
      <c r="B180" s="192">
        <f>SUMIF('BD VOLUME'!$E:$E,A180,'BD VOLUME'!$J:$J)</f>
        <v>0</v>
      </c>
      <c r="C180" s="192">
        <f t="shared" si="41"/>
        <v>0</v>
      </c>
      <c r="D180" s="193">
        <f>IFERROR(SUMIF('BD VOLUME'!E:E,A180,'BD VOLUME'!F:F)/Preencher!$I$11,0)</f>
        <v>0</v>
      </c>
      <c r="E180" s="193">
        <f>SUMIF('BD VOLUME'!E:E,A180,'BD VOLUME'!N:N)*'BD VOLUME'!$C$3</f>
        <v>0</v>
      </c>
      <c r="F180" s="193">
        <f>SUMIF('BD VOLUME'!E:E,A180,'BD VOLUME'!N:N)</f>
        <v>0</v>
      </c>
      <c r="G180" s="193">
        <f>H180*'BD VOLUME'!$C$3</f>
        <v>0</v>
      </c>
      <c r="H180" s="193">
        <f>SUM(I180:M180)</f>
        <v>0</v>
      </c>
      <c r="I180" s="193">
        <f>SUMIF('BD VOLUME'!E:E,A180,'BD VOLUME'!O:O)</f>
        <v>0</v>
      </c>
      <c r="J180" s="193">
        <f>SUMIF('BD VOLUME'!E:E,A180,'BD VOLUME'!P:P)</f>
        <v>0</v>
      </c>
      <c r="K180" s="193">
        <f>SUMIF('BD VOLUME'!E:E,A180,'BD VOLUME'!Q:Q)</f>
        <v>0</v>
      </c>
      <c r="L180" s="193">
        <f>SUMIF('BD VOLUME'!E:E,A180,'BD VOLUME'!R:R)</f>
        <v>0</v>
      </c>
      <c r="M180" s="193">
        <f>SUMIF('BD VOLUME'!E:E,A180,'BD VOLUME'!S:S)</f>
        <v>0</v>
      </c>
      <c r="N180" s="193">
        <f>SUMIF('BD VOLUME'!E:E,A180,'BD VOLUME'!T:T)</f>
        <v>0</v>
      </c>
    </row>
    <row r="181" spans="1:14">
      <c r="A181" s="188" t="s">
        <v>1643</v>
      </c>
      <c r="B181" s="192">
        <f>SUMIF('BD VOLUME'!$E:$E,A181,'BD VOLUME'!$J:$J)</f>
        <v>0</v>
      </c>
      <c r="C181" s="192">
        <f t="shared" si="41"/>
        <v>0</v>
      </c>
      <c r="D181" s="193">
        <f>IFERROR(SUMIF('BD VOLUME'!E:E,A181,'BD VOLUME'!F:F)/Preencher!$I$11,0)</f>
        <v>0</v>
      </c>
      <c r="E181" s="193">
        <f>SUMIF('BD VOLUME'!E:E,A181,'BD VOLUME'!N:N)*'BD VOLUME'!$C$3</f>
        <v>0</v>
      </c>
      <c r="F181" s="193">
        <f>SUMIF('BD VOLUME'!E:E,A181,'BD VOLUME'!N:N)</f>
        <v>0</v>
      </c>
      <c r="G181" s="193">
        <f>H181*'BD VOLUME'!$C$3</f>
        <v>0</v>
      </c>
      <c r="H181" s="193">
        <f t="shared" si="42"/>
        <v>0</v>
      </c>
      <c r="I181" s="193">
        <f>SUMIF('BD VOLUME'!E:E,A181,'BD VOLUME'!O:O)</f>
        <v>0</v>
      </c>
      <c r="J181" s="193">
        <f>SUMIF('BD VOLUME'!E:E,A181,'BD VOLUME'!P:P)</f>
        <v>0</v>
      </c>
      <c r="K181" s="193">
        <f>SUMIF('BD VOLUME'!E:E,A181,'BD VOLUME'!Q:Q)</f>
        <v>0</v>
      </c>
      <c r="L181" s="193">
        <f>SUMIF('BD VOLUME'!E:E,A181,'BD VOLUME'!R:R)</f>
        <v>0</v>
      </c>
      <c r="M181" s="193">
        <f>SUMIF('BD VOLUME'!E:E,A181,'BD VOLUME'!S:S)</f>
        <v>0</v>
      </c>
      <c r="N181" s="193">
        <f>SUMIF('BD VOLUME'!E:E,A181,'BD VOLUME'!T:T)</f>
        <v>0</v>
      </c>
    </row>
    <row r="182" spans="1:14">
      <c r="A182" s="188" t="s">
        <v>1644</v>
      </c>
      <c r="B182" s="192">
        <f>SUMIF('BD VOLUME'!$E:$E,A182,'BD VOLUME'!$J:$J)</f>
        <v>0</v>
      </c>
      <c r="C182" s="192">
        <f t="shared" si="41"/>
        <v>0</v>
      </c>
      <c r="D182" s="193">
        <f>IFERROR(SUMIF('BD VOLUME'!E:E,A182,'BD VOLUME'!F:F)/Preencher!$I$11,0)</f>
        <v>0</v>
      </c>
      <c r="E182" s="193">
        <f>SUMIF('BD VOLUME'!E:E,A182,'BD VOLUME'!N:N)*'BD VOLUME'!$C$3</f>
        <v>0</v>
      </c>
      <c r="F182" s="193">
        <f>SUMIF('BD VOLUME'!E:E,A182,'BD VOLUME'!N:N)</f>
        <v>0</v>
      </c>
      <c r="G182" s="193">
        <f>H182*'BD VOLUME'!$C$3</f>
        <v>0</v>
      </c>
      <c r="H182" s="193">
        <f t="shared" si="42"/>
        <v>0</v>
      </c>
      <c r="I182" s="193">
        <f>SUMIF('BD VOLUME'!E:E,A182,'BD VOLUME'!O:O)</f>
        <v>0</v>
      </c>
      <c r="J182" s="193">
        <f>SUMIF('BD VOLUME'!E:E,A182,'BD VOLUME'!P:P)</f>
        <v>0</v>
      </c>
      <c r="K182" s="193">
        <f>SUMIF('BD VOLUME'!E:E,A182,'BD VOLUME'!Q:Q)</f>
        <v>0</v>
      </c>
      <c r="L182" s="193">
        <f>SUMIF('BD VOLUME'!E:E,A182,'BD VOLUME'!R:R)</f>
        <v>0</v>
      </c>
      <c r="M182" s="193">
        <f>SUMIF('BD VOLUME'!E:E,A182,'BD VOLUME'!S:S)</f>
        <v>0</v>
      </c>
      <c r="N182" s="193">
        <f>SUMIF('BD VOLUME'!E:E,A182,'BD VOLUME'!T:T)</f>
        <v>0</v>
      </c>
    </row>
    <row r="183" spans="1:14">
      <c r="A183" s="188" t="s">
        <v>2461</v>
      </c>
      <c r="B183" s="192">
        <f>SUMIF('BD VOLUME'!$E:$E,A183,'BD VOLUME'!$J:$J)</f>
        <v>0</v>
      </c>
      <c r="C183" s="192">
        <f t="shared" si="41"/>
        <v>0</v>
      </c>
      <c r="D183" s="193">
        <f>IFERROR(SUMIF('BD VOLUME'!E:E,A183,'BD VOLUME'!F:F)/Preencher!$I$11,0)</f>
        <v>0</v>
      </c>
      <c r="E183" s="193">
        <f>SUMIF('BD VOLUME'!E:E,A183,'BD VOLUME'!N:N)*'BD VOLUME'!$C$3</f>
        <v>0</v>
      </c>
      <c r="F183" s="193">
        <f>SUMIF('BD VOLUME'!E:E,A183,'BD VOLUME'!N:N)</f>
        <v>0</v>
      </c>
      <c r="G183" s="193">
        <f>H183*'BD VOLUME'!$C$3</f>
        <v>0</v>
      </c>
      <c r="H183" s="193">
        <f>SUM(I183:M183)</f>
        <v>0</v>
      </c>
      <c r="I183" s="193">
        <f>SUMIF('BD VOLUME'!E:E,A183,'BD VOLUME'!O:O)</f>
        <v>0</v>
      </c>
      <c r="J183" s="193">
        <f>SUMIF('BD VOLUME'!E:E,A183,'BD VOLUME'!P:P)</f>
        <v>0</v>
      </c>
      <c r="K183" s="193">
        <f>SUMIF('BD VOLUME'!E:E,A183,'BD VOLUME'!Q:Q)</f>
        <v>0</v>
      </c>
      <c r="L183" s="193">
        <f>SUMIF('BD VOLUME'!E:E,A183,'BD VOLUME'!R:R)</f>
        <v>0</v>
      </c>
      <c r="M183" s="193">
        <f>SUMIF('BD VOLUME'!E:E,A183,'BD VOLUME'!S:S)</f>
        <v>0</v>
      </c>
      <c r="N183" s="193">
        <f>SUMIF('BD VOLUME'!E:E,A183,'BD VOLUME'!T:T)</f>
        <v>0</v>
      </c>
    </row>
    <row r="184" spans="1:14">
      <c r="A184" s="188" t="s">
        <v>1645</v>
      </c>
      <c r="B184" s="192">
        <f>SUMIF('BD VOLUME'!$E:$E,A184,'BD VOLUME'!$J:$J)</f>
        <v>0</v>
      </c>
      <c r="C184" s="192">
        <f t="shared" si="41"/>
        <v>0</v>
      </c>
      <c r="D184" s="193">
        <f>IFERROR(SUMIF('BD VOLUME'!E:E,A184,'BD VOLUME'!F:F)/Preencher!$I$11,0)</f>
        <v>0</v>
      </c>
      <c r="E184" s="193">
        <f>SUMIF('BD VOLUME'!E:E,A184,'BD VOLUME'!N:N)*'BD VOLUME'!$C$3</f>
        <v>0</v>
      </c>
      <c r="F184" s="193">
        <f>SUMIF('BD VOLUME'!E:E,A184,'BD VOLUME'!N:N)</f>
        <v>0</v>
      </c>
      <c r="G184" s="193">
        <f>H184*'BD VOLUME'!$C$3</f>
        <v>0</v>
      </c>
      <c r="H184" s="193">
        <f t="shared" si="42"/>
        <v>0</v>
      </c>
      <c r="I184" s="193">
        <f>SUMIF('BD VOLUME'!E:E,A184,'BD VOLUME'!O:O)</f>
        <v>0</v>
      </c>
      <c r="J184" s="193">
        <f>SUMIF('BD VOLUME'!E:E,A184,'BD VOLUME'!P:P)</f>
        <v>0</v>
      </c>
      <c r="K184" s="193">
        <f>SUMIF('BD VOLUME'!E:E,A184,'BD VOLUME'!Q:Q)</f>
        <v>0</v>
      </c>
      <c r="L184" s="193">
        <f>SUMIF('BD VOLUME'!E:E,A184,'BD VOLUME'!R:R)</f>
        <v>0</v>
      </c>
      <c r="M184" s="193">
        <f>SUMIF('BD VOLUME'!E:E,A184,'BD VOLUME'!S:S)</f>
        <v>0</v>
      </c>
      <c r="N184" s="193">
        <f>SUMIF('BD VOLUME'!E:E,A184,'BD VOLUME'!T:T)</f>
        <v>0</v>
      </c>
    </row>
    <row r="185" spans="1:14">
      <c r="A185" s="188"/>
      <c r="B185" s="194"/>
      <c r="C185" s="189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</row>
    <row r="186" spans="1:14">
      <c r="A186" s="123" t="s">
        <v>1022</v>
      </c>
      <c r="N186" s="157"/>
    </row>
    <row r="187" spans="1:14">
      <c r="A187" s="191" t="s">
        <v>960</v>
      </c>
      <c r="B187" s="190"/>
      <c r="C187" s="187">
        <f>D187*'BD VOLUME'!E3</f>
        <v>218880.00000000003</v>
      </c>
      <c r="D187" s="187">
        <f>SUBTOTAL(9,D188:D234)</f>
        <v>9949.0909090909099</v>
      </c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</row>
    <row r="188" spans="1:14">
      <c r="A188" s="188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</row>
    <row r="189" spans="1:14">
      <c r="A189" s="191" t="s">
        <v>1003</v>
      </c>
      <c r="B189" s="190">
        <f>SUM(B190:B199)</f>
        <v>0.37724918056229112</v>
      </c>
      <c r="C189" s="190">
        <f>SUM(C190:C199)</f>
        <v>0.37724918056229112</v>
      </c>
      <c r="D189" s="187">
        <f t="shared" ref="D189:N189" si="44">SUBTOTAL(9,D190:D199)</f>
        <v>3979.6363636363635</v>
      </c>
      <c r="E189" s="187">
        <f t="shared" si="44"/>
        <v>265.30909090909091</v>
      </c>
      <c r="F189" s="187">
        <f t="shared" si="44"/>
        <v>27.708521243769287</v>
      </c>
      <c r="G189" s="187">
        <f t="shared" si="44"/>
        <v>265.30909090909091</v>
      </c>
      <c r="H189" s="187">
        <f t="shared" si="44"/>
        <v>27.708521243769287</v>
      </c>
      <c r="I189" s="187">
        <f t="shared" si="44"/>
        <v>0</v>
      </c>
      <c r="J189" s="187">
        <f t="shared" si="44"/>
        <v>27.708521243769287</v>
      </c>
      <c r="K189" s="187">
        <f t="shared" si="44"/>
        <v>0</v>
      </c>
      <c r="L189" s="187">
        <f t="shared" si="44"/>
        <v>0</v>
      </c>
      <c r="M189" s="187">
        <f t="shared" si="44"/>
        <v>0</v>
      </c>
      <c r="N189" s="187">
        <f t="shared" si="44"/>
        <v>0</v>
      </c>
    </row>
    <row r="190" spans="1:14">
      <c r="A190" s="188" t="s">
        <v>923</v>
      </c>
      <c r="B190" s="192">
        <f>SUMIF('BD VOLUME'!$E:$E,A190,'BD VOLUME'!$J:$J)</f>
        <v>0.37724918056229112</v>
      </c>
      <c r="C190" s="192">
        <f>IF($B$122&gt;100,B190/$B$122,B190)</f>
        <v>0.37724918056229112</v>
      </c>
      <c r="D190" s="193">
        <f>IFERROR(SUMIF('BD VOLUME'!E:E,A190,'BD VOLUME'!F:F)/Preencher!$I$11,0)</f>
        <v>3979.6363636363635</v>
      </c>
      <c r="E190" s="193">
        <f>SUMIF('BD VOLUME'!E:E,A190,'BD VOLUME'!N:N)*'BD VOLUME'!$C$3</f>
        <v>265.30909090909091</v>
      </c>
      <c r="F190" s="193">
        <f>SUMIF('BD VOLUME'!E:E,A190,'BD VOLUME'!N:N)</f>
        <v>27.708521243769287</v>
      </c>
      <c r="G190" s="193">
        <f>H190*'BD VOLUME'!$C$3</f>
        <v>265.30909090909091</v>
      </c>
      <c r="H190" s="193">
        <f>SUM(I190:M190)</f>
        <v>27.708521243769287</v>
      </c>
      <c r="I190" s="193">
        <f>SUMIF('BD VOLUME'!E:E,A190,'BD VOLUME'!O:O)</f>
        <v>0</v>
      </c>
      <c r="J190" s="193">
        <f>SUMIF('BD VOLUME'!E:E,A190,'BD VOLUME'!P:P)</f>
        <v>27.708521243769287</v>
      </c>
      <c r="K190" s="193">
        <f>SUMIF('BD VOLUME'!E:E,A190,'BD VOLUME'!Q:Q)</f>
        <v>0</v>
      </c>
      <c r="L190" s="193">
        <f>SUMIF('BD VOLUME'!E:E,A190,'BD VOLUME'!R:R)</f>
        <v>0</v>
      </c>
      <c r="M190" s="193">
        <f>SUMIF('BD VOLUME'!E:E,A190,'BD VOLUME'!S:S)</f>
        <v>0</v>
      </c>
      <c r="N190" s="193">
        <f>SUMIF('BD VOLUME'!E:E,A190,'BD VOLUME'!T:T)</f>
        <v>0</v>
      </c>
    </row>
    <row r="191" spans="1:14">
      <c r="A191" s="188" t="s">
        <v>2760</v>
      </c>
      <c r="B191" s="192">
        <f>SUMIF('BD VOLUME'!$E:$E,A191,'BD VOLUME'!$J:$J)</f>
        <v>0</v>
      </c>
      <c r="C191" s="192">
        <f>IF($B$122&gt;100,B191/$B$122,B191)</f>
        <v>0</v>
      </c>
      <c r="D191" s="193">
        <f>IFERROR(SUMIF('BD VOLUME'!E:E,A191,'BD VOLUME'!F:F)/Preencher!$I$11,0)</f>
        <v>0</v>
      </c>
      <c r="E191" s="193">
        <f>SUMIF('BD VOLUME'!E:E,A191,'BD VOLUME'!N:N)*'BD VOLUME'!$C$3</f>
        <v>0</v>
      </c>
      <c r="F191" s="193">
        <f>SUMIF('BD VOLUME'!E:E,A191,'BD VOLUME'!N:N)</f>
        <v>0</v>
      </c>
      <c r="G191" s="193">
        <f>H191*'BD VOLUME'!$C$3</f>
        <v>0</v>
      </c>
      <c r="H191" s="193">
        <f>SUM(I191:M191)</f>
        <v>0</v>
      </c>
      <c r="I191" s="193">
        <f>SUMIF('BD VOLUME'!E:E,A191,'BD VOLUME'!O:O)</f>
        <v>0</v>
      </c>
      <c r="J191" s="193">
        <f>SUMIF('BD VOLUME'!E:E,A191,'BD VOLUME'!P:P)</f>
        <v>0</v>
      </c>
      <c r="K191" s="193">
        <f>SUMIF('BD VOLUME'!E:E,A191,'BD VOLUME'!Q:Q)</f>
        <v>0</v>
      </c>
      <c r="L191" s="193">
        <f>SUMIF('BD VOLUME'!E:E,A191,'BD VOLUME'!R:R)</f>
        <v>0</v>
      </c>
      <c r="M191" s="193">
        <f>SUMIF('BD VOLUME'!E:E,A191,'BD VOLUME'!S:S)</f>
        <v>0</v>
      </c>
      <c r="N191" s="193">
        <f>SUMIF('BD VOLUME'!E:E,A191,'BD VOLUME'!T:T)</f>
        <v>0</v>
      </c>
    </row>
    <row r="192" spans="1:14">
      <c r="A192" s="188" t="s">
        <v>1842</v>
      </c>
      <c r="B192" s="192">
        <f>SUMIF('BD VOLUME'!$E:$E,A192,'BD VOLUME'!$J:$J)</f>
        <v>0</v>
      </c>
      <c r="C192" s="192">
        <f t="shared" ref="C192:C198" si="45">IF($B$122&gt;100,B192/$B$122,B192)</f>
        <v>0</v>
      </c>
      <c r="D192" s="193">
        <f>IFERROR(SUMIF('BD VOLUME'!E:E,A192,'BD VOLUME'!F:F)/Preencher!$I$11,0)</f>
        <v>0</v>
      </c>
      <c r="E192" s="193">
        <f>SUMIF('BD VOLUME'!E:E,A192,'BD VOLUME'!N:N)*'BD VOLUME'!$C$3</f>
        <v>0</v>
      </c>
      <c r="F192" s="193">
        <f>SUMIF('BD VOLUME'!E:E,A192,'BD VOLUME'!N:N)</f>
        <v>0</v>
      </c>
      <c r="G192" s="193">
        <f>H192*'BD VOLUME'!$C$3</f>
        <v>0</v>
      </c>
      <c r="H192" s="193">
        <f t="shared" ref="H192:H198" si="46">SUM(I192:M192)</f>
        <v>0</v>
      </c>
      <c r="I192" s="193">
        <f>SUMIF('BD VOLUME'!E:E,A192,'BD VOLUME'!O:O)</f>
        <v>0</v>
      </c>
      <c r="J192" s="193">
        <f>SUMIF('BD VOLUME'!E:E,A192,'BD VOLUME'!P:P)</f>
        <v>0</v>
      </c>
      <c r="K192" s="193">
        <f>SUMIF('BD VOLUME'!E:E,A192,'BD VOLUME'!Q:Q)</f>
        <v>0</v>
      </c>
      <c r="L192" s="193">
        <f>SUMIF('BD VOLUME'!E:E,A192,'BD VOLUME'!R:R)</f>
        <v>0</v>
      </c>
      <c r="M192" s="193">
        <f>SUMIF('BD VOLUME'!E:E,A192,'BD VOLUME'!S:S)</f>
        <v>0</v>
      </c>
      <c r="N192" s="193">
        <f>SUMIF('BD VOLUME'!E:E,A192,'BD VOLUME'!T:T)</f>
        <v>0</v>
      </c>
    </row>
    <row r="193" spans="1:14">
      <c r="A193" s="188" t="s">
        <v>1836</v>
      </c>
      <c r="B193" s="192">
        <f>SUMIF('BD VOLUME'!$E:$E,A193,'BD VOLUME'!$J:$J)</f>
        <v>0</v>
      </c>
      <c r="C193" s="192">
        <f t="shared" si="45"/>
        <v>0</v>
      </c>
      <c r="D193" s="193">
        <f>IFERROR(SUMIF('BD VOLUME'!E:E,A193,'BD VOLUME'!F:F)/Preencher!$I$11,0)</f>
        <v>0</v>
      </c>
      <c r="E193" s="193">
        <f>SUMIF('BD VOLUME'!E:E,A193,'BD VOLUME'!N:N)*'BD VOLUME'!$C$3</f>
        <v>0</v>
      </c>
      <c r="F193" s="193">
        <f>SUMIF('BD VOLUME'!E:E,A193,'BD VOLUME'!N:N)</f>
        <v>0</v>
      </c>
      <c r="G193" s="193">
        <f>H193*'BD VOLUME'!$C$3</f>
        <v>0</v>
      </c>
      <c r="H193" s="193">
        <f t="shared" si="46"/>
        <v>0</v>
      </c>
      <c r="I193" s="193">
        <f>SUMIF('BD VOLUME'!E:E,A193,'BD VOLUME'!O:O)</f>
        <v>0</v>
      </c>
      <c r="J193" s="193">
        <f>SUMIF('BD VOLUME'!E:E,A193,'BD VOLUME'!P:P)</f>
        <v>0</v>
      </c>
      <c r="K193" s="193">
        <f>SUMIF('BD VOLUME'!E:E,A193,'BD VOLUME'!Q:Q)</f>
        <v>0</v>
      </c>
      <c r="L193" s="193">
        <f>SUMIF('BD VOLUME'!E:E,A193,'BD VOLUME'!R:R)</f>
        <v>0</v>
      </c>
      <c r="M193" s="193">
        <f>SUMIF('BD VOLUME'!E:E,A193,'BD VOLUME'!S:S)</f>
        <v>0</v>
      </c>
      <c r="N193" s="193">
        <f>SUMIF('BD VOLUME'!E:E,A193,'BD VOLUME'!T:T)</f>
        <v>0</v>
      </c>
    </row>
    <row r="194" spans="1:14">
      <c r="A194" s="188" t="s">
        <v>1004</v>
      </c>
      <c r="B194" s="192">
        <f>SUMIF('BD VOLUME'!$E:$E,A194,'BD VOLUME'!$J:$J)</f>
        <v>0</v>
      </c>
      <c r="C194" s="192">
        <f t="shared" si="45"/>
        <v>0</v>
      </c>
      <c r="D194" s="193">
        <f>IFERROR(SUMIF('BD VOLUME'!E:E,A194,'BD VOLUME'!F:F)/Preencher!$I$11,0)</f>
        <v>0</v>
      </c>
      <c r="E194" s="193">
        <f>SUMIF('BD VOLUME'!E:E,A194,'BD VOLUME'!N:N)*'BD VOLUME'!$C$3</f>
        <v>0</v>
      </c>
      <c r="F194" s="193">
        <f>SUMIF('BD VOLUME'!E:E,A194,'BD VOLUME'!N:N)</f>
        <v>0</v>
      </c>
      <c r="G194" s="193">
        <f>H194*'BD VOLUME'!$C$3</f>
        <v>0</v>
      </c>
      <c r="H194" s="193">
        <f t="shared" si="46"/>
        <v>0</v>
      </c>
      <c r="I194" s="193">
        <f>SUMIF('BD VOLUME'!E:E,A194,'BD VOLUME'!O:O)</f>
        <v>0</v>
      </c>
      <c r="J194" s="193">
        <f>SUMIF('BD VOLUME'!E:E,A194,'BD VOLUME'!P:P)</f>
        <v>0</v>
      </c>
      <c r="K194" s="193">
        <f>SUMIF('BD VOLUME'!E:E,A194,'BD VOLUME'!Q:Q)</f>
        <v>0</v>
      </c>
      <c r="L194" s="193">
        <f>SUMIF('BD VOLUME'!E:E,A194,'BD VOLUME'!R:R)</f>
        <v>0</v>
      </c>
      <c r="M194" s="193">
        <f>SUMIF('BD VOLUME'!E:E,A194,'BD VOLUME'!S:S)</f>
        <v>0</v>
      </c>
      <c r="N194" s="193">
        <f>SUMIF('BD VOLUME'!E:E,A194,'BD VOLUME'!T:T)</f>
        <v>0</v>
      </c>
    </row>
    <row r="195" spans="1:14">
      <c r="A195" s="188" t="s">
        <v>1751</v>
      </c>
      <c r="B195" s="192">
        <f>SUMIF('BD VOLUME'!$E:$E,A195,'BD VOLUME'!$J:$J)</f>
        <v>0</v>
      </c>
      <c r="C195" s="192">
        <f t="shared" si="45"/>
        <v>0</v>
      </c>
      <c r="D195" s="193">
        <f>IFERROR(SUMIF('BD VOLUME'!E:E,A195,'BD VOLUME'!F:F)/Preencher!$I$11,0)</f>
        <v>0</v>
      </c>
      <c r="E195" s="193">
        <f>SUMIF('BD VOLUME'!E:E,A195,'BD VOLUME'!N:N)*'BD VOLUME'!$C$3</f>
        <v>0</v>
      </c>
      <c r="F195" s="193">
        <f>SUMIF('BD VOLUME'!E:E,A195,'BD VOLUME'!N:N)</f>
        <v>0</v>
      </c>
      <c r="G195" s="193">
        <f>H195*'BD VOLUME'!$C$3</f>
        <v>0</v>
      </c>
      <c r="H195" s="193">
        <f t="shared" si="46"/>
        <v>0</v>
      </c>
      <c r="I195" s="193">
        <f>SUMIF('BD VOLUME'!E:E,A195,'BD VOLUME'!O:O)</f>
        <v>0</v>
      </c>
      <c r="J195" s="193">
        <f>SUMIF('BD VOLUME'!E:E,A195,'BD VOLUME'!P:P)</f>
        <v>0</v>
      </c>
      <c r="K195" s="193">
        <f>SUMIF('BD VOLUME'!E:E,A195,'BD VOLUME'!Q:Q)</f>
        <v>0</v>
      </c>
      <c r="L195" s="193">
        <f>SUMIF('BD VOLUME'!E:E,A195,'BD VOLUME'!R:R)</f>
        <v>0</v>
      </c>
      <c r="M195" s="193">
        <f>SUMIF('BD VOLUME'!E:E,A195,'BD VOLUME'!S:S)</f>
        <v>0</v>
      </c>
      <c r="N195" s="193">
        <f>SUMIF('BD VOLUME'!E:E,A195,'BD VOLUME'!T:T)</f>
        <v>0</v>
      </c>
    </row>
    <row r="196" spans="1:14">
      <c r="A196" s="188" t="s">
        <v>1768</v>
      </c>
      <c r="B196" s="192">
        <f>SUMIF('BD VOLUME'!$E:$E,A196,'BD VOLUME'!$J:$J)</f>
        <v>0</v>
      </c>
      <c r="C196" s="192">
        <f t="shared" si="45"/>
        <v>0</v>
      </c>
      <c r="D196" s="193">
        <f>IFERROR(SUMIF('BD VOLUME'!E:E,A196,'BD VOLUME'!F:F)/Preencher!$I$11,0)</f>
        <v>0</v>
      </c>
      <c r="E196" s="193">
        <f>SUMIF('BD VOLUME'!E:E,A196,'BD VOLUME'!N:N)*'BD VOLUME'!$C$3</f>
        <v>0</v>
      </c>
      <c r="F196" s="193">
        <f>SUMIF('BD VOLUME'!E:E,A196,'BD VOLUME'!N:N)</f>
        <v>0</v>
      </c>
      <c r="G196" s="193">
        <f>H196*'BD VOLUME'!$C$3</f>
        <v>0</v>
      </c>
      <c r="H196" s="193">
        <f t="shared" si="46"/>
        <v>0</v>
      </c>
      <c r="I196" s="193">
        <f>SUMIF('BD VOLUME'!E:E,A196,'BD VOLUME'!O:O)</f>
        <v>0</v>
      </c>
      <c r="J196" s="193">
        <f>SUMIF('BD VOLUME'!E:E,A196,'BD VOLUME'!P:P)</f>
        <v>0</v>
      </c>
      <c r="K196" s="193">
        <f>SUMIF('BD VOLUME'!E:E,A196,'BD VOLUME'!Q:Q)</f>
        <v>0</v>
      </c>
      <c r="L196" s="193">
        <f>SUMIF('BD VOLUME'!E:E,A196,'BD VOLUME'!R:R)</f>
        <v>0</v>
      </c>
      <c r="M196" s="193">
        <f>SUMIF('BD VOLUME'!E:E,A196,'BD VOLUME'!S:S)</f>
        <v>0</v>
      </c>
      <c r="N196" s="193">
        <f>SUMIF('BD VOLUME'!E:E,A196,'BD VOLUME'!T:T)</f>
        <v>0</v>
      </c>
    </row>
    <row r="197" spans="1:14">
      <c r="A197" s="188" t="s">
        <v>1879</v>
      </c>
      <c r="B197" s="192">
        <f>SUMIF('BD VOLUME'!$E:$E,A197,'BD VOLUME'!$J:$J)</f>
        <v>0</v>
      </c>
      <c r="C197" s="192">
        <f t="shared" si="45"/>
        <v>0</v>
      </c>
      <c r="D197" s="193">
        <f>IFERROR(SUMIF('BD VOLUME'!E:E,A197,'BD VOLUME'!F:F)/Preencher!$I$11,0)</f>
        <v>0</v>
      </c>
      <c r="E197" s="193">
        <f>SUMIF('BD VOLUME'!E:E,A197,'BD VOLUME'!N:N)*'BD VOLUME'!$C$3</f>
        <v>0</v>
      </c>
      <c r="F197" s="193">
        <f>SUMIF('BD VOLUME'!E:E,A197,'BD VOLUME'!N:N)</f>
        <v>0</v>
      </c>
      <c r="G197" s="193">
        <f>H197*'BD VOLUME'!$C$3</f>
        <v>0</v>
      </c>
      <c r="H197" s="193">
        <f t="shared" si="46"/>
        <v>0</v>
      </c>
      <c r="I197" s="193">
        <f>SUMIF('BD VOLUME'!E:E,A197,'BD VOLUME'!O:O)</f>
        <v>0</v>
      </c>
      <c r="J197" s="193">
        <f>SUMIF('BD VOLUME'!E:E,A197,'BD VOLUME'!P:P)</f>
        <v>0</v>
      </c>
      <c r="K197" s="193">
        <f>SUMIF('BD VOLUME'!E:E,A197,'BD VOLUME'!Q:Q)</f>
        <v>0</v>
      </c>
      <c r="L197" s="193">
        <f>SUMIF('BD VOLUME'!E:E,A197,'BD VOLUME'!R:R)</f>
        <v>0</v>
      </c>
      <c r="M197" s="193">
        <f>SUMIF('BD VOLUME'!E:E,A197,'BD VOLUME'!S:S)</f>
        <v>0</v>
      </c>
      <c r="N197" s="193">
        <f>SUMIF('BD VOLUME'!E:E,A197,'BD VOLUME'!T:T)</f>
        <v>0</v>
      </c>
    </row>
    <row r="198" spans="1:14">
      <c r="A198" s="188" t="s">
        <v>951</v>
      </c>
      <c r="B198" s="192">
        <f>SUMIF('BD VOLUME'!$E:$E,A198,'BD VOLUME'!$J:$J)</f>
        <v>0</v>
      </c>
      <c r="C198" s="192">
        <f t="shared" si="45"/>
        <v>0</v>
      </c>
      <c r="D198" s="193">
        <f>IFERROR(SUMIF('BD VOLUME'!E:E,A198,'BD VOLUME'!F:F)/Preencher!$I$11,0)</f>
        <v>0</v>
      </c>
      <c r="E198" s="193">
        <f>SUMIF('BD VOLUME'!E:E,A198,'BD VOLUME'!N:N)*'BD VOLUME'!$C$3</f>
        <v>0</v>
      </c>
      <c r="F198" s="193">
        <f>SUMIF('BD VOLUME'!E:E,A198,'BD VOLUME'!N:N)</f>
        <v>0</v>
      </c>
      <c r="G198" s="193">
        <f>H198*'BD VOLUME'!$C$3</f>
        <v>0</v>
      </c>
      <c r="H198" s="193">
        <f t="shared" si="46"/>
        <v>0</v>
      </c>
      <c r="I198" s="193">
        <f>SUMIF('BD VOLUME'!E:E,A198,'BD VOLUME'!O:O)</f>
        <v>0</v>
      </c>
      <c r="J198" s="193">
        <f>SUMIF('BD VOLUME'!E:E,A198,'BD VOLUME'!P:P)</f>
        <v>0</v>
      </c>
      <c r="K198" s="193">
        <f>SUMIF('BD VOLUME'!E:E,A198,'BD VOLUME'!Q:Q)</f>
        <v>0</v>
      </c>
      <c r="L198" s="193">
        <f>SUMIF('BD VOLUME'!E:E,A198,'BD VOLUME'!R:R)</f>
        <v>0</v>
      </c>
      <c r="M198" s="193">
        <f>SUMIF('BD VOLUME'!E:E,A198,'BD VOLUME'!S:S)</f>
        <v>0</v>
      </c>
      <c r="N198" s="193">
        <f>SUMIF('BD VOLUME'!E:E,A198,'BD VOLUME'!T:T)</f>
        <v>0</v>
      </c>
    </row>
    <row r="199" spans="1:14">
      <c r="A199" s="188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</row>
    <row r="200" spans="1:14">
      <c r="A200" s="191" t="s">
        <v>1005</v>
      </c>
      <c r="B200" s="190">
        <f>SUM(B201:B216)</f>
        <v>0.64943798093986715</v>
      </c>
      <c r="C200" s="190">
        <f>SUM(C201:C216)</f>
        <v>1</v>
      </c>
      <c r="D200" s="187">
        <f>SUBTOTAL(9,D201:D216)</f>
        <v>2586.7636363636366</v>
      </c>
      <c r="E200" s="187">
        <f>SUM(E201:E216)</f>
        <v>2586.7636363636366</v>
      </c>
      <c r="F200" s="187">
        <f>SUM(F201:F216)</f>
        <v>270.15808212675057</v>
      </c>
      <c r="G200" s="187">
        <f t="shared" ref="G200:N200" si="47">SUM(G201:G216)</f>
        <v>215.56363636363639</v>
      </c>
      <c r="H200" s="187">
        <f t="shared" si="47"/>
        <v>22.513173510562549</v>
      </c>
      <c r="I200" s="187">
        <f t="shared" si="47"/>
        <v>0</v>
      </c>
      <c r="J200" s="187">
        <f t="shared" si="47"/>
        <v>22.513173510562549</v>
      </c>
      <c r="K200" s="187">
        <f t="shared" si="47"/>
        <v>0</v>
      </c>
      <c r="L200" s="187">
        <f t="shared" si="47"/>
        <v>0</v>
      </c>
      <c r="M200" s="187">
        <f t="shared" si="47"/>
        <v>0</v>
      </c>
      <c r="N200" s="187">
        <f t="shared" si="47"/>
        <v>0</v>
      </c>
    </row>
    <row r="201" spans="1:14">
      <c r="A201" s="188" t="s">
        <v>1752</v>
      </c>
      <c r="B201" s="192">
        <f>SUMIF('BD VOLUME'!$E:$E,A201,'BD VOLUME'!$J:$J)</f>
        <v>0.64943798093986715</v>
      </c>
      <c r="C201" s="192">
        <f t="shared" ref="C201:C215" si="48">IFERROR(B201/$B$200,0)</f>
        <v>1</v>
      </c>
      <c r="D201" s="193">
        <f>IFERROR(SUMIF('BD VOLUME'!E:E,A201,'BD VOLUME'!F:F)/Preencher!$I$11,0)</f>
        <v>2586.7636363636366</v>
      </c>
      <c r="E201" s="193">
        <f>SUMIF('BD VOLUME'!E:E,A201,'BD VOLUME'!N:N)*'BD VOLUME'!$C$3</f>
        <v>2586.7636363636366</v>
      </c>
      <c r="F201" s="193">
        <f>SUMIF('BD VOLUME'!E:E,A201,'BD VOLUME'!N:N)</f>
        <v>270.15808212675057</v>
      </c>
      <c r="G201" s="193">
        <f>H201*'BD VOLUME'!$C$3</f>
        <v>215.56363636363639</v>
      </c>
      <c r="H201" s="193">
        <f>SUM(I201:M201)</f>
        <v>22.513173510562549</v>
      </c>
      <c r="I201" s="193">
        <f>SUMIF('BD VOLUME'!E:E,A201,'BD VOLUME'!O:O)</f>
        <v>0</v>
      </c>
      <c r="J201" s="193">
        <f>SUMIF('BD VOLUME'!E:E,A201,'BD VOLUME'!P:P)</f>
        <v>22.513173510562549</v>
      </c>
      <c r="K201" s="193">
        <f>SUMIF('BD VOLUME'!E:E,A201,'BD VOLUME'!Q:Q)</f>
        <v>0</v>
      </c>
      <c r="L201" s="193">
        <f>SUMIF('BD VOLUME'!E:E,A201,'BD VOLUME'!R:R)</f>
        <v>0</v>
      </c>
      <c r="M201" s="193">
        <f>SUMIF('BD VOLUME'!E:E,A201,'BD VOLUME'!S:S)</f>
        <v>0</v>
      </c>
      <c r="N201" s="193">
        <f>SUMIF('BD VOLUME'!E:E,A201,'BD VOLUME'!T:T)</f>
        <v>0</v>
      </c>
    </row>
    <row r="202" spans="1:14">
      <c r="A202" s="188" t="s">
        <v>1753</v>
      </c>
      <c r="B202" s="192">
        <f>SUMIF('BD VOLUME'!$E:$E,A202,'BD VOLUME'!$J:$J)</f>
        <v>0</v>
      </c>
      <c r="C202" s="192">
        <f t="shared" si="48"/>
        <v>0</v>
      </c>
      <c r="D202" s="193">
        <f>IFERROR(SUMIF('BD VOLUME'!E:E,A202,'BD VOLUME'!F:F)/Preencher!$I$11,0)</f>
        <v>0</v>
      </c>
      <c r="E202" s="193">
        <f>SUMIF('BD VOLUME'!E:E,A202,'BD VOLUME'!N:N)*'BD VOLUME'!$C$3</f>
        <v>0</v>
      </c>
      <c r="F202" s="193">
        <f>SUMIF('BD VOLUME'!E:E,A202,'BD VOLUME'!N:N)</f>
        <v>0</v>
      </c>
      <c r="G202" s="193">
        <f>H202*'BD VOLUME'!$C$3</f>
        <v>0</v>
      </c>
      <c r="H202" s="193">
        <f>SUM(I202:M202)</f>
        <v>0</v>
      </c>
      <c r="I202" s="193">
        <f>SUMIF('BD VOLUME'!E:E,A202,'BD VOLUME'!O:O)</f>
        <v>0</v>
      </c>
      <c r="J202" s="193">
        <f>SUMIF('BD VOLUME'!E:E,A202,'BD VOLUME'!P:P)</f>
        <v>0</v>
      </c>
      <c r="K202" s="193">
        <f>SUMIF('BD VOLUME'!E:E,A202,'BD VOLUME'!Q:Q)</f>
        <v>0</v>
      </c>
      <c r="L202" s="193">
        <f>SUMIF('BD VOLUME'!E:E,A202,'BD VOLUME'!R:R)</f>
        <v>0</v>
      </c>
      <c r="M202" s="193">
        <f>SUMIF('BD VOLUME'!E:E,A202,'BD VOLUME'!S:S)</f>
        <v>0</v>
      </c>
      <c r="N202" s="193">
        <f>SUMIF('BD VOLUME'!E:E,A202,'BD VOLUME'!T:T)</f>
        <v>0</v>
      </c>
    </row>
    <row r="203" spans="1:14">
      <c r="A203" s="188" t="s">
        <v>1845</v>
      </c>
      <c r="B203" s="192">
        <f>SUMIF('BD VOLUME'!$E:$E,A203,'BD VOLUME'!$J:$J)</f>
        <v>0</v>
      </c>
      <c r="C203" s="192">
        <f t="shared" si="48"/>
        <v>0</v>
      </c>
      <c r="D203" s="193">
        <f>IFERROR(SUMIF('BD VOLUME'!E:E,A203,'BD VOLUME'!F:F)/Preencher!$I$11,0)</f>
        <v>0</v>
      </c>
      <c r="E203" s="193">
        <f>SUMIF('BD VOLUME'!E:E,A203,'BD VOLUME'!N:N)*'BD VOLUME'!$C$3</f>
        <v>0</v>
      </c>
      <c r="F203" s="193">
        <f>SUMIF('BD VOLUME'!E:E,A203,'BD VOLUME'!N:N)</f>
        <v>0</v>
      </c>
      <c r="G203" s="193">
        <f>H203*'BD VOLUME'!$C$3</f>
        <v>0</v>
      </c>
      <c r="H203" s="193">
        <f>SUM(I203:M203)</f>
        <v>0</v>
      </c>
      <c r="I203" s="193">
        <f>SUMIF('BD VOLUME'!E:E,A203,'BD VOLUME'!O:O)</f>
        <v>0</v>
      </c>
      <c r="J203" s="193">
        <f>SUMIF('BD VOLUME'!E:E,A203,'BD VOLUME'!P:P)</f>
        <v>0</v>
      </c>
      <c r="K203" s="193">
        <f>SUMIF('BD VOLUME'!E:E,A203,'BD VOLUME'!Q:Q)</f>
        <v>0</v>
      </c>
      <c r="L203" s="193">
        <f>SUMIF('BD VOLUME'!E:E,A203,'BD VOLUME'!R:R)</f>
        <v>0</v>
      </c>
      <c r="M203" s="193">
        <f>SUMIF('BD VOLUME'!E:E,A203,'BD VOLUME'!S:S)</f>
        <v>0</v>
      </c>
      <c r="N203" s="193">
        <f>SUMIF('BD VOLUME'!E:E,A203,'BD VOLUME'!T:T)</f>
        <v>0</v>
      </c>
    </row>
    <row r="204" spans="1:14">
      <c r="A204" s="188" t="s">
        <v>1006</v>
      </c>
      <c r="B204" s="192">
        <f>SUMIF('BD VOLUME'!$E:$E,A204,'BD VOLUME'!$J:$J)</f>
        <v>0</v>
      </c>
      <c r="C204" s="192">
        <f t="shared" si="48"/>
        <v>0</v>
      </c>
      <c r="D204" s="193">
        <f>IFERROR(SUMIF('BD VOLUME'!E:E,A204,'BD VOLUME'!F:F)/Preencher!$I$11,0)</f>
        <v>0</v>
      </c>
      <c r="E204" s="193">
        <f>SUMIF('BD VOLUME'!E:E,A204,'BD VOLUME'!N:N)*'BD VOLUME'!$C$3</f>
        <v>0</v>
      </c>
      <c r="F204" s="193">
        <f>SUMIF('BD VOLUME'!E:E,A204,'BD VOLUME'!N:N)</f>
        <v>0</v>
      </c>
      <c r="G204" s="193">
        <f>H204*'BD VOLUME'!$C$3</f>
        <v>0</v>
      </c>
      <c r="H204" s="193">
        <f>SUM(I204:M204)</f>
        <v>0</v>
      </c>
      <c r="I204" s="193">
        <f>SUMIF('BD VOLUME'!E:E,A204,'BD VOLUME'!O:O)</f>
        <v>0</v>
      </c>
      <c r="J204" s="193">
        <f>SUMIF('BD VOLUME'!E:E,A204,'BD VOLUME'!P:P)</f>
        <v>0</v>
      </c>
      <c r="K204" s="193">
        <f>SUMIF('BD VOLUME'!E:E,A204,'BD VOLUME'!Q:Q)</f>
        <v>0</v>
      </c>
      <c r="L204" s="193">
        <f>SUMIF('BD VOLUME'!E:E,A204,'BD VOLUME'!R:R)</f>
        <v>0</v>
      </c>
      <c r="M204" s="193">
        <f>SUMIF('BD VOLUME'!E:E,A204,'BD VOLUME'!S:S)</f>
        <v>0</v>
      </c>
      <c r="N204" s="193">
        <f>SUMIF('BD VOLUME'!E:E,A204,'BD VOLUME'!T:T)</f>
        <v>0</v>
      </c>
    </row>
    <row r="205" spans="1:14">
      <c r="A205" s="188" t="s">
        <v>1826</v>
      </c>
      <c r="B205" s="192">
        <f>SUMIF('BD VOLUME'!$E:$E,A205,'BD VOLUME'!$J:$J)/2</f>
        <v>0</v>
      </c>
      <c r="C205" s="192">
        <f t="shared" si="48"/>
        <v>0</v>
      </c>
      <c r="D205" s="193">
        <f>IFERROR(SUMIF('BD VOLUME'!E:E,A205,'BD VOLUME'!F:F)/Preencher!$I$11,0)/2</f>
        <v>0</v>
      </c>
      <c r="E205" s="193">
        <f>SUMIF('BD VOLUME'!E:E,A205,'BD VOLUME'!N:N)*'BD VOLUME'!$C$3/2</f>
        <v>0</v>
      </c>
      <c r="F205" s="193">
        <f>SUMIF('BD VOLUME'!E:E,A205,'BD VOLUME'!N:N)/2</f>
        <v>0</v>
      </c>
      <c r="G205" s="193">
        <f>H205*'BD VOLUME'!$C$3</f>
        <v>0</v>
      </c>
      <c r="H205" s="193">
        <f>SUM(I205:M205)/2</f>
        <v>0</v>
      </c>
      <c r="I205" s="193">
        <f>SUMIF('BD VOLUME'!E:E,A205,'BD VOLUME'!O:O)/2</f>
        <v>0</v>
      </c>
      <c r="J205" s="193">
        <f>SUMIF('BD VOLUME'!E:E,A205,'BD VOLUME'!P:P)/2</f>
        <v>0</v>
      </c>
      <c r="K205" s="193">
        <f>SUMIF('BD VOLUME'!E:E,A205,'BD VOLUME'!Q:Q)/2</f>
        <v>0</v>
      </c>
      <c r="L205" s="193">
        <f>SUMIF('BD VOLUME'!E:E,A205,'BD VOLUME'!R:R)/2</f>
        <v>0</v>
      </c>
      <c r="M205" s="193">
        <f>SUMIF('BD VOLUME'!E:E,A205,'BD VOLUME'!S:S)/2</f>
        <v>0</v>
      </c>
      <c r="N205" s="193">
        <f>SUMIF('BD VOLUME'!E:E,A205,'BD VOLUME'!T:T)/2</f>
        <v>0</v>
      </c>
    </row>
    <row r="206" spans="1:14">
      <c r="A206" s="188" t="s">
        <v>1007</v>
      </c>
      <c r="B206" s="192">
        <f>SUMIF('BD VOLUME'!$E:$E,A206,'BD VOLUME'!$J:$J)</f>
        <v>0</v>
      </c>
      <c r="C206" s="192">
        <f t="shared" si="48"/>
        <v>0</v>
      </c>
      <c r="D206" s="193">
        <f>IFERROR(SUMIF('BD VOLUME'!E:E,A206,'BD VOLUME'!F:F)/Preencher!$I$11,0)</f>
        <v>0</v>
      </c>
      <c r="E206" s="193">
        <f>SUMIF('BD VOLUME'!E:E,A206,'BD VOLUME'!N:N)*'BD VOLUME'!$C$3</f>
        <v>0</v>
      </c>
      <c r="F206" s="193">
        <f>SUMIF('BD VOLUME'!E:E,A206,'BD VOLUME'!N:N)</f>
        <v>0</v>
      </c>
      <c r="G206" s="193">
        <f>H206*'BD VOLUME'!$C$3</f>
        <v>0</v>
      </c>
      <c r="H206" s="193">
        <f t="shared" ref="H206:H215" si="49">SUM(I206:M206)</f>
        <v>0</v>
      </c>
      <c r="I206" s="193">
        <f>SUMIF('BD VOLUME'!E:E,A206,'BD VOLUME'!O:O)</f>
        <v>0</v>
      </c>
      <c r="J206" s="193">
        <f>SUMIF('BD VOLUME'!E:E,A206,'BD VOLUME'!P:P)</f>
        <v>0</v>
      </c>
      <c r="K206" s="193">
        <f>SUMIF('BD VOLUME'!E:E,A206,'BD VOLUME'!Q:Q)</f>
        <v>0</v>
      </c>
      <c r="L206" s="193">
        <f>SUMIF('BD VOLUME'!E:E,A206,'BD VOLUME'!R:R)</f>
        <v>0</v>
      </c>
      <c r="M206" s="193">
        <f>SUMIF('BD VOLUME'!E:E,A206,'BD VOLUME'!S:S)</f>
        <v>0</v>
      </c>
      <c r="N206" s="193">
        <f>SUMIF('BD VOLUME'!E:E,A206,'BD VOLUME'!T:T)</f>
        <v>0</v>
      </c>
    </row>
    <row r="207" spans="1:14">
      <c r="A207" s="188" t="s">
        <v>2563</v>
      </c>
      <c r="B207" s="192">
        <f>SUMIF('BD VOLUME'!$E:$E,A207,'BD VOLUME'!$J:$J)</f>
        <v>0</v>
      </c>
      <c r="C207" s="192">
        <f t="shared" si="48"/>
        <v>0</v>
      </c>
      <c r="D207" s="193">
        <f>IFERROR(SUMIF('BD VOLUME'!E:E,A207,'BD VOLUME'!F:F)/Preencher!$I$11,0)</f>
        <v>0</v>
      </c>
      <c r="E207" s="193">
        <f>SUMIF('BD VOLUME'!E:E,A207,'BD VOLUME'!N:N)*'BD VOLUME'!$C$3</f>
        <v>0</v>
      </c>
      <c r="F207" s="193">
        <f>SUMIF('BD VOLUME'!E:E,A207,'BD VOLUME'!N:N)</f>
        <v>0</v>
      </c>
      <c r="G207" s="193">
        <f>H207*'BD VOLUME'!$C$3</f>
        <v>0</v>
      </c>
      <c r="H207" s="193">
        <f>SUM(I207:M207)</f>
        <v>0</v>
      </c>
      <c r="I207" s="193">
        <f>SUMIF('BD VOLUME'!E:E,A207,'BD VOLUME'!O:O)</f>
        <v>0</v>
      </c>
      <c r="J207" s="193">
        <f>SUMIF('BD VOLUME'!E:E,A207,'BD VOLUME'!P:P)</f>
        <v>0</v>
      </c>
      <c r="K207" s="193">
        <f>SUMIF('BD VOLUME'!E:E,A207,'BD VOLUME'!Q:Q)</f>
        <v>0</v>
      </c>
      <c r="L207" s="193">
        <f>SUMIF('BD VOLUME'!E:E,A207,'BD VOLUME'!R:R)</f>
        <v>0</v>
      </c>
      <c r="M207" s="193">
        <f>SUMIF('BD VOLUME'!E:E,A207,'BD VOLUME'!S:S)</f>
        <v>0</v>
      </c>
      <c r="N207" s="193">
        <f>SUMIF('BD VOLUME'!E:E,A207,'BD VOLUME'!T:T)</f>
        <v>0</v>
      </c>
    </row>
    <row r="208" spans="1:14">
      <c r="A208" s="188" t="s">
        <v>1008</v>
      </c>
      <c r="B208" s="192">
        <f>SUMIF('BD VOLUME'!$E:$E,A208,'BD VOLUME'!$J:$J)</f>
        <v>0</v>
      </c>
      <c r="C208" s="192">
        <f t="shared" si="48"/>
        <v>0</v>
      </c>
      <c r="D208" s="193">
        <f>IFERROR(SUMIF('BD VOLUME'!E:E,A208,'BD VOLUME'!F:F)/Preencher!$I$11,0)</f>
        <v>0</v>
      </c>
      <c r="E208" s="193">
        <f>SUMIF('BD VOLUME'!E:E,A208,'BD VOLUME'!N:N)*'BD VOLUME'!$C$3</f>
        <v>0</v>
      </c>
      <c r="F208" s="193">
        <f>SUMIF('BD VOLUME'!E:E,A208,'BD VOLUME'!N:N)</f>
        <v>0</v>
      </c>
      <c r="G208" s="193">
        <f>H208*'BD VOLUME'!$C$3</f>
        <v>0</v>
      </c>
      <c r="H208" s="193">
        <f t="shared" si="49"/>
        <v>0</v>
      </c>
      <c r="I208" s="193">
        <f>SUMIF('BD VOLUME'!E:E,A208,'BD VOLUME'!O:O)</f>
        <v>0</v>
      </c>
      <c r="J208" s="193">
        <f>SUMIF('BD VOLUME'!E:E,A208,'BD VOLUME'!P:P)</f>
        <v>0</v>
      </c>
      <c r="K208" s="193">
        <f>SUMIF('BD VOLUME'!E:E,A208,'BD VOLUME'!Q:Q)</f>
        <v>0</v>
      </c>
      <c r="L208" s="193">
        <f>SUMIF('BD VOLUME'!E:E,A208,'BD VOLUME'!R:R)</f>
        <v>0</v>
      </c>
      <c r="M208" s="193">
        <f>SUMIF('BD VOLUME'!E:E,A208,'BD VOLUME'!S:S)</f>
        <v>0</v>
      </c>
      <c r="N208" s="193">
        <f>SUMIF('BD VOLUME'!E:E,A208,'BD VOLUME'!T:T)</f>
        <v>0</v>
      </c>
    </row>
    <row r="209" spans="1:14">
      <c r="A209" s="188" t="s">
        <v>1881</v>
      </c>
      <c r="B209" s="192">
        <f>SUMIF('BD VOLUME'!$E:$E,A209,'BD VOLUME'!$J:$J)</f>
        <v>0</v>
      </c>
      <c r="C209" s="192">
        <f t="shared" si="48"/>
        <v>0</v>
      </c>
      <c r="D209" s="193">
        <f>IFERROR(SUMIF('BD VOLUME'!E:E,A209,'BD VOLUME'!F:F)/Preencher!$I$11,0)</f>
        <v>0</v>
      </c>
      <c r="E209" s="193">
        <f>SUMIF('BD VOLUME'!E:E,A209,'BD VOLUME'!N:N)*'BD VOLUME'!$C$3</f>
        <v>0</v>
      </c>
      <c r="F209" s="193">
        <f>SUMIF('BD VOLUME'!E:E,A209,'BD VOLUME'!N:N)</f>
        <v>0</v>
      </c>
      <c r="G209" s="193">
        <f>H209*'BD VOLUME'!$C$3</f>
        <v>0</v>
      </c>
      <c r="H209" s="193">
        <f>SUM(I209:M209)</f>
        <v>0</v>
      </c>
      <c r="I209" s="193">
        <f>SUMIF('BD VOLUME'!E:E,A209,'BD VOLUME'!O:O)</f>
        <v>0</v>
      </c>
      <c r="J209" s="193">
        <f>SUMIF('BD VOLUME'!E:E,A209,'BD VOLUME'!P:P)</f>
        <v>0</v>
      </c>
      <c r="K209" s="193">
        <f>SUMIF('BD VOLUME'!E:E,A209,'BD VOLUME'!Q:Q)</f>
        <v>0</v>
      </c>
      <c r="L209" s="193">
        <f>SUMIF('BD VOLUME'!E:E,A209,'BD VOLUME'!R:R)</f>
        <v>0</v>
      </c>
      <c r="M209" s="193">
        <f>SUMIF('BD VOLUME'!E:E,A209,'BD VOLUME'!S:S)</f>
        <v>0</v>
      </c>
      <c r="N209" s="193">
        <f>SUMIF('BD VOLUME'!E:E,A209,'BD VOLUME'!T:T)</f>
        <v>0</v>
      </c>
    </row>
    <row r="210" spans="1:14">
      <c r="A210" s="188" t="s">
        <v>1009</v>
      </c>
      <c r="B210" s="192">
        <f>SUMIF('BD VOLUME'!$E:$E,A210,'BD VOLUME'!$J:$J)</f>
        <v>0</v>
      </c>
      <c r="C210" s="192">
        <f t="shared" si="48"/>
        <v>0</v>
      </c>
      <c r="D210" s="193">
        <f>IFERROR(SUMIF('BD VOLUME'!E:E,A210,'BD VOLUME'!F:F)/Preencher!$I$11,0)</f>
        <v>0</v>
      </c>
      <c r="E210" s="193">
        <f>SUMIF('BD VOLUME'!E:E,A210,'BD VOLUME'!N:N)*'BD VOLUME'!$C$3</f>
        <v>0</v>
      </c>
      <c r="F210" s="193">
        <f>SUMIF('BD VOLUME'!E:E,A210,'BD VOLUME'!N:N)</f>
        <v>0</v>
      </c>
      <c r="G210" s="193">
        <f>H210*'BD VOLUME'!$C$3</f>
        <v>0</v>
      </c>
      <c r="H210" s="193">
        <f t="shared" si="49"/>
        <v>0</v>
      </c>
      <c r="I210" s="193">
        <f>SUMIF('BD VOLUME'!E:E,A210,'BD VOLUME'!O:O)</f>
        <v>0</v>
      </c>
      <c r="J210" s="193">
        <f>SUMIF('BD VOLUME'!E:E,A210,'BD VOLUME'!P:P)</f>
        <v>0</v>
      </c>
      <c r="K210" s="193">
        <f>SUMIF('BD VOLUME'!E:E,A210,'BD VOLUME'!Q:Q)</f>
        <v>0</v>
      </c>
      <c r="L210" s="193">
        <f>SUMIF('BD VOLUME'!E:E,A210,'BD VOLUME'!R:R)</f>
        <v>0</v>
      </c>
      <c r="M210" s="193">
        <f>SUMIF('BD VOLUME'!E:E,A210,'BD VOLUME'!S:S)</f>
        <v>0</v>
      </c>
      <c r="N210" s="193">
        <f>SUMIF('BD VOLUME'!E:E,A210,'BD VOLUME'!T:T)</f>
        <v>0</v>
      </c>
    </row>
    <row r="211" spans="1:14">
      <c r="A211" s="188" t="s">
        <v>1010</v>
      </c>
      <c r="B211" s="192">
        <f>SUMIF('BD VOLUME'!$E:$E,A211,'BD VOLUME'!$J:$J)</f>
        <v>0</v>
      </c>
      <c r="C211" s="192">
        <f t="shared" si="48"/>
        <v>0</v>
      </c>
      <c r="D211" s="193">
        <f>IFERROR(SUMIF('BD VOLUME'!E:E,A211,'BD VOLUME'!F:F)/Preencher!$I$11,0)</f>
        <v>0</v>
      </c>
      <c r="E211" s="193">
        <f>SUMIF('BD VOLUME'!E:E,A211,'BD VOLUME'!N:N)*'BD VOLUME'!$C$3</f>
        <v>0</v>
      </c>
      <c r="F211" s="193">
        <f>SUMIF('BD VOLUME'!E:E,A211,'BD VOLUME'!N:N)</f>
        <v>0</v>
      </c>
      <c r="G211" s="193">
        <f>H211*'BD VOLUME'!$C$3</f>
        <v>0</v>
      </c>
      <c r="H211" s="193">
        <f t="shared" si="49"/>
        <v>0</v>
      </c>
      <c r="I211" s="193">
        <f>SUMIF('BD VOLUME'!E:E,A211,'BD VOLUME'!O:O)</f>
        <v>0</v>
      </c>
      <c r="J211" s="193">
        <f>SUMIF('BD VOLUME'!E:E,A211,'BD VOLUME'!P:P)</f>
        <v>0</v>
      </c>
      <c r="K211" s="193">
        <f>SUMIF('BD VOLUME'!E:E,A211,'BD VOLUME'!Q:Q)</f>
        <v>0</v>
      </c>
      <c r="L211" s="193">
        <f>SUMIF('BD VOLUME'!E:E,A211,'BD VOLUME'!R:R)</f>
        <v>0</v>
      </c>
      <c r="M211" s="193">
        <f>SUMIF('BD VOLUME'!E:E,A211,'BD VOLUME'!S:S)</f>
        <v>0</v>
      </c>
      <c r="N211" s="193">
        <f>SUMIF('BD VOLUME'!E:E,A211,'BD VOLUME'!T:T)</f>
        <v>0</v>
      </c>
    </row>
    <row r="212" spans="1:14">
      <c r="A212" s="188" t="s">
        <v>1011</v>
      </c>
      <c r="B212" s="192">
        <f>SUMIF('BD VOLUME'!$E:$E,A212,'BD VOLUME'!$J:$J)</f>
        <v>0</v>
      </c>
      <c r="C212" s="192">
        <f t="shared" si="48"/>
        <v>0</v>
      </c>
      <c r="D212" s="193">
        <f>IFERROR(SUMIF('BD VOLUME'!E:E,A212,'BD VOLUME'!F:F)/Preencher!$I$11,0)</f>
        <v>0</v>
      </c>
      <c r="E212" s="193">
        <f>SUMIF('BD VOLUME'!E:E,A212,'BD VOLUME'!N:N)*'BD VOLUME'!$C$3</f>
        <v>0</v>
      </c>
      <c r="F212" s="193">
        <f>SUMIF('BD VOLUME'!E:E,A212,'BD VOLUME'!N:N)</f>
        <v>0</v>
      </c>
      <c r="G212" s="193">
        <f>H212*'BD VOLUME'!$C$3</f>
        <v>0</v>
      </c>
      <c r="H212" s="193">
        <f t="shared" si="49"/>
        <v>0</v>
      </c>
      <c r="I212" s="193">
        <f>SUMIF('BD VOLUME'!E:E,A212,'BD VOLUME'!O:O)</f>
        <v>0</v>
      </c>
      <c r="J212" s="193">
        <f>SUMIF('BD VOLUME'!E:E,A212,'BD VOLUME'!P:P)</f>
        <v>0</v>
      </c>
      <c r="K212" s="193">
        <f>SUMIF('BD VOLUME'!E:E,A212,'BD VOLUME'!Q:Q)</f>
        <v>0</v>
      </c>
      <c r="L212" s="193">
        <f>SUMIF('BD VOLUME'!E:E,A212,'BD VOLUME'!R:R)</f>
        <v>0</v>
      </c>
      <c r="M212" s="193">
        <f>SUMIF('BD VOLUME'!E:E,A212,'BD VOLUME'!S:S)</f>
        <v>0</v>
      </c>
      <c r="N212" s="193">
        <f>SUMIF('BD VOLUME'!E:E,A212,'BD VOLUME'!T:T)</f>
        <v>0</v>
      </c>
    </row>
    <row r="213" spans="1:14">
      <c r="A213" s="188" t="s">
        <v>1838</v>
      </c>
      <c r="B213" s="192">
        <f>SUMIF('BD VOLUME'!$E:$E,A213,'BD VOLUME'!$J:$J)</f>
        <v>0</v>
      </c>
      <c r="C213" s="192">
        <f t="shared" si="48"/>
        <v>0</v>
      </c>
      <c r="D213" s="193">
        <f>IFERROR(SUMIF('BD VOLUME'!E:E,A213,'BD VOLUME'!F:F)/Preencher!$I$11,0)</f>
        <v>0</v>
      </c>
      <c r="E213" s="193">
        <f>SUMIF('BD VOLUME'!E:E,A213,'BD VOLUME'!N:N)*'BD VOLUME'!$C$3</f>
        <v>0</v>
      </c>
      <c r="F213" s="193">
        <f>SUMIF('BD VOLUME'!E:E,A213,'BD VOLUME'!N:N)</f>
        <v>0</v>
      </c>
      <c r="G213" s="193">
        <f>H213*'BD VOLUME'!$C$3</f>
        <v>0</v>
      </c>
      <c r="H213" s="193">
        <f>SUM(I213:M213)</f>
        <v>0</v>
      </c>
      <c r="I213" s="193">
        <f>SUMIF('BD VOLUME'!E:E,A213,'BD VOLUME'!O:O)</f>
        <v>0</v>
      </c>
      <c r="J213" s="193">
        <f>SUMIF('BD VOLUME'!E:E,A213,'BD VOLUME'!P:P)</f>
        <v>0</v>
      </c>
      <c r="K213" s="193">
        <f>SUMIF('BD VOLUME'!E:E,A213,'BD VOLUME'!Q:Q)</f>
        <v>0</v>
      </c>
      <c r="L213" s="193">
        <f>SUMIF('BD VOLUME'!E:E,A213,'BD VOLUME'!R:R)</f>
        <v>0</v>
      </c>
      <c r="M213" s="193">
        <f>SUMIF('BD VOLUME'!E:E,A213,'BD VOLUME'!S:S)</f>
        <v>0</v>
      </c>
      <c r="N213" s="193">
        <f>SUMIF('BD VOLUME'!E:E,A213,'BD VOLUME'!T:T)</f>
        <v>0</v>
      </c>
    </row>
    <row r="214" spans="1:14">
      <c r="A214" s="188" t="s">
        <v>1756</v>
      </c>
      <c r="B214" s="192">
        <f>SUMIF('BD VOLUME'!$E:$E,A214,'BD VOLUME'!$J:$J)</f>
        <v>0</v>
      </c>
      <c r="C214" s="192">
        <f t="shared" si="48"/>
        <v>0</v>
      </c>
      <c r="D214" s="193">
        <f>IFERROR(SUMIF('BD VOLUME'!E:E,A214,'BD VOLUME'!F:F)/Preencher!$I$11,0)</f>
        <v>0</v>
      </c>
      <c r="E214" s="193">
        <f>SUMIF('BD VOLUME'!E:E,A214,'BD VOLUME'!N:N)*'BD VOLUME'!$C$3</f>
        <v>0</v>
      </c>
      <c r="F214" s="193">
        <f>SUMIF('BD VOLUME'!E:E,A214,'BD VOLUME'!N:N)</f>
        <v>0</v>
      </c>
      <c r="G214" s="193">
        <f>H214*'BD VOLUME'!$C$3</f>
        <v>0</v>
      </c>
      <c r="H214" s="193">
        <f>SUM(I214:M214)</f>
        <v>0</v>
      </c>
      <c r="I214" s="193">
        <f>SUMIF('BD VOLUME'!E:E,A214,'BD VOLUME'!O:O)</f>
        <v>0</v>
      </c>
      <c r="J214" s="193">
        <f>SUMIF('BD VOLUME'!E:E,A214,'BD VOLUME'!P:P)</f>
        <v>0</v>
      </c>
      <c r="K214" s="193">
        <f>SUMIF('BD VOLUME'!E:E,A214,'BD VOLUME'!Q:Q)</f>
        <v>0</v>
      </c>
      <c r="L214" s="193">
        <f>SUMIF('BD VOLUME'!E:E,A214,'BD VOLUME'!R:R)</f>
        <v>0</v>
      </c>
      <c r="M214" s="193">
        <f>SUMIF('BD VOLUME'!E:E,A214,'BD VOLUME'!S:S)</f>
        <v>0</v>
      </c>
      <c r="N214" s="193">
        <f>SUMIF('BD VOLUME'!E:E,A214,'BD VOLUME'!T:T)</f>
        <v>0</v>
      </c>
    </row>
    <row r="215" spans="1:14">
      <c r="A215" s="188" t="s">
        <v>1012</v>
      </c>
      <c r="B215" s="192">
        <f>SUMIF('BD VOLUME'!$E:$E,A215,'BD VOLUME'!$J:$J)</f>
        <v>0</v>
      </c>
      <c r="C215" s="192">
        <f t="shared" si="48"/>
        <v>0</v>
      </c>
      <c r="D215" s="193">
        <f>IFERROR(SUMIF('BD VOLUME'!E:E,A215,'BD VOLUME'!F:F)/Preencher!$I$11,0)</f>
        <v>0</v>
      </c>
      <c r="E215" s="193">
        <f>SUMIF('BD VOLUME'!E:E,A215,'BD VOLUME'!N:N)*'BD VOLUME'!$C$3</f>
        <v>0</v>
      </c>
      <c r="F215" s="193">
        <f>SUMIF('BD VOLUME'!E:E,A215,'BD VOLUME'!N:N)</f>
        <v>0</v>
      </c>
      <c r="G215" s="193">
        <f>H215*'BD VOLUME'!$C$3</f>
        <v>0</v>
      </c>
      <c r="H215" s="193">
        <f t="shared" si="49"/>
        <v>0</v>
      </c>
      <c r="I215" s="193">
        <f>SUMIF('BD VOLUME'!E:E,A215,'BD VOLUME'!O:O)</f>
        <v>0</v>
      </c>
      <c r="J215" s="193">
        <f>SUMIF('BD VOLUME'!E:E,A215,'BD VOLUME'!P:P)</f>
        <v>0</v>
      </c>
      <c r="K215" s="193">
        <f>SUMIF('BD VOLUME'!E:E,A215,'BD VOLUME'!Q:Q)</f>
        <v>0</v>
      </c>
      <c r="L215" s="193">
        <f>SUMIF('BD VOLUME'!E:E,A215,'BD VOLUME'!R:R)</f>
        <v>0</v>
      </c>
      <c r="M215" s="193">
        <f>SUMIF('BD VOLUME'!E:E,A215,'BD VOLUME'!S:S)</f>
        <v>0</v>
      </c>
      <c r="N215" s="193">
        <f>SUMIF('BD VOLUME'!E:E,A215,'BD VOLUME'!T:T)</f>
        <v>0</v>
      </c>
    </row>
    <row r="216" spans="1:14">
      <c r="A216" s="188"/>
      <c r="B216" s="192"/>
      <c r="C216" s="192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</row>
    <row r="217" spans="1:14">
      <c r="A217" s="191" t="s">
        <v>922</v>
      </c>
      <c r="B217" s="190">
        <f>SUM(B218:B234)</f>
        <v>0.62222989065599199</v>
      </c>
      <c r="C217" s="190">
        <f>SUM(C218:C234)</f>
        <v>0.99999999999999989</v>
      </c>
      <c r="D217" s="187">
        <f>SUBTOTAL(9,D218:D234)</f>
        <v>3382.6909090909094</v>
      </c>
      <c r="E217" s="187">
        <f>SUM(E218:E234)</f>
        <v>3382.6909090909094</v>
      </c>
      <c r="F217" s="187">
        <f>SUM(F218:F234)</f>
        <v>353.28364585805843</v>
      </c>
      <c r="G217" s="187">
        <f t="shared" ref="G217:N217" si="50">SUM(G218:G234)</f>
        <v>189.30909090909094</v>
      </c>
      <c r="H217" s="187">
        <f t="shared" si="50"/>
        <v>19.77118442914788</v>
      </c>
      <c r="I217" s="187">
        <f t="shared" si="50"/>
        <v>0</v>
      </c>
      <c r="J217" s="187">
        <f t="shared" si="50"/>
        <v>19.77118442914788</v>
      </c>
      <c r="K217" s="187">
        <f t="shared" si="50"/>
        <v>0</v>
      </c>
      <c r="L217" s="187">
        <f t="shared" si="50"/>
        <v>0</v>
      </c>
      <c r="M217" s="187">
        <f t="shared" si="50"/>
        <v>0</v>
      </c>
      <c r="N217" s="187">
        <f t="shared" si="50"/>
        <v>0</v>
      </c>
    </row>
    <row r="218" spans="1:14">
      <c r="A218" s="188" t="s">
        <v>1754</v>
      </c>
      <c r="B218" s="192">
        <f>SUMIF('BD VOLUME'!$E:$E,A218,'BD VOLUME'!$J:$J)</f>
        <v>0.61307945108752149</v>
      </c>
      <c r="C218" s="192">
        <f t="shared" ref="C218:C232" si="51">IFERROR(B218/$B$217,0)</f>
        <v>0.98529411764705876</v>
      </c>
      <c r="D218" s="193">
        <f>IFERROR(SUMIF('BD VOLUME'!E:E,A218,'BD VOLUME'!F:F)/Preencher!$I$11,0)</f>
        <v>3332.9454545454546</v>
      </c>
      <c r="E218" s="193">
        <f>SUMIF('BD VOLUME'!E:E,A218,'BD VOLUME'!N:N)*'BD VOLUME'!$C$3</f>
        <v>3332.9454545454546</v>
      </c>
      <c r="F218" s="193">
        <f>SUMIF('BD VOLUME'!E:E,A218,'BD VOLUME'!N:N)</f>
        <v>348.08829812485169</v>
      </c>
      <c r="G218" s="193">
        <f>H218*'BD VOLUME'!$C$3</f>
        <v>185.16363636363639</v>
      </c>
      <c r="H218" s="193">
        <f>SUM(I218:M218)</f>
        <v>19.338238784713983</v>
      </c>
      <c r="I218" s="193">
        <f>SUMIF('BD VOLUME'!E:E,A218,'BD VOLUME'!O:O)</f>
        <v>0</v>
      </c>
      <c r="J218" s="193">
        <f>SUMIF('BD VOLUME'!E:E,A218,'BD VOLUME'!P:P)</f>
        <v>19.338238784713983</v>
      </c>
      <c r="K218" s="193">
        <f>SUMIF('BD VOLUME'!E:E,A218,'BD VOLUME'!Q:Q)</f>
        <v>0</v>
      </c>
      <c r="L218" s="193">
        <f>SUMIF('BD VOLUME'!E:E,A218,'BD VOLUME'!R:R)</f>
        <v>0</v>
      </c>
      <c r="M218" s="193">
        <f>SUMIF('BD VOLUME'!E:E,A218,'BD VOLUME'!S:S)</f>
        <v>0</v>
      </c>
      <c r="N218" s="193">
        <f>SUMIF('BD VOLUME'!E:E,A218,'BD VOLUME'!T:T)</f>
        <v>0</v>
      </c>
    </row>
    <row r="219" spans="1:14">
      <c r="A219" s="188" t="s">
        <v>1755</v>
      </c>
      <c r="B219" s="192">
        <f>SUMIF('BD VOLUME'!$E:$E,A219,'BD VOLUME'!$J:$J)</f>
        <v>0</v>
      </c>
      <c r="C219" s="192">
        <f t="shared" si="51"/>
        <v>0</v>
      </c>
      <c r="D219" s="193">
        <f>IFERROR(SUMIF('BD VOLUME'!E:E,A219,'BD VOLUME'!F:F)/Preencher!$I$11,0)</f>
        <v>0</v>
      </c>
      <c r="E219" s="193">
        <f>SUMIF('BD VOLUME'!E:E,A219,'BD VOLUME'!N:N)*'BD VOLUME'!$C$3</f>
        <v>0</v>
      </c>
      <c r="F219" s="193">
        <f>SUMIF('BD VOLUME'!E:E,A219,'BD VOLUME'!N:N)</f>
        <v>0</v>
      </c>
      <c r="G219" s="193">
        <f>H219*'BD VOLUME'!$C$3</f>
        <v>0</v>
      </c>
      <c r="H219" s="193">
        <f>SUM(I219:M219)</f>
        <v>0</v>
      </c>
      <c r="I219" s="193">
        <f>SUMIF('BD VOLUME'!E:E,A219,'BD VOLUME'!O:O)</f>
        <v>0</v>
      </c>
      <c r="J219" s="193">
        <f>SUMIF('BD VOLUME'!E:E,A219,'BD VOLUME'!P:P)</f>
        <v>0</v>
      </c>
      <c r="K219" s="193">
        <f>SUMIF('BD VOLUME'!E:E,A219,'BD VOLUME'!Q:Q)</f>
        <v>0</v>
      </c>
      <c r="L219" s="193">
        <f>SUMIF('BD VOLUME'!E:E,A219,'BD VOLUME'!R:R)</f>
        <v>0</v>
      </c>
      <c r="M219" s="193">
        <f>SUMIF('BD VOLUME'!E:E,A219,'BD VOLUME'!S:S)</f>
        <v>0</v>
      </c>
      <c r="N219" s="193">
        <f>SUMIF('BD VOLUME'!E:E,A219,'BD VOLUME'!T:T)</f>
        <v>0</v>
      </c>
    </row>
    <row r="220" spans="1:14">
      <c r="A220" s="188" t="s">
        <v>1013</v>
      </c>
      <c r="B220" s="192">
        <f>SUMIF('BD VOLUME'!$E:$E,A220,'BD VOLUME'!$J:$J)</f>
        <v>0</v>
      </c>
      <c r="C220" s="192">
        <f t="shared" si="51"/>
        <v>0</v>
      </c>
      <c r="D220" s="193">
        <f>IFERROR(SUMIF('BD VOLUME'!E:E,A220,'BD VOLUME'!F:F)/Preencher!$I$11,0)</f>
        <v>0</v>
      </c>
      <c r="E220" s="193">
        <f>SUMIF('BD VOLUME'!E:E,A220,'BD VOLUME'!N:N)*'BD VOLUME'!$C$3</f>
        <v>0</v>
      </c>
      <c r="F220" s="193">
        <f>SUMIF('BD VOLUME'!E:E,A220,'BD VOLUME'!N:N)</f>
        <v>0</v>
      </c>
      <c r="G220" s="193">
        <f>H220*'BD VOLUME'!$C$3</f>
        <v>0</v>
      </c>
      <c r="H220" s="193">
        <f>SUM(I220:M220)</f>
        <v>0</v>
      </c>
      <c r="I220" s="193">
        <f>SUMIF('BD VOLUME'!E:E,A220,'BD VOLUME'!O:O)</f>
        <v>0</v>
      </c>
      <c r="J220" s="193">
        <f>SUMIF('BD VOLUME'!E:E,A220,'BD VOLUME'!P:P)</f>
        <v>0</v>
      </c>
      <c r="K220" s="193">
        <f>SUMIF('BD VOLUME'!E:E,A220,'BD VOLUME'!Q:Q)</f>
        <v>0</v>
      </c>
      <c r="L220" s="193">
        <f>SUMIF('BD VOLUME'!E:E,A220,'BD VOLUME'!R:R)</f>
        <v>0</v>
      </c>
      <c r="M220" s="193">
        <f>SUMIF('BD VOLUME'!E:E,A220,'BD VOLUME'!S:S)</f>
        <v>0</v>
      </c>
      <c r="N220" s="193">
        <f>SUMIF('BD VOLUME'!E:E,A220,'BD VOLUME'!T:T)</f>
        <v>0</v>
      </c>
    </row>
    <row r="221" spans="1:14">
      <c r="A221" s="188" t="s">
        <v>1826</v>
      </c>
      <c r="B221" s="192">
        <f>SUMIF('BD VOLUME'!$E:$E,A221,'BD VOLUME'!$J:$J)/2</f>
        <v>0</v>
      </c>
      <c r="C221" s="192">
        <f t="shared" si="51"/>
        <v>0</v>
      </c>
      <c r="D221" s="193">
        <f>IFERROR(SUMIF('BD VOLUME'!E:E,A221,'BD VOLUME'!F:F)/Preencher!$I$11,0)/2</f>
        <v>0</v>
      </c>
      <c r="E221" s="193">
        <f>SUMIF('BD VOLUME'!E:E,A221,'BD VOLUME'!N:N)*'BD VOLUME'!$C$3/2</f>
        <v>0</v>
      </c>
      <c r="F221" s="193">
        <f>SUMIF('BD VOLUME'!E:E,A221,'BD VOLUME'!N:N)/2</f>
        <v>0</v>
      </c>
      <c r="G221" s="193">
        <f>H221*'BD VOLUME'!$C$3</f>
        <v>0</v>
      </c>
      <c r="H221" s="193">
        <f>SUM(I221:M221)/2</f>
        <v>0</v>
      </c>
      <c r="I221" s="193">
        <f>SUMIF('BD VOLUME'!E:E,A221,'BD VOLUME'!O:O)/2</f>
        <v>0</v>
      </c>
      <c r="J221" s="193">
        <f>SUMIF('BD VOLUME'!E:E,A221,'BD VOLUME'!P:P)/2</f>
        <v>0</v>
      </c>
      <c r="K221" s="193">
        <f>SUMIF('BD VOLUME'!E:E,A221,'BD VOLUME'!Q:Q)/2</f>
        <v>0</v>
      </c>
      <c r="L221" s="193">
        <f>SUMIF('BD VOLUME'!E:E,A221,'BD VOLUME'!R:R)/2</f>
        <v>0</v>
      </c>
      <c r="M221" s="193">
        <f>SUMIF('BD VOLUME'!E:E,A221,'BD VOLUME'!S:S)/2</f>
        <v>0</v>
      </c>
      <c r="N221" s="193">
        <f>SUMIF('BD VOLUME'!E:E,A221,'BD VOLUME'!T:T)/2</f>
        <v>0</v>
      </c>
    </row>
    <row r="222" spans="1:14">
      <c r="A222" s="188" t="s">
        <v>1014</v>
      </c>
      <c r="B222" s="192">
        <f>SUMIF('BD VOLUME'!$E:$E,A222,'BD VOLUME'!$J:$J)</f>
        <v>0</v>
      </c>
      <c r="C222" s="192">
        <f t="shared" si="51"/>
        <v>0</v>
      </c>
      <c r="D222" s="193">
        <f>IFERROR(SUMIF('BD VOLUME'!E:E,A222,'BD VOLUME'!F:F)/Preencher!$I$11,0)</f>
        <v>0</v>
      </c>
      <c r="E222" s="193">
        <f>SUMIF('BD VOLUME'!E:E,A222,'BD VOLUME'!N:N)*'BD VOLUME'!$C$3</f>
        <v>0</v>
      </c>
      <c r="F222" s="193">
        <f>SUMIF('BD VOLUME'!E:E,A222,'BD VOLUME'!N:N)</f>
        <v>0</v>
      </c>
      <c r="G222" s="193">
        <f>H222*'BD VOLUME'!$C$3</f>
        <v>0</v>
      </c>
      <c r="H222" s="193">
        <f t="shared" ref="H222:H232" si="52">SUM(I222:M222)</f>
        <v>0</v>
      </c>
      <c r="I222" s="193">
        <f>SUMIF('BD VOLUME'!E:E,A222,'BD VOLUME'!O:O)</f>
        <v>0</v>
      </c>
      <c r="J222" s="193">
        <f>SUMIF('BD VOLUME'!E:E,A222,'BD VOLUME'!P:P)</f>
        <v>0</v>
      </c>
      <c r="K222" s="193">
        <f>SUMIF('BD VOLUME'!E:E,A222,'BD VOLUME'!Q:Q)</f>
        <v>0</v>
      </c>
      <c r="L222" s="193">
        <f>SUMIF('BD VOLUME'!E:E,A222,'BD VOLUME'!R:R)</f>
        <v>0</v>
      </c>
      <c r="M222" s="193">
        <f>SUMIF('BD VOLUME'!E:E,A222,'BD VOLUME'!S:S)</f>
        <v>0</v>
      </c>
      <c r="N222" s="193">
        <f>SUMIF('BD VOLUME'!E:E,A222,'BD VOLUME'!T:T)</f>
        <v>0</v>
      </c>
    </row>
    <row r="223" spans="1:14">
      <c r="A223" s="188" t="s">
        <v>2562</v>
      </c>
      <c r="B223" s="192">
        <f>SUMIF('BD VOLUME'!$E:$E,A223,'BD VOLUME'!$J:$J)</f>
        <v>0</v>
      </c>
      <c r="C223" s="192">
        <f t="shared" si="51"/>
        <v>0</v>
      </c>
      <c r="D223" s="193">
        <f>IFERROR(SUMIF('BD VOLUME'!E:E,A223,'BD VOLUME'!F:F)/Preencher!$I$11,0)</f>
        <v>0</v>
      </c>
      <c r="E223" s="193">
        <f>SUMIF('BD VOLUME'!E:E,A223,'BD VOLUME'!N:N)*'BD VOLUME'!$C$3</f>
        <v>0</v>
      </c>
      <c r="F223" s="193">
        <f>SUMIF('BD VOLUME'!E:E,A223,'BD VOLUME'!N:N)</f>
        <v>0</v>
      </c>
      <c r="G223" s="193">
        <f>H223*'BD VOLUME'!$C$3</f>
        <v>0</v>
      </c>
      <c r="H223" s="193">
        <f t="shared" si="52"/>
        <v>0</v>
      </c>
      <c r="I223" s="193">
        <f>SUMIF('BD VOLUME'!E:E,A223,'BD VOLUME'!O:O)</f>
        <v>0</v>
      </c>
      <c r="J223" s="193">
        <f>SUMIF('BD VOLUME'!E:E,A223,'BD VOLUME'!P:P)</f>
        <v>0</v>
      </c>
      <c r="K223" s="193">
        <f>SUMIF('BD VOLUME'!E:E,A223,'BD VOLUME'!Q:Q)</f>
        <v>0</v>
      </c>
      <c r="L223" s="193">
        <f>SUMIF('BD VOLUME'!E:E,A223,'BD VOLUME'!R:R)</f>
        <v>0</v>
      </c>
      <c r="M223" s="193">
        <f>SUMIF('BD VOLUME'!E:E,A223,'BD VOLUME'!S:S)</f>
        <v>0</v>
      </c>
      <c r="N223" s="193">
        <f>SUMIF('BD VOLUME'!E:E,A223,'BD VOLUME'!T:T)</f>
        <v>0</v>
      </c>
    </row>
    <row r="224" spans="1:14">
      <c r="A224" s="188" t="s">
        <v>1015</v>
      </c>
      <c r="B224" s="192">
        <f>SUMIF('BD VOLUME'!$E:$E,A224,'BD VOLUME'!$J:$J)</f>
        <v>9.1504395684704719E-3</v>
      </c>
      <c r="C224" s="192">
        <f t="shared" si="51"/>
        <v>1.4705882352941178E-2</v>
      </c>
      <c r="D224" s="193">
        <f>IFERROR(SUMIF('BD VOLUME'!E:E,A224,'BD VOLUME'!F:F)/Preencher!$I$11,0)</f>
        <v>49.74545454545455</v>
      </c>
      <c r="E224" s="193">
        <f>SUMIF('BD VOLUME'!E:E,A224,'BD VOLUME'!N:N)*'BD VOLUME'!$C$3</f>
        <v>49.745454545454557</v>
      </c>
      <c r="F224" s="193">
        <f>SUMIF('BD VOLUME'!E:E,A224,'BD VOLUME'!N:N)</f>
        <v>5.1953477332067424</v>
      </c>
      <c r="G224" s="193">
        <f>H224*'BD VOLUME'!$C$3</f>
        <v>4.1454545454545464</v>
      </c>
      <c r="H224" s="193">
        <f t="shared" si="52"/>
        <v>0.43294564443389522</v>
      </c>
      <c r="I224" s="193">
        <f>SUMIF('BD VOLUME'!E:E,A224,'BD VOLUME'!O:O)</f>
        <v>0</v>
      </c>
      <c r="J224" s="193">
        <f>SUMIF('BD VOLUME'!E:E,A224,'BD VOLUME'!P:P)</f>
        <v>0.43294564443389522</v>
      </c>
      <c r="K224" s="193">
        <f>SUMIF('BD VOLUME'!E:E,A224,'BD VOLUME'!Q:Q)</f>
        <v>0</v>
      </c>
      <c r="L224" s="193">
        <f>SUMIF('BD VOLUME'!E:E,A224,'BD VOLUME'!R:R)</f>
        <v>0</v>
      </c>
      <c r="M224" s="193">
        <f>SUMIF('BD VOLUME'!E:E,A224,'BD VOLUME'!S:S)</f>
        <v>0</v>
      </c>
      <c r="N224" s="193">
        <f>SUMIF('BD VOLUME'!E:E,A224,'BD VOLUME'!T:T)</f>
        <v>0</v>
      </c>
    </row>
    <row r="225" spans="1:14">
      <c r="A225" s="188" t="s">
        <v>1882</v>
      </c>
      <c r="B225" s="192">
        <f>SUMIF('BD VOLUME'!$E:$E,A225,'BD VOLUME'!$J:$J)</f>
        <v>0</v>
      </c>
      <c r="C225" s="192">
        <f t="shared" si="51"/>
        <v>0</v>
      </c>
      <c r="D225" s="193">
        <f>IFERROR(SUMIF('BD VOLUME'!E:E,A225,'BD VOLUME'!F:F)/Preencher!$I$11,0)</f>
        <v>0</v>
      </c>
      <c r="E225" s="193">
        <f>SUMIF('BD VOLUME'!E:E,A225,'BD VOLUME'!N:N)*'BD VOLUME'!$C$3</f>
        <v>0</v>
      </c>
      <c r="F225" s="193">
        <f>SUMIF('BD VOLUME'!E:E,A225,'BD VOLUME'!N:N)</f>
        <v>0</v>
      </c>
      <c r="G225" s="193">
        <f>H225*'BD VOLUME'!$C$3</f>
        <v>0</v>
      </c>
      <c r="H225" s="193">
        <f t="shared" si="52"/>
        <v>0</v>
      </c>
      <c r="I225" s="193">
        <f>SUMIF('BD VOLUME'!E:E,A225,'BD VOLUME'!O:O)</f>
        <v>0</v>
      </c>
      <c r="J225" s="193">
        <f>SUMIF('BD VOLUME'!E:E,A225,'BD VOLUME'!P:P)</f>
        <v>0</v>
      </c>
      <c r="K225" s="193">
        <f>SUMIF('BD VOLUME'!E:E,A225,'BD VOLUME'!Q:Q)</f>
        <v>0</v>
      </c>
      <c r="L225" s="193">
        <f>SUMIF('BD VOLUME'!E:E,A225,'BD VOLUME'!R:R)</f>
        <v>0</v>
      </c>
      <c r="M225" s="193">
        <f>SUMIF('BD VOLUME'!E:E,A225,'BD VOLUME'!S:S)</f>
        <v>0</v>
      </c>
      <c r="N225" s="193">
        <f>SUMIF('BD VOLUME'!E:E,A225,'BD VOLUME'!T:T)</f>
        <v>0</v>
      </c>
    </row>
    <row r="226" spans="1:14">
      <c r="A226" s="188" t="s">
        <v>1016</v>
      </c>
      <c r="B226" s="192">
        <f>SUMIF('BD VOLUME'!$E:$E,A226,'BD VOLUME'!$J:$J)</f>
        <v>0</v>
      </c>
      <c r="C226" s="192">
        <f t="shared" si="51"/>
        <v>0</v>
      </c>
      <c r="D226" s="193">
        <f>IFERROR(SUMIF('BD VOLUME'!E:E,A226,'BD VOLUME'!F:F)/Preencher!$I$11,0)</f>
        <v>0</v>
      </c>
      <c r="E226" s="193">
        <f>SUMIF('BD VOLUME'!E:E,A226,'BD VOLUME'!N:N)*'BD VOLUME'!$C$3</f>
        <v>0</v>
      </c>
      <c r="F226" s="193">
        <f>SUMIF('BD VOLUME'!E:E,A226,'BD VOLUME'!N:N)</f>
        <v>0</v>
      </c>
      <c r="G226" s="193">
        <f>H226*'BD VOLUME'!$C$3</f>
        <v>0</v>
      </c>
      <c r="H226" s="193">
        <f t="shared" si="52"/>
        <v>0</v>
      </c>
      <c r="I226" s="193">
        <f>SUMIF('BD VOLUME'!E:E,A226,'BD VOLUME'!O:O)</f>
        <v>0</v>
      </c>
      <c r="J226" s="193">
        <f>SUMIF('BD VOLUME'!E:E,A226,'BD VOLUME'!P:P)</f>
        <v>0</v>
      </c>
      <c r="K226" s="193">
        <f>SUMIF('BD VOLUME'!E:E,A226,'BD VOLUME'!Q:Q)</f>
        <v>0</v>
      </c>
      <c r="L226" s="193">
        <f>SUMIF('BD VOLUME'!E:E,A226,'BD VOLUME'!R:R)</f>
        <v>0</v>
      </c>
      <c r="M226" s="193">
        <f>SUMIF('BD VOLUME'!E:E,A226,'BD VOLUME'!S:S)</f>
        <v>0</v>
      </c>
      <c r="N226" s="193">
        <f>SUMIF('BD VOLUME'!E:E,A226,'BD VOLUME'!T:T)</f>
        <v>0</v>
      </c>
    </row>
    <row r="227" spans="1:14">
      <c r="A227" s="188" t="s">
        <v>2124</v>
      </c>
      <c r="B227" s="192">
        <f>SUMIF('BD VOLUME'!$E:$E,A227,'BD VOLUME'!$J:$J)</f>
        <v>0</v>
      </c>
      <c r="C227" s="192">
        <f t="shared" si="51"/>
        <v>0</v>
      </c>
      <c r="D227" s="193">
        <f>IFERROR(SUMIF('BD VOLUME'!E:E,A227,'BD VOLUME'!F:F)/Preencher!$I$11,0)</f>
        <v>0</v>
      </c>
      <c r="E227" s="193">
        <f>SUMIF('BD VOLUME'!E:E,A227,'BD VOLUME'!N:N)*'BD VOLUME'!$C$3</f>
        <v>0</v>
      </c>
      <c r="F227" s="193">
        <f>SUMIF('BD VOLUME'!E:E,A227,'BD VOLUME'!N:N)</f>
        <v>0</v>
      </c>
      <c r="G227" s="193">
        <f>H227*'BD VOLUME'!$C$3</f>
        <v>0</v>
      </c>
      <c r="H227" s="193">
        <f t="shared" si="52"/>
        <v>0</v>
      </c>
      <c r="I227" s="193">
        <f>SUMIF('BD VOLUME'!E:E,A227,'BD VOLUME'!O:O)</f>
        <v>0</v>
      </c>
      <c r="J227" s="193">
        <f>SUMIF('BD VOLUME'!E:E,A227,'BD VOLUME'!P:P)</f>
        <v>0</v>
      </c>
      <c r="K227" s="193">
        <f>SUMIF('BD VOLUME'!E:E,A227,'BD VOLUME'!Q:Q)</f>
        <v>0</v>
      </c>
      <c r="L227" s="193">
        <f>SUMIF('BD VOLUME'!E:E,A227,'BD VOLUME'!R:R)</f>
        <v>0</v>
      </c>
      <c r="M227" s="193">
        <f>SUMIF('BD VOLUME'!E:E,A227,'BD VOLUME'!S:S)</f>
        <v>0</v>
      </c>
      <c r="N227" s="193">
        <f>SUMIF('BD VOLUME'!E:E,A227,'BD VOLUME'!T:T)</f>
        <v>0</v>
      </c>
    </row>
    <row r="228" spans="1:14">
      <c r="A228" s="188" t="s">
        <v>1018</v>
      </c>
      <c r="B228" s="192">
        <f>SUMIF('BD VOLUME'!$E:$E,A228,'BD VOLUME'!$J:$J)</f>
        <v>0</v>
      </c>
      <c r="C228" s="192">
        <f t="shared" si="51"/>
        <v>0</v>
      </c>
      <c r="D228" s="193">
        <f>IFERROR(SUMIF('BD VOLUME'!E:E,A228,'BD VOLUME'!F:F)/Preencher!$I$11,0)</f>
        <v>0</v>
      </c>
      <c r="E228" s="193">
        <f>SUMIF('BD VOLUME'!E:E,A228,'BD VOLUME'!N:N)*'BD VOLUME'!$C$3</f>
        <v>0</v>
      </c>
      <c r="F228" s="193">
        <f>SUMIF('BD VOLUME'!E:E,A228,'BD VOLUME'!N:N)</f>
        <v>0</v>
      </c>
      <c r="G228" s="193">
        <f>H228*'BD VOLUME'!$C$3</f>
        <v>0</v>
      </c>
      <c r="H228" s="193">
        <f t="shared" si="52"/>
        <v>0</v>
      </c>
      <c r="I228" s="193">
        <f>SUMIF('BD VOLUME'!E:E,A228,'BD VOLUME'!O:O)</f>
        <v>0</v>
      </c>
      <c r="J228" s="193">
        <f>SUMIF('BD VOLUME'!E:E,A228,'BD VOLUME'!P:P)</f>
        <v>0</v>
      </c>
      <c r="K228" s="193">
        <f>SUMIF('BD VOLUME'!E:E,A228,'BD VOLUME'!Q:Q)</f>
        <v>0</v>
      </c>
      <c r="L228" s="193">
        <f>SUMIF('BD VOLUME'!E:E,A228,'BD VOLUME'!R:R)</f>
        <v>0</v>
      </c>
      <c r="M228" s="193">
        <f>SUMIF('BD VOLUME'!E:E,A228,'BD VOLUME'!S:S)</f>
        <v>0</v>
      </c>
      <c r="N228" s="193">
        <f>SUMIF('BD VOLUME'!E:E,A228,'BD VOLUME'!T:T)</f>
        <v>0</v>
      </c>
    </row>
    <row r="229" spans="1:14">
      <c r="A229" s="188" t="s">
        <v>1839</v>
      </c>
      <c r="B229" s="192">
        <f>SUMIF('BD VOLUME'!$E:$E,A229,'BD VOLUME'!$J:$J)</f>
        <v>0</v>
      </c>
      <c r="C229" s="192">
        <f t="shared" si="51"/>
        <v>0</v>
      </c>
      <c r="D229" s="193">
        <f>IFERROR(SUMIF('BD VOLUME'!E:E,A229,'BD VOLUME'!F:F)/Preencher!$I$11,0)</f>
        <v>0</v>
      </c>
      <c r="E229" s="193">
        <f>SUMIF('BD VOLUME'!E:E,A229,'BD VOLUME'!N:N)*'BD VOLUME'!$C$3</f>
        <v>0</v>
      </c>
      <c r="F229" s="193">
        <f>SUMIF('BD VOLUME'!E:E,A229,'BD VOLUME'!N:N)</f>
        <v>0</v>
      </c>
      <c r="G229" s="193">
        <f>H229*'BD VOLUME'!$C$3</f>
        <v>0</v>
      </c>
      <c r="H229" s="193">
        <f t="shared" si="52"/>
        <v>0</v>
      </c>
      <c r="I229" s="193">
        <f>SUMIF('BD VOLUME'!E:E,A229,'BD VOLUME'!O:O)</f>
        <v>0</v>
      </c>
      <c r="J229" s="193">
        <f>SUMIF('BD VOLUME'!E:E,A229,'BD VOLUME'!P:P)</f>
        <v>0</v>
      </c>
      <c r="K229" s="193">
        <f>SUMIF('BD VOLUME'!E:E,A229,'BD VOLUME'!Q:Q)</f>
        <v>0</v>
      </c>
      <c r="L229" s="193">
        <f>SUMIF('BD VOLUME'!E:E,A229,'BD VOLUME'!R:R)</f>
        <v>0</v>
      </c>
      <c r="M229" s="193">
        <f>SUMIF('BD VOLUME'!E:E,A229,'BD VOLUME'!S:S)</f>
        <v>0</v>
      </c>
      <c r="N229" s="193">
        <f>SUMIF('BD VOLUME'!E:E,A229,'BD VOLUME'!T:T)</f>
        <v>0</v>
      </c>
    </row>
    <row r="230" spans="1:14">
      <c r="A230" s="188" t="s">
        <v>1757</v>
      </c>
      <c r="B230" s="192">
        <f>SUMIF('BD VOLUME'!$E:$E,A230,'BD VOLUME'!$J:$J)</f>
        <v>0</v>
      </c>
      <c r="C230" s="192">
        <f t="shared" si="51"/>
        <v>0</v>
      </c>
      <c r="D230" s="193">
        <f>IFERROR(SUMIF('BD VOLUME'!E:E,A230,'BD VOLUME'!F:F)/Preencher!$I$11,0)</f>
        <v>0</v>
      </c>
      <c r="E230" s="193">
        <f>SUMIF('BD VOLUME'!E:E,A230,'BD VOLUME'!N:N)*'BD VOLUME'!$C$3</f>
        <v>0</v>
      </c>
      <c r="F230" s="193">
        <f>SUMIF('BD VOLUME'!E:E,A230,'BD VOLUME'!N:N)</f>
        <v>0</v>
      </c>
      <c r="G230" s="193">
        <f>H230*'BD VOLUME'!$C$3</f>
        <v>0</v>
      </c>
      <c r="H230" s="193">
        <f t="shared" si="52"/>
        <v>0</v>
      </c>
      <c r="I230" s="193">
        <f>SUMIF('BD VOLUME'!E:E,A230,'BD VOLUME'!O:O)</f>
        <v>0</v>
      </c>
      <c r="J230" s="193">
        <f>SUMIF('BD VOLUME'!E:E,A230,'BD VOLUME'!P:P)</f>
        <v>0</v>
      </c>
      <c r="K230" s="193">
        <f>SUMIF('BD VOLUME'!E:E,A230,'BD VOLUME'!Q:Q)</f>
        <v>0</v>
      </c>
      <c r="L230" s="193">
        <f>SUMIF('BD VOLUME'!E:E,A230,'BD VOLUME'!R:R)</f>
        <v>0</v>
      </c>
      <c r="M230" s="193">
        <f>SUMIF('BD VOLUME'!E:E,A230,'BD VOLUME'!S:S)</f>
        <v>0</v>
      </c>
      <c r="N230" s="193">
        <f>SUMIF('BD VOLUME'!E:E,A230,'BD VOLUME'!T:T)</f>
        <v>0</v>
      </c>
    </row>
    <row r="231" spans="1:14">
      <c r="A231" s="188" t="s">
        <v>1017</v>
      </c>
      <c r="B231" s="192">
        <f>SUMIF('BD VOLUME'!$E:$E,A231,'BD VOLUME'!$J:$J)</f>
        <v>0</v>
      </c>
      <c r="C231" s="192">
        <f t="shared" si="51"/>
        <v>0</v>
      </c>
      <c r="D231" s="193">
        <f>IFERROR(SUMIF('BD VOLUME'!E:E,A231,'BD VOLUME'!F:F)/Preencher!$I$11,0)</f>
        <v>0</v>
      </c>
      <c r="E231" s="193">
        <f>SUMIF('BD VOLUME'!E:E,A231,'BD VOLUME'!N:N)*'BD VOLUME'!$C$3</f>
        <v>0</v>
      </c>
      <c r="F231" s="193">
        <f>SUMIF('BD VOLUME'!E:E,A231,'BD VOLUME'!N:N)</f>
        <v>0</v>
      </c>
      <c r="G231" s="193">
        <f>H231*'BD VOLUME'!$C$3</f>
        <v>0</v>
      </c>
      <c r="H231" s="193">
        <f t="shared" si="52"/>
        <v>0</v>
      </c>
      <c r="I231" s="193">
        <f>SUMIF('BD VOLUME'!E:E,A231,'BD VOLUME'!O:O)</f>
        <v>0</v>
      </c>
      <c r="J231" s="193">
        <f>SUMIF('BD VOLUME'!E:E,A231,'BD VOLUME'!P:P)</f>
        <v>0</v>
      </c>
      <c r="K231" s="193">
        <f>SUMIF('BD VOLUME'!E:E,A231,'BD VOLUME'!Q:Q)</f>
        <v>0</v>
      </c>
      <c r="L231" s="193">
        <f>SUMIF('BD VOLUME'!E:E,A231,'BD VOLUME'!R:R)</f>
        <v>0</v>
      </c>
      <c r="M231" s="193">
        <f>SUMIF('BD VOLUME'!E:E,A231,'BD VOLUME'!S:S)</f>
        <v>0</v>
      </c>
      <c r="N231" s="193">
        <f>SUMIF('BD VOLUME'!E:E,A231,'BD VOLUME'!T:T)</f>
        <v>0</v>
      </c>
    </row>
    <row r="232" spans="1:14">
      <c r="A232" s="188" t="s">
        <v>2462</v>
      </c>
      <c r="B232" s="192">
        <f>SUMIF('BD VOLUME'!$E:$E,A232,'BD VOLUME'!$J:$J)</f>
        <v>0</v>
      </c>
      <c r="C232" s="192">
        <f t="shared" si="51"/>
        <v>0</v>
      </c>
      <c r="D232" s="193">
        <f>IFERROR(SUMIF('BD VOLUME'!E:E,A232,'BD VOLUME'!F:F)/Preencher!$I$11,0)</f>
        <v>0</v>
      </c>
      <c r="E232" s="193">
        <f>SUMIF('BD VOLUME'!E:E,A232,'BD VOLUME'!N:N)*'BD VOLUME'!$C$3</f>
        <v>0</v>
      </c>
      <c r="F232" s="193">
        <f>SUMIF('BD VOLUME'!E:E,A232,'BD VOLUME'!N:N)</f>
        <v>0</v>
      </c>
      <c r="G232" s="193">
        <f>H232*'BD VOLUME'!$C$3</f>
        <v>0</v>
      </c>
      <c r="H232" s="193">
        <f t="shared" si="52"/>
        <v>0</v>
      </c>
      <c r="I232" s="193">
        <f>SUMIF('BD VOLUME'!E:E,A232,'BD VOLUME'!O:O)</f>
        <v>0</v>
      </c>
      <c r="J232" s="193">
        <f>SUMIF('BD VOLUME'!E:E,A232,'BD VOLUME'!P:P)</f>
        <v>0</v>
      </c>
      <c r="K232" s="193">
        <f>SUMIF('BD VOLUME'!E:E,A232,'BD VOLUME'!Q:Q)</f>
        <v>0</v>
      </c>
      <c r="L232" s="193">
        <f>SUMIF('BD VOLUME'!E:E,A232,'BD VOLUME'!R:R)</f>
        <v>0</v>
      </c>
      <c r="M232" s="193">
        <f>SUMIF('BD VOLUME'!E:E,A232,'BD VOLUME'!S:S)</f>
        <v>0</v>
      </c>
      <c r="N232" s="193">
        <f>SUMIF('BD VOLUME'!E:E,A232,'BD VOLUME'!T:T)</f>
        <v>0</v>
      </c>
    </row>
    <row r="233" spans="1:14">
      <c r="A233" s="188" t="s">
        <v>3145</v>
      </c>
      <c r="B233" s="192">
        <f>SUMIF('BD VOLUME'!$E:$E,A233,'BD VOLUME'!$J:$J)</f>
        <v>0</v>
      </c>
      <c r="C233" s="192">
        <f t="shared" ref="C233" si="53">IFERROR(B233/$B$217,0)</f>
        <v>0</v>
      </c>
      <c r="D233" s="193">
        <f>IFERROR(SUMIF('BD VOLUME'!E:E,A233,'BD VOLUME'!F:F)/Preencher!$I$11,0)</f>
        <v>0</v>
      </c>
      <c r="E233" s="193">
        <f>SUMIF('BD VOLUME'!E:E,A233,'BD VOLUME'!N:N)*'BD VOLUME'!$C$3</f>
        <v>0</v>
      </c>
      <c r="F233" s="193">
        <f>SUMIF('BD VOLUME'!E:E,A233,'BD VOLUME'!N:N)</f>
        <v>0</v>
      </c>
      <c r="G233" s="193">
        <f>H233*'BD VOLUME'!$C$3</f>
        <v>0</v>
      </c>
      <c r="H233" s="193">
        <f t="shared" ref="H233" si="54">SUM(I233:M233)</f>
        <v>0</v>
      </c>
      <c r="I233" s="193">
        <f>SUMIF('BD VOLUME'!E:E,A233,'BD VOLUME'!O:O)</f>
        <v>0</v>
      </c>
      <c r="J233" s="193">
        <f>SUMIF('BD VOLUME'!E:E,A233,'BD VOLUME'!P:P)</f>
        <v>0</v>
      </c>
      <c r="K233" s="193">
        <f>SUMIF('BD VOLUME'!E:E,A233,'BD VOLUME'!Q:Q)</f>
        <v>0</v>
      </c>
      <c r="L233" s="193">
        <f>SUMIF('BD VOLUME'!E:E,A233,'BD VOLUME'!R:R)</f>
        <v>0</v>
      </c>
      <c r="M233" s="193">
        <f>SUMIF('BD VOLUME'!E:E,A233,'BD VOLUME'!S:S)</f>
        <v>0</v>
      </c>
      <c r="N233" s="193">
        <f>SUMIF('BD VOLUME'!E:E,A233,'BD VOLUME'!T:T)</f>
        <v>0</v>
      </c>
    </row>
    <row r="234" spans="1:14">
      <c r="N234" s="157"/>
    </row>
    <row r="235" spans="1:14">
      <c r="A235" s="188" t="s">
        <v>961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</row>
    <row r="236" spans="1:14">
      <c r="A236" s="188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</row>
    <row r="237" spans="1:14">
      <c r="A237" s="191" t="s">
        <v>896</v>
      </c>
      <c r="B237" s="190"/>
      <c r="C237" s="190"/>
      <c r="D237" s="187">
        <f>SUBTOTAL(9,D238:D252)</f>
        <v>16756.363636363632</v>
      </c>
      <c r="E237" s="187">
        <f>SUBTOTAL(9,E238:E252)</f>
        <v>1004.0470588235293</v>
      </c>
      <c r="F237" s="187">
        <f>SUBTOTAL(9,F238:F252)</f>
        <v>104.86131162647825</v>
      </c>
      <c r="G237" s="187">
        <f t="shared" ref="G237:N237" si="55">SUBTOTAL(9,G238:G252)</f>
        <v>1004.0470588235293</v>
      </c>
      <c r="H237" s="187">
        <f t="shared" si="55"/>
        <v>104.86131162647825</v>
      </c>
      <c r="I237" s="187">
        <f t="shared" si="55"/>
        <v>0</v>
      </c>
      <c r="J237" s="187">
        <f t="shared" si="55"/>
        <v>0</v>
      </c>
      <c r="K237" s="187">
        <f t="shared" si="55"/>
        <v>104.86131162647825</v>
      </c>
      <c r="L237" s="187">
        <f t="shared" si="55"/>
        <v>0</v>
      </c>
      <c r="M237" s="187">
        <f t="shared" si="55"/>
        <v>0</v>
      </c>
      <c r="N237" s="187">
        <f t="shared" si="55"/>
        <v>0</v>
      </c>
    </row>
    <row r="238" spans="1:14">
      <c r="A238" s="188" t="s">
        <v>2</v>
      </c>
      <c r="B238" s="192">
        <f>SUMIF('BD VOLUME'!$E:$E,A238,'BD VOLUME'!$J:$J)</f>
        <v>0.88969696969696954</v>
      </c>
      <c r="C238" s="192">
        <f t="shared" ref="C238:C244" si="56">IFERROR(B238,0)</f>
        <v>0.88969696969696954</v>
      </c>
      <c r="D238" s="193">
        <f>IFERROR(SUMIF('BD VOLUME'!E:E,A238,'BD VOLUME'!F:F)/Preencher!$I$11,0)</f>
        <v>14413.090909090906</v>
      </c>
      <c r="E238" s="193">
        <f>SUMIF('BD VOLUME'!E:E,A238,'BD VOLUME'!N:N)*'BD VOLUME'!$C$3</f>
        <v>847.82887700534741</v>
      </c>
      <c r="F238" s="193">
        <f>SUMIF('BD VOLUME'!E:E,A238,'BD VOLUME'!N:N)</f>
        <v>88.546096815179894</v>
      </c>
      <c r="G238" s="193">
        <f>H238*'BD VOLUME'!$C$3</f>
        <v>847.82887700534741</v>
      </c>
      <c r="H238" s="193">
        <f t="shared" ref="H238:H244" si="57">SUM(I238:M238)</f>
        <v>88.546096815179894</v>
      </c>
      <c r="I238" s="193">
        <f>SUMIF('BD VOLUME'!E:E,A238,'BD VOLUME'!O:O)</f>
        <v>0</v>
      </c>
      <c r="J238" s="193">
        <f>SUMIF('BD VOLUME'!E:E,A238,'BD VOLUME'!P:P)</f>
        <v>0</v>
      </c>
      <c r="K238" s="193">
        <f>SUMIF('BD VOLUME'!E:E,A238,'BD VOLUME'!Q:Q)</f>
        <v>88.546096815179894</v>
      </c>
      <c r="L238" s="193">
        <f>SUMIF('BD VOLUME'!E:E,A238,'BD VOLUME'!R:R)</f>
        <v>0</v>
      </c>
      <c r="M238" s="193">
        <f>SUMIF('BD VOLUME'!E:E,A238,'BD VOLUME'!S:S)</f>
        <v>0</v>
      </c>
      <c r="N238" s="193">
        <f>SUMIF('BD VOLUME'!E:E,A238,'BD VOLUME'!T:T)</f>
        <v>0</v>
      </c>
    </row>
    <row r="239" spans="1:14">
      <c r="A239" s="188" t="s">
        <v>916</v>
      </c>
      <c r="B239" s="192">
        <f>SUMIF('BD VOLUME'!$E:$E,A239,'BD VOLUME'!$J:$J)</f>
        <v>0</v>
      </c>
      <c r="C239" s="192">
        <f t="shared" si="56"/>
        <v>0</v>
      </c>
      <c r="D239" s="193">
        <f>IFERROR(SUMIF('BD VOLUME'!E:E,A239,'BD VOLUME'!F:F)/Preencher!$I$11,0)</f>
        <v>0</v>
      </c>
      <c r="E239" s="193">
        <f>SUMIF('BD VOLUME'!E:E,A239,'BD VOLUME'!N:N)*'BD VOLUME'!$C$3</f>
        <v>0</v>
      </c>
      <c r="F239" s="193">
        <f>SUMIF('BD VOLUME'!E:E,A239,'BD VOLUME'!N:N)</f>
        <v>0</v>
      </c>
      <c r="G239" s="193">
        <f>H239*'BD VOLUME'!$C$3</f>
        <v>0</v>
      </c>
      <c r="H239" s="193">
        <f t="shared" si="57"/>
        <v>0</v>
      </c>
      <c r="I239" s="193">
        <f>SUMIF('BD VOLUME'!E:E,A239,'BD VOLUME'!O:O)</f>
        <v>0</v>
      </c>
      <c r="J239" s="193">
        <f>SUMIF('BD VOLUME'!E:E,A239,'BD VOLUME'!P:P)</f>
        <v>0</v>
      </c>
      <c r="K239" s="193">
        <f>SUMIF('BD VOLUME'!E:E,A239,'BD VOLUME'!Q:Q)</f>
        <v>0</v>
      </c>
      <c r="L239" s="193">
        <f>SUMIF('BD VOLUME'!E:E,A239,'BD VOLUME'!R:R)</f>
        <v>0</v>
      </c>
      <c r="M239" s="193">
        <f>SUMIF('BD VOLUME'!E:E,A239,'BD VOLUME'!S:S)</f>
        <v>0</v>
      </c>
      <c r="N239" s="193">
        <f>SUMIF('BD VOLUME'!E:E,A239,'BD VOLUME'!T:T)</f>
        <v>0</v>
      </c>
    </row>
    <row r="240" spans="1:14">
      <c r="A240" s="188" t="s">
        <v>915</v>
      </c>
      <c r="B240" s="192">
        <f>SUMIF('BD VOLUME'!$E:$E,A240,'BD VOLUME'!$J:$J)</f>
        <v>0</v>
      </c>
      <c r="C240" s="192">
        <f t="shared" si="56"/>
        <v>0</v>
      </c>
      <c r="D240" s="193">
        <f>IFERROR(SUMIF('BD VOLUME'!E:E,A240,'BD VOLUME'!F:F)/Preencher!$I$11,0)</f>
        <v>0</v>
      </c>
      <c r="E240" s="193">
        <f>SUMIF('BD VOLUME'!E:E,A240,'BD VOLUME'!N:N)*'BD VOLUME'!$C$3</f>
        <v>0</v>
      </c>
      <c r="F240" s="193">
        <f>SUMIF('BD VOLUME'!E:E,A240,'BD VOLUME'!N:N)</f>
        <v>0</v>
      </c>
      <c r="G240" s="193">
        <f>H240*'BD VOLUME'!$C$3</f>
        <v>0</v>
      </c>
      <c r="H240" s="193">
        <f t="shared" si="57"/>
        <v>0</v>
      </c>
      <c r="I240" s="193">
        <f>SUMIF('BD VOLUME'!E:E,A240,'BD VOLUME'!O:O)</f>
        <v>0</v>
      </c>
      <c r="J240" s="193">
        <f>SUMIF('BD VOLUME'!E:E,A240,'BD VOLUME'!P:P)</f>
        <v>0</v>
      </c>
      <c r="K240" s="193">
        <f>SUMIF('BD VOLUME'!E:E,A240,'BD VOLUME'!Q:Q)</f>
        <v>0</v>
      </c>
      <c r="L240" s="193">
        <f>SUMIF('BD VOLUME'!E:E,A240,'BD VOLUME'!R:R)</f>
        <v>0</v>
      </c>
      <c r="M240" s="193">
        <f>SUMIF('BD VOLUME'!E:E,A240,'BD VOLUME'!S:S)</f>
        <v>0</v>
      </c>
      <c r="N240" s="193">
        <f>SUMIF('BD VOLUME'!E:E,A240,'BD VOLUME'!T:T)</f>
        <v>0</v>
      </c>
    </row>
    <row r="241" spans="1:16">
      <c r="A241" s="188" t="s">
        <v>913</v>
      </c>
      <c r="B241" s="192">
        <f>SUMIF('BD VOLUME'!$E:$E,A241,'BD VOLUME'!$J:$J)</f>
        <v>0</v>
      </c>
      <c r="C241" s="192">
        <f t="shared" si="56"/>
        <v>0</v>
      </c>
      <c r="D241" s="193">
        <f>IFERROR(SUMIF('BD VOLUME'!E:E,A241,'BD VOLUME'!F:F)/Preencher!$I$11,0)</f>
        <v>0</v>
      </c>
      <c r="E241" s="193">
        <f>SUMIF('BD VOLUME'!E:E,A241,'BD VOLUME'!N:N)*'BD VOLUME'!$C$3</f>
        <v>0</v>
      </c>
      <c r="F241" s="193">
        <f>SUMIF('BD VOLUME'!E:E,A241,'BD VOLUME'!N:N)</f>
        <v>0</v>
      </c>
      <c r="G241" s="193">
        <f>H241*'BD VOLUME'!$C$3</f>
        <v>0</v>
      </c>
      <c r="H241" s="193">
        <f t="shared" si="57"/>
        <v>0</v>
      </c>
      <c r="I241" s="193">
        <f>SUMIF('BD VOLUME'!E:E,A241,'BD VOLUME'!O:O)</f>
        <v>0</v>
      </c>
      <c r="J241" s="193">
        <f>SUMIF('BD VOLUME'!E:E,A241,'BD VOLUME'!P:P)</f>
        <v>0</v>
      </c>
      <c r="K241" s="193">
        <f>SUMIF('BD VOLUME'!E:E,A241,'BD VOLUME'!Q:Q)</f>
        <v>0</v>
      </c>
      <c r="L241" s="193">
        <f>SUMIF('BD VOLUME'!E:E,A241,'BD VOLUME'!R:R)</f>
        <v>0</v>
      </c>
      <c r="M241" s="193">
        <f>SUMIF('BD VOLUME'!E:E,A241,'BD VOLUME'!S:S)</f>
        <v>0</v>
      </c>
      <c r="N241" s="193">
        <f>SUMIF('BD VOLUME'!E:E,A241,'BD VOLUME'!T:T)</f>
        <v>0</v>
      </c>
    </row>
    <row r="242" spans="1:16">
      <c r="A242" s="188" t="s">
        <v>912</v>
      </c>
      <c r="B242" s="192">
        <f>SUMIF('BD VOLUME'!$E:$E,A242,'BD VOLUME'!$J:$J)</f>
        <v>0</v>
      </c>
      <c r="C242" s="192">
        <f t="shared" si="56"/>
        <v>0</v>
      </c>
      <c r="D242" s="193">
        <f>IFERROR(SUMIF('BD VOLUME'!E:E,A242,'BD VOLUME'!F:F)/Preencher!$I$11,0)</f>
        <v>0</v>
      </c>
      <c r="E242" s="193">
        <f>SUMIF('BD VOLUME'!E:E,A242,'BD VOLUME'!N:N)*'BD VOLUME'!$C$3</f>
        <v>0</v>
      </c>
      <c r="F242" s="193">
        <f>SUMIF('BD VOLUME'!E:E,A242,'BD VOLUME'!N:N)</f>
        <v>0</v>
      </c>
      <c r="G242" s="193">
        <f>H242*'BD VOLUME'!$C$3</f>
        <v>0</v>
      </c>
      <c r="H242" s="193">
        <f t="shared" si="57"/>
        <v>0</v>
      </c>
      <c r="I242" s="193">
        <f>SUMIF('BD VOLUME'!E:E,A242,'BD VOLUME'!O:O)</f>
        <v>0</v>
      </c>
      <c r="J242" s="193">
        <f>SUMIF('BD VOLUME'!E:E,A242,'BD VOLUME'!P:P)</f>
        <v>0</v>
      </c>
      <c r="K242" s="193">
        <f>SUMIF('BD VOLUME'!E:E,A242,'BD VOLUME'!Q:Q)</f>
        <v>0</v>
      </c>
      <c r="L242" s="193">
        <f>SUMIF('BD VOLUME'!E:E,A242,'BD VOLUME'!R:R)</f>
        <v>0</v>
      </c>
      <c r="M242" s="193">
        <f>SUMIF('BD VOLUME'!E:E,A242,'BD VOLUME'!S:S)</f>
        <v>0</v>
      </c>
      <c r="N242" s="193">
        <f>SUMIF('BD VOLUME'!E:E,A242,'BD VOLUME'!T:T)</f>
        <v>0</v>
      </c>
    </row>
    <row r="243" spans="1:16">
      <c r="A243" s="188" t="s">
        <v>1129</v>
      </c>
      <c r="B243" s="192">
        <f>SUMIF('BD VOLUME'!$E:$E,A243,'BD VOLUME'!$J:$J)</f>
        <v>0</v>
      </c>
      <c r="C243" s="192">
        <f t="shared" si="56"/>
        <v>0</v>
      </c>
      <c r="D243" s="193">
        <f>IFERROR(SUMIF('BD VOLUME'!E:E,A243,'BD VOLUME'!F:F)/Preencher!$I$11,0)</f>
        <v>0</v>
      </c>
      <c r="E243" s="193">
        <f>SUMIF('BD VOLUME'!E:E,A243,'BD VOLUME'!N:N)*'BD VOLUME'!$C$3</f>
        <v>0</v>
      </c>
      <c r="F243" s="193">
        <f>SUMIF('BD VOLUME'!E:E,A243,'BD VOLUME'!N:N)</f>
        <v>0</v>
      </c>
      <c r="G243" s="193">
        <f>H243*'BD VOLUME'!$C$3</f>
        <v>0</v>
      </c>
      <c r="H243" s="193">
        <f t="shared" si="57"/>
        <v>0</v>
      </c>
      <c r="I243" s="193">
        <f>SUMIF('BD VOLUME'!E:E,A243,'BD VOLUME'!O:O)</f>
        <v>0</v>
      </c>
      <c r="J243" s="193">
        <f>SUMIF('BD VOLUME'!E:E,A243,'BD VOLUME'!P:P)</f>
        <v>0</v>
      </c>
      <c r="K243" s="193">
        <f>SUMIF('BD VOLUME'!E:E,A243,'BD VOLUME'!Q:Q)</f>
        <v>0</v>
      </c>
      <c r="L243" s="193">
        <f>SUMIF('BD VOLUME'!E:E,A243,'BD VOLUME'!R:R)</f>
        <v>0</v>
      </c>
      <c r="M243" s="193">
        <f>SUMIF('BD VOLUME'!E:E,A243,'BD VOLUME'!S:S)</f>
        <v>0</v>
      </c>
      <c r="N243" s="193">
        <f>SUMIF('BD VOLUME'!E:E,A243,'BD VOLUME'!T:T)</f>
        <v>0</v>
      </c>
    </row>
    <row r="244" spans="1:16">
      <c r="A244" s="188" t="s">
        <v>974</v>
      </c>
      <c r="B244" s="192">
        <f>SUMIF('BD VOLUME'!$E:$E,A244,'BD VOLUME'!$J:$J)</f>
        <v>0</v>
      </c>
      <c r="C244" s="192">
        <f t="shared" si="56"/>
        <v>0</v>
      </c>
      <c r="D244" s="193">
        <f>IFERROR(SUMIF('BD VOLUME'!E:E,A244,'BD VOLUME'!F:F)/Preencher!$I$11,0)</f>
        <v>0</v>
      </c>
      <c r="E244" s="193">
        <f>SUMIF('BD VOLUME'!E:E,A244,'BD VOLUME'!N:N)*'BD VOLUME'!$C$3</f>
        <v>0</v>
      </c>
      <c r="F244" s="193">
        <f>SUMIF('BD VOLUME'!E:E,A244,'BD VOLUME'!N:N)</f>
        <v>0</v>
      </c>
      <c r="G244" s="193">
        <f>H244*'BD VOLUME'!$C$3</f>
        <v>0</v>
      </c>
      <c r="H244" s="193">
        <f t="shared" si="57"/>
        <v>0</v>
      </c>
      <c r="I244" s="193">
        <f>SUMIF('BD VOLUME'!E:E,A244,'BD VOLUME'!O:O)</f>
        <v>0</v>
      </c>
      <c r="J244" s="193">
        <f>SUMIF('BD VOLUME'!E:E,A244,'BD VOLUME'!P:P)</f>
        <v>0</v>
      </c>
      <c r="K244" s="193">
        <f>SUMIF('BD VOLUME'!E:E,A244,'BD VOLUME'!Q:Q)</f>
        <v>0</v>
      </c>
      <c r="L244" s="193">
        <f>SUMIF('BD VOLUME'!E:E,A244,'BD VOLUME'!R:R)</f>
        <v>0</v>
      </c>
      <c r="M244" s="193">
        <f>SUMIF('BD VOLUME'!E:E,A244,'BD VOLUME'!S:S)</f>
        <v>0</v>
      </c>
      <c r="N244" s="193">
        <f>SUMIF('BD VOLUME'!E:E,A244,'BD VOLUME'!T:T)</f>
        <v>0</v>
      </c>
    </row>
    <row r="245" spans="1:16">
      <c r="A245" s="213" t="s">
        <v>914</v>
      </c>
      <c r="B245" s="214">
        <f>SUBTOTAL(9,B246:B247)</f>
        <v>0.6656501846095445</v>
      </c>
      <c r="C245" s="214">
        <f>SUBTOTAL(9,C246:C247)</f>
        <v>1</v>
      </c>
      <c r="D245" s="215">
        <f>SUBTOTAL(9,D246:D247)</f>
        <v>2343.2727272727275</v>
      </c>
      <c r="E245" s="215">
        <f>SUBTOTAL(9,E246:E247)</f>
        <v>156.21818181818182</v>
      </c>
      <c r="F245" s="215">
        <f>SUBTOTAL(9,F246:F247)</f>
        <v>16.315214811298365</v>
      </c>
      <c r="G245" s="215">
        <f t="shared" ref="G245:N245" si="58">SUBTOTAL(9,G246:G247)</f>
        <v>156.21818181818182</v>
      </c>
      <c r="H245" s="215">
        <f t="shared" si="58"/>
        <v>16.315214811298365</v>
      </c>
      <c r="I245" s="215">
        <f t="shared" si="58"/>
        <v>0</v>
      </c>
      <c r="J245" s="215">
        <f t="shared" si="58"/>
        <v>0</v>
      </c>
      <c r="K245" s="215">
        <f t="shared" si="58"/>
        <v>16.315214811298365</v>
      </c>
      <c r="L245" s="215">
        <f t="shared" si="58"/>
        <v>0</v>
      </c>
      <c r="M245" s="215">
        <f t="shared" si="58"/>
        <v>0</v>
      </c>
      <c r="N245" s="215">
        <f t="shared" si="58"/>
        <v>0</v>
      </c>
    </row>
    <row r="246" spans="1:16">
      <c r="A246" s="161" t="s">
        <v>996</v>
      </c>
      <c r="B246" s="162">
        <f>SUMIF('BD VOLUME'!$E:$E,A246,'BD VOLUME'!$J:$J)</f>
        <v>0.6656501846095445</v>
      </c>
      <c r="C246" s="162">
        <f>IFERROR(B246/B245,0)</f>
        <v>1</v>
      </c>
      <c r="D246" s="163">
        <f>IFERROR(SUMIF('BD VOLUME'!E:E,A246,'BD VOLUME'!F:F)/Preencher!$I$11,0)</f>
        <v>2343.2727272727275</v>
      </c>
      <c r="E246" s="163">
        <f>SUMIF('BD VOLUME'!E:E,A246,'BD VOLUME'!N:N)*'BD VOLUME'!$C$3</f>
        <v>156.21818181818182</v>
      </c>
      <c r="F246" s="163">
        <f>SUMIF('BD VOLUME'!E:E,A246,'BD VOLUME'!N:N)</f>
        <v>16.315214811298365</v>
      </c>
      <c r="G246" s="163">
        <f>H246*'BD VOLUME'!$C$3</f>
        <v>156.21818181818182</v>
      </c>
      <c r="H246" s="163">
        <f>SUM(I246:M246)</f>
        <v>16.315214811298365</v>
      </c>
      <c r="I246" s="163">
        <f>SUMIF('BD VOLUME'!E:E,A246,'BD VOLUME'!O:O)</f>
        <v>0</v>
      </c>
      <c r="J246" s="163">
        <f>SUMIF('BD VOLUME'!E:E,A246,'BD VOLUME'!P:P)</f>
        <v>0</v>
      </c>
      <c r="K246" s="163">
        <f>SUMIF('BD VOLUME'!E:E,A246,'BD VOLUME'!Q:Q)</f>
        <v>16.315214811298365</v>
      </c>
      <c r="L246" s="163">
        <f>SUMIF('BD VOLUME'!E:E,A246,'BD VOLUME'!R:R)</f>
        <v>0</v>
      </c>
      <c r="M246" s="163">
        <f>SUMIF('BD VOLUME'!E:E,A246,'BD VOLUME'!S:S)</f>
        <v>0</v>
      </c>
      <c r="N246" s="163">
        <f>SUMIF('BD VOLUME'!E:E,A246,'BD VOLUME'!T:T)</f>
        <v>0</v>
      </c>
      <c r="P246" s="123">
        <f>60/24</f>
        <v>2.5</v>
      </c>
    </row>
    <row r="247" spans="1:16">
      <c r="A247" s="161" t="s">
        <v>997</v>
      </c>
      <c r="B247" s="162">
        <f>SUMIF('BD VOLUME'!$E:$E,A247,'BD VOLUME'!$J:$J)</f>
        <v>0</v>
      </c>
      <c r="C247" s="162">
        <f>IFERROR(B247/B245,0)</f>
        <v>0</v>
      </c>
      <c r="D247" s="163">
        <f>IFERROR(SUMIF('BD VOLUME'!E:E,A247,'BD VOLUME'!F:F)/Preencher!$I$11,0)</f>
        <v>0</v>
      </c>
      <c r="E247" s="163">
        <f>SUMIF('BD VOLUME'!E:E,A247,'BD VOLUME'!N:N)*'BD VOLUME'!$C$3</f>
        <v>0</v>
      </c>
      <c r="F247" s="163">
        <f>SUMIF('BD VOLUME'!E:E,A247,'BD VOLUME'!N:N)</f>
        <v>0</v>
      </c>
      <c r="G247" s="163">
        <f>H247*'BD VOLUME'!$C$3</f>
        <v>0</v>
      </c>
      <c r="H247" s="163">
        <f>SUM(I247:M247)</f>
        <v>0</v>
      </c>
      <c r="I247" s="163">
        <f>SUMIF('BD VOLUME'!E:E,A247,'BD VOLUME'!O:O)</f>
        <v>0</v>
      </c>
      <c r="J247" s="163">
        <f>SUMIF('BD VOLUME'!E:E,A247,'BD VOLUME'!P:P)</f>
        <v>0</v>
      </c>
      <c r="K247" s="163">
        <f>SUMIF('BD VOLUME'!E:E,A247,'BD VOLUME'!Q:Q)</f>
        <v>0</v>
      </c>
      <c r="L247" s="163">
        <f>SUMIF('BD VOLUME'!E:E,A247,'BD VOLUME'!R:R)</f>
        <v>0</v>
      </c>
      <c r="M247" s="163">
        <f>SUMIF('BD VOLUME'!E:E,A247,'BD VOLUME'!S:S)</f>
        <v>0</v>
      </c>
      <c r="N247" s="163">
        <f>SUMIF('BD VOLUME'!E:E,A247,'BD VOLUME'!T:T)</f>
        <v>0</v>
      </c>
    </row>
    <row r="248" spans="1:16">
      <c r="A248" s="213" t="s">
        <v>1359</v>
      </c>
      <c r="B248" s="214">
        <f>SUBTOTAL(9,B249:B250)</f>
        <v>0</v>
      </c>
      <c r="C248" s="214">
        <f>SUBTOTAL(9,C249:C250)</f>
        <v>0</v>
      </c>
      <c r="D248" s="215">
        <f>SUBTOTAL(9,D249:D250)</f>
        <v>0</v>
      </c>
      <c r="E248" s="215">
        <f>SUBTOTAL(9,E249:E250)</f>
        <v>0</v>
      </c>
      <c r="F248" s="215">
        <f>SUBTOTAL(9,F249:F250)</f>
        <v>0</v>
      </c>
      <c r="G248" s="215">
        <f t="shared" ref="G248:N248" si="59">SUBTOTAL(9,G249:G250)</f>
        <v>0</v>
      </c>
      <c r="H248" s="215">
        <f t="shared" si="59"/>
        <v>0</v>
      </c>
      <c r="I248" s="215">
        <f t="shared" si="59"/>
        <v>0</v>
      </c>
      <c r="J248" s="215">
        <f t="shared" si="59"/>
        <v>0</v>
      </c>
      <c r="K248" s="215">
        <f t="shared" si="59"/>
        <v>0</v>
      </c>
      <c r="L248" s="215">
        <f t="shared" si="59"/>
        <v>0</v>
      </c>
      <c r="M248" s="215">
        <f t="shared" si="59"/>
        <v>0</v>
      </c>
      <c r="N248" s="215">
        <f t="shared" si="59"/>
        <v>0</v>
      </c>
    </row>
    <row r="249" spans="1:16">
      <c r="A249" s="161" t="s">
        <v>911</v>
      </c>
      <c r="B249" s="162">
        <f>SUMIF('BD VOLUME'!$E:$E,A249,'BD VOLUME'!$J:$J)</f>
        <v>0</v>
      </c>
      <c r="C249" s="162">
        <f>IFERROR(B249/B248,0)</f>
        <v>0</v>
      </c>
      <c r="D249" s="163">
        <f>IFERROR(SUMIF('BD VOLUME'!E:E,A249,'BD VOLUME'!F:F)/Preencher!$I$11,0)</f>
        <v>0</v>
      </c>
      <c r="E249" s="163">
        <f>SUMIF('BD VOLUME'!E:E,A249,'BD VOLUME'!N:N)*'BD VOLUME'!$C$3</f>
        <v>0</v>
      </c>
      <c r="F249" s="163">
        <f>SUMIF('BD VOLUME'!E:E,A249,'BD VOLUME'!N:N)</f>
        <v>0</v>
      </c>
      <c r="G249" s="163">
        <f>H249*'BD VOLUME'!$C$3</f>
        <v>0</v>
      </c>
      <c r="H249" s="163">
        <f>SUM(I249:M249)</f>
        <v>0</v>
      </c>
      <c r="I249" s="163">
        <f>SUMIF('BD VOLUME'!E:E,A249,'BD VOLUME'!O:O)</f>
        <v>0</v>
      </c>
      <c r="J249" s="163">
        <f>SUMIF('BD VOLUME'!E:E,A249,'BD VOLUME'!P:P)</f>
        <v>0</v>
      </c>
      <c r="K249" s="163">
        <f>SUMIF('BD VOLUME'!E:E,A249,'BD VOLUME'!Q:Q)</f>
        <v>0</v>
      </c>
      <c r="L249" s="163">
        <f>SUMIF('BD VOLUME'!E:E,A249,'BD VOLUME'!R:R)</f>
        <v>0</v>
      </c>
      <c r="M249" s="163">
        <f>SUMIF('BD VOLUME'!E:E,A249,'BD VOLUME'!S:S)</f>
        <v>0</v>
      </c>
      <c r="N249" s="163">
        <f>SUMIF('BD VOLUME'!E:E,A249,'BD VOLUME'!T:T)</f>
        <v>0</v>
      </c>
    </row>
    <row r="250" spans="1:16">
      <c r="A250" s="161" t="s">
        <v>1020</v>
      </c>
      <c r="B250" s="162">
        <f>SUMIF('BD VOLUME'!$E:$E,A250,'BD VOLUME'!$J:$J)</f>
        <v>0</v>
      </c>
      <c r="C250" s="162">
        <f>IFERROR(B250/B248,0)</f>
        <v>0</v>
      </c>
      <c r="D250" s="163">
        <f>IFERROR(SUMIF('BD VOLUME'!E:E,A250,'BD VOLUME'!F:F)/Preencher!$I$11,0)</f>
        <v>0</v>
      </c>
      <c r="E250" s="163">
        <f>SUMIF('BD VOLUME'!E:E,A250,'BD VOLUME'!N:N)*'BD VOLUME'!$C$3</f>
        <v>0</v>
      </c>
      <c r="F250" s="163">
        <f>SUMIF('BD VOLUME'!E:E,A250,'BD VOLUME'!N:N)</f>
        <v>0</v>
      </c>
      <c r="G250" s="163">
        <f>H250*'BD VOLUME'!$C$3</f>
        <v>0</v>
      </c>
      <c r="H250" s="163">
        <f>SUM(I250:M250)</f>
        <v>0</v>
      </c>
      <c r="I250" s="163">
        <f>SUMIF('BD VOLUME'!E:E,A250,'BD VOLUME'!O:O)</f>
        <v>0</v>
      </c>
      <c r="J250" s="163">
        <f>SUMIF('BD VOLUME'!E:E,A250,'BD VOLUME'!P:P)</f>
        <v>0</v>
      </c>
      <c r="K250" s="163">
        <f>SUMIF('BD VOLUME'!E:E,A250,'BD VOLUME'!Q:Q)</f>
        <v>0</v>
      </c>
      <c r="L250" s="163">
        <f>SUMIF('BD VOLUME'!E:E,A250,'BD VOLUME'!R:R)</f>
        <v>0</v>
      </c>
      <c r="M250" s="163">
        <f>SUMIF('BD VOLUME'!E:E,A250,'BD VOLUME'!S:S)</f>
        <v>0</v>
      </c>
      <c r="N250" s="163">
        <f>SUMIF('BD VOLUME'!E:E,A250,'BD VOLUME'!T:T)</f>
        <v>0</v>
      </c>
    </row>
    <row r="251" spans="1:16">
      <c r="A251" s="213" t="s">
        <v>995</v>
      </c>
      <c r="B251" s="214">
        <f t="shared" ref="B251:N251" si="60">SUBTOTAL(9,B252:B259)</f>
        <v>0</v>
      </c>
      <c r="C251" s="214">
        <f t="shared" si="60"/>
        <v>0</v>
      </c>
      <c r="D251" s="215">
        <f t="shared" si="60"/>
        <v>0</v>
      </c>
      <c r="E251" s="215">
        <f t="shared" si="60"/>
        <v>0</v>
      </c>
      <c r="F251" s="215">
        <f t="shared" si="60"/>
        <v>0</v>
      </c>
      <c r="G251" s="215">
        <f t="shared" si="60"/>
        <v>0</v>
      </c>
      <c r="H251" s="215">
        <f t="shared" si="60"/>
        <v>0</v>
      </c>
      <c r="I251" s="215">
        <f t="shared" si="60"/>
        <v>0</v>
      </c>
      <c r="J251" s="215">
        <f t="shared" si="60"/>
        <v>0</v>
      </c>
      <c r="K251" s="215">
        <f t="shared" si="60"/>
        <v>0</v>
      </c>
      <c r="L251" s="215">
        <f t="shared" si="60"/>
        <v>0</v>
      </c>
      <c r="M251" s="215">
        <f t="shared" si="60"/>
        <v>0</v>
      </c>
      <c r="N251" s="215">
        <f t="shared" si="60"/>
        <v>0</v>
      </c>
    </row>
    <row r="252" spans="1:16">
      <c r="A252" s="161" t="s">
        <v>1437</v>
      </c>
      <c r="B252" s="162">
        <f>SUMIF('BD VOLUME'!$E:$E,A252,'BD VOLUME'!$J:$J)</f>
        <v>0</v>
      </c>
      <c r="C252" s="162">
        <f>IFERROR(B252/B251,0)</f>
        <v>0</v>
      </c>
      <c r="D252" s="163">
        <f>IFERROR(SUMIF('BD VOLUME'!E:E,A252,'BD VOLUME'!F:F)/Preencher!$I$11,0)</f>
        <v>0</v>
      </c>
      <c r="E252" s="163">
        <f>SUMIF('BD VOLUME'!E:E,A252,'BD VOLUME'!N:N)*'BD VOLUME'!$C$3</f>
        <v>0</v>
      </c>
      <c r="F252" s="163">
        <f>SUMIF('BD VOLUME'!E:E,A252,'BD VOLUME'!N:N)</f>
        <v>0</v>
      </c>
      <c r="G252" s="163">
        <f>H252*'BD VOLUME'!$C$3</f>
        <v>0</v>
      </c>
      <c r="H252" s="163">
        <f t="shared" ref="H252:H259" si="61">SUM(I252:M252)</f>
        <v>0</v>
      </c>
      <c r="I252" s="163">
        <f>SUMIF('BD VOLUME'!E:E,A252,'BD VOLUME'!O:O)</f>
        <v>0</v>
      </c>
      <c r="J252" s="163">
        <f>SUMIF('BD VOLUME'!E:E,A252,'BD VOLUME'!P:P)</f>
        <v>0</v>
      </c>
      <c r="K252" s="163">
        <f>SUMIF('BD VOLUME'!E:E,A252,'BD VOLUME'!Q:Q)</f>
        <v>0</v>
      </c>
      <c r="L252" s="163">
        <f>SUMIF('BD VOLUME'!E:E,A252,'BD VOLUME'!R:R)</f>
        <v>0</v>
      </c>
      <c r="M252" s="163">
        <f>SUMIF('BD VOLUME'!E:E,A252,'BD VOLUME'!S:S)</f>
        <v>0</v>
      </c>
      <c r="N252" s="163">
        <f>SUMIF('BD VOLUME'!E:E,A252,'BD VOLUME'!T:T)</f>
        <v>0</v>
      </c>
    </row>
    <row r="253" spans="1:16">
      <c r="A253" s="161" t="s">
        <v>1438</v>
      </c>
      <c r="B253" s="162">
        <f>SUMIF('BD VOLUME'!$E:$E,A253,'BD VOLUME'!$J:$J)</f>
        <v>0</v>
      </c>
      <c r="C253" s="162">
        <f t="shared" ref="C253:C259" si="62">IFERROR(B253/$B$251,0)</f>
        <v>0</v>
      </c>
      <c r="D253" s="163">
        <f>IFERROR(SUMIF('BD VOLUME'!E:E,A253,'BD VOLUME'!F:F)/Preencher!$I$11,0)</f>
        <v>0</v>
      </c>
      <c r="E253" s="163">
        <f>SUMIF('BD VOLUME'!E:E,A253,'BD VOLUME'!N:N)*'BD VOLUME'!$C$3</f>
        <v>0</v>
      </c>
      <c r="F253" s="163">
        <f>SUMIF('BD VOLUME'!E:E,A253,'BD VOLUME'!N:N)</f>
        <v>0</v>
      </c>
      <c r="G253" s="163">
        <f>H253*'BD VOLUME'!$C$3</f>
        <v>0</v>
      </c>
      <c r="H253" s="163">
        <f t="shared" si="61"/>
        <v>0</v>
      </c>
      <c r="I253" s="163">
        <f>SUMIF('BD VOLUME'!E:E,A253,'BD VOLUME'!O:O)</f>
        <v>0</v>
      </c>
      <c r="J253" s="163">
        <f>SUMIF('BD VOLUME'!E:E,A253,'BD VOLUME'!P:P)</f>
        <v>0</v>
      </c>
      <c r="K253" s="163">
        <f>SUMIF('BD VOLUME'!E:E,A253,'BD VOLUME'!Q:Q)</f>
        <v>0</v>
      </c>
      <c r="L253" s="163">
        <f>SUMIF('BD VOLUME'!E:E,A253,'BD VOLUME'!R:R)</f>
        <v>0</v>
      </c>
      <c r="M253" s="163">
        <f>SUMIF('BD VOLUME'!E:E,A253,'BD VOLUME'!S:S)</f>
        <v>0</v>
      </c>
      <c r="N253" s="163">
        <f>SUMIF('BD VOLUME'!E:E,A253,'BD VOLUME'!T:T)</f>
        <v>0</v>
      </c>
    </row>
    <row r="254" spans="1:16">
      <c r="A254" s="161" t="s">
        <v>1440</v>
      </c>
      <c r="B254" s="162">
        <f>SUMIF('BD VOLUME'!$E:$E,A254,'BD VOLUME'!$J:$J)</f>
        <v>0</v>
      </c>
      <c r="C254" s="162">
        <f t="shared" si="62"/>
        <v>0</v>
      </c>
      <c r="D254" s="163">
        <f>IFERROR(SUMIF('BD VOLUME'!E:E,A254,'BD VOLUME'!F:F)/Preencher!$I$11,0)</f>
        <v>0</v>
      </c>
      <c r="E254" s="163">
        <f>SUMIF('BD VOLUME'!E:E,A254,'BD VOLUME'!N:N)*'BD VOLUME'!$C$3</f>
        <v>0</v>
      </c>
      <c r="F254" s="163">
        <f>SUMIF('BD VOLUME'!E:E,A254,'BD VOLUME'!N:N)</f>
        <v>0</v>
      </c>
      <c r="G254" s="163">
        <f>H254*'BD VOLUME'!$C$3</f>
        <v>0</v>
      </c>
      <c r="H254" s="163">
        <f t="shared" si="61"/>
        <v>0</v>
      </c>
      <c r="I254" s="163">
        <f>SUMIF('BD VOLUME'!E:E,A254,'BD VOLUME'!O:O)</f>
        <v>0</v>
      </c>
      <c r="J254" s="163">
        <f>SUMIF('BD VOLUME'!E:E,A254,'BD VOLUME'!P:P)</f>
        <v>0</v>
      </c>
      <c r="K254" s="163">
        <f>SUMIF('BD VOLUME'!E:E,A254,'BD VOLUME'!Q:Q)</f>
        <v>0</v>
      </c>
      <c r="L254" s="163">
        <f>SUMIF('BD VOLUME'!E:E,A254,'BD VOLUME'!R:R)</f>
        <v>0</v>
      </c>
      <c r="M254" s="163">
        <f>SUMIF('BD VOLUME'!E:E,A254,'BD VOLUME'!S:S)</f>
        <v>0</v>
      </c>
      <c r="N254" s="163">
        <f>SUMIF('BD VOLUME'!E:E,A254,'BD VOLUME'!T:T)</f>
        <v>0</v>
      </c>
    </row>
    <row r="255" spans="1:16">
      <c r="A255" s="161" t="s">
        <v>1441</v>
      </c>
      <c r="B255" s="162">
        <f>SUMIF('BD VOLUME'!$E:$E,A255,'BD VOLUME'!$J:$J)</f>
        <v>0</v>
      </c>
      <c r="C255" s="162">
        <f t="shared" si="62"/>
        <v>0</v>
      </c>
      <c r="D255" s="163">
        <f>IFERROR(SUMIF('BD VOLUME'!E:E,A255,'BD VOLUME'!F:F)/Preencher!$I$11,0)</f>
        <v>0</v>
      </c>
      <c r="E255" s="163">
        <f>SUMIF('BD VOLUME'!E:E,A255,'BD VOLUME'!N:N)*'BD VOLUME'!$C$3</f>
        <v>0</v>
      </c>
      <c r="F255" s="163">
        <f>SUMIF('BD VOLUME'!E:E,A255,'BD VOLUME'!N:N)</f>
        <v>0</v>
      </c>
      <c r="G255" s="163">
        <f>H255*'BD VOLUME'!$C$3</f>
        <v>0</v>
      </c>
      <c r="H255" s="163">
        <f t="shared" si="61"/>
        <v>0</v>
      </c>
      <c r="I255" s="163">
        <f>SUMIF('BD VOLUME'!E:E,A255,'BD VOLUME'!O:O)</f>
        <v>0</v>
      </c>
      <c r="J255" s="163">
        <f>SUMIF('BD VOLUME'!E:E,A255,'BD VOLUME'!P:P)</f>
        <v>0</v>
      </c>
      <c r="K255" s="163">
        <f>SUMIF('BD VOLUME'!E:E,A255,'BD VOLUME'!Q:Q)</f>
        <v>0</v>
      </c>
      <c r="L255" s="163">
        <f>SUMIF('BD VOLUME'!E:E,A255,'BD VOLUME'!R:R)</f>
        <v>0</v>
      </c>
      <c r="M255" s="163">
        <f>SUMIF('BD VOLUME'!E:E,A255,'BD VOLUME'!S:S)</f>
        <v>0</v>
      </c>
      <c r="N255" s="163">
        <f>SUMIF('BD VOLUME'!E:E,A255,'BD VOLUME'!T:T)</f>
        <v>0</v>
      </c>
    </row>
    <row r="256" spans="1:16">
      <c r="A256" s="161" t="s">
        <v>1442</v>
      </c>
      <c r="B256" s="162">
        <f>SUMIF('BD VOLUME'!$E:$E,A256,'BD VOLUME'!$J:$J)</f>
        <v>0</v>
      </c>
      <c r="C256" s="162">
        <f t="shared" si="62"/>
        <v>0</v>
      </c>
      <c r="D256" s="163">
        <f>IFERROR(SUMIF('BD VOLUME'!E:E,A256,'BD VOLUME'!F:F)/Preencher!$I$11,0)</f>
        <v>0</v>
      </c>
      <c r="E256" s="163">
        <f>SUMIF('BD VOLUME'!E:E,A256,'BD VOLUME'!N:N)*'BD VOLUME'!$C$3</f>
        <v>0</v>
      </c>
      <c r="F256" s="163">
        <f>SUMIF('BD VOLUME'!E:E,A256,'BD VOLUME'!N:N)</f>
        <v>0</v>
      </c>
      <c r="G256" s="163">
        <f>H256*'BD VOLUME'!$C$3</f>
        <v>0</v>
      </c>
      <c r="H256" s="163">
        <f t="shared" si="61"/>
        <v>0</v>
      </c>
      <c r="I256" s="163">
        <f>SUMIF('BD VOLUME'!E:E,A256,'BD VOLUME'!O:O)</f>
        <v>0</v>
      </c>
      <c r="J256" s="163">
        <f>SUMIF('BD VOLUME'!E:E,A256,'BD VOLUME'!P:P)</f>
        <v>0</v>
      </c>
      <c r="K256" s="163">
        <f>SUMIF('BD VOLUME'!E:E,A256,'BD VOLUME'!Q:Q)</f>
        <v>0</v>
      </c>
      <c r="L256" s="163">
        <f>SUMIF('BD VOLUME'!E:E,A256,'BD VOLUME'!R:R)</f>
        <v>0</v>
      </c>
      <c r="M256" s="163">
        <f>SUMIF('BD VOLUME'!E:E,A256,'BD VOLUME'!S:S)</f>
        <v>0</v>
      </c>
      <c r="N256" s="163">
        <f>SUMIF('BD VOLUME'!E:E,A256,'BD VOLUME'!T:T)</f>
        <v>0</v>
      </c>
    </row>
    <row r="257" spans="1:14">
      <c r="A257" s="161" t="s">
        <v>1443</v>
      </c>
      <c r="B257" s="162">
        <f>SUMIF('BD VOLUME'!$E:$E,A257,'BD VOLUME'!$J:$J)</f>
        <v>0</v>
      </c>
      <c r="C257" s="162">
        <f t="shared" si="62"/>
        <v>0</v>
      </c>
      <c r="D257" s="163">
        <f>IFERROR(SUMIF('BD VOLUME'!E:E,A257,'BD VOLUME'!F:F)/Preencher!$I$11,0)</f>
        <v>0</v>
      </c>
      <c r="E257" s="163">
        <f>SUMIF('BD VOLUME'!E:E,A257,'BD VOLUME'!N:N)*'BD VOLUME'!$C$3</f>
        <v>0</v>
      </c>
      <c r="F257" s="163">
        <f>SUMIF('BD VOLUME'!E:E,A257,'BD VOLUME'!N:N)</f>
        <v>0</v>
      </c>
      <c r="G257" s="163">
        <f>H257*'BD VOLUME'!$C$3</f>
        <v>0</v>
      </c>
      <c r="H257" s="163">
        <f t="shared" si="61"/>
        <v>0</v>
      </c>
      <c r="I257" s="163">
        <f>SUMIF('BD VOLUME'!E:E,A257,'BD VOLUME'!O:O)</f>
        <v>0</v>
      </c>
      <c r="J257" s="163">
        <f>SUMIF('BD VOLUME'!E:E,A257,'BD VOLUME'!P:P)</f>
        <v>0</v>
      </c>
      <c r="K257" s="163">
        <f>SUMIF('BD VOLUME'!E:E,A257,'BD VOLUME'!Q:Q)</f>
        <v>0</v>
      </c>
      <c r="L257" s="163">
        <f>SUMIF('BD VOLUME'!E:E,A257,'BD VOLUME'!R:R)</f>
        <v>0</v>
      </c>
      <c r="M257" s="163">
        <f>SUMIF('BD VOLUME'!E:E,A257,'BD VOLUME'!S:S)</f>
        <v>0</v>
      </c>
      <c r="N257" s="163">
        <f>SUMIF('BD VOLUME'!E:E,A257,'BD VOLUME'!T:T)</f>
        <v>0</v>
      </c>
    </row>
    <row r="258" spans="1:14">
      <c r="A258" s="161" t="s">
        <v>1444</v>
      </c>
      <c r="B258" s="162">
        <f>SUMIF('BD VOLUME'!$E:$E,A258,'BD VOLUME'!$J:$J)</f>
        <v>0</v>
      </c>
      <c r="C258" s="162">
        <f t="shared" si="62"/>
        <v>0</v>
      </c>
      <c r="D258" s="163">
        <f>IFERROR(SUMIF('BD VOLUME'!E:E,A258,'BD VOLUME'!F:F)/Preencher!$I$11,0)</f>
        <v>0</v>
      </c>
      <c r="E258" s="163">
        <f>SUMIF('BD VOLUME'!E:E,A258,'BD VOLUME'!N:N)*'BD VOLUME'!$C$3</f>
        <v>0</v>
      </c>
      <c r="F258" s="163">
        <f>SUMIF('BD VOLUME'!E:E,A258,'BD VOLUME'!N:N)</f>
        <v>0</v>
      </c>
      <c r="G258" s="163">
        <f>H258*'BD VOLUME'!$C$3</f>
        <v>0</v>
      </c>
      <c r="H258" s="163">
        <f t="shared" si="61"/>
        <v>0</v>
      </c>
      <c r="I258" s="163">
        <f>SUMIF('BD VOLUME'!E:E,A258,'BD VOLUME'!O:O)</f>
        <v>0</v>
      </c>
      <c r="J258" s="163">
        <f>SUMIF('BD VOLUME'!E:E,A258,'BD VOLUME'!P:P)</f>
        <v>0</v>
      </c>
      <c r="K258" s="163">
        <f>SUMIF('BD VOLUME'!E:E,A258,'BD VOLUME'!Q:Q)</f>
        <v>0</v>
      </c>
      <c r="L258" s="163">
        <f>SUMIF('BD VOLUME'!E:E,A258,'BD VOLUME'!R:R)</f>
        <v>0</v>
      </c>
      <c r="M258" s="163">
        <f>SUMIF('BD VOLUME'!E:E,A258,'BD VOLUME'!S:S)</f>
        <v>0</v>
      </c>
      <c r="N258" s="163">
        <f>SUMIF('BD VOLUME'!E:E,A258,'BD VOLUME'!T:T)</f>
        <v>0</v>
      </c>
    </row>
    <row r="259" spans="1:14">
      <c r="A259" s="161" t="s">
        <v>2561</v>
      </c>
      <c r="B259" s="162">
        <f>SUMIF('BD VOLUME'!$E:$E,A259,'BD VOLUME'!$J:$J)</f>
        <v>0</v>
      </c>
      <c r="C259" s="162">
        <f t="shared" si="62"/>
        <v>0</v>
      </c>
      <c r="D259" s="163">
        <f>IFERROR(SUMIF('BD VOLUME'!E:E,A259,'BD VOLUME'!F:F)/Preencher!$I$11,0)</f>
        <v>0</v>
      </c>
      <c r="E259" s="163">
        <f>SUMIF('BD VOLUME'!E:E,A259,'BD VOLUME'!N:N)*'BD VOLUME'!$C$3</f>
        <v>0</v>
      </c>
      <c r="F259" s="163">
        <f>SUMIF('BD VOLUME'!E:E,A259,'BD VOLUME'!N:N)</f>
        <v>0</v>
      </c>
      <c r="G259" s="163">
        <f>H259*'BD VOLUME'!$C$3</f>
        <v>0</v>
      </c>
      <c r="H259" s="163">
        <f t="shared" si="61"/>
        <v>0</v>
      </c>
      <c r="I259" s="163">
        <f>SUMIF('BD VOLUME'!E:E,A259,'BD VOLUME'!O:O)</f>
        <v>0</v>
      </c>
      <c r="J259" s="163">
        <f>SUMIF('BD VOLUME'!E:E,A259,'BD VOLUME'!P:P)</f>
        <v>0</v>
      </c>
      <c r="K259" s="163">
        <f>SUMIF('BD VOLUME'!E:E,A259,'BD VOLUME'!Q:Q)</f>
        <v>0</v>
      </c>
      <c r="L259" s="163">
        <f>SUMIF('BD VOLUME'!E:E,A259,'BD VOLUME'!R:R)</f>
        <v>0</v>
      </c>
      <c r="M259" s="163">
        <f>SUMIF('BD VOLUME'!E:E,A259,'BD VOLUME'!S:S)</f>
        <v>0</v>
      </c>
      <c r="N259" s="163">
        <f>SUMIF('BD VOLUME'!E:E,A259,'BD VOLUME'!T:T)</f>
        <v>0</v>
      </c>
    </row>
    <row r="260" spans="1:14">
      <c r="A260" s="213" t="s">
        <v>1161</v>
      </c>
      <c r="B260" s="214">
        <f>SUBTOTAL(9,B261:B262)</f>
        <v>1.21355309936989</v>
      </c>
      <c r="C260" s="214">
        <f>SUBTOTAL(9,C261:C262)</f>
        <v>1</v>
      </c>
      <c r="D260" s="215">
        <f>SUBTOTAL(9,D261:D262)</f>
        <v>916.36363636363637</v>
      </c>
      <c r="E260" s="215">
        <f>SUBTOTAL(9,E261:E262)</f>
        <v>916.36363636363637</v>
      </c>
      <c r="F260" s="215">
        <f>SUBTOTAL(9,F261:F262)</f>
        <v>95.70377403275576</v>
      </c>
      <c r="G260" s="215">
        <f t="shared" ref="G260:N260" si="63">SUBTOTAL(9,G261:G262)</f>
        <v>61.090909090909093</v>
      </c>
      <c r="H260" s="215">
        <f t="shared" si="63"/>
        <v>6.3802516021837175</v>
      </c>
      <c r="I260" s="215">
        <f t="shared" si="63"/>
        <v>0</v>
      </c>
      <c r="J260" s="215">
        <f t="shared" si="63"/>
        <v>6.3802516021837175</v>
      </c>
      <c r="K260" s="215">
        <f t="shared" si="63"/>
        <v>0</v>
      </c>
      <c r="L260" s="215">
        <f t="shared" si="63"/>
        <v>0</v>
      </c>
      <c r="M260" s="215">
        <f t="shared" si="63"/>
        <v>0</v>
      </c>
      <c r="N260" s="215">
        <f t="shared" si="63"/>
        <v>0</v>
      </c>
    </row>
    <row r="261" spans="1:14">
      <c r="A261" s="161" t="s">
        <v>1162</v>
      </c>
      <c r="B261" s="162">
        <f>SUMIF('BD VOLUME'!$E:$E,A261,'BD VOLUME'!$J:$J)</f>
        <v>1.21355309936989</v>
      </c>
      <c r="C261" s="162">
        <f>IFERROR(B261/B260,0)</f>
        <v>1</v>
      </c>
      <c r="D261" s="163">
        <f>IFERROR(SUMIF('BD VOLUME'!E:E,A261,'BD VOLUME'!F:F)/Preencher!$I$11,0)</f>
        <v>916.36363636363637</v>
      </c>
      <c r="E261" s="163">
        <f>SUMIF('BD VOLUME'!E:E,A261,'BD VOLUME'!N:N)*'BD VOLUME'!$C$3</f>
        <v>916.36363636363637</v>
      </c>
      <c r="F261" s="163">
        <f>SUMIF('BD VOLUME'!E:E,A261,'BD VOLUME'!N:N)</f>
        <v>95.70377403275576</v>
      </c>
      <c r="G261" s="163">
        <f>H261*'BD VOLUME'!$C$3</f>
        <v>61.090909090909093</v>
      </c>
      <c r="H261" s="163">
        <f>SUM(I261:M261)</f>
        <v>6.3802516021837175</v>
      </c>
      <c r="I261" s="163">
        <f>SUMIF('BD VOLUME'!E:E,A261,'BD VOLUME'!O:O)</f>
        <v>0</v>
      </c>
      <c r="J261" s="163">
        <f>SUMIF('BD VOLUME'!E:E,A261,'BD VOLUME'!P:P)</f>
        <v>6.3802516021837175</v>
      </c>
      <c r="K261" s="163">
        <f>SUMIF('BD VOLUME'!E:E,A261,'BD VOLUME'!Q:Q)</f>
        <v>0</v>
      </c>
      <c r="L261" s="163">
        <f>SUMIF('BD VOLUME'!E:E,A261,'BD VOLUME'!R:R)</f>
        <v>0</v>
      </c>
      <c r="M261" s="163">
        <f>SUMIF('BD VOLUME'!E:E,A261,'BD VOLUME'!S:S)</f>
        <v>0</v>
      </c>
      <c r="N261" s="163">
        <f>SUMIF('BD VOLUME'!E:E,A261,'BD VOLUME'!T:T)</f>
        <v>0</v>
      </c>
    </row>
    <row r="262" spans="1:14">
      <c r="A262" s="161" t="s">
        <v>1163</v>
      </c>
      <c r="B262" s="162">
        <f>SUMIF('BD VOLUME'!$E:$E,A262,'BD VOLUME'!$J:$J)</f>
        <v>0</v>
      </c>
      <c r="C262" s="162">
        <f>IFERROR(B262/B260,0)</f>
        <v>0</v>
      </c>
      <c r="D262" s="163">
        <f>IFERROR(SUMIF('BD VOLUME'!E:E,A262,'BD VOLUME'!F:F)/Preencher!$I$11,0)</f>
        <v>0</v>
      </c>
      <c r="E262" s="163">
        <f>SUMIF('BD VOLUME'!E:E,A262,'BD VOLUME'!N:N)*'BD VOLUME'!$C$3</f>
        <v>0</v>
      </c>
      <c r="F262" s="163">
        <f>SUMIF('BD VOLUME'!E:E,A262,'BD VOLUME'!N:N)</f>
        <v>0</v>
      </c>
      <c r="G262" s="163">
        <f>H262*'BD VOLUME'!$C$3</f>
        <v>0</v>
      </c>
      <c r="H262" s="163">
        <f>SUM(I262:M262)</f>
        <v>0</v>
      </c>
      <c r="I262" s="163">
        <f>SUMIF('BD VOLUME'!E:E,A262,'BD VOLUME'!O:O)</f>
        <v>0</v>
      </c>
      <c r="J262" s="163">
        <f>SUMIF('BD VOLUME'!E:E,A262,'BD VOLUME'!P:P)</f>
        <v>0</v>
      </c>
      <c r="K262" s="163">
        <f>SUMIF('BD VOLUME'!E:E,A262,'BD VOLUME'!Q:Q)</f>
        <v>0</v>
      </c>
      <c r="L262" s="163">
        <f>SUMIF('BD VOLUME'!E:E,A262,'BD VOLUME'!R:R)</f>
        <v>0</v>
      </c>
      <c r="M262" s="163">
        <f>SUMIF('BD VOLUME'!E:E,A262,'BD VOLUME'!S:S)</f>
        <v>0</v>
      </c>
      <c r="N262" s="163">
        <f>SUMIF('BD VOLUME'!E:E,A262,'BD VOLUME'!T:T)</f>
        <v>0</v>
      </c>
    </row>
    <row r="263" spans="1:14">
      <c r="N263" s="157"/>
    </row>
    <row r="264" spans="1:14">
      <c r="N264" s="157"/>
    </row>
    <row r="265" spans="1:14">
      <c r="N265" s="157"/>
    </row>
    <row r="266" spans="1:14">
      <c r="N266" s="157"/>
    </row>
    <row r="267" spans="1:14">
      <c r="N267" s="157"/>
    </row>
    <row r="268" spans="1:14">
      <c r="N268" s="157"/>
    </row>
    <row r="269" spans="1:14">
      <c r="N269" s="157"/>
    </row>
    <row r="270" spans="1:14">
      <c r="N270" s="157"/>
    </row>
    <row r="271" spans="1:14">
      <c r="N271" s="157"/>
    </row>
    <row r="272" spans="1:14">
      <c r="N272" s="157"/>
    </row>
    <row r="273" spans="14:14">
      <c r="N273" s="157"/>
    </row>
    <row r="274" spans="14:14">
      <c r="N274" s="157"/>
    </row>
    <row r="275" spans="14:14">
      <c r="N275" s="157"/>
    </row>
    <row r="276" spans="14:14">
      <c r="N276" s="157"/>
    </row>
    <row r="277" spans="14:14">
      <c r="N277" s="157"/>
    </row>
    <row r="278" spans="14:14">
      <c r="N278" s="157"/>
    </row>
    <row r="279" spans="14:14">
      <c r="N279" s="157"/>
    </row>
    <row r="280" spans="14:14">
      <c r="N280" s="157"/>
    </row>
    <row r="281" spans="14:14">
      <c r="N281" s="157"/>
    </row>
    <row r="282" spans="14:14">
      <c r="N282" s="157"/>
    </row>
    <row r="283" spans="14:14">
      <c r="N283" s="157"/>
    </row>
    <row r="284" spans="14:14">
      <c r="N284" s="157"/>
    </row>
    <row r="285" spans="14:14">
      <c r="N285" s="157"/>
    </row>
    <row r="286" spans="14:14">
      <c r="N286" s="157"/>
    </row>
    <row r="287" spans="14:14">
      <c r="N287" s="157"/>
    </row>
    <row r="288" spans="14:14">
      <c r="N288" s="157"/>
    </row>
    <row r="289" spans="14:14">
      <c r="N289" s="157"/>
    </row>
    <row r="290" spans="14:14">
      <c r="N290" s="157"/>
    </row>
    <row r="291" spans="14:14">
      <c r="N291" s="157"/>
    </row>
    <row r="486" spans="9:9">
      <c r="I486" s="157" t="e">
        <f>Preencher!C115/(SUM(Preencher!C115:E115))*(RESUMO!F255)</f>
        <v>#DIV/0!</v>
      </c>
    </row>
    <row r="700" spans="2:13"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</row>
  </sheetData>
  <autoFilter ref="A1:A700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>
    <tabColor rgb="FFFFFF66"/>
    <outlinePr summaryBelow="0"/>
  </sheetPr>
  <dimension ref="A1:XFD1508"/>
  <sheetViews>
    <sheetView showGridLines="0" zoomScale="80" zoomScaleNormal="80" workbookViewId="0">
      <selection activeCell="H25" sqref="H25"/>
    </sheetView>
  </sheetViews>
  <sheetFormatPr defaultRowHeight="15" outlineLevelRow="2"/>
  <cols>
    <col min="1" max="1" width="37.93359375" bestFit="1" customWidth="1"/>
    <col min="2" max="7" width="9.953125" customWidth="1"/>
    <col min="8" max="8" width="24.88671875" customWidth="1"/>
    <col min="9" max="13" width="9.953125" customWidth="1"/>
    <col min="14" max="14" width="9.14453125" customWidth="1"/>
    <col min="15" max="15" width="25.01953125" style="234" customWidth="1"/>
    <col min="16" max="16" width="42.91015625" bestFit="1" customWidth="1"/>
    <col min="17" max="18" width="10.22265625" customWidth="1"/>
    <col min="19" max="19" width="8.875" style="31" customWidth="1"/>
    <col min="20" max="20" width="29.59375" style="31" bestFit="1" customWidth="1"/>
    <col min="21" max="21" width="41.96875" style="31" bestFit="1" customWidth="1"/>
    <col min="22" max="26" width="8.875" style="31" customWidth="1"/>
    <col min="27" max="34" width="8.875" customWidth="1"/>
    <col min="35" max="39" width="9.14453125" customWidth="1"/>
  </cols>
  <sheetData>
    <row r="1" spans="1:28">
      <c r="H1" s="715"/>
    </row>
    <row r="2" spans="1:28">
      <c r="A2" s="628" t="s">
        <v>2286</v>
      </c>
      <c r="B2" s="628" t="s">
        <v>3191</v>
      </c>
      <c r="C2" s="629"/>
      <c r="D2" s="629"/>
      <c r="H2" s="715"/>
    </row>
    <row r="3" spans="1:28">
      <c r="A3" s="332" t="s">
        <v>2287</v>
      </c>
      <c r="B3" s="625" t="s">
        <v>3191</v>
      </c>
      <c r="H3" s="715"/>
    </row>
    <row r="4" spans="1:28">
      <c r="H4" s="715"/>
    </row>
    <row r="6" spans="1:28" ht="7.5" customHeight="1"/>
    <row r="7" spans="1:28">
      <c r="A7" s="121" t="s">
        <v>275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8"/>
      <c r="N7" s="4"/>
      <c r="O7" s="121" t="s">
        <v>275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8"/>
    </row>
    <row r="8" spans="1:28" outlineLevel="1">
      <c r="A8" s="11" t="s">
        <v>276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29"/>
      <c r="N8" s="4"/>
      <c r="O8" s="11" t="s">
        <v>276</v>
      </c>
      <c r="P8" s="10"/>
      <c r="Q8" s="10"/>
      <c r="R8" s="10"/>
      <c r="S8" s="10"/>
      <c r="T8" s="10"/>
      <c r="U8" s="10"/>
      <c r="V8" s="10"/>
      <c r="W8" s="10"/>
      <c r="X8" s="10"/>
      <c r="Y8" s="29"/>
      <c r="Z8" s="9"/>
    </row>
    <row r="9" spans="1:28" outlineLevel="2">
      <c r="O9" s="11" t="s">
        <v>284</v>
      </c>
      <c r="P9" s="10"/>
      <c r="Q9" s="29" t="s">
        <v>333</v>
      </c>
      <c r="R9" s="4"/>
      <c r="V9" s="9"/>
      <c r="W9" s="9"/>
      <c r="Y9" s="9"/>
      <c r="Z9" s="9"/>
    </row>
    <row r="10" spans="1:28" outlineLevel="2">
      <c r="A10" s="4"/>
      <c r="B10" s="226" t="s">
        <v>725</v>
      </c>
      <c r="C10" s="226" t="s">
        <v>726</v>
      </c>
      <c r="D10" s="226" t="s">
        <v>727</v>
      </c>
      <c r="I10" s="226" t="s">
        <v>725</v>
      </c>
      <c r="J10" s="226" t="s">
        <v>726</v>
      </c>
      <c r="K10" s="226" t="s">
        <v>727</v>
      </c>
      <c r="O10" s="235" t="s">
        <v>334</v>
      </c>
      <c r="Q10" s="9" t="s">
        <v>302</v>
      </c>
      <c r="R10" s="4"/>
      <c r="V10" s="9"/>
      <c r="W10" s="9"/>
      <c r="Y10" s="9"/>
      <c r="Z10" s="9"/>
    </row>
    <row r="11" spans="1:28" outlineLevel="2">
      <c r="A11" s="13" t="s">
        <v>279</v>
      </c>
      <c r="B11" s="8" t="s">
        <v>277</v>
      </c>
      <c r="C11" s="12" t="str">
        <f>IF($I$12&gt;1,B11,"-")</f>
        <v>-</v>
      </c>
      <c r="D11" s="12" t="str">
        <f>IF($J$12&gt;2,C11,"-")</f>
        <v>-</v>
      </c>
      <c r="F11" s="315" t="s">
        <v>888</v>
      </c>
      <c r="G11" s="316"/>
      <c r="H11" s="317"/>
      <c r="I11" s="12">
        <v>22</v>
      </c>
      <c r="J11" s="12">
        <f>I11</f>
        <v>22</v>
      </c>
      <c r="K11" s="12">
        <f>IF(J12&gt;2,J11,0)</f>
        <v>0</v>
      </c>
      <c r="O11" s="235" t="s">
        <v>322</v>
      </c>
      <c r="Q11" s="9" t="s">
        <v>277</v>
      </c>
      <c r="R11" s="4"/>
      <c r="V11" s="9"/>
      <c r="W11" s="9"/>
      <c r="Y11" s="9"/>
      <c r="Z11" s="9"/>
    </row>
    <row r="12" spans="1:28" outlineLevel="2">
      <c r="A12" s="13" t="s">
        <v>281</v>
      </c>
      <c r="B12" s="8" t="s">
        <v>302</v>
      </c>
      <c r="C12" s="12" t="str">
        <f>IF($I$12&gt;1,B12,"-")</f>
        <v>-</v>
      </c>
      <c r="D12" s="12" t="str">
        <f>IF($J$12&gt;2,C12,"-")</f>
        <v>-</v>
      </c>
      <c r="F12" s="315" t="s">
        <v>889</v>
      </c>
      <c r="G12" s="316"/>
      <c r="H12" s="317"/>
      <c r="I12" s="12">
        <v>1</v>
      </c>
      <c r="J12" s="12">
        <f>IF($I$12&gt;1,I12,0)</f>
        <v>0</v>
      </c>
      <c r="K12" s="12">
        <f>IF($J$12&gt;2,J12,0)</f>
        <v>0</v>
      </c>
      <c r="L12" s="4"/>
      <c r="M12" s="4"/>
      <c r="N12" s="4"/>
      <c r="O12" s="235" t="s">
        <v>1023</v>
      </c>
      <c r="Q12" s="9"/>
      <c r="R12" s="4"/>
      <c r="Z12" s="9"/>
    </row>
    <row r="13" spans="1:28" outlineLevel="2">
      <c r="A13" s="13" t="s">
        <v>282</v>
      </c>
      <c r="B13" s="8" t="s">
        <v>277</v>
      </c>
      <c r="C13" s="12" t="str">
        <f>IF($I$12&gt;1,B13,"-")</f>
        <v>-</v>
      </c>
      <c r="D13" s="12" t="str">
        <f>IF($J$12&gt;2,C13,"-")</f>
        <v>-</v>
      </c>
      <c r="F13" s="315" t="s">
        <v>1102</v>
      </c>
      <c r="G13" s="316"/>
      <c r="H13" s="317"/>
      <c r="I13" s="12">
        <v>45000</v>
      </c>
      <c r="J13" s="12">
        <f>IF($I$12&gt;1,I13,0)</f>
        <v>0</v>
      </c>
      <c r="K13" s="12">
        <v>0</v>
      </c>
      <c r="L13" s="4"/>
      <c r="M13" s="4"/>
      <c r="N13" s="4"/>
      <c r="O13" s="235"/>
      <c r="R13" s="4"/>
      <c r="Z13" s="9"/>
    </row>
    <row r="14" spans="1:28" outlineLevel="2">
      <c r="A14" s="13" t="s">
        <v>283</v>
      </c>
      <c r="B14" s="8" t="s">
        <v>277</v>
      </c>
      <c r="C14" s="12" t="str">
        <f>IF($I$12&gt;1,B14,"-")</f>
        <v>-</v>
      </c>
      <c r="D14" s="12" t="str">
        <f>IF($J$12&gt;2,C14,"-")</f>
        <v>-</v>
      </c>
      <c r="F14" s="315" t="s">
        <v>1103</v>
      </c>
      <c r="G14" s="316"/>
      <c r="H14" s="317"/>
      <c r="I14" s="716">
        <v>0</v>
      </c>
      <c r="J14" s="716">
        <v>0</v>
      </c>
      <c r="K14" s="716">
        <v>0</v>
      </c>
      <c r="L14" s="4"/>
      <c r="M14" s="4"/>
      <c r="N14" s="4"/>
      <c r="O14" s="235"/>
      <c r="R14" s="4"/>
      <c r="Z14" s="9"/>
    </row>
    <row r="15" spans="1:28" outlineLevel="2">
      <c r="A15" s="125" t="s">
        <v>894</v>
      </c>
      <c r="C15" s="635">
        <v>0.2</v>
      </c>
      <c r="D15" s="635">
        <v>0.33</v>
      </c>
      <c r="F15" s="315" t="s">
        <v>278</v>
      </c>
      <c r="G15" s="316"/>
      <c r="H15" s="317"/>
      <c r="I15" s="8">
        <f>(15.15/2)+2</f>
        <v>9.5749999999999993</v>
      </c>
      <c r="J15" s="12">
        <f>IF($I$12&gt;1,I15,0)</f>
        <v>0</v>
      </c>
      <c r="K15" s="361">
        <v>0</v>
      </c>
      <c r="L15" s="4" t="s">
        <v>3036</v>
      </c>
      <c r="M15" s="4"/>
      <c r="N15" s="4"/>
      <c r="R15" s="4"/>
      <c r="Z15" s="9"/>
    </row>
    <row r="16" spans="1:28" outlineLevel="2">
      <c r="F16" s="315" t="s">
        <v>1086</v>
      </c>
      <c r="G16" s="316"/>
      <c r="H16" s="317"/>
      <c r="I16" s="8">
        <v>0</v>
      </c>
      <c r="J16" s="361">
        <v>0</v>
      </c>
      <c r="K16" s="361">
        <v>0</v>
      </c>
      <c r="L16" s="4"/>
      <c r="M16" s="4"/>
      <c r="N16" s="4"/>
      <c r="R16" s="4"/>
      <c r="Z16" s="9"/>
    </row>
    <row r="17" spans="1:26" outlineLevel="2">
      <c r="F17" s="315" t="s">
        <v>280</v>
      </c>
      <c r="G17" s="316"/>
      <c r="H17" s="317"/>
      <c r="I17" s="14">
        <v>0.96</v>
      </c>
      <c r="J17" s="14">
        <f>I17</f>
        <v>0.96</v>
      </c>
      <c r="K17" s="14" t="str">
        <f>IF($J$12&gt;2,J17,"0")</f>
        <v>0</v>
      </c>
      <c r="L17" s="4"/>
      <c r="M17" s="4"/>
      <c r="N17" s="4"/>
      <c r="R17" s="4"/>
      <c r="T17" s="9"/>
      <c r="V17" s="9"/>
      <c r="W17" s="9"/>
      <c r="X17" s="9"/>
      <c r="Y17" s="9"/>
      <c r="Z17" s="9"/>
    </row>
    <row r="18" spans="1:26" outlineLevel="2">
      <c r="A18" s="332" t="s">
        <v>2570</v>
      </c>
      <c r="F18" s="315" t="s">
        <v>1104</v>
      </c>
      <c r="G18" s="316"/>
      <c r="H18" s="317"/>
      <c r="I18" s="15">
        <f>IFERROR(ROUNDDOWN(((I13/(I16+I15))+((100%-I17)*(I13/(I16+I15))))/I20,-2),0)</f>
        <v>4800</v>
      </c>
      <c r="J18" s="15">
        <f>IFERROR(ROUNDDOWN(((J13/(J16+J15))+((100%-J17)*(J13/(J16+J15))))/J20,-2),0)</f>
        <v>0</v>
      </c>
      <c r="K18" s="15">
        <f>IFERROR(ROUNDDOWN(((K13/(K16+K15))+((100%-K17)*(K13/(K16+K15))))/K20,-2),0)</f>
        <v>0</v>
      </c>
      <c r="L18" s="4"/>
      <c r="M18" s="4"/>
      <c r="N18" s="4"/>
      <c r="R18" s="4"/>
      <c r="T18" s="9"/>
      <c r="V18" s="9"/>
      <c r="W18" s="9"/>
      <c r="Z18" s="9"/>
    </row>
    <row r="19" spans="1:26" outlineLevel="2">
      <c r="A19" s="4"/>
      <c r="B19" s="226" t="s">
        <v>725</v>
      </c>
      <c r="C19" s="226" t="s">
        <v>726</v>
      </c>
      <c r="D19" s="226" t="s">
        <v>727</v>
      </c>
      <c r="F19" s="315" t="s">
        <v>1105</v>
      </c>
      <c r="G19" s="316"/>
      <c r="H19" s="317"/>
      <c r="I19" s="15">
        <f>IFERROR(ROUNDDOWN(((I14/(I16+I15))+((100%-I17)*(I14/(I16+I15))))/I20,-2),0)</f>
        <v>0</v>
      </c>
      <c r="J19" s="15">
        <f>IFERROR(ROUNDDOWN(((J14/(J16+J15))+((100%-J17)*(J14/(J16+J15))))/J20,-2),0)</f>
        <v>0</v>
      </c>
      <c r="K19" s="15">
        <f>IFERROR(ROUNDDOWN(((K14/(K16+K15))+((100%-K17)*(K14/(K16+K15))))/K20,-2),0)</f>
        <v>0</v>
      </c>
      <c r="L19" s="4"/>
      <c r="M19" s="4"/>
      <c r="N19" s="4"/>
      <c r="R19" s="4"/>
      <c r="T19" s="9"/>
      <c r="V19" s="9"/>
      <c r="W19" s="9"/>
      <c r="Z19" s="9"/>
    </row>
    <row r="20" spans="1:26" outlineLevel="2">
      <c r="A20" s="13" t="s">
        <v>7</v>
      </c>
      <c r="B20" s="8" t="s">
        <v>277</v>
      </c>
      <c r="C20" s="12" t="str">
        <f>IF($I$12&gt;1,B20,"-")</f>
        <v>-</v>
      </c>
      <c r="D20" s="12" t="str">
        <f>IF($J$12&gt;2,C20,"-")</f>
        <v>-</v>
      </c>
      <c r="F20" s="315" t="s">
        <v>1111</v>
      </c>
      <c r="G20" s="316"/>
      <c r="H20" s="317"/>
      <c r="I20" s="12">
        <v>1</v>
      </c>
      <c r="J20" s="12">
        <f>IF($I$12&gt;1,I20,0)</f>
        <v>0</v>
      </c>
      <c r="K20" s="12" t="str">
        <f>IF($J$12&gt;2,J20,"0")</f>
        <v>0</v>
      </c>
      <c r="L20" s="4"/>
      <c r="M20" s="4"/>
      <c r="N20" s="4"/>
      <c r="R20" s="4"/>
      <c r="T20" s="9"/>
      <c r="V20" s="9"/>
      <c r="W20" s="9"/>
      <c r="Z20" s="9"/>
    </row>
    <row r="21" spans="1:26" outlineLevel="2">
      <c r="A21" s="13" t="s">
        <v>9</v>
      </c>
      <c r="B21" s="8" t="s">
        <v>277</v>
      </c>
      <c r="C21" s="12" t="str">
        <f>IF($I$12&gt;1,B21,"-")</f>
        <v>-</v>
      </c>
      <c r="D21" s="12" t="str">
        <f>IF($J$12&gt;2,C21,"-")</f>
        <v>-</v>
      </c>
      <c r="F21" s="315" t="s">
        <v>1112</v>
      </c>
      <c r="G21" s="316"/>
      <c r="H21" s="317"/>
      <c r="I21" s="12">
        <v>0</v>
      </c>
      <c r="J21" s="12">
        <f>IF($I$12&gt;1,I21,0)</f>
        <v>0</v>
      </c>
      <c r="K21" s="12" t="str">
        <f>IF($J$12&gt;2,J21,"0")</f>
        <v>0</v>
      </c>
      <c r="L21" s="4"/>
      <c r="M21" s="4"/>
      <c r="N21" s="4"/>
      <c r="R21" s="4"/>
      <c r="T21" s="9"/>
      <c r="V21" s="9"/>
      <c r="W21" s="9"/>
      <c r="Z21" s="9"/>
    </row>
    <row r="22" spans="1:26" outlineLevel="2">
      <c r="A22" s="4"/>
      <c r="B22" s="4"/>
      <c r="C22" s="4"/>
      <c r="D22" s="4"/>
      <c r="F22" s="315" t="s">
        <v>284</v>
      </c>
      <c r="G22" s="316"/>
      <c r="H22" s="317"/>
      <c r="I22" s="8" t="s">
        <v>334</v>
      </c>
      <c r="J22" s="312">
        <f>IF($I$12&gt;1,I22,0)</f>
        <v>0</v>
      </c>
      <c r="K22" s="312" t="str">
        <f>IF($J$12&gt;2,J22,"-")</f>
        <v>-</v>
      </c>
      <c r="L22" s="4"/>
      <c r="M22" s="4"/>
      <c r="N22" s="4"/>
      <c r="R22" s="4"/>
      <c r="S22" s="9"/>
      <c r="V22" s="9"/>
      <c r="W22" s="9"/>
      <c r="Z22" s="9"/>
    </row>
    <row r="23" spans="1:26" outlineLevel="2">
      <c r="A23" s="4"/>
      <c r="B23" s="4"/>
      <c r="C23" s="4"/>
      <c r="D23" s="4"/>
      <c r="F23" s="315" t="s">
        <v>1106</v>
      </c>
      <c r="G23" s="316"/>
      <c r="H23" s="317"/>
      <c r="I23" s="16">
        <v>3</v>
      </c>
      <c r="J23" s="312">
        <f>IF($I$12&gt;1,I23,0)</f>
        <v>0</v>
      </c>
      <c r="K23" s="312">
        <f>IF($J$12&gt;2,J23,0)</f>
        <v>0</v>
      </c>
      <c r="L23" s="4"/>
      <c r="M23" s="4"/>
      <c r="N23" s="4"/>
      <c r="R23" s="4"/>
      <c r="S23" s="9"/>
      <c r="V23" s="9"/>
      <c r="W23" s="9"/>
      <c r="Z23" s="9"/>
    </row>
    <row r="24" spans="1:26" outlineLevel="2">
      <c r="A24" s="4"/>
      <c r="B24" s="4"/>
      <c r="C24" s="4"/>
      <c r="D24" s="4"/>
      <c r="E24" s="4"/>
      <c r="F24" s="315" t="s">
        <v>1107</v>
      </c>
      <c r="G24" s="316"/>
      <c r="H24" s="317"/>
      <c r="I24" s="16">
        <v>0</v>
      </c>
      <c r="J24" s="312">
        <f>IF($I$12&gt;1,I24,0)</f>
        <v>0</v>
      </c>
      <c r="K24" s="312">
        <f>IF($J$12&gt;2,J24,0)</f>
        <v>0</v>
      </c>
      <c r="L24" s="4"/>
      <c r="M24" s="4"/>
      <c r="N24" s="4"/>
      <c r="R24" s="4"/>
      <c r="S24" s="9"/>
      <c r="V24" s="9"/>
      <c r="W24" s="9"/>
      <c r="Z24" s="9"/>
    </row>
    <row r="25" spans="1:26" outlineLevel="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R25" s="4"/>
      <c r="S25" s="9"/>
      <c r="V25" s="9"/>
      <c r="W25" s="9"/>
      <c r="Z25" s="9"/>
    </row>
    <row r="26" spans="1:26" outlineLevel="1">
      <c r="A26" s="11" t="s">
        <v>236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29"/>
      <c r="N26" s="4"/>
      <c r="O26" s="11" t="s">
        <v>236</v>
      </c>
      <c r="P26" s="10"/>
      <c r="Q26" s="10"/>
      <c r="R26" s="10"/>
      <c r="S26" s="10"/>
      <c r="T26" s="10"/>
      <c r="U26" s="10"/>
      <c r="V26" s="10"/>
      <c r="W26" s="10"/>
      <c r="X26" s="10"/>
      <c r="Y26" s="29"/>
      <c r="Z26" s="9"/>
    </row>
    <row r="27" spans="1:26" outlineLevel="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1" t="s">
        <v>335</v>
      </c>
      <c r="P27" s="29"/>
      <c r="R27" s="11" t="s">
        <v>978</v>
      </c>
      <c r="S27" s="29"/>
      <c r="T27" s="29"/>
      <c r="U27" s="29"/>
      <c r="V27" s="29"/>
      <c r="W27" s="227"/>
      <c r="Z27" s="9"/>
    </row>
    <row r="28" spans="1:26" outlineLevel="2">
      <c r="A28" s="4"/>
      <c r="B28" s="226" t="s">
        <v>725</v>
      </c>
      <c r="C28" s="226" t="s">
        <v>726</v>
      </c>
      <c r="D28" s="226" t="s">
        <v>727</v>
      </c>
      <c r="E28" s="4"/>
      <c r="F28" s="332" t="s">
        <v>2570</v>
      </c>
      <c r="J28" s="4"/>
      <c r="K28" s="4"/>
      <c r="L28" s="4"/>
      <c r="M28" s="4"/>
      <c r="N28" s="4"/>
      <c r="O28" s="235" t="s">
        <v>336</v>
      </c>
      <c r="R28" s="9" t="s">
        <v>895</v>
      </c>
      <c r="S28" s="9"/>
      <c r="T28" s="9"/>
      <c r="Z28" s="9"/>
    </row>
    <row r="29" spans="1:26" outlineLevel="2">
      <c r="A29" s="13" t="s">
        <v>323</v>
      </c>
      <c r="B29" s="8" t="s">
        <v>302</v>
      </c>
      <c r="C29" s="12" t="str">
        <f>IF($I$12&gt;1,B29,"-")</f>
        <v>-</v>
      </c>
      <c r="D29" s="12" t="str">
        <f>IF($J$12&gt;2,C29,"-")</f>
        <v>-</v>
      </c>
      <c r="E29" s="4"/>
      <c r="F29" s="4"/>
      <c r="I29" s="226" t="s">
        <v>725</v>
      </c>
      <c r="J29" s="226" t="s">
        <v>726</v>
      </c>
      <c r="K29" s="226" t="s">
        <v>727</v>
      </c>
      <c r="L29" s="4"/>
      <c r="M29" s="4"/>
      <c r="N29" s="4"/>
      <c r="O29" s="235" t="s">
        <v>295</v>
      </c>
      <c r="P29" s="9"/>
      <c r="R29" s="9" t="s">
        <v>893</v>
      </c>
      <c r="T29" s="9"/>
      <c r="Z29" s="9"/>
    </row>
    <row r="30" spans="1:26" outlineLevel="2">
      <c r="A30" s="13" t="s">
        <v>1024</v>
      </c>
      <c r="B30" s="8" t="s">
        <v>337</v>
      </c>
      <c r="C30" s="12" t="str">
        <f>IF($I$12&gt;1,B30,"-")</f>
        <v>-</v>
      </c>
      <c r="D30" s="12" t="str">
        <f>IF($J$12&gt;2,C30,"-")</f>
        <v>-</v>
      </c>
      <c r="E30" s="4"/>
      <c r="F30" s="13" t="s">
        <v>2571</v>
      </c>
      <c r="G30" s="13"/>
      <c r="H30" s="689"/>
      <c r="I30" s="8" t="s">
        <v>277</v>
      </c>
      <c r="J30" s="12" t="str">
        <f>IF($I$12&gt;1,I30,"-")</f>
        <v>-</v>
      </c>
      <c r="K30" s="12" t="str">
        <f>IF($J$12&gt;2,J30,"-")</f>
        <v>-</v>
      </c>
      <c r="L30" s="4"/>
      <c r="M30" s="4"/>
      <c r="N30" s="4"/>
      <c r="O30" s="235" t="s">
        <v>285</v>
      </c>
      <c r="R30" s="9" t="s">
        <v>894</v>
      </c>
      <c r="T30" s="9"/>
      <c r="Z30" s="9"/>
    </row>
    <row r="31" spans="1:26" outlineLevel="2">
      <c r="A31" s="13" t="s">
        <v>969</v>
      </c>
      <c r="B31" s="8">
        <v>5</v>
      </c>
      <c r="C31" s="12">
        <f>IF($I$12&gt;1,B31,0)</f>
        <v>0</v>
      </c>
      <c r="D31" s="12">
        <f>IF($J$12&gt;2,C31,0)</f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235" t="s">
        <v>337</v>
      </c>
      <c r="R31" s="4"/>
      <c r="T31" s="9"/>
      <c r="Z31" s="9"/>
    </row>
    <row r="32" spans="1:26" outlineLevel="2">
      <c r="A32" s="13" t="s">
        <v>286</v>
      </c>
      <c r="B32" s="8">
        <v>1</v>
      </c>
      <c r="C32" s="12">
        <f>IF($I$12&gt;1,B32,0)</f>
        <v>0</v>
      </c>
      <c r="D32" s="12">
        <f>IF($J$12&gt;2,C32,0)</f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236"/>
      <c r="R32" s="4"/>
      <c r="T32" s="9"/>
      <c r="Z32" s="9"/>
    </row>
    <row r="33" spans="1:31" outlineLevel="2">
      <c r="A33" s="13" t="s">
        <v>2161</v>
      </c>
      <c r="B33" s="8" t="s">
        <v>302</v>
      </c>
      <c r="C33" s="12" t="str">
        <f>IF($I$12&gt;1,B33,"-")</f>
        <v>-</v>
      </c>
      <c r="D33" s="12" t="str">
        <f>IF($J$12&gt;2,C33,"-")</f>
        <v>-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236"/>
      <c r="R33" s="4"/>
      <c r="T33" s="9"/>
      <c r="Z33" s="9"/>
    </row>
    <row r="34" spans="1:31" outlineLevel="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36"/>
      <c r="R34" s="4"/>
      <c r="T34" s="9"/>
      <c r="U34" s="9"/>
      <c r="Z34" s="9"/>
    </row>
    <row r="35" spans="1:31" outlineLevel="1">
      <c r="A35" s="11" t="s">
        <v>324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29"/>
      <c r="N35" s="4"/>
      <c r="O35" s="236"/>
      <c r="R35" s="4"/>
      <c r="T35" s="9"/>
      <c r="U35" s="9"/>
      <c r="Z35" s="9"/>
    </row>
    <row r="36" spans="1:31" outlineLevel="2">
      <c r="A36" s="4"/>
      <c r="B36" s="4"/>
      <c r="C36" s="4"/>
      <c r="D36" s="4"/>
      <c r="E36" s="4"/>
      <c r="F36" s="332" t="s">
        <v>2570</v>
      </c>
      <c r="J36" s="4"/>
      <c r="K36" s="4"/>
      <c r="L36" s="4"/>
      <c r="M36" s="4"/>
      <c r="N36" s="4"/>
      <c r="O36" s="236"/>
      <c r="R36" s="4"/>
      <c r="T36" s="9"/>
      <c r="U36" s="9"/>
      <c r="Z36" s="9"/>
    </row>
    <row r="37" spans="1:31" outlineLevel="2">
      <c r="A37" s="4"/>
      <c r="B37" s="226" t="s">
        <v>725</v>
      </c>
      <c r="C37" s="226" t="s">
        <v>726</v>
      </c>
      <c r="D37" s="226" t="s">
        <v>727</v>
      </c>
      <c r="E37" s="4"/>
      <c r="F37" s="4"/>
      <c r="I37" s="226" t="s">
        <v>725</v>
      </c>
      <c r="J37" s="226" t="s">
        <v>726</v>
      </c>
      <c r="K37" s="226" t="s">
        <v>727</v>
      </c>
      <c r="L37" s="4"/>
      <c r="M37" s="4"/>
      <c r="N37" s="4"/>
      <c r="O37" s="236"/>
      <c r="R37" s="4"/>
      <c r="T37" s="9"/>
      <c r="U37" s="9"/>
      <c r="Z37" s="9"/>
    </row>
    <row r="38" spans="1:31" outlineLevel="2">
      <c r="A38" s="13" t="s">
        <v>699</v>
      </c>
      <c r="B38" s="114">
        <v>0</v>
      </c>
      <c r="C38" s="114">
        <v>0</v>
      </c>
      <c r="D38" s="12">
        <f>IF($J$12&gt;2,C38,0)</f>
        <v>0</v>
      </c>
      <c r="E38" s="4"/>
      <c r="F38" s="13" t="s">
        <v>29</v>
      </c>
      <c r="G38" s="13"/>
      <c r="H38" s="689"/>
      <c r="I38" s="8" t="s">
        <v>277</v>
      </c>
      <c r="J38" s="12" t="str">
        <f>IF($I$12&gt;1,I38,"-")</f>
        <v>-</v>
      </c>
      <c r="K38" s="12" t="str">
        <f>IF($J$12&gt;2,J38,"-")</f>
        <v>-</v>
      </c>
      <c r="L38" s="4"/>
      <c r="M38" s="4"/>
      <c r="N38" s="4"/>
      <c r="O38" s="236"/>
      <c r="R38" s="4"/>
      <c r="T38" s="9"/>
      <c r="U38" s="9"/>
      <c r="Z38" s="9"/>
    </row>
    <row r="39" spans="1:31" outlineLevel="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36"/>
      <c r="R39" s="4"/>
      <c r="T39" s="9"/>
      <c r="U39" s="9"/>
      <c r="AA39" s="31"/>
      <c r="AB39" s="31"/>
    </row>
    <row r="40" spans="1:31">
      <c r="A40" s="121" t="s">
        <v>195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8"/>
      <c r="N40" s="4"/>
      <c r="O40" s="121" t="s">
        <v>195</v>
      </c>
      <c r="P40" s="2"/>
      <c r="Q40" s="2"/>
      <c r="R40" s="2"/>
      <c r="S40" s="2"/>
      <c r="T40" s="2"/>
      <c r="U40" s="2"/>
      <c r="AA40" s="31"/>
      <c r="AB40" s="31"/>
      <c r="AC40" s="372" t="s">
        <v>1545</v>
      </c>
      <c r="AD40" s="372" t="s">
        <v>1546</v>
      </c>
      <c r="AE40" s="372" t="s">
        <v>1547</v>
      </c>
    </row>
    <row r="41" spans="1:31" outlineLevel="1">
      <c r="A41" s="11" t="s">
        <v>287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29"/>
      <c r="N41" s="4"/>
      <c r="O41" s="236"/>
      <c r="R41" s="4"/>
      <c r="T41" s="9"/>
      <c r="U41" s="9"/>
      <c r="V41" s="923" t="s">
        <v>1779</v>
      </c>
      <c r="W41" s="924"/>
      <c r="X41" s="925"/>
      <c r="Y41" s="923" t="s">
        <v>1780</v>
      </c>
      <c r="Z41" s="924"/>
      <c r="AA41" s="925"/>
      <c r="AB41" s="921" t="s">
        <v>1782</v>
      </c>
      <c r="AC41" s="923" t="s">
        <v>1781</v>
      </c>
      <c r="AD41" s="924"/>
      <c r="AE41" s="925"/>
    </row>
    <row r="42" spans="1:31" outlineLevel="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36"/>
      <c r="R42" s="4"/>
      <c r="T42" s="9"/>
      <c r="U42" s="9"/>
      <c r="V42" s="372" t="s">
        <v>1545</v>
      </c>
      <c r="W42" s="372" t="s">
        <v>1546</v>
      </c>
      <c r="X42" s="372" t="s">
        <v>1547</v>
      </c>
      <c r="Y42" s="372" t="s">
        <v>1545</v>
      </c>
      <c r="Z42" s="372" t="s">
        <v>1546</v>
      </c>
      <c r="AA42" s="372" t="s">
        <v>1547</v>
      </c>
      <c r="AB42" s="922"/>
      <c r="AC42" s="555">
        <f>IFERROR(SUM(I13:I14)/SUM($I$13:$K$14),0)</f>
        <v>1</v>
      </c>
      <c r="AD42" s="555">
        <f>IFERROR(SUM(J13:J14)/SUM($I$13:$K$14),0)</f>
        <v>0</v>
      </c>
      <c r="AE42" s="555">
        <f>IFERROR(SUM(K13:K14)/SUM($I$13:$K$14),0)</f>
        <v>0</v>
      </c>
    </row>
    <row r="43" spans="1:31" outlineLevel="2">
      <c r="A43" s="5" t="s">
        <v>1167</v>
      </c>
      <c r="B43" s="8" t="s">
        <v>302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36"/>
      <c r="R43" s="4"/>
      <c r="T43" s="9"/>
      <c r="U43" s="370" t="s">
        <v>1898</v>
      </c>
      <c r="V43" s="433">
        <f>IFERROR(((RESUMO!C22)*(VLOOKUP(B49,$O$140:$S$146,3,0))),0)</f>
        <v>0</v>
      </c>
      <c r="W43" s="434">
        <f>IFERROR(((RESUMO!C22)*(VLOOKUP(B49,$O$140:$S$146,4,0))),0)</f>
        <v>0</v>
      </c>
      <c r="X43" s="435">
        <f>IFERROR(IF(B49&lt;3,0,(RESUMO!C22)*(VLOOKUP(B49,$O$140:$S$146,5,0))),0)</f>
        <v>0</v>
      </c>
      <c r="Y43" s="469">
        <f>IFERROR(V43/$V$48,0)</f>
        <v>0</v>
      </c>
      <c r="Z43" s="470">
        <f>IFERROR(W43/$W$48,0)</f>
        <v>0</v>
      </c>
      <c r="AA43" s="471">
        <f>IFERROR(X43/$X$48,0)</f>
        <v>0</v>
      </c>
      <c r="AB43" s="472">
        <f>RESUMO!E22</f>
        <v>0</v>
      </c>
      <c r="AC43" s="473">
        <f>IFERROR(Y43/SUM(Y43:AA43)*AB43/$I$15,0)*$I$12*$AC$42</f>
        <v>0</v>
      </c>
      <c r="AD43" s="474">
        <f>IFERROR(Z43/SUM(Y43:AA43)*AB43/$J$15,0)*$I$12*$AD$42</f>
        <v>0</v>
      </c>
      <c r="AE43" s="475">
        <f>IFERROR(AA43/SUM(Y43:AA43)*AB43/$K$15,0)*$I$12*$AE$42</f>
        <v>0</v>
      </c>
    </row>
    <row r="44" spans="1:31" outlineLevel="2">
      <c r="A44" s="5" t="s">
        <v>1168</v>
      </c>
      <c r="B44" s="8" t="s">
        <v>302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36"/>
      <c r="R44" s="4"/>
      <c r="T44" s="9"/>
      <c r="U44" s="370" t="s">
        <v>1899</v>
      </c>
      <c r="V44" s="433">
        <f>IFERROR(((RESUMO!C23)*(VLOOKUP(B50,$O$140:$S$146,3,0))),0)</f>
        <v>0</v>
      </c>
      <c r="W44" s="434">
        <f>IFERROR(((RESUMO!C23)*(VLOOKUP(B50,$O$140:$S$146,4,0))),0)</f>
        <v>0</v>
      </c>
      <c r="X44" s="435">
        <f>IFERROR(IF(B50&lt;3,0,(RESUMO!C23)*(VLOOKUP(B50,$O$140:$S$146,5,0))),0)</f>
        <v>0</v>
      </c>
      <c r="Y44" s="443">
        <f>IFERROR(V44/$V$48,0)</f>
        <v>0</v>
      </c>
      <c r="Z44" s="428">
        <f>IFERROR(W44/$W$48,0)</f>
        <v>0</v>
      </c>
      <c r="AA44" s="444">
        <f>IFERROR(X44/$X$48,0)</f>
        <v>0</v>
      </c>
      <c r="AB44" s="448">
        <f>RESUMO!E23</f>
        <v>0</v>
      </c>
      <c r="AC44" s="453">
        <f>IFERROR(Y44/SUM(Y44:AA44)*AB44/$I$15,0)*$I$12*$AC$42</f>
        <v>0</v>
      </c>
      <c r="AD44" s="429">
        <f>IFERROR(Z44/SUM(Y44:AA44)*AB44/$J$15,0)*$I$12*$AD$42</f>
        <v>0</v>
      </c>
      <c r="AE44" s="454">
        <f>IFERROR(AA44/SUM(Y44:AA44)*AB44/$K$15,0)*$I$12*$AE$42</f>
        <v>0</v>
      </c>
    </row>
    <row r="45" spans="1:31" outlineLevel="2">
      <c r="A45" s="5" t="s">
        <v>1158</v>
      </c>
      <c r="B45" s="8" t="s">
        <v>302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36"/>
      <c r="R45" s="4"/>
      <c r="T45" s="9"/>
      <c r="U45" s="370" t="s">
        <v>1900</v>
      </c>
      <c r="V45" s="433">
        <f>IFERROR(((RESUMO!C24)*(VLOOKUP(B51,$O$140:$S$146,3,0))),0)</f>
        <v>0</v>
      </c>
      <c r="W45" s="434">
        <f>IFERROR(((RESUMO!C24)*(VLOOKUP(B51,$O$140:$S$146,4,0))),0)</f>
        <v>0</v>
      </c>
      <c r="X45" s="435">
        <f>IFERROR(IF(B51&lt;3,0,(RESUMO!C24)*(VLOOKUP(B51,$O$140:$S$146,5,0))),0)</f>
        <v>0</v>
      </c>
      <c r="Y45" s="443">
        <f>IFERROR(V45/$V$48,0)</f>
        <v>0</v>
      </c>
      <c r="Z45" s="428">
        <f>IFERROR(W45/$W$48,0)</f>
        <v>0</v>
      </c>
      <c r="AA45" s="444">
        <f>IFERROR(X45/$X$48,0)</f>
        <v>0</v>
      </c>
      <c r="AB45" s="448">
        <f>RESUMO!E24</f>
        <v>0</v>
      </c>
      <c r="AC45" s="453">
        <f>IFERROR(Y45/SUM(Y45:AA45)*AB45/$I$15,0)*$I$12*$AC$42</f>
        <v>0</v>
      </c>
      <c r="AD45" s="429">
        <f>IFERROR(Z45/SUM(Y45:AA45)*AB45/$J$15,0)*$I$12*$AD$42</f>
        <v>0</v>
      </c>
      <c r="AE45" s="454">
        <f>IFERROR(AA45/SUM(Y45:AA45)*AB45/$K$15,0)*$I$12*$AE$42</f>
        <v>0</v>
      </c>
    </row>
    <row r="46" spans="1:31" outlineLevel="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36"/>
      <c r="R46" s="4"/>
      <c r="T46" s="9"/>
      <c r="U46" s="370" t="s">
        <v>1901</v>
      </c>
      <c r="V46" s="433">
        <f>IFERROR(((RESUMO!C25)*(VLOOKUP(B52,$O$140:$S$146,3,0))),0)</f>
        <v>1</v>
      </c>
      <c r="W46" s="434">
        <f>IFERROR(((RESUMO!C25)*(VLOOKUP(B52,$O$140:$S$146,4,0))),0)</f>
        <v>0</v>
      </c>
      <c r="X46" s="435">
        <f>IFERROR(IF(B52&lt;3,0,(RESUMO!C25)*(VLOOKUP(B52,$O$140:$S$146,5,0))),0)</f>
        <v>0</v>
      </c>
      <c r="Y46" s="443">
        <f>IFERROR(V46/$V$48,0)</f>
        <v>1</v>
      </c>
      <c r="Z46" s="428">
        <f>IFERROR(W46/$W$48,0)</f>
        <v>0</v>
      </c>
      <c r="AA46" s="444">
        <f>IFERROR(X46/$X$48,0)</f>
        <v>0</v>
      </c>
      <c r="AB46" s="448">
        <f>RESUMO!E25</f>
        <v>549.81818181818176</v>
      </c>
      <c r="AC46" s="453">
        <f>IFERROR(Y46/SUM(Y46:AA46)*AB46/$I$15,0)*$I$12*$AC$42</f>
        <v>57.422264419653452</v>
      </c>
      <c r="AD46" s="429">
        <f>IFERROR(Z46/SUM(Y46:AA46)*AB46/$J$15,0)*$I$12*$AD$42</f>
        <v>0</v>
      </c>
      <c r="AE46" s="454">
        <f>IFERROR(AA46/SUM(Y46:AA46)*AB46/$K$15,0)*$I$12*$AE$42</f>
        <v>0</v>
      </c>
    </row>
    <row r="47" spans="1:31" outlineLevel="2">
      <c r="A47" s="9"/>
      <c r="B47" s="4"/>
      <c r="C47" s="929" t="s">
        <v>1895</v>
      </c>
      <c r="D47" s="930"/>
      <c r="E47" s="931"/>
      <c r="F47" s="932" t="s">
        <v>1896</v>
      </c>
      <c r="G47" s="933"/>
      <c r="H47" s="934"/>
      <c r="I47" s="932" t="s">
        <v>1885</v>
      </c>
      <c r="J47" s="933"/>
      <c r="K47" s="934"/>
      <c r="L47" s="4"/>
      <c r="M47" s="4"/>
      <c r="N47" s="4"/>
      <c r="O47" s="236"/>
      <c r="R47" s="4"/>
      <c r="T47" s="9"/>
      <c r="U47" s="370" t="s">
        <v>1902</v>
      </c>
      <c r="V47" s="433">
        <f>IFERROR(((RESUMO!C26)*(VLOOKUP(B53,$O$140:$S$146,3,0))),0)</f>
        <v>0</v>
      </c>
      <c r="W47" s="434">
        <f>IFERROR(((RESUMO!C26)*(VLOOKUP(B53,$O$140:$S$146,4,0))),0)</f>
        <v>0</v>
      </c>
      <c r="X47" s="435">
        <f>IFERROR(IF(B53&lt;3,0,(RESUMO!C26)*(VLOOKUP(B53,$O$140:$S$146,5,0))),0)</f>
        <v>0</v>
      </c>
      <c r="Y47" s="443">
        <f>IFERROR(V47/$V$48,0)</f>
        <v>0</v>
      </c>
      <c r="Z47" s="428">
        <f>IFERROR(W47/$W$48,0)</f>
        <v>0</v>
      </c>
      <c r="AA47" s="444">
        <f>IFERROR(X47/$X$48,0)</f>
        <v>0</v>
      </c>
      <c r="AB47" s="448">
        <f>RESUMO!E26</f>
        <v>0</v>
      </c>
      <c r="AC47" s="453">
        <f>IFERROR(Y47/SUM(Y47:AA47)*AB47/$I$15,0)*$I$12*$AC$42</f>
        <v>0</v>
      </c>
      <c r="AD47" s="429">
        <f>IFERROR(Z47/SUM(Y47:AA47)*AB47/$J$15,0)*$I$12*$AD$42</f>
        <v>0</v>
      </c>
      <c r="AE47" s="454">
        <f>IFERROR(AA47/SUM(Y47:AA47)*AB47/$K$15,0)*$I$12*$AE$42</f>
        <v>0</v>
      </c>
    </row>
    <row r="48" spans="1:31" outlineLevel="2">
      <c r="A48" s="9"/>
      <c r="B48" s="5" t="s">
        <v>1537</v>
      </c>
      <c r="C48" s="550" t="s">
        <v>725</v>
      </c>
      <c r="D48" s="550" t="s">
        <v>726</v>
      </c>
      <c r="E48" s="550" t="s">
        <v>727</v>
      </c>
      <c r="F48" s="226" t="s">
        <v>725</v>
      </c>
      <c r="G48" s="226" t="s">
        <v>726</v>
      </c>
      <c r="H48" s="554" t="s">
        <v>727</v>
      </c>
      <c r="I48" s="226" t="s">
        <v>725</v>
      </c>
      <c r="J48" s="226" t="s">
        <v>726</v>
      </c>
      <c r="K48" s="554" t="s">
        <v>727</v>
      </c>
      <c r="L48" s="4"/>
      <c r="M48" s="4"/>
      <c r="N48" s="4"/>
      <c r="O48" s="236"/>
      <c r="R48" s="4"/>
      <c r="T48" s="9"/>
      <c r="U48" s="439" t="s">
        <v>1790</v>
      </c>
      <c r="V48" s="460">
        <f>SUM(V43:V47)</f>
        <v>1</v>
      </c>
      <c r="W48" s="460">
        <f>SUM(W43:W47)</f>
        <v>0</v>
      </c>
      <c r="X48" s="460">
        <f>SUM(X43:X47)</f>
        <v>0</v>
      </c>
      <c r="Y48" s="464">
        <f>SUM(Y43:Y47)</f>
        <v>1</v>
      </c>
      <c r="Z48" s="462">
        <f t="shared" ref="Z48:AE48" si="0">SUM(Z43:Z47)</f>
        <v>0</v>
      </c>
      <c r="AA48" s="465">
        <f t="shared" si="0"/>
        <v>0</v>
      </c>
      <c r="AB48" s="466">
        <f t="shared" si="0"/>
        <v>549.81818181818176</v>
      </c>
      <c r="AC48" s="460">
        <f t="shared" si="0"/>
        <v>57.422264419653452</v>
      </c>
      <c r="AD48" s="461">
        <f t="shared" si="0"/>
        <v>0</v>
      </c>
      <c r="AE48" s="463">
        <f t="shared" si="0"/>
        <v>0</v>
      </c>
    </row>
    <row r="49" spans="1:31" outlineLevel="2">
      <c r="A49" s="5" t="s">
        <v>1892</v>
      </c>
      <c r="B49" s="549" t="s">
        <v>1542</v>
      </c>
      <c r="C49" s="551">
        <f t="shared" ref="C49:E53" si="1">Y43</f>
        <v>0</v>
      </c>
      <c r="D49" s="552">
        <f t="shared" si="1"/>
        <v>0</v>
      </c>
      <c r="E49" s="553">
        <f t="shared" si="1"/>
        <v>0</v>
      </c>
      <c r="F49" s="229">
        <f t="shared" ref="F49:H53" si="2">Y51</f>
        <v>0</v>
      </c>
      <c r="G49" s="192">
        <f t="shared" si="2"/>
        <v>0</v>
      </c>
      <c r="H49" s="230">
        <f t="shared" si="2"/>
        <v>0</v>
      </c>
      <c r="I49" s="229">
        <f t="shared" ref="I49:K53" si="3">Y59</f>
        <v>0</v>
      </c>
      <c r="J49" s="192">
        <f t="shared" si="3"/>
        <v>0</v>
      </c>
      <c r="K49" s="230">
        <f t="shared" si="3"/>
        <v>0</v>
      </c>
      <c r="L49" s="4"/>
      <c r="M49" s="4"/>
      <c r="N49" s="4"/>
      <c r="O49" s="236"/>
      <c r="R49" s="4"/>
      <c r="T49" s="9"/>
      <c r="U49" s="9"/>
      <c r="V49" s="923" t="s">
        <v>1779</v>
      </c>
      <c r="W49" s="924"/>
      <c r="X49" s="925"/>
      <c r="Y49" s="923" t="s">
        <v>1780</v>
      </c>
      <c r="Z49" s="924"/>
      <c r="AA49" s="925"/>
      <c r="AB49" s="921" t="s">
        <v>1782</v>
      </c>
      <c r="AC49" s="923" t="s">
        <v>1781</v>
      </c>
      <c r="AD49" s="924"/>
      <c r="AE49" s="925"/>
    </row>
    <row r="50" spans="1:31" outlineLevel="2">
      <c r="A50" s="5" t="s">
        <v>1893</v>
      </c>
      <c r="B50" s="549" t="s">
        <v>1542</v>
      </c>
      <c r="C50" s="229">
        <f t="shared" si="1"/>
        <v>0</v>
      </c>
      <c r="D50" s="192">
        <f t="shared" si="1"/>
        <v>0</v>
      </c>
      <c r="E50" s="230">
        <f t="shared" si="1"/>
        <v>0</v>
      </c>
      <c r="F50" s="229">
        <f t="shared" si="2"/>
        <v>0</v>
      </c>
      <c r="G50" s="192">
        <f t="shared" si="2"/>
        <v>0</v>
      </c>
      <c r="H50" s="230">
        <f t="shared" si="2"/>
        <v>0</v>
      </c>
      <c r="I50" s="229">
        <f t="shared" si="3"/>
        <v>0</v>
      </c>
      <c r="J50" s="192">
        <f t="shared" si="3"/>
        <v>0</v>
      </c>
      <c r="K50" s="230">
        <f t="shared" si="3"/>
        <v>0</v>
      </c>
      <c r="L50" s="4"/>
      <c r="M50" s="4"/>
      <c r="N50" s="4"/>
      <c r="O50" s="236"/>
      <c r="R50" s="4"/>
      <c r="T50" s="9"/>
      <c r="U50" s="9"/>
      <c r="V50" s="372" t="s">
        <v>1545</v>
      </c>
      <c r="W50" s="372" t="s">
        <v>1546</v>
      </c>
      <c r="X50" s="372" t="s">
        <v>1547</v>
      </c>
      <c r="Y50" s="372" t="s">
        <v>1545</v>
      </c>
      <c r="Z50" s="372" t="s">
        <v>1546</v>
      </c>
      <c r="AA50" s="372" t="s">
        <v>1547</v>
      </c>
      <c r="AB50" s="922"/>
      <c r="AC50" s="372" t="s">
        <v>1545</v>
      </c>
      <c r="AD50" s="372" t="s">
        <v>1546</v>
      </c>
      <c r="AE50" s="372" t="s">
        <v>1547</v>
      </c>
    </row>
    <row r="51" spans="1:31" outlineLevel="2">
      <c r="A51" s="5" t="s">
        <v>1890</v>
      </c>
      <c r="B51" s="549">
        <f>IF($I$12=1,1,IF($I$12=2,"1_2",IF($I$12=3,"1_2_3",1)))</f>
        <v>1</v>
      </c>
      <c r="C51" s="229">
        <f t="shared" si="1"/>
        <v>0</v>
      </c>
      <c r="D51" s="192">
        <f t="shared" si="1"/>
        <v>0</v>
      </c>
      <c r="E51" s="230">
        <f t="shared" si="1"/>
        <v>0</v>
      </c>
      <c r="F51" s="229">
        <f t="shared" si="2"/>
        <v>0</v>
      </c>
      <c r="G51" s="192">
        <f t="shared" si="2"/>
        <v>0</v>
      </c>
      <c r="H51" s="230">
        <f t="shared" si="2"/>
        <v>0</v>
      </c>
      <c r="I51" s="229">
        <f t="shared" si="3"/>
        <v>0</v>
      </c>
      <c r="J51" s="192">
        <f t="shared" si="3"/>
        <v>0</v>
      </c>
      <c r="K51" s="230">
        <f t="shared" si="3"/>
        <v>0</v>
      </c>
      <c r="L51" s="4"/>
      <c r="M51" s="4"/>
      <c r="N51" s="4"/>
      <c r="O51" s="236"/>
      <c r="R51" s="4"/>
      <c r="T51" s="9"/>
      <c r="U51" s="370" t="s">
        <v>1903</v>
      </c>
      <c r="V51" s="433">
        <f>IFERROR(((RESUMO!C16)*(VLOOKUP(B49,$O$140:$S$146,3,0))),0)</f>
        <v>0</v>
      </c>
      <c r="W51" s="434">
        <f>IFERROR(((RESUMO!C16)*(VLOOKUP(B49,$O$140:$S$146,4,0))),0)</f>
        <v>0</v>
      </c>
      <c r="X51" s="435">
        <f>IFERROR(IF(B49&lt;3,0,(RESUMO!C16)*(VLOOKUP(B49,$O$140:$S$146,5,0))),0)</f>
        <v>0</v>
      </c>
      <c r="Y51" s="469">
        <f>IFERROR(V51/$V$56,0)</f>
        <v>0</v>
      </c>
      <c r="Z51" s="470">
        <f>IFERROR(W51/$W$56,0)</f>
        <v>0</v>
      </c>
      <c r="AA51" s="471">
        <f>IFERROR(X51/$X$56,0)</f>
        <v>0</v>
      </c>
      <c r="AB51" s="472">
        <f>RESUMO!E16</f>
        <v>0</v>
      </c>
      <c r="AC51" s="473">
        <f>IFERROR(Y51/SUM(Y51:AA51)*AB51/$I$15,0)*$I$12*$AC$42</f>
        <v>0</v>
      </c>
      <c r="AD51" s="474">
        <f>IFERROR(Z51/SUM(Y51:AA51)*AB51/$J$15,0)*$I$12*$AD$42</f>
        <v>0</v>
      </c>
      <c r="AE51" s="475">
        <f>IFERROR(AA51/SUM(Y51:AA51)*AB51/$K$15,0)*$I$12*$AE$42</f>
        <v>0</v>
      </c>
    </row>
    <row r="52" spans="1:31" outlineLevel="2">
      <c r="A52" s="5" t="s">
        <v>1891</v>
      </c>
      <c r="B52" s="549">
        <f>IF($I$12=1,1,IF($I$12=2,"1_2",IF($I$12=3,"1_2_3",1)))</f>
        <v>1</v>
      </c>
      <c r="C52" s="229">
        <f t="shared" si="1"/>
        <v>1</v>
      </c>
      <c r="D52" s="192">
        <f t="shared" si="1"/>
        <v>0</v>
      </c>
      <c r="E52" s="230">
        <f t="shared" si="1"/>
        <v>0</v>
      </c>
      <c r="F52" s="229">
        <f t="shared" si="2"/>
        <v>1</v>
      </c>
      <c r="G52" s="192">
        <f t="shared" si="2"/>
        <v>0</v>
      </c>
      <c r="H52" s="230">
        <f t="shared" si="2"/>
        <v>0</v>
      </c>
      <c r="I52" s="229">
        <f t="shared" si="3"/>
        <v>1</v>
      </c>
      <c r="J52" s="192">
        <f t="shared" si="3"/>
        <v>0</v>
      </c>
      <c r="K52" s="230">
        <f t="shared" si="3"/>
        <v>0</v>
      </c>
      <c r="L52" s="4"/>
      <c r="M52" s="4"/>
      <c r="N52" s="4"/>
      <c r="O52" s="236"/>
      <c r="R52" s="4"/>
      <c r="T52" s="9"/>
      <c r="U52" s="370" t="s">
        <v>1904</v>
      </c>
      <c r="V52" s="433">
        <f>IFERROR(((RESUMO!C17)*(VLOOKUP(B50,$O$140:$S$146,3,0))),0)</f>
        <v>0</v>
      </c>
      <c r="W52" s="434">
        <f>IFERROR(((RESUMO!C17)*(VLOOKUP(B50,$O$140:$S$146,4,0))),0)</f>
        <v>0</v>
      </c>
      <c r="X52" s="435">
        <f>IFERROR(IF(B50&lt;3,0,(RESUMO!C17)*(VLOOKUP(B50,$O$140:$S$146,5,0))),0)</f>
        <v>0</v>
      </c>
      <c r="Y52" s="443">
        <f>IFERROR(V52/$V$56,0)</f>
        <v>0</v>
      </c>
      <c r="Z52" s="428">
        <f>IFERROR(W52/$W$56,0)</f>
        <v>0</v>
      </c>
      <c r="AA52" s="444">
        <f>IFERROR(X52/$X$56,0)</f>
        <v>0</v>
      </c>
      <c r="AB52" s="448">
        <f>RESUMO!E17</f>
        <v>0</v>
      </c>
      <c r="AC52" s="453">
        <f>IFERROR(Y52/SUM(Y52:AA52)*AB52/$I$15,0)*$I$12*$AC$42</f>
        <v>0</v>
      </c>
      <c r="AD52" s="429">
        <f>IFERROR(Z52/SUM(Y52:AA52)*AB52/$J$15,0)*$I$12*$AD$42</f>
        <v>0</v>
      </c>
      <c r="AE52" s="454">
        <f>IFERROR(AA52/SUM(Y52:AA52)*AB52/$K$15,0)*$I$12*$AE$42</f>
        <v>0</v>
      </c>
    </row>
    <row r="53" spans="1:31" outlineLevel="2">
      <c r="A53" s="5" t="s">
        <v>1894</v>
      </c>
      <c r="B53" s="549">
        <f>IF($I$12=1,1,IF($I$12=2,"1_2",IF($I$12=3,"1_2_3",1)))</f>
        <v>1</v>
      </c>
      <c r="C53" s="231">
        <f t="shared" si="1"/>
        <v>0</v>
      </c>
      <c r="D53" s="232">
        <f t="shared" si="1"/>
        <v>0</v>
      </c>
      <c r="E53" s="233">
        <f t="shared" si="1"/>
        <v>0</v>
      </c>
      <c r="F53" s="231">
        <f t="shared" si="2"/>
        <v>0</v>
      </c>
      <c r="G53" s="232">
        <f t="shared" si="2"/>
        <v>0</v>
      </c>
      <c r="H53" s="233">
        <f t="shared" si="2"/>
        <v>0</v>
      </c>
      <c r="I53" s="231">
        <f t="shared" si="3"/>
        <v>0</v>
      </c>
      <c r="J53" s="232">
        <f t="shared" si="3"/>
        <v>0</v>
      </c>
      <c r="K53" s="233">
        <f t="shared" si="3"/>
        <v>0</v>
      </c>
      <c r="L53" s="4"/>
      <c r="M53" s="4"/>
      <c r="N53" s="4"/>
      <c r="O53" s="236"/>
      <c r="R53" s="4"/>
      <c r="T53" s="9"/>
      <c r="U53" s="370" t="s">
        <v>1905</v>
      </c>
      <c r="V53" s="433">
        <f>IFERROR(((RESUMO!C18)*(VLOOKUP(B51,$O$140:$S$146,3,0))),0)</f>
        <v>0</v>
      </c>
      <c r="W53" s="434">
        <f>IFERROR(((RESUMO!C18)*(VLOOKUP(B51,$O$140:$S$146,4,0))),0)</f>
        <v>0</v>
      </c>
      <c r="X53" s="435">
        <f>IFERROR(IF(B51&lt;3,0,(RESUMO!C18)*(VLOOKUP(B51,$O$140:$S$146,5,0))),0)</f>
        <v>0</v>
      </c>
      <c r="Y53" s="443">
        <f>IFERROR(V53/$V$56,0)</f>
        <v>0</v>
      </c>
      <c r="Z53" s="428">
        <f>IFERROR(W53/$W$56,0)</f>
        <v>0</v>
      </c>
      <c r="AA53" s="444">
        <f>IFERROR(X53/$X$56,0)</f>
        <v>0</v>
      </c>
      <c r="AB53" s="448">
        <f>RESUMO!E18</f>
        <v>0</v>
      </c>
      <c r="AC53" s="453">
        <f>IFERROR(Y53/SUM(Y53:AA53)*AB53/$I$15,0)*$I$12*$AC$42</f>
        <v>0</v>
      </c>
      <c r="AD53" s="429">
        <f>IFERROR(Z53/SUM(Y53:AA53)*AB53/$J$15,0)*$I$12*$AD$42</f>
        <v>0</v>
      </c>
      <c r="AE53" s="454">
        <f>IFERROR(AA53/SUM(Y53:AA53)*AB53/$K$15,0)*$I$12*$AE$42</f>
        <v>0</v>
      </c>
    </row>
    <row r="54" spans="1:31" outlineLevel="2">
      <c r="L54" s="4"/>
      <c r="M54" s="4"/>
      <c r="N54" s="4"/>
      <c r="O54" s="236"/>
      <c r="R54" s="4"/>
      <c r="T54" s="9"/>
      <c r="U54" s="370" t="s">
        <v>1906</v>
      </c>
      <c r="V54" s="433">
        <f>IFERROR(((RESUMO!C19)*(VLOOKUP(B52,$O$140:$S$146,3,0))),0)</f>
        <v>1</v>
      </c>
      <c r="W54" s="434">
        <f>IFERROR(((RESUMO!C19)*(VLOOKUP(B52,$O$140:$S$146,4,0))),0)</f>
        <v>0</v>
      </c>
      <c r="X54" s="435">
        <f>IFERROR(IF(B52&lt;3,0,(RESUMO!C19)*(VLOOKUP(B52,$O$140:$S$146,5,0))),0)</f>
        <v>0</v>
      </c>
      <c r="Y54" s="443">
        <f>IFERROR(V54/$V$56,0)</f>
        <v>1</v>
      </c>
      <c r="Z54" s="428">
        <f>IFERROR(W54/$W$56,0)</f>
        <v>0</v>
      </c>
      <c r="AA54" s="444">
        <f>IFERROR(X54/$X$56,0)</f>
        <v>0</v>
      </c>
      <c r="AB54" s="448">
        <f>RESUMO!E19</f>
        <v>1623.2727272727273</v>
      </c>
      <c r="AC54" s="453">
        <f>IFERROR(Y54/SUM(Y54:AA54)*AB54/$I$15,0)*$I$12*$AC$42</f>
        <v>169.53239971516734</v>
      </c>
      <c r="AD54" s="429">
        <f>IFERROR(Z54/SUM(Y54:AA54)*AB54/$J$15,0)*$I$12*$AD$42</f>
        <v>0</v>
      </c>
      <c r="AE54" s="454">
        <f>IFERROR(AA54/SUM(Y54:AA54)*AB54/$K$15,0)*$I$12*$AE$42</f>
        <v>0</v>
      </c>
    </row>
    <row r="55" spans="1:31" outlineLevel="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36"/>
      <c r="R55" s="4"/>
      <c r="T55" s="9"/>
      <c r="U55" s="370" t="s">
        <v>1907</v>
      </c>
      <c r="V55" s="433">
        <f>IFERROR(((RESUMO!C20)*(VLOOKUP(B53,$O$140:$S$146,3,0))),0)</f>
        <v>0</v>
      </c>
      <c r="W55" s="434">
        <f>IFERROR(((RESUMO!C20)*(VLOOKUP(B53,$O$140:$S$146,4,0))),0)</f>
        <v>0</v>
      </c>
      <c r="X55" s="435">
        <f>IFERROR(IF(B53&lt;3,0,(RESUMO!C20)*(VLOOKUP(B53,$O$140:$S$146,5,0))),0)</f>
        <v>0</v>
      </c>
      <c r="Y55" s="443">
        <f>IFERROR(V55/$V$56,0)</f>
        <v>0</v>
      </c>
      <c r="Z55" s="428">
        <f>IFERROR(W55/$W$56,0)</f>
        <v>0</v>
      </c>
      <c r="AA55" s="444">
        <f>IFERROR(X55/$X$56,0)</f>
        <v>0</v>
      </c>
      <c r="AB55" s="448">
        <f>RESUMO!E20</f>
        <v>0</v>
      </c>
      <c r="AC55" s="453">
        <f>IFERROR(Y55/SUM(Y55:AA55)*AB55/$I$15,0)*$I$12*$AC$42</f>
        <v>0</v>
      </c>
      <c r="AD55" s="429">
        <f>IFERROR(Z55/SUM(Y55:AA55)*AB55/$J$15,0)*$I$12*$AD$42</f>
        <v>0</v>
      </c>
      <c r="AE55" s="454">
        <f>IFERROR(AA55/SUM(Y55:AA55)*AB55/$K$15,0)*$I$12*$AE$42</f>
        <v>0</v>
      </c>
    </row>
    <row r="56" spans="1:31">
      <c r="A56" s="121" t="s">
        <v>288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8"/>
      <c r="N56" s="4"/>
      <c r="O56" s="121" t="s">
        <v>288</v>
      </c>
      <c r="P56" s="2"/>
      <c r="Q56" s="2"/>
      <c r="R56" s="2"/>
      <c r="S56" s="2"/>
      <c r="T56" s="9"/>
      <c r="U56" s="439" t="s">
        <v>1790</v>
      </c>
      <c r="V56" s="460">
        <f t="shared" ref="V56:AE56" si="4">SUM(V51:V55)</f>
        <v>1</v>
      </c>
      <c r="W56" s="460">
        <f t="shared" si="4"/>
        <v>0</v>
      </c>
      <c r="X56" s="460">
        <f t="shared" si="4"/>
        <v>0</v>
      </c>
      <c r="Y56" s="464">
        <f t="shared" si="4"/>
        <v>1</v>
      </c>
      <c r="Z56" s="462">
        <f t="shared" si="4"/>
        <v>0</v>
      </c>
      <c r="AA56" s="465">
        <f t="shared" si="4"/>
        <v>0</v>
      </c>
      <c r="AB56" s="466">
        <f t="shared" si="4"/>
        <v>1623.2727272727273</v>
      </c>
      <c r="AC56" s="460">
        <f t="shared" si="4"/>
        <v>169.53239971516734</v>
      </c>
      <c r="AD56" s="461">
        <f t="shared" si="4"/>
        <v>0</v>
      </c>
      <c r="AE56" s="463">
        <f t="shared" si="4"/>
        <v>0</v>
      </c>
    </row>
    <row r="57" spans="1:31" outlineLevel="1">
      <c r="A57" s="11" t="s">
        <v>289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29"/>
      <c r="N57" s="4"/>
      <c r="O57" s="11" t="s">
        <v>289</v>
      </c>
      <c r="P57" s="10"/>
      <c r="Q57" s="10"/>
      <c r="R57" s="10"/>
      <c r="S57" s="10"/>
      <c r="T57" s="9"/>
      <c r="U57" s="9"/>
      <c r="V57" s="923" t="s">
        <v>1779</v>
      </c>
      <c r="W57" s="924"/>
      <c r="X57" s="925"/>
      <c r="Y57" s="923" t="s">
        <v>1780</v>
      </c>
      <c r="Z57" s="924"/>
      <c r="AA57" s="925"/>
      <c r="AB57" s="921" t="s">
        <v>1782</v>
      </c>
      <c r="AC57" s="923" t="s">
        <v>1781</v>
      </c>
      <c r="AD57" s="924"/>
      <c r="AE57" s="925"/>
    </row>
    <row r="58" spans="1:31" outlineLevel="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1" t="s">
        <v>1169</v>
      </c>
      <c r="P58" s="29"/>
      <c r="T58" s="9"/>
      <c r="U58" s="9"/>
      <c r="V58" s="372" t="s">
        <v>1545</v>
      </c>
      <c r="W58" s="372" t="s">
        <v>1546</v>
      </c>
      <c r="X58" s="372" t="s">
        <v>1547</v>
      </c>
      <c r="Y58" s="372" t="s">
        <v>1545</v>
      </c>
      <c r="Z58" s="372" t="s">
        <v>1546</v>
      </c>
      <c r="AA58" s="372" t="s">
        <v>1547</v>
      </c>
      <c r="AB58" s="922"/>
      <c r="AC58" s="372" t="s">
        <v>1545</v>
      </c>
      <c r="AD58" s="372" t="s">
        <v>1546</v>
      </c>
      <c r="AE58" s="372" t="s">
        <v>1547</v>
      </c>
    </row>
    <row r="59" spans="1:31" outlineLevel="2">
      <c r="A59" s="654" t="s">
        <v>2416</v>
      </c>
      <c r="B59" s="226" t="s">
        <v>725</v>
      </c>
      <c r="C59" s="226" t="s">
        <v>726</v>
      </c>
      <c r="D59" s="226" t="s">
        <v>727</v>
      </c>
      <c r="E59" s="4"/>
      <c r="G59" s="4"/>
      <c r="H59" s="4" t="s">
        <v>2590</v>
      </c>
      <c r="I59" s="697">
        <f>B67+B75+B80+I67+I72+I77</f>
        <v>0</v>
      </c>
      <c r="J59" s="4"/>
      <c r="K59" s="4"/>
      <c r="L59" s="4"/>
      <c r="M59" s="4"/>
      <c r="N59" s="4"/>
      <c r="O59" s="236" t="s">
        <v>1171</v>
      </c>
      <c r="P59" s="31"/>
      <c r="T59" s="9"/>
      <c r="U59" s="370" t="s">
        <v>1910</v>
      </c>
      <c r="V59" s="433">
        <f>IFERROR(((RESUMO!C10)*(VLOOKUP(B49,$O$140:$S$146,3,0))),0)</f>
        <v>0</v>
      </c>
      <c r="W59" s="434">
        <f>IFERROR(((RESUMO!C10)*(VLOOKUP(B49,$O$140:$S$146,4,0))),0)</f>
        <v>0</v>
      </c>
      <c r="X59" s="435">
        <f>IFERROR(IF(B49&lt;3,0,(RESUMO!C10)*(VLOOKUP(B49,$O$140:$S$146,5,0))),0)</f>
        <v>0</v>
      </c>
      <c r="Y59" s="469">
        <f>IFERROR(V59/$V$64,0)</f>
        <v>0</v>
      </c>
      <c r="Z59" s="470">
        <f>IFERROR(W59/$W$64,0)</f>
        <v>0</v>
      </c>
      <c r="AA59" s="471">
        <f>IFERROR(X59/$X$64,0)</f>
        <v>0</v>
      </c>
      <c r="AB59" s="472">
        <f>RESUMO!E10</f>
        <v>0</v>
      </c>
      <c r="AC59" s="473">
        <f>IFERROR(Y59/SUM(Y59:AA59)*AB59/$I$15,0)*$I$12*$AC$42</f>
        <v>0</v>
      </c>
      <c r="AD59" s="474">
        <f>IFERROR(Z59/SUM(Y59:AA59)*AB59/$J$15,0)*$I$12*$AD$42</f>
        <v>0</v>
      </c>
      <c r="AE59" s="475">
        <f>IFERROR(AA59/SUM(Y59:AA59)*AB59/$K$15,0)*$I$12*$AE$42</f>
        <v>0</v>
      </c>
    </row>
    <row r="60" spans="1:31" outlineLevel="2">
      <c r="A60" s="205" t="s">
        <v>1172</v>
      </c>
      <c r="B60" s="183">
        <f>ROUNDUP('BD VOLUME'!$I$145,-2)</f>
        <v>0</v>
      </c>
      <c r="C60" s="183">
        <f>IF($I$12&gt;1,B60,0)</f>
        <v>0</v>
      </c>
      <c r="D60" s="183">
        <f>IF($I$12&gt;2,C60,0)</f>
        <v>0</v>
      </c>
      <c r="E60" s="333">
        <f>IFERROR((B60)/(I19*I21),0)</f>
        <v>0</v>
      </c>
      <c r="F60" s="332" t="s">
        <v>1330</v>
      </c>
      <c r="G60" s="4"/>
      <c r="H60" s="4" t="s">
        <v>2591</v>
      </c>
      <c r="I60" s="698">
        <f>E67+E74+E79+L67+L72+L76</f>
        <v>0</v>
      </c>
      <c r="J60" s="4"/>
      <c r="K60" s="4"/>
      <c r="L60" s="4"/>
      <c r="M60" s="4"/>
      <c r="N60" s="4"/>
      <c r="O60" s="236" t="s">
        <v>1172</v>
      </c>
      <c r="P60" s="31"/>
      <c r="T60" s="9"/>
      <c r="U60" s="370" t="s">
        <v>1911</v>
      </c>
      <c r="V60" s="433">
        <f>IFERROR(((RESUMO!C11)*(VLOOKUP(B50,$O$140:$S$146,3,0))),0)</f>
        <v>0</v>
      </c>
      <c r="W60" s="434">
        <f>IFERROR(((RESUMO!C11)*(VLOOKUP(B50,$O$140:$S$146,4,0))),0)</f>
        <v>0</v>
      </c>
      <c r="X60" s="435">
        <f>IFERROR(IF(B50&lt;3,0,(RESUMO!C11)*(VLOOKUP(B50,$O$140:$S$146,5,0))),0)</f>
        <v>0</v>
      </c>
      <c r="Y60" s="443">
        <f>IFERROR(V60/$V$64,0)</f>
        <v>0</v>
      </c>
      <c r="Z60" s="428">
        <f>IFERROR(W60/$W$64,0)</f>
        <v>0</v>
      </c>
      <c r="AA60" s="444">
        <f>IFERROR(X60/$X$64,0)</f>
        <v>0</v>
      </c>
      <c r="AB60" s="448">
        <f>RESUMO!E11</f>
        <v>0</v>
      </c>
      <c r="AC60" s="453">
        <f>IFERROR(Y60/SUM(Y60:AA60)*AB60/$I$15,0)*$I$12*$AC$42</f>
        <v>0</v>
      </c>
      <c r="AD60" s="429">
        <f>IFERROR(Z60/SUM(Y60:AA60)*AB60/$J$15,0)*$I$12*$AD$42</f>
        <v>0</v>
      </c>
      <c r="AE60" s="454">
        <f>IFERROR(AA60/SUM(Y60:AA60)*AB60/$K$15,0)*$I$12*$AE$42</f>
        <v>0</v>
      </c>
    </row>
    <row r="61" spans="1:31" outlineLevel="2">
      <c r="A61" s="13" t="s">
        <v>1173</v>
      </c>
      <c r="B61" s="114">
        <v>0</v>
      </c>
      <c r="C61" s="114">
        <f>IF($I$12&gt;1,B61,0)</f>
        <v>0</v>
      </c>
      <c r="D61" s="114">
        <f>IF($I$12&gt;2,C61,0)</f>
        <v>0</v>
      </c>
      <c r="E61" s="4"/>
      <c r="G61" s="4"/>
      <c r="H61" s="4"/>
      <c r="I61" s="4"/>
      <c r="J61" s="4"/>
      <c r="K61" s="4"/>
      <c r="L61" s="4"/>
      <c r="M61" s="4"/>
      <c r="N61" s="4"/>
      <c r="O61" s="236"/>
      <c r="R61" s="4"/>
      <c r="T61" s="9"/>
      <c r="U61" s="370" t="s">
        <v>1912</v>
      </c>
      <c r="V61" s="433">
        <f>IFERROR(((RESUMO!C12)*(VLOOKUP(B51,$O$140:$S$146,3,0))),0)</f>
        <v>0</v>
      </c>
      <c r="W61" s="434">
        <f>IFERROR(((RESUMO!C12)*(VLOOKUP(B51,$O$140:$S$146,4,0))),0)</f>
        <v>0</v>
      </c>
      <c r="X61" s="435">
        <f>IFERROR(IF(B51&lt;3,0,(RESUMO!C12)*(VLOOKUP(B51,$O$140:$S$146,5,0))),0)</f>
        <v>0</v>
      </c>
      <c r="Y61" s="443">
        <f>IFERROR(V61/$V$64,0)</f>
        <v>0</v>
      </c>
      <c r="Z61" s="428">
        <f>IFERROR(W61/$W$64,0)</f>
        <v>0</v>
      </c>
      <c r="AA61" s="444">
        <f>IFERROR(X61/$X$64,0)</f>
        <v>0</v>
      </c>
      <c r="AB61" s="448">
        <f>RESUMO!E12</f>
        <v>0</v>
      </c>
      <c r="AC61" s="453">
        <f>IFERROR(Y61/SUM(Y61:AA61)*AB61/$I$15,0)*$I$12*$AC$42</f>
        <v>0</v>
      </c>
      <c r="AD61" s="429">
        <f>IFERROR(Z61/SUM(Y61:AA61)*AB61/$J$15,0)*$I$12*$AD$42</f>
        <v>0</v>
      </c>
      <c r="AE61" s="454">
        <f>IFERROR(AA61/SUM(Y61:AA61)*AB61/$K$15,0)*$I$12*$AE$42</f>
        <v>0</v>
      </c>
    </row>
    <row r="62" spans="1:31" outlineLevel="2">
      <c r="A62" s="5" t="s">
        <v>1174</v>
      </c>
      <c r="B62" s="8">
        <v>0</v>
      </c>
      <c r="C62" s="8">
        <f>IF($I$12&gt;1,B62,0)</f>
        <v>0</v>
      </c>
      <c r="D62" s="8">
        <f>IF($I$12&gt;2,C62,0)</f>
        <v>0</v>
      </c>
      <c r="E62" s="120"/>
      <c r="G62" s="120"/>
      <c r="H62" s="118">
        <f>B62*1080</f>
        <v>0</v>
      </c>
      <c r="I62" s="118"/>
      <c r="J62" s="118"/>
      <c r="K62" s="4"/>
      <c r="L62" s="4"/>
      <c r="M62" s="4"/>
      <c r="N62" s="4"/>
      <c r="P62" s="372" t="s">
        <v>1337</v>
      </c>
      <c r="Q62" s="372" t="s">
        <v>1345</v>
      </c>
      <c r="R62" s="372" t="s">
        <v>1346</v>
      </c>
      <c r="S62" s="372" t="s">
        <v>1347</v>
      </c>
      <c r="T62" s="9"/>
      <c r="U62" s="370" t="s">
        <v>1913</v>
      </c>
      <c r="V62" s="433">
        <f>IFERROR(((RESUMO!C13)*(VLOOKUP(B52,$O$140:$S$146,3,0))),0)</f>
        <v>1</v>
      </c>
      <c r="W62" s="434">
        <f>IFERROR(((RESUMO!C13)*(VLOOKUP(B52,$O$140:$S$146,4,0))),0)</f>
        <v>0</v>
      </c>
      <c r="X62" s="435">
        <f>IFERROR(IF(B52&lt;3,0,(RESUMO!C13)*(VLOOKUP(B52,$O$140:$S$146,5,0))),0)</f>
        <v>0</v>
      </c>
      <c r="Y62" s="443">
        <f>IFERROR(V62/$V$64,0)</f>
        <v>1</v>
      </c>
      <c r="Z62" s="428">
        <f>IFERROR(W62/$W$64,0)</f>
        <v>0</v>
      </c>
      <c r="AA62" s="444">
        <f>IFERROR(X62/$X$64,0)</f>
        <v>0</v>
      </c>
      <c r="AB62" s="448">
        <f>RESUMO!E13</f>
        <v>1924.3636363636365</v>
      </c>
      <c r="AC62" s="453">
        <f>IFERROR(Y62/SUM(Y62:AA62)*AB62/$I$15,0)*$I$12*$AC$42</f>
        <v>200.97792546878711</v>
      </c>
      <c r="AD62" s="429">
        <f>IFERROR(Z62/SUM(Y62:AA62)*AB62/$J$15,0)*$I$12*$AD$42</f>
        <v>0</v>
      </c>
      <c r="AE62" s="454">
        <f>IFERROR(AA62/SUM(Y62:AA62)*AB62/$K$15,0)*$I$12*$AE$42</f>
        <v>0</v>
      </c>
    </row>
    <row r="63" spans="1:31" outlineLevel="2">
      <c r="A63" s="5" t="s">
        <v>1170</v>
      </c>
      <c r="B63" s="8">
        <v>0</v>
      </c>
      <c r="C63" s="8">
        <f>IF($I$12&gt;1,B63,0)</f>
        <v>0</v>
      </c>
      <c r="D63" s="8">
        <f>IF($I$12&gt;2,C63,0)</f>
        <v>0</v>
      </c>
      <c r="E63" s="4"/>
      <c r="G63" s="4"/>
      <c r="H63" s="4"/>
      <c r="I63" s="4"/>
      <c r="J63" s="4"/>
      <c r="K63" s="4"/>
      <c r="L63" s="4"/>
      <c r="M63" s="4"/>
      <c r="N63" s="4"/>
      <c r="O63" s="695" t="s">
        <v>2574</v>
      </c>
      <c r="P63" s="696">
        <f>(($I$18*(SUM(RESUMO!$C$37:$C$42)))*'BD VOLUME'!$C$3)</f>
        <v>0</v>
      </c>
      <c r="Q63" s="696">
        <f>IFERROR((P63*B66)/I15,0)</f>
        <v>0</v>
      </c>
      <c r="R63" s="696">
        <f>IFERROR((P63*C66)/J15,0)</f>
        <v>0</v>
      </c>
      <c r="S63" s="696">
        <f>IFERROR((P63*D66)/K15,0)</f>
        <v>0</v>
      </c>
      <c r="T63" s="9"/>
      <c r="U63" s="370" t="s">
        <v>1914</v>
      </c>
      <c r="V63" s="433">
        <f>IFERROR(((RESUMO!C14)*(VLOOKUP(B53,$O$140:$S$146,3,0))),0)</f>
        <v>0</v>
      </c>
      <c r="W63" s="434">
        <f>IFERROR(((RESUMO!C14)*(VLOOKUP(B53,$O$140:$S$146,4,0))),0)</f>
        <v>0</v>
      </c>
      <c r="X63" s="435">
        <f>IFERROR(IF(B53&lt;3,0,(RESUMO!C14)*(VLOOKUP(B53,$O$140:$S$146,5,0))),0)</f>
        <v>0</v>
      </c>
      <c r="Y63" s="443">
        <f>IFERROR(V63/$V$64,0)</f>
        <v>0</v>
      </c>
      <c r="Z63" s="428">
        <f>IFERROR(W63/$W$64,0)</f>
        <v>0</v>
      </c>
      <c r="AA63" s="444">
        <f>IFERROR(X63/$X$64,0)</f>
        <v>0</v>
      </c>
      <c r="AB63" s="448">
        <f>RESUMO!E14</f>
        <v>0</v>
      </c>
      <c r="AC63" s="453">
        <f>IFERROR(Y63/SUM(Y63:AA63)*AB63/$I$15,0)*$I$12*$AC$42</f>
        <v>0</v>
      </c>
      <c r="AD63" s="429">
        <f>IFERROR(Z63/SUM(Y63:AA63)*AB63/$J$15,0)*$I$12*$AD$42</f>
        <v>0</v>
      </c>
      <c r="AE63" s="454">
        <f>IFERROR(AA63/SUM(Y63:AA63)*AB63/$K$15,0)*$I$12*$AE$42</f>
        <v>0</v>
      </c>
    </row>
    <row r="64" spans="1:31" outlineLevel="2">
      <c r="A64" s="13" t="s">
        <v>886</v>
      </c>
      <c r="B64" s="8" t="s">
        <v>302</v>
      </c>
      <c r="C64" s="8">
        <f>IF($I$12&gt;1,B64,0)</f>
        <v>0</v>
      </c>
      <c r="D64" s="8">
        <f>IF($I$12&gt;2,C64,0)</f>
        <v>0</v>
      </c>
      <c r="E64" s="4"/>
      <c r="G64" s="4"/>
      <c r="H64" s="4"/>
      <c r="I64" s="4"/>
      <c r="J64" s="4"/>
      <c r="K64" s="4"/>
      <c r="L64" s="4"/>
      <c r="M64" s="4"/>
      <c r="N64" s="4"/>
      <c r="O64" s="370" t="s">
        <v>1339</v>
      </c>
      <c r="P64" s="433">
        <f>RESUMO!E37</f>
        <v>0</v>
      </c>
      <c r="Q64" s="433">
        <f>IFERROR((P64*$B$66)/$I$15,0)</f>
        <v>0</v>
      </c>
      <c r="R64" s="433">
        <f>IFERROR((P64*$C$66)/$J$15,0)</f>
        <v>0</v>
      </c>
      <c r="S64" s="433">
        <f>IFERROR((P64*$D$66)/$K$15,0)</f>
        <v>0</v>
      </c>
      <c r="T64" s="9"/>
      <c r="U64" s="439" t="s">
        <v>1790</v>
      </c>
      <c r="V64" s="460">
        <f t="shared" ref="V64:AE64" si="5">SUM(V59:V63)</f>
        <v>1</v>
      </c>
      <c r="W64" s="460">
        <f t="shared" si="5"/>
        <v>0</v>
      </c>
      <c r="X64" s="460">
        <f t="shared" si="5"/>
        <v>0</v>
      </c>
      <c r="Y64" s="464">
        <f t="shared" si="5"/>
        <v>1</v>
      </c>
      <c r="Z64" s="462">
        <f t="shared" si="5"/>
        <v>0</v>
      </c>
      <c r="AA64" s="465">
        <f t="shared" si="5"/>
        <v>0</v>
      </c>
      <c r="AB64" s="466">
        <f t="shared" si="5"/>
        <v>1924.3636363636365</v>
      </c>
      <c r="AC64" s="460">
        <f t="shared" si="5"/>
        <v>200.97792546878711</v>
      </c>
      <c r="AD64" s="461">
        <f t="shared" si="5"/>
        <v>0</v>
      </c>
      <c r="AE64" s="463">
        <f t="shared" si="5"/>
        <v>0</v>
      </c>
    </row>
    <row r="65" spans="1:31" outlineLevel="2">
      <c r="A65" s="654" t="s">
        <v>2584</v>
      </c>
      <c r="B65" s="4"/>
      <c r="C65" s="4"/>
      <c r="D65" s="4"/>
      <c r="E65" s="4"/>
      <c r="G65" s="4"/>
      <c r="H65" s="654" t="s">
        <v>1341</v>
      </c>
      <c r="I65" s="4"/>
      <c r="J65" s="4"/>
      <c r="K65" s="4"/>
      <c r="L65" s="4"/>
      <c r="N65" s="4"/>
      <c r="O65" s="370" t="s">
        <v>1340</v>
      </c>
      <c r="P65" s="433">
        <f>(($I$18*RESUMO!C38*'BD VOLUME'!$C$3))</f>
        <v>0</v>
      </c>
      <c r="Q65" s="433">
        <f>IFERROR((P65*$B$66)/$I$15,0)</f>
        <v>0</v>
      </c>
      <c r="R65" s="433">
        <f>IFERROR((P65*$C$66)/$J$15,0)</f>
        <v>0</v>
      </c>
      <c r="S65" s="433">
        <f>IFERROR((P65*$D$67)/$K$15,0)</f>
        <v>0</v>
      </c>
      <c r="T65" s="9"/>
      <c r="U65" s="9"/>
      <c r="V65" s="923" t="s">
        <v>1779</v>
      </c>
      <c r="W65" s="924"/>
      <c r="X65" s="925"/>
      <c r="Y65" s="923" t="s">
        <v>1780</v>
      </c>
      <c r="Z65" s="924"/>
      <c r="AA65" s="925"/>
      <c r="AB65" s="921" t="s">
        <v>1782</v>
      </c>
      <c r="AC65" s="923" t="s">
        <v>1781</v>
      </c>
      <c r="AD65" s="924"/>
      <c r="AE65" s="925"/>
    </row>
    <row r="66" spans="1:31" outlineLevel="2">
      <c r="A66" s="5" t="s">
        <v>1536</v>
      </c>
      <c r="B66" s="14">
        <v>1</v>
      </c>
      <c r="C66" s="14">
        <f>100%-B66</f>
        <v>0</v>
      </c>
      <c r="D66" s="14">
        <f>100%-C66-B66</f>
        <v>0</v>
      </c>
      <c r="G66" s="4"/>
      <c r="H66" s="5" t="s">
        <v>1536</v>
      </c>
      <c r="I66" s="14">
        <v>1</v>
      </c>
      <c r="J66" s="14">
        <f>100%-I66</f>
        <v>0</v>
      </c>
      <c r="K66" s="14">
        <f>100%-J66-I66</f>
        <v>0</v>
      </c>
      <c r="N66" s="4"/>
      <c r="O66" s="370" t="s">
        <v>2587</v>
      </c>
      <c r="P66" s="433">
        <f>(($I$18*RESUMO!C39*'BD VOLUME'!$C$3))</f>
        <v>0</v>
      </c>
      <c r="Q66" s="433">
        <f>IFERROR((P66*$B$74)/$I$15,0)</f>
        <v>0</v>
      </c>
      <c r="R66" s="433">
        <f>IFERROR((P66*$C$74)/$J$15,0)</f>
        <v>0</v>
      </c>
      <c r="S66" s="433">
        <f>IFERROR((P66*$D$74)/$K$15,0)</f>
        <v>0</v>
      </c>
      <c r="T66" s="4"/>
      <c r="U66" s="4"/>
      <c r="V66" s="372" t="s">
        <v>1545</v>
      </c>
      <c r="W66" s="372" t="s">
        <v>1546</v>
      </c>
      <c r="X66" s="372" t="s">
        <v>1547</v>
      </c>
      <c r="Y66" s="372" t="s">
        <v>1545</v>
      </c>
      <c r="Z66" s="372" t="s">
        <v>1546</v>
      </c>
      <c r="AA66" s="372" t="s">
        <v>1547</v>
      </c>
      <c r="AB66" s="922"/>
      <c r="AC66" s="372" t="s">
        <v>1545</v>
      </c>
      <c r="AD66" s="372" t="s">
        <v>1546</v>
      </c>
      <c r="AE66" s="372" t="s">
        <v>1547</v>
      </c>
    </row>
    <row r="67" spans="1:31" outlineLevel="2">
      <c r="A67" s="5" t="s">
        <v>885</v>
      </c>
      <c r="B67" s="183">
        <f>ROUNDUP(Q64,-1)</f>
        <v>0</v>
      </c>
      <c r="C67" s="183">
        <f>IF($I$12&gt;1,B67,0)</f>
        <v>0</v>
      </c>
      <c r="D67" s="183">
        <f>ROUNDUP(S64,-1)</f>
        <v>0</v>
      </c>
      <c r="E67" s="342">
        <f>IFERROR((B67/B68/60),0)</f>
        <v>0</v>
      </c>
      <c r="F67" s="332" t="s">
        <v>1350</v>
      </c>
      <c r="G67" s="4"/>
      <c r="H67" s="5" t="s">
        <v>885</v>
      </c>
      <c r="I67" s="183">
        <f>ROUNDUP(Q67,-1)</f>
        <v>0</v>
      </c>
      <c r="J67" s="183">
        <f>ROUNDUP(R67,-1)</f>
        <v>0</v>
      </c>
      <c r="K67" s="183">
        <f>ROUNDUP(S67,-1)</f>
        <v>0</v>
      </c>
      <c r="L67" s="342">
        <f>IFERROR((I67/I68/60),0)</f>
        <v>0</v>
      </c>
      <c r="M67" s="332" t="s">
        <v>1350</v>
      </c>
      <c r="N67" s="4"/>
      <c r="O67" s="370" t="s">
        <v>2588</v>
      </c>
      <c r="P67" s="433">
        <f>(($I$18*RESUMO!C40*'BD VOLUME'!$C$3))</f>
        <v>0</v>
      </c>
      <c r="Q67" s="433">
        <f>IFERROR((P67*$I$66)/$I$15,0)</f>
        <v>0</v>
      </c>
      <c r="R67" s="433">
        <f>IFERROR((P67*$J$66)/$J$15,0)</f>
        <v>0</v>
      </c>
      <c r="S67" s="433">
        <f>IFERROR((P67*$K$66)/$K$15,0)</f>
        <v>0</v>
      </c>
      <c r="T67" s="201"/>
      <c r="U67" s="370" t="s">
        <v>1129</v>
      </c>
      <c r="V67" s="433">
        <f>IFERROR(((RESUMO!C243)*(VLOOKUP(B53,$O$140:$S$146,3,0))),0)</f>
        <v>0</v>
      </c>
      <c r="W67" s="434">
        <f>IFERROR(((RESUMO!C243)*(VLOOKUP(B53,$O$140:$S$146,4,0))),0)</f>
        <v>0</v>
      </c>
      <c r="X67" s="435">
        <f>IFERROR(IF(B53&lt;3,0,(RESUMO!C243)*(VLOOKUP(B53,$O$140:$S$146,5,0))),0)</f>
        <v>0</v>
      </c>
      <c r="Y67" s="469">
        <f>IFERROR(V67/$V$64,0)</f>
        <v>0</v>
      </c>
      <c r="Z67" s="470">
        <f>IFERROR(W67/$W$64,0)</f>
        <v>0</v>
      </c>
      <c r="AA67" s="471">
        <f>IFERROR(X67/$X$64,0)</f>
        <v>0</v>
      </c>
      <c r="AB67" s="472">
        <f>RESUMO!E243</f>
        <v>0</v>
      </c>
      <c r="AC67" s="473">
        <f>IFERROR(Y67/SUM(Y67:AA67)*AB67/$I$15,0)*$I$12*$AC$42</f>
        <v>0</v>
      </c>
      <c r="AD67" s="474">
        <f>IFERROR(Z67/SUM(Y67:AA67)*AB67/$J$15,0)*$I$12*$AD$42</f>
        <v>0</v>
      </c>
      <c r="AE67" s="475">
        <f>IFERROR(AA67/SUM(Y67:AA67)*AB67/$K$15,0)*$I$12*$AE$42</f>
        <v>0</v>
      </c>
    </row>
    <row r="68" spans="1:31" outlineLevel="2">
      <c r="A68" s="13" t="s">
        <v>1173</v>
      </c>
      <c r="B68" s="114">
        <f>IF(B67&gt;0,1,0)+1</f>
        <v>1</v>
      </c>
      <c r="C68" s="8">
        <f>IF($I$12&gt;1,B68,0)</f>
        <v>0</v>
      </c>
      <c r="D68" s="8">
        <f>IF($I$12&gt;2,C68,0)</f>
        <v>0</v>
      </c>
      <c r="E68" s="4"/>
      <c r="G68" s="4"/>
      <c r="H68" s="13" t="s">
        <v>1173</v>
      </c>
      <c r="I68" s="114">
        <f>IF(I67&gt;0,1,0)</f>
        <v>0</v>
      </c>
      <c r="J68" s="8">
        <f>IF($I$12&gt;1,I68,0)</f>
        <v>0</v>
      </c>
      <c r="K68" s="8">
        <f>IF($I$12&gt;2,J68,0)</f>
        <v>0</v>
      </c>
      <c r="L68" s="4"/>
      <c r="N68" s="4"/>
      <c r="O68" s="370" t="s">
        <v>2586</v>
      </c>
      <c r="P68" s="433">
        <f>(($I$18*RESUMO!C41*'BD VOLUME'!$C$3))</f>
        <v>0</v>
      </c>
      <c r="Q68" s="433">
        <f>IFERROR((P68*$I$71)/$I$15,0)</f>
        <v>0</v>
      </c>
      <c r="R68" s="433">
        <f>IFERROR((P68*$J$71)/$J$15,0)</f>
        <v>0</v>
      </c>
      <c r="S68" s="433">
        <f>IFERROR((P68*$K$71)/$K$15,0)</f>
        <v>0</v>
      </c>
      <c r="T68" s="9"/>
      <c r="U68" s="370"/>
      <c r="V68" s="433"/>
      <c r="W68" s="434"/>
      <c r="X68" s="435"/>
      <c r="Y68" s="443"/>
      <c r="Z68" s="428"/>
      <c r="AA68" s="444"/>
      <c r="AB68" s="448"/>
      <c r="AC68" s="453"/>
      <c r="AD68" s="429"/>
      <c r="AE68" s="454"/>
    </row>
    <row r="69" spans="1:31" outlineLevel="2">
      <c r="A69" s="5" t="s">
        <v>700</v>
      </c>
      <c r="B69" s="182">
        <f>SUMIF('BD VOLUME'!D:D,"INTEIROS S/G",'BD VOLUME'!J:J)</f>
        <v>0</v>
      </c>
      <c r="C69" s="183">
        <f>IF($I$12&gt;1,B69,0)</f>
        <v>0</v>
      </c>
      <c r="D69" s="182">
        <f>IF(Q77&gt;I14+J14,B69,0)</f>
        <v>0</v>
      </c>
      <c r="E69" s="4"/>
      <c r="G69" s="4"/>
      <c r="H69" s="4"/>
      <c r="I69" s="4"/>
      <c r="J69" s="4"/>
      <c r="K69" s="4"/>
      <c r="L69" s="4"/>
      <c r="M69" s="4"/>
      <c r="N69" s="4"/>
      <c r="O69" s="370" t="s">
        <v>2585</v>
      </c>
      <c r="P69" s="433">
        <f>(($I$18*RESUMO!C42*'BD VOLUME'!$C$3))</f>
        <v>0</v>
      </c>
      <c r="Q69" s="433">
        <f>IFERROR((P69*$I$76)/$I$15,0)</f>
        <v>0</v>
      </c>
      <c r="R69" s="433">
        <f>IFERROR((P69*$I$76)/$J$15,0)</f>
        <v>0</v>
      </c>
      <c r="S69" s="433">
        <f>IFERROR((P69*$K$76)/$K$15,0)</f>
        <v>0</v>
      </c>
      <c r="T69" s="9"/>
      <c r="U69" s="370"/>
      <c r="V69" s="433"/>
      <c r="W69" s="434"/>
      <c r="X69" s="435"/>
      <c r="Y69" s="443"/>
      <c r="Z69" s="428"/>
      <c r="AA69" s="444"/>
      <c r="AB69" s="448"/>
      <c r="AC69" s="453"/>
      <c r="AD69" s="429"/>
      <c r="AE69" s="454"/>
    </row>
    <row r="70" spans="1:31" outlineLevel="2">
      <c r="A70" s="13" t="s">
        <v>1335</v>
      </c>
      <c r="B70" s="114">
        <v>0</v>
      </c>
      <c r="C70" s="8">
        <f>IF($I$12&gt;1,B70,0)</f>
        <v>0</v>
      </c>
      <c r="D70" s="8">
        <f>IF(Q78&gt;I15+J15,B70,0)</f>
        <v>0</v>
      </c>
      <c r="E70" s="333">
        <f>S78</f>
        <v>0</v>
      </c>
      <c r="F70" s="4" t="str">
        <f>IF(E70&lt;50%,"Sobrando Máquina",IF(E70&gt;100%,"Faltando Máquina","Atende o Volume"))</f>
        <v>Sobrando Máquina</v>
      </c>
      <c r="G70" s="4"/>
      <c r="H70" s="654" t="s">
        <v>2579</v>
      </c>
      <c r="I70" s="4"/>
      <c r="J70" s="4"/>
      <c r="K70" s="4"/>
      <c r="L70" s="4"/>
      <c r="N70" s="4"/>
      <c r="O70" s="370" t="s">
        <v>2459</v>
      </c>
      <c r="P70" s="433">
        <f>(($I$18*RESUMO!C43*'BD VOLUME'!$C$3))</f>
        <v>0</v>
      </c>
      <c r="Q70" s="433">
        <f>IFERROR((P70*$B$79)/$I$15,0)</f>
        <v>0</v>
      </c>
      <c r="R70" s="433">
        <f>IFERROR((P70*$C$79)/$J$15,0)</f>
        <v>0</v>
      </c>
      <c r="S70" s="433">
        <f>IFERROR((P70*$D$79)/$K$15,0)</f>
        <v>0</v>
      </c>
      <c r="T70" s="9"/>
      <c r="U70" s="370"/>
      <c r="V70" s="433"/>
      <c r="W70" s="434"/>
      <c r="X70" s="435"/>
      <c r="Y70" s="443"/>
      <c r="Z70" s="428"/>
      <c r="AA70" s="444"/>
      <c r="AB70" s="448"/>
      <c r="AC70" s="453"/>
      <c r="AD70" s="429"/>
      <c r="AE70" s="454"/>
    </row>
    <row r="71" spans="1:31" outlineLevel="2">
      <c r="A71" s="13" t="s">
        <v>1334</v>
      </c>
      <c r="B71" s="114">
        <v>0</v>
      </c>
      <c r="C71" s="8">
        <f>IF($I$12&gt;1,B71,0)</f>
        <v>0</v>
      </c>
      <c r="D71" s="8">
        <f>IF($I$12&gt;2,C71,0)</f>
        <v>0</v>
      </c>
      <c r="E71" s="4"/>
      <c r="G71" s="4"/>
      <c r="H71" s="5" t="s">
        <v>1536</v>
      </c>
      <c r="I71" s="14">
        <v>0.5</v>
      </c>
      <c r="J71" s="14">
        <f>100%-I71</f>
        <v>0.5</v>
      </c>
      <c r="K71" s="14">
        <f>100%-J71-I71</f>
        <v>0</v>
      </c>
      <c r="N71" s="4"/>
      <c r="T71" s="9"/>
      <c r="U71" s="370"/>
      <c r="V71" s="433"/>
      <c r="W71" s="434"/>
      <c r="X71" s="435"/>
      <c r="Y71" s="443"/>
      <c r="Z71" s="428"/>
      <c r="AA71" s="444"/>
      <c r="AB71" s="448"/>
      <c r="AC71" s="453"/>
      <c r="AD71" s="429"/>
      <c r="AE71" s="454"/>
    </row>
    <row r="72" spans="1:31" outlineLevel="2">
      <c r="E72" s="4"/>
      <c r="H72" s="5" t="s">
        <v>885</v>
      </c>
      <c r="I72" s="183">
        <f>ROUNDUP(Q68,-1)</f>
        <v>0</v>
      </c>
      <c r="J72" s="183">
        <f>ROUNDUP(R68,-1)</f>
        <v>0</v>
      </c>
      <c r="K72" s="183">
        <f>ROUNDUP(S68,-1)</f>
        <v>0</v>
      </c>
      <c r="L72" s="342">
        <f>IFERROR((I72/I73/60),0)</f>
        <v>0</v>
      </c>
      <c r="M72" s="332" t="s">
        <v>1350</v>
      </c>
      <c r="N72" s="4"/>
      <c r="O72" s="338"/>
      <c r="P72" s="175"/>
      <c r="Q72" s="165"/>
      <c r="R72" s="175"/>
      <c r="S72" s="339"/>
      <c r="T72" s="9"/>
      <c r="U72" s="439" t="s">
        <v>1790</v>
      </c>
      <c r="V72" s="460">
        <f t="shared" ref="V72:AE72" si="6">SUM(V67:V71)</f>
        <v>0</v>
      </c>
      <c r="W72" s="460">
        <f t="shared" si="6"/>
        <v>0</v>
      </c>
      <c r="X72" s="460">
        <f t="shared" si="6"/>
        <v>0</v>
      </c>
      <c r="Y72" s="464">
        <f t="shared" si="6"/>
        <v>0</v>
      </c>
      <c r="Z72" s="462">
        <f t="shared" si="6"/>
        <v>0</v>
      </c>
      <c r="AA72" s="465">
        <f t="shared" si="6"/>
        <v>0</v>
      </c>
      <c r="AB72" s="466">
        <f t="shared" si="6"/>
        <v>0</v>
      </c>
      <c r="AC72" s="460">
        <f t="shared" si="6"/>
        <v>0</v>
      </c>
      <c r="AD72" s="461">
        <f t="shared" si="6"/>
        <v>0</v>
      </c>
      <c r="AE72" s="463">
        <f t="shared" si="6"/>
        <v>0</v>
      </c>
    </row>
    <row r="73" spans="1:31" outlineLevel="2">
      <c r="A73" s="654" t="s">
        <v>2555</v>
      </c>
      <c r="B73" s="4"/>
      <c r="C73" s="4"/>
      <c r="D73" s="4"/>
      <c r="H73" s="13" t="s">
        <v>1173</v>
      </c>
      <c r="I73" s="114">
        <f>IF(I72&gt;0,1,0)</f>
        <v>0</v>
      </c>
      <c r="J73" s="8">
        <f>IF($I$12&gt;1,I73,0)</f>
        <v>0</v>
      </c>
      <c r="K73" s="8">
        <f>IF($I$12&gt;2,J73,0)</f>
        <v>0</v>
      </c>
      <c r="L73" s="4"/>
      <c r="N73" s="4"/>
      <c r="O73" s="338"/>
      <c r="P73" s="175"/>
      <c r="Q73" s="165"/>
      <c r="R73" s="175"/>
      <c r="S73" s="339"/>
      <c r="T73" s="9"/>
      <c r="U73" s="9"/>
      <c r="Z73" s="9"/>
    </row>
    <row r="74" spans="1:31" outlineLevel="2">
      <c r="A74" s="5" t="s">
        <v>1536</v>
      </c>
      <c r="B74" s="14">
        <v>0.5</v>
      </c>
      <c r="C74" s="14">
        <f>100%-B74</f>
        <v>0.5</v>
      </c>
      <c r="D74" s="14">
        <f>100%-C74-B74</f>
        <v>0</v>
      </c>
      <c r="E74" s="342">
        <f>IFERROR((B75/B76/60),0)</f>
        <v>0</v>
      </c>
      <c r="F74" s="332" t="s">
        <v>1350</v>
      </c>
      <c r="M74" s="4"/>
      <c r="N74" s="4"/>
      <c r="O74" s="338"/>
      <c r="P74" s="175"/>
      <c r="Q74" s="165"/>
      <c r="R74" s="175"/>
      <c r="S74" s="339"/>
      <c r="T74" s="9"/>
      <c r="U74" s="9"/>
      <c r="Z74" s="9"/>
    </row>
    <row r="75" spans="1:31" outlineLevel="2">
      <c r="A75" s="5" t="s">
        <v>885</v>
      </c>
      <c r="B75" s="183">
        <f>ROUNDUP(Q66,-1)</f>
        <v>0</v>
      </c>
      <c r="C75" s="183">
        <f>ROUNDUP(R66,-1)</f>
        <v>0</v>
      </c>
      <c r="D75" s="183">
        <f>ROUNDUP(S66,-1)</f>
        <v>0</v>
      </c>
      <c r="E75" s="4"/>
      <c r="H75" s="654" t="s">
        <v>2589</v>
      </c>
      <c r="I75" s="4"/>
      <c r="J75" s="4"/>
      <c r="K75" s="4"/>
      <c r="M75" s="4"/>
      <c r="N75" s="4"/>
      <c r="O75" s="338"/>
      <c r="P75" s="175"/>
      <c r="Q75" s="165"/>
      <c r="R75" s="175"/>
      <c r="S75" s="339"/>
      <c r="T75" s="9"/>
      <c r="U75" s="9"/>
      <c r="Z75" s="9"/>
    </row>
    <row r="76" spans="1:31" outlineLevel="2">
      <c r="A76" s="13" t="s">
        <v>1173</v>
      </c>
      <c r="B76" s="114">
        <f>IF(B75&gt;0,1,0)</f>
        <v>0</v>
      </c>
      <c r="C76" s="8">
        <f>IF($I$12&gt;1,B76,0)</f>
        <v>0</v>
      </c>
      <c r="D76" s="8">
        <f>IF($I$12&gt;2,C76,0)</f>
        <v>0</v>
      </c>
      <c r="E76" s="4"/>
      <c r="H76" s="5" t="s">
        <v>1536</v>
      </c>
      <c r="I76" s="14">
        <v>0.5</v>
      </c>
      <c r="J76" s="14">
        <f>100%-I76</f>
        <v>0.5</v>
      </c>
      <c r="K76" s="14">
        <f>100%-J76-I76</f>
        <v>0</v>
      </c>
      <c r="L76" s="342">
        <f>IFERROR((I77/I78/60),0)</f>
        <v>0</v>
      </c>
      <c r="M76" s="332" t="s">
        <v>1350</v>
      </c>
      <c r="N76" s="4"/>
      <c r="O76" s="338"/>
      <c r="P76" s="175"/>
      <c r="Q76" s="165"/>
      <c r="R76" s="175"/>
      <c r="S76" s="339"/>
      <c r="T76" s="9"/>
      <c r="U76" s="9"/>
      <c r="Z76" s="9"/>
    </row>
    <row r="77" spans="1:31" outlineLevel="2">
      <c r="A77" s="9"/>
      <c r="B77" s="9"/>
      <c r="C77" s="9"/>
      <c r="D77" s="9"/>
      <c r="E77" s="4"/>
      <c r="H77" s="5" t="s">
        <v>885</v>
      </c>
      <c r="I77" s="183">
        <f>ROUNDUP(Q69,-1)</f>
        <v>0</v>
      </c>
      <c r="J77" s="183">
        <f>ROUNDUP(R69,-1)</f>
        <v>0</v>
      </c>
      <c r="K77" s="183">
        <f>ROUNDUP(S69,-1)</f>
        <v>0</v>
      </c>
      <c r="M77" s="4"/>
      <c r="N77" s="4"/>
      <c r="O77" s="245" t="s">
        <v>1336</v>
      </c>
      <c r="P77" s="175" t="s">
        <v>1337</v>
      </c>
      <c r="Q77" s="165" t="s">
        <v>1343</v>
      </c>
      <c r="R77" s="175" t="s">
        <v>1342</v>
      </c>
      <c r="S77" s="339" t="s">
        <v>1344</v>
      </c>
      <c r="T77" s="9"/>
      <c r="U77" s="9"/>
      <c r="Z77" s="9"/>
    </row>
    <row r="78" spans="1:31" outlineLevel="2">
      <c r="A78" s="654" t="s">
        <v>2463</v>
      </c>
      <c r="B78" s="4"/>
      <c r="C78" s="4"/>
      <c r="D78" s="4"/>
      <c r="E78" s="4"/>
      <c r="H78" s="13" t="s">
        <v>1173</v>
      </c>
      <c r="I78" s="114">
        <f>IF(I77&gt;0,1,0)</f>
        <v>0</v>
      </c>
      <c r="J78" s="8">
        <f>IF($I$12&gt;1,I78,0)</f>
        <v>0</v>
      </c>
      <c r="K78" s="8">
        <f>IF($I$12&gt;2,J78,0)</f>
        <v>0</v>
      </c>
      <c r="M78" s="4"/>
      <c r="N78" s="4"/>
      <c r="O78" s="245">
        <f>O80*55*60</f>
        <v>0</v>
      </c>
      <c r="P78" s="201">
        <f>(($I$18*RESUMO!$C$37*2)+($I$18*RESUMO!$C$38))*'BD VOLUME'!$C$3</f>
        <v>0</v>
      </c>
      <c r="Q78" s="248">
        <f>IFERROR($P$78/$O$78,0)</f>
        <v>0</v>
      </c>
      <c r="R78" s="228">
        <f>SUM(I15:$K$16)</f>
        <v>9.5749999999999993</v>
      </c>
      <c r="S78" s="337">
        <f>IFERROR(Q78/R78,0)</f>
        <v>0</v>
      </c>
      <c r="T78" s="9"/>
      <c r="U78" s="9"/>
      <c r="Z78" s="9"/>
    </row>
    <row r="79" spans="1:31" outlineLevel="2">
      <c r="A79" s="5" t="s">
        <v>1536</v>
      </c>
      <c r="B79" s="14">
        <v>1</v>
      </c>
      <c r="C79" s="14">
        <f>100%-B79</f>
        <v>0</v>
      </c>
      <c r="D79" s="14">
        <f>100%-C79-B79</f>
        <v>0</v>
      </c>
      <c r="E79" s="342">
        <f>IFERROR((B80/60),0)</f>
        <v>0</v>
      </c>
      <c r="F79" s="332" t="s">
        <v>1350</v>
      </c>
      <c r="M79" s="4"/>
      <c r="N79" s="4"/>
      <c r="O79" s="245">
        <f>55*60</f>
        <v>3300</v>
      </c>
      <c r="R79" s="4"/>
      <c r="T79" s="9"/>
    </row>
    <row r="80" spans="1:31" outlineLevel="2">
      <c r="A80" s="5" t="s">
        <v>2464</v>
      </c>
      <c r="B80" s="183">
        <f>ROUNDUP(Q70,-1)</f>
        <v>0</v>
      </c>
      <c r="C80" s="183">
        <f>ROUNDUP(R70,-1)</f>
        <v>0</v>
      </c>
      <c r="D80" s="183">
        <f>ROUNDUP(S70,-2)</f>
        <v>0</v>
      </c>
      <c r="E80" s="4"/>
      <c r="M80" s="4"/>
      <c r="N80" s="4"/>
      <c r="O80" s="245">
        <f>ROUNDUP(P78/(O79*R78),0)</f>
        <v>0</v>
      </c>
      <c r="R80" s="4"/>
      <c r="T80" s="9"/>
      <c r="U80" s="9"/>
      <c r="Z80" s="9"/>
    </row>
    <row r="81" spans="1:28" outlineLevel="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45"/>
      <c r="P81" s="4"/>
      <c r="Q81" s="4"/>
      <c r="R81" s="4"/>
      <c r="T81" s="9"/>
      <c r="U81" s="9"/>
      <c r="Z81" s="9"/>
    </row>
    <row r="82" spans="1:28" outlineLevel="1">
      <c r="A82" s="11" t="s">
        <v>292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29"/>
      <c r="O82" s="340"/>
      <c r="P82" s="201"/>
      <c r="Q82" s="201"/>
      <c r="R82" s="201"/>
      <c r="T82" s="9"/>
      <c r="U82" s="9"/>
      <c r="Z82" s="9"/>
    </row>
    <row r="83" spans="1:28" outlineLevel="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O83" s="236"/>
      <c r="R83" s="4"/>
      <c r="T83" s="9"/>
      <c r="U83" s="9"/>
      <c r="Z83" s="9"/>
    </row>
    <row r="84" spans="1:28" outlineLevel="2">
      <c r="A84" s="4"/>
      <c r="B84" s="226" t="s">
        <v>725</v>
      </c>
      <c r="C84" s="226" t="s">
        <v>726</v>
      </c>
      <c r="D84" s="226" t="s">
        <v>727</v>
      </c>
      <c r="E84" s="4"/>
      <c r="F84" s="4"/>
      <c r="G84" s="4"/>
      <c r="H84" s="4"/>
      <c r="I84" s="4"/>
      <c r="J84" s="4"/>
      <c r="K84" s="4"/>
      <c r="L84" s="4"/>
      <c r="M84" s="4"/>
      <c r="O84" s="236"/>
      <c r="R84" s="4"/>
      <c r="T84" s="9"/>
      <c r="U84" s="9"/>
      <c r="Z84" s="9"/>
    </row>
    <row r="85" spans="1:28" outlineLevel="2">
      <c r="A85" s="13" t="s">
        <v>290</v>
      </c>
      <c r="B85" s="183">
        <v>0</v>
      </c>
      <c r="C85" s="183">
        <v>0</v>
      </c>
      <c r="D85" s="183">
        <v>0</v>
      </c>
      <c r="E85" s="4"/>
      <c r="F85" s="4"/>
      <c r="G85" s="4"/>
      <c r="H85" s="4"/>
      <c r="I85" s="4"/>
      <c r="J85" s="4"/>
      <c r="K85" s="4"/>
      <c r="L85" s="4"/>
      <c r="M85" s="4"/>
      <c r="O85" s="236"/>
      <c r="R85" s="4"/>
      <c r="T85" s="9"/>
      <c r="U85" s="9"/>
      <c r="Z85" s="9"/>
    </row>
    <row r="86" spans="1:28" outlineLevel="2">
      <c r="A86" s="5" t="s">
        <v>291</v>
      </c>
      <c r="B86" s="8">
        <v>0</v>
      </c>
      <c r="C86" s="8">
        <v>0</v>
      </c>
      <c r="D86" s="8">
        <v>0</v>
      </c>
      <c r="E86" s="4"/>
      <c r="F86" s="4"/>
      <c r="G86" s="4"/>
      <c r="H86" s="4"/>
      <c r="I86" s="4"/>
      <c r="J86" s="4"/>
      <c r="K86" s="4"/>
      <c r="L86" s="4"/>
      <c r="M86" s="4"/>
      <c r="O86" s="236"/>
      <c r="R86" s="4"/>
      <c r="T86" s="9"/>
      <c r="U86" s="9"/>
      <c r="Z86" s="9"/>
    </row>
    <row r="87" spans="1:28" outlineLevel="2">
      <c r="A87" s="5" t="s">
        <v>1536</v>
      </c>
      <c r="B87" s="14">
        <v>0.5</v>
      </c>
      <c r="C87" s="14">
        <f>100%-B87</f>
        <v>0.5</v>
      </c>
      <c r="D87" s="14">
        <f>100%-C87-B87</f>
        <v>0</v>
      </c>
      <c r="E87" s="4"/>
      <c r="F87" s="4"/>
      <c r="G87" s="4"/>
      <c r="H87" s="4"/>
      <c r="I87" s="4"/>
      <c r="J87" s="4"/>
      <c r="K87" s="4"/>
      <c r="L87" s="4"/>
      <c r="M87" s="4"/>
      <c r="O87" s="236"/>
      <c r="R87" s="4"/>
      <c r="T87" s="9"/>
      <c r="U87" s="9"/>
      <c r="Z87" s="9"/>
    </row>
    <row r="88" spans="1:28" outlineLevel="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O88" s="236"/>
      <c r="R88" s="4"/>
      <c r="T88" s="9"/>
      <c r="U88" s="9"/>
      <c r="Z88" s="9"/>
    </row>
    <row r="89" spans="1:28" outlineLevel="1">
      <c r="A89" s="11" t="s">
        <v>293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29"/>
      <c r="O89" s="238" t="s">
        <v>293</v>
      </c>
      <c r="P89" s="227"/>
      <c r="Q89" s="227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29"/>
    </row>
    <row r="90" spans="1:28" outlineLevel="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O90" s="17" t="s">
        <v>294</v>
      </c>
      <c r="P90" s="3" t="s">
        <v>1360</v>
      </c>
      <c r="Q90" s="30" t="s">
        <v>1360</v>
      </c>
      <c r="R90" s="10" t="s">
        <v>1025</v>
      </c>
      <c r="S90" s="29"/>
      <c r="T90" s="9"/>
      <c r="U90" s="10" t="s">
        <v>1446</v>
      </c>
      <c r="V90" s="29"/>
      <c r="W90" s="227"/>
      <c r="Z90" s="9"/>
    </row>
    <row r="91" spans="1:28" outlineLevel="2">
      <c r="A91" s="4"/>
      <c r="B91" s="226" t="s">
        <v>725</v>
      </c>
      <c r="C91" s="226" t="s">
        <v>726</v>
      </c>
      <c r="D91" s="226" t="s">
        <v>727</v>
      </c>
      <c r="E91" s="4"/>
      <c r="F91" s="4"/>
      <c r="G91" s="4"/>
      <c r="H91" s="4"/>
      <c r="I91" s="4"/>
      <c r="J91" s="4"/>
      <c r="K91" s="4"/>
      <c r="L91" s="4"/>
      <c r="M91" s="4"/>
      <c r="O91" s="236" t="s">
        <v>338</v>
      </c>
      <c r="P91" s="43">
        <v>0</v>
      </c>
      <c r="Q91" s="202">
        <v>0</v>
      </c>
      <c r="R91" s="4" t="s">
        <v>1361</v>
      </c>
      <c r="T91" s="9"/>
      <c r="U91" s="9" t="s">
        <v>336</v>
      </c>
      <c r="Z91" s="9"/>
    </row>
    <row r="92" spans="1:28" outlineLevel="2">
      <c r="A92" s="13" t="s">
        <v>294</v>
      </c>
      <c r="B92" s="8" t="s">
        <v>1348</v>
      </c>
      <c r="C92" s="114">
        <f>IF($I$12&gt;1,B92,0)</f>
        <v>0</v>
      </c>
      <c r="D92" s="114">
        <f>IF($I$12&gt;2,C92,0)</f>
        <v>0</v>
      </c>
      <c r="E92" s="4"/>
      <c r="F92" s="4"/>
      <c r="G92" s="4"/>
      <c r="H92" s="4"/>
      <c r="I92" s="4"/>
      <c r="J92" s="4"/>
      <c r="K92" s="4"/>
      <c r="L92" s="4"/>
      <c r="M92" s="4"/>
      <c r="O92" s="236" t="s">
        <v>339</v>
      </c>
      <c r="P92" s="43">
        <v>0</v>
      </c>
      <c r="Q92" s="202">
        <v>0</v>
      </c>
      <c r="R92" s="4" t="s">
        <v>1362</v>
      </c>
      <c r="T92" s="9"/>
      <c r="U92" s="4" t="s">
        <v>295</v>
      </c>
      <c r="Z92" s="9"/>
    </row>
    <row r="93" spans="1:28" outlineLevel="2">
      <c r="A93" s="5" t="s">
        <v>290</v>
      </c>
      <c r="B93" s="183">
        <f>((IFERROR(ROUNDDOWN(((I13/(I15))+((100%-I17)*(I13/(I15)))),-2),0))+(IFERROR(ROUNDDOWN(((I14/(I16+I15))+((100%-I17)*(I14/(I16+I15)))),-2),0)))-B60-B67-B85-B125-B80-B75-I72-I77-I67</f>
        <v>4800</v>
      </c>
      <c r="C93" s="183">
        <f>((IFERROR(ROUNDDOWN(((J13/(J15))+((100%-J17)*(J13/(J15)))),-2),0))+(IFERROR(ROUNDDOWN(((J14/(J16+J15))+((100%-J17)*(J14/(J16+J15)))),-2),0)))-C60-C67-C85-C125-C80-C75-J72-J77-J67</f>
        <v>0</v>
      </c>
      <c r="D93" s="183">
        <f>((IFERROR(ROUNDDOWN(((K13/(K15))+((100%-K17)*(K13/(K15)))),-2),0))+(IFERROR(ROUNDDOWN(((K14/(K16+K15))+((100%-K17)*(K14/(K16+K15)))),-2),0)))-D60-D67-D85-D125-D80-D75-K72-K77-K67</f>
        <v>0</v>
      </c>
      <c r="E93" s="237" t="s">
        <v>973</v>
      </c>
      <c r="F93" s="4"/>
      <c r="G93" s="4"/>
      <c r="H93" s="4"/>
      <c r="I93" s="4"/>
      <c r="J93" s="4"/>
      <c r="K93" s="4"/>
      <c r="L93" s="4"/>
      <c r="M93" s="4"/>
      <c r="O93" s="236" t="s">
        <v>875</v>
      </c>
      <c r="P93" s="43">
        <v>7000</v>
      </c>
      <c r="Q93" s="202">
        <v>6000</v>
      </c>
      <c r="R93" s="4" t="s">
        <v>1026</v>
      </c>
      <c r="T93" s="9"/>
      <c r="U93" s="9"/>
      <c r="Z93" s="9"/>
    </row>
    <row r="94" spans="1:28" outlineLevel="2">
      <c r="A94" s="5" t="s">
        <v>296</v>
      </c>
      <c r="B94" s="8">
        <v>1</v>
      </c>
      <c r="C94" s="114">
        <f>IF($I$12&gt;1,B94,0)</f>
        <v>0</v>
      </c>
      <c r="D94" s="114">
        <f>IF($I$12&gt;2,C94,0)</f>
        <v>0</v>
      </c>
      <c r="E94" s="183">
        <f>IFERROR(VLOOKUP(B92,O91:P98,2,0)*B94,0)</f>
        <v>7000</v>
      </c>
      <c r="F94" s="348" t="str">
        <f>IF(B94&gt;0,IF(OR(B92=O91,B92=O92),"Zerar Número de Máquinas",""),"")</f>
        <v/>
      </c>
      <c r="G94" s="4"/>
      <c r="H94" s="4"/>
      <c r="I94" s="4"/>
      <c r="J94" s="4"/>
      <c r="K94" s="4"/>
      <c r="L94" s="4"/>
      <c r="M94" s="4"/>
      <c r="O94" s="236" t="s">
        <v>876</v>
      </c>
      <c r="P94" s="43">
        <v>7000</v>
      </c>
      <c r="Q94" s="202">
        <f>48*60</f>
        <v>2880</v>
      </c>
      <c r="R94" s="4"/>
      <c r="T94" s="9"/>
      <c r="U94" s="9"/>
      <c r="Z94" s="9"/>
    </row>
    <row r="95" spans="1:28" outlineLevel="2">
      <c r="A95" s="13" t="s">
        <v>297</v>
      </c>
      <c r="B95" s="8">
        <v>0</v>
      </c>
      <c r="C95" s="114">
        <f>IF($I$12&gt;1,B95,0)</f>
        <v>0</v>
      </c>
      <c r="D95" s="114">
        <f>IF($I$12&gt;2,C95,0)</f>
        <v>0</v>
      </c>
      <c r="E95" s="183">
        <f>VLOOKUP(B92,O91:Q98,3,0)*B95</f>
        <v>0</v>
      </c>
      <c r="F95" s="348" t="str">
        <f>IF(B95&gt;0,IF(OR(B92=O91,B92=O92,B92=O97,B92=O98),"Zerar Número de Máquinas",""),"")</f>
        <v/>
      </c>
      <c r="G95" s="4"/>
      <c r="H95" s="4"/>
      <c r="I95" s="4"/>
      <c r="J95" s="4"/>
      <c r="K95" s="4"/>
      <c r="L95" s="4"/>
      <c r="M95" s="4"/>
      <c r="O95" s="692" t="s">
        <v>877</v>
      </c>
      <c r="P95" s="693">
        <f>Q95</f>
        <v>2880</v>
      </c>
      <c r="Q95" s="694">
        <f>2880</f>
        <v>2880</v>
      </c>
      <c r="R95" s="4"/>
      <c r="T95" s="9"/>
      <c r="U95" s="9"/>
      <c r="Z95" s="9"/>
    </row>
    <row r="96" spans="1:28" outlineLevel="2">
      <c r="A96" s="5" t="s">
        <v>879</v>
      </c>
      <c r="B96" s="183">
        <f>IF((E95)&gt;B93,0,B93-(E95))</f>
        <v>4800</v>
      </c>
      <c r="C96" s="183">
        <f>IF((E95)&gt;C93,0,C93-(E95))</f>
        <v>0</v>
      </c>
      <c r="D96" s="183">
        <f>IF((E95)&gt;D93,0,D93-(E95))</f>
        <v>0</v>
      </c>
      <c r="E96" s="228"/>
      <c r="G96" s="4"/>
      <c r="H96" s="4"/>
      <c r="I96" s="4"/>
      <c r="J96" s="4"/>
      <c r="K96" s="4"/>
      <c r="L96" s="4"/>
      <c r="M96" s="4"/>
      <c r="O96" s="236" t="s">
        <v>878</v>
      </c>
      <c r="P96" s="43">
        <v>7000</v>
      </c>
      <c r="Q96" s="202">
        <v>6000</v>
      </c>
      <c r="R96" s="4"/>
      <c r="T96" s="9"/>
      <c r="U96" s="9"/>
      <c r="Z96" s="9"/>
    </row>
    <row r="97" spans="1:31" outlineLevel="2">
      <c r="A97" s="5" t="s">
        <v>298</v>
      </c>
      <c r="B97" s="349">
        <f>ROUNDUP(B96/60/(40),0)</f>
        <v>2</v>
      </c>
      <c r="C97" s="349">
        <f>ROUNDUP(C96/60/(38),0)</f>
        <v>0</v>
      </c>
      <c r="D97" s="349">
        <f>ROUNDUP(D96/60/40,0)</f>
        <v>0</v>
      </c>
      <c r="E97" s="342">
        <f>IFERROR((B96/B97/60),0)</f>
        <v>40</v>
      </c>
      <c r="F97" s="332" t="s">
        <v>1350</v>
      </c>
      <c r="G97" s="342"/>
      <c r="H97" s="332"/>
      <c r="I97" s="4"/>
      <c r="J97" s="4"/>
      <c r="K97" s="4"/>
      <c r="L97" s="4"/>
      <c r="M97" s="4"/>
      <c r="O97" s="236" t="s">
        <v>1348</v>
      </c>
      <c r="P97" s="43">
        <v>7000</v>
      </c>
      <c r="Q97" s="202">
        <v>0</v>
      </c>
      <c r="R97" s="4"/>
      <c r="T97" s="9"/>
      <c r="U97" s="9"/>
      <c r="Z97" s="9"/>
    </row>
    <row r="98" spans="1:31" outlineLevel="2">
      <c r="A98" s="13" t="s">
        <v>299</v>
      </c>
      <c r="B98" s="349">
        <f>IF(OR($B$92=$O$92,$B$92=$O$98),ROUNDUP(B96/60/126,0),0)</f>
        <v>0</v>
      </c>
      <c r="C98" s="349">
        <f>IF(OR($C$92=$O$92,$C$92=$O$98),ROUNDUP(C96/60/126,0),0)</f>
        <v>0</v>
      </c>
      <c r="D98" s="349">
        <f>IF(OR($D$92=$O$92,$D$92=$O$98),ROUNDUP(D96/60/126,0),0)</f>
        <v>0</v>
      </c>
      <c r="E98" s="342">
        <f>IFERROR((B96/B98/60),0)</f>
        <v>0</v>
      </c>
      <c r="F98" s="332" t="s">
        <v>1350</v>
      </c>
      <c r="G98" s="342"/>
      <c r="H98" s="332"/>
      <c r="I98" s="4"/>
      <c r="J98" s="4"/>
      <c r="K98" s="4"/>
      <c r="L98" s="4"/>
      <c r="M98" s="4"/>
      <c r="O98" s="236" t="s">
        <v>1349</v>
      </c>
      <c r="P98" s="43">
        <v>7000</v>
      </c>
      <c r="Q98" s="202">
        <v>0</v>
      </c>
      <c r="R98" s="4"/>
      <c r="T98" s="9"/>
      <c r="U98" s="9"/>
      <c r="Z98" s="9"/>
    </row>
    <row r="99" spans="1:31" outlineLevel="2">
      <c r="A99" s="13" t="s">
        <v>286</v>
      </c>
      <c r="B99" s="8">
        <v>7</v>
      </c>
      <c r="C99" s="114">
        <f>IF($I$12&gt;1,B99,0)</f>
        <v>0</v>
      </c>
      <c r="D99" s="114">
        <f>IF($I$12&gt;2,C99,0)</f>
        <v>0</v>
      </c>
      <c r="E99" s="333"/>
      <c r="F99" s="332"/>
      <c r="G99" s="4"/>
      <c r="H99" s="4"/>
      <c r="I99" s="4"/>
      <c r="J99" s="4"/>
      <c r="K99" s="4"/>
      <c r="L99" s="4"/>
      <c r="M99" s="4"/>
      <c r="O99" s="236"/>
      <c r="R99" s="4"/>
      <c r="T99" s="9"/>
      <c r="U99" s="9"/>
      <c r="Z99" s="9"/>
    </row>
    <row r="100" spans="1:31" outlineLevel="2">
      <c r="A100" s="13" t="s">
        <v>1025</v>
      </c>
      <c r="B100" s="8" t="s">
        <v>1362</v>
      </c>
      <c r="C100" s="114">
        <f>IF($I$12&gt;1,B100,0)</f>
        <v>0</v>
      </c>
      <c r="D100" s="114">
        <f>IF($I$12&gt;2,C100,0)</f>
        <v>0</v>
      </c>
      <c r="E100" s="4"/>
      <c r="F100" s="4"/>
      <c r="G100" s="4"/>
      <c r="H100" s="4"/>
      <c r="I100" s="4"/>
      <c r="J100" s="4"/>
      <c r="K100" s="4"/>
      <c r="L100" s="4"/>
      <c r="M100" s="4"/>
      <c r="O100" s="236"/>
      <c r="R100" s="4"/>
      <c r="T100" s="9"/>
      <c r="U100" s="9"/>
      <c r="Z100" s="9"/>
    </row>
    <row r="101" spans="1:31" outlineLevel="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O101" s="236"/>
      <c r="R101" s="4"/>
      <c r="T101" s="9"/>
      <c r="U101" s="9"/>
      <c r="Z101" s="9"/>
    </row>
    <row r="102" spans="1:31" outlineLevel="2">
      <c r="A102" s="4"/>
      <c r="B102" s="226" t="s">
        <v>725</v>
      </c>
      <c r="C102" s="226" t="s">
        <v>726</v>
      </c>
      <c r="D102" s="226" t="s">
        <v>727</v>
      </c>
      <c r="F102" s="4"/>
      <c r="G102" s="4"/>
      <c r="H102" s="4"/>
      <c r="I102" s="4"/>
      <c r="J102" s="4"/>
      <c r="K102" s="4"/>
      <c r="L102" s="4"/>
      <c r="M102" s="4"/>
      <c r="O102" s="236"/>
      <c r="R102" s="4"/>
      <c r="T102" s="9"/>
      <c r="U102" s="9"/>
      <c r="AA102" s="31"/>
      <c r="AB102" s="31"/>
      <c r="AC102" s="372" t="s">
        <v>1545</v>
      </c>
      <c r="AD102" s="372" t="s">
        <v>1546</v>
      </c>
      <c r="AE102" s="372" t="s">
        <v>1547</v>
      </c>
    </row>
    <row r="103" spans="1:31" ht="15" customHeight="1" outlineLevel="2">
      <c r="A103" s="5" t="s">
        <v>1446</v>
      </c>
      <c r="B103" s="8" t="s">
        <v>336</v>
      </c>
      <c r="C103" s="114">
        <f>IF($I$12&gt;1,B103,0)</f>
        <v>0</v>
      </c>
      <c r="D103" s="114">
        <f>IF($I$12&gt;2,C103,0)</f>
        <v>0</v>
      </c>
      <c r="F103" s="4"/>
      <c r="G103" s="4"/>
      <c r="H103" s="4"/>
      <c r="I103" s="4"/>
      <c r="J103" s="4"/>
      <c r="K103" s="4"/>
      <c r="L103" s="4"/>
      <c r="M103" s="4"/>
      <c r="O103" s="236"/>
      <c r="R103" s="4"/>
      <c r="T103" s="9"/>
      <c r="U103" s="9"/>
      <c r="V103" s="923" t="s">
        <v>1779</v>
      </c>
      <c r="W103" s="924"/>
      <c r="X103" s="925"/>
      <c r="Y103" s="923" t="s">
        <v>1780</v>
      </c>
      <c r="Z103" s="924"/>
      <c r="AA103" s="925"/>
      <c r="AB103" s="921" t="s">
        <v>1782</v>
      </c>
      <c r="AC103" s="923" t="s">
        <v>1781</v>
      </c>
      <c r="AD103" s="924"/>
      <c r="AE103" s="925"/>
    </row>
    <row r="104" spans="1:31" outlineLevel="2">
      <c r="A104" s="13" t="s">
        <v>1451</v>
      </c>
      <c r="B104" s="8" t="s">
        <v>336</v>
      </c>
      <c r="C104" s="114">
        <f>IF($I$12&gt;1,B104,0)</f>
        <v>0</v>
      </c>
      <c r="D104" s="114">
        <f>IF($I$12&gt;2,C104,0)</f>
        <v>0</v>
      </c>
      <c r="F104" s="4"/>
      <c r="G104" s="4"/>
      <c r="H104" s="4"/>
      <c r="I104" s="4"/>
      <c r="J104" s="4"/>
      <c r="K104" s="4"/>
      <c r="L104" s="4"/>
      <c r="M104" s="4"/>
      <c r="O104" s="236"/>
      <c r="R104" s="4"/>
      <c r="T104" s="9"/>
      <c r="U104" s="9"/>
      <c r="V104" s="372" t="s">
        <v>1545</v>
      </c>
      <c r="W104" s="372" t="s">
        <v>1546</v>
      </c>
      <c r="X104" s="372" t="s">
        <v>1547</v>
      </c>
      <c r="Y104" s="372" t="s">
        <v>1545</v>
      </c>
      <c r="Z104" s="372" t="s">
        <v>1546</v>
      </c>
      <c r="AA104" s="372" t="s">
        <v>1547</v>
      </c>
      <c r="AB104" s="922"/>
      <c r="AC104" s="555">
        <f>IFERROR(SUM(B93)/SUM($B$93:$D$93),0)</f>
        <v>1</v>
      </c>
      <c r="AD104" s="555">
        <f>IFERROR(SUM(C93)/SUM($B$93:$D$93),0)</f>
        <v>0</v>
      </c>
      <c r="AE104" s="555">
        <f>IFERROR(SUM(D93)/SUM($B$93:$D$93),0)</f>
        <v>0</v>
      </c>
    </row>
    <row r="105" spans="1:31" outlineLevel="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O105" s="236"/>
      <c r="R105" s="4"/>
      <c r="T105" s="9"/>
      <c r="U105" s="370" t="s">
        <v>1437</v>
      </c>
      <c r="V105" s="433">
        <f>IFERROR(((RESUMO!C252)*(VLOOKUP(B107,$O$140:$S$146,3,0))),0)</f>
        <v>0</v>
      </c>
      <c r="W105" s="434">
        <f>IFERROR(((RESUMO!C252)*(VLOOKUP(B107,$O$140:$S$146,4,0))),0)</f>
        <v>0</v>
      </c>
      <c r="X105" s="435">
        <f>IFERROR(IF(B107&lt;3,0,(RESUMO!C252)*(VLOOKUP(B107,$O$140:$S$146,5,0))),0)</f>
        <v>0</v>
      </c>
      <c r="Y105" s="443">
        <f t="shared" ref="Y105:Y112" si="7">IFERROR(V105/$V$113,0)</f>
        <v>0</v>
      </c>
      <c r="Z105" s="428">
        <f t="shared" ref="Z105:Z112" si="8">IFERROR(W105/$W$113,0)</f>
        <v>0</v>
      </c>
      <c r="AA105" s="444">
        <f t="shared" ref="AA105:AA112" si="9">IFERROR(X105/$X$113,0)</f>
        <v>0</v>
      </c>
      <c r="AB105" s="448">
        <f>RESUMO!E252</f>
        <v>0</v>
      </c>
      <c r="AC105" s="453">
        <f t="shared" ref="AC105:AC111" si="10">IFERROR(Y105/SUM(Y105:AA105)*AB105/$I$15,0)*$I$12*$AC$104</f>
        <v>0</v>
      </c>
      <c r="AD105" s="429">
        <f t="shared" ref="AD105:AD111" si="11">IFERROR(Z105/SUM(Y105:AA105)*AB105/$J$15,0)*$I$12*$AD$104</f>
        <v>0</v>
      </c>
      <c r="AE105" s="454">
        <f t="shared" ref="AE105:AE111" si="12">IFERROR(AA105/SUM(Y105:AA105)*AB105/$K$15,0)*$I$12*$AE$104</f>
        <v>0</v>
      </c>
    </row>
    <row r="106" spans="1:31" outlineLevel="2">
      <c r="A106" s="4"/>
      <c r="B106" s="5" t="s">
        <v>1537</v>
      </c>
      <c r="C106" s="226" t="s">
        <v>725</v>
      </c>
      <c r="D106" s="226" t="s">
        <v>726</v>
      </c>
      <c r="E106" s="226" t="s">
        <v>727</v>
      </c>
      <c r="F106" s="4"/>
      <c r="G106" s="4"/>
      <c r="H106" s="4"/>
      <c r="I106" s="4"/>
      <c r="J106" s="4"/>
      <c r="K106" s="4"/>
      <c r="L106" s="4"/>
      <c r="M106" s="4"/>
      <c r="O106" s="236"/>
      <c r="R106" s="4"/>
      <c r="T106" s="9"/>
      <c r="U106" s="370" t="s">
        <v>1447</v>
      </c>
      <c r="V106" s="433">
        <f>IFERROR(((RESUMO!C253)*(VLOOKUP(B108,$O$140:$S$146,3,0))),0)</f>
        <v>0</v>
      </c>
      <c r="W106" s="434">
        <f>IFERROR(((RESUMO!C253)*(VLOOKUP(B108,$O$140:$S$146,4,0))),0)</f>
        <v>0</v>
      </c>
      <c r="X106" s="435">
        <f>IFERROR(IF(B108&lt;3,0,(RESUMO!C253)*(VLOOKUP(B108,$O$140:$S$146,5,0))),0)</f>
        <v>0</v>
      </c>
      <c r="Y106" s="443">
        <f t="shared" si="7"/>
        <v>0</v>
      </c>
      <c r="Z106" s="428">
        <f t="shared" si="8"/>
        <v>0</v>
      </c>
      <c r="AA106" s="444">
        <f t="shared" si="9"/>
        <v>0</v>
      </c>
      <c r="AB106" s="448">
        <f>RESUMO!E253</f>
        <v>0</v>
      </c>
      <c r="AC106" s="453">
        <f t="shared" si="10"/>
        <v>0</v>
      </c>
      <c r="AD106" s="429">
        <f t="shared" si="11"/>
        <v>0</v>
      </c>
      <c r="AE106" s="454">
        <f t="shared" si="12"/>
        <v>0</v>
      </c>
    </row>
    <row r="107" spans="1:31" outlineLevel="2">
      <c r="A107" s="13" t="s">
        <v>1437</v>
      </c>
      <c r="B107" s="549">
        <f t="shared" ref="B107:B114" si="13">IF($I$12=1,1,IF($I$12=2,"1_2",IF($I$12=3,"1_2_3",1)))</f>
        <v>1</v>
      </c>
      <c r="C107" s="183">
        <f>($B$93/SUM($B$93:$D$93))*RESUMO!D252</f>
        <v>0</v>
      </c>
      <c r="D107" s="183">
        <f>($C$93/SUM($B$93:$D$93))*RESUMO!D252</f>
        <v>0</v>
      </c>
      <c r="E107" s="183">
        <f>($D$93/SUM($B$93:$D$93))*RESUMO!D252</f>
        <v>0</v>
      </c>
      <c r="F107" s="4"/>
      <c r="G107" s="4"/>
      <c r="H107" s="4"/>
      <c r="I107" s="4"/>
      <c r="J107" s="4"/>
      <c r="K107" s="4"/>
      <c r="L107" s="4"/>
      <c r="M107" s="4"/>
      <c r="O107" s="236"/>
      <c r="R107" s="4"/>
      <c r="T107" s="9"/>
      <c r="U107" s="370" t="s">
        <v>1440</v>
      </c>
      <c r="V107" s="433">
        <f>IFERROR(((RESUMO!C254)*(VLOOKUP(B109,$O$140:$S$146,3,0))),0)</f>
        <v>0</v>
      </c>
      <c r="W107" s="434">
        <f>IFERROR(((RESUMO!C254)*(VLOOKUP(B109,$O$140:$S$146,4,0))),0)</f>
        <v>0</v>
      </c>
      <c r="X107" s="435">
        <f>IFERROR(IF(B109&lt;3,0,(RESUMO!C254)*(VLOOKUP(B109,$O$140:$S$146,5,0))),0)</f>
        <v>0</v>
      </c>
      <c r="Y107" s="443">
        <f t="shared" si="7"/>
        <v>0</v>
      </c>
      <c r="Z107" s="428">
        <f t="shared" si="8"/>
        <v>0</v>
      </c>
      <c r="AA107" s="444">
        <f t="shared" si="9"/>
        <v>0</v>
      </c>
      <c r="AB107" s="448">
        <f>RESUMO!E254</f>
        <v>0</v>
      </c>
      <c r="AC107" s="453">
        <f t="shared" si="10"/>
        <v>0</v>
      </c>
      <c r="AD107" s="429">
        <f t="shared" si="11"/>
        <v>0</v>
      </c>
      <c r="AE107" s="454">
        <f t="shared" si="12"/>
        <v>0</v>
      </c>
    </row>
    <row r="108" spans="1:31" outlineLevel="2">
      <c r="A108" s="13" t="s">
        <v>1447</v>
      </c>
      <c r="B108" s="549">
        <f t="shared" si="13"/>
        <v>1</v>
      </c>
      <c r="C108" s="183">
        <f>($B$93/SUM($B$93:$D$93))*RESUMO!D253</f>
        <v>0</v>
      </c>
      <c r="D108" s="183">
        <f>($C$93/SUM($B$93:$D$93))*RESUMO!D253</f>
        <v>0</v>
      </c>
      <c r="E108" s="183">
        <f>($D$93/SUM($B$93:$D$93))*RESUMO!D253</f>
        <v>0</v>
      </c>
      <c r="F108" s="4"/>
      <c r="G108" s="4"/>
      <c r="H108" s="4"/>
      <c r="I108" s="4"/>
      <c r="J108" s="4"/>
      <c r="K108" s="4"/>
      <c r="L108" s="4"/>
      <c r="M108" s="4"/>
      <c r="O108" s="236"/>
      <c r="R108" s="4"/>
      <c r="T108" s="9"/>
      <c r="U108" s="370" t="s">
        <v>1441</v>
      </c>
      <c r="V108" s="433">
        <f>IFERROR(((RESUMO!C255)*(VLOOKUP(B110,$O$140:$S$146,3,0))),0)</f>
        <v>0</v>
      </c>
      <c r="W108" s="434">
        <f>IFERROR(((RESUMO!C255)*(VLOOKUP(B110,$O$140:$S$146,4,0))),0)</f>
        <v>0</v>
      </c>
      <c r="X108" s="435">
        <f>IFERROR(IF(B110&lt;3,0,(RESUMO!C255)*(VLOOKUP(B110,$O$140:$S$146,5,0))),0)</f>
        <v>0</v>
      </c>
      <c r="Y108" s="443">
        <f t="shared" si="7"/>
        <v>0</v>
      </c>
      <c r="Z108" s="428">
        <f t="shared" si="8"/>
        <v>0</v>
      </c>
      <c r="AA108" s="444">
        <f t="shared" si="9"/>
        <v>0</v>
      </c>
      <c r="AB108" s="448">
        <f>RESUMO!E255</f>
        <v>0</v>
      </c>
      <c r="AC108" s="453">
        <f t="shared" si="10"/>
        <v>0</v>
      </c>
      <c r="AD108" s="429">
        <f t="shared" si="11"/>
        <v>0</v>
      </c>
      <c r="AE108" s="454">
        <f t="shared" si="12"/>
        <v>0</v>
      </c>
    </row>
    <row r="109" spans="1:31" outlineLevel="2">
      <c r="A109" s="13" t="s">
        <v>1440</v>
      </c>
      <c r="B109" s="549">
        <f t="shared" si="13"/>
        <v>1</v>
      </c>
      <c r="C109" s="183">
        <f>($B$93/SUM($B$93:$D$93))*RESUMO!D254</f>
        <v>0</v>
      </c>
      <c r="D109" s="183">
        <f>($C$93/SUM($B$93:$D$93))*RESUMO!D254</f>
        <v>0</v>
      </c>
      <c r="E109" s="183">
        <f>($D$93/SUM($B$93:$D$93))*RESUMO!D254</f>
        <v>0</v>
      </c>
      <c r="F109" s="4"/>
      <c r="G109" s="4"/>
      <c r="H109" s="4"/>
      <c r="I109" s="4"/>
      <c r="J109" s="4"/>
      <c r="K109" s="4"/>
      <c r="L109" s="4"/>
      <c r="M109" s="4"/>
      <c r="O109" s="236"/>
      <c r="R109" s="4"/>
      <c r="T109" s="9"/>
      <c r="U109" s="370" t="s">
        <v>1442</v>
      </c>
      <c r="V109" s="433">
        <f>IFERROR(((RESUMO!C256)*(VLOOKUP(B111,$O$140:$S$146,3,0))),0)</f>
        <v>0</v>
      </c>
      <c r="W109" s="434">
        <f>IFERROR(((RESUMO!C256)*(VLOOKUP(B111,$O$140:$S$146,4,0))),0)</f>
        <v>0</v>
      </c>
      <c r="X109" s="435">
        <f>IFERROR(IF(B111&lt;3,0,(RESUMO!C256)*(VLOOKUP(B111,$O$140:$S$146,5,0))),0)</f>
        <v>0</v>
      </c>
      <c r="Y109" s="443">
        <f t="shared" si="7"/>
        <v>0</v>
      </c>
      <c r="Z109" s="428">
        <f t="shared" si="8"/>
        <v>0</v>
      </c>
      <c r="AA109" s="444">
        <f t="shared" si="9"/>
        <v>0</v>
      </c>
      <c r="AB109" s="448">
        <f>RESUMO!E256</f>
        <v>0</v>
      </c>
      <c r="AC109" s="453">
        <f t="shared" si="10"/>
        <v>0</v>
      </c>
      <c r="AD109" s="429">
        <f t="shared" si="11"/>
        <v>0</v>
      </c>
      <c r="AE109" s="454">
        <f t="shared" si="12"/>
        <v>0</v>
      </c>
    </row>
    <row r="110" spans="1:31" outlineLevel="2">
      <c r="A110" s="13" t="s">
        <v>1441</v>
      </c>
      <c r="B110" s="549">
        <f t="shared" si="13"/>
        <v>1</v>
      </c>
      <c r="C110" s="183">
        <f>($B$93/SUM($B$93:$D$93))*RESUMO!D255</f>
        <v>0</v>
      </c>
      <c r="D110" s="183">
        <f>($C$93/SUM($B$93:$D$93))*RESUMO!D255</f>
        <v>0</v>
      </c>
      <c r="E110" s="183">
        <f>($D$93/SUM($B$93:$D$93))*RESUMO!D255</f>
        <v>0</v>
      </c>
      <c r="F110" s="4"/>
      <c r="G110" s="4"/>
      <c r="H110" s="4"/>
      <c r="I110" s="4"/>
      <c r="J110" s="4"/>
      <c r="K110" s="4"/>
      <c r="L110" s="4"/>
      <c r="M110" s="4"/>
      <c r="O110" s="236"/>
      <c r="R110" s="4"/>
      <c r="T110" s="9"/>
      <c r="U110" s="370" t="s">
        <v>1443</v>
      </c>
      <c r="V110" s="433">
        <f>IFERROR(((RESUMO!C257)*(VLOOKUP(B112,$O$140:$S$146,3,0))),0)</f>
        <v>0</v>
      </c>
      <c r="W110" s="434">
        <f>IFERROR(((RESUMO!C257)*(VLOOKUP(B112,$O$140:$S$146,4,0))),0)</f>
        <v>0</v>
      </c>
      <c r="X110" s="435">
        <f>IFERROR(IF(B112&lt;3,0,(RESUMO!C257)*(VLOOKUP(B112,$O$140:$S$146,5,0))),0)</f>
        <v>0</v>
      </c>
      <c r="Y110" s="443">
        <f t="shared" si="7"/>
        <v>0</v>
      </c>
      <c r="Z110" s="428">
        <f t="shared" si="8"/>
        <v>0</v>
      </c>
      <c r="AA110" s="444">
        <f t="shared" si="9"/>
        <v>0</v>
      </c>
      <c r="AB110" s="448">
        <f>RESUMO!E257</f>
        <v>0</v>
      </c>
      <c r="AC110" s="453">
        <f t="shared" si="10"/>
        <v>0</v>
      </c>
      <c r="AD110" s="429">
        <f t="shared" si="11"/>
        <v>0</v>
      </c>
      <c r="AE110" s="454">
        <f t="shared" si="12"/>
        <v>0</v>
      </c>
    </row>
    <row r="111" spans="1:31" outlineLevel="2">
      <c r="A111" s="13" t="s">
        <v>1442</v>
      </c>
      <c r="B111" s="549">
        <f t="shared" si="13"/>
        <v>1</v>
      </c>
      <c r="C111" s="183">
        <f>($B$93/SUM($B$93:$D$93))*RESUMO!D256</f>
        <v>0</v>
      </c>
      <c r="D111" s="183">
        <f>($C$93/SUM($B$93:$D$93))*RESUMO!D256</f>
        <v>0</v>
      </c>
      <c r="E111" s="183">
        <f>($D$93/SUM($B$93:$D$93))*RESUMO!D256</f>
        <v>0</v>
      </c>
      <c r="F111" s="4"/>
      <c r="G111" s="4"/>
      <c r="H111" s="4"/>
      <c r="I111" s="4"/>
      <c r="J111" s="4"/>
      <c r="K111" s="4"/>
      <c r="L111" s="4"/>
      <c r="M111" s="4"/>
      <c r="O111" s="236"/>
      <c r="R111" s="4"/>
      <c r="T111" s="9"/>
      <c r="U111" s="370" t="s">
        <v>1444</v>
      </c>
      <c r="V111" s="433">
        <f>IFERROR(((RESUMO!C258)*(VLOOKUP(B113,$O$140:$S$146,3,0))),0)</f>
        <v>0</v>
      </c>
      <c r="W111" s="434">
        <f>IFERROR(((RESUMO!C258)*(VLOOKUP(B113,$O$140:$S$146,4,0))),0)</f>
        <v>0</v>
      </c>
      <c r="X111" s="435">
        <f>IFERROR(IF(B113&lt;3,0,(RESUMO!C258)*(VLOOKUP(B113,$O$140:$S$146,5,0))),0)</f>
        <v>0</v>
      </c>
      <c r="Y111" s="443">
        <f t="shared" si="7"/>
        <v>0</v>
      </c>
      <c r="Z111" s="428">
        <f t="shared" si="8"/>
        <v>0</v>
      </c>
      <c r="AA111" s="444">
        <f t="shared" si="9"/>
        <v>0</v>
      </c>
      <c r="AB111" s="448">
        <f>RESUMO!E258</f>
        <v>0</v>
      </c>
      <c r="AC111" s="453">
        <f t="shared" si="10"/>
        <v>0</v>
      </c>
      <c r="AD111" s="429">
        <f t="shared" si="11"/>
        <v>0</v>
      </c>
      <c r="AE111" s="454">
        <f t="shared" si="12"/>
        <v>0</v>
      </c>
    </row>
    <row r="112" spans="1:31" outlineLevel="2">
      <c r="A112" s="13" t="s">
        <v>1443</v>
      </c>
      <c r="B112" s="549">
        <f t="shared" si="13"/>
        <v>1</v>
      </c>
      <c r="C112" s="183">
        <f>($B$93/SUM($B$93:$D$93))*RESUMO!D257</f>
        <v>0</v>
      </c>
      <c r="D112" s="183">
        <f>($C$93/SUM($B$93:$D$93))*RESUMO!D257</f>
        <v>0</v>
      </c>
      <c r="E112" s="183">
        <f>($D$93/SUM($B$93:$D$93))*RESUMO!D257</f>
        <v>0</v>
      </c>
      <c r="F112" s="4"/>
      <c r="G112" s="4"/>
      <c r="H112" s="4"/>
      <c r="I112" s="4"/>
      <c r="J112" s="4"/>
      <c r="K112" s="4"/>
      <c r="L112" s="4"/>
      <c r="M112" s="4"/>
      <c r="O112" s="236"/>
      <c r="R112" s="4"/>
      <c r="T112" s="9"/>
      <c r="U112" s="370" t="s">
        <v>2558</v>
      </c>
      <c r="V112" s="433">
        <f>IFERROR(((RESUMO!C259)*(VLOOKUP(B114,$O$140:$S$146,3,0))),0)</f>
        <v>0</v>
      </c>
      <c r="W112" s="434">
        <f>IFERROR(((RESUMO!C259)*(VLOOKUP(B114,$O$140:$S$146,4,0))),0)</f>
        <v>0</v>
      </c>
      <c r="X112" s="435">
        <f>IFERROR(IF(B114&lt;3,0,(RESUMO!C259)*(VLOOKUP(B114,$O$140:$S$146,5,0))),0)</f>
        <v>0</v>
      </c>
      <c r="Y112" s="443">
        <f t="shared" si="7"/>
        <v>0</v>
      </c>
      <c r="Z112" s="428">
        <f t="shared" si="8"/>
        <v>0</v>
      </c>
      <c r="AA112" s="444">
        <f t="shared" si="9"/>
        <v>0</v>
      </c>
      <c r="AB112" s="448">
        <f>RESUMO!E259</f>
        <v>0</v>
      </c>
      <c r="AC112" s="453">
        <f>IFERROR(Y112/SUM(Y112:AA112)*AB112/$I$15,0)*$I$12*$AC$104</f>
        <v>0</v>
      </c>
      <c r="AD112" s="429">
        <f>IFERROR(Z112/SUM(Y112:AA112)*AB112/$J$15,0)*$I$12*$AD$104</f>
        <v>0</v>
      </c>
      <c r="AE112" s="454">
        <f>IFERROR(AA112/SUM(Y112:AA112)*AB112/$K$15,0)*$I$12*$AE$104</f>
        <v>0</v>
      </c>
    </row>
    <row r="113" spans="1:31" outlineLevel="2">
      <c r="A113" s="13" t="s">
        <v>1444</v>
      </c>
      <c r="B113" s="549">
        <f t="shared" si="13"/>
        <v>1</v>
      </c>
      <c r="C113" s="183">
        <f>($B$93/SUM($B$93:$D$93))*RESUMO!D258</f>
        <v>0</v>
      </c>
      <c r="D113" s="183">
        <f>($C$93/SUM($B$93:$D$93))*RESUMO!D258</f>
        <v>0</v>
      </c>
      <c r="E113" s="183">
        <f>($D$93/SUM($B$93:$D$93))*RESUMO!D258</f>
        <v>0</v>
      </c>
      <c r="F113" s="4"/>
      <c r="G113" s="4"/>
      <c r="H113" s="4"/>
      <c r="I113" s="4"/>
      <c r="J113" s="4"/>
      <c r="K113" s="4"/>
      <c r="L113" s="4"/>
      <c r="M113" s="4"/>
      <c r="O113" s="236"/>
      <c r="R113" s="4"/>
      <c r="T113" s="9"/>
      <c r="U113" s="9"/>
      <c r="V113" s="460">
        <f t="shared" ref="V113:AE113" si="14">SUM(V107:V111)</f>
        <v>0</v>
      </c>
      <c r="W113" s="460">
        <f t="shared" si="14"/>
        <v>0</v>
      </c>
      <c r="X113" s="460">
        <f t="shared" si="14"/>
        <v>0</v>
      </c>
      <c r="Y113" s="464">
        <f t="shared" si="14"/>
        <v>0</v>
      </c>
      <c r="Z113" s="462">
        <f t="shared" si="14"/>
        <v>0</v>
      </c>
      <c r="AA113" s="465">
        <f t="shared" si="14"/>
        <v>0</v>
      </c>
      <c r="AB113" s="466">
        <f t="shared" si="14"/>
        <v>0</v>
      </c>
      <c r="AC113" s="460">
        <f t="shared" si="14"/>
        <v>0</v>
      </c>
      <c r="AD113" s="461">
        <f t="shared" si="14"/>
        <v>0</v>
      </c>
      <c r="AE113" s="463">
        <f t="shared" si="14"/>
        <v>0</v>
      </c>
    </row>
    <row r="114" spans="1:31" outlineLevel="2">
      <c r="A114" s="13" t="s">
        <v>2558</v>
      </c>
      <c r="B114" s="549">
        <f t="shared" si="13"/>
        <v>1</v>
      </c>
      <c r="C114" s="183">
        <f>($B$93/SUM($B$93:$D$93))*RESUMO!D259</f>
        <v>0</v>
      </c>
      <c r="D114" s="183">
        <f>($C$93/SUM($B$93:$D$93))*RESUMO!D259</f>
        <v>0</v>
      </c>
      <c r="E114" s="183">
        <f>($D$93/SUM($B$93:$D$93))*RESUMO!D259</f>
        <v>0</v>
      </c>
      <c r="F114" s="4"/>
      <c r="G114" s="4"/>
      <c r="H114" s="4"/>
      <c r="I114" s="4"/>
      <c r="J114" s="4"/>
      <c r="K114" s="4"/>
      <c r="L114" s="4"/>
      <c r="M114" s="4"/>
      <c r="O114" s="236"/>
      <c r="R114" s="4"/>
      <c r="T114" s="9"/>
      <c r="U114" s="9"/>
      <c r="Z114" s="9"/>
    </row>
    <row r="115" spans="1:31" outlineLevel="2">
      <c r="A115" s="359"/>
      <c r="B115" s="359" t="s">
        <v>1448</v>
      </c>
      <c r="C115" s="358">
        <f>SUM(C103:C113)</f>
        <v>0</v>
      </c>
      <c r="D115" s="358">
        <f>SUM(D103:D113)</f>
        <v>0</v>
      </c>
      <c r="E115" s="358">
        <f>SUM(E103:E113)</f>
        <v>0</v>
      </c>
      <c r="F115" s="4"/>
      <c r="G115" s="4"/>
      <c r="H115" s="4"/>
      <c r="I115" s="4"/>
      <c r="J115" s="4"/>
      <c r="K115" s="4"/>
      <c r="L115" s="4"/>
      <c r="M115" s="4"/>
      <c r="O115" s="236"/>
      <c r="R115" s="4"/>
      <c r="T115" s="9"/>
      <c r="U115" s="9"/>
      <c r="Z115" s="9"/>
    </row>
    <row r="116" spans="1:31" outlineLevel="2">
      <c r="A116" s="359"/>
      <c r="B116" s="545"/>
      <c r="C116" s="545"/>
      <c r="D116" s="545"/>
      <c r="F116" s="4"/>
      <c r="G116" s="4"/>
      <c r="H116" s="4"/>
      <c r="I116" s="4"/>
      <c r="J116" s="4"/>
      <c r="K116" s="4"/>
      <c r="L116" s="4"/>
      <c r="M116" s="4"/>
      <c r="O116" s="236"/>
      <c r="R116" s="4"/>
      <c r="T116" s="9"/>
      <c r="U116" s="9"/>
      <c r="Z116" s="9"/>
    </row>
    <row r="117" spans="1:31" outlineLevel="2">
      <c r="A117" s="4"/>
      <c r="B117" s="226" t="s">
        <v>725</v>
      </c>
      <c r="C117" s="226" t="s">
        <v>726</v>
      </c>
      <c r="D117" s="226" t="s">
        <v>727</v>
      </c>
      <c r="F117" s="4"/>
      <c r="G117" s="4"/>
      <c r="H117" s="4"/>
      <c r="I117" s="4"/>
      <c r="J117" s="4"/>
      <c r="K117" s="4"/>
      <c r="L117" s="4"/>
      <c r="M117" s="4"/>
      <c r="O117" s="236"/>
      <c r="R117" s="4"/>
      <c r="T117" s="9"/>
      <c r="U117" s="9"/>
      <c r="Z117" s="9"/>
    </row>
    <row r="118" spans="1:31" outlineLevel="2">
      <c r="A118" s="13" t="s">
        <v>1861</v>
      </c>
      <c r="B118" s="183">
        <f>IFERROR(RESUMO!$D$238/$I$12,0)</f>
        <v>14413.090909090906</v>
      </c>
      <c r="C118" s="183">
        <f>IF($I$12&gt;1,B118,0)</f>
        <v>0</v>
      </c>
      <c r="D118" s="183">
        <f>IF($I$12&gt;2,C118,0)</f>
        <v>0</v>
      </c>
      <c r="F118" s="4"/>
      <c r="G118" s="4"/>
      <c r="H118" s="4"/>
      <c r="I118" s="4"/>
      <c r="J118" s="4"/>
      <c r="K118" s="4"/>
      <c r="L118" s="4"/>
      <c r="M118" s="4"/>
      <c r="O118" s="236"/>
      <c r="R118" s="4"/>
      <c r="T118" s="9"/>
      <c r="U118" s="9"/>
      <c r="Z118" s="9"/>
    </row>
    <row r="119" spans="1:31" outlineLevel="2">
      <c r="A119" s="13" t="s">
        <v>1862</v>
      </c>
      <c r="B119" s="183">
        <f>IFERROR(RESUMO!$D$239/$I$12,0)</f>
        <v>0</v>
      </c>
      <c r="C119" s="183">
        <f>IF($I$12&gt;1,B119,0)</f>
        <v>0</v>
      </c>
      <c r="D119" s="183">
        <f>IF($I$12&gt;2,C119,0)</f>
        <v>0</v>
      </c>
      <c r="F119" s="4"/>
      <c r="G119" s="4"/>
      <c r="H119" s="4"/>
      <c r="I119" s="4"/>
      <c r="J119" s="4"/>
      <c r="K119" s="4"/>
      <c r="L119" s="4"/>
      <c r="M119" s="4"/>
      <c r="O119" s="236"/>
      <c r="R119" s="4"/>
      <c r="T119" s="9"/>
      <c r="U119" s="9"/>
      <c r="Z119" s="9"/>
    </row>
    <row r="120" spans="1:31" outlineLevel="2">
      <c r="A120" s="13" t="s">
        <v>1863</v>
      </c>
      <c r="B120" s="183">
        <f>IFERROR(RESUMO!$D$240/$I$12,0)</f>
        <v>0</v>
      </c>
      <c r="C120" s="183">
        <f>IF($I$12&gt;1,B120,0)</f>
        <v>0</v>
      </c>
      <c r="D120" s="183">
        <f>IF($I$12&gt;2,C120,0)</f>
        <v>0</v>
      </c>
      <c r="F120" s="4"/>
      <c r="G120" s="4"/>
      <c r="H120" s="4"/>
      <c r="I120" s="4"/>
      <c r="J120" s="4"/>
      <c r="K120" s="4"/>
      <c r="L120" s="4"/>
      <c r="M120" s="4"/>
      <c r="O120" s="236"/>
      <c r="R120" s="4"/>
      <c r="T120" s="9"/>
      <c r="U120" s="9"/>
      <c r="Z120" s="9"/>
    </row>
    <row r="121" spans="1:31" outlineLevel="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O121" s="236"/>
      <c r="R121" s="4"/>
      <c r="T121" s="9"/>
      <c r="U121" s="9"/>
      <c r="Z121" s="9"/>
    </row>
    <row r="122" spans="1:31" outlineLevel="1">
      <c r="A122" s="11" t="s">
        <v>238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29"/>
      <c r="O122" s="236"/>
      <c r="R122" s="4"/>
      <c r="T122" s="9"/>
      <c r="U122" s="9"/>
      <c r="Z122" s="9"/>
    </row>
    <row r="123" spans="1:31" outlineLevel="2">
      <c r="A123" s="4"/>
      <c r="B123" s="226" t="s">
        <v>725</v>
      </c>
      <c r="C123" s="226" t="s">
        <v>726</v>
      </c>
      <c r="D123" s="226" t="s">
        <v>727</v>
      </c>
      <c r="E123" s="4"/>
      <c r="F123" s="4"/>
      <c r="G123" s="4"/>
      <c r="H123" s="654" t="s">
        <v>2568</v>
      </c>
      <c r="I123" s="226" t="s">
        <v>725</v>
      </c>
      <c r="J123" s="226" t="s">
        <v>726</v>
      </c>
      <c r="K123" s="226" t="s">
        <v>727</v>
      </c>
      <c r="L123" s="4"/>
      <c r="M123" s="4"/>
      <c r="O123" s="236"/>
      <c r="R123" s="4"/>
      <c r="T123" s="9"/>
      <c r="U123" s="9"/>
      <c r="Z123" s="9"/>
    </row>
    <row r="124" spans="1:31" outlineLevel="2">
      <c r="A124" s="5" t="s">
        <v>1536</v>
      </c>
      <c r="B124" s="14">
        <v>0.5</v>
      </c>
      <c r="C124" s="14">
        <f>100%-B124</f>
        <v>0.5</v>
      </c>
      <c r="D124" s="14">
        <f>100%-C124-B124</f>
        <v>0</v>
      </c>
      <c r="E124" s="4"/>
      <c r="F124" s="4"/>
      <c r="G124" s="4"/>
      <c r="H124" s="5" t="s">
        <v>1536</v>
      </c>
      <c r="I124" s="14">
        <f>B124</f>
        <v>0.5</v>
      </c>
      <c r="J124" s="14">
        <f>100%-I124</f>
        <v>0.5</v>
      </c>
      <c r="K124" s="14">
        <f>100%-J124-I124</f>
        <v>0</v>
      </c>
      <c r="L124" s="4"/>
      <c r="M124" s="4"/>
      <c r="O124" s="236" t="s">
        <v>1337</v>
      </c>
      <c r="P124" s="4" t="s">
        <v>1345</v>
      </c>
      <c r="Q124" s="4" t="s">
        <v>1346</v>
      </c>
      <c r="R124" s="4" t="s">
        <v>1347</v>
      </c>
      <c r="T124" s="9"/>
      <c r="U124" s="9"/>
      <c r="Z124" s="9"/>
    </row>
    <row r="125" spans="1:31" outlineLevel="2">
      <c r="A125" s="5" t="s">
        <v>300</v>
      </c>
      <c r="B125" s="183">
        <f>ROUNDUP(P125,-2)</f>
        <v>0</v>
      </c>
      <c r="C125" s="183">
        <f>ROUNDUP(Q125,-2)</f>
        <v>0</v>
      </c>
      <c r="D125" s="183">
        <f>ROUNDUP(R125,-1)</f>
        <v>0</v>
      </c>
      <c r="E125" s="342">
        <f>IFERROR(((B125+C125)/(B126+C126)/60),0)</f>
        <v>0</v>
      </c>
      <c r="F125" s="332" t="s">
        <v>1350</v>
      </c>
      <c r="G125" s="4"/>
      <c r="H125" s="5" t="s">
        <v>2557</v>
      </c>
      <c r="I125" s="183">
        <f>ROUNDUP(P130,-2)</f>
        <v>0</v>
      </c>
      <c r="J125" s="183">
        <f>ROUNDUP(Q130,-2)</f>
        <v>0</v>
      </c>
      <c r="K125" s="183">
        <f>ROUNDUP(R130,-1)</f>
        <v>0</v>
      </c>
      <c r="L125" s="342">
        <f>IFERROR(((I125+J125)/(I126+J126)/60),0)</f>
        <v>0</v>
      </c>
      <c r="M125" s="332" t="s">
        <v>1350</v>
      </c>
      <c r="O125" s="340">
        <f>(($I$18*RESUMO!C46*'BD VOLUME'!$C$3))+((($I$18*RESUMO!C46*'BD VOLUME'!$C$3))*8%)</f>
        <v>0</v>
      </c>
      <c r="P125" s="201">
        <f>IFERROR((O125*B124)/I15,0)</f>
        <v>0</v>
      </c>
      <c r="Q125" s="201">
        <f>IFERROR((O125*C124)/J15,0)</f>
        <v>0</v>
      </c>
      <c r="R125" s="201">
        <f>IFERROR((O125*D124)/K15,0)</f>
        <v>0</v>
      </c>
      <c r="T125" s="9"/>
      <c r="U125" s="9"/>
      <c r="Z125" s="9"/>
    </row>
    <row r="126" spans="1:31" outlineLevel="2">
      <c r="A126" s="13" t="s">
        <v>301</v>
      </c>
      <c r="B126" s="349">
        <f>ROUNDUP(B125/60/38,0)</f>
        <v>0</v>
      </c>
      <c r="C126" s="349">
        <f>ROUNDUP(C125/60/38,0)</f>
        <v>0</v>
      </c>
      <c r="D126" s="349">
        <f>ROUNDUP(D125/60/38,0)</f>
        <v>0</v>
      </c>
      <c r="E126" s="814" t="s">
        <v>973</v>
      </c>
      <c r="F126" s="4"/>
      <c r="G126" s="4"/>
      <c r="H126" s="13" t="s">
        <v>2599</v>
      </c>
      <c r="I126" s="349">
        <f>ROUNDUP(I125/60/40,0)</f>
        <v>0</v>
      </c>
      <c r="J126" s="349">
        <f>ROUNDUP(J125/60/40,0)</f>
        <v>0</v>
      </c>
      <c r="K126" s="349">
        <f>ROUNDUP(K125/60/40,0)</f>
        <v>0</v>
      </c>
      <c r="L126" s="4"/>
      <c r="M126" s="4"/>
      <c r="O126" s="236"/>
      <c r="R126" s="4"/>
      <c r="T126" s="9"/>
      <c r="U126" s="9"/>
      <c r="Z126" s="9"/>
    </row>
    <row r="127" spans="1:31" outlineLevel="2">
      <c r="A127" s="5" t="s">
        <v>304</v>
      </c>
      <c r="B127" s="114">
        <v>1</v>
      </c>
      <c r="C127" s="114">
        <f t="shared" ref="C127:C128" si="15">IF($I$12&gt;1,B127,0)</f>
        <v>0</v>
      </c>
      <c r="D127" s="114">
        <f t="shared" ref="D127:D128" si="16">IF($I$12&gt;2,C127,0)</f>
        <v>0</v>
      </c>
      <c r="E127" s="114">
        <v>0</v>
      </c>
      <c r="G127" s="4"/>
      <c r="H127" s="4"/>
      <c r="I127" s="4"/>
      <c r="J127" s="4"/>
      <c r="K127" s="4"/>
      <c r="L127" s="4"/>
      <c r="M127" s="4"/>
      <c r="O127" s="236"/>
      <c r="R127" s="4"/>
      <c r="T127" s="9"/>
      <c r="U127" s="9"/>
      <c r="Z127" s="9"/>
    </row>
    <row r="128" spans="1:31" outlineLevel="2">
      <c r="A128" s="13" t="s">
        <v>703</v>
      </c>
      <c r="B128" s="114">
        <v>7250</v>
      </c>
      <c r="C128" s="114">
        <f t="shared" si="15"/>
        <v>0</v>
      </c>
      <c r="D128" s="114">
        <f t="shared" si="16"/>
        <v>0</v>
      </c>
      <c r="E128" s="114">
        <v>0</v>
      </c>
      <c r="F128" s="4"/>
      <c r="G128" s="4"/>
      <c r="H128" s="4"/>
      <c r="I128" s="4"/>
      <c r="J128" s="4"/>
      <c r="K128" s="4"/>
      <c r="L128" s="4"/>
      <c r="M128" s="4"/>
      <c r="O128" s="236"/>
      <c r="R128" s="4"/>
      <c r="T128" s="9"/>
      <c r="U128" s="9"/>
      <c r="Z128" s="9"/>
    </row>
    <row r="129" spans="1:51" outlineLevel="2">
      <c r="G129" s="4"/>
      <c r="H129" s="4"/>
      <c r="I129" s="4"/>
      <c r="J129" s="4"/>
      <c r="K129" s="4"/>
      <c r="L129" s="4"/>
      <c r="M129" s="4"/>
      <c r="O129" s="236" t="s">
        <v>1337</v>
      </c>
      <c r="P129" s="4" t="s">
        <v>1345</v>
      </c>
      <c r="Q129" s="4" t="s">
        <v>1346</v>
      </c>
      <c r="R129" s="4" t="s">
        <v>1347</v>
      </c>
      <c r="T129" s="9"/>
      <c r="U129" s="9"/>
      <c r="Z129" s="9"/>
    </row>
    <row r="130" spans="1:51" outlineLevel="2">
      <c r="G130" s="4"/>
      <c r="H130" s="4"/>
      <c r="I130" s="4"/>
      <c r="J130" s="4"/>
      <c r="K130" s="4"/>
      <c r="L130" s="4"/>
      <c r="M130" s="4"/>
      <c r="O130" s="340">
        <f>(($I$18*RESUMO!C45*'BD VOLUME'!$C$3))+((($I$18*RESUMO!C45*'BD VOLUME'!$C$3))*8%)</f>
        <v>0</v>
      </c>
      <c r="P130" s="201">
        <f>IFERROR((O130*I124)/I15,0)</f>
        <v>0</v>
      </c>
      <c r="Q130" s="201">
        <f>IFERROR((O130*J124)/J15,0)</f>
        <v>0</v>
      </c>
      <c r="R130" s="201">
        <f>IFERROR((O130*K124)/K15,0)</f>
        <v>0</v>
      </c>
      <c r="T130" s="9"/>
      <c r="U130" s="9"/>
      <c r="Z130" s="9"/>
    </row>
    <row r="131" spans="1:51" outlineLevel="2">
      <c r="G131" s="4"/>
      <c r="H131" s="4"/>
      <c r="I131" s="4"/>
      <c r="J131" s="4"/>
      <c r="K131" s="4"/>
      <c r="L131" s="4"/>
      <c r="M131" s="4"/>
      <c r="O131" s="236"/>
      <c r="R131" s="4"/>
      <c r="T131" s="9"/>
      <c r="U131" s="9"/>
      <c r="Z131" s="9"/>
    </row>
    <row r="132" spans="1:51" outlineLevel="2">
      <c r="G132" s="4"/>
      <c r="H132" s="4"/>
      <c r="I132" s="4"/>
      <c r="J132" s="4"/>
      <c r="K132" s="4"/>
      <c r="L132" s="4"/>
      <c r="M132" s="4"/>
      <c r="O132" s="236"/>
      <c r="R132" s="4"/>
      <c r="T132" s="9"/>
      <c r="U132" s="9"/>
      <c r="Z132" s="9"/>
    </row>
    <row r="133" spans="1:51" outlineLevel="1">
      <c r="A133" s="11" t="s">
        <v>78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29"/>
      <c r="O133" s="11" t="s">
        <v>78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29"/>
    </row>
    <row r="134" spans="1:51" outlineLevel="2">
      <c r="A134" s="4"/>
      <c r="B134" s="4"/>
      <c r="C134" s="4"/>
      <c r="D134" s="4"/>
      <c r="E134" s="4"/>
      <c r="F134" s="4"/>
      <c r="G134" s="332" t="s">
        <v>2570</v>
      </c>
      <c r="K134" s="4"/>
      <c r="L134" s="4"/>
      <c r="M134" s="4"/>
      <c r="O134" s="11" t="s">
        <v>1027</v>
      </c>
      <c r="P134" s="29"/>
      <c r="Q134" s="11" t="s">
        <v>1028</v>
      </c>
      <c r="R134" s="29"/>
      <c r="S134" s="11" t="s">
        <v>1029</v>
      </c>
      <c r="T134" s="29"/>
      <c r="V134"/>
      <c r="W134"/>
      <c r="X134"/>
      <c r="Y134"/>
      <c r="Z134"/>
    </row>
    <row r="135" spans="1:51" outlineLevel="2">
      <c r="A135" s="4"/>
      <c r="B135" s="226" t="s">
        <v>725</v>
      </c>
      <c r="C135" s="226" t="s">
        <v>726</v>
      </c>
      <c r="D135" s="226" t="s">
        <v>727</v>
      </c>
      <c r="E135" s="4"/>
      <c r="F135" s="4"/>
      <c r="G135" s="4"/>
      <c r="J135" s="226" t="s">
        <v>725</v>
      </c>
      <c r="K135" s="226" t="s">
        <v>726</v>
      </c>
      <c r="L135" s="226" t="s">
        <v>727</v>
      </c>
      <c r="M135" s="4"/>
      <c r="O135" s="236" t="s">
        <v>985</v>
      </c>
      <c r="P135" s="4" t="s">
        <v>336</v>
      </c>
      <c r="Q135" s="31"/>
      <c r="R135" s="9" t="s">
        <v>1534</v>
      </c>
      <c r="S135" s="9"/>
      <c r="W135"/>
      <c r="X135"/>
      <c r="Y135"/>
      <c r="Z135"/>
      <c r="AC135" s="372" t="s">
        <v>1545</v>
      </c>
      <c r="AD135" s="372" t="s">
        <v>1546</v>
      </c>
      <c r="AE135" s="372" t="s">
        <v>1547</v>
      </c>
    </row>
    <row r="136" spans="1:51" outlineLevel="2">
      <c r="A136" s="5" t="s">
        <v>702</v>
      </c>
      <c r="B136" s="8" t="s">
        <v>277</v>
      </c>
      <c r="C136" s="8" t="s">
        <v>277</v>
      </c>
      <c r="D136" s="8">
        <f>IF($I$12&gt;2,C136,0)</f>
        <v>0</v>
      </c>
      <c r="E136" s="4"/>
      <c r="F136" s="4"/>
      <c r="G136" s="13" t="s">
        <v>2598</v>
      </c>
      <c r="H136" s="13"/>
      <c r="I136" s="689"/>
      <c r="J136" s="8" t="s">
        <v>277</v>
      </c>
      <c r="K136" s="12" t="str">
        <f>IF($I$12&gt;1,J136,"-")</f>
        <v>-</v>
      </c>
      <c r="L136" s="12" t="str">
        <f>IF($J$12&gt;2,K136,"-")</f>
        <v>-</v>
      </c>
      <c r="M136" s="4"/>
      <c r="O136" s="236" t="s">
        <v>986</v>
      </c>
      <c r="P136" s="4" t="s">
        <v>1026</v>
      </c>
      <c r="Q136" s="31"/>
      <c r="R136" s="9" t="s">
        <v>1535</v>
      </c>
      <c r="U136" s="9"/>
      <c r="V136" s="923" t="s">
        <v>1779</v>
      </c>
      <c r="W136" s="924"/>
      <c r="X136" s="925"/>
      <c r="Y136" s="923" t="s">
        <v>1780</v>
      </c>
      <c r="Z136" s="924"/>
      <c r="AA136" s="925"/>
      <c r="AB136" s="921" t="s">
        <v>1782</v>
      </c>
      <c r="AC136" s="923" t="s">
        <v>1781</v>
      </c>
      <c r="AD136" s="924"/>
      <c r="AE136" s="925"/>
      <c r="AF136" s="923" t="s">
        <v>1783</v>
      </c>
      <c r="AG136" s="924"/>
      <c r="AH136" s="924"/>
      <c r="AI136" s="924"/>
      <c r="AJ136" s="924"/>
      <c r="AK136" s="925"/>
    </row>
    <row r="137" spans="1:51" outlineLevel="2">
      <c r="A137" s="13" t="s">
        <v>880</v>
      </c>
      <c r="B137" s="8" t="s">
        <v>1352</v>
      </c>
      <c r="C137" s="8" t="s">
        <v>1352</v>
      </c>
      <c r="D137" s="8">
        <f>IF($I$12&gt;2,C137,0)</f>
        <v>0</v>
      </c>
      <c r="E137" s="4"/>
      <c r="F137" s="4"/>
      <c r="G137" s="4"/>
      <c r="H137" s="4"/>
      <c r="I137" s="4"/>
      <c r="J137" s="4"/>
      <c r="K137" s="4"/>
      <c r="L137" s="4"/>
      <c r="M137" s="4"/>
      <c r="P137" s="4" t="s">
        <v>1352</v>
      </c>
      <c r="Q137" s="31"/>
      <c r="R137" s="31"/>
      <c r="S137" s="9"/>
      <c r="V137" s="372" t="s">
        <v>1545</v>
      </c>
      <c r="W137" s="372" t="s">
        <v>1546</v>
      </c>
      <c r="X137" s="372" t="s">
        <v>1547</v>
      </c>
      <c r="Y137" s="372" t="s">
        <v>1545</v>
      </c>
      <c r="Z137" s="372" t="s">
        <v>1546</v>
      </c>
      <c r="AA137" s="372" t="s">
        <v>1547</v>
      </c>
      <c r="AB137" s="922"/>
      <c r="AC137" s="555">
        <f>IFERROR(B138/SUM($B$138:$D$138),0)</f>
        <v>1</v>
      </c>
      <c r="AD137" s="555">
        <f>IFERROR(C138/SUM($B$138:$D$138),0)</f>
        <v>0</v>
      </c>
      <c r="AE137" s="555">
        <f>IFERROR(D138/SUM($B$138:$D$138),0)</f>
        <v>0</v>
      </c>
      <c r="AF137" s="458" t="s">
        <v>1785</v>
      </c>
      <c r="AG137" s="459" t="s">
        <v>1784</v>
      </c>
      <c r="AH137" s="458" t="s">
        <v>1787</v>
      </c>
      <c r="AI137" s="459" t="s">
        <v>1786</v>
      </c>
      <c r="AJ137" s="458" t="s">
        <v>1789</v>
      </c>
      <c r="AK137" s="459" t="s">
        <v>1788</v>
      </c>
    </row>
    <row r="138" spans="1:51" ht="15" customHeight="1" outlineLevel="2">
      <c r="A138" s="13" t="s">
        <v>290</v>
      </c>
      <c r="B138" s="183">
        <f>B93</f>
        <v>4800</v>
      </c>
      <c r="C138" s="183">
        <f>C93</f>
        <v>0</v>
      </c>
      <c r="D138" s="183">
        <f>D93</f>
        <v>0</v>
      </c>
      <c r="E138" s="4"/>
      <c r="F138" s="4"/>
      <c r="G138" s="4"/>
      <c r="H138" s="4"/>
      <c r="I138" s="4"/>
      <c r="J138" s="4"/>
      <c r="K138" s="4"/>
      <c r="L138" s="4"/>
      <c r="M138" s="4"/>
      <c r="T138" s="598" t="s">
        <v>1506</v>
      </c>
      <c r="U138" s="499" t="s">
        <v>1506</v>
      </c>
      <c r="V138" s="433">
        <f>IFERROR(((RESUMO!C50)*(VLOOKUP(B149,$O$140:$S$146,3,0))),0)</f>
        <v>0</v>
      </c>
      <c r="W138" s="434">
        <f>IFERROR(((RESUMO!C50)*(VLOOKUP(B149,$O$140:$S$146,4,0))),0)</f>
        <v>0</v>
      </c>
      <c r="X138" s="435">
        <f>IFERROR(IF(B149&lt;3,0,(RESUMO!C50)*(VLOOKUP(B149,$O$140:$S$146,5,0))),0)</f>
        <v>0</v>
      </c>
      <c r="Y138" s="469">
        <f t="shared" ref="Y138:Y154" si="17">IFERROR(V138/$V$188,0)</f>
        <v>0</v>
      </c>
      <c r="Z138" s="470">
        <f t="shared" ref="Z138:Z154" si="18">IFERROR(W138/$W$188,0)</f>
        <v>0</v>
      </c>
      <c r="AA138" s="471">
        <f t="shared" ref="AA138:AA154" si="19">IFERROR(X138/$X$188,0)</f>
        <v>0</v>
      </c>
      <c r="AB138" s="472">
        <f>RESUMO!E50</f>
        <v>0</v>
      </c>
      <c r="AC138" s="473">
        <f t="shared" ref="AC138:AC148" si="20">IFERROR(Y138/SUM(Y138:AA138)*AB138/$I$15,0)*$I$12*$AC$137</f>
        <v>0</v>
      </c>
      <c r="AD138" s="474">
        <f t="shared" ref="AD138:AD148" si="21">IFERROR(Z138/SUM(Y138:AA138)*AB138/$J$15,0)*$I$12*$AD$137</f>
        <v>0</v>
      </c>
      <c r="AE138" s="475">
        <f t="shared" ref="AE138:AE148" si="22">IFERROR(AA138/SUM(Y138:AA138)*AB138/$K$15,0)*$I$12*$AE$137</f>
        <v>0</v>
      </c>
      <c r="AF138" s="381"/>
      <c r="AG138" s="454">
        <f>AC138-AF138</f>
        <v>0</v>
      </c>
      <c r="AH138" s="381">
        <f>IF(AH168+AD138&gt;($C$143*$E$143),E143-AH168,AD138)</f>
        <v>0</v>
      </c>
      <c r="AI138" s="454">
        <f>AD138-AH138</f>
        <v>0</v>
      </c>
      <c r="AJ138" s="381">
        <f>IF(AJ168+AE138&gt;($D$143*$E$143),E143-AJ168,AE138)</f>
        <v>0</v>
      </c>
      <c r="AK138" s="454">
        <f>AE138-AJ138</f>
        <v>0</v>
      </c>
    </row>
    <row r="139" spans="1:51" outlineLevel="2">
      <c r="A139" s="13" t="s">
        <v>303</v>
      </c>
      <c r="B139" s="114">
        <v>4</v>
      </c>
      <c r="C139" s="114">
        <v>4</v>
      </c>
      <c r="D139" s="114">
        <f t="shared" ref="D139:D145" si="23">IF($I$12&gt;2,C139,0)</f>
        <v>0</v>
      </c>
      <c r="E139" s="237" t="s">
        <v>973</v>
      </c>
      <c r="F139" s="4"/>
      <c r="G139" s="4"/>
      <c r="H139" s="4"/>
      <c r="I139" s="4"/>
      <c r="J139" s="4"/>
      <c r="K139" s="4"/>
      <c r="L139" s="4"/>
      <c r="M139" s="4"/>
      <c r="O139" s="11" t="s">
        <v>968</v>
      </c>
      <c r="P139" s="29"/>
      <c r="Q139" s="369" t="s">
        <v>1538</v>
      </c>
      <c r="R139" s="369" t="s">
        <v>1539</v>
      </c>
      <c r="S139" s="369" t="s">
        <v>1540</v>
      </c>
      <c r="T139" s="599" t="s">
        <v>1507</v>
      </c>
      <c r="U139" s="500" t="s">
        <v>1814</v>
      </c>
      <c r="V139" s="433">
        <f>IFERROR(((RESUMO!C51)*(VLOOKUP(B150,$O$140:$S$146,3,0))),0)</f>
        <v>0</v>
      </c>
      <c r="W139" s="434">
        <f>IFERROR(((RESUMO!C51)*(VLOOKUP(B150,$O$140:$S$146,4,0))),0)</f>
        <v>0</v>
      </c>
      <c r="X139" s="435">
        <f>IFERROR(IF(B150&lt;3,0,(RESUMO!C51)*(VLOOKUP(B150,$O$140:$S$146,5,0))),0)</f>
        <v>0</v>
      </c>
      <c r="Y139" s="443">
        <f t="shared" si="17"/>
        <v>0</v>
      </c>
      <c r="Z139" s="428">
        <f t="shared" si="18"/>
        <v>0</v>
      </c>
      <c r="AA139" s="444">
        <f t="shared" si="19"/>
        <v>0</v>
      </c>
      <c r="AB139" s="448">
        <f>RESUMO!E51</f>
        <v>0</v>
      </c>
      <c r="AC139" s="453">
        <f t="shared" si="20"/>
        <v>0</v>
      </c>
      <c r="AD139" s="429">
        <f t="shared" si="21"/>
        <v>0</v>
      </c>
      <c r="AE139" s="454">
        <f t="shared" si="22"/>
        <v>0</v>
      </c>
      <c r="AF139" s="381"/>
      <c r="AG139" s="454">
        <f>AC139-AF139</f>
        <v>0</v>
      </c>
      <c r="AH139" s="381">
        <f>IF($AH$168+AD139+$AD$138&gt;($C$143*$E$143),$E$143-$AH$168-$AH$138,AD139)</f>
        <v>0</v>
      </c>
      <c r="AI139" s="454">
        <f>AD139-AH139</f>
        <v>0</v>
      </c>
      <c r="AJ139" s="381">
        <f>IF($AJ$168+AE139+$AE$138&gt;($D$143*$E$143),$E$143-$AJ$168-$AJ$138,AE139)</f>
        <v>0</v>
      </c>
      <c r="AK139" s="454">
        <f>AE139-AJ139</f>
        <v>0</v>
      </c>
    </row>
    <row r="140" spans="1:51" outlineLevel="2">
      <c r="A140" s="5" t="s">
        <v>304</v>
      </c>
      <c r="B140" s="114">
        <v>0</v>
      </c>
      <c r="C140" s="114">
        <f t="shared" ref="C140:C145" si="24">IF($I$12&gt;1,B140,0)</f>
        <v>0</v>
      </c>
      <c r="D140" s="114">
        <f t="shared" si="23"/>
        <v>0</v>
      </c>
      <c r="E140" s="114">
        <v>0</v>
      </c>
      <c r="F140" s="4"/>
      <c r="G140" s="4"/>
      <c r="H140" s="4"/>
      <c r="I140" s="4"/>
      <c r="J140" s="4"/>
      <c r="K140" s="4"/>
      <c r="L140" s="4"/>
      <c r="M140" s="4"/>
      <c r="O140" s="368">
        <v>1</v>
      </c>
      <c r="Q140" s="367">
        <f>$I$12</f>
        <v>1</v>
      </c>
      <c r="R140" s="202">
        <v>0</v>
      </c>
      <c r="S140" s="202">
        <v>0</v>
      </c>
      <c r="T140" s="599" t="s">
        <v>1508</v>
      </c>
      <c r="U140" s="500" t="s">
        <v>1814</v>
      </c>
      <c r="V140" s="433">
        <f>IFERROR(((RESUMO!C52)*(VLOOKUP(B150,$O$140:$S$146,3,0))),0)</f>
        <v>0</v>
      </c>
      <c r="W140" s="434">
        <f>IFERROR(((RESUMO!C52)*(VLOOKUP(B150,$O$140:$S$146,4,0))),0)</f>
        <v>0</v>
      </c>
      <c r="X140" s="435">
        <f>IFERROR(IF(B150&lt;3,0,(RESUMO!C52)*(VLOOKUP(B150,$O$140:$S$146,5,0))),0)</f>
        <v>0</v>
      </c>
      <c r="Y140" s="443">
        <f t="shared" si="17"/>
        <v>0</v>
      </c>
      <c r="Z140" s="428">
        <f t="shared" si="18"/>
        <v>0</v>
      </c>
      <c r="AA140" s="444">
        <f t="shared" si="19"/>
        <v>0</v>
      </c>
      <c r="AB140" s="448">
        <f>RESUMO!E52</f>
        <v>0</v>
      </c>
      <c r="AC140" s="453">
        <f t="shared" si="20"/>
        <v>0</v>
      </c>
      <c r="AD140" s="429">
        <f t="shared" si="21"/>
        <v>0</v>
      </c>
      <c r="AE140" s="454">
        <f t="shared" si="22"/>
        <v>0</v>
      </c>
      <c r="AF140" s="381"/>
      <c r="AG140" s="454">
        <f>AC140-AF140</f>
        <v>0</v>
      </c>
      <c r="AH140" s="381">
        <f>IF($AH$168+AD140+$AD$138+AD139&gt;($C$143*$E$143),$E$143-$AH$168-$AH$138-AH139,AD140)</f>
        <v>0</v>
      </c>
      <c r="AI140" s="454">
        <f>AD140-AH140</f>
        <v>0</v>
      </c>
      <c r="AJ140" s="381">
        <f>IF($AJ$168+AE140+$AE$138&gt;($D$143*$E$143),$E$143-$AJ$168-$AJ$138,AE140)</f>
        <v>0</v>
      </c>
      <c r="AK140" s="454">
        <f>AE140-AJ140</f>
        <v>0</v>
      </c>
    </row>
    <row r="141" spans="1:51" outlineLevel="2">
      <c r="A141" s="13" t="s">
        <v>703</v>
      </c>
      <c r="B141" s="114">
        <v>7250</v>
      </c>
      <c r="C141" s="114">
        <f t="shared" si="24"/>
        <v>0</v>
      </c>
      <c r="D141" s="114">
        <f t="shared" si="23"/>
        <v>0</v>
      </c>
      <c r="E141" s="114">
        <v>0</v>
      </c>
      <c r="F141" s="4"/>
      <c r="G141" s="4"/>
      <c r="H141" s="4"/>
      <c r="I141" s="4"/>
      <c r="J141" s="4"/>
      <c r="K141" s="4"/>
      <c r="L141" s="4"/>
      <c r="M141" s="4"/>
      <c r="O141" s="368">
        <v>2</v>
      </c>
      <c r="Q141" s="202">
        <v>0</v>
      </c>
      <c r="R141" s="367">
        <f>$I$12</f>
        <v>1</v>
      </c>
      <c r="S141" s="202">
        <v>0</v>
      </c>
      <c r="T141" s="599" t="s">
        <v>1509</v>
      </c>
      <c r="U141" s="501" t="s">
        <v>1812</v>
      </c>
      <c r="V141" s="433">
        <f>IFERROR(((RESUMO!C53)*(VLOOKUP(B151,$O$140:$S$146,3,0))),0)</f>
        <v>0</v>
      </c>
      <c r="W141" s="434">
        <f>IFERROR(((RESUMO!C53)*(VLOOKUP(B151,$O$140:$S$146,4,0))),0)</f>
        <v>0</v>
      </c>
      <c r="X141" s="435">
        <f>IFERROR(IF(B151&lt;3,0,(RESUMO!C53)*(VLOOKUP(B151,$O$140:$S$146,5,0))),0)</f>
        <v>0</v>
      </c>
      <c r="Y141" s="443">
        <f t="shared" si="17"/>
        <v>0</v>
      </c>
      <c r="Z141" s="428">
        <f t="shared" si="18"/>
        <v>0</v>
      </c>
      <c r="AA141" s="444">
        <f t="shared" si="19"/>
        <v>0</v>
      </c>
      <c r="AB141" s="448">
        <f>RESUMO!E53</f>
        <v>0</v>
      </c>
      <c r="AC141" s="453">
        <f t="shared" si="20"/>
        <v>0</v>
      </c>
      <c r="AD141" s="429">
        <f t="shared" si="21"/>
        <v>0</v>
      </c>
      <c r="AE141" s="454">
        <f t="shared" si="22"/>
        <v>0</v>
      </c>
      <c r="AF141" s="381"/>
      <c r="AG141" s="454">
        <f>AC141-AF141</f>
        <v>0</v>
      </c>
      <c r="AH141" s="381">
        <f>IF(AD141-(3*60*$B$143)&lt;=0,AD141,(3*60*$B$143))</f>
        <v>0</v>
      </c>
      <c r="AI141" s="454">
        <f>AD141-AH141</f>
        <v>0</v>
      </c>
      <c r="AJ141" s="381">
        <f>IF(AE141-(3*60*$B$143)&lt;=0,AE141,(3*60*$B$143))</f>
        <v>0</v>
      </c>
      <c r="AK141" s="454">
        <f>AE141-AJ141</f>
        <v>0</v>
      </c>
    </row>
    <row r="142" spans="1:51" outlineLevel="2">
      <c r="A142" s="225" t="s">
        <v>985</v>
      </c>
      <c r="B142" s="114">
        <v>0</v>
      </c>
      <c r="C142" s="114">
        <f t="shared" si="24"/>
        <v>0</v>
      </c>
      <c r="D142" s="114">
        <f t="shared" si="23"/>
        <v>0</v>
      </c>
      <c r="E142" s="114">
        <f>28*60</f>
        <v>1680</v>
      </c>
      <c r="F142" s="4"/>
      <c r="G142" s="4"/>
      <c r="H142" s="4"/>
      <c r="I142" s="4"/>
      <c r="J142" s="4"/>
      <c r="K142" s="4"/>
      <c r="L142" s="4"/>
      <c r="M142" s="4"/>
      <c r="O142" s="368">
        <v>3</v>
      </c>
      <c r="Q142" s="202">
        <v>0</v>
      </c>
      <c r="R142" s="202">
        <v>0</v>
      </c>
      <c r="S142" s="367">
        <f>$I$12</f>
        <v>1</v>
      </c>
      <c r="T142" s="599" t="s">
        <v>3046</v>
      </c>
      <c r="U142" s="501" t="s">
        <v>1812</v>
      </c>
      <c r="V142" s="433">
        <f>IFERROR(((RESUMO!B54)*(VLOOKUP(B151,$O$140:$S$146,3,0))),0)</f>
        <v>0</v>
      </c>
      <c r="W142" s="434">
        <f>IFERROR(((RESUMO!B54)*(VLOOKUP(B151,$O$140:$S$146,4,0))),0)</f>
        <v>0</v>
      </c>
      <c r="X142" s="435">
        <f>IFERROR(IF(B151&lt;3,0,(RESUMO!B54)*(VLOOKUP(B152,$O$140:$S$146,5,0))),0)</f>
        <v>0</v>
      </c>
      <c r="Y142" s="443">
        <f t="shared" si="17"/>
        <v>0</v>
      </c>
      <c r="Z142" s="428">
        <f t="shared" si="18"/>
        <v>0</v>
      </c>
      <c r="AA142" s="444">
        <f t="shared" si="19"/>
        <v>0</v>
      </c>
      <c r="AB142" s="448">
        <f>RESUMO!E54</f>
        <v>0</v>
      </c>
      <c r="AC142" s="453">
        <f t="shared" si="20"/>
        <v>0</v>
      </c>
      <c r="AD142" s="429">
        <f t="shared" si="21"/>
        <v>0</v>
      </c>
      <c r="AE142" s="454">
        <f t="shared" si="22"/>
        <v>0</v>
      </c>
      <c r="AF142" s="381"/>
      <c r="AG142" s="454">
        <f>AC142-AF142</f>
        <v>0</v>
      </c>
      <c r="AH142" s="381">
        <f>IF(AD142-(3*60*$B$143)&lt;=0,AD142,(3*60*$B$143))</f>
        <v>0</v>
      </c>
      <c r="AI142" s="454">
        <f>AD142-AH142</f>
        <v>0</v>
      </c>
      <c r="AJ142" s="381">
        <f>IF(AE142-(3*60*$B$143)&lt;=0,AE142,(3*60*$B$143))</f>
        <v>0</v>
      </c>
      <c r="AK142" s="454">
        <f>AE142-AJ142</f>
        <v>0</v>
      </c>
    </row>
    <row r="143" spans="1:51" outlineLevel="2">
      <c r="A143" s="5" t="s">
        <v>1555</v>
      </c>
      <c r="B143" s="114">
        <v>0</v>
      </c>
      <c r="C143" s="114">
        <f>IF($I$12&gt;1,B143,0)</f>
        <v>0</v>
      </c>
      <c r="D143" s="114">
        <f t="shared" si="23"/>
        <v>0</v>
      </c>
      <c r="E143" s="114">
        <f>28*60</f>
        <v>1680</v>
      </c>
      <c r="F143" s="4"/>
      <c r="G143" s="4"/>
      <c r="H143" s="4"/>
      <c r="I143" s="4"/>
      <c r="J143" s="4"/>
      <c r="K143" s="4"/>
      <c r="L143" s="4"/>
      <c r="M143" s="4"/>
      <c r="O143" s="368" t="s">
        <v>1542</v>
      </c>
      <c r="Q143" s="367">
        <f>$I$12/2</f>
        <v>0.5</v>
      </c>
      <c r="R143" s="367">
        <f>$I$12/2</f>
        <v>0.5</v>
      </c>
      <c r="S143" s="202">
        <v>0</v>
      </c>
      <c r="T143" s="599" t="s">
        <v>1510</v>
      </c>
      <c r="U143" s="502" t="s">
        <v>1813</v>
      </c>
      <c r="V143" s="433">
        <f>IFERROR(((RESUMO!C55)*(VLOOKUP($B$152,$O$140:$S$146,3,0))),0)</f>
        <v>0</v>
      </c>
      <c r="W143" s="434">
        <f>IFERROR(((RESUMO!C55)*(VLOOKUP($B$152,$O$140:$S$146,4,0))),0)</f>
        <v>0</v>
      </c>
      <c r="X143" s="435">
        <f>IFERROR(IF($B$152&lt;3,0,(RESUMO!C55)*(VLOOKUP($B$152,$O$140:$S$146,5,0))),0)</f>
        <v>0</v>
      </c>
      <c r="Y143" s="443">
        <f t="shared" si="17"/>
        <v>0</v>
      </c>
      <c r="Z143" s="428">
        <f t="shared" si="18"/>
        <v>0</v>
      </c>
      <c r="AA143" s="444">
        <f t="shared" si="19"/>
        <v>0</v>
      </c>
      <c r="AB143" s="448">
        <f>RESUMO!E55</f>
        <v>0</v>
      </c>
      <c r="AC143" s="453">
        <f t="shared" si="20"/>
        <v>0</v>
      </c>
      <c r="AD143" s="429">
        <f t="shared" si="21"/>
        <v>0</v>
      </c>
      <c r="AE143" s="454">
        <f t="shared" si="22"/>
        <v>0</v>
      </c>
      <c r="AF143" s="381"/>
      <c r="AG143" s="476">
        <f t="shared" ref="AG143:AG154" si="25">AC143</f>
        <v>0</v>
      </c>
      <c r="AH143" s="381"/>
      <c r="AI143" s="476">
        <f t="shared" ref="AI143:AI154" si="26">AD143</f>
        <v>0</v>
      </c>
      <c r="AJ143" s="381"/>
      <c r="AK143" s="476">
        <f t="shared" ref="AK143:AK154" si="27">AE143</f>
        <v>0</v>
      </c>
    </row>
    <row r="144" spans="1:51" outlineLevel="2">
      <c r="A144" s="5" t="s">
        <v>1556</v>
      </c>
      <c r="B144" s="114">
        <v>0</v>
      </c>
      <c r="C144" s="114">
        <f>IF($I$12&gt;1,B144,0)</f>
        <v>0</v>
      </c>
      <c r="D144" s="114">
        <f t="shared" si="23"/>
        <v>0</v>
      </c>
      <c r="E144" s="114">
        <v>0</v>
      </c>
      <c r="F144" s="4"/>
      <c r="G144" s="4"/>
      <c r="H144" s="4"/>
      <c r="I144" s="4"/>
      <c r="J144" s="4"/>
      <c r="K144" s="4"/>
      <c r="L144" s="4"/>
      <c r="M144" s="4"/>
      <c r="O144" s="368" t="s">
        <v>1541</v>
      </c>
      <c r="Q144" s="367">
        <f>$I$12/3</f>
        <v>0.33333333333333331</v>
      </c>
      <c r="R144" s="367">
        <f>$I$12/3</f>
        <v>0.33333333333333331</v>
      </c>
      <c r="S144" s="367">
        <f>$I$12/3</f>
        <v>0.33333333333333331</v>
      </c>
      <c r="T144" s="599" t="s">
        <v>1511</v>
      </c>
      <c r="U144" s="502" t="s">
        <v>1813</v>
      </c>
      <c r="V144" s="433">
        <f>IFERROR(((RESUMO!C56)*(VLOOKUP($B$152,$O$140:$S$146,3,0))),0)</f>
        <v>1.8926708606241367E-2</v>
      </c>
      <c r="W144" s="434">
        <f>IFERROR(((RESUMO!C56)*(VLOOKUP($B$152,$O$140:$S$146,4,0))),0)</f>
        <v>0</v>
      </c>
      <c r="X144" s="435">
        <f>IFERROR(IF($B$152&lt;3,0,(RESUMO!C56)*(VLOOKUP($B$152,$O$140:$S$146,5,0))),0)</f>
        <v>0</v>
      </c>
      <c r="Y144" s="443">
        <f t="shared" si="17"/>
        <v>1.892670860624137E-2</v>
      </c>
      <c r="Z144" s="428">
        <f t="shared" si="18"/>
        <v>0</v>
      </c>
      <c r="AA144" s="444">
        <f t="shared" si="19"/>
        <v>0</v>
      </c>
      <c r="AB144" s="448">
        <f>RESUMO!E56</f>
        <v>34.036363636363639</v>
      </c>
      <c r="AC144" s="453">
        <f t="shared" si="20"/>
        <v>3.5547116069309288</v>
      </c>
      <c r="AD144" s="429">
        <f t="shared" si="21"/>
        <v>0</v>
      </c>
      <c r="AE144" s="454">
        <f t="shared" si="22"/>
        <v>0</v>
      </c>
      <c r="AF144" s="381"/>
      <c r="AG144" s="476">
        <f t="shared" si="25"/>
        <v>3.5547116069309288</v>
      </c>
      <c r="AH144" s="381"/>
      <c r="AI144" s="476">
        <f t="shared" si="26"/>
        <v>0</v>
      </c>
      <c r="AJ144" s="381"/>
      <c r="AK144" s="476">
        <f t="shared" si="27"/>
        <v>0</v>
      </c>
      <c r="AX144" s="160"/>
      <c r="AY144" s="201"/>
    </row>
    <row r="145" spans="1:37" outlineLevel="2">
      <c r="A145" s="5" t="s">
        <v>1567</v>
      </c>
      <c r="B145" s="114">
        <f>IF(RESUMO!E63&gt;0,1,0)</f>
        <v>1</v>
      </c>
      <c r="C145" s="114">
        <f t="shared" si="24"/>
        <v>0</v>
      </c>
      <c r="D145" s="114">
        <f t="shared" si="23"/>
        <v>0</v>
      </c>
      <c r="E145" s="114">
        <v>0</v>
      </c>
      <c r="F145" s="379" t="str">
        <f>P149&amp;P155&amp;P153&amp;P154&amp;Q149&amp;P155&amp;Q153&amp;P154&amp;R149&amp;P155&amp;R153</f>
        <v>Cap T1:FaltandoMáq._Cap T2:Atende Capacidade_Cap T3:Atende Capacidade</v>
      </c>
      <c r="G145" s="4"/>
      <c r="H145" s="4"/>
      <c r="I145" s="4"/>
      <c r="J145" s="4"/>
      <c r="K145" s="4"/>
      <c r="L145" s="4"/>
      <c r="M145" s="4"/>
      <c r="O145" s="368" t="s">
        <v>1543</v>
      </c>
      <c r="Q145" s="367">
        <f>$I$12/2</f>
        <v>0.5</v>
      </c>
      <c r="R145" s="202">
        <v>0</v>
      </c>
      <c r="S145" s="367">
        <f>$I$12/2</f>
        <v>0.5</v>
      </c>
      <c r="T145" s="599" t="s">
        <v>1517</v>
      </c>
      <c r="U145" s="502" t="s">
        <v>1813</v>
      </c>
      <c r="V145" s="433">
        <f>IFERROR(((RESUMO!C57)*(VLOOKUP($B$152,$O$140:$S$146,3,0))),0)</f>
        <v>0</v>
      </c>
      <c r="W145" s="434">
        <f>IFERROR(((RESUMO!C57)*(VLOOKUP($B$152,$O$140:$S$146,4,0))),0)</f>
        <v>0</v>
      </c>
      <c r="X145" s="435">
        <f>IFERROR(IF($B$152&lt;3,0,(RESUMO!C57)*(VLOOKUP($B$152,$O$140:$S$146,5,0))),0)</f>
        <v>0</v>
      </c>
      <c r="Y145" s="443">
        <f t="shared" si="17"/>
        <v>0</v>
      </c>
      <c r="Z145" s="428">
        <f t="shared" si="18"/>
        <v>0</v>
      </c>
      <c r="AA145" s="444">
        <f t="shared" si="19"/>
        <v>0</v>
      </c>
      <c r="AB145" s="448">
        <f>RESUMO!E57</f>
        <v>0</v>
      </c>
      <c r="AC145" s="453">
        <f t="shared" si="20"/>
        <v>0</v>
      </c>
      <c r="AD145" s="429">
        <f t="shared" si="21"/>
        <v>0</v>
      </c>
      <c r="AE145" s="454">
        <f t="shared" si="22"/>
        <v>0</v>
      </c>
      <c r="AF145" s="381"/>
      <c r="AG145" s="476">
        <f t="shared" si="25"/>
        <v>0</v>
      </c>
      <c r="AH145" s="381"/>
      <c r="AI145" s="476">
        <f t="shared" si="26"/>
        <v>0</v>
      </c>
      <c r="AJ145" s="381"/>
      <c r="AK145" s="476">
        <f t="shared" si="27"/>
        <v>0</v>
      </c>
    </row>
    <row r="146" spans="1:37" outlineLevel="2">
      <c r="A146" s="5" t="s">
        <v>1557</v>
      </c>
      <c r="B146" s="114">
        <v>0</v>
      </c>
      <c r="C146" s="114">
        <f>IF($I$12&gt;1,B146,0)</f>
        <v>0</v>
      </c>
      <c r="D146" s="114">
        <f>IF($I$12&gt;2,C146,0)</f>
        <v>0</v>
      </c>
      <c r="E146" s="114">
        <v>0</v>
      </c>
      <c r="F146" s="4"/>
      <c r="G146" s="4"/>
      <c r="H146" s="4"/>
      <c r="I146" s="4"/>
      <c r="J146" s="4"/>
      <c r="K146" s="4"/>
      <c r="L146" s="4"/>
      <c r="M146" s="4"/>
      <c r="O146" s="368" t="s">
        <v>1544</v>
      </c>
      <c r="Q146" s="202">
        <v>0</v>
      </c>
      <c r="R146" s="367">
        <f>$I$12/2</f>
        <v>0.5</v>
      </c>
      <c r="S146" s="367">
        <f>$I$12/2</f>
        <v>0.5</v>
      </c>
      <c r="T146" s="599" t="s">
        <v>1518</v>
      </c>
      <c r="U146" s="502" t="s">
        <v>1813</v>
      </c>
      <c r="V146" s="433">
        <f>IFERROR(((RESUMO!C58)*(VLOOKUP(B152,$O$140:$S$146,3,0))),0)</f>
        <v>0</v>
      </c>
      <c r="W146" s="434">
        <f>IFERROR(((RESUMO!C58)*(VLOOKUP(B152,$O$140:$S$146,4,0))),0)</f>
        <v>0</v>
      </c>
      <c r="X146" s="435">
        <f>IFERROR(IF(B152&lt;3,0,(RESUMO!C58)*(VLOOKUP(B152,$O$140:$S$146,5,0))),0)</f>
        <v>0</v>
      </c>
      <c r="Y146" s="443">
        <f t="shared" si="17"/>
        <v>0</v>
      </c>
      <c r="Z146" s="428">
        <f t="shared" si="18"/>
        <v>0</v>
      </c>
      <c r="AA146" s="444">
        <f t="shared" si="19"/>
        <v>0</v>
      </c>
      <c r="AB146" s="448">
        <f>RESUMO!E58</f>
        <v>0</v>
      </c>
      <c r="AC146" s="453">
        <f t="shared" si="20"/>
        <v>0</v>
      </c>
      <c r="AD146" s="429">
        <f t="shared" si="21"/>
        <v>0</v>
      </c>
      <c r="AE146" s="454">
        <f t="shared" si="22"/>
        <v>0</v>
      </c>
      <c r="AF146" s="381"/>
      <c r="AG146" s="476">
        <f t="shared" si="25"/>
        <v>0</v>
      </c>
      <c r="AH146" s="381"/>
      <c r="AI146" s="476">
        <f t="shared" si="26"/>
        <v>0</v>
      </c>
      <c r="AJ146" s="381"/>
      <c r="AK146" s="476">
        <f t="shared" si="27"/>
        <v>0</v>
      </c>
    </row>
    <row r="147" spans="1:37" outlineLevel="2">
      <c r="A147" s="4"/>
      <c r="F147" s="4"/>
      <c r="G147" s="4"/>
      <c r="H147" s="4"/>
      <c r="I147" s="4"/>
      <c r="K147" s="4"/>
      <c r="L147" s="4"/>
      <c r="M147" s="4"/>
      <c r="O147" s="368"/>
      <c r="T147" s="599" t="s">
        <v>2140</v>
      </c>
      <c r="U147" s="502" t="s">
        <v>1812</v>
      </c>
      <c r="V147" s="433">
        <f>IFERROR(((RESUMO!C59)*(VLOOKUP(B158,$O$140:$S$146,3,0))),0)</f>
        <v>0</v>
      </c>
      <c r="W147" s="434">
        <f>IFERROR(((RESUMO!C59)*(VLOOKUP(B158,$O$140:$S$146,4,0))),0)</f>
        <v>0</v>
      </c>
      <c r="X147" s="435">
        <f>IFERROR(IF(B158&lt;3,0,(RESUMO!C59)*(VLOOKUP(B158,$O$140:$S$146,5,0))),0)</f>
        <v>0</v>
      </c>
      <c r="Y147" s="443">
        <f t="shared" si="17"/>
        <v>0</v>
      </c>
      <c r="Z147" s="428">
        <f t="shared" si="18"/>
        <v>0</v>
      </c>
      <c r="AA147" s="444">
        <f t="shared" si="19"/>
        <v>0</v>
      </c>
      <c r="AB147" s="448">
        <f>RESUMO!E59</f>
        <v>0</v>
      </c>
      <c r="AC147" s="453">
        <f t="shared" si="20"/>
        <v>0</v>
      </c>
      <c r="AD147" s="429">
        <f t="shared" si="21"/>
        <v>0</v>
      </c>
      <c r="AE147" s="454">
        <f t="shared" si="22"/>
        <v>0</v>
      </c>
      <c r="AF147" s="381"/>
      <c r="AG147" s="476">
        <f t="shared" si="25"/>
        <v>0</v>
      </c>
      <c r="AH147" s="381"/>
      <c r="AI147" s="476">
        <f t="shared" si="26"/>
        <v>0</v>
      </c>
      <c r="AJ147" s="381"/>
      <c r="AK147" s="476">
        <f t="shared" si="27"/>
        <v>0</v>
      </c>
    </row>
    <row r="148" spans="1:37" outlineLevel="2">
      <c r="A148" s="4"/>
      <c r="B148" s="5" t="s">
        <v>1537</v>
      </c>
      <c r="C148" s="365" t="s">
        <v>725</v>
      </c>
      <c r="D148" s="365" t="s">
        <v>726</v>
      </c>
      <c r="E148" s="365" t="s">
        <v>727</v>
      </c>
      <c r="F148" s="4"/>
      <c r="G148" s="4"/>
      <c r="H148" s="4"/>
      <c r="I148" s="4"/>
      <c r="K148" s="31"/>
      <c r="L148" s="31"/>
      <c r="M148" s="31"/>
      <c r="N148" s="31"/>
      <c r="O148" s="11" t="s">
        <v>1567</v>
      </c>
      <c r="P148" s="10"/>
      <c r="Q148" s="10"/>
      <c r="R148" s="10"/>
      <c r="T148" s="599" t="s">
        <v>1525</v>
      </c>
      <c r="U148" s="503" t="s">
        <v>1525</v>
      </c>
      <c r="V148" s="433">
        <f>IFERROR(((RESUMO!C60)*(VLOOKUP(B153,$O$140:$S$146,3,0))),0)</f>
        <v>0</v>
      </c>
      <c r="W148" s="434">
        <f>IFERROR(((RESUMO!C60)*(VLOOKUP(B153,$O$140:$S$146,4,0))),0)</f>
        <v>0</v>
      </c>
      <c r="X148" s="435">
        <f>IFERROR(IF(B153&lt;3,0,(RESUMO!C60)*(VLOOKUP(B153,$O$140:$S$146,5,0))),0)</f>
        <v>0</v>
      </c>
      <c r="Y148" s="443">
        <f t="shared" si="17"/>
        <v>0</v>
      </c>
      <c r="Z148" s="428">
        <f t="shared" si="18"/>
        <v>0</v>
      </c>
      <c r="AA148" s="444">
        <f t="shared" si="19"/>
        <v>0</v>
      </c>
      <c r="AB148" s="448">
        <f>RESUMO!E60</f>
        <v>0</v>
      </c>
      <c r="AC148" s="453">
        <f t="shared" si="20"/>
        <v>0</v>
      </c>
      <c r="AD148" s="429">
        <f t="shared" si="21"/>
        <v>0</v>
      </c>
      <c r="AE148" s="454">
        <f t="shared" si="22"/>
        <v>0</v>
      </c>
      <c r="AF148" s="381"/>
      <c r="AG148" s="476">
        <f t="shared" si="25"/>
        <v>0</v>
      </c>
      <c r="AH148" s="381"/>
      <c r="AI148" s="476">
        <f t="shared" si="26"/>
        <v>0</v>
      </c>
      <c r="AJ148" s="381"/>
      <c r="AK148" s="476">
        <f t="shared" si="27"/>
        <v>0</v>
      </c>
    </row>
    <row r="149" spans="1:37" outlineLevel="2">
      <c r="A149" s="5" t="s">
        <v>1506</v>
      </c>
      <c r="B149" s="549">
        <f t="shared" ref="B149:B167" si="28">IF($I$12=1,1,IF($I$12=2,"1_2",IF($I$12=3,"1_2_3",1)))</f>
        <v>1</v>
      </c>
      <c r="C149" s="192">
        <f t="shared" ref="C149:C162" si="29">IFERROR(SUMIF($U$138:$U$185,A149,$Y$138:$Y$185),0)</f>
        <v>0</v>
      </c>
      <c r="D149" s="192">
        <f t="shared" ref="D149:D162" si="30">IFERROR(SUMIF($U$138:$U$185,A149,$Z$138:$Z$185),0)</f>
        <v>0</v>
      </c>
      <c r="E149" s="192">
        <f t="shared" ref="E149:E162" si="31">IFERROR(SUMIF($U$138:$U$185,A149,$AA$138:$AA$185),0)</f>
        <v>0</v>
      </c>
      <c r="F149" s="4"/>
      <c r="G149" s="4"/>
      <c r="H149" s="4"/>
      <c r="I149" s="4"/>
      <c r="K149" s="31"/>
      <c r="L149" s="31"/>
      <c r="M149" s="31"/>
      <c r="N149" s="31"/>
      <c r="O149" s="234" t="s">
        <v>1568</v>
      </c>
      <c r="P149" t="s">
        <v>1569</v>
      </c>
      <c r="Q149" t="s">
        <v>1570</v>
      </c>
      <c r="R149" t="s">
        <v>1571</v>
      </c>
      <c r="T149" s="599" t="s">
        <v>3130</v>
      </c>
      <c r="U149" s="503" t="s">
        <v>1525</v>
      </c>
      <c r="V149" s="433">
        <f>IFERROR(((RESUMO!C97)*(VLOOKUP(B153,$O$140:$S$146,3,0))),0)</f>
        <v>0</v>
      </c>
      <c r="W149" s="434">
        <f>IFERROR(((RESUMO!C97)*(VLOOKUP(B153,$O$140:$S$146,4,0))),0)</f>
        <v>0</v>
      </c>
      <c r="X149" s="435">
        <f>IFERROR(IF(B153&lt;3,0,(RESUMO!C97)*(VLOOKUP(B153,$O$140:$S$146,5,0))),0)</f>
        <v>0</v>
      </c>
      <c r="Y149" s="443">
        <f t="shared" si="17"/>
        <v>0</v>
      </c>
      <c r="Z149" s="428">
        <f t="shared" si="18"/>
        <v>0</v>
      </c>
      <c r="AA149" s="444">
        <f t="shared" si="19"/>
        <v>0</v>
      </c>
      <c r="AB149" s="448">
        <f>RESUMO!E97</f>
        <v>0</v>
      </c>
      <c r="AC149" s="453">
        <f t="shared" ref="AC149:AC154" si="32">IFERROR(Y149/SUM(Y149:AA149)*AB149/$I$15,0)*$I$12*$AC$137</f>
        <v>0</v>
      </c>
      <c r="AD149" s="429">
        <f t="shared" ref="AD149:AD154" si="33">IFERROR(Z149/SUM(Y149:AA149)*AB149/$J$15,0)*$I$12*$AD$137</f>
        <v>0</v>
      </c>
      <c r="AE149" s="454">
        <f t="shared" ref="AE149:AE154" si="34">IFERROR(AA149/SUM(Y149:AA149)*AB149/$K$15,0)*$I$12*$AE$137</f>
        <v>0</v>
      </c>
      <c r="AF149" s="381"/>
      <c r="AG149" s="476">
        <f t="shared" si="25"/>
        <v>0</v>
      </c>
      <c r="AH149" s="381"/>
      <c r="AI149" s="476">
        <f t="shared" si="26"/>
        <v>0</v>
      </c>
      <c r="AJ149" s="381"/>
      <c r="AK149" s="476">
        <f t="shared" si="27"/>
        <v>0</v>
      </c>
    </row>
    <row r="150" spans="1:37" outlineLevel="2">
      <c r="A150" s="5" t="s">
        <v>1814</v>
      </c>
      <c r="B150" s="549">
        <f t="shared" si="28"/>
        <v>1</v>
      </c>
      <c r="C150" s="192">
        <f t="shared" si="29"/>
        <v>0</v>
      </c>
      <c r="D150" s="192">
        <f t="shared" si="30"/>
        <v>0</v>
      </c>
      <c r="E150" s="192">
        <f t="shared" si="31"/>
        <v>0</v>
      </c>
      <c r="F150" s="4"/>
      <c r="G150" s="4"/>
      <c r="H150" s="4"/>
      <c r="I150" s="4"/>
      <c r="K150" s="31"/>
      <c r="L150" s="31"/>
      <c r="M150" s="31"/>
      <c r="N150" s="31"/>
      <c r="O150" s="378">
        <f>E145</f>
        <v>0</v>
      </c>
      <c r="P150" s="202">
        <f>$O$150*B145</f>
        <v>0</v>
      </c>
      <c r="Q150" s="202">
        <f>$O$150*C145</f>
        <v>0</v>
      </c>
      <c r="R150" s="202">
        <f>$O$150*D145</f>
        <v>0</v>
      </c>
      <c r="T150" s="599" t="s">
        <v>938</v>
      </c>
      <c r="U150" s="505" t="s">
        <v>1532</v>
      </c>
      <c r="V150" s="433">
        <f>IFERROR(((RESUMO!C61)*(VLOOKUP(B154,$O$140:$S$146,3,0))),0)</f>
        <v>0.68832435474079301</v>
      </c>
      <c r="W150" s="434">
        <f>IFERROR(((RESUMO!C61)*(VLOOKUP(B154,$O$140:$S$146,4,0))),0)</f>
        <v>0</v>
      </c>
      <c r="X150" s="435">
        <f>IFERROR(IF(B154&lt;3,0,(RESUMO!C61)*(VLOOKUP(B154,$O$140:$S$146,5,0))),0)</f>
        <v>0</v>
      </c>
      <c r="Y150" s="443">
        <f t="shared" si="17"/>
        <v>0.68832435474079312</v>
      </c>
      <c r="Z150" s="428">
        <f t="shared" si="18"/>
        <v>0</v>
      </c>
      <c r="AA150" s="444">
        <f t="shared" si="19"/>
        <v>0</v>
      </c>
      <c r="AB150" s="448">
        <f>RESUMO!E61</f>
        <v>1237.8305454545455</v>
      </c>
      <c r="AC150" s="453">
        <f t="shared" si="32"/>
        <v>129.27734156183243</v>
      </c>
      <c r="AD150" s="429">
        <f t="shared" si="33"/>
        <v>0</v>
      </c>
      <c r="AE150" s="454">
        <f t="shared" si="34"/>
        <v>0</v>
      </c>
      <c r="AF150" s="381"/>
      <c r="AG150" s="476">
        <f t="shared" si="25"/>
        <v>129.27734156183243</v>
      </c>
      <c r="AH150" s="381"/>
      <c r="AI150" s="476">
        <f t="shared" si="26"/>
        <v>0</v>
      </c>
      <c r="AJ150" s="381"/>
      <c r="AK150" s="476">
        <f t="shared" si="27"/>
        <v>0</v>
      </c>
    </row>
    <row r="151" spans="1:37" outlineLevel="2">
      <c r="A151" s="5" t="s">
        <v>1812</v>
      </c>
      <c r="B151" s="549">
        <f t="shared" si="28"/>
        <v>1</v>
      </c>
      <c r="C151" s="192">
        <f t="shared" si="29"/>
        <v>0</v>
      </c>
      <c r="D151" s="192">
        <f t="shared" si="30"/>
        <v>0</v>
      </c>
      <c r="E151" s="192">
        <f t="shared" si="31"/>
        <v>0</v>
      </c>
      <c r="F151" s="4"/>
      <c r="G151" s="4"/>
      <c r="H151" s="4"/>
      <c r="I151" s="4"/>
      <c r="K151" s="31"/>
      <c r="L151" s="31"/>
      <c r="M151" s="31"/>
      <c r="N151" s="31"/>
      <c r="P151" s="202">
        <f>B138*C155</f>
        <v>917.95863705080694</v>
      </c>
      <c r="Q151" s="202">
        <f>C138*D155</f>
        <v>0</v>
      </c>
      <c r="R151" s="202">
        <f>D138*E155</f>
        <v>0</v>
      </c>
      <c r="T151" s="599" t="s">
        <v>1505</v>
      </c>
      <c r="U151" s="505" t="s">
        <v>1532</v>
      </c>
      <c r="V151" s="433">
        <f>IFERROR(((RESUMO!C62)*(VLOOKUP(B154,$O$140:$S$146,3,0))),0)</f>
        <v>0</v>
      </c>
      <c r="W151" s="434">
        <f>IFERROR(((RESUMO!C62)*(VLOOKUP(B154,$O$140:$S$146,4,0))),0)</f>
        <v>0</v>
      </c>
      <c r="X151" s="435">
        <f>IFERROR(IF(B154&lt;3,0,(RESUMO!C62)*(VLOOKUP(B154,$O$140:$S$146,5,0))),0)</f>
        <v>0</v>
      </c>
      <c r="Y151" s="443">
        <f t="shared" si="17"/>
        <v>0</v>
      </c>
      <c r="Z151" s="428">
        <f t="shared" si="18"/>
        <v>0</v>
      </c>
      <c r="AA151" s="444">
        <f t="shared" si="19"/>
        <v>0</v>
      </c>
      <c r="AB151" s="448">
        <f>RESUMO!E62</f>
        <v>0</v>
      </c>
      <c r="AC151" s="453">
        <f t="shared" si="32"/>
        <v>0</v>
      </c>
      <c r="AD151" s="429">
        <f t="shared" si="33"/>
        <v>0</v>
      </c>
      <c r="AE151" s="454">
        <f t="shared" si="34"/>
        <v>0</v>
      </c>
      <c r="AF151" s="381"/>
      <c r="AG151" s="476">
        <f t="shared" si="25"/>
        <v>0</v>
      </c>
      <c r="AH151" s="381"/>
      <c r="AI151" s="476">
        <f t="shared" si="26"/>
        <v>0</v>
      </c>
      <c r="AJ151" s="381"/>
      <c r="AK151" s="476">
        <f t="shared" si="27"/>
        <v>0</v>
      </c>
    </row>
    <row r="152" spans="1:37" outlineLevel="2">
      <c r="A152" s="5" t="s">
        <v>1813</v>
      </c>
      <c r="B152" s="549">
        <f t="shared" si="28"/>
        <v>1</v>
      </c>
      <c r="C152" s="192">
        <f t="shared" si="29"/>
        <v>1.892670860624137E-2</v>
      </c>
      <c r="D152" s="192">
        <f t="shared" si="30"/>
        <v>0</v>
      </c>
      <c r="E152" s="192">
        <f t="shared" si="31"/>
        <v>0</v>
      </c>
      <c r="F152" s="4"/>
      <c r="G152" s="4"/>
      <c r="H152" s="4"/>
      <c r="I152" s="4"/>
      <c r="K152" s="31"/>
      <c r="L152" s="31"/>
      <c r="M152" s="31"/>
      <c r="N152" s="31"/>
      <c r="P152" s="202">
        <f>P150-P151</f>
        <v>-917.95863705080694</v>
      </c>
      <c r="Q152" s="202">
        <f>Q150-Q151</f>
        <v>0</v>
      </c>
      <c r="R152" s="202">
        <f>R150-R151</f>
        <v>0</v>
      </c>
      <c r="T152" s="599" t="s">
        <v>994</v>
      </c>
      <c r="U152" s="506" t="s">
        <v>994</v>
      </c>
      <c r="V152" s="433">
        <f>IFERROR(((RESUMO!C63)*(VLOOKUP(B155,$O$140:$S$146,3,0))),0)</f>
        <v>0.19124138271891808</v>
      </c>
      <c r="W152" s="434">
        <f>IFERROR(((RESUMO!C63)*(VLOOKUP(B155,$O$140:$S$146,4,0))),0)</f>
        <v>0</v>
      </c>
      <c r="X152" s="435">
        <f>IFERROR(IF(B155&lt;3,0,(RESUMO!C63)*(VLOOKUP(B155,$O$140:$S$146,5,0))),0)</f>
        <v>0</v>
      </c>
      <c r="Y152" s="443">
        <f t="shared" si="17"/>
        <v>0.19124138271891811</v>
      </c>
      <c r="Z152" s="428">
        <f t="shared" si="18"/>
        <v>0</v>
      </c>
      <c r="AA152" s="444">
        <f t="shared" si="19"/>
        <v>0</v>
      </c>
      <c r="AB152" s="448">
        <f>RESUMO!E63</f>
        <v>5153.9563636363637</v>
      </c>
      <c r="AC152" s="453">
        <f t="shared" si="32"/>
        <v>538.27220507951586</v>
      </c>
      <c r="AD152" s="429">
        <f t="shared" si="33"/>
        <v>0</v>
      </c>
      <c r="AE152" s="454">
        <f t="shared" si="34"/>
        <v>0</v>
      </c>
      <c r="AF152" s="381"/>
      <c r="AG152" s="476">
        <f t="shared" si="25"/>
        <v>538.27220507951586</v>
      </c>
      <c r="AH152" s="381"/>
      <c r="AI152" s="476">
        <f t="shared" si="26"/>
        <v>0</v>
      </c>
      <c r="AJ152" s="381"/>
      <c r="AK152" s="476">
        <f t="shared" si="27"/>
        <v>0</v>
      </c>
    </row>
    <row r="153" spans="1:37" outlineLevel="2">
      <c r="A153" s="5" t="s">
        <v>1525</v>
      </c>
      <c r="B153" s="549">
        <f t="shared" si="28"/>
        <v>1</v>
      </c>
      <c r="C153" s="194">
        <f>IFERROR(SUMIF($U$138:$U$185,A153,$Y$138:$Y$185),0)</f>
        <v>0</v>
      </c>
      <c r="D153" s="194">
        <f t="shared" si="30"/>
        <v>0</v>
      </c>
      <c r="E153" s="194">
        <f t="shared" si="31"/>
        <v>0</v>
      </c>
      <c r="F153" s="4"/>
      <c r="G153" s="4"/>
      <c r="H153" s="4"/>
      <c r="I153" s="4"/>
      <c r="K153" s="31"/>
      <c r="L153" s="31"/>
      <c r="M153" s="31"/>
      <c r="N153" s="31"/>
      <c r="P153" s="367" t="str">
        <f>IF(P152&gt;$O$150,"Sobrando Máq.",IF(P152&gt;=0,"Atende Capacidade","FaltandoMáq."))</f>
        <v>FaltandoMáq.</v>
      </c>
      <c r="Q153" s="367" t="str">
        <f>IF(Q152&gt;$O$150,"Sobrando Máq.",IF(Q152&gt;=0,"Atende Capacidade","FaltandoMáq."))</f>
        <v>Atende Capacidade</v>
      </c>
      <c r="R153" s="367" t="str">
        <f>IF(R152&gt;$O$150,"Sobrando Máq.",IF(R152&gt;=0,"Atende Capacidade","FaltandoMáq."))</f>
        <v>Atende Capacidade</v>
      </c>
      <c r="T153" s="599" t="s">
        <v>1527</v>
      </c>
      <c r="U153" s="507" t="s">
        <v>1527</v>
      </c>
      <c r="V153" s="433">
        <f>IFERROR(((RESUMO!C64)*(VLOOKUP(B156,$O$140:$S$146,3,0))),0)</f>
        <v>0</v>
      </c>
      <c r="W153" s="434">
        <f>IFERROR(((RESUMO!C64)*(VLOOKUP(B156,$O$140:$S$146,4,0))),0)</f>
        <v>0</v>
      </c>
      <c r="X153" s="435">
        <f>IFERROR(IF(B156&lt;3,0,(RESUMO!C64)*(VLOOKUP(B156,$O$140:$S$146,5,0))),0)</f>
        <v>0</v>
      </c>
      <c r="Y153" s="443">
        <f t="shared" si="17"/>
        <v>0</v>
      </c>
      <c r="Z153" s="428">
        <f t="shared" si="18"/>
        <v>0</v>
      </c>
      <c r="AA153" s="428">
        <f t="shared" si="19"/>
        <v>0</v>
      </c>
      <c r="AB153" s="448">
        <f>RESUMO!E64</f>
        <v>0</v>
      </c>
      <c r="AC153" s="453">
        <f t="shared" si="32"/>
        <v>0</v>
      </c>
      <c r="AD153" s="429">
        <f t="shared" si="33"/>
        <v>0</v>
      </c>
      <c r="AE153" s="454">
        <f t="shared" si="34"/>
        <v>0</v>
      </c>
      <c r="AF153" s="381"/>
      <c r="AG153" s="476">
        <f t="shared" si="25"/>
        <v>0</v>
      </c>
      <c r="AH153" s="381"/>
      <c r="AI153" s="476">
        <f t="shared" si="26"/>
        <v>0</v>
      </c>
      <c r="AJ153" s="381"/>
      <c r="AK153" s="476">
        <f t="shared" si="27"/>
        <v>0</v>
      </c>
    </row>
    <row r="154" spans="1:37" outlineLevel="2">
      <c r="A154" s="5" t="s">
        <v>1532</v>
      </c>
      <c r="B154" s="549">
        <f t="shared" si="28"/>
        <v>1</v>
      </c>
      <c r="C154" s="192">
        <f t="shared" si="29"/>
        <v>0.68832435474079312</v>
      </c>
      <c r="D154" s="192">
        <f t="shared" si="30"/>
        <v>0</v>
      </c>
      <c r="E154" s="192">
        <f t="shared" si="31"/>
        <v>0</v>
      </c>
      <c r="F154" s="4"/>
      <c r="G154" s="4"/>
      <c r="H154" s="4"/>
      <c r="I154" s="4"/>
      <c r="K154" s="31"/>
      <c r="L154" s="31"/>
      <c r="M154" s="31"/>
      <c r="N154" s="31"/>
      <c r="P154" t="s">
        <v>1572</v>
      </c>
      <c r="T154" s="599" t="s">
        <v>1529</v>
      </c>
      <c r="U154" s="508" t="s">
        <v>1548</v>
      </c>
      <c r="V154" s="433">
        <f>IFERROR(((RESUMO!C65)*(VLOOKUP(B157,$O$140:$S$146,3,0))),0)</f>
        <v>0</v>
      </c>
      <c r="W154" s="434">
        <f>IFERROR(((RESUMO!C65)*(VLOOKUP(B157,$O$140:$S$146,4,0))),0)</f>
        <v>0</v>
      </c>
      <c r="X154" s="435">
        <f>IFERROR(IF(B157&lt;3,0,(RESUMO!C65)*(VLOOKUP(B157,$O$140:$S$146,5,0))),0)</f>
        <v>0</v>
      </c>
      <c r="Y154" s="443">
        <f t="shared" si="17"/>
        <v>0</v>
      </c>
      <c r="Z154" s="428">
        <f t="shared" si="18"/>
        <v>0</v>
      </c>
      <c r="AA154" s="444">
        <f t="shared" si="19"/>
        <v>0</v>
      </c>
      <c r="AB154" s="448">
        <f>RESUMO!E65</f>
        <v>0</v>
      </c>
      <c r="AC154" s="453">
        <f t="shared" si="32"/>
        <v>0</v>
      </c>
      <c r="AD154" s="429">
        <f t="shared" si="33"/>
        <v>0</v>
      </c>
      <c r="AE154" s="454">
        <f t="shared" si="34"/>
        <v>0</v>
      </c>
      <c r="AF154" s="381"/>
      <c r="AG154" s="476">
        <f t="shared" si="25"/>
        <v>0</v>
      </c>
      <c r="AH154" s="381"/>
      <c r="AI154" s="476">
        <f t="shared" si="26"/>
        <v>0</v>
      </c>
      <c r="AJ154" s="381"/>
      <c r="AK154" s="476">
        <f t="shared" si="27"/>
        <v>0</v>
      </c>
    </row>
    <row r="155" spans="1:37" outlineLevel="2">
      <c r="A155" s="5" t="s">
        <v>994</v>
      </c>
      <c r="B155" s="549">
        <f t="shared" si="28"/>
        <v>1</v>
      </c>
      <c r="C155" s="192">
        <f t="shared" si="29"/>
        <v>0.19124138271891811</v>
      </c>
      <c r="D155" s="192">
        <f t="shared" si="30"/>
        <v>0</v>
      </c>
      <c r="E155" s="192">
        <f t="shared" si="31"/>
        <v>0</v>
      </c>
      <c r="F155" s="4"/>
      <c r="G155" s="4"/>
      <c r="H155" s="4"/>
      <c r="I155" s="4"/>
      <c r="K155" s="31"/>
      <c r="L155" s="31"/>
      <c r="M155" s="31"/>
      <c r="N155" s="31"/>
      <c r="P155" t="s">
        <v>1573</v>
      </c>
      <c r="T155" s="599" t="s">
        <v>245</v>
      </c>
      <c r="U155" s="525" t="s">
        <v>245</v>
      </c>
      <c r="V155" s="513">
        <f>SUBTOTAL(9,V156:V162)</f>
        <v>0</v>
      </c>
      <c r="W155" s="514">
        <f>SUBTOTAL(9,W156:W162)</f>
        <v>0</v>
      </c>
      <c r="X155" s="515">
        <f>SUBTOTAL(9,X156:X162)</f>
        <v>0</v>
      </c>
      <c r="Y155" s="516">
        <f>SUBTOTAL(9,Y156:Y162)</f>
        <v>0</v>
      </c>
      <c r="Z155" s="517">
        <f t="shared" ref="Z155:AK155" si="35">SUBTOTAL(9,Z156:Z162)</f>
        <v>0</v>
      </c>
      <c r="AA155" s="518">
        <f t="shared" si="35"/>
        <v>0</v>
      </c>
      <c r="AB155" s="519">
        <f>SUBTOTAL(9,AB156:AB162)</f>
        <v>0</v>
      </c>
      <c r="AC155" s="520">
        <f>SUBTOTAL(9,AC156:AC162)</f>
        <v>0</v>
      </c>
      <c r="AD155" s="521">
        <f t="shared" si="35"/>
        <v>0</v>
      </c>
      <c r="AE155" s="522">
        <f t="shared" si="35"/>
        <v>0</v>
      </c>
      <c r="AF155" s="523">
        <f t="shared" si="35"/>
        <v>0</v>
      </c>
      <c r="AG155" s="524">
        <f>SUBTOTAL(9,AG156:AG162)</f>
        <v>0</v>
      </c>
      <c r="AH155" s="523">
        <f>SUBTOTAL(9,AH156:AH162)</f>
        <v>0</v>
      </c>
      <c r="AI155" s="524">
        <f>SUBTOTAL(9,AI156:AI162)</f>
        <v>0</v>
      </c>
      <c r="AJ155" s="523">
        <f t="shared" si="35"/>
        <v>0</v>
      </c>
      <c r="AK155" s="524">
        <f t="shared" si="35"/>
        <v>0</v>
      </c>
    </row>
    <row r="156" spans="1:37" outlineLevel="2">
      <c r="A156" s="5" t="s">
        <v>1527</v>
      </c>
      <c r="B156" s="549">
        <f t="shared" si="28"/>
        <v>1</v>
      </c>
      <c r="C156" s="192">
        <f t="shared" si="29"/>
        <v>0</v>
      </c>
      <c r="D156" s="192">
        <f t="shared" si="30"/>
        <v>0</v>
      </c>
      <c r="E156" s="192">
        <f t="shared" si="31"/>
        <v>0</v>
      </c>
      <c r="F156" s="4"/>
      <c r="G156" s="4"/>
      <c r="H156" s="4"/>
      <c r="I156" s="4"/>
      <c r="K156" s="31"/>
      <c r="L156" s="31"/>
      <c r="M156" s="31"/>
      <c r="N156" s="31"/>
      <c r="T156" s="599" t="s">
        <v>1519</v>
      </c>
      <c r="U156" s="509" t="s">
        <v>1519</v>
      </c>
      <c r="V156" s="526">
        <f>IFERROR(((RESUMO!C67)*(VLOOKUP($B$158,$O$140:$S$146,3,0))),0)</f>
        <v>0</v>
      </c>
      <c r="W156" s="527">
        <f>IFERROR(((RESUMO!C67)*(VLOOKUP($B$158,$O$140:$S$146,4,0))),0)</f>
        <v>0</v>
      </c>
      <c r="X156" s="528">
        <f>IFERROR(IF($B$158&lt;3,0,(RESUMO!C67)*(VLOOKUP($B$158,$O$140:$S$146,5,0))),0)</f>
        <v>0</v>
      </c>
      <c r="Y156" s="529">
        <f t="shared" ref="Y156:Y187" si="36">IFERROR(V156/$V$188,0)</f>
        <v>0</v>
      </c>
      <c r="Z156" s="530">
        <f t="shared" ref="Z156:Z187" si="37">IFERROR(W156/$W$188,0)</f>
        <v>0</v>
      </c>
      <c r="AA156" s="531">
        <f t="shared" ref="AA156:AA187" si="38">IFERROR(X156/$X$188,0)</f>
        <v>0</v>
      </c>
      <c r="AB156" s="532">
        <f>RESUMO!E67</f>
        <v>0</v>
      </c>
      <c r="AC156" s="533">
        <f>IFERROR(Y156/SUM(Y156:AA156)*AB156/$I$15,0)*$I$12*$AC$137</f>
        <v>0</v>
      </c>
      <c r="AD156" s="534">
        <f>IFERROR(Z156/SUM(Y156:AA156)*AB156/$J$15,0)*$I$12*$AD$137</f>
        <v>0</v>
      </c>
      <c r="AE156" s="535">
        <f>IFERROR(AA156/SUM(Y156:AA156)*AB156/$K$15,0)*$I$12*$AE$137</f>
        <v>0</v>
      </c>
      <c r="AF156" s="536"/>
      <c r="AG156" s="537">
        <f>AC156</f>
        <v>0</v>
      </c>
      <c r="AH156" s="536"/>
      <c r="AI156" s="537">
        <f>AD156</f>
        <v>0</v>
      </c>
      <c r="AJ156" s="536"/>
      <c r="AK156" s="537">
        <f>AE156</f>
        <v>0</v>
      </c>
    </row>
    <row r="157" spans="1:37" outlineLevel="2">
      <c r="A157" s="5" t="s">
        <v>1520</v>
      </c>
      <c r="B157" s="549">
        <f t="shared" si="28"/>
        <v>1</v>
      </c>
      <c r="C157" s="192">
        <f t="shared" si="29"/>
        <v>0</v>
      </c>
      <c r="D157" s="192">
        <f t="shared" si="30"/>
        <v>0</v>
      </c>
      <c r="E157" s="192">
        <f t="shared" si="31"/>
        <v>0</v>
      </c>
      <c r="F157" s="4" t="s">
        <v>2640</v>
      </c>
      <c r="G157" s="4"/>
      <c r="H157" s="4"/>
      <c r="I157" s="4"/>
      <c r="K157" s="31"/>
      <c r="L157" s="31"/>
      <c r="M157" s="31"/>
      <c r="N157" s="31"/>
      <c r="T157" s="599" t="s">
        <v>1520</v>
      </c>
      <c r="U157" s="509" t="s">
        <v>1520</v>
      </c>
      <c r="V157" s="526">
        <f>IFERROR(((RESUMO!C68)*(VLOOKUP($B$157,$O$140:$S$146,3,0))),0)</f>
        <v>0</v>
      </c>
      <c r="W157" s="527">
        <f>IFERROR(((RESUMO!C68)*(VLOOKUP($B$157,$O$140:$S$146,4,0))),0)</f>
        <v>0</v>
      </c>
      <c r="X157" s="528">
        <f>IFERROR(IF($B$157&lt;3,0,(RESUMO!C68)*(VLOOKUP($B$157,$O$140:$S$146,5,0))),0)</f>
        <v>0</v>
      </c>
      <c r="Y157" s="529">
        <f t="shared" si="36"/>
        <v>0</v>
      </c>
      <c r="Z157" s="530">
        <f t="shared" si="37"/>
        <v>0</v>
      </c>
      <c r="AA157" s="531">
        <f t="shared" si="38"/>
        <v>0</v>
      </c>
      <c r="AB157" s="532">
        <f>RESUMO!E68</f>
        <v>0</v>
      </c>
      <c r="AC157" s="533">
        <f t="shared" ref="AC157:AC185" si="39">IFERROR(Y157/SUM(Y157:AA157)*AB157/$I$15,0)*$I$12*$AC$137</f>
        <v>0</v>
      </c>
      <c r="AD157" s="534">
        <f t="shared" ref="AD157:AD185" si="40">IFERROR(Z157/SUM(Y157:AA157)*AB157/$J$15,0)*$I$12*$AD$137</f>
        <v>0</v>
      </c>
      <c r="AE157" s="535">
        <f t="shared" ref="AE157:AE185" si="41">IFERROR(AA157/SUM(Y157:AA157)*AB157/$K$15,0)*$I$12*$AE$137</f>
        <v>0</v>
      </c>
      <c r="AF157" s="536"/>
      <c r="AG157" s="537">
        <f>AC157</f>
        <v>0</v>
      </c>
      <c r="AH157" s="536"/>
      <c r="AI157" s="537">
        <f>AD157</f>
        <v>0</v>
      </c>
      <c r="AJ157" s="536"/>
      <c r="AK157" s="537">
        <f>AE157</f>
        <v>0</v>
      </c>
    </row>
    <row r="158" spans="1:37" outlineLevel="2">
      <c r="A158" s="5" t="s">
        <v>245</v>
      </c>
      <c r="B158" s="549">
        <f t="shared" si="28"/>
        <v>1</v>
      </c>
      <c r="C158" s="192">
        <f t="shared" si="29"/>
        <v>0</v>
      </c>
      <c r="D158" s="192">
        <f t="shared" si="30"/>
        <v>0</v>
      </c>
      <c r="E158" s="192">
        <f t="shared" si="31"/>
        <v>0</v>
      </c>
      <c r="F158" s="4"/>
      <c r="G158" s="4"/>
      <c r="H158" s="4"/>
      <c r="I158" s="4"/>
      <c r="K158" s="31"/>
      <c r="L158" s="31"/>
      <c r="M158" s="31"/>
      <c r="N158" s="31"/>
      <c r="T158" s="599" t="s">
        <v>1521</v>
      </c>
      <c r="U158" s="509" t="s">
        <v>1521</v>
      </c>
      <c r="V158" s="526">
        <f>IFERROR(((RESUMO!C69)*(VLOOKUP($B$158,$O$140:$S$146,3,0))),0)</f>
        <v>0</v>
      </c>
      <c r="W158" s="527">
        <f>IFERROR(((RESUMO!C69)*(VLOOKUP($B$158,$O$140:$S$146,4,0))),0)</f>
        <v>0</v>
      </c>
      <c r="X158" s="528">
        <f>IFERROR(IF($B$156&lt;3,0,(RESUMO!C69)*(VLOOKUP($B$156,$O$140:$S$146,5,0))),0)</f>
        <v>0</v>
      </c>
      <c r="Y158" s="529">
        <f t="shared" si="36"/>
        <v>0</v>
      </c>
      <c r="Z158" s="530">
        <f t="shared" si="37"/>
        <v>0</v>
      </c>
      <c r="AA158" s="531">
        <f t="shared" si="38"/>
        <v>0</v>
      </c>
      <c r="AB158" s="532">
        <f>RESUMO!E69</f>
        <v>0</v>
      </c>
      <c r="AC158" s="533">
        <f t="shared" si="39"/>
        <v>0</v>
      </c>
      <c r="AD158" s="534">
        <f t="shared" si="40"/>
        <v>0</v>
      </c>
      <c r="AE158" s="535">
        <f t="shared" si="41"/>
        <v>0</v>
      </c>
      <c r="AF158" s="536"/>
      <c r="AG158" s="537">
        <f>AC158</f>
        <v>0</v>
      </c>
      <c r="AH158" s="536"/>
      <c r="AI158" s="537">
        <f>AD158</f>
        <v>0</v>
      </c>
      <c r="AJ158" s="536"/>
      <c r="AK158" s="537">
        <f>AE158</f>
        <v>0</v>
      </c>
    </row>
    <row r="159" spans="1:37" outlineLevel="2">
      <c r="A159" s="5" t="s">
        <v>1523</v>
      </c>
      <c r="B159" s="549">
        <f t="shared" si="28"/>
        <v>1</v>
      </c>
      <c r="C159" s="192">
        <f t="shared" si="29"/>
        <v>0</v>
      </c>
      <c r="D159" s="192">
        <f t="shared" si="30"/>
        <v>0</v>
      </c>
      <c r="E159" s="192">
        <f t="shared" si="31"/>
        <v>0</v>
      </c>
      <c r="F159" s="4"/>
      <c r="G159" s="4"/>
      <c r="H159" s="4"/>
      <c r="I159" s="4"/>
      <c r="K159" s="31"/>
      <c r="L159" s="31"/>
      <c r="M159" s="31"/>
      <c r="N159" s="31"/>
      <c r="T159" s="599" t="s">
        <v>1522</v>
      </c>
      <c r="U159" s="509" t="s">
        <v>1522</v>
      </c>
      <c r="V159" s="526">
        <f>IFERROR(((RESUMO!C70)*(VLOOKUP($B$157,$O$140:$S$146,3,0))),0)</f>
        <v>0</v>
      </c>
      <c r="W159" s="527">
        <f>IFERROR(((RESUMO!C70)*(VLOOKUP($B$157,$O$140:$S$146,4,0))),0)</f>
        <v>0</v>
      </c>
      <c r="X159" s="528">
        <f>IFERROR(IF($B$158&lt;3,0,(RESUMO!C70)*(VLOOKUP($B$158,$O$140:$S$146,5,0))),0)</f>
        <v>0</v>
      </c>
      <c r="Y159" s="529">
        <f t="shared" si="36"/>
        <v>0</v>
      </c>
      <c r="Z159" s="530">
        <f t="shared" si="37"/>
        <v>0</v>
      </c>
      <c r="AA159" s="531">
        <f t="shared" si="38"/>
        <v>0</v>
      </c>
      <c r="AB159" s="532">
        <f>RESUMO!E70</f>
        <v>0</v>
      </c>
      <c r="AC159" s="533">
        <f t="shared" si="39"/>
        <v>0</v>
      </c>
      <c r="AD159" s="534">
        <f t="shared" si="40"/>
        <v>0</v>
      </c>
      <c r="AE159" s="535">
        <f t="shared" si="41"/>
        <v>0</v>
      </c>
      <c r="AF159" s="536"/>
      <c r="AG159" s="537">
        <f>AC159</f>
        <v>0</v>
      </c>
      <c r="AH159" s="536"/>
      <c r="AI159" s="537">
        <f>AD159</f>
        <v>0</v>
      </c>
      <c r="AJ159" s="536"/>
      <c r="AK159" s="537">
        <f>AE159</f>
        <v>0</v>
      </c>
    </row>
    <row r="160" spans="1:37" outlineLevel="2">
      <c r="A160" s="5" t="s">
        <v>1530</v>
      </c>
      <c r="B160" s="549">
        <f t="shared" si="28"/>
        <v>1</v>
      </c>
      <c r="C160" s="192">
        <f t="shared" si="29"/>
        <v>9.9031759935656063E-2</v>
      </c>
      <c r="D160" s="192">
        <f t="shared" si="30"/>
        <v>0</v>
      </c>
      <c r="E160" s="192">
        <f t="shared" si="31"/>
        <v>0</v>
      </c>
      <c r="F160" s="4"/>
      <c r="G160" s="4"/>
      <c r="H160" s="4"/>
      <c r="I160" s="4"/>
      <c r="K160" s="31"/>
      <c r="L160" s="31"/>
      <c r="M160" s="31"/>
      <c r="N160" s="31"/>
      <c r="T160" s="599" t="s">
        <v>1917</v>
      </c>
      <c r="U160" s="509" t="s">
        <v>1917</v>
      </c>
      <c r="V160" s="526">
        <f>IFERROR(((RESUMO!C71)*(VLOOKUP($B$161,$O$140:$S$146,3,0))),0)</f>
        <v>0</v>
      </c>
      <c r="W160" s="527">
        <f>IFERROR(((RESUMO!C71)*(VLOOKUP($B$161,$O$140:$S$146,4,0))),0)</f>
        <v>0</v>
      </c>
      <c r="X160" s="528">
        <f>IFERROR(IF($B$161&lt;3,0,(RESUMO!C71)*(VLOOKUP($B$161,$O$140:$S$146,5,0))),0)</f>
        <v>0</v>
      </c>
      <c r="Y160" s="529">
        <f t="shared" si="36"/>
        <v>0</v>
      </c>
      <c r="Z160" s="530">
        <f t="shared" si="37"/>
        <v>0</v>
      </c>
      <c r="AA160" s="531">
        <f t="shared" si="38"/>
        <v>0</v>
      </c>
      <c r="AB160" s="532">
        <f>RESUMO!E71</f>
        <v>0</v>
      </c>
      <c r="AC160" s="533">
        <f t="shared" si="39"/>
        <v>0</v>
      </c>
      <c r="AD160" s="534">
        <f t="shared" si="40"/>
        <v>0</v>
      </c>
      <c r="AE160" s="535">
        <f t="shared" si="41"/>
        <v>0</v>
      </c>
      <c r="AF160" s="536"/>
      <c r="AG160" s="537">
        <f>AC160</f>
        <v>0</v>
      </c>
      <c r="AH160" s="536"/>
      <c r="AI160" s="537">
        <f>AD160</f>
        <v>0</v>
      </c>
      <c r="AJ160" s="536"/>
      <c r="AK160" s="537">
        <f>AE160</f>
        <v>0</v>
      </c>
    </row>
    <row r="161" spans="1:37" outlineLevel="2">
      <c r="A161" s="5" t="s">
        <v>976</v>
      </c>
      <c r="B161" s="549">
        <f t="shared" si="28"/>
        <v>1</v>
      </c>
      <c r="C161" s="192">
        <f t="shared" si="29"/>
        <v>2.4757939983914012E-3</v>
      </c>
      <c r="D161" s="192">
        <f t="shared" si="30"/>
        <v>0</v>
      </c>
      <c r="E161" s="192">
        <f t="shared" si="31"/>
        <v>0</v>
      </c>
      <c r="F161" s="4"/>
      <c r="G161" s="4"/>
      <c r="H161" s="4"/>
      <c r="I161" s="4"/>
      <c r="K161" s="31"/>
      <c r="L161" s="31"/>
      <c r="M161" s="31"/>
      <c r="N161" s="31"/>
      <c r="T161" s="599" t="s">
        <v>2386</v>
      </c>
      <c r="U161" s="509" t="s">
        <v>1523</v>
      </c>
      <c r="V161" s="526">
        <f>IFERROR(((RESUMO!C72)*(VLOOKUP(B159,$O$140:$S$146,3,0))),0)</f>
        <v>0</v>
      </c>
      <c r="W161" s="527">
        <f>IFERROR(((RESUMO!C72)*(VLOOKUP(B159,$O$140:$S$146,4,0))),0)</f>
        <v>0</v>
      </c>
      <c r="X161" s="528">
        <f>IFERROR(IF(B159&lt;3,0,(RESUMO!C72)*(VLOOKUP(B159,$O$140:$S$146,5,0))),0)</f>
        <v>0</v>
      </c>
      <c r="Y161" s="529">
        <f t="shared" si="36"/>
        <v>0</v>
      </c>
      <c r="Z161" s="530">
        <f t="shared" si="37"/>
        <v>0</v>
      </c>
      <c r="AA161" s="531">
        <f t="shared" si="38"/>
        <v>0</v>
      </c>
      <c r="AB161" s="532">
        <f>RESUMO!E72</f>
        <v>0</v>
      </c>
      <c r="AC161" s="533">
        <f t="shared" si="39"/>
        <v>0</v>
      </c>
      <c r="AD161" s="534">
        <f t="shared" si="40"/>
        <v>0</v>
      </c>
      <c r="AE161" s="535">
        <f t="shared" si="41"/>
        <v>0</v>
      </c>
      <c r="AF161" s="536"/>
      <c r="AG161" s="537">
        <f t="shared" ref="AG161:AG166" si="42">AC161</f>
        <v>0</v>
      </c>
      <c r="AH161" s="536"/>
      <c r="AI161" s="537">
        <f t="shared" ref="AI161:AI166" si="43">AD161</f>
        <v>0</v>
      </c>
      <c r="AJ161" s="536"/>
      <c r="AK161" s="537">
        <f t="shared" ref="AK161:AK166" si="44">AE161</f>
        <v>0</v>
      </c>
    </row>
    <row r="162" spans="1:37" outlineLevel="2">
      <c r="A162" s="5" t="s">
        <v>1873</v>
      </c>
      <c r="B162" s="549">
        <f t="shared" si="28"/>
        <v>1</v>
      </c>
      <c r="C162" s="192">
        <f t="shared" si="29"/>
        <v>0</v>
      </c>
      <c r="D162" s="192">
        <f t="shared" si="30"/>
        <v>0</v>
      </c>
      <c r="E162" s="192">
        <f t="shared" si="31"/>
        <v>0</v>
      </c>
      <c r="F162" s="4"/>
      <c r="G162" s="4"/>
      <c r="H162" s="4"/>
      <c r="I162" s="4"/>
      <c r="K162" s="31"/>
      <c r="L162" s="31"/>
      <c r="M162" s="31"/>
      <c r="N162" s="31"/>
      <c r="T162" s="599" t="s">
        <v>1523</v>
      </c>
      <c r="U162" s="509" t="s">
        <v>1523</v>
      </c>
      <c r="V162" s="526">
        <f>IFERROR(((RESUMO!C73)*(VLOOKUP(B159,$O$140:$S$146,3,0))),0)</f>
        <v>0</v>
      </c>
      <c r="W162" s="527">
        <f>IFERROR(((RESUMO!C73)*(VLOOKUP(B159,$O$140:$S$146,4,0))),0)</f>
        <v>0</v>
      </c>
      <c r="X162" s="528">
        <f>IFERROR(IF(B159&lt;3,0,(RESUMO!C73)*(VLOOKUP(B159,$O$140:$S$146,5,0))),0)</f>
        <v>0</v>
      </c>
      <c r="Y162" s="529">
        <f t="shared" si="36"/>
        <v>0</v>
      </c>
      <c r="Z162" s="530">
        <f t="shared" si="37"/>
        <v>0</v>
      </c>
      <c r="AA162" s="531">
        <f t="shared" si="38"/>
        <v>0</v>
      </c>
      <c r="AB162" s="532">
        <f>RESUMO!E73</f>
        <v>0</v>
      </c>
      <c r="AC162" s="533">
        <f t="shared" si="39"/>
        <v>0</v>
      </c>
      <c r="AD162" s="534">
        <f t="shared" si="40"/>
        <v>0</v>
      </c>
      <c r="AE162" s="535">
        <f t="shared" si="41"/>
        <v>0</v>
      </c>
      <c r="AF162" s="536"/>
      <c r="AG162" s="537">
        <f t="shared" si="42"/>
        <v>0</v>
      </c>
      <c r="AH162" s="536"/>
      <c r="AI162" s="537">
        <f t="shared" si="43"/>
        <v>0</v>
      </c>
      <c r="AJ162" s="536"/>
      <c r="AK162" s="537">
        <f t="shared" si="44"/>
        <v>0</v>
      </c>
    </row>
    <row r="163" spans="1:37" outlineLevel="2">
      <c r="A163" s="5" t="s">
        <v>1818</v>
      </c>
      <c r="B163" s="549">
        <f t="shared" si="28"/>
        <v>1</v>
      </c>
      <c r="C163" s="192">
        <f>IFERROR(SUMIF($U$138:$U$187,A163,$Y$138:$Y$187),0)</f>
        <v>0</v>
      </c>
      <c r="D163" s="192">
        <f>IFERROR(SUMIF($U$138:$U$187,A163,$Z$138:$Z$187),0)</f>
        <v>0</v>
      </c>
      <c r="E163" s="192">
        <f>IFERROR(SUMIF($U$138:$U$187,A163,$AA$138:$AA$187),0)</f>
        <v>0</v>
      </c>
      <c r="F163" s="4"/>
      <c r="G163" s="4"/>
      <c r="H163" s="4"/>
      <c r="I163" s="4"/>
      <c r="K163" s="31"/>
      <c r="L163" s="31"/>
      <c r="M163" s="31"/>
      <c r="N163" s="31"/>
      <c r="T163" s="599" t="s">
        <v>1514</v>
      </c>
      <c r="U163" s="510" t="s">
        <v>1533</v>
      </c>
      <c r="V163" s="433">
        <f>IFERROR(((RESUMO!C74)*(VLOOKUP(B170,$O$140:$S$146,3,0))),0)</f>
        <v>0</v>
      </c>
      <c r="W163" s="434">
        <f>IFERROR(((RESUMO!C74)*(VLOOKUP(B170,$O$140:$S$146,4,0))),0)</f>
        <v>0</v>
      </c>
      <c r="X163" s="435">
        <f>IFERROR(IF(B170&lt;3,0,(RESUMO!C74)*(VLOOKUP(B170,$O$140:$S$146,5,0))),0)</f>
        <v>0</v>
      </c>
      <c r="Y163" s="443">
        <f t="shared" si="36"/>
        <v>0</v>
      </c>
      <c r="Z163" s="428">
        <f t="shared" si="37"/>
        <v>0</v>
      </c>
      <c r="AA163" s="444">
        <f t="shared" si="38"/>
        <v>0</v>
      </c>
      <c r="AB163" s="448">
        <f>RESUMO!E74</f>
        <v>0</v>
      </c>
      <c r="AC163" s="453">
        <f t="shared" si="39"/>
        <v>0</v>
      </c>
      <c r="AD163" s="429">
        <f t="shared" si="40"/>
        <v>0</v>
      </c>
      <c r="AE163" s="454">
        <f t="shared" si="41"/>
        <v>0</v>
      </c>
      <c r="AF163" s="381"/>
      <c r="AG163" s="476">
        <f t="shared" si="42"/>
        <v>0</v>
      </c>
      <c r="AH163" s="381"/>
      <c r="AI163" s="476">
        <f t="shared" si="43"/>
        <v>0</v>
      </c>
      <c r="AJ163" s="381"/>
      <c r="AK163" s="476">
        <f t="shared" si="44"/>
        <v>0</v>
      </c>
    </row>
    <row r="164" spans="1:37" outlineLevel="2">
      <c r="A164" s="5" t="s">
        <v>1817</v>
      </c>
      <c r="B164" s="549">
        <f t="shared" si="28"/>
        <v>1</v>
      </c>
      <c r="C164" s="192">
        <f>IFERROR(SUMIF($U$138:$U$187,A164,$Y$138:$Y$187),0)</f>
        <v>0</v>
      </c>
      <c r="D164" s="192">
        <f>IFERROR(SUMIF($U$138:$U$187,A164,$Z$138:$Z$187),0)</f>
        <v>0</v>
      </c>
      <c r="E164" s="192">
        <f>IFERROR(SUMIF($U$138:$U$187,A164,$AA$138:$AA$187),0)</f>
        <v>0</v>
      </c>
      <c r="F164" s="4"/>
      <c r="G164" s="4"/>
      <c r="H164" s="4"/>
      <c r="I164" s="4"/>
      <c r="K164" s="31"/>
      <c r="L164" s="31"/>
      <c r="M164" s="31"/>
      <c r="N164" s="31"/>
      <c r="T164" s="599" t="s">
        <v>1513</v>
      </c>
      <c r="U164" s="510" t="s">
        <v>1533</v>
      </c>
      <c r="V164" s="433">
        <f>IFERROR(((RESUMO!C75)*(VLOOKUP(B170,$O$140:$S$146,3,0))),0)</f>
        <v>0</v>
      </c>
      <c r="W164" s="434">
        <f>IFERROR(((RESUMO!C75)*(VLOOKUP(B170,$O$140:$S$146,4,0))),0)</f>
        <v>0</v>
      </c>
      <c r="X164" s="435">
        <f>IFERROR(IF(B170&lt;3,0,(RESUMO!C75)*(VLOOKUP(B170,$O$140:$S$146,5,0))),0)</f>
        <v>0</v>
      </c>
      <c r="Y164" s="443">
        <f t="shared" si="36"/>
        <v>0</v>
      </c>
      <c r="Z164" s="428">
        <f t="shared" si="37"/>
        <v>0</v>
      </c>
      <c r="AA164" s="444">
        <f t="shared" si="38"/>
        <v>0</v>
      </c>
      <c r="AB164" s="448">
        <f>RESUMO!E75</f>
        <v>0</v>
      </c>
      <c r="AC164" s="453">
        <f t="shared" si="39"/>
        <v>0</v>
      </c>
      <c r="AD164" s="429">
        <f t="shared" si="40"/>
        <v>0</v>
      </c>
      <c r="AE164" s="454">
        <f t="shared" si="41"/>
        <v>0</v>
      </c>
      <c r="AF164" s="381"/>
      <c r="AG164" s="476">
        <f t="shared" si="42"/>
        <v>0</v>
      </c>
      <c r="AH164" s="381"/>
      <c r="AI164" s="476">
        <f t="shared" si="43"/>
        <v>0</v>
      </c>
      <c r="AJ164" s="381"/>
      <c r="AK164" s="476">
        <f t="shared" si="44"/>
        <v>0</v>
      </c>
    </row>
    <row r="165" spans="1:37" outlineLevel="2">
      <c r="A165" s="5" t="s">
        <v>2458</v>
      </c>
      <c r="B165" s="549">
        <f t="shared" si="28"/>
        <v>1</v>
      </c>
      <c r="C165" s="192">
        <f>IFERROR(SUMIF($U$138:$U$185,A165,$Y$138:$Y$185),0)</f>
        <v>0</v>
      </c>
      <c r="D165" s="192">
        <f>IFERROR(SUMIF($U$138:$U$185,A165,$Z$138:$Z$185),0)</f>
        <v>0</v>
      </c>
      <c r="E165" s="192">
        <f>IFERROR(SUMIF($U$138:$U$185,A165,$AA$138:$AA$185),0)</f>
        <v>0</v>
      </c>
      <c r="F165" s="4"/>
      <c r="G165" s="4"/>
      <c r="H165" s="4"/>
      <c r="I165" s="4"/>
      <c r="K165" s="31"/>
      <c r="L165" s="31"/>
      <c r="M165" s="31"/>
      <c r="N165" s="31"/>
      <c r="T165" s="599" t="s">
        <v>1512</v>
      </c>
      <c r="U165" s="511" t="s">
        <v>1815</v>
      </c>
      <c r="V165" s="433">
        <f>IFERROR(((RESUMO!C76)*(VLOOKUP(B171,$O$140:$S$146,3,0))),0)</f>
        <v>0</v>
      </c>
      <c r="W165" s="434">
        <f>IFERROR(((RESUMO!C76)*(VLOOKUP(B171,$O$140:$S$146,4,0))),0)</f>
        <v>0</v>
      </c>
      <c r="X165" s="435">
        <f>IFERROR(IF(B171&lt;3,0,(RESUMO!C76)*(VLOOKUP(B171,$O$140:$S$146,5,0))),0)</f>
        <v>0</v>
      </c>
      <c r="Y165" s="443">
        <f t="shared" si="36"/>
        <v>0</v>
      </c>
      <c r="Z165" s="428">
        <f t="shared" si="37"/>
        <v>0</v>
      </c>
      <c r="AA165" s="444">
        <f t="shared" si="38"/>
        <v>0</v>
      </c>
      <c r="AB165" s="448">
        <f>RESUMO!E76</f>
        <v>0</v>
      </c>
      <c r="AC165" s="453">
        <f t="shared" si="39"/>
        <v>0</v>
      </c>
      <c r="AD165" s="429">
        <f t="shared" si="40"/>
        <v>0</v>
      </c>
      <c r="AE165" s="454">
        <f t="shared" si="41"/>
        <v>0</v>
      </c>
      <c r="AF165" s="381"/>
      <c r="AG165" s="476">
        <f t="shared" si="42"/>
        <v>0</v>
      </c>
      <c r="AH165" s="381"/>
      <c r="AI165" s="476">
        <f t="shared" si="43"/>
        <v>0</v>
      </c>
      <c r="AJ165" s="381"/>
      <c r="AK165" s="476">
        <f t="shared" si="44"/>
        <v>0</v>
      </c>
    </row>
    <row r="166" spans="1:37" outlineLevel="2">
      <c r="A166" s="5" t="s">
        <v>936</v>
      </c>
      <c r="B166" s="549">
        <f t="shared" si="28"/>
        <v>1</v>
      </c>
      <c r="C166" s="192">
        <f>IFERROR(SUMIF($U$138:$U$185,A166,$Y$138:$Y$185),0)</f>
        <v>0</v>
      </c>
      <c r="D166" s="192">
        <f>IFERROR(SUMIF($U$138:$U$185,A166,$Z$138:$Z$185),0)</f>
        <v>0</v>
      </c>
      <c r="E166" s="192">
        <f>IFERROR(SUMIF($U$138:$U$185,A166,$AA$138:$AA$185),0)</f>
        <v>0</v>
      </c>
      <c r="F166" s="4"/>
      <c r="G166" s="4"/>
      <c r="H166" s="4"/>
      <c r="I166" s="4"/>
      <c r="J166" s="31"/>
      <c r="K166" s="31"/>
      <c r="L166" s="31"/>
      <c r="M166" s="31"/>
      <c r="N166" s="31"/>
      <c r="T166" s="599" t="s">
        <v>1516</v>
      </c>
      <c r="U166" s="512" t="s">
        <v>1816</v>
      </c>
      <c r="V166" s="433">
        <f>IFERROR(((RESUMO!C77)*(VLOOKUP(B172,$O$140:$S$146,3,0))),0)</f>
        <v>0</v>
      </c>
      <c r="W166" s="434">
        <f>IFERROR(((RESUMO!C77)*(VLOOKUP(B172,$O$140:$S$146,4,0))),0)</f>
        <v>0</v>
      </c>
      <c r="X166" s="435">
        <f>IFERROR(IF(B172&lt;3,0,(RESUMO!C77)*(VLOOKUP(B172,$O$140:$S$146,5,0))),0)</f>
        <v>0</v>
      </c>
      <c r="Y166" s="443">
        <f t="shared" si="36"/>
        <v>0</v>
      </c>
      <c r="Z166" s="428">
        <f t="shared" si="37"/>
        <v>0</v>
      </c>
      <c r="AA166" s="444">
        <f t="shared" si="38"/>
        <v>0</v>
      </c>
      <c r="AB166" s="448">
        <f>RESUMO!E77</f>
        <v>0</v>
      </c>
      <c r="AC166" s="453">
        <f t="shared" si="39"/>
        <v>0</v>
      </c>
      <c r="AD166" s="429">
        <f t="shared" si="40"/>
        <v>0</v>
      </c>
      <c r="AE166" s="454">
        <f t="shared" si="41"/>
        <v>0</v>
      </c>
      <c r="AF166" s="381"/>
      <c r="AG166" s="476">
        <f t="shared" si="42"/>
        <v>0</v>
      </c>
      <c r="AH166" s="381"/>
      <c r="AI166" s="476">
        <f t="shared" si="43"/>
        <v>0</v>
      </c>
      <c r="AJ166" s="381"/>
      <c r="AK166" s="476">
        <f t="shared" si="44"/>
        <v>0</v>
      </c>
    </row>
    <row r="167" spans="1:37" outlineLevel="2">
      <c r="A167" s="5" t="s">
        <v>1531</v>
      </c>
      <c r="B167" s="549">
        <f t="shared" si="28"/>
        <v>1</v>
      </c>
      <c r="C167" s="192">
        <f>IFERROR(SUMIF($U$138:$U$185,A167,$Y$138:$Y$185),0)</f>
        <v>0</v>
      </c>
      <c r="D167" s="192">
        <f>IFERROR(SUMIF($U$138:$U$185,A167,$Z$138:$Z$185),0)</f>
        <v>0</v>
      </c>
      <c r="E167" s="192">
        <f>IFERROR(SUMIF($U$138:$U$185,A167,$AA$138:$AA$185),0)</f>
        <v>0</v>
      </c>
      <c r="F167" s="4"/>
      <c r="G167" s="4"/>
      <c r="H167" s="4"/>
      <c r="I167" s="4"/>
      <c r="K167" s="31"/>
      <c r="L167" s="31"/>
      <c r="M167" s="31"/>
      <c r="N167" s="31"/>
      <c r="T167" s="599" t="s">
        <v>1515</v>
      </c>
      <c r="U167" s="512" t="s">
        <v>1816</v>
      </c>
      <c r="V167" s="433">
        <f>IFERROR(((RESUMO!C78)*(VLOOKUP(B172,$O$140:$S$146,3,0))),0)</f>
        <v>0</v>
      </c>
      <c r="W167" s="434">
        <f>IFERROR(((RESUMO!C78)*(VLOOKUP(B172,$O$140:$S$146,4,0))),0)</f>
        <v>0</v>
      </c>
      <c r="X167" s="435">
        <f>IFERROR(IF(B172&lt;3,0,(RESUMO!C78)*(VLOOKUP(B172,$O$140:$S$146,5,0))),0)</f>
        <v>0</v>
      </c>
      <c r="Y167" s="443">
        <f t="shared" si="36"/>
        <v>0</v>
      </c>
      <c r="Z167" s="428">
        <f t="shared" si="37"/>
        <v>0</v>
      </c>
      <c r="AA167" s="444">
        <f t="shared" si="38"/>
        <v>0</v>
      </c>
      <c r="AB167" s="448">
        <f>RESUMO!E78</f>
        <v>0</v>
      </c>
      <c r="AC167" s="453">
        <f t="shared" si="39"/>
        <v>0</v>
      </c>
      <c r="AD167" s="429">
        <f t="shared" si="40"/>
        <v>0</v>
      </c>
      <c r="AE167" s="454">
        <f t="shared" si="41"/>
        <v>0</v>
      </c>
      <c r="AF167" s="381"/>
      <c r="AG167" s="476">
        <f>AC167</f>
        <v>0</v>
      </c>
      <c r="AH167" s="381"/>
      <c r="AI167" s="476">
        <f>AD167</f>
        <v>0</v>
      </c>
      <c r="AJ167" s="381"/>
      <c r="AK167" s="476">
        <f>AE167</f>
        <v>0</v>
      </c>
    </row>
    <row r="168" spans="1:37" outlineLevel="2">
      <c r="A168" s="243" t="s">
        <v>1534</v>
      </c>
      <c r="C168" s="31"/>
      <c r="D168" s="31"/>
      <c r="F168" s="4"/>
      <c r="G168" s="4"/>
      <c r="H168" s="4"/>
      <c r="I168" s="4"/>
      <c r="K168" s="31"/>
      <c r="L168" s="31"/>
      <c r="M168" s="31"/>
      <c r="N168" s="31"/>
      <c r="T168" s="599" t="s">
        <v>937</v>
      </c>
      <c r="U168" s="504" t="s">
        <v>1530</v>
      </c>
      <c r="V168" s="433">
        <f>IFERROR(((RESUMO!C79)*(VLOOKUP(B160,$O$140:$S$146,3,0))),0)</f>
        <v>9.903175993565605E-2</v>
      </c>
      <c r="W168" s="434">
        <f>IFERROR(((RESUMO!C79)*(VLOOKUP(B160,$O$140:$S$146,4,0))),0)</f>
        <v>0</v>
      </c>
      <c r="X168" s="435">
        <f>IFERROR(IF(B160&lt;3,0,(RESUMO!C79)*(VLOOKUP(B160,$O$140:$S$146,5,0))),0)</f>
        <v>0</v>
      </c>
      <c r="Y168" s="443">
        <f t="shared" si="36"/>
        <v>9.9031759935656063E-2</v>
      </c>
      <c r="Z168" s="428">
        <f t="shared" si="37"/>
        <v>0</v>
      </c>
      <c r="AA168" s="444">
        <f t="shared" si="38"/>
        <v>0</v>
      </c>
      <c r="AB168" s="448">
        <f>RESUMO!E79</f>
        <v>2643.0545454545454</v>
      </c>
      <c r="AC168" s="453">
        <f t="shared" si="39"/>
        <v>276.03702824590556</v>
      </c>
      <c r="AD168" s="429">
        <f t="shared" si="40"/>
        <v>0</v>
      </c>
      <c r="AE168" s="454">
        <f t="shared" si="41"/>
        <v>0</v>
      </c>
      <c r="AF168" s="381">
        <f>IF(AC168-($B$143*$E$143)&lt;=0,AC168,($B$143*$E$143))</f>
        <v>0</v>
      </c>
      <c r="AG168" s="454">
        <f>AC168-AF168</f>
        <v>276.03702824590556</v>
      </c>
      <c r="AH168" s="381">
        <f>IF(AD168-($C$143*$E$143)&lt;=0,AD168,($C$143*$E$143))</f>
        <v>0</v>
      </c>
      <c r="AI168" s="454">
        <f>AD168-AH168</f>
        <v>0</v>
      </c>
      <c r="AJ168" s="381">
        <f>IF(AE168-($D$143*$E$143)&lt;=0,AE168,($D$143*$E$143))</f>
        <v>0</v>
      </c>
      <c r="AK168" s="454">
        <f>AE168-AJ168</f>
        <v>0</v>
      </c>
    </row>
    <row r="169" spans="1:37" outlineLevel="2">
      <c r="A169" s="243"/>
      <c r="C169" s="31"/>
      <c r="D169" s="31"/>
      <c r="F169" s="4"/>
      <c r="G169" s="4"/>
      <c r="H169" s="4"/>
      <c r="I169" s="4"/>
      <c r="K169" s="31"/>
      <c r="L169" s="31"/>
      <c r="M169" s="31"/>
      <c r="N169" s="31"/>
      <c r="T169" s="599" t="s">
        <v>976</v>
      </c>
      <c r="U169" s="505" t="s">
        <v>976</v>
      </c>
      <c r="V169" s="433">
        <f>IFERROR(((RESUMO!C80)*(VLOOKUP(B161,$O$140:$S$146,3,0))),0)</f>
        <v>2.4757939983914008E-3</v>
      </c>
      <c r="W169" s="434">
        <f>IFERROR(((RESUMO!C80)*(VLOOKUP(B161,$O$140:$S$146,4,0))),0)</f>
        <v>0</v>
      </c>
      <c r="X169" s="435">
        <f>IFERROR(IF(B161&lt;3,0,(RESUMO!C80)*(VLOOKUP(B161,$O$140:$S$146,5,0))),0)</f>
        <v>0</v>
      </c>
      <c r="Y169" s="443">
        <f t="shared" si="36"/>
        <v>2.4757939983914012E-3</v>
      </c>
      <c r="Z169" s="428">
        <f t="shared" si="37"/>
        <v>0</v>
      </c>
      <c r="AA169" s="444">
        <f t="shared" si="38"/>
        <v>0</v>
      </c>
      <c r="AB169" s="448">
        <f>RESUMO!E80</f>
        <v>66.076363636363638</v>
      </c>
      <c r="AC169" s="453">
        <f t="shared" si="39"/>
        <v>6.900925706147639</v>
      </c>
      <c r="AD169" s="429">
        <f t="shared" si="40"/>
        <v>0</v>
      </c>
      <c r="AE169" s="454">
        <f t="shared" si="41"/>
        <v>0</v>
      </c>
      <c r="AF169" s="381"/>
      <c r="AG169" s="476">
        <f t="shared" ref="AG169:AG177" si="45">AC169</f>
        <v>6.900925706147639</v>
      </c>
      <c r="AH169" s="381"/>
      <c r="AI169" s="476">
        <f t="shared" ref="AI169:AI177" si="46">AD169</f>
        <v>0</v>
      </c>
      <c r="AJ169" s="381"/>
      <c r="AK169" s="476">
        <f t="shared" ref="AK169:AK177" si="47">AE169</f>
        <v>0</v>
      </c>
    </row>
    <row r="170" spans="1:37" outlineLevel="2">
      <c r="A170" s="5" t="s">
        <v>1533</v>
      </c>
      <c r="B170" s="549" t="s">
        <v>1542</v>
      </c>
      <c r="C170" s="192">
        <f>IFERROR(SUMIF($U$138:$U$185,A170,$Y$138:$Y$185),0)</f>
        <v>0</v>
      </c>
      <c r="D170" s="192">
        <f>IFERROR(SUMIF($U$138:$U$185,A170,$Z$138:$Z$185),0)</f>
        <v>0</v>
      </c>
      <c r="E170" s="192">
        <f>IFERROR(SUMIF($U$138:$U$185,A170,$AA$138:$AA$185),0)</f>
        <v>0</v>
      </c>
      <c r="F170" s="4"/>
      <c r="G170" s="4"/>
      <c r="H170" s="4"/>
      <c r="I170" s="4"/>
      <c r="K170" s="31"/>
      <c r="L170" s="31"/>
      <c r="M170" s="31"/>
      <c r="N170" s="31"/>
      <c r="T170" s="599" t="s">
        <v>1873</v>
      </c>
      <c r="U170" s="505" t="s">
        <v>1873</v>
      </c>
      <c r="V170" s="433">
        <f>IFERROR(((RESUMO!C81)*(VLOOKUP(B162,$O$140:$S$146,3,0))),0)</f>
        <v>0</v>
      </c>
      <c r="W170" s="434">
        <f>IFERROR(((RESUMO!C81)*(VLOOKUP(B162,$O$140:$S$146,4,0))),0)</f>
        <v>0</v>
      </c>
      <c r="X170" s="435">
        <f>IFERROR(IF(B162&lt;3,0,(RESUMO!C81)*(VLOOKUP(B162,$O$140:$S$146,5,0))),0)</f>
        <v>0</v>
      </c>
      <c r="Y170" s="443">
        <f t="shared" si="36"/>
        <v>0</v>
      </c>
      <c r="Z170" s="428">
        <f t="shared" si="37"/>
        <v>0</v>
      </c>
      <c r="AA170" s="444">
        <f t="shared" si="38"/>
        <v>0</v>
      </c>
      <c r="AB170" s="448">
        <f>RESUMO!E81</f>
        <v>0</v>
      </c>
      <c r="AC170" s="453">
        <f t="shared" si="39"/>
        <v>0</v>
      </c>
      <c r="AD170" s="429">
        <f t="shared" si="40"/>
        <v>0</v>
      </c>
      <c r="AE170" s="454">
        <f t="shared" si="41"/>
        <v>0</v>
      </c>
      <c r="AF170" s="381"/>
      <c r="AG170" s="476">
        <f t="shared" si="45"/>
        <v>0</v>
      </c>
      <c r="AH170" s="381"/>
      <c r="AI170" s="476">
        <f t="shared" si="46"/>
        <v>0</v>
      </c>
      <c r="AJ170" s="381"/>
      <c r="AK170" s="476">
        <f t="shared" si="47"/>
        <v>0</v>
      </c>
    </row>
    <row r="171" spans="1:37" outlineLevel="2">
      <c r="A171" s="5" t="s">
        <v>1815</v>
      </c>
      <c r="B171" s="549" t="s">
        <v>1542</v>
      </c>
      <c r="C171" s="192">
        <f>IFERROR(SUMIF($U$138:$U$185,A171,$Y$138:$Y$185),0)</f>
        <v>0</v>
      </c>
      <c r="D171" s="192">
        <f>IFERROR(SUMIF($U$138:$U$185,A171,$Z$138:$Z$185),0)</f>
        <v>0</v>
      </c>
      <c r="E171" s="192">
        <f>IFERROR(SUMIF($U$138:$U$185,A171,$AA$138:$AA$185),0)</f>
        <v>0</v>
      </c>
      <c r="F171" s="4"/>
      <c r="K171" s="31"/>
      <c r="L171" s="31"/>
      <c r="M171" s="31"/>
      <c r="N171" s="31"/>
      <c r="T171" s="599" t="s">
        <v>2554</v>
      </c>
      <c r="U171" s="504" t="s">
        <v>1530</v>
      </c>
      <c r="V171" s="433">
        <f>IFERROR(((RESUMO!C82)*(VLOOKUP(B160,$O$140:$S$146,3,0))),0)</f>
        <v>0</v>
      </c>
      <c r="W171" s="434">
        <f>IFERROR(((RESUMO!C82)*(VLOOKUP(B160,$O$140:$S$146,4,0))),0)</f>
        <v>0</v>
      </c>
      <c r="X171" s="435">
        <f>IFERROR(IF(B163&lt;3,0,(RESUMO!C82)*(VLOOKUP(B160,$O$140:$S$146,5,0))),0)</f>
        <v>0</v>
      </c>
      <c r="Y171" s="443">
        <f t="shared" si="36"/>
        <v>0</v>
      </c>
      <c r="Z171" s="428">
        <f t="shared" si="37"/>
        <v>0</v>
      </c>
      <c r="AA171" s="444">
        <f t="shared" si="38"/>
        <v>0</v>
      </c>
      <c r="AB171" s="448">
        <f>RESUMO!E82</f>
        <v>0</v>
      </c>
      <c r="AC171" s="453">
        <f t="shared" si="39"/>
        <v>0</v>
      </c>
      <c r="AD171" s="429">
        <f t="shared" si="40"/>
        <v>0</v>
      </c>
      <c r="AE171" s="454">
        <f t="shared" si="41"/>
        <v>0</v>
      </c>
      <c r="AF171" s="381">
        <f>IF(AC171-($B$143*$E$143)&lt;=0,AC171,($B$143*$E$143))</f>
        <v>0</v>
      </c>
      <c r="AG171" s="454">
        <f>AC171-AF171</f>
        <v>0</v>
      </c>
      <c r="AH171" s="381">
        <f>IF(AD171-($C$143*$E$143)&lt;=0,AD171,($C$143*$E$143))</f>
        <v>0</v>
      </c>
      <c r="AI171" s="454">
        <f>AD171-AH171</f>
        <v>0</v>
      </c>
      <c r="AJ171" s="381">
        <f>IF(AE171-($D$143*$E$143)&lt;=0,AE171,($D$143*$E$143))</f>
        <v>0</v>
      </c>
      <c r="AK171" s="454">
        <f>AE171-AJ171</f>
        <v>0</v>
      </c>
    </row>
    <row r="172" spans="1:37" outlineLevel="2">
      <c r="A172" s="5" t="s">
        <v>1816</v>
      </c>
      <c r="B172" s="549" t="s">
        <v>1542</v>
      </c>
      <c r="C172" s="192">
        <f>IFERROR(SUMIF($U$138:$U$185,A172,$Y$138:$Y$185),0)</f>
        <v>0</v>
      </c>
      <c r="D172" s="192">
        <f>IFERROR(SUMIF($U$138:$U$185,A172,$Z$138:$Z$185),0)</f>
        <v>0</v>
      </c>
      <c r="E172" s="192">
        <f>IFERROR(SUMIF($U$138:$U$185,A172,$AA$138:$AA$185),0)</f>
        <v>0</v>
      </c>
      <c r="F172" s="4"/>
      <c r="K172" s="31"/>
      <c r="L172" s="31"/>
      <c r="M172" s="31"/>
      <c r="N172" s="31"/>
      <c r="T172" s="599" t="s">
        <v>1803</v>
      </c>
      <c r="U172" s="505" t="s">
        <v>976</v>
      </c>
      <c r="V172" s="433">
        <f>IFERROR(((RESUMO!C83)*(VLOOKUP($B$161,$O$140:$S$146,3,0))),0)</f>
        <v>0</v>
      </c>
      <c r="W172" s="434">
        <f>IFERROR(((RESUMO!C83)*(VLOOKUP($B$161,$O$140:$S$146,4,0))),0)</f>
        <v>0</v>
      </c>
      <c r="X172" s="435">
        <f>IFERROR(IF(B161&lt;3,0,(RESUMO!C83)*(VLOOKUP($B$161,$O$140:$S$146,5,0))),0)</f>
        <v>0</v>
      </c>
      <c r="Y172" s="443">
        <f t="shared" si="36"/>
        <v>0</v>
      </c>
      <c r="Z172" s="428">
        <f t="shared" si="37"/>
        <v>0</v>
      </c>
      <c r="AA172" s="444">
        <f t="shared" si="38"/>
        <v>0</v>
      </c>
      <c r="AB172" s="448">
        <f>RESUMO!E83</f>
        <v>0</v>
      </c>
      <c r="AC172" s="453">
        <f t="shared" si="39"/>
        <v>0</v>
      </c>
      <c r="AD172" s="429">
        <f t="shared" si="40"/>
        <v>0</v>
      </c>
      <c r="AE172" s="454">
        <f t="shared" si="41"/>
        <v>0</v>
      </c>
      <c r="AF172" s="381"/>
      <c r="AG172" s="476">
        <f t="shared" si="45"/>
        <v>0</v>
      </c>
      <c r="AH172" s="381"/>
      <c r="AI172" s="476">
        <f t="shared" si="46"/>
        <v>0</v>
      </c>
      <c r="AJ172" s="381"/>
      <c r="AK172" s="476">
        <f t="shared" si="47"/>
        <v>0</v>
      </c>
    </row>
    <row r="173" spans="1:37" outlineLevel="2">
      <c r="C173" s="371">
        <f>SUM(C149:C172)-C159</f>
        <v>1</v>
      </c>
      <c r="D173" s="371">
        <f>SUM(D149:D172)-D159</f>
        <v>0</v>
      </c>
      <c r="E173" s="371">
        <f>SUM(E149:E172)</f>
        <v>0</v>
      </c>
      <c r="K173" s="31"/>
      <c r="L173" s="31"/>
      <c r="M173" s="31"/>
      <c r="N173" s="31"/>
      <c r="T173" s="599" t="s">
        <v>1804</v>
      </c>
      <c r="U173" s="506" t="s">
        <v>1818</v>
      </c>
      <c r="V173" s="433">
        <f>IFERROR(((RESUMO!C84)*(VLOOKUP($B$161,$O$140:$S$146,3,0))),0)</f>
        <v>0</v>
      </c>
      <c r="W173" s="434">
        <f>IFERROR(((RESUMO!C84)*(VLOOKUP($B$161,$O$140:$S$146,4,0))),0)</f>
        <v>0</v>
      </c>
      <c r="X173" s="435">
        <f>IFERROR(IF(B161&lt;3,0,(RESUMO!C84)*(VLOOKUP($B$161,$O$140:$S$146,5,0))),0)</f>
        <v>0</v>
      </c>
      <c r="Y173" s="443">
        <f t="shared" si="36"/>
        <v>0</v>
      </c>
      <c r="Z173" s="428">
        <f t="shared" si="37"/>
        <v>0</v>
      </c>
      <c r="AA173" s="444">
        <f t="shared" si="38"/>
        <v>0</v>
      </c>
      <c r="AB173" s="448">
        <f>RESUMO!E84</f>
        <v>0</v>
      </c>
      <c r="AC173" s="453">
        <f t="shared" si="39"/>
        <v>0</v>
      </c>
      <c r="AD173" s="429">
        <f t="shared" si="40"/>
        <v>0</v>
      </c>
      <c r="AE173" s="454">
        <f t="shared" si="41"/>
        <v>0</v>
      </c>
      <c r="AF173" s="381"/>
      <c r="AG173" s="476">
        <f t="shared" si="45"/>
        <v>0</v>
      </c>
      <c r="AH173" s="381"/>
      <c r="AI173" s="476">
        <f t="shared" si="46"/>
        <v>0</v>
      </c>
      <c r="AJ173" s="381"/>
      <c r="AK173" s="476">
        <f t="shared" si="47"/>
        <v>0</v>
      </c>
    </row>
    <row r="174" spans="1:37" outlineLevel="2">
      <c r="C174" s="371"/>
      <c r="D174" s="371"/>
      <c r="E174" s="371"/>
      <c r="K174" s="31"/>
      <c r="L174" s="31"/>
      <c r="M174" s="31"/>
      <c r="N174" s="31"/>
      <c r="T174" s="599" t="s">
        <v>1807</v>
      </c>
      <c r="U174" s="506" t="s">
        <v>1817</v>
      </c>
      <c r="V174" s="433">
        <f>IFERROR(((RESUMO!C85)*(VLOOKUP(B161,$O$140:$S$146,3,0))),0)</f>
        <v>0</v>
      </c>
      <c r="W174" s="434">
        <f>IFERROR(((RESUMO!C85)*(VLOOKUP(B161,$O$140:$S$146,4,0))),0)</f>
        <v>0</v>
      </c>
      <c r="X174" s="435">
        <f>IFERROR(IF(B161&lt;3,0,(RESUMO!C85)*(VLOOKUP(B161,$O$140:$S$146,5,0))),0)</f>
        <v>0</v>
      </c>
      <c r="Y174" s="443">
        <f t="shared" si="36"/>
        <v>0</v>
      </c>
      <c r="Z174" s="428">
        <f t="shared" si="37"/>
        <v>0</v>
      </c>
      <c r="AA174" s="444">
        <f t="shared" si="38"/>
        <v>0</v>
      </c>
      <c r="AB174" s="448">
        <f>RESUMO!E85</f>
        <v>0</v>
      </c>
      <c r="AC174" s="453">
        <f t="shared" si="39"/>
        <v>0</v>
      </c>
      <c r="AD174" s="429">
        <f t="shared" si="40"/>
        <v>0</v>
      </c>
      <c r="AE174" s="454">
        <f t="shared" si="41"/>
        <v>0</v>
      </c>
      <c r="AF174" s="381"/>
      <c r="AG174" s="476">
        <f t="shared" si="45"/>
        <v>0</v>
      </c>
      <c r="AH174" s="381"/>
      <c r="AI174" s="476">
        <f t="shared" si="46"/>
        <v>0</v>
      </c>
      <c r="AJ174" s="381"/>
      <c r="AK174" s="476">
        <f t="shared" si="47"/>
        <v>0</v>
      </c>
    </row>
    <row r="175" spans="1:37" outlineLevel="2">
      <c r="C175" s="371"/>
      <c r="D175" s="371"/>
      <c r="E175" s="371"/>
      <c r="K175" s="31"/>
      <c r="L175" s="31"/>
      <c r="M175" s="31"/>
      <c r="N175" s="31"/>
      <c r="T175" s="599" t="s">
        <v>1806</v>
      </c>
      <c r="U175" s="506" t="s">
        <v>1818</v>
      </c>
      <c r="V175" s="433">
        <f>IFERROR(((RESUMO!C86)*(VLOOKUP($B$163,$O$140:$S$146,3,0))),0)</f>
        <v>0</v>
      </c>
      <c r="W175" s="434">
        <f>IFERROR(((RESUMO!C86)*(VLOOKUP($B$163,$O$140:$S$146,4,0))),0)</f>
        <v>0</v>
      </c>
      <c r="X175" s="435">
        <f>IFERROR(IF($B$163&lt;3,0,(RESUMO!C86)*(VLOOKUP($B$163,$O$140:$S$146,5,0))),0)</f>
        <v>0</v>
      </c>
      <c r="Y175" s="443">
        <f t="shared" si="36"/>
        <v>0</v>
      </c>
      <c r="Z175" s="428">
        <f t="shared" si="37"/>
        <v>0</v>
      </c>
      <c r="AA175" s="444">
        <f t="shared" si="38"/>
        <v>0</v>
      </c>
      <c r="AB175" s="448">
        <f>RESUMO!E86</f>
        <v>0</v>
      </c>
      <c r="AC175" s="453">
        <f t="shared" si="39"/>
        <v>0</v>
      </c>
      <c r="AD175" s="429">
        <f t="shared" si="40"/>
        <v>0</v>
      </c>
      <c r="AE175" s="454">
        <f t="shared" si="41"/>
        <v>0</v>
      </c>
      <c r="AF175" s="381"/>
      <c r="AG175" s="476">
        <f t="shared" si="45"/>
        <v>0</v>
      </c>
      <c r="AH175" s="381"/>
      <c r="AI175" s="476">
        <f t="shared" si="46"/>
        <v>0</v>
      </c>
      <c r="AJ175" s="381"/>
      <c r="AK175" s="476">
        <f t="shared" si="47"/>
        <v>0</v>
      </c>
    </row>
    <row r="176" spans="1:37" outlineLevel="1">
      <c r="A176" s="11" t="s">
        <v>240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29"/>
      <c r="N176" s="31"/>
      <c r="O176" s="11" t="s">
        <v>240</v>
      </c>
      <c r="P176" s="10"/>
      <c r="Q176" s="9"/>
      <c r="R176" s="9"/>
      <c r="S176" s="9"/>
      <c r="T176" s="598" t="s">
        <v>1808</v>
      </c>
      <c r="U176" s="506" t="s">
        <v>1817</v>
      </c>
      <c r="V176" s="433">
        <f>IFERROR(((RESUMO!C87)*(VLOOKUP($B$164,$O$140:$S$146,3,0))),0)</f>
        <v>0</v>
      </c>
      <c r="W176" s="434">
        <f>IFERROR(((RESUMO!C87)*(VLOOKUP($B$164,$O$140:$S$146,4,0))),0)</f>
        <v>0</v>
      </c>
      <c r="X176" s="435">
        <f>IFERROR(IF($B$164&lt;3,0,(RESUMO!C87)*(VLOOKUP($B$164,$O$140:$S$146,5,0))),0)</f>
        <v>0</v>
      </c>
      <c r="Y176" s="443">
        <f t="shared" si="36"/>
        <v>0</v>
      </c>
      <c r="Z176" s="428">
        <f t="shared" si="37"/>
        <v>0</v>
      </c>
      <c r="AA176" s="444">
        <f t="shared" si="38"/>
        <v>0</v>
      </c>
      <c r="AB176" s="448">
        <f>RESUMO!E87</f>
        <v>0</v>
      </c>
      <c r="AC176" s="453">
        <f t="shared" si="39"/>
        <v>0</v>
      </c>
      <c r="AD176" s="429">
        <f t="shared" si="40"/>
        <v>0</v>
      </c>
      <c r="AE176" s="454">
        <f t="shared" si="41"/>
        <v>0</v>
      </c>
      <c r="AF176" s="381"/>
      <c r="AG176" s="476">
        <f t="shared" si="45"/>
        <v>0</v>
      </c>
      <c r="AH176" s="381"/>
      <c r="AI176" s="476">
        <f t="shared" si="46"/>
        <v>0</v>
      </c>
      <c r="AJ176" s="381"/>
      <c r="AK176" s="476">
        <f t="shared" si="47"/>
        <v>0</v>
      </c>
    </row>
    <row r="177" spans="1:37" outlineLevel="2">
      <c r="A177" s="384"/>
      <c r="B177" s="112"/>
      <c r="C177" s="4"/>
      <c r="D177" s="4"/>
      <c r="E177" s="4"/>
      <c r="F177" s="112"/>
      <c r="G177" s="4"/>
      <c r="H177" s="4"/>
      <c r="I177" s="4"/>
      <c r="J177" s="112"/>
      <c r="K177" s="4"/>
      <c r="L177" s="4"/>
      <c r="M177" s="4"/>
      <c r="N177" s="31"/>
      <c r="O177" s="11" t="s">
        <v>1030</v>
      </c>
      <c r="P177" s="29"/>
      <c r="T177" s="31" t="s">
        <v>2458</v>
      </c>
      <c r="U177" s="668" t="s">
        <v>2458</v>
      </c>
      <c r="V177" s="433">
        <f>IFERROR(((RESUMO!C88)*(VLOOKUP($B$165,$O$140:$S$146,3,0))),0)</f>
        <v>0</v>
      </c>
      <c r="W177" s="434">
        <f>IFERROR(((RESUMO!C88)*(VLOOKUP($B$165,$O$140:$S$146,4,0))),0)</f>
        <v>0</v>
      </c>
      <c r="X177" s="435">
        <f>IFERROR(IF($B$164&lt;3,0,(RESUMO!C88)*(VLOOKUP($B$165,$O$140:$S$146,5,0))),0)</f>
        <v>0</v>
      </c>
      <c r="Y177" s="443">
        <f t="shared" si="36"/>
        <v>0</v>
      </c>
      <c r="Z177" s="428">
        <f t="shared" si="37"/>
        <v>0</v>
      </c>
      <c r="AA177" s="444">
        <f t="shared" si="38"/>
        <v>0</v>
      </c>
      <c r="AB177" s="448">
        <f>RESUMO!E88</f>
        <v>0</v>
      </c>
      <c r="AC177" s="453">
        <f t="shared" si="39"/>
        <v>0</v>
      </c>
      <c r="AD177" s="429">
        <f t="shared" si="40"/>
        <v>0</v>
      </c>
      <c r="AE177" s="454">
        <f t="shared" si="41"/>
        <v>0</v>
      </c>
      <c r="AF177" s="381"/>
      <c r="AG177" s="476">
        <f t="shared" si="45"/>
        <v>0</v>
      </c>
      <c r="AH177" s="381"/>
      <c r="AI177" s="476">
        <f t="shared" si="46"/>
        <v>0</v>
      </c>
      <c r="AJ177" s="381"/>
      <c r="AK177" s="476">
        <f t="shared" si="47"/>
        <v>0</v>
      </c>
    </row>
    <row r="178" spans="1:37" outlineLevel="2">
      <c r="A178" s="4"/>
      <c r="B178" s="5" t="s">
        <v>1537</v>
      </c>
      <c r="C178" s="226" t="s">
        <v>725</v>
      </c>
      <c r="D178" s="226" t="s">
        <v>726</v>
      </c>
      <c r="E178" s="226" t="s">
        <v>727</v>
      </c>
      <c r="F178" s="4"/>
      <c r="G178" s="112"/>
      <c r="H178" s="4"/>
      <c r="I178" s="4"/>
      <c r="J178" s="112"/>
      <c r="K178" s="4"/>
      <c r="L178" s="4"/>
      <c r="M178" s="4"/>
      <c r="N178" s="31"/>
      <c r="O178" s="236" t="s">
        <v>302</v>
      </c>
      <c r="T178" s="598" t="s">
        <v>1810</v>
      </c>
      <c r="U178" s="506" t="s">
        <v>1818</v>
      </c>
      <c r="V178" s="433">
        <f>IFERROR(((RESUMO!C89)*(VLOOKUP($B$163,$O$140:$S$146,3,0))),0)</f>
        <v>0</v>
      </c>
      <c r="W178" s="434">
        <f>IFERROR(((RESUMO!C89)*(VLOOKUP($B$163,$O$140:$S$146,4,0))),0)</f>
        <v>0</v>
      </c>
      <c r="X178" s="435">
        <f>IFERROR(IF($B$163&lt;3,0,(RESUMO!C89)*(VLOOKUP($B$163,$O$140:$S$146,5,0))),0)</f>
        <v>0</v>
      </c>
      <c r="Y178" s="443">
        <f t="shared" si="36"/>
        <v>0</v>
      </c>
      <c r="Z178" s="428">
        <f t="shared" si="37"/>
        <v>0</v>
      </c>
      <c r="AA178" s="444">
        <f t="shared" si="38"/>
        <v>0</v>
      </c>
      <c r="AB178" s="448">
        <f>RESUMO!E89</f>
        <v>0</v>
      </c>
      <c r="AC178" s="453">
        <f t="shared" si="39"/>
        <v>0</v>
      </c>
      <c r="AD178" s="429">
        <f t="shared" si="40"/>
        <v>0</v>
      </c>
      <c r="AE178" s="454">
        <f t="shared" si="41"/>
        <v>0</v>
      </c>
      <c r="AF178" s="381"/>
      <c r="AG178" s="476">
        <f t="shared" ref="AG178:AG185" si="48">AC178</f>
        <v>0</v>
      </c>
      <c r="AH178" s="381"/>
      <c r="AI178" s="476">
        <f t="shared" ref="AI178:AI185" si="49">AD178</f>
        <v>0</v>
      </c>
      <c r="AJ178" s="381"/>
      <c r="AK178" s="476">
        <f t="shared" ref="AK178:AK185" si="50">AE178</f>
        <v>0</v>
      </c>
    </row>
    <row r="179" spans="1:37" outlineLevel="2">
      <c r="A179" s="375" t="s">
        <v>1582</v>
      </c>
      <c r="C179" s="8" t="s">
        <v>302</v>
      </c>
      <c r="D179" s="8" t="s">
        <v>302</v>
      </c>
      <c r="E179" s="114">
        <f>IF($I$12&gt;2,D179,0)</f>
        <v>0</v>
      </c>
      <c r="F179" s="4"/>
      <c r="G179" s="112"/>
      <c r="H179" s="4"/>
      <c r="I179" s="4"/>
      <c r="J179" s="112"/>
      <c r="K179" s="4"/>
      <c r="L179" s="4"/>
      <c r="M179" s="4"/>
      <c r="N179" s="31"/>
      <c r="O179" s="236" t="s">
        <v>277</v>
      </c>
      <c r="T179" s="598" t="s">
        <v>1811</v>
      </c>
      <c r="U179" s="506" t="s">
        <v>1817</v>
      </c>
      <c r="V179" s="433">
        <f>IFERROR(((RESUMO!C90)*(VLOOKUP($B$164,$O$140:$S$146,3,0))),0)</f>
        <v>0</v>
      </c>
      <c r="W179" s="434">
        <f>IFERROR(((RESUMO!C90)*(VLOOKUP($B$164,$O$140:$S$146,4,0))),0)</f>
        <v>0</v>
      </c>
      <c r="X179" s="435">
        <f>IFERROR(IF($B$164&lt;3,0,(RESUMO!C90)*(VLOOKUP($B$164,$O$140:$S$146,5,0))),0)</f>
        <v>0</v>
      </c>
      <c r="Y179" s="443">
        <f t="shared" si="36"/>
        <v>0</v>
      </c>
      <c r="Z179" s="428">
        <f t="shared" si="37"/>
        <v>0</v>
      </c>
      <c r="AA179" s="444">
        <f t="shared" si="38"/>
        <v>0</v>
      </c>
      <c r="AB179" s="448">
        <f>RESUMO!E90</f>
        <v>0</v>
      </c>
      <c r="AC179" s="453">
        <f t="shared" si="39"/>
        <v>0</v>
      </c>
      <c r="AD179" s="429">
        <f t="shared" si="40"/>
        <v>0</v>
      </c>
      <c r="AE179" s="454">
        <f t="shared" si="41"/>
        <v>0</v>
      </c>
      <c r="AF179" s="381"/>
      <c r="AG179" s="476">
        <f t="shared" si="48"/>
        <v>0</v>
      </c>
      <c r="AH179" s="381"/>
      <c r="AI179" s="476">
        <f t="shared" si="49"/>
        <v>0</v>
      </c>
      <c r="AJ179" s="381"/>
      <c r="AK179" s="476">
        <f t="shared" si="50"/>
        <v>0</v>
      </c>
    </row>
    <row r="180" spans="1:37" outlineLevel="2">
      <c r="A180" s="5" t="s">
        <v>1583</v>
      </c>
      <c r="B180" s="549">
        <f>IF($I$12=1,1,IF($I$12=2,"1_2",IF($I$12=3,"1_2_3",1)))</f>
        <v>1</v>
      </c>
      <c r="C180" s="182">
        <f>IFERROR(O199/B93,0)</f>
        <v>0</v>
      </c>
      <c r="D180" s="182">
        <f>IFERROR(P199/C93,0)</f>
        <v>0</v>
      </c>
      <c r="E180" s="182">
        <f>IFERROR(Q199/D93,0)</f>
        <v>0</v>
      </c>
      <c r="F180" s="4"/>
      <c r="G180" s="112"/>
      <c r="H180" s="4"/>
      <c r="I180" s="4"/>
      <c r="J180" s="112"/>
      <c r="K180" s="4"/>
      <c r="L180" s="4"/>
      <c r="M180" s="4"/>
      <c r="N180" s="31"/>
      <c r="O180" s="236"/>
      <c r="R180" s="4"/>
      <c r="T180" s="598" t="s">
        <v>1805</v>
      </c>
      <c r="U180" s="506" t="s">
        <v>1818</v>
      </c>
      <c r="V180" s="433">
        <f>IFERROR(((RESUMO!C91)*(VLOOKUP($B$163,$O$140:$S$146,3,0))),0)</f>
        <v>0</v>
      </c>
      <c r="W180" s="434">
        <f>IFERROR(((RESUMO!C91)*(VLOOKUP($B$163,$O$140:$S$146,4,0))),0)</f>
        <v>0</v>
      </c>
      <c r="X180" s="435">
        <f>IFERROR(IF($B$163&lt;3,0,(RESUMO!C91)*(VLOOKUP($B$163,$O$140:$S$146,5,0))),0)</f>
        <v>0</v>
      </c>
      <c r="Y180" s="443">
        <f t="shared" si="36"/>
        <v>0</v>
      </c>
      <c r="Z180" s="428">
        <f t="shared" si="37"/>
        <v>0</v>
      </c>
      <c r="AA180" s="444">
        <f t="shared" si="38"/>
        <v>0</v>
      </c>
      <c r="AB180" s="448">
        <f>RESUMO!E91</f>
        <v>0</v>
      </c>
      <c r="AC180" s="453">
        <f t="shared" si="39"/>
        <v>0</v>
      </c>
      <c r="AD180" s="429">
        <f t="shared" si="40"/>
        <v>0</v>
      </c>
      <c r="AE180" s="454">
        <f t="shared" si="41"/>
        <v>0</v>
      </c>
      <c r="AF180" s="381"/>
      <c r="AG180" s="476">
        <f t="shared" si="48"/>
        <v>0</v>
      </c>
      <c r="AH180" s="381"/>
      <c r="AI180" s="476">
        <f t="shared" si="49"/>
        <v>0</v>
      </c>
      <c r="AJ180" s="381"/>
      <c r="AK180" s="476">
        <f t="shared" si="50"/>
        <v>0</v>
      </c>
    </row>
    <row r="181" spans="1:37" outlineLevel="2">
      <c r="A181" s="5" t="s">
        <v>1587</v>
      </c>
      <c r="B181" s="549">
        <f>IF($I$12=1,1,IF($I$12=2,"1_2",IF($I$12=3,"1_2_3",1)))</f>
        <v>1</v>
      </c>
      <c r="C181" s="182">
        <f>IFERROR(R191/B93,0)</f>
        <v>0</v>
      </c>
      <c r="D181" s="182">
        <f>IFERROR(R192/C93,0)</f>
        <v>0</v>
      </c>
      <c r="E181" s="182">
        <f>IFERROR(R193/D93,0)</f>
        <v>0</v>
      </c>
      <c r="F181" s="4"/>
      <c r="G181" s="112"/>
      <c r="H181" s="4"/>
      <c r="I181" s="4"/>
      <c r="J181" s="112"/>
      <c r="K181" s="4"/>
      <c r="L181" s="4"/>
      <c r="M181" s="4"/>
      <c r="N181" s="31"/>
      <c r="O181" s="11" t="s">
        <v>1567</v>
      </c>
      <c r="P181" s="10"/>
      <c r="Q181" s="10"/>
      <c r="R181" s="10"/>
      <c r="T181" s="598" t="s">
        <v>2387</v>
      </c>
      <c r="U181" s="506" t="s">
        <v>1818</v>
      </c>
      <c r="V181" s="433">
        <f>IFERROR(((RESUMO!C92)*(VLOOKUP($B$163,$O$140:$S$146,3,0))),0)</f>
        <v>0</v>
      </c>
      <c r="W181" s="434">
        <f>IFERROR(((RESUMO!C92)*(VLOOKUP($B$163,$O$140:$S$146,4,0))),0)</f>
        <v>0</v>
      </c>
      <c r="X181" s="435">
        <f>IFERROR(IF($B$163&lt;3,0,(RESUMO!C92)*(VLOOKUP($B$163,$O$140:$S$146,5,0))),0)</f>
        <v>0</v>
      </c>
      <c r="Y181" s="443">
        <f t="shared" si="36"/>
        <v>0</v>
      </c>
      <c r="Z181" s="428">
        <f t="shared" si="37"/>
        <v>0</v>
      </c>
      <c r="AA181" s="444">
        <f t="shared" si="38"/>
        <v>0</v>
      </c>
      <c r="AB181" s="448">
        <f>RESUMO!E92</f>
        <v>0</v>
      </c>
      <c r="AC181" s="453">
        <f t="shared" si="39"/>
        <v>0</v>
      </c>
      <c r="AD181" s="429">
        <f t="shared" si="40"/>
        <v>0</v>
      </c>
      <c r="AE181" s="454">
        <f t="shared" si="41"/>
        <v>0</v>
      </c>
      <c r="AF181" s="381"/>
      <c r="AG181" s="476">
        <f t="shared" si="48"/>
        <v>0</v>
      </c>
      <c r="AH181" s="381"/>
      <c r="AI181" s="476">
        <f t="shared" si="49"/>
        <v>0</v>
      </c>
      <c r="AJ181" s="381"/>
      <c r="AK181" s="476">
        <f t="shared" si="50"/>
        <v>0</v>
      </c>
    </row>
    <row r="182" spans="1:37" outlineLevel="2">
      <c r="A182" s="5" t="s">
        <v>1588</v>
      </c>
      <c r="B182" s="423" t="s">
        <v>1542</v>
      </c>
      <c r="C182" s="182">
        <f>IFERROR(Q191/B93,0)</f>
        <v>0</v>
      </c>
      <c r="D182" s="182">
        <f>IFERROR(Q192/C93,0)</f>
        <v>0</v>
      </c>
      <c r="E182" s="182">
        <f>IFERROR(Q193/D93,0)</f>
        <v>0</v>
      </c>
      <c r="F182" s="422" t="s">
        <v>973</v>
      </c>
      <c r="G182" s="112"/>
      <c r="H182" s="4"/>
      <c r="I182" s="4"/>
      <c r="J182" s="112"/>
      <c r="K182" s="4"/>
      <c r="L182" s="4"/>
      <c r="M182" s="4"/>
      <c r="N182" s="31"/>
      <c r="O182" s="234" t="s">
        <v>1568</v>
      </c>
      <c r="P182" t="s">
        <v>1569</v>
      </c>
      <c r="Q182" t="s">
        <v>1570</v>
      </c>
      <c r="R182" t="s">
        <v>1571</v>
      </c>
      <c r="T182" s="598" t="s">
        <v>1809</v>
      </c>
      <c r="U182" s="506" t="s">
        <v>1817</v>
      </c>
      <c r="V182" s="433">
        <f>IFERROR(((RESUMO!C93)*(VLOOKUP(B164,$O$140:$S$146,3,0))),0)</f>
        <v>0</v>
      </c>
      <c r="W182" s="434">
        <f>IFERROR(((RESUMO!C93)*(VLOOKUP(B164,$O$140:$S$146,4,0))),0)</f>
        <v>0</v>
      </c>
      <c r="X182" s="435">
        <f>IFERROR(IF(B164&lt;3,0,(RESUMO!C93)*(VLOOKUP(B164,$O$140:$S$146,5,0))),0)</f>
        <v>0</v>
      </c>
      <c r="Y182" s="443">
        <f t="shared" si="36"/>
        <v>0</v>
      </c>
      <c r="Z182" s="428">
        <f t="shared" si="37"/>
        <v>0</v>
      </c>
      <c r="AA182" s="444">
        <f t="shared" si="38"/>
        <v>0</v>
      </c>
      <c r="AB182" s="448">
        <f>RESUMO!E93</f>
        <v>0</v>
      </c>
      <c r="AC182" s="453">
        <f t="shared" si="39"/>
        <v>0</v>
      </c>
      <c r="AD182" s="429">
        <f t="shared" si="40"/>
        <v>0</v>
      </c>
      <c r="AE182" s="454">
        <f t="shared" si="41"/>
        <v>0</v>
      </c>
      <c r="AF182" s="381"/>
      <c r="AG182" s="476">
        <f t="shared" si="48"/>
        <v>0</v>
      </c>
      <c r="AH182" s="381"/>
      <c r="AI182" s="476">
        <f t="shared" si="49"/>
        <v>0</v>
      </c>
      <c r="AJ182" s="381"/>
      <c r="AK182" s="476">
        <f t="shared" si="50"/>
        <v>0</v>
      </c>
    </row>
    <row r="183" spans="1:37" outlineLevel="2">
      <c r="A183" s="5" t="s">
        <v>1581</v>
      </c>
      <c r="C183" s="114">
        <v>0</v>
      </c>
      <c r="D183" s="114">
        <f>IF($I$12&gt;1,C183,0)</f>
        <v>0</v>
      </c>
      <c r="E183" s="114">
        <f>IF($I$12&gt;2,D183,0)</f>
        <v>0</v>
      </c>
      <c r="F183" s="114">
        <v>0</v>
      </c>
      <c r="G183" s="112"/>
      <c r="H183" s="4"/>
      <c r="I183" s="4"/>
      <c r="J183" s="112"/>
      <c r="K183" s="4"/>
      <c r="L183" s="4"/>
      <c r="M183" s="4"/>
      <c r="N183" s="31"/>
      <c r="O183" s="378">
        <f>F184</f>
        <v>0</v>
      </c>
      <c r="P183" s="202">
        <f>$O$150*C184</f>
        <v>0</v>
      </c>
      <c r="Q183" s="202">
        <f>$O$150*D184</f>
        <v>0</v>
      </c>
      <c r="R183" s="202">
        <f>$O$150*E184</f>
        <v>0</v>
      </c>
      <c r="T183" s="598" t="s">
        <v>2388</v>
      </c>
      <c r="U183" s="506" t="s">
        <v>1817</v>
      </c>
      <c r="V183" s="433">
        <f>IFERROR(((RESUMO!C94)*(VLOOKUP(B164,$O$140:$S$146,3,0))),0)</f>
        <v>0</v>
      </c>
      <c r="W183" s="434">
        <f>IFERROR(((RESUMO!C94)*(VLOOKUP(B164,$O$140:$S$146,4,0))),0)</f>
        <v>0</v>
      </c>
      <c r="X183" s="435">
        <f>IFERROR(IF(B164&lt;3,0,(RESUMO!C94)*(VLOOKUP(B164,$O$140:$S$146,5,0))),0)</f>
        <v>0</v>
      </c>
      <c r="Y183" s="443">
        <f t="shared" si="36"/>
        <v>0</v>
      </c>
      <c r="Z183" s="428">
        <f t="shared" si="37"/>
        <v>0</v>
      </c>
      <c r="AA183" s="444">
        <f t="shared" si="38"/>
        <v>0</v>
      </c>
      <c r="AB183" s="448">
        <f>RESUMO!E94</f>
        <v>0</v>
      </c>
      <c r="AC183" s="453">
        <f t="shared" si="39"/>
        <v>0</v>
      </c>
      <c r="AD183" s="429">
        <f t="shared" si="40"/>
        <v>0</v>
      </c>
      <c r="AE183" s="454">
        <f t="shared" si="41"/>
        <v>0</v>
      </c>
      <c r="AF183" s="381"/>
      <c r="AG183" s="476">
        <f t="shared" si="48"/>
        <v>0</v>
      </c>
      <c r="AH183" s="381"/>
      <c r="AI183" s="476">
        <f t="shared" si="49"/>
        <v>0</v>
      </c>
      <c r="AJ183" s="381"/>
      <c r="AK183" s="476">
        <f t="shared" si="50"/>
        <v>0</v>
      </c>
    </row>
    <row r="184" spans="1:37" outlineLevel="2">
      <c r="A184" s="5" t="s">
        <v>1567</v>
      </c>
      <c r="C184" s="114">
        <v>0</v>
      </c>
      <c r="D184" s="114">
        <f>IF($I$12&gt;1,C184,0)</f>
        <v>0</v>
      </c>
      <c r="E184" s="114">
        <f>IF($I$12&gt;2,D184,0)</f>
        <v>0</v>
      </c>
      <c r="F184" s="114">
        <v>0</v>
      </c>
      <c r="G184" s="379" t="str">
        <f>P182&amp;P188&amp;P186&amp;P187&amp;Q182&amp;P188&amp;Q186&amp;P187&amp;R182&amp;P188&amp;R186</f>
        <v>Cap T1:Atende Capacidade_Cap T2:Atende Capacidade_Cap T3:Atende Capacidade</v>
      </c>
      <c r="H184" s="4"/>
      <c r="I184" s="4"/>
      <c r="J184" s="112"/>
      <c r="K184" s="4"/>
      <c r="L184" s="4"/>
      <c r="M184" s="4"/>
      <c r="N184" s="31"/>
      <c r="P184" s="202">
        <f>B138*C198</f>
        <v>0</v>
      </c>
      <c r="Q184" s="202">
        <f>C138*D198</f>
        <v>0</v>
      </c>
      <c r="R184" s="202">
        <f>D138*E198</f>
        <v>0</v>
      </c>
      <c r="T184" s="598" t="s">
        <v>936</v>
      </c>
      <c r="U184" s="507" t="s">
        <v>936</v>
      </c>
      <c r="V184" s="433">
        <f>IFERROR(((RESUMO!C95)*(VLOOKUP(B166,$O$140:$S$146,3,0))),0)</f>
        <v>0</v>
      </c>
      <c r="W184" s="434">
        <f>IFERROR(((RESUMO!C95)*(VLOOKUP(B166,$O$140:$S$146,4,0))),0)</f>
        <v>0</v>
      </c>
      <c r="X184" s="435">
        <f>IFERROR(IF(B166&lt;3,0,(RESUMO!C95)*(VLOOKUP(B166,$O$140:$S$146,5,0))),0)</f>
        <v>0</v>
      </c>
      <c r="Y184" s="443">
        <f t="shared" si="36"/>
        <v>0</v>
      </c>
      <c r="Z184" s="428">
        <f t="shared" si="37"/>
        <v>0</v>
      </c>
      <c r="AA184" s="444">
        <f t="shared" si="38"/>
        <v>0</v>
      </c>
      <c r="AB184" s="448">
        <f>RESUMO!E95</f>
        <v>0</v>
      </c>
      <c r="AC184" s="453">
        <f t="shared" si="39"/>
        <v>0</v>
      </c>
      <c r="AD184" s="429">
        <f t="shared" si="40"/>
        <v>0</v>
      </c>
      <c r="AE184" s="454">
        <f t="shared" si="41"/>
        <v>0</v>
      </c>
      <c r="AF184" s="381"/>
      <c r="AG184" s="476">
        <f t="shared" si="48"/>
        <v>0</v>
      </c>
      <c r="AH184" s="381"/>
      <c r="AI184" s="476">
        <f t="shared" si="49"/>
        <v>0</v>
      </c>
      <c r="AJ184" s="381"/>
      <c r="AK184" s="476">
        <f t="shared" si="50"/>
        <v>0</v>
      </c>
    </row>
    <row r="185" spans="1:37" ht="15" customHeight="1" outlineLevel="2">
      <c r="A185" s="5" t="s">
        <v>1609</v>
      </c>
      <c r="C185" s="114">
        <v>0</v>
      </c>
      <c r="D185" s="114">
        <f>IF($I$12&gt;1,C185,0)</f>
        <v>0</v>
      </c>
      <c r="E185" s="114">
        <f>IF($I$12&gt;2,D185,0)</f>
        <v>0</v>
      </c>
      <c r="F185" s="114">
        <v>300</v>
      </c>
      <c r="G185" s="379"/>
      <c r="H185" s="4"/>
      <c r="I185" s="4"/>
      <c r="J185" s="112"/>
      <c r="K185" s="4"/>
      <c r="L185" s="4"/>
      <c r="M185" s="4"/>
      <c r="N185" s="31"/>
      <c r="P185" s="202">
        <f>P183-P184</f>
        <v>0</v>
      </c>
      <c r="Q185" s="202">
        <f>Q183-Q184</f>
        <v>0</v>
      </c>
      <c r="R185" s="202">
        <f>R183-R184</f>
        <v>0</v>
      </c>
      <c r="T185" s="598" t="s">
        <v>1074</v>
      </c>
      <c r="U185" s="508" t="s">
        <v>1531</v>
      </c>
      <c r="V185" s="433">
        <f>IFERROR(((RESUMO!C96)*(VLOOKUP(B167,$O$140:$S$146,3,0))),0)</f>
        <v>0</v>
      </c>
      <c r="W185" s="434">
        <f>IFERROR(((RESUMO!C96)*(VLOOKUP(B167,$O$140:$S$146,4,0))),0)</f>
        <v>0</v>
      </c>
      <c r="X185" s="435">
        <f>IFERROR(IF(B167&lt;3,0,(RESUMO!C96)*(VLOOKUP(B167,$O$140:$S$146,5,0))),0)</f>
        <v>0</v>
      </c>
      <c r="Y185" s="443">
        <f t="shared" si="36"/>
        <v>0</v>
      </c>
      <c r="Z185" s="428">
        <f t="shared" si="37"/>
        <v>0</v>
      </c>
      <c r="AA185" s="444">
        <f t="shared" si="38"/>
        <v>0</v>
      </c>
      <c r="AB185" s="448">
        <f>RESUMO!E96</f>
        <v>0</v>
      </c>
      <c r="AC185" s="453">
        <f t="shared" si="39"/>
        <v>0</v>
      </c>
      <c r="AD185" s="429">
        <f t="shared" si="40"/>
        <v>0</v>
      </c>
      <c r="AE185" s="454">
        <f t="shared" si="41"/>
        <v>0</v>
      </c>
      <c r="AF185" s="381"/>
      <c r="AG185" s="476">
        <f t="shared" si="48"/>
        <v>0</v>
      </c>
      <c r="AH185" s="381"/>
      <c r="AI185" s="476">
        <f t="shared" si="49"/>
        <v>0</v>
      </c>
      <c r="AJ185" s="381"/>
      <c r="AK185" s="476">
        <f t="shared" si="50"/>
        <v>0</v>
      </c>
    </row>
    <row r="186" spans="1:37" outlineLevel="2">
      <c r="A186" s="384"/>
      <c r="B186" s="112"/>
      <c r="C186" s="4"/>
      <c r="D186" s="4"/>
      <c r="E186" s="4"/>
      <c r="F186" s="112"/>
      <c r="G186" s="4"/>
      <c r="H186" s="4"/>
      <c r="I186" s="4"/>
      <c r="J186" s="112"/>
      <c r="K186" s="4"/>
      <c r="L186" s="4"/>
      <c r="M186" s="4"/>
      <c r="N186" s="31"/>
      <c r="P186" s="367" t="str">
        <f>IF(P185&gt;$O$183,"Sobrando Máq.",IF(P185&gt;=0,"Atende Capacidade","FaltandoMáq."))</f>
        <v>Atende Capacidade</v>
      </c>
      <c r="Q186" s="367" t="str">
        <f>IF(Q185&gt;$O$183,"Sobrando Máq.",IF(Q185&gt;=0,"Atende Capacidade","FaltandoMáq."))</f>
        <v>Atende Capacidade</v>
      </c>
      <c r="R186" s="367" t="str">
        <f>IF(R185&gt;$O$183,"Sobrando Máq.",IF(R185&gt;=0,"Atende Capacidade","FaltandoMáq."))</f>
        <v>Atende Capacidade</v>
      </c>
      <c r="T186" s="598" t="s">
        <v>3131</v>
      </c>
      <c r="U186" s="506" t="s">
        <v>1817</v>
      </c>
      <c r="V186" s="433">
        <f>IFERROR(((RESUMO!C98)*(VLOOKUP(B163,$O$140:$S$146,3,0))),0)</f>
        <v>0</v>
      </c>
      <c r="W186" s="434">
        <f>IFERROR(((RESUMO!C98)*(VLOOKUP(B163,$O$140:$S$146,4,0))),0)</f>
        <v>0</v>
      </c>
      <c r="X186" s="435">
        <f>IFERROR(IF(B163&lt;3,0,(RESUMO!C98)*(VLOOKUP(B163,$O$140:$S$146,5,0))),0)</f>
        <v>0</v>
      </c>
      <c r="Y186" s="443">
        <f t="shared" si="36"/>
        <v>0</v>
      </c>
      <c r="Z186" s="428">
        <f t="shared" si="37"/>
        <v>0</v>
      </c>
      <c r="AA186" s="444">
        <f t="shared" si="38"/>
        <v>0</v>
      </c>
      <c r="AB186" s="448">
        <f>RESUMO!E98</f>
        <v>0</v>
      </c>
      <c r="AC186" s="453">
        <f>IFERROR(Y186/SUM(Y186:AA186)*AB186/$I$15,0)*$I$12*$AC$137</f>
        <v>0</v>
      </c>
      <c r="AD186" s="429">
        <f>IFERROR(Z186/SUM(Y186:AA186)*AB186/$J$15,0)*$I$12*$AD$137</f>
        <v>0</v>
      </c>
      <c r="AE186" s="454">
        <f>IFERROR(AA186/SUM(Y186:AA186)*AB186/$K$15,0)*$I$12*$AE$137</f>
        <v>0</v>
      </c>
      <c r="AF186" s="381"/>
      <c r="AG186" s="476">
        <f>AC186</f>
        <v>0</v>
      </c>
      <c r="AH186" s="381"/>
      <c r="AI186" s="476">
        <f>AD186</f>
        <v>0</v>
      </c>
      <c r="AJ186" s="381"/>
      <c r="AK186" s="476">
        <f>AE186</f>
        <v>0</v>
      </c>
    </row>
    <row r="187" spans="1:37" outlineLevel="2">
      <c r="A187" s="4"/>
      <c r="B187" s="5" t="s">
        <v>1537</v>
      </c>
      <c r="C187" s="365" t="s">
        <v>725</v>
      </c>
      <c r="D187" s="365" t="s">
        <v>726</v>
      </c>
      <c r="E187" s="365" t="s">
        <v>727</v>
      </c>
      <c r="F187" s="112"/>
      <c r="G187" s="4"/>
      <c r="H187" s="4"/>
      <c r="I187" s="4"/>
      <c r="J187" s="112"/>
      <c r="K187" s="4"/>
      <c r="L187" s="4"/>
      <c r="M187" s="4"/>
      <c r="P187" t="s">
        <v>1572</v>
      </c>
      <c r="T187" s="598" t="s">
        <v>3132</v>
      </c>
      <c r="U187" s="506" t="s">
        <v>1818</v>
      </c>
      <c r="V187" s="433">
        <f>IFERROR(((RESUMO!C99)*(VLOOKUP(B164,$O$140:$S$146,3,0))),0)</f>
        <v>0</v>
      </c>
      <c r="W187" s="434">
        <f>IFERROR(((RESUMO!C99)*(VLOOKUP(B164,$O$140:$S$146,4,0))),0)</f>
        <v>0</v>
      </c>
      <c r="X187" s="435">
        <f>IFERROR(IF(B164&lt;3,0,(RESUMO!C99)*(VLOOKUP(B164,$O$140:$S$146,5,0))),0)</f>
        <v>0</v>
      </c>
      <c r="Y187" s="443">
        <f t="shared" si="36"/>
        <v>0</v>
      </c>
      <c r="Z187" s="428">
        <f t="shared" si="37"/>
        <v>0</v>
      </c>
      <c r="AA187" s="444">
        <f t="shared" si="38"/>
        <v>0</v>
      </c>
      <c r="AB187" s="448">
        <f>RESUMO!E99</f>
        <v>0</v>
      </c>
      <c r="AC187" s="453">
        <f>IFERROR(Y187/SUM(Y187:AA187)*AB187/$I$15,0)*$I$12*$AC$137</f>
        <v>0</v>
      </c>
      <c r="AD187" s="429">
        <f>IFERROR(Z187/SUM(Y187:AA187)*AB187/$J$15,0)*$I$12*$AD$137</f>
        <v>0</v>
      </c>
      <c r="AE187" s="454">
        <f>IFERROR(AA187/SUM(Y187:AA187)*AB187/$K$15,0)*$I$12*$AE$137</f>
        <v>0</v>
      </c>
      <c r="AF187" s="381"/>
      <c r="AG187" s="476">
        <f>AC187</f>
        <v>0</v>
      </c>
      <c r="AH187" s="381"/>
      <c r="AI187" s="476">
        <f>AD187</f>
        <v>0</v>
      </c>
      <c r="AJ187" s="381"/>
      <c r="AK187" s="476">
        <f>AE187</f>
        <v>0</v>
      </c>
    </row>
    <row r="188" spans="1:37" outlineLevel="2">
      <c r="A188" s="5" t="s">
        <v>1584</v>
      </c>
      <c r="B188" s="549">
        <f t="shared" ref="B188:B199" si="51">IF($I$12=1,1,IF($I$12=2,"1_2",IF($I$12=3,"1_2_3",1)))</f>
        <v>1</v>
      </c>
      <c r="C188" s="192">
        <f>Y190</f>
        <v>0.99749018218324625</v>
      </c>
      <c r="D188" s="192">
        <f>Z190</f>
        <v>0</v>
      </c>
      <c r="E188" s="192">
        <f>AA190</f>
        <v>0</v>
      </c>
      <c r="F188" s="112"/>
      <c r="G188" s="4"/>
      <c r="H188" s="4"/>
      <c r="I188" s="4"/>
      <c r="J188" s="112"/>
      <c r="K188" s="4"/>
      <c r="L188" s="4"/>
      <c r="M188" s="4"/>
      <c r="P188" t="s">
        <v>1573</v>
      </c>
      <c r="T188" s="9"/>
      <c r="U188" s="439" t="s">
        <v>1790</v>
      </c>
      <c r="V188" s="460">
        <f t="shared" ref="V188:AK188" si="52">SUBTOTAL(9,V138:V187)</f>
        <v>0.99999999999999989</v>
      </c>
      <c r="W188" s="460">
        <f t="shared" si="52"/>
        <v>0</v>
      </c>
      <c r="X188" s="460">
        <f t="shared" si="52"/>
        <v>0</v>
      </c>
      <c r="Y188" s="464">
        <f t="shared" si="52"/>
        <v>1</v>
      </c>
      <c r="Z188" s="464">
        <f t="shared" si="52"/>
        <v>0</v>
      </c>
      <c r="AA188" s="464">
        <f t="shared" si="52"/>
        <v>0</v>
      </c>
      <c r="AB188" s="466">
        <f t="shared" si="52"/>
        <v>9134.9541818181824</v>
      </c>
      <c r="AC188" s="460">
        <f t="shared" si="52"/>
        <v>954.0422122003323</v>
      </c>
      <c r="AD188" s="460">
        <f t="shared" si="52"/>
        <v>0</v>
      </c>
      <c r="AE188" s="460">
        <f t="shared" si="52"/>
        <v>0</v>
      </c>
      <c r="AF188" s="460">
        <f t="shared" si="52"/>
        <v>0</v>
      </c>
      <c r="AG188" s="463">
        <f t="shared" si="52"/>
        <v>954.0422122003323</v>
      </c>
      <c r="AH188" s="460">
        <f t="shared" si="52"/>
        <v>0</v>
      </c>
      <c r="AI188" s="463">
        <f t="shared" si="52"/>
        <v>0</v>
      </c>
      <c r="AJ188" s="460">
        <f t="shared" si="52"/>
        <v>0</v>
      </c>
      <c r="AK188" s="463">
        <f t="shared" si="52"/>
        <v>0</v>
      </c>
    </row>
    <row r="189" spans="1:37" outlineLevel="2">
      <c r="A189" s="5" t="s">
        <v>1585</v>
      </c>
      <c r="B189" s="549">
        <f t="shared" si="51"/>
        <v>1</v>
      </c>
      <c r="C189" s="192">
        <f>SUM(Y191:Y192)</f>
        <v>0</v>
      </c>
      <c r="D189" s="192">
        <f>SUM(Z191:Z192)</f>
        <v>0</v>
      </c>
      <c r="E189" s="192">
        <f>SUM(AA191:AA192)</f>
        <v>0</v>
      </c>
      <c r="F189" s="112"/>
      <c r="G189" s="4"/>
      <c r="H189" s="4"/>
      <c r="I189" s="4"/>
      <c r="J189" s="112"/>
      <c r="K189" s="4"/>
      <c r="L189" s="4"/>
      <c r="M189" s="396"/>
      <c r="N189" s="394"/>
      <c r="O189" s="366"/>
      <c r="P189" s="389"/>
      <c r="Q189" s="390" t="s">
        <v>1607</v>
      </c>
      <c r="R189" s="391"/>
      <c r="U189" s="117"/>
      <c r="V189" s="372" t="s">
        <v>1545</v>
      </c>
      <c r="W189" s="372" t="s">
        <v>1546</v>
      </c>
      <c r="X189" s="372" t="s">
        <v>1547</v>
      </c>
      <c r="Y189" s="372" t="s">
        <v>1545</v>
      </c>
      <c r="Z189" s="372" t="s">
        <v>1546</v>
      </c>
      <c r="AA189" s="372" t="s">
        <v>1547</v>
      </c>
      <c r="AB189" s="646" t="s">
        <v>1956</v>
      </c>
      <c r="AC189" s="372" t="s">
        <v>1545</v>
      </c>
      <c r="AD189" s="372" t="s">
        <v>1546</v>
      </c>
      <c r="AE189" s="372" t="s">
        <v>1547</v>
      </c>
      <c r="AF189" s="458" t="s">
        <v>1785</v>
      </c>
      <c r="AG189" s="459" t="s">
        <v>1784</v>
      </c>
      <c r="AH189" s="458" t="s">
        <v>1787</v>
      </c>
      <c r="AI189" s="459" t="s">
        <v>1786</v>
      </c>
      <c r="AJ189" s="458" t="s">
        <v>1789</v>
      </c>
      <c r="AK189" s="459" t="s">
        <v>1788</v>
      </c>
    </row>
    <row r="190" spans="1:37" outlineLevel="2">
      <c r="A190" s="5" t="s">
        <v>1586</v>
      </c>
      <c r="B190" s="549">
        <f t="shared" si="51"/>
        <v>1</v>
      </c>
      <c r="C190" s="192">
        <f>SUM(Y193:Y195)</f>
        <v>0</v>
      </c>
      <c r="D190" s="192">
        <f>SUM(Z193:Z195)</f>
        <v>0</v>
      </c>
      <c r="E190" s="192">
        <f>SUM(AA193:AA195)</f>
        <v>0</v>
      </c>
      <c r="F190" s="112"/>
      <c r="G190" s="4"/>
      <c r="H190" s="4"/>
      <c r="I190" s="4"/>
      <c r="J190" s="112"/>
      <c r="K190" s="4"/>
      <c r="L190" s="4"/>
      <c r="M190" s="397" t="s">
        <v>1583</v>
      </c>
      <c r="N190" s="10"/>
      <c r="O190" s="395"/>
      <c r="P190" s="392" t="s">
        <v>1610</v>
      </c>
      <c r="Q190" s="387" t="s">
        <v>1608</v>
      </c>
      <c r="R190" s="393" t="s">
        <v>336</v>
      </c>
      <c r="U190" s="117" t="s">
        <v>1593</v>
      </c>
      <c r="V190" s="431">
        <f>IFERROR(((RESUMO!C101)*(VLOOKUP(B188,$O$140:$S$146,3,0))),0)</f>
        <v>0.99749018218324625</v>
      </c>
      <c r="W190" s="430">
        <f>IFERROR(((RESUMO!C101)*(VLOOKUP(B188,$O$140:$S$146,4,0))),0)</f>
        <v>0</v>
      </c>
      <c r="X190" s="432">
        <f>IFERROR(IF(B188&lt;3,0,(RESUMO!C101)*(VLOOKUP(B188,$O$140:$S$146,5,0))),0)</f>
        <v>0</v>
      </c>
      <c r="Y190" s="440">
        <f t="shared" ref="Y190:Y207" si="53">IFERROR(V190/$V$208,0)</f>
        <v>0.99749018218324625</v>
      </c>
      <c r="Z190" s="441">
        <f t="shared" ref="Z190:Z207" si="54">IFERROR(W190/$W$208,0)</f>
        <v>0</v>
      </c>
      <c r="AA190" s="442">
        <f t="shared" ref="AA190:AA207" si="55">IFERROR(X190/$X$208,0)</f>
        <v>0</v>
      </c>
      <c r="AB190" s="467">
        <f>RESUMO!E101</f>
        <v>5484.4363636363651</v>
      </c>
      <c r="AC190" s="450">
        <f t="shared" ref="AC190:AC197" si="56">IFERROR(Y190/SUM(Y190:AA190)*AB190/$I$15,0)*$I$12*$AC$137</f>
        <v>572.78708758604341</v>
      </c>
      <c r="AD190" s="451">
        <f t="shared" ref="AD190:AD197" si="57">IFERROR(Z190/SUM(Y190:AA190)*AB190/$J$15,0)*$I$12*$AD$137</f>
        <v>0</v>
      </c>
      <c r="AE190" s="452">
        <f t="shared" ref="AE190:AE197" si="58">IFERROR(AA190/SUM(Y190:AA190)*AB190/$K$15,0)*$I$12*$AE$137</f>
        <v>0</v>
      </c>
      <c r="AF190" s="468"/>
      <c r="AG190" s="452">
        <f t="shared" ref="AG190:AG197" si="59">AC190</f>
        <v>572.78708758604341</v>
      </c>
      <c r="AH190" s="468"/>
      <c r="AI190" s="452">
        <f t="shared" ref="AI190:AI197" si="60">AD190</f>
        <v>0</v>
      </c>
      <c r="AJ190" s="468"/>
      <c r="AK190" s="452">
        <f t="shared" ref="AK190:AK197" si="61">AE190</f>
        <v>0</v>
      </c>
    </row>
    <row r="191" spans="1:37" outlineLevel="2">
      <c r="A191" s="5" t="s">
        <v>2403</v>
      </c>
      <c r="B191" s="549">
        <f t="shared" si="51"/>
        <v>1</v>
      </c>
      <c r="C191" s="192">
        <f>SUM(Y196:Y198)</f>
        <v>0</v>
      </c>
      <c r="D191" s="192">
        <f>SUM(Z196:Z198)</f>
        <v>0</v>
      </c>
      <c r="E191" s="192">
        <f>SUM(AA196:AA198)</f>
        <v>0</v>
      </c>
      <c r="F191" s="112"/>
      <c r="G191" s="4"/>
      <c r="H191" s="4"/>
      <c r="I191" s="4"/>
      <c r="J191" s="112"/>
      <c r="K191" s="4"/>
      <c r="L191" s="4"/>
      <c r="M191" s="236" t="s">
        <v>1603</v>
      </c>
      <c r="N191" s="177">
        <f>SUMIF('BD VOLUME'!D:D,Preencher!M191,'BD VOLUME'!J:J)</f>
        <v>0.79858183502463287</v>
      </c>
      <c r="O191" s="177">
        <f>IFERROR(N191/(SUM($N$191:$N$194)),0)</f>
        <v>1</v>
      </c>
      <c r="P191" s="388">
        <f>((B138*(O192+O194)*'BD VOLUME'!$C$3)*((Preencher!$I$13+Preencher!$I$14)/(SUM($I$13:$K$14)))/Preencher!$I$15)*(VLOOKUP(B181,$O$140:$S$146,3,0))</f>
        <v>0</v>
      </c>
      <c r="Q191" s="388">
        <f>IF(C185*F185&gt;P191,P191,C185*F185)</f>
        <v>0</v>
      </c>
      <c r="R191" s="388">
        <f>IFERROR(P191-Q191,0)</f>
        <v>0</v>
      </c>
      <c r="U191" s="117" t="s">
        <v>1592</v>
      </c>
      <c r="V191" s="431">
        <f>IFERROR(((RESUMO!C102)*(VLOOKUP(B189,$O$140:$S$146,3,0))),0)</f>
        <v>0</v>
      </c>
      <c r="W191" s="430">
        <f>IFERROR(((RESUMO!C102)*(VLOOKUP(B189,$O$140:$S$146,4,0))),0)</f>
        <v>0</v>
      </c>
      <c r="X191" s="432">
        <f>IFERROR(IF(B189&lt;3,0,(RESUMO!C102)*(VLOOKUP(B189,$O$140:$S$146,5,0))),0)</f>
        <v>0</v>
      </c>
      <c r="Y191" s="443">
        <f t="shared" si="53"/>
        <v>0</v>
      </c>
      <c r="Z191" s="428">
        <f t="shared" si="54"/>
        <v>0</v>
      </c>
      <c r="AA191" s="444">
        <f t="shared" si="55"/>
        <v>0</v>
      </c>
      <c r="AB191" s="448">
        <f>RESUMO!E102</f>
        <v>0</v>
      </c>
      <c r="AC191" s="453">
        <f t="shared" si="56"/>
        <v>0</v>
      </c>
      <c r="AD191" s="429">
        <f t="shared" si="57"/>
        <v>0</v>
      </c>
      <c r="AE191" s="454">
        <f t="shared" si="58"/>
        <v>0</v>
      </c>
      <c r="AF191" s="381"/>
      <c r="AG191" s="454">
        <f t="shared" si="59"/>
        <v>0</v>
      </c>
      <c r="AH191" s="381"/>
      <c r="AI191" s="454">
        <f t="shared" si="60"/>
        <v>0</v>
      </c>
      <c r="AJ191" s="381"/>
      <c r="AK191" s="454">
        <f t="shared" si="61"/>
        <v>0</v>
      </c>
    </row>
    <row r="192" spans="1:37" ht="15" customHeight="1" outlineLevel="2">
      <c r="A192" s="5" t="s">
        <v>1591</v>
      </c>
      <c r="B192" s="549">
        <f t="shared" si="51"/>
        <v>1</v>
      </c>
      <c r="C192" s="192">
        <f t="shared" ref="C192:E198" si="62">Y199</f>
        <v>0</v>
      </c>
      <c r="D192" s="192">
        <f t="shared" si="62"/>
        <v>0</v>
      </c>
      <c r="E192" s="192">
        <f t="shared" si="62"/>
        <v>0</v>
      </c>
      <c r="F192" s="112"/>
      <c r="G192" s="4"/>
      <c r="H192" s="4"/>
      <c r="I192" s="4"/>
      <c r="J192" s="112"/>
      <c r="K192" s="4"/>
      <c r="L192" s="4"/>
      <c r="M192" s="236" t="s">
        <v>1605</v>
      </c>
      <c r="N192" s="177">
        <f>SUMIF('BD VOLUME'!D:D,Preencher!M192,'BD VOLUME'!J:J)</f>
        <v>0</v>
      </c>
      <c r="O192" s="177">
        <f>IFERROR(N192/(SUM($N$191:$N$194)),0)</f>
        <v>0</v>
      </c>
      <c r="P192" s="388" t="e">
        <f>((B138*(O192+O194)*'BD VOLUME'!$C$3)*((Preencher!$J$13+Preencher!$J$14)/(SUM($I$13:$K$14)))/Preencher!$J$15)*(VLOOKUP(B181,$O$140:$S$146,4,0))</f>
        <v>#DIV/0!</v>
      </c>
      <c r="Q192" s="388" t="e">
        <f>IF(C185*F185&gt;P192,P192,C185*F185)</f>
        <v>#DIV/0!</v>
      </c>
      <c r="R192" s="388">
        <f>IFERROR(P192-Q192,0)</f>
        <v>0</v>
      </c>
      <c r="U192" s="117" t="s">
        <v>1594</v>
      </c>
      <c r="V192" s="431">
        <f>IFERROR(((RESUMO!C103)*(VLOOKUP(B189,$O$140:$S$146,3,0))),0)</f>
        <v>0</v>
      </c>
      <c r="W192" s="430">
        <f>IFERROR(((RESUMO!C103)*(VLOOKUP(B189,$O$140:$S$146,4,0))),0)</f>
        <v>0</v>
      </c>
      <c r="X192" s="432">
        <f>IFERROR(IF(B189&lt;3,0,(RESUMO!C103)*(VLOOKUP(B189,$O$140:$S$146,5,0))),0)</f>
        <v>0</v>
      </c>
      <c r="Y192" s="443">
        <f t="shared" si="53"/>
        <v>0</v>
      </c>
      <c r="Z192" s="428">
        <f t="shared" si="54"/>
        <v>0</v>
      </c>
      <c r="AA192" s="444">
        <f t="shared" si="55"/>
        <v>0</v>
      </c>
      <c r="AB192" s="448">
        <f>RESUMO!E103</f>
        <v>0</v>
      </c>
      <c r="AC192" s="453">
        <f t="shared" si="56"/>
        <v>0</v>
      </c>
      <c r="AD192" s="429">
        <f t="shared" si="57"/>
        <v>0</v>
      </c>
      <c r="AE192" s="454">
        <f t="shared" si="58"/>
        <v>0</v>
      </c>
      <c r="AF192" s="381"/>
      <c r="AG192" s="454">
        <f t="shared" si="59"/>
        <v>0</v>
      </c>
      <c r="AH192" s="381"/>
      <c r="AI192" s="454">
        <f t="shared" si="60"/>
        <v>0</v>
      </c>
      <c r="AJ192" s="381"/>
      <c r="AK192" s="454">
        <f t="shared" si="61"/>
        <v>0</v>
      </c>
    </row>
    <row r="193" spans="1:37" outlineLevel="2">
      <c r="A193" s="5" t="s">
        <v>892</v>
      </c>
      <c r="B193" s="549">
        <f t="shared" si="51"/>
        <v>1</v>
      </c>
      <c r="C193" s="192">
        <f t="shared" si="62"/>
        <v>0</v>
      </c>
      <c r="D193" s="192">
        <f t="shared" si="62"/>
        <v>0</v>
      </c>
      <c r="E193" s="192">
        <f t="shared" si="62"/>
        <v>0</v>
      </c>
      <c r="F193" s="112"/>
      <c r="G193" s="4"/>
      <c r="H193" s="4"/>
      <c r="I193" s="4"/>
      <c r="J193" s="112"/>
      <c r="K193" s="4"/>
      <c r="L193" s="4"/>
      <c r="M193" s="236" t="s">
        <v>1604</v>
      </c>
      <c r="N193" s="177">
        <f>SUMIF('BD VOLUME'!D:D,Preencher!M193,'BD VOLUME'!J:J)</f>
        <v>0</v>
      </c>
      <c r="O193" s="177">
        <f>IFERROR(N193/(SUM($N$191:$N$194)),0)</f>
        <v>0</v>
      </c>
      <c r="P193" s="388">
        <f>IFERROR(IF($B$181&lt;3,0,((B138*(O192+O194)*'BD VOLUME'!$C$3)*((Preencher!$K$13+Preencher!$K$14)/(SUM($I$13:$K$14)))/Preencher!$K$15)*(VLOOKUP($B$181,$O$140:$S$146,5,0))),0)</f>
        <v>0</v>
      </c>
      <c r="Q193" s="388">
        <f>IF(C185*F185&gt;P193,P193,C185*F185)</f>
        <v>0</v>
      </c>
      <c r="R193" s="388">
        <f>IFERROR(P193-Q193,0)</f>
        <v>0</v>
      </c>
      <c r="U193" s="117" t="s">
        <v>1595</v>
      </c>
      <c r="V193" s="431">
        <f>IFERROR(((RESUMO!C104)*(VLOOKUP(B190,$O$140:$S$146,3,0))),0)</f>
        <v>0</v>
      </c>
      <c r="W193" s="430">
        <f>IFERROR(((RESUMO!C104)*(VLOOKUP(B190,$O$140:$S$146,4,0))),0)</f>
        <v>0</v>
      </c>
      <c r="X193" s="432">
        <f>IFERROR(IF(B190&lt;3,0,(RESUMO!C104)*(VLOOKUP(B190,$O$140:$S$146,5,0))),0)</f>
        <v>0</v>
      </c>
      <c r="Y193" s="443">
        <f t="shared" si="53"/>
        <v>0</v>
      </c>
      <c r="Z193" s="428">
        <f t="shared" si="54"/>
        <v>0</v>
      </c>
      <c r="AA193" s="444">
        <f t="shared" si="55"/>
        <v>0</v>
      </c>
      <c r="AB193" s="448">
        <f>RESUMO!E104</f>
        <v>0</v>
      </c>
      <c r="AC193" s="453">
        <f t="shared" si="56"/>
        <v>0</v>
      </c>
      <c r="AD193" s="429">
        <f t="shared" si="57"/>
        <v>0</v>
      </c>
      <c r="AE193" s="454">
        <f t="shared" si="58"/>
        <v>0</v>
      </c>
      <c r="AF193" s="381"/>
      <c r="AG193" s="454">
        <f t="shared" si="59"/>
        <v>0</v>
      </c>
      <c r="AH193" s="381"/>
      <c r="AI193" s="454">
        <f t="shared" si="60"/>
        <v>0</v>
      </c>
      <c r="AJ193" s="381"/>
      <c r="AK193" s="454">
        <f t="shared" si="61"/>
        <v>0</v>
      </c>
    </row>
    <row r="194" spans="1:37" outlineLevel="2">
      <c r="A194" s="5" t="s">
        <v>1590</v>
      </c>
      <c r="B194" s="549">
        <f t="shared" si="51"/>
        <v>1</v>
      </c>
      <c r="C194" s="192">
        <f t="shared" si="62"/>
        <v>0</v>
      </c>
      <c r="D194" s="192">
        <f t="shared" si="62"/>
        <v>0</v>
      </c>
      <c r="E194" s="192">
        <f t="shared" si="62"/>
        <v>0</v>
      </c>
      <c r="F194" s="112"/>
      <c r="G194" s="4"/>
      <c r="H194" s="4"/>
      <c r="I194" s="4"/>
      <c r="J194" s="112"/>
      <c r="K194" s="4"/>
      <c r="L194" s="4"/>
      <c r="M194" s="236" t="s">
        <v>1606</v>
      </c>
      <c r="N194" s="177">
        <f>SUMIF('BD VOLUME'!D:D,Preencher!M194,'BD VOLUME'!J:J)</f>
        <v>0</v>
      </c>
      <c r="O194" s="177">
        <f>IFERROR(N194/(SUM($N$191:$N$194)),0)</f>
        <v>0</v>
      </c>
      <c r="P194" s="388"/>
      <c r="Q194" s="388"/>
      <c r="R194" s="31"/>
      <c r="U194" s="117" t="s">
        <v>1596</v>
      </c>
      <c r="V194" s="431">
        <f>IFERROR(((RESUMO!C105)*(VLOOKUP(B190,$O$140:$S$146,3,0))),0)</f>
        <v>0</v>
      </c>
      <c r="W194" s="430">
        <f>IFERROR(((RESUMO!C105)*(VLOOKUP(B190,$O$140:$S$146,4,0))),0)</f>
        <v>0</v>
      </c>
      <c r="X194" s="432">
        <f>IFERROR(IF(B190&lt;3,0,(RESUMO!C105)*(VLOOKUP(B190,$O$140:$S$146,5,0))),0)</f>
        <v>0</v>
      </c>
      <c r="Y194" s="443">
        <f t="shared" si="53"/>
        <v>0</v>
      </c>
      <c r="Z194" s="428">
        <f t="shared" si="54"/>
        <v>0</v>
      </c>
      <c r="AA194" s="444">
        <f t="shared" si="55"/>
        <v>0</v>
      </c>
      <c r="AB194" s="448">
        <f>RESUMO!E105</f>
        <v>0</v>
      </c>
      <c r="AC194" s="453">
        <f t="shared" si="56"/>
        <v>0</v>
      </c>
      <c r="AD194" s="429">
        <f t="shared" si="57"/>
        <v>0</v>
      </c>
      <c r="AE194" s="454">
        <f t="shared" si="58"/>
        <v>0</v>
      </c>
      <c r="AF194" s="381"/>
      <c r="AG194" s="454">
        <f t="shared" si="59"/>
        <v>0</v>
      </c>
      <c r="AH194" s="381"/>
      <c r="AI194" s="454">
        <f t="shared" si="60"/>
        <v>0</v>
      </c>
      <c r="AJ194" s="381"/>
      <c r="AK194" s="454">
        <f t="shared" si="61"/>
        <v>0</v>
      </c>
    </row>
    <row r="195" spans="1:37" outlineLevel="2">
      <c r="A195" s="5" t="s">
        <v>2567</v>
      </c>
      <c r="B195" s="549">
        <f t="shared" si="51"/>
        <v>1</v>
      </c>
      <c r="C195" s="192">
        <f t="shared" si="62"/>
        <v>0</v>
      </c>
      <c r="D195" s="192">
        <f t="shared" si="62"/>
        <v>0</v>
      </c>
      <c r="E195" s="192">
        <f t="shared" si="62"/>
        <v>0</v>
      </c>
      <c r="F195" s="112"/>
      <c r="G195" s="4"/>
      <c r="H195" s="4"/>
      <c r="I195" s="4"/>
      <c r="J195" s="112"/>
      <c r="K195" s="4"/>
      <c r="L195" s="4"/>
      <c r="M195" s="4"/>
      <c r="O195" s="236"/>
      <c r="P195" s="177"/>
      <c r="Q195" s="177"/>
      <c r="R195" s="388"/>
      <c r="S195" s="388"/>
      <c r="T195" s="388"/>
      <c r="U195" s="117" t="s">
        <v>1601</v>
      </c>
      <c r="V195" s="431">
        <f>IFERROR(((RESUMO!C106)*(VLOOKUP(B190,$O$140:$S$146,3,0))),0)</f>
        <v>0</v>
      </c>
      <c r="W195" s="430">
        <f>IFERROR(((RESUMO!C106)*(VLOOKUP(B190,$O$140:$S$146,4,0))),0)</f>
        <v>0</v>
      </c>
      <c r="X195" s="432">
        <f>IFERROR(IF(B191&lt;3,0,(RESUMO!C106)*(VLOOKUP(B191,$O$140:$S$146,5,0))),0)</f>
        <v>0</v>
      </c>
      <c r="Y195" s="443">
        <f t="shared" si="53"/>
        <v>0</v>
      </c>
      <c r="Z195" s="428">
        <f t="shared" si="54"/>
        <v>0</v>
      </c>
      <c r="AA195" s="444">
        <f t="shared" si="55"/>
        <v>0</v>
      </c>
      <c r="AB195" s="448">
        <f>RESUMO!E106</f>
        <v>0</v>
      </c>
      <c r="AC195" s="453">
        <f t="shared" si="56"/>
        <v>0</v>
      </c>
      <c r="AD195" s="429">
        <f t="shared" si="57"/>
        <v>0</v>
      </c>
      <c r="AE195" s="454">
        <f t="shared" si="58"/>
        <v>0</v>
      </c>
      <c r="AF195" s="381"/>
      <c r="AG195" s="454">
        <f t="shared" si="59"/>
        <v>0</v>
      </c>
      <c r="AH195" s="381"/>
      <c r="AI195" s="454">
        <f t="shared" si="60"/>
        <v>0</v>
      </c>
      <c r="AJ195" s="381"/>
      <c r="AK195" s="454">
        <f t="shared" si="61"/>
        <v>0</v>
      </c>
    </row>
    <row r="196" spans="1:37" outlineLevel="2">
      <c r="A196" s="5" t="s">
        <v>1589</v>
      </c>
      <c r="B196" s="549">
        <f t="shared" si="51"/>
        <v>1</v>
      </c>
      <c r="C196" s="192">
        <f t="shared" si="62"/>
        <v>2.5098178167537715E-3</v>
      </c>
      <c r="D196" s="192">
        <f t="shared" si="62"/>
        <v>0</v>
      </c>
      <c r="E196" s="192">
        <f t="shared" si="62"/>
        <v>0</v>
      </c>
      <c r="F196" s="112"/>
      <c r="G196" s="4"/>
      <c r="H196" s="4"/>
      <c r="I196" s="4"/>
      <c r="J196" s="112"/>
      <c r="K196" s="4"/>
      <c r="L196" s="4"/>
      <c r="M196" s="4"/>
      <c r="R196" s="388"/>
      <c r="S196" s="388"/>
      <c r="T196" s="388"/>
      <c r="U196" s="117" t="s">
        <v>1597</v>
      </c>
      <c r="V196" s="431">
        <f>IFERROR(((RESUMO!C107)*(VLOOKUP(B191,$O$140:$S$146,3,0))),0)</f>
        <v>0</v>
      </c>
      <c r="W196" s="430">
        <f>IFERROR(((RESUMO!C107)*(VLOOKUP(B191,$O$140:$S$146,4,0))),0)</f>
        <v>0</v>
      </c>
      <c r="X196" s="432">
        <f>IFERROR(IF(B191&lt;3,0,(RESUMO!C107)*(VLOOKUP(B191,$O$140:$S$146,5,0))),0)</f>
        <v>0</v>
      </c>
      <c r="Y196" s="443">
        <f t="shared" si="53"/>
        <v>0</v>
      </c>
      <c r="Z196" s="428">
        <f t="shared" si="54"/>
        <v>0</v>
      </c>
      <c r="AA196" s="444">
        <f t="shared" si="55"/>
        <v>0</v>
      </c>
      <c r="AB196" s="448">
        <f>RESUMO!E107</f>
        <v>0</v>
      </c>
      <c r="AC196" s="453">
        <f t="shared" si="56"/>
        <v>0</v>
      </c>
      <c r="AD196" s="429">
        <f t="shared" si="57"/>
        <v>0</v>
      </c>
      <c r="AE196" s="454">
        <f t="shared" si="58"/>
        <v>0</v>
      </c>
      <c r="AF196" s="453"/>
      <c r="AG196" s="454">
        <f t="shared" si="59"/>
        <v>0</v>
      </c>
      <c r="AH196" s="453"/>
      <c r="AI196" s="454">
        <f t="shared" si="60"/>
        <v>0</v>
      </c>
      <c r="AJ196" s="453"/>
      <c r="AK196" s="454">
        <f t="shared" si="61"/>
        <v>0</v>
      </c>
    </row>
    <row r="197" spans="1:37" outlineLevel="2">
      <c r="A197" s="5" t="s">
        <v>1874</v>
      </c>
      <c r="B197" s="549">
        <f t="shared" si="51"/>
        <v>1</v>
      </c>
      <c r="C197" s="192">
        <f t="shared" si="62"/>
        <v>0</v>
      </c>
      <c r="D197" s="192">
        <f t="shared" si="62"/>
        <v>0</v>
      </c>
      <c r="E197" s="192">
        <f t="shared" si="62"/>
        <v>0</v>
      </c>
      <c r="F197" s="112"/>
      <c r="G197" s="4"/>
      <c r="H197" s="4"/>
      <c r="I197" s="4"/>
      <c r="J197" s="112"/>
      <c r="K197" s="4"/>
      <c r="L197" s="4"/>
      <c r="M197" s="4"/>
      <c r="R197" s="388"/>
      <c r="S197" s="388"/>
      <c r="T197" s="388"/>
      <c r="U197" s="117" t="s">
        <v>1598</v>
      </c>
      <c r="V197" s="431">
        <f>IFERROR(((RESUMO!C108)*(VLOOKUP(B191,$O$140:$S$146,3,0))),0)</f>
        <v>0</v>
      </c>
      <c r="W197" s="430">
        <f>IFERROR(((RESUMO!C108)*(VLOOKUP(B191,$O$140:$S$146,4,0))),0)</f>
        <v>0</v>
      </c>
      <c r="X197" s="432">
        <f>IFERROR(IF(B191&lt;3,0,(RESUMO!C108)*(VLOOKUP(B191,$O$140:$S$146,5,0))),0)</f>
        <v>0</v>
      </c>
      <c r="Y197" s="443">
        <f t="shared" si="53"/>
        <v>0</v>
      </c>
      <c r="Z197" s="428">
        <f t="shared" si="54"/>
        <v>0</v>
      </c>
      <c r="AA197" s="444">
        <f t="shared" si="55"/>
        <v>0</v>
      </c>
      <c r="AB197" s="448">
        <f>RESUMO!E108</f>
        <v>0</v>
      </c>
      <c r="AC197" s="453">
        <f t="shared" si="56"/>
        <v>0</v>
      </c>
      <c r="AD197" s="429">
        <f t="shared" si="57"/>
        <v>0</v>
      </c>
      <c r="AE197" s="454">
        <f t="shared" si="58"/>
        <v>0</v>
      </c>
      <c r="AF197" s="453"/>
      <c r="AG197" s="454">
        <f t="shared" si="59"/>
        <v>0</v>
      </c>
      <c r="AH197" s="453"/>
      <c r="AI197" s="454">
        <f t="shared" si="60"/>
        <v>0</v>
      </c>
      <c r="AJ197" s="453"/>
      <c r="AK197" s="454">
        <f t="shared" si="61"/>
        <v>0</v>
      </c>
    </row>
    <row r="198" spans="1:37" outlineLevel="2">
      <c r="A198" s="5" t="s">
        <v>1445</v>
      </c>
      <c r="B198" s="549">
        <f t="shared" si="51"/>
        <v>1</v>
      </c>
      <c r="C198" s="192">
        <f t="shared" si="62"/>
        <v>0</v>
      </c>
      <c r="D198" s="192">
        <f t="shared" si="62"/>
        <v>0</v>
      </c>
      <c r="E198" s="192">
        <f t="shared" si="62"/>
        <v>0</v>
      </c>
      <c r="F198" s="112"/>
      <c r="G198" s="4"/>
      <c r="H198" s="4"/>
      <c r="I198" s="4"/>
      <c r="J198" s="112"/>
      <c r="K198" s="4"/>
      <c r="L198" s="4"/>
      <c r="M198" s="4"/>
      <c r="O198" s="368" t="s">
        <v>1611</v>
      </c>
      <c r="P198" s="202" t="s">
        <v>1613</v>
      </c>
      <c r="Q198" s="202" t="s">
        <v>1612</v>
      </c>
      <c r="R198" s="388"/>
      <c r="S198" s="388"/>
      <c r="T198" s="388"/>
      <c r="U198" s="117" t="s">
        <v>2402</v>
      </c>
      <c r="V198" s="431">
        <f>IFERROR(((RESUMO!C109)*(VLOOKUP(B191,$O$140:$S$146,3,0))),0)</f>
        <v>0</v>
      </c>
      <c r="W198" s="430">
        <f>IFERROR(((RESUMO!C109)*(VLOOKUP(B191,$O$140:$S$146,4,0))),0)</f>
        <v>0</v>
      </c>
      <c r="X198" s="432">
        <f>IFERROR(IF(B191&lt;3,0,(RESUMO!C109)*(VLOOKUP(B191,$O$140:$S$146,5,0))),0)</f>
        <v>0</v>
      </c>
      <c r="Y198" s="443">
        <f t="shared" si="53"/>
        <v>0</v>
      </c>
      <c r="Z198" s="428">
        <f t="shared" si="54"/>
        <v>0</v>
      </c>
      <c r="AA198" s="444">
        <f t="shared" si="55"/>
        <v>0</v>
      </c>
      <c r="AB198" s="448">
        <f>RESUMO!E109</f>
        <v>0</v>
      </c>
      <c r="AC198" s="453">
        <f>IFERROR(Y198/SUM(Y198:AA198)*AB198/$I$15,0)*$I$12*$AC$137</f>
        <v>0</v>
      </c>
      <c r="AD198" s="429">
        <f>IFERROR(Z198/SUM(Y198:AA198)*AB198/$J$15,0)*$I$12*$AD$137</f>
        <v>0</v>
      </c>
      <c r="AE198" s="454">
        <f>IFERROR(AA198/SUM(Y198:AA198)*AB198/$K$15,0)*$I$12*$AE$137</f>
        <v>0</v>
      </c>
      <c r="AF198" s="453"/>
      <c r="AG198" s="454">
        <f t="shared" ref="AG198:AG207" si="63">AC198</f>
        <v>0</v>
      </c>
      <c r="AH198" s="453"/>
      <c r="AI198" s="454">
        <f t="shared" ref="AI198:AI207" si="64">AD198</f>
        <v>0</v>
      </c>
      <c r="AJ198" s="453"/>
      <c r="AK198" s="454">
        <f t="shared" ref="AK198:AK207" si="65">AE198</f>
        <v>0</v>
      </c>
    </row>
    <row r="199" spans="1:37" outlineLevel="2">
      <c r="A199" s="5" t="s">
        <v>933</v>
      </c>
      <c r="B199" s="549">
        <f t="shared" si="51"/>
        <v>1</v>
      </c>
      <c r="C199" s="192">
        <f>SUM(Y206:Y207)</f>
        <v>0</v>
      </c>
      <c r="D199" s="192">
        <f>SUM(Z206:Z207)</f>
        <v>0</v>
      </c>
      <c r="E199" s="192">
        <f>SUM(AA206:AA207)</f>
        <v>0</v>
      </c>
      <c r="F199" s="112"/>
      <c r="G199" s="4"/>
      <c r="H199" s="4"/>
      <c r="I199" s="4"/>
      <c r="J199" s="112"/>
      <c r="K199" s="4"/>
      <c r="L199" s="4"/>
      <c r="M199" s="4"/>
      <c r="O199" s="398">
        <f>IFERROR(((B138*(O193+O194)*'BD VOLUME'!$C$3)*((Preencher!$I$13+Preencher!$I$14)/(SUM($I$13:$K$14)))/Preencher!$I$15)*(VLOOKUP(B180,$O$140:$S$146,3,0)),0)</f>
        <v>0</v>
      </c>
      <c r="P199" s="388">
        <f>IFERROR(((B138*(O193+O194)*'BD VOLUME'!$C$3)*((Preencher!$J$13+Preencher!$J$14)/(SUM($I$13:$K$14)))/Preencher!$J$15)*(VLOOKUP(B180,$O$140:$S$146,4,0)),0)</f>
        <v>0</v>
      </c>
      <c r="Q199" s="388">
        <f>IFERROR(IF($B$180&lt;3,0,((B138*(O193+O194)*'BD VOLUME'!$C$3)*((Preencher!$K$13+Preencher!$K$14)/(SUM($I$13:$K$14)))/Preencher!$K$15)*(VLOOKUP($B$180,$O$140:$S$146,5,0))),0)</f>
        <v>0</v>
      </c>
      <c r="R199" s="388"/>
      <c r="S199" s="388"/>
      <c r="T199" s="388"/>
      <c r="U199" s="117" t="s">
        <v>1591</v>
      </c>
      <c r="V199" s="431">
        <f>IFERROR(((RESUMO!C110)*(VLOOKUP(B192,$O$140:$S$146,3,0))),0)</f>
        <v>0</v>
      </c>
      <c r="W199" s="430">
        <f>IFERROR(((RESUMO!C110)*(VLOOKUP(B192,$O$140:$S$146,4,0))),0)</f>
        <v>0</v>
      </c>
      <c r="X199" s="432">
        <f>IFERROR(IF(B192&lt;3,0,(RESUMO!C110)*(VLOOKUP(B192,$O$140:$S$146,5,0))),0)</f>
        <v>0</v>
      </c>
      <c r="Y199" s="443">
        <f t="shared" si="53"/>
        <v>0</v>
      </c>
      <c r="Z199" s="428">
        <f t="shared" si="54"/>
        <v>0</v>
      </c>
      <c r="AA199" s="444">
        <f t="shared" si="55"/>
        <v>0</v>
      </c>
      <c r="AB199" s="448">
        <f>RESUMO!E110</f>
        <v>0</v>
      </c>
      <c r="AC199" s="453">
        <f t="shared" ref="AC199:AC207" si="66">IFERROR(Y199/SUM(Y199:AA199)*AB199/$I$15,0)*$I$12*$AC$137</f>
        <v>0</v>
      </c>
      <c r="AD199" s="429">
        <f t="shared" ref="AD199:AD207" si="67">IFERROR(Z199/SUM(Y199:AA199)*AB199/$J$15,0)*$I$12*$AD$137</f>
        <v>0</v>
      </c>
      <c r="AE199" s="454">
        <f t="shared" ref="AE199:AE207" si="68">IFERROR(AA199/SUM(Y199:AA199)*AB199/$K$15,0)*$I$12*$AE$137</f>
        <v>0</v>
      </c>
      <c r="AF199" s="453"/>
      <c r="AG199" s="454">
        <f t="shared" si="63"/>
        <v>0</v>
      </c>
      <c r="AH199" s="453"/>
      <c r="AI199" s="454">
        <f t="shared" si="64"/>
        <v>0</v>
      </c>
      <c r="AJ199" s="453"/>
      <c r="AK199" s="454">
        <f t="shared" si="65"/>
        <v>0</v>
      </c>
    </row>
    <row r="200" spans="1:37" outlineLevel="2">
      <c r="A200" s="24" t="str">
        <f>IF(C200=100%,"***SOMA DE VOLUMES CORRETA***","***SOMA DE VOLUME ERRADA***")</f>
        <v>***SOMA DE VOLUMES CORRETA***</v>
      </c>
      <c r="B200" s="112"/>
      <c r="C200" s="112">
        <f>SUM(C188:C199)</f>
        <v>1</v>
      </c>
      <c r="D200" s="112">
        <f>SUM(D188:D199)</f>
        <v>0</v>
      </c>
      <c r="E200" s="112">
        <f>SUM(E188:E199)</f>
        <v>0</v>
      </c>
      <c r="F200" s="112"/>
      <c r="G200" s="4"/>
      <c r="H200" s="4"/>
      <c r="I200" s="4"/>
      <c r="J200" s="112"/>
      <c r="K200" s="4"/>
      <c r="L200" s="4"/>
      <c r="M200" s="4"/>
      <c r="T200" s="388"/>
      <c r="U200" s="117" t="s">
        <v>892</v>
      </c>
      <c r="V200" s="431">
        <f>IFERROR(((RESUMO!C111)*(VLOOKUP(B193,$O$140:$S$146,3,0))),0)</f>
        <v>0</v>
      </c>
      <c r="W200" s="430">
        <f>IFERROR(((RESUMO!C111)*(VLOOKUP(B193,$O$140:$S$146,4,0))),0)</f>
        <v>0</v>
      </c>
      <c r="X200" s="432">
        <f>IFERROR(IF(B193&lt;3,0,(RESUMO!C111)*(VLOOKUP(B193,$O$140:$S$146,5,0))),0)</f>
        <v>0</v>
      </c>
      <c r="Y200" s="443">
        <f t="shared" si="53"/>
        <v>0</v>
      </c>
      <c r="Z200" s="428">
        <f t="shared" si="54"/>
        <v>0</v>
      </c>
      <c r="AA200" s="444">
        <f t="shared" si="55"/>
        <v>0</v>
      </c>
      <c r="AB200" s="448">
        <f>RESUMO!E111</f>
        <v>0</v>
      </c>
      <c r="AC200" s="453">
        <f t="shared" si="66"/>
        <v>0</v>
      </c>
      <c r="AD200" s="429">
        <f t="shared" si="67"/>
        <v>0</v>
      </c>
      <c r="AE200" s="454">
        <f t="shared" si="68"/>
        <v>0</v>
      </c>
      <c r="AF200" s="453"/>
      <c r="AG200" s="454">
        <f t="shared" si="63"/>
        <v>0</v>
      </c>
      <c r="AH200" s="453"/>
      <c r="AI200" s="454">
        <f t="shared" si="64"/>
        <v>0</v>
      </c>
      <c r="AJ200" s="453"/>
      <c r="AK200" s="454">
        <f t="shared" si="65"/>
        <v>0</v>
      </c>
    </row>
    <row r="201" spans="1:37" outlineLevel="2">
      <c r="U201" s="117" t="s">
        <v>1590</v>
      </c>
      <c r="V201" s="431">
        <f>IFERROR(((RESUMO!C112)*(VLOOKUP(B194,$O$140:$S$146,3,0))),0)</f>
        <v>0</v>
      </c>
      <c r="W201" s="430">
        <f>IFERROR(((RESUMO!C112)*(VLOOKUP(B194,$O$140:$S$146,4,0))),0)</f>
        <v>0</v>
      </c>
      <c r="X201" s="432">
        <f>IFERROR(IF(B194&lt;3,0,(RESUMO!C112)*(VLOOKUP(B194,$O$140:$S$146,5,0))),0)</f>
        <v>0</v>
      </c>
      <c r="Y201" s="443">
        <f t="shared" si="53"/>
        <v>0</v>
      </c>
      <c r="Z201" s="428">
        <f t="shared" si="54"/>
        <v>0</v>
      </c>
      <c r="AA201" s="444">
        <f t="shared" si="55"/>
        <v>0</v>
      </c>
      <c r="AB201" s="448">
        <f>RESUMO!E112</f>
        <v>0</v>
      </c>
      <c r="AC201" s="453">
        <f t="shared" si="66"/>
        <v>0</v>
      </c>
      <c r="AD201" s="429">
        <f t="shared" si="67"/>
        <v>0</v>
      </c>
      <c r="AE201" s="454">
        <f t="shared" si="68"/>
        <v>0</v>
      </c>
      <c r="AF201" s="453"/>
      <c r="AG201" s="454">
        <f t="shared" si="63"/>
        <v>0</v>
      </c>
      <c r="AH201" s="453"/>
      <c r="AI201" s="454">
        <f t="shared" si="64"/>
        <v>0</v>
      </c>
      <c r="AJ201" s="453"/>
      <c r="AK201" s="454">
        <f t="shared" si="65"/>
        <v>0</v>
      </c>
    </row>
    <row r="202" spans="1:37" outlineLevel="2">
      <c r="U202" s="117" t="s">
        <v>2567</v>
      </c>
      <c r="V202" s="431">
        <f>IFERROR(((RESUMO!C113)*(VLOOKUP(B195,$O$140:$S$146,3,0))),0)</f>
        <v>0</v>
      </c>
      <c r="W202" s="430">
        <f>IFERROR(((RESUMO!C113)*(VLOOKUP(B195,$O$140:$S$146,4,0))),0)</f>
        <v>0</v>
      </c>
      <c r="X202" s="432">
        <f>IFERROR(IF(B195&lt;3,0,(RESUMO!C113)*(VLOOKUP(B195,$O$140:$S$146,5,0))),0)</f>
        <v>0</v>
      </c>
      <c r="Y202" s="443">
        <f t="shared" si="53"/>
        <v>0</v>
      </c>
      <c r="Z202" s="428">
        <f t="shared" si="54"/>
        <v>0</v>
      </c>
      <c r="AA202" s="444">
        <f t="shared" si="55"/>
        <v>0</v>
      </c>
      <c r="AB202" s="448">
        <f>RESUMO!E113</f>
        <v>0</v>
      </c>
      <c r="AC202" s="453">
        <f t="shared" si="66"/>
        <v>0</v>
      </c>
      <c r="AD202" s="429">
        <f t="shared" si="67"/>
        <v>0</v>
      </c>
      <c r="AE202" s="454">
        <f t="shared" si="68"/>
        <v>0</v>
      </c>
      <c r="AF202" s="453"/>
      <c r="AG202" s="454">
        <f t="shared" si="63"/>
        <v>0</v>
      </c>
      <c r="AH202" s="453"/>
      <c r="AI202" s="454">
        <f t="shared" si="64"/>
        <v>0</v>
      </c>
      <c r="AJ202" s="453"/>
      <c r="AK202" s="454">
        <f t="shared" si="65"/>
        <v>0</v>
      </c>
    </row>
    <row r="203" spans="1:37" outlineLevel="2">
      <c r="U203" s="117" t="s">
        <v>1589</v>
      </c>
      <c r="V203" s="431">
        <f>IFERROR(((RESUMO!C114)*(VLOOKUP(B196,$O$140:$S$146,3,0))),0)</f>
        <v>2.5098178167537715E-3</v>
      </c>
      <c r="W203" s="430">
        <f>IFERROR(((RESUMO!C114)*(VLOOKUP(B196,$O$140:$S$146,4,0))),0)</f>
        <v>0</v>
      </c>
      <c r="X203" s="432">
        <f>IFERROR(IF(B196&lt;3,0,(RESUMO!C114)*(VLOOKUP(B196,$O$140:$S$146,5,0))),0)</f>
        <v>0</v>
      </c>
      <c r="Y203" s="443">
        <f t="shared" si="53"/>
        <v>2.5098178167537715E-3</v>
      </c>
      <c r="Z203" s="428">
        <f t="shared" si="54"/>
        <v>0</v>
      </c>
      <c r="AA203" s="444">
        <f t="shared" si="55"/>
        <v>0</v>
      </c>
      <c r="AB203" s="448">
        <f>RESUMO!E114</f>
        <v>13.745454545454548</v>
      </c>
      <c r="AC203" s="453">
        <f t="shared" si="66"/>
        <v>1.4355566104913366</v>
      </c>
      <c r="AD203" s="429">
        <f t="shared" si="67"/>
        <v>0</v>
      </c>
      <c r="AE203" s="454">
        <f t="shared" si="68"/>
        <v>0</v>
      </c>
      <c r="AF203" s="453"/>
      <c r="AG203" s="454">
        <f t="shared" si="63"/>
        <v>1.4355566104913366</v>
      </c>
      <c r="AH203" s="453"/>
      <c r="AI203" s="454">
        <f t="shared" si="64"/>
        <v>0</v>
      </c>
      <c r="AJ203" s="453"/>
      <c r="AK203" s="454">
        <f t="shared" si="65"/>
        <v>0</v>
      </c>
    </row>
    <row r="204" spans="1:37" outlineLevel="2">
      <c r="U204" s="117" t="s">
        <v>1874</v>
      </c>
      <c r="V204" s="431">
        <f>IFERROR(((RESUMO!C115)*(VLOOKUP(B197,$O$140:$S$146,3,0))),0)</f>
        <v>0</v>
      </c>
      <c r="W204" s="430">
        <f>IFERROR(((RESUMO!C115)*(VLOOKUP(B197,$O$140:$S$146,4,0))),0)</f>
        <v>0</v>
      </c>
      <c r="X204" s="432">
        <f>IFERROR(IF(B197&lt;3,0,(RESUMO!C115)*(VLOOKUP(B197,$O$140:$S$146,5,0))),0)</f>
        <v>0</v>
      </c>
      <c r="Y204" s="443">
        <f t="shared" si="53"/>
        <v>0</v>
      </c>
      <c r="Z204" s="428">
        <f t="shared" si="54"/>
        <v>0</v>
      </c>
      <c r="AA204" s="444">
        <f t="shared" si="55"/>
        <v>0</v>
      </c>
      <c r="AB204" s="448">
        <f>RESUMO!E115</f>
        <v>0</v>
      </c>
      <c r="AC204" s="453">
        <f t="shared" si="66"/>
        <v>0</v>
      </c>
      <c r="AD204" s="429">
        <f t="shared" si="67"/>
        <v>0</v>
      </c>
      <c r="AE204" s="454">
        <f t="shared" si="68"/>
        <v>0</v>
      </c>
      <c r="AF204" s="453"/>
      <c r="AG204" s="454">
        <f t="shared" si="63"/>
        <v>0</v>
      </c>
      <c r="AH204" s="453"/>
      <c r="AI204" s="454">
        <f t="shared" si="64"/>
        <v>0</v>
      </c>
      <c r="AJ204" s="453"/>
      <c r="AK204" s="454">
        <f t="shared" si="65"/>
        <v>0</v>
      </c>
    </row>
    <row r="205" spans="1:37" outlineLevel="2">
      <c r="U205" s="117" t="s">
        <v>1445</v>
      </c>
      <c r="V205" s="431">
        <f>IFERROR(((RESUMO!C116)*(VLOOKUP(B198,$O$140:$S$146,3,0))),0)</f>
        <v>0</v>
      </c>
      <c r="W205" s="430">
        <f>IFERROR(((RESUMO!C116)*(VLOOKUP(B198,$O$140:$S$146,4,0))),0)</f>
        <v>0</v>
      </c>
      <c r="X205" s="432">
        <f>IFERROR(IF(B198&lt;3,0,(RESUMO!C116)*(VLOOKUP(B198,$O$140:$S$146,5,0))),0)</f>
        <v>0</v>
      </c>
      <c r="Y205" s="443">
        <f t="shared" si="53"/>
        <v>0</v>
      </c>
      <c r="Z205" s="428">
        <f t="shared" si="54"/>
        <v>0</v>
      </c>
      <c r="AA205" s="444">
        <f t="shared" si="55"/>
        <v>0</v>
      </c>
      <c r="AB205" s="448">
        <f>RESUMO!E116</f>
        <v>0</v>
      </c>
      <c r="AC205" s="453">
        <f t="shared" si="66"/>
        <v>0</v>
      </c>
      <c r="AD205" s="429">
        <f t="shared" si="67"/>
        <v>0</v>
      </c>
      <c r="AE205" s="454">
        <f t="shared" si="68"/>
        <v>0</v>
      </c>
      <c r="AF205" s="453"/>
      <c r="AG205" s="454">
        <f t="shared" si="63"/>
        <v>0</v>
      </c>
      <c r="AH205" s="453"/>
      <c r="AI205" s="454">
        <f t="shared" si="64"/>
        <v>0</v>
      </c>
      <c r="AJ205" s="453"/>
      <c r="AK205" s="454">
        <f t="shared" si="65"/>
        <v>0</v>
      </c>
    </row>
    <row r="206" spans="1:37" outlineLevel="2">
      <c r="U206" s="117" t="s">
        <v>933</v>
      </c>
      <c r="V206" s="431">
        <f>IFERROR(((RESUMO!C117)*(VLOOKUP(B199,$O$140:$S$146,3,0))),0)</f>
        <v>0</v>
      </c>
      <c r="W206" s="430">
        <f>IFERROR(((RESUMO!C117)*(VLOOKUP(B199,$O$140:$S$146,4,0))),0)</f>
        <v>0</v>
      </c>
      <c r="X206" s="432">
        <f>IFERROR(IF(B199&lt;3,0,(RESUMO!C117)*(VLOOKUP(B199,$O$140:$S$146,5,0))),0)</f>
        <v>0</v>
      </c>
      <c r="Y206" s="443">
        <f t="shared" si="53"/>
        <v>0</v>
      </c>
      <c r="Z206" s="428">
        <f t="shared" si="54"/>
        <v>0</v>
      </c>
      <c r="AA206" s="444">
        <f t="shared" si="55"/>
        <v>0</v>
      </c>
      <c r="AB206" s="448">
        <f>RESUMO!E117</f>
        <v>0</v>
      </c>
      <c r="AC206" s="453">
        <f t="shared" si="66"/>
        <v>0</v>
      </c>
      <c r="AD206" s="429">
        <f t="shared" si="67"/>
        <v>0</v>
      </c>
      <c r="AE206" s="454">
        <f t="shared" si="68"/>
        <v>0</v>
      </c>
      <c r="AF206" s="453"/>
      <c r="AG206" s="454">
        <f t="shared" si="63"/>
        <v>0</v>
      </c>
      <c r="AH206" s="453"/>
      <c r="AI206" s="454">
        <f t="shared" si="64"/>
        <v>0</v>
      </c>
      <c r="AJ206" s="453"/>
      <c r="AK206" s="454">
        <f t="shared" si="65"/>
        <v>0</v>
      </c>
    </row>
    <row r="207" spans="1:37" outlineLevel="2">
      <c r="U207" s="117" t="s">
        <v>1602</v>
      </c>
      <c r="V207" s="431">
        <f>IFERROR(((RESUMO!C118)*(VLOOKUP(B199,$O$140:$S$146,3,0))),0)</f>
        <v>0</v>
      </c>
      <c r="W207" s="430">
        <f>IFERROR(((RESUMO!C118)*(VLOOKUP(B199,$O$140:$S$146,4,0))),0)</f>
        <v>0</v>
      </c>
      <c r="X207" s="432">
        <f>IFERROR(IF(B199&lt;3,0,(RESUMO!C118)*(VLOOKUP(B199,$O$140:$S$146,5,0))),0)</f>
        <v>0</v>
      </c>
      <c r="Y207" s="443">
        <f t="shared" si="53"/>
        <v>0</v>
      </c>
      <c r="Z207" s="428">
        <f t="shared" si="54"/>
        <v>0</v>
      </c>
      <c r="AA207" s="444">
        <f t="shared" si="55"/>
        <v>0</v>
      </c>
      <c r="AB207" s="448">
        <f>RESUMO!E118</f>
        <v>0</v>
      </c>
      <c r="AC207" s="453">
        <f t="shared" si="66"/>
        <v>0</v>
      </c>
      <c r="AD207" s="429">
        <f t="shared" si="67"/>
        <v>0</v>
      </c>
      <c r="AE207" s="454">
        <f t="shared" si="68"/>
        <v>0</v>
      </c>
      <c r="AF207" s="455"/>
      <c r="AG207" s="457">
        <f t="shared" si="63"/>
        <v>0</v>
      </c>
      <c r="AH207" s="455"/>
      <c r="AI207" s="457">
        <f t="shared" si="64"/>
        <v>0</v>
      </c>
      <c r="AJ207" s="455"/>
      <c r="AK207" s="457">
        <f t="shared" si="65"/>
        <v>0</v>
      </c>
    </row>
    <row r="208" spans="1:37" outlineLevel="2">
      <c r="U208" s="439" t="s">
        <v>1790</v>
      </c>
      <c r="V208" s="460">
        <f t="shared" ref="V208:AK208" si="69">SUM(V190:V207)</f>
        <v>1</v>
      </c>
      <c r="W208" s="461">
        <f t="shared" si="69"/>
        <v>0</v>
      </c>
      <c r="X208" s="463">
        <f t="shared" si="69"/>
        <v>0</v>
      </c>
      <c r="Y208" s="464">
        <f t="shared" si="69"/>
        <v>1</v>
      </c>
      <c r="Z208" s="462">
        <f t="shared" si="69"/>
        <v>0</v>
      </c>
      <c r="AA208" s="465">
        <f t="shared" si="69"/>
        <v>0</v>
      </c>
      <c r="AB208" s="466">
        <f t="shared" si="69"/>
        <v>5498.1818181818198</v>
      </c>
      <c r="AC208" s="460">
        <f t="shared" si="69"/>
        <v>574.2226441965347</v>
      </c>
      <c r="AD208" s="461">
        <f t="shared" si="69"/>
        <v>0</v>
      </c>
      <c r="AE208" s="463">
        <f t="shared" si="69"/>
        <v>0</v>
      </c>
      <c r="AF208" s="460">
        <f t="shared" si="69"/>
        <v>0</v>
      </c>
      <c r="AG208" s="463">
        <f t="shared" si="69"/>
        <v>574.2226441965347</v>
      </c>
      <c r="AH208" s="460">
        <f t="shared" si="69"/>
        <v>0</v>
      </c>
      <c r="AI208" s="463">
        <f t="shared" si="69"/>
        <v>0</v>
      </c>
      <c r="AJ208" s="460">
        <f t="shared" si="69"/>
        <v>0</v>
      </c>
      <c r="AK208" s="463">
        <f t="shared" si="69"/>
        <v>0</v>
      </c>
    </row>
    <row r="209" spans="1:37" outlineLevel="1">
      <c r="A209" s="11" t="s">
        <v>107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29"/>
      <c r="O209" s="11" t="s">
        <v>107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29"/>
    </row>
    <row r="210" spans="1:37" outlineLevel="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O210" s="11" t="s">
        <v>881</v>
      </c>
      <c r="P210" s="29"/>
      <c r="Q210" s="29"/>
      <c r="R210" s="4"/>
      <c r="S210" s="11" t="s">
        <v>305</v>
      </c>
      <c r="T210" s="29"/>
      <c r="U210" s="9"/>
      <c r="V210" s="11" t="s">
        <v>340</v>
      </c>
      <c r="W210" s="10"/>
      <c r="X210" s="29"/>
      <c r="Z210" s="9"/>
    </row>
    <row r="211" spans="1:37" outlineLevel="2">
      <c r="A211" s="4"/>
      <c r="B211" s="226" t="s">
        <v>725</v>
      </c>
      <c r="C211" s="226" t="s">
        <v>726</v>
      </c>
      <c r="D211" s="226" t="s">
        <v>727</v>
      </c>
      <c r="F211" s="4"/>
      <c r="G211" s="4"/>
      <c r="H211" s="4"/>
      <c r="I211" s="4"/>
      <c r="J211" s="4"/>
      <c r="K211" s="4"/>
      <c r="L211" s="4"/>
      <c r="M211" s="4"/>
      <c r="O211" s="236" t="s">
        <v>1026</v>
      </c>
      <c r="R211" s="4"/>
      <c r="S211" s="9" t="s">
        <v>302</v>
      </c>
      <c r="T211" s="9"/>
      <c r="U211" s="9"/>
      <c r="V211" s="9" t="s">
        <v>1026</v>
      </c>
      <c r="W211" s="9"/>
      <c r="Z211" s="9"/>
    </row>
    <row r="212" spans="1:37" outlineLevel="2">
      <c r="A212" s="18" t="s">
        <v>290</v>
      </c>
      <c r="B212" s="183">
        <f>B138</f>
        <v>4800</v>
      </c>
      <c r="C212" s="183">
        <f>C138</f>
        <v>0</v>
      </c>
      <c r="D212" s="183">
        <f>D138</f>
        <v>0</v>
      </c>
      <c r="F212" s="4"/>
      <c r="G212" s="4"/>
      <c r="H212" s="4"/>
      <c r="I212" s="4"/>
      <c r="J212" s="4"/>
      <c r="K212" s="4"/>
      <c r="L212" s="4"/>
      <c r="M212" s="4"/>
      <c r="O212" s="236" t="s">
        <v>1031</v>
      </c>
      <c r="R212" s="4"/>
      <c r="S212" s="9" t="s">
        <v>277</v>
      </c>
      <c r="T212" s="9"/>
      <c r="U212" s="9"/>
      <c r="V212" s="9" t="s">
        <v>336</v>
      </c>
      <c r="W212" s="9"/>
      <c r="Z212" s="9"/>
    </row>
    <row r="213" spans="1:37" outlineLevel="2">
      <c r="A213" s="19" t="s">
        <v>1713</v>
      </c>
      <c r="B213" s="20">
        <v>0</v>
      </c>
      <c r="C213" s="114">
        <f t="shared" ref="C213:C225" si="70">IF($I$12&gt;1,B213,0)</f>
        <v>0</v>
      </c>
      <c r="D213" s="114">
        <f t="shared" ref="D213:D225" si="71">IF($I$12&gt;2,C213,0)</f>
        <v>0</v>
      </c>
      <c r="F213" s="4"/>
      <c r="G213" s="4"/>
      <c r="H213" s="4"/>
      <c r="I213" s="4"/>
      <c r="J213" s="4"/>
      <c r="K213" s="4"/>
      <c r="L213" s="4"/>
      <c r="M213" s="4"/>
      <c r="O213" s="236" t="s">
        <v>882</v>
      </c>
      <c r="R213" s="4"/>
      <c r="S213" s="9"/>
      <c r="T213" s="9"/>
      <c r="U213" s="9"/>
      <c r="AA213" s="31"/>
      <c r="AB213" s="31"/>
      <c r="AC213" s="31"/>
      <c r="AD213" s="31"/>
      <c r="AE213" s="31"/>
      <c r="AF213" s="31"/>
      <c r="AG213" s="31"/>
      <c r="AH213" s="31"/>
    </row>
    <row r="214" spans="1:37" outlineLevel="2">
      <c r="A214" s="19" t="s">
        <v>1714</v>
      </c>
      <c r="B214" s="20">
        <v>0</v>
      </c>
      <c r="C214" s="114">
        <f>IF($I$12&gt;1,B214,0)</f>
        <v>0</v>
      </c>
      <c r="D214" s="114">
        <f>IF($I$12&gt;2,C214,0)</f>
        <v>0</v>
      </c>
      <c r="F214" s="4"/>
      <c r="G214" s="4"/>
      <c r="H214" s="4"/>
      <c r="I214" s="4"/>
      <c r="J214" s="4"/>
      <c r="K214" s="4"/>
      <c r="L214" s="4"/>
      <c r="M214" s="4"/>
      <c r="O214" s="236" t="s">
        <v>1710</v>
      </c>
      <c r="R214" s="4"/>
      <c r="S214" s="9"/>
      <c r="T214" s="9"/>
      <c r="U214" s="9"/>
      <c r="V214" s="923" t="s">
        <v>1779</v>
      </c>
      <c r="W214" s="924"/>
      <c r="X214" s="925"/>
      <c r="Y214" s="923" t="s">
        <v>1780</v>
      </c>
      <c r="Z214" s="924"/>
      <c r="AA214" s="925"/>
      <c r="AB214" s="921" t="s">
        <v>1782</v>
      </c>
      <c r="AC214" s="923" t="s">
        <v>1781</v>
      </c>
      <c r="AD214" s="924"/>
      <c r="AE214" s="925"/>
      <c r="AF214" s="923" t="s">
        <v>1783</v>
      </c>
      <c r="AG214" s="924"/>
      <c r="AH214" s="924"/>
      <c r="AI214" s="924"/>
      <c r="AJ214" s="924"/>
      <c r="AK214" s="925"/>
    </row>
    <row r="215" spans="1:37" outlineLevel="2">
      <c r="A215" s="19" t="s">
        <v>881</v>
      </c>
      <c r="B215" s="8" t="s">
        <v>882</v>
      </c>
      <c r="C215" s="114">
        <f t="shared" si="70"/>
        <v>0</v>
      </c>
      <c r="D215" s="114">
        <f t="shared" si="71"/>
        <v>0</v>
      </c>
      <c r="F215" s="4"/>
      <c r="G215" s="4"/>
      <c r="H215" s="4"/>
      <c r="I215" s="4"/>
      <c r="J215" s="4"/>
      <c r="K215" s="4"/>
      <c r="L215" s="4"/>
      <c r="M215" s="4"/>
      <c r="V215" s="372" t="s">
        <v>1545</v>
      </c>
      <c r="W215" s="372" t="s">
        <v>1546</v>
      </c>
      <c r="X215" s="372" t="s">
        <v>1547</v>
      </c>
      <c r="Y215" s="372" t="s">
        <v>1545</v>
      </c>
      <c r="Z215" s="372" t="s">
        <v>1546</v>
      </c>
      <c r="AA215" s="372" t="s">
        <v>1547</v>
      </c>
      <c r="AB215" s="922"/>
      <c r="AC215" s="372" t="s">
        <v>1545</v>
      </c>
      <c r="AD215" s="372" t="s">
        <v>1546</v>
      </c>
      <c r="AE215" s="372" t="s">
        <v>1547</v>
      </c>
      <c r="AF215" s="458" t="s">
        <v>1785</v>
      </c>
      <c r="AG215" s="459" t="s">
        <v>1784</v>
      </c>
      <c r="AH215" s="458" t="s">
        <v>1787</v>
      </c>
      <c r="AI215" s="459" t="s">
        <v>1786</v>
      </c>
      <c r="AJ215" s="458" t="s">
        <v>1789</v>
      </c>
      <c r="AK215" s="459" t="s">
        <v>1788</v>
      </c>
    </row>
    <row r="216" spans="1:37" outlineLevel="2">
      <c r="A216" s="19" t="s">
        <v>1625</v>
      </c>
      <c r="B216" s="8" t="s">
        <v>336</v>
      </c>
      <c r="C216" s="114">
        <f t="shared" si="70"/>
        <v>0</v>
      </c>
      <c r="D216" s="114">
        <f t="shared" si="71"/>
        <v>0</v>
      </c>
      <c r="F216" s="4"/>
      <c r="G216" s="4"/>
      <c r="H216" s="4"/>
      <c r="I216" s="4"/>
      <c r="J216" s="4"/>
      <c r="K216" s="4"/>
      <c r="L216" s="4"/>
      <c r="M216" s="4"/>
      <c r="O216" s="235" t="s">
        <v>883</v>
      </c>
      <c r="U216" s="370" t="s">
        <v>1076</v>
      </c>
      <c r="V216" s="433">
        <f>IFERROR(((RESUMO!C123)*(VLOOKUP(B233,$O$140:$S$146,3,0))),0)</f>
        <v>0</v>
      </c>
      <c r="W216" s="434">
        <f>IFERROR(((RESUMO!C123)*(VLOOKUP(B233,$O$140:$S$146,4,0))),0)</f>
        <v>0</v>
      </c>
      <c r="X216" s="435">
        <f>IFERROR(IF(B233&lt;3,0,(RESUMO!C123)*(VLOOKUP(B233,$O$140:$S$146,5,0))),0)</f>
        <v>0</v>
      </c>
      <c r="Y216" s="469">
        <f>IFERROR(V216/$V$239,0)</f>
        <v>0</v>
      </c>
      <c r="Z216" s="470">
        <f>IFERROR(W216/$W$239,0)</f>
        <v>0</v>
      </c>
      <c r="AA216" s="471">
        <f>IFERROR(X216/$X$239,0)</f>
        <v>0</v>
      </c>
      <c r="AB216" s="472">
        <f>RESUMO!E123</f>
        <v>0</v>
      </c>
      <c r="AC216" s="473">
        <f>IFERROR(Y216/SUM(Y216:AA216)*AB216/$I$15,0)*$I$12*$AC$137</f>
        <v>0</v>
      </c>
      <c r="AD216" s="474">
        <f>IFERROR(Z216/SUM(Y216:AA216)*AB216/$J$15,0)*$I$12*$AD$137</f>
        <v>0</v>
      </c>
      <c r="AE216" s="475">
        <f>IFERROR(AA216/SUM(Y216:AA216)*AB216/$K$15,0)*$I$12*$AE$137</f>
        <v>0</v>
      </c>
      <c r="AF216" s="381"/>
      <c r="AG216" s="476">
        <f>AC216</f>
        <v>0</v>
      </c>
      <c r="AH216" s="381"/>
      <c r="AI216" s="476">
        <f>AD216</f>
        <v>0</v>
      </c>
      <c r="AJ216" s="381"/>
      <c r="AK216" s="476">
        <f>AE216</f>
        <v>0</v>
      </c>
    </row>
    <row r="217" spans="1:37" outlineLevel="2">
      <c r="A217" s="19" t="s">
        <v>1618</v>
      </c>
      <c r="B217" s="241" t="s">
        <v>277</v>
      </c>
      <c r="C217" s="114">
        <f t="shared" si="70"/>
        <v>0</v>
      </c>
      <c r="D217" s="114">
        <f t="shared" si="71"/>
        <v>0</v>
      </c>
      <c r="F217" s="4"/>
      <c r="G217" s="4"/>
      <c r="H217" s="4"/>
      <c r="I217" s="4"/>
      <c r="J217" s="4"/>
      <c r="K217" s="4"/>
      <c r="L217" s="4"/>
      <c r="M217" s="4"/>
      <c r="O217" s="236" t="s">
        <v>1626</v>
      </c>
      <c r="U217" s="370" t="s">
        <v>1077</v>
      </c>
      <c r="V217" s="431">
        <f>IFERROR(((RESUMO!C124)*(VLOOKUP(B233,$O$140:$S$146,3,0))),0)</f>
        <v>0</v>
      </c>
      <c r="W217" s="430">
        <f>IFERROR(((RESUMO!C124)*(VLOOKUP(B233,$O$140:$S$146,4,0))),0)</f>
        <v>0</v>
      </c>
      <c r="X217" s="432">
        <f>IFERROR(IF(B233&lt;3,0,(RESUMO!C124)*(VLOOKUP(B233,$O$140:$S$146,5,0))),0)</f>
        <v>0</v>
      </c>
      <c r="Y217" s="477">
        <f>IFERROR(V217/$V$239,0)</f>
        <v>0</v>
      </c>
      <c r="Z217" s="478">
        <f>IFERROR(W217/$W$239,0)</f>
        <v>0</v>
      </c>
      <c r="AA217" s="479">
        <f>IFERROR(X217/$X$239,0)</f>
        <v>0</v>
      </c>
      <c r="AB217" s="480">
        <f>RESUMO!E124</f>
        <v>0</v>
      </c>
      <c r="AC217" s="481">
        <f>IFERROR(Y217/SUM(Y217:AA217)*AB217/$I$15,0)*$I$12*$AC$137</f>
        <v>0</v>
      </c>
      <c r="AD217" s="424">
        <f>IFERROR(Z217/SUM(Y217:AA217)*AB217/$J$15,0)*$I$12*$AD$137</f>
        <v>0</v>
      </c>
      <c r="AE217" s="476">
        <f>IFERROR(AA217/SUM(Y217:AA217)*AB217/$K$15,0)*$I$12*$AE$137</f>
        <v>0</v>
      </c>
      <c r="AF217" s="381"/>
      <c r="AG217" s="476">
        <f>AC217</f>
        <v>0</v>
      </c>
      <c r="AH217" s="381"/>
      <c r="AI217" s="476">
        <f>AD217</f>
        <v>0</v>
      </c>
      <c r="AJ217" s="381"/>
      <c r="AK217" s="476">
        <f>AE217</f>
        <v>0</v>
      </c>
    </row>
    <row r="218" spans="1:37" outlineLevel="2">
      <c r="A218" s="19" t="s">
        <v>2423</v>
      </c>
      <c r="B218" s="717">
        <v>5.5E-2</v>
      </c>
      <c r="C218" s="718">
        <f>IF($I$12&gt;1,B218,0)</f>
        <v>0</v>
      </c>
      <c r="D218" s="718">
        <f>IF($I$12&gt;2,C218,0)</f>
        <v>0</v>
      </c>
      <c r="F218" s="4"/>
      <c r="G218" s="4"/>
      <c r="H218" s="4"/>
      <c r="I218" s="4"/>
      <c r="J218" s="4"/>
      <c r="K218" s="4"/>
      <c r="L218" s="4"/>
      <c r="M218" s="4"/>
      <c r="O218" s="236"/>
      <c r="U218" s="370"/>
      <c r="V218" s="431"/>
      <c r="W218" s="430"/>
      <c r="X218" s="432"/>
      <c r="Y218" s="477"/>
      <c r="Z218" s="478"/>
      <c r="AA218" s="479"/>
      <c r="AB218" s="480"/>
      <c r="AC218" s="481"/>
      <c r="AD218" s="660"/>
      <c r="AE218" s="476"/>
      <c r="AF218" s="381"/>
      <c r="AG218" s="476"/>
      <c r="AH218" s="381"/>
      <c r="AI218" s="476"/>
      <c r="AJ218" s="381"/>
      <c r="AK218" s="476"/>
    </row>
    <row r="219" spans="1:37" outlineLevel="2">
      <c r="A219" s="18" t="s">
        <v>1619</v>
      </c>
      <c r="B219" s="241" t="s">
        <v>277</v>
      </c>
      <c r="C219" s="114" t="s">
        <v>277</v>
      </c>
      <c r="D219" s="114">
        <f t="shared" si="71"/>
        <v>0</v>
      </c>
      <c r="E219" s="405" t="s">
        <v>973</v>
      </c>
      <c r="F219" s="4"/>
      <c r="G219" s="4"/>
      <c r="H219" s="4"/>
      <c r="I219" s="4"/>
      <c r="J219" s="4"/>
      <c r="K219" s="4"/>
      <c r="L219" s="4"/>
      <c r="M219" s="4"/>
      <c r="O219" s="236"/>
      <c r="R219" s="4"/>
      <c r="T219" s="9"/>
      <c r="U219" s="370" t="s">
        <v>2406</v>
      </c>
      <c r="V219" s="431">
        <f>IFERROR(((RESUMO!C125)*(VLOOKUP(B233,$O$140:$S$146,3,0))),0)</f>
        <v>0</v>
      </c>
      <c r="W219" s="430">
        <f>IFERROR(((RESUMO!C125)*(VLOOKUP(B233,$O$140:$S$146,4,0))),0)</f>
        <v>0</v>
      </c>
      <c r="X219" s="432">
        <f>IFERROR(IF(B233&lt;3,0,(RESUMO!C125)*(VLOOKUP(B233,$O$140:$S$146,5,0))),0)</f>
        <v>0</v>
      </c>
      <c r="Y219" s="477">
        <f t="shared" ref="Y219:Y237" si="72">IFERROR(V219/$V$239,0)</f>
        <v>0</v>
      </c>
      <c r="Z219" s="478">
        <f t="shared" ref="Z219:Z237" si="73">IFERROR(W219/$W$239,0)</f>
        <v>0</v>
      </c>
      <c r="AA219" s="479">
        <f t="shared" ref="AA219:AA237" si="74">IFERROR(X219/$X$239,0)</f>
        <v>0</v>
      </c>
      <c r="AB219" s="480">
        <f>RESUMO!E125</f>
        <v>0</v>
      </c>
      <c r="AC219" s="481">
        <f>IFERROR(Y219/SUM(Y219:AA219)*AB219/$I$15,0)*$I$12*$AC$137</f>
        <v>0</v>
      </c>
      <c r="AD219" s="649">
        <f t="shared" ref="AD219:AD224" si="75">IFERROR(Z219/SUM(Y219:AA219)*AB219/$J$15,0)*$I$12*$AD$137</f>
        <v>0</v>
      </c>
      <c r="AE219" s="476">
        <f t="shared" ref="AE219:AE224" si="76">IFERROR(AA219/SUM(Y219:AA219)*AB219/$K$15,0)*$I$12*$AE$137</f>
        <v>0</v>
      </c>
      <c r="AF219" s="381"/>
      <c r="AG219" s="476">
        <f t="shared" ref="AG219:AG224" si="77">AC219</f>
        <v>0</v>
      </c>
      <c r="AH219" s="381"/>
      <c r="AI219" s="476">
        <f t="shared" ref="AI219:AI224" si="78">AD219</f>
        <v>0</v>
      </c>
      <c r="AJ219" s="381"/>
      <c r="AK219" s="476">
        <f t="shared" ref="AK219:AK224" si="79">AE219</f>
        <v>0</v>
      </c>
    </row>
    <row r="220" spans="1:37" outlineLevel="2">
      <c r="A220" s="18" t="s">
        <v>1620</v>
      </c>
      <c r="B220" s="240">
        <v>0</v>
      </c>
      <c r="C220" s="114">
        <f>IF($I$12&gt;1,B220,0)</f>
        <v>0</v>
      </c>
      <c r="D220" s="114">
        <f t="shared" si="71"/>
        <v>0</v>
      </c>
      <c r="E220" s="114">
        <v>6000</v>
      </c>
      <c r="F220" s="4"/>
      <c r="G220" s="4"/>
      <c r="H220" s="4"/>
      <c r="I220" s="4"/>
      <c r="J220" s="4"/>
      <c r="K220" s="4"/>
      <c r="L220" s="4"/>
      <c r="M220" s="4"/>
      <c r="O220" s="236"/>
      <c r="R220" s="4"/>
      <c r="T220" s="9"/>
      <c r="U220" s="370" t="s">
        <v>925</v>
      </c>
      <c r="V220" s="431">
        <f>IFERROR(((RESUMO!C126)*(VLOOKUP(B235,$O$140:$S$146,3,0))),0)</f>
        <v>0</v>
      </c>
      <c r="W220" s="430">
        <f>IFERROR(((RESUMO!C126)*(VLOOKUP(B235,$O$140:$S$146,4,0))),0)</f>
        <v>0</v>
      </c>
      <c r="X220" s="432">
        <f>IFERROR(IF(B235&lt;3,0,(RESUMO!C126)*(VLOOKUP(B235,$O$140:$S$146,5,0))),0)</f>
        <v>0</v>
      </c>
      <c r="Y220" s="477">
        <f t="shared" si="72"/>
        <v>0</v>
      </c>
      <c r="Z220" s="478">
        <f t="shared" si="73"/>
        <v>0</v>
      </c>
      <c r="AA220" s="479">
        <f t="shared" si="74"/>
        <v>0</v>
      </c>
      <c r="AB220" s="480">
        <f>RESUMO!E126</f>
        <v>0</v>
      </c>
      <c r="AC220" s="481">
        <f>IFERROR(Y220/SUM(Y220:AA220)*AB220/$I$15,0)*$I$12*$AC$137</f>
        <v>0</v>
      </c>
      <c r="AD220" s="424">
        <f t="shared" si="75"/>
        <v>0</v>
      </c>
      <c r="AE220" s="476">
        <f t="shared" si="76"/>
        <v>0</v>
      </c>
      <c r="AF220" s="381"/>
      <c r="AG220" s="476">
        <f t="shared" si="77"/>
        <v>0</v>
      </c>
      <c r="AH220" s="381"/>
      <c r="AI220" s="476">
        <f t="shared" si="78"/>
        <v>0</v>
      </c>
      <c r="AJ220" s="381"/>
      <c r="AK220" s="476">
        <f t="shared" si="79"/>
        <v>0</v>
      </c>
    </row>
    <row r="221" spans="1:37" outlineLevel="2">
      <c r="A221" s="18" t="s">
        <v>1717</v>
      </c>
      <c r="B221" s="240">
        <v>0</v>
      </c>
      <c r="C221" s="114">
        <f>IF($I$12&gt;1,B221,0)</f>
        <v>0</v>
      </c>
      <c r="D221" s="114">
        <f>IF($I$12&gt;2,C221,0)</f>
        <v>0</v>
      </c>
      <c r="E221" s="114">
        <v>0</v>
      </c>
      <c r="F221" s="4"/>
      <c r="G221" s="4"/>
      <c r="H221" s="4"/>
      <c r="I221" s="4"/>
      <c r="J221" s="4"/>
      <c r="K221" s="4"/>
      <c r="L221" s="4"/>
      <c r="M221" s="4"/>
      <c r="O221" s="236"/>
      <c r="R221" s="4"/>
      <c r="T221" s="9"/>
      <c r="U221" s="370" t="s">
        <v>1078</v>
      </c>
      <c r="V221" s="431">
        <f>IFERROR(((RESUMO!C127)*(VLOOKUP($B$237,$O$140:$S$146,3,0))),0)</f>
        <v>0</v>
      </c>
      <c r="W221" s="430">
        <f>IFERROR(((RESUMO!C127)*(VLOOKUP($B$237,$O$140:$S$146,4,0))),0)</f>
        <v>0</v>
      </c>
      <c r="X221" s="432">
        <f>IFERROR(IF($B$237&lt;3,0,(RESUMO!C127)*(VLOOKUP($B$237,$O$140:$S$146,5,0))),0)</f>
        <v>0</v>
      </c>
      <c r="Y221" s="477">
        <f t="shared" si="72"/>
        <v>0</v>
      </c>
      <c r="Z221" s="478">
        <f t="shared" si="73"/>
        <v>0</v>
      </c>
      <c r="AA221" s="479">
        <f t="shared" si="74"/>
        <v>0</v>
      </c>
      <c r="AB221" s="480">
        <f>RESUMO!E127</f>
        <v>0</v>
      </c>
      <c r="AC221" s="481">
        <f>IFERROR(Y221/SUM(Y221:AA221)*AB221/$I$15,0)*$I$12*$AC$137</f>
        <v>0</v>
      </c>
      <c r="AD221" s="424">
        <f t="shared" si="75"/>
        <v>0</v>
      </c>
      <c r="AE221" s="476">
        <f t="shared" si="76"/>
        <v>0</v>
      </c>
      <c r="AF221" s="381"/>
      <c r="AG221" s="476">
        <f t="shared" si="77"/>
        <v>0</v>
      </c>
      <c r="AH221" s="381"/>
      <c r="AI221" s="476">
        <f t="shared" si="78"/>
        <v>0</v>
      </c>
      <c r="AJ221" s="381"/>
      <c r="AK221" s="476">
        <f t="shared" si="79"/>
        <v>0</v>
      </c>
    </row>
    <row r="222" spans="1:37" outlineLevel="2">
      <c r="A222" s="18" t="s">
        <v>1727</v>
      </c>
      <c r="B222" s="240">
        <v>0</v>
      </c>
      <c r="C222" s="114">
        <f>IF($I$12&gt;1,B222,0)</f>
        <v>0</v>
      </c>
      <c r="D222" s="114">
        <f>IF($I$12&gt;2,C222,0)</f>
        <v>0</v>
      </c>
      <c r="E222" s="114">
        <v>0</v>
      </c>
      <c r="F222" s="4"/>
      <c r="G222" s="4"/>
      <c r="H222" s="4"/>
      <c r="I222" s="4"/>
      <c r="J222" s="4"/>
      <c r="K222" s="4"/>
      <c r="L222" s="4"/>
      <c r="M222" s="4"/>
      <c r="O222" s="236"/>
      <c r="R222" s="4"/>
      <c r="T222" s="9"/>
      <c r="U222" s="370" t="s">
        <v>1079</v>
      </c>
      <c r="V222" s="431">
        <f>IFERROR(((RESUMO!C128)*(VLOOKUP($B$237,$O$140:$S$146,3,0))),0)</f>
        <v>0</v>
      </c>
      <c r="W222" s="430">
        <f>IFERROR(((RESUMO!C128)*(VLOOKUP($B$237,$O$140:$S$146,4,0))),0)</f>
        <v>0</v>
      </c>
      <c r="X222" s="432">
        <f>IFERROR(IF($B$237&lt;3,0,(RESUMO!C128)*(VLOOKUP($B$237,$O$140:$S$146,5,0))),0)</f>
        <v>0</v>
      </c>
      <c r="Y222" s="477">
        <f t="shared" si="72"/>
        <v>0</v>
      </c>
      <c r="Z222" s="478">
        <f t="shared" si="73"/>
        <v>0</v>
      </c>
      <c r="AA222" s="479">
        <f t="shared" si="74"/>
        <v>0</v>
      </c>
      <c r="AB222" s="480">
        <f>RESUMO!E128</f>
        <v>0</v>
      </c>
      <c r="AC222" s="481">
        <f>IFERROR(Y222/SUM(Y222:AA222)*AB222/$I$15,0)*$I$12*$AC$137</f>
        <v>0</v>
      </c>
      <c r="AD222" s="424">
        <f t="shared" si="75"/>
        <v>0</v>
      </c>
      <c r="AE222" s="476">
        <f t="shared" si="76"/>
        <v>0</v>
      </c>
      <c r="AF222" s="381"/>
      <c r="AG222" s="476">
        <f t="shared" si="77"/>
        <v>0</v>
      </c>
      <c r="AH222" s="381"/>
      <c r="AI222" s="476">
        <f t="shared" si="78"/>
        <v>0</v>
      </c>
      <c r="AJ222" s="381"/>
      <c r="AK222" s="476">
        <f t="shared" si="79"/>
        <v>0</v>
      </c>
    </row>
    <row r="223" spans="1:37" outlineLevel="2">
      <c r="A223" s="18" t="s">
        <v>1621</v>
      </c>
      <c r="B223" s="240">
        <v>0</v>
      </c>
      <c r="C223" s="114">
        <f t="shared" si="70"/>
        <v>0</v>
      </c>
      <c r="D223" s="114">
        <f t="shared" si="71"/>
        <v>0</v>
      </c>
      <c r="E223" s="114">
        <v>0</v>
      </c>
      <c r="F223" s="4"/>
      <c r="G223" s="4"/>
      <c r="H223" s="4"/>
      <c r="I223" s="4"/>
      <c r="J223" s="4"/>
      <c r="K223" s="4"/>
      <c r="L223" s="4"/>
      <c r="M223" s="4"/>
      <c r="O223" s="236" t="s">
        <v>1627</v>
      </c>
      <c r="R223" s="4"/>
      <c r="T223" s="9"/>
      <c r="U223" s="370" t="s">
        <v>1080</v>
      </c>
      <c r="V223" s="431">
        <f>IFERROR(((RESUMO!C129)*(VLOOKUP($B$237,$O$140:$S$146,3,0))),0)</f>
        <v>0</v>
      </c>
      <c r="W223" s="430">
        <f>IFERROR(((RESUMO!C129)*(VLOOKUP($B$237,$O$140:$S$146,4,0))),0)</f>
        <v>0</v>
      </c>
      <c r="X223" s="432">
        <f>IFERROR(IF($B$237&lt;3,0,(RESUMO!C129)*(VLOOKUP($B$237,$O$140:$S$146,5,0))),0)</f>
        <v>0</v>
      </c>
      <c r="Y223" s="477">
        <f t="shared" si="72"/>
        <v>0</v>
      </c>
      <c r="Z223" s="478">
        <f t="shared" si="73"/>
        <v>0</v>
      </c>
      <c r="AA223" s="479">
        <f t="shared" si="74"/>
        <v>0</v>
      </c>
      <c r="AB223" s="480">
        <f>RESUMO!E129</f>
        <v>0</v>
      </c>
      <c r="AC223" s="481">
        <f>IFERROR(Y223/SUM(Y223:AA223)*AB223/$I$15,0)*$I$12*$AC$137</f>
        <v>0</v>
      </c>
      <c r="AD223" s="424">
        <f t="shared" si="75"/>
        <v>0</v>
      </c>
      <c r="AE223" s="476">
        <f t="shared" si="76"/>
        <v>0</v>
      </c>
      <c r="AF223" s="381"/>
      <c r="AG223" s="476">
        <f t="shared" si="77"/>
        <v>0</v>
      </c>
      <c r="AH223" s="381"/>
      <c r="AI223" s="476">
        <f t="shared" si="78"/>
        <v>0</v>
      </c>
      <c r="AJ223" s="381"/>
      <c r="AK223" s="476">
        <f t="shared" si="79"/>
        <v>0</v>
      </c>
    </row>
    <row r="224" spans="1:37" outlineLevel="2">
      <c r="A224" s="18" t="s">
        <v>1622</v>
      </c>
      <c r="B224" s="240">
        <v>0</v>
      </c>
      <c r="C224" s="114">
        <f t="shared" si="70"/>
        <v>0</v>
      </c>
      <c r="D224" s="114">
        <f t="shared" si="71"/>
        <v>0</v>
      </c>
      <c r="E224" s="4"/>
      <c r="F224" s="4"/>
      <c r="G224" s="4"/>
      <c r="H224" s="4"/>
      <c r="I224" s="4"/>
      <c r="J224" s="4"/>
      <c r="K224" s="4"/>
      <c r="L224" s="4"/>
      <c r="M224" s="4"/>
      <c r="O224" s="236" t="s">
        <v>1628</v>
      </c>
      <c r="R224" s="4"/>
      <c r="T224" s="9"/>
      <c r="U224" s="370" t="s">
        <v>2752</v>
      </c>
      <c r="V224" s="431">
        <f>IFERROR(((RESUMO!C130)*(VLOOKUP($B$238,$O$140:$S$146,3,0))),0)</f>
        <v>0</v>
      </c>
      <c r="W224" s="430">
        <f>IFERROR(((RESUMO!C130)*(VLOOKUP($B$238,$O$140:$S$146,4,0))),0)</f>
        <v>0</v>
      </c>
      <c r="X224" s="432">
        <f>IFERROR(IF($B$237&lt;3,0,(RESUMO!C130)*(VLOOKUP($B$238,$O$140:$S$146,5,0))),0)</f>
        <v>0</v>
      </c>
      <c r="Y224" s="477">
        <f t="shared" si="72"/>
        <v>0</v>
      </c>
      <c r="Z224" s="478">
        <f t="shared" si="73"/>
        <v>0</v>
      </c>
      <c r="AA224" s="479">
        <f t="shared" si="74"/>
        <v>0</v>
      </c>
      <c r="AB224" s="480">
        <f>RESUMO!E130</f>
        <v>0</v>
      </c>
      <c r="AC224" s="481">
        <f t="shared" ref="AC224:AC237" si="80">IFERROR(Y224/SUM(Y224:AA224)*AB224/$I$15,0)*$I$12*$AC$137</f>
        <v>0</v>
      </c>
      <c r="AD224" s="709">
        <f t="shared" si="75"/>
        <v>0</v>
      </c>
      <c r="AE224" s="476">
        <f t="shared" si="76"/>
        <v>0</v>
      </c>
      <c r="AF224" s="381"/>
      <c r="AG224" s="476">
        <f t="shared" si="77"/>
        <v>0</v>
      </c>
      <c r="AH224" s="381"/>
      <c r="AI224" s="476">
        <f t="shared" si="78"/>
        <v>0</v>
      </c>
      <c r="AJ224" s="381"/>
      <c r="AK224" s="476">
        <f t="shared" si="79"/>
        <v>0</v>
      </c>
    </row>
    <row r="225" spans="1:37" outlineLevel="2">
      <c r="A225" s="18" t="s">
        <v>1624</v>
      </c>
      <c r="B225" s="241" t="s">
        <v>336</v>
      </c>
      <c r="C225" s="114">
        <f t="shared" si="70"/>
        <v>0</v>
      </c>
      <c r="D225" s="114">
        <f t="shared" si="71"/>
        <v>0</v>
      </c>
      <c r="F225" s="4"/>
      <c r="G225" s="4"/>
      <c r="H225" s="4"/>
      <c r="I225" s="4"/>
      <c r="J225" s="4"/>
      <c r="K225" s="4"/>
      <c r="L225" s="4"/>
      <c r="M225" s="4"/>
      <c r="O225" s="236" t="s">
        <v>1629</v>
      </c>
      <c r="R225" s="4"/>
      <c r="T225" s="9"/>
      <c r="U225" s="370" t="s">
        <v>2399</v>
      </c>
      <c r="V225" s="431">
        <f>IFERROR(((RESUMO!C131)*(VLOOKUP($B$236,$O$140:$S$146,3,0))),0)</f>
        <v>0</v>
      </c>
      <c r="W225" s="430">
        <f>IFERROR(((RESUMO!C131)*(VLOOKUP($B$236,$O$140:$S$146,4,0))),0)</f>
        <v>0</v>
      </c>
      <c r="X225" s="432">
        <f>IFERROR(IF($B$236&lt;3,0,(RESUMO!C131)*(VLOOKUP($B$236,$O$140:$S$146,5,0))),0)</f>
        <v>0</v>
      </c>
      <c r="Y225" s="477">
        <f t="shared" si="72"/>
        <v>0</v>
      </c>
      <c r="Z225" s="478">
        <f t="shared" si="73"/>
        <v>0</v>
      </c>
      <c r="AA225" s="479">
        <f t="shared" si="74"/>
        <v>0</v>
      </c>
      <c r="AB225" s="480">
        <f>RESUMO!E131</f>
        <v>0</v>
      </c>
      <c r="AC225" s="481">
        <f t="shared" si="80"/>
        <v>0</v>
      </c>
      <c r="AD225" s="649">
        <f t="shared" ref="AD225:AD237" si="81">IFERROR(Z225/SUM(Y225:AA225)*AB225/$J$15,0)*$I$12*$AD$137</f>
        <v>0</v>
      </c>
      <c r="AE225" s="476">
        <f t="shared" ref="AE225:AE237" si="82">IFERROR(AA225/SUM(Y225:AA225)*AB225/$K$15,0)*$I$12*$AE$137</f>
        <v>0</v>
      </c>
      <c r="AF225" s="381"/>
      <c r="AG225" s="476">
        <f t="shared" ref="AG225:AG237" si="83">AC225</f>
        <v>0</v>
      </c>
      <c r="AH225" s="381"/>
      <c r="AI225" s="476">
        <f t="shared" ref="AI225:AI237" si="84">AD225</f>
        <v>0</v>
      </c>
      <c r="AJ225" s="381"/>
      <c r="AK225" s="476">
        <f t="shared" ref="AK225:AK237" si="85">AE225</f>
        <v>0</v>
      </c>
    </row>
    <row r="226" spans="1:37" outlineLevel="2">
      <c r="A226" s="18" t="s">
        <v>1799</v>
      </c>
      <c r="B226" s="240">
        <v>0</v>
      </c>
      <c r="C226" s="114">
        <f>IF($I$12&gt;1,B226,0)</f>
        <v>0</v>
      </c>
      <c r="D226" s="114">
        <f>IF($I$12&gt;2,C226,0)</f>
        <v>0</v>
      </c>
      <c r="E226" s="114">
        <v>0</v>
      </c>
      <c r="G226" s="4"/>
      <c r="H226" s="4"/>
      <c r="I226" s="4"/>
      <c r="J226" s="4"/>
      <c r="K226" s="4"/>
      <c r="L226" s="4"/>
      <c r="M226" s="4"/>
      <c r="O226" s="236"/>
      <c r="R226" s="4"/>
      <c r="T226" s="9"/>
      <c r="U226" s="370" t="s">
        <v>1732</v>
      </c>
      <c r="V226" s="431">
        <f>IFERROR(((RESUMO!C132)*(VLOOKUP($B$239,$O$140:$S$146,3,0))),0)</f>
        <v>0</v>
      </c>
      <c r="W226" s="430">
        <f>IFERROR(((RESUMO!C132)*(VLOOKUP($B$239,$O$140:$S$146,4,0))),0)</f>
        <v>0</v>
      </c>
      <c r="X226" s="432">
        <f>IFERROR(IF($B$239&lt;3,0,(RESUMO!C132)*(VLOOKUP($B$239,$O$140:$S$146,5,0))),0)</f>
        <v>0</v>
      </c>
      <c r="Y226" s="477">
        <f t="shared" si="72"/>
        <v>0</v>
      </c>
      <c r="Z226" s="478">
        <f t="shared" si="73"/>
        <v>0</v>
      </c>
      <c r="AA226" s="479">
        <f t="shared" si="74"/>
        <v>0</v>
      </c>
      <c r="AB226" s="480">
        <f>RESUMO!E132</f>
        <v>0</v>
      </c>
      <c r="AC226" s="481">
        <f t="shared" si="80"/>
        <v>0</v>
      </c>
      <c r="AD226" s="424">
        <f t="shared" si="81"/>
        <v>0</v>
      </c>
      <c r="AE226" s="476">
        <f t="shared" si="82"/>
        <v>0</v>
      </c>
      <c r="AF226" s="381"/>
      <c r="AG226" s="476">
        <f t="shared" si="83"/>
        <v>0</v>
      </c>
      <c r="AH226" s="381"/>
      <c r="AI226" s="476">
        <f t="shared" si="84"/>
        <v>0</v>
      </c>
      <c r="AJ226" s="381"/>
      <c r="AK226" s="476">
        <f t="shared" si="85"/>
        <v>0</v>
      </c>
    </row>
    <row r="227" spans="1:37" outlineLevel="2">
      <c r="A227" s="18" t="s">
        <v>1800</v>
      </c>
      <c r="B227" s="240">
        <v>0</v>
      </c>
      <c r="C227" s="114">
        <f>IF($I$12&gt;1,B227,0)</f>
        <v>0</v>
      </c>
      <c r="D227" s="114">
        <f>IF($I$12&gt;2,C227,0)</f>
        <v>0</v>
      </c>
      <c r="E227" s="114">
        <v>0</v>
      </c>
      <c r="G227" s="4"/>
      <c r="H227" s="4"/>
      <c r="I227" s="4"/>
      <c r="J227" s="4"/>
      <c r="K227" s="4"/>
      <c r="L227" s="4"/>
      <c r="M227" s="4"/>
      <c r="O227" s="236" t="s">
        <v>1819</v>
      </c>
      <c r="P227" s="538">
        <f>IF($I$23*0.175438596491228&gt;0.5,0.5,$I$23*0.175438596491228)</f>
        <v>0.5</v>
      </c>
      <c r="T227" s="9"/>
      <c r="U227" s="370" t="s">
        <v>1733</v>
      </c>
      <c r="V227" s="431">
        <f>IFERROR(((RESUMO!C133)*(VLOOKUP(B239,$O$140:$S$146,3,0))),0)</f>
        <v>0</v>
      </c>
      <c r="W227" s="430">
        <f>IFERROR(((RESUMO!C133)*(VLOOKUP(B239,$O$140:$S$146,4,0))),0)</f>
        <v>0</v>
      </c>
      <c r="X227" s="432">
        <f>IFERROR(IF(B239&lt;3,0,(RESUMO!C133)*(VLOOKUP(B239,$O$140:$S$146,5,0))),0)</f>
        <v>0</v>
      </c>
      <c r="Y227" s="477">
        <f t="shared" si="72"/>
        <v>0</v>
      </c>
      <c r="Z227" s="478">
        <f t="shared" si="73"/>
        <v>0</v>
      </c>
      <c r="AA227" s="479">
        <f t="shared" si="74"/>
        <v>0</v>
      </c>
      <c r="AB227" s="480">
        <f>RESUMO!E133</f>
        <v>0</v>
      </c>
      <c r="AC227" s="481">
        <f t="shared" si="80"/>
        <v>0</v>
      </c>
      <c r="AD227" s="424">
        <f t="shared" si="81"/>
        <v>0</v>
      </c>
      <c r="AE227" s="476">
        <f t="shared" si="82"/>
        <v>0</v>
      </c>
      <c r="AF227" s="381"/>
      <c r="AG227" s="476">
        <f t="shared" si="83"/>
        <v>0</v>
      </c>
      <c r="AH227" s="381"/>
      <c r="AI227" s="476">
        <f t="shared" si="84"/>
        <v>0</v>
      </c>
      <c r="AJ227" s="381"/>
      <c r="AK227" s="476">
        <f t="shared" si="85"/>
        <v>0</v>
      </c>
    </row>
    <row r="228" spans="1:37" outlineLevel="2">
      <c r="A228" s="21" t="s">
        <v>1623</v>
      </c>
      <c r="B228" s="240">
        <v>0</v>
      </c>
      <c r="C228" s="114">
        <f>IF($I$12&gt;1,B228,0)</f>
        <v>0</v>
      </c>
      <c r="D228" s="114">
        <f>IF($I$12&gt;2,C228,0)</f>
        <v>0</v>
      </c>
      <c r="E228" s="114">
        <v>845</v>
      </c>
      <c r="F228" s="4"/>
      <c r="G228" s="4"/>
      <c r="H228" s="4"/>
      <c r="I228" s="4"/>
      <c r="J228" s="4"/>
      <c r="K228" s="4"/>
      <c r="L228" s="4"/>
      <c r="M228" s="4"/>
      <c r="O228" s="11" t="s">
        <v>1623</v>
      </c>
      <c r="P228" s="29"/>
      <c r="Q228" s="29"/>
      <c r="R228" s="29"/>
      <c r="T228" s="9"/>
      <c r="U228" s="370" t="s">
        <v>1852</v>
      </c>
      <c r="V228" s="431">
        <f>IFERROR(((RESUMO!C134)*(VLOOKUP(B240,$O$140:$S$146,3,0))),0)</f>
        <v>0</v>
      </c>
      <c r="W228" s="430">
        <f>IFERROR(((RESUMO!C134)*(VLOOKUP(B240,$O$140:$S$146,4,0))),0)</f>
        <v>0</v>
      </c>
      <c r="X228" s="432">
        <f>IFERROR(IF(B240&lt;3,0,(RESUMO!C134)*(VLOOKUP(B240,$O$140:$S$146,5,0))),0)</f>
        <v>0</v>
      </c>
      <c r="Y228" s="477">
        <f t="shared" si="72"/>
        <v>0</v>
      </c>
      <c r="Z228" s="478">
        <f t="shared" si="73"/>
        <v>0</v>
      </c>
      <c r="AA228" s="479">
        <f t="shared" si="74"/>
        <v>0</v>
      </c>
      <c r="AB228" s="480">
        <f>RESUMO!E134</f>
        <v>0</v>
      </c>
      <c r="AC228" s="481">
        <f t="shared" si="80"/>
        <v>0</v>
      </c>
      <c r="AD228" s="541">
        <f t="shared" si="81"/>
        <v>0</v>
      </c>
      <c r="AE228" s="476">
        <f t="shared" si="82"/>
        <v>0</v>
      </c>
      <c r="AF228" s="381"/>
      <c r="AG228" s="476">
        <f t="shared" si="83"/>
        <v>0</v>
      </c>
      <c r="AH228" s="381"/>
      <c r="AI228" s="476">
        <f t="shared" si="84"/>
        <v>0</v>
      </c>
      <c r="AJ228" s="381"/>
      <c r="AK228" s="476">
        <f t="shared" si="85"/>
        <v>0</v>
      </c>
    </row>
    <row r="229" spans="1:37" outlineLevel="2">
      <c r="A229" s="5" t="s">
        <v>1567</v>
      </c>
      <c r="B229" s="240">
        <f>$O$242</f>
        <v>2</v>
      </c>
      <c r="C229" s="114">
        <f>IF($I$12&gt;1,B229,0)</f>
        <v>0</v>
      </c>
      <c r="D229" s="114">
        <f>IF($I$12&gt;2,C229,0)</f>
        <v>0</v>
      </c>
      <c r="E229" s="114">
        <f>45*60</f>
        <v>2700</v>
      </c>
      <c r="F229" s="379" t="str">
        <f>P239&amp;P245&amp;P243&amp;P244&amp;Q239&amp;P245&amp;Q243&amp;P244&amp;R239&amp;P245&amp;R243</f>
        <v>Cap T1:Sobrando Máq._Cap T2:Atende Capacidade_Cap T3:Atende Capacidade</v>
      </c>
      <c r="G229" s="4"/>
      <c r="H229" s="4"/>
      <c r="I229" s="4"/>
      <c r="J229" s="4"/>
      <c r="K229" s="4"/>
      <c r="L229" s="4"/>
      <c r="M229" s="4"/>
      <c r="O229" s="498" t="s">
        <v>1703</v>
      </c>
      <c r="P229" s="43" t="s">
        <v>1569</v>
      </c>
      <c r="Q229" s="43" t="s">
        <v>1570</v>
      </c>
      <c r="R229" s="43" t="s">
        <v>1571</v>
      </c>
      <c r="T229" s="9"/>
      <c r="U229" s="370" t="s">
        <v>924</v>
      </c>
      <c r="V229" s="431">
        <f>IFERROR(((RESUMO!C135)*(VLOOKUP(B241,$O$140:$S$146,3,0))),0)</f>
        <v>0.92862962011073225</v>
      </c>
      <c r="W229" s="430">
        <f>IFERROR(((RESUMO!C135)*(VLOOKUP(B241,$O$140:$S$146,4,0))),0)</f>
        <v>0</v>
      </c>
      <c r="X229" s="432">
        <f>IFERROR(IF(B241&lt;3,0,(RESUMO!C135)*(VLOOKUP(B241,$O$140:$S$146,5,0))),0)</f>
        <v>0</v>
      </c>
      <c r="Y229" s="477">
        <f t="shared" si="72"/>
        <v>0.92862962011073225</v>
      </c>
      <c r="Z229" s="478">
        <f t="shared" si="73"/>
        <v>0</v>
      </c>
      <c r="AA229" s="479">
        <f t="shared" si="74"/>
        <v>0</v>
      </c>
      <c r="AB229" s="480">
        <f>RESUMO!E135</f>
        <v>30766.123636363642</v>
      </c>
      <c r="AC229" s="481">
        <f t="shared" si="80"/>
        <v>3213.1721813434615</v>
      </c>
      <c r="AD229" s="424">
        <f t="shared" si="81"/>
        <v>0</v>
      </c>
      <c r="AE229" s="476">
        <f t="shared" si="82"/>
        <v>0</v>
      </c>
      <c r="AF229" s="381"/>
      <c r="AG229" s="476">
        <f t="shared" si="83"/>
        <v>3213.1721813434615</v>
      </c>
      <c r="AH229" s="381"/>
      <c r="AI229" s="476">
        <f t="shared" si="84"/>
        <v>0</v>
      </c>
      <c r="AJ229" s="381"/>
      <c r="AK229" s="476">
        <f t="shared" si="85"/>
        <v>0</v>
      </c>
    </row>
    <row r="230" spans="1:37" outlineLevel="2">
      <c r="A230" s="5" t="s">
        <v>1557</v>
      </c>
      <c r="B230" s="114">
        <v>2</v>
      </c>
      <c r="C230" s="114">
        <f>IF($I$12&gt;1,B230,0)</f>
        <v>0</v>
      </c>
      <c r="D230" s="114">
        <f>IF($I$12&gt;2,C230,0)</f>
        <v>0</v>
      </c>
      <c r="E230" s="114">
        <v>0</v>
      </c>
      <c r="F230" s="4"/>
      <c r="G230" s="4"/>
      <c r="H230" s="4"/>
      <c r="I230" s="4"/>
      <c r="J230" s="4"/>
      <c r="K230" s="4"/>
      <c r="L230" s="4"/>
      <c r="M230" s="4"/>
      <c r="O230" s="245">
        <v>485</v>
      </c>
      <c r="P230" s="202">
        <f>$O$230*B228</f>
        <v>0</v>
      </c>
      <c r="Q230" s="202">
        <f>$O$230*C228</f>
        <v>0</v>
      </c>
      <c r="R230" s="202">
        <f>$O$230*D228</f>
        <v>0</v>
      </c>
      <c r="T230" s="9"/>
      <c r="U230" s="370" t="s">
        <v>1702</v>
      </c>
      <c r="V230" s="431">
        <f>IFERROR(((RESUMO!C136)*(VLOOKUP(B241,$O$140:$S$146,3,0))),0)</f>
        <v>0</v>
      </c>
      <c r="W230" s="430">
        <f>IFERROR(((RESUMO!C136)*(VLOOKUP(B241,$O$140:$S$146,4,0))),0)</f>
        <v>0</v>
      </c>
      <c r="X230" s="432">
        <f>IFERROR(IF(B241&lt;3,0,(RESUMO!C136)*(VLOOKUP(B241,$O$140:$S$146,5,0))),0)</f>
        <v>0</v>
      </c>
      <c r="Y230" s="477">
        <f t="shared" si="72"/>
        <v>0</v>
      </c>
      <c r="Z230" s="478">
        <f t="shared" si="73"/>
        <v>0</v>
      </c>
      <c r="AA230" s="479">
        <f t="shared" si="74"/>
        <v>0</v>
      </c>
      <c r="AB230" s="480">
        <f>RESUMO!E136</f>
        <v>0</v>
      </c>
      <c r="AC230" s="481">
        <f t="shared" si="80"/>
        <v>0</v>
      </c>
      <c r="AD230" s="424">
        <f t="shared" si="81"/>
        <v>0</v>
      </c>
      <c r="AE230" s="476">
        <f t="shared" si="82"/>
        <v>0</v>
      </c>
      <c r="AF230" s="381"/>
      <c r="AG230" s="476">
        <f t="shared" si="83"/>
        <v>0</v>
      </c>
      <c r="AH230" s="381"/>
      <c r="AI230" s="476">
        <f t="shared" si="84"/>
        <v>0</v>
      </c>
      <c r="AJ230" s="381"/>
      <c r="AK230" s="476">
        <f t="shared" si="85"/>
        <v>0</v>
      </c>
    </row>
    <row r="231" spans="1:37" outlineLevel="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O231" s="236" t="s">
        <v>1706</v>
      </c>
      <c r="P231" s="371">
        <f>IFERROR(SUM(Y268:Y271)/SUM($Y$268:$AA$271),0)+IFERROR(SUM(Y216:Y223)/SUM($Y$216:$AA$223),0)</f>
        <v>0</v>
      </c>
      <c r="Q231" s="371">
        <f>IFERROR(SUM(Z216:Z223)/SUM($Y$216:$AA$223),0)+IFERROR(SUM(Z268:Z271)/SUM($Y$268:$AA$271),0)</f>
        <v>0</v>
      </c>
      <c r="R231" s="371">
        <f>IFERROR(SUM(AA216:AA223)/SUM($Y$216:$AA$223),0)+IFERROR(SUM(AA268:AA271)/SUM($Y$268:$AA$271),0)</f>
        <v>0</v>
      </c>
      <c r="T231" s="9"/>
      <c r="U231" s="370" t="s">
        <v>1634</v>
      </c>
      <c r="V231" s="431">
        <f>IFERROR(((RESUMO!C137)*(VLOOKUP(B242,$O$140:$S$146,3,0))),0)</f>
        <v>0</v>
      </c>
      <c r="W231" s="430">
        <f>IFERROR(((RESUMO!C137)*(VLOOKUP(B242,$O$140:$S$146,4,0))),0)</f>
        <v>0</v>
      </c>
      <c r="X231" s="432">
        <f>IFERROR(IF(B242&lt;3,0,(RESUMO!C137)*(VLOOKUP(B242,$O$140:$S$146,5,0))),0)</f>
        <v>0</v>
      </c>
      <c r="Y231" s="477">
        <f t="shared" si="72"/>
        <v>0</v>
      </c>
      <c r="Z231" s="478">
        <f t="shared" si="73"/>
        <v>0</v>
      </c>
      <c r="AA231" s="479">
        <f t="shared" si="74"/>
        <v>0</v>
      </c>
      <c r="AB231" s="480">
        <f>RESUMO!E137</f>
        <v>0</v>
      </c>
      <c r="AC231" s="481">
        <f t="shared" si="80"/>
        <v>0</v>
      </c>
      <c r="AD231" s="424">
        <f t="shared" si="81"/>
        <v>0</v>
      </c>
      <c r="AE231" s="476">
        <f t="shared" si="82"/>
        <v>0</v>
      </c>
      <c r="AF231" s="381"/>
      <c r="AG231" s="476">
        <f t="shared" si="83"/>
        <v>0</v>
      </c>
      <c r="AH231" s="381"/>
      <c r="AI231" s="476">
        <f t="shared" si="84"/>
        <v>0</v>
      </c>
      <c r="AJ231" s="381"/>
      <c r="AK231" s="476">
        <f t="shared" si="85"/>
        <v>0</v>
      </c>
    </row>
    <row r="232" spans="1:37" outlineLevel="2">
      <c r="A232" s="4"/>
      <c r="B232" s="5" t="s">
        <v>1537</v>
      </c>
      <c r="C232" s="365" t="s">
        <v>725</v>
      </c>
      <c r="D232" s="365" t="s">
        <v>726</v>
      </c>
      <c r="E232" s="365" t="s">
        <v>727</v>
      </c>
      <c r="F232" s="4"/>
      <c r="G232" s="4"/>
      <c r="H232" s="4"/>
      <c r="I232" s="4"/>
      <c r="J232" s="4"/>
      <c r="K232" s="4"/>
      <c r="L232" s="4"/>
      <c r="M232" s="4"/>
      <c r="O232" s="236" t="s">
        <v>1707</v>
      </c>
      <c r="P232" s="826">
        <f>IFERROR(RESUMO!$Q$5/P227/I15*P231,0)</f>
        <v>0</v>
      </c>
      <c r="Q232" s="367">
        <f>IFERROR(RESUMO!$Q$5/P227/J15*Q231,0)</f>
        <v>0</v>
      </c>
      <c r="R232" s="367">
        <f>IFERROR(RESUMO!$Q$5/P227/K15*R231,0)</f>
        <v>0</v>
      </c>
      <c r="T232" s="9"/>
      <c r="U232" s="370" t="s">
        <v>1635</v>
      </c>
      <c r="V232" s="431">
        <f>IFERROR(((RESUMO!C138)*(VLOOKUP(B242,$O$140:$S$146,3,0))),0)</f>
        <v>0</v>
      </c>
      <c r="W232" s="430">
        <f>IFERROR(((RESUMO!C138)*(VLOOKUP(B242,$O$140:$S$146,4,0))),0)</f>
        <v>0</v>
      </c>
      <c r="X232" s="432">
        <f>IFERROR(IF(B242&lt;3,0,(RESUMO!C138)*(VLOOKUP(B242,$O$140:$S$146,5,0))),0)</f>
        <v>0</v>
      </c>
      <c r="Y232" s="477">
        <f t="shared" si="72"/>
        <v>0</v>
      </c>
      <c r="Z232" s="478">
        <f t="shared" si="73"/>
        <v>0</v>
      </c>
      <c r="AA232" s="479">
        <f t="shared" si="74"/>
        <v>0</v>
      </c>
      <c r="AB232" s="480">
        <f>RESUMO!E138</f>
        <v>0</v>
      </c>
      <c r="AC232" s="481">
        <f t="shared" si="80"/>
        <v>0</v>
      </c>
      <c r="AD232" s="424">
        <f t="shared" si="81"/>
        <v>0</v>
      </c>
      <c r="AE232" s="476">
        <f t="shared" si="82"/>
        <v>0</v>
      </c>
      <c r="AF232" s="381"/>
      <c r="AG232" s="476">
        <f t="shared" si="83"/>
        <v>0</v>
      </c>
      <c r="AH232" s="381"/>
      <c r="AI232" s="476">
        <f t="shared" si="84"/>
        <v>0</v>
      </c>
      <c r="AJ232" s="381"/>
      <c r="AK232" s="476">
        <f t="shared" si="85"/>
        <v>0</v>
      </c>
    </row>
    <row r="233" spans="1:37" outlineLevel="2">
      <c r="A233" s="244" t="s">
        <v>1628</v>
      </c>
      <c r="B233" s="549">
        <f>IF($I$12=1,1,IF($I$12=2,"1_2",IF($I$12=3,"1_2_3",1)))</f>
        <v>1</v>
      </c>
      <c r="C233" s="239">
        <f>IFERROR(SUM(Y216:Y225)*(P234/P232),0)</f>
        <v>0</v>
      </c>
      <c r="D233" s="239">
        <f>IFERROR(SUM(Z216:Z225)*(Q234/Q232),0)</f>
        <v>0</v>
      </c>
      <c r="E233" s="239">
        <f>IFERROR(SUM(AA216:AA225)*(R234/R232),0)</f>
        <v>0</v>
      </c>
      <c r="F233" s="4"/>
      <c r="G233" s="4"/>
      <c r="H233" s="4"/>
      <c r="I233" s="4"/>
      <c r="J233" s="4"/>
      <c r="K233" s="4"/>
      <c r="L233" s="4"/>
      <c r="M233" s="4"/>
      <c r="O233" s="236" t="s">
        <v>1709</v>
      </c>
      <c r="P233" s="201">
        <f>IF(P232&lt;=P230,P232,P230)</f>
        <v>0</v>
      </c>
      <c r="Q233" s="202">
        <f>IF(Q232&lt;=Q230,Q232,Q230)</f>
        <v>0</v>
      </c>
      <c r="R233" s="202">
        <f>IF(R232&lt;=R230,R232,R230)</f>
        <v>0</v>
      </c>
      <c r="T233" s="9"/>
      <c r="U233" s="370" t="s">
        <v>1700</v>
      </c>
      <c r="V233" s="431">
        <f>IFERROR(((RESUMO!C139)*(VLOOKUP(B243,$O$140:$S$146,3,0))),0)</f>
        <v>0</v>
      </c>
      <c r="W233" s="430">
        <f>IFERROR(((RESUMO!C139)*(VLOOKUP(B243,$O$140:$S$146,4,0))),0)</f>
        <v>0</v>
      </c>
      <c r="X233" s="432">
        <f>IFERROR(IF(B243&lt;3,0,(RESUMO!C139)*(VLOOKUP(B243,$O$140:$S$146,5,0))),0)</f>
        <v>0</v>
      </c>
      <c r="Y233" s="477">
        <f t="shared" si="72"/>
        <v>0</v>
      </c>
      <c r="Z233" s="478">
        <f t="shared" si="73"/>
        <v>0</v>
      </c>
      <c r="AA233" s="479">
        <f t="shared" si="74"/>
        <v>0</v>
      </c>
      <c r="AB233" s="480">
        <f>RESUMO!E139</f>
        <v>0</v>
      </c>
      <c r="AC233" s="481">
        <f t="shared" si="80"/>
        <v>0</v>
      </c>
      <c r="AD233" s="424">
        <f t="shared" si="81"/>
        <v>0</v>
      </c>
      <c r="AE233" s="476">
        <f t="shared" si="82"/>
        <v>0</v>
      </c>
      <c r="AF233" s="381"/>
      <c r="AG233" s="476">
        <f t="shared" si="83"/>
        <v>0</v>
      </c>
      <c r="AH233" s="381"/>
      <c r="AI233" s="476">
        <f t="shared" si="84"/>
        <v>0</v>
      </c>
      <c r="AJ233" s="381"/>
      <c r="AK233" s="476">
        <f t="shared" si="85"/>
        <v>0</v>
      </c>
    </row>
    <row r="234" spans="1:37" outlineLevel="2">
      <c r="A234" s="242" t="s">
        <v>1630</v>
      </c>
      <c r="B234" s="239">
        <v>0</v>
      </c>
      <c r="C234" s="239">
        <f>IFERROR(SUM(Y216:Y225)*(P233/P232),0)</f>
        <v>0</v>
      </c>
      <c r="D234" s="239">
        <f>IFERROR(SUM(Z216:Z225)*(Q233/Q232),0)</f>
        <v>0</v>
      </c>
      <c r="E234" s="239">
        <f>IFERROR(SUM(AA216:AA225)*(R233/R232),0)</f>
        <v>0</v>
      </c>
      <c r="F234" s="4"/>
      <c r="G234" s="4"/>
      <c r="H234" s="4"/>
      <c r="I234" s="4"/>
      <c r="J234" s="4"/>
      <c r="K234" s="4"/>
      <c r="L234" s="4"/>
      <c r="M234" s="4"/>
      <c r="O234" s="236" t="s">
        <v>1708</v>
      </c>
      <c r="P234" s="367">
        <f>IF(P232-P233&lt;=0,0,P232-P233)</f>
        <v>0</v>
      </c>
      <c r="Q234" s="367">
        <f>IF(Q232-Q233&lt;=0,0,Q232-Q233)</f>
        <v>0</v>
      </c>
      <c r="R234" s="367">
        <f>IF(R232-R233&lt;=0,0,R232-R233)</f>
        <v>0</v>
      </c>
      <c r="T234" s="9"/>
      <c r="U234" s="370" t="s">
        <v>1701</v>
      </c>
      <c r="V234" s="431">
        <f>IFERROR(((RESUMO!C140)*(VLOOKUP(B244,$O$140:$S$146,3,0))),0)</f>
        <v>0</v>
      </c>
      <c r="W234" s="430">
        <f>IFERROR(((RESUMO!C140)*(VLOOKUP(B244,$O$140:$S$146,4,0))),0)</f>
        <v>0</v>
      </c>
      <c r="X234" s="432">
        <f>IFERROR(IF(B244&lt;3,0,(RESUMO!C140)*(VLOOKUP(B244,$O$140:$S$146,5,0))),0)</f>
        <v>0</v>
      </c>
      <c r="Y234" s="477">
        <f t="shared" si="72"/>
        <v>0</v>
      </c>
      <c r="Z234" s="478">
        <f t="shared" si="73"/>
        <v>0</v>
      </c>
      <c r="AA234" s="479">
        <f t="shared" si="74"/>
        <v>0</v>
      </c>
      <c r="AB234" s="480">
        <f>RESUMO!E140</f>
        <v>0</v>
      </c>
      <c r="AC234" s="481">
        <f t="shared" si="80"/>
        <v>0</v>
      </c>
      <c r="AD234" s="424">
        <f t="shared" si="81"/>
        <v>0</v>
      </c>
      <c r="AE234" s="476">
        <f t="shared" si="82"/>
        <v>0</v>
      </c>
      <c r="AF234" s="381"/>
      <c r="AG234" s="476">
        <f t="shared" si="83"/>
        <v>0</v>
      </c>
      <c r="AH234" s="381"/>
      <c r="AI234" s="476">
        <f t="shared" si="84"/>
        <v>0</v>
      </c>
      <c r="AJ234" s="381"/>
      <c r="AK234" s="476">
        <f t="shared" si="85"/>
        <v>0</v>
      </c>
    </row>
    <row r="235" spans="1:37" outlineLevel="2">
      <c r="A235" s="399" t="s">
        <v>1626</v>
      </c>
      <c r="B235" s="549">
        <v>1</v>
      </c>
      <c r="C235" s="239">
        <f>SUM(Y220)</f>
        <v>0</v>
      </c>
      <c r="D235" s="239">
        <f>SUM(Z220)</f>
        <v>0</v>
      </c>
      <c r="E235" s="239">
        <f>SUM(AA220)</f>
        <v>0</v>
      </c>
      <c r="F235" s="4"/>
      <c r="G235" s="4"/>
      <c r="H235" s="4"/>
      <c r="I235" s="4"/>
      <c r="J235" s="4"/>
      <c r="K235" s="4"/>
      <c r="L235" s="4"/>
      <c r="M235" s="4"/>
      <c r="O235" s="236"/>
      <c r="R235" s="4"/>
      <c r="T235" s="9"/>
      <c r="U235" s="370" t="s">
        <v>1875</v>
      </c>
      <c r="V235" s="431">
        <f>IFERROR(((RESUMO!C141)*(VLOOKUP(B245,$O$140:$S$146,3,0))),0)</f>
        <v>0</v>
      </c>
      <c r="W235" s="430">
        <f>IFERROR(((RESUMO!C141)*(VLOOKUP(B245,$O$140:$S$146,4,0))),0)</f>
        <v>0</v>
      </c>
      <c r="X235" s="432">
        <f>IFERROR(IF(B245&lt;3,0,(RESUMO!C141)*(VLOOKUP(B245,$O$140:$S$146,5,0))),0)</f>
        <v>0</v>
      </c>
      <c r="Y235" s="477">
        <f t="shared" si="72"/>
        <v>0</v>
      </c>
      <c r="Z235" s="478">
        <f t="shared" si="73"/>
        <v>0</v>
      </c>
      <c r="AA235" s="479">
        <f t="shared" si="74"/>
        <v>0</v>
      </c>
      <c r="AB235" s="480">
        <f>RESUMO!E141</f>
        <v>0</v>
      </c>
      <c r="AC235" s="481">
        <f t="shared" si="80"/>
        <v>0</v>
      </c>
      <c r="AD235" s="544">
        <f t="shared" si="81"/>
        <v>0</v>
      </c>
      <c r="AE235" s="476">
        <f t="shared" si="82"/>
        <v>0</v>
      </c>
      <c r="AF235" s="381"/>
      <c r="AG235" s="476">
        <f t="shared" si="83"/>
        <v>0</v>
      </c>
      <c r="AH235" s="381"/>
      <c r="AI235" s="476">
        <f t="shared" si="84"/>
        <v>0</v>
      </c>
      <c r="AJ235" s="381"/>
      <c r="AK235" s="476">
        <f t="shared" si="85"/>
        <v>0</v>
      </c>
    </row>
    <row r="236" spans="1:37" outlineLevel="2">
      <c r="A236" s="21" t="s">
        <v>2399</v>
      </c>
      <c r="B236" s="549">
        <f t="shared" ref="B236:B246" si="86">IF($I$12=1,1,IF($I$12=2,"1_2",IF($I$12=3,"1_2_3",1)))</f>
        <v>1</v>
      </c>
      <c r="C236" s="239">
        <f>Y225</f>
        <v>0</v>
      </c>
      <c r="D236" s="239">
        <f>Z225</f>
        <v>0</v>
      </c>
      <c r="E236" s="239">
        <f>AA225</f>
        <v>0</v>
      </c>
      <c r="F236" s="4"/>
      <c r="G236" s="4"/>
      <c r="H236" s="4"/>
      <c r="I236" s="4"/>
      <c r="J236" s="4"/>
      <c r="K236" s="4"/>
      <c r="L236" s="4"/>
      <c r="M236" s="4"/>
      <c r="O236" s="236"/>
      <c r="R236" s="4"/>
      <c r="T236" s="9"/>
      <c r="U236" s="370" t="s">
        <v>1081</v>
      </c>
      <c r="V236" s="431">
        <f>IFERROR(((RESUMO!C142)*(VLOOKUP(B246,$O$140:$S$146,3,0))),0)</f>
        <v>0</v>
      </c>
      <c r="W236" s="430">
        <f>IFERROR(((RESUMO!C142)*(VLOOKUP(B246,$O$140:$S$146,4,0))),0)</f>
        <v>0</v>
      </c>
      <c r="X236" s="432">
        <f>IFERROR(IF(B246&lt;3,0,(RESUMO!C142)*(VLOOKUP(B246,$O$140:$S$146,5,0))),0)</f>
        <v>0</v>
      </c>
      <c r="Y236" s="477">
        <f t="shared" si="72"/>
        <v>0</v>
      </c>
      <c r="Z236" s="478">
        <f t="shared" si="73"/>
        <v>0</v>
      </c>
      <c r="AA236" s="479">
        <f t="shared" si="74"/>
        <v>0</v>
      </c>
      <c r="AB236" s="480">
        <f>RESUMO!E142</f>
        <v>0</v>
      </c>
      <c r="AC236" s="481">
        <f t="shared" si="80"/>
        <v>0</v>
      </c>
      <c r="AD236" s="424">
        <f t="shared" si="81"/>
        <v>0</v>
      </c>
      <c r="AE236" s="476">
        <f t="shared" si="82"/>
        <v>0</v>
      </c>
      <c r="AF236" s="381"/>
      <c r="AG236" s="476">
        <f t="shared" si="83"/>
        <v>0</v>
      </c>
      <c r="AH236" s="381"/>
      <c r="AI236" s="476">
        <f t="shared" si="84"/>
        <v>0</v>
      </c>
      <c r="AJ236" s="381"/>
      <c r="AK236" s="476">
        <f t="shared" si="85"/>
        <v>0</v>
      </c>
    </row>
    <row r="237" spans="1:37" outlineLevel="2">
      <c r="A237" s="21" t="s">
        <v>1793</v>
      </c>
      <c r="B237" s="549">
        <f t="shared" si="86"/>
        <v>1</v>
      </c>
      <c r="C237" s="239">
        <f>SUM(Y221:Y223)</f>
        <v>0</v>
      </c>
      <c r="D237" s="239">
        <f>SUM(Z221:Z223)</f>
        <v>0</v>
      </c>
      <c r="E237" s="239">
        <f>SUM(AA221:AA223)</f>
        <v>0</v>
      </c>
      <c r="F237" s="4"/>
      <c r="G237" s="4"/>
      <c r="H237" s="4"/>
      <c r="I237" s="4"/>
      <c r="J237" s="4"/>
      <c r="K237" s="4"/>
      <c r="L237" s="4"/>
      <c r="M237" s="4"/>
      <c r="R237" s="4"/>
      <c r="T237" s="9"/>
      <c r="U237" s="370" t="s">
        <v>1082</v>
      </c>
      <c r="V237" s="431">
        <f>IFERROR(((RESUMO!C143)*(VLOOKUP(B246,$O$140:$S$146,3,0))),0)</f>
        <v>0</v>
      </c>
      <c r="W237" s="430">
        <f>IFERROR(((RESUMO!C143)*(VLOOKUP(B246,$O$140:$S$146,4,0))),0)</f>
        <v>0</v>
      </c>
      <c r="X237" s="432">
        <f>IFERROR(IF(B246&lt;3,0,(RESUMO!C143)*(VLOOKUP(B246,$O$140:$S$146,5,0))),0)</f>
        <v>0</v>
      </c>
      <c r="Y237" s="477">
        <f t="shared" si="72"/>
        <v>0</v>
      </c>
      <c r="Z237" s="478">
        <f t="shared" si="73"/>
        <v>0</v>
      </c>
      <c r="AA237" s="479">
        <f t="shared" si="74"/>
        <v>0</v>
      </c>
      <c r="AB237" s="480">
        <f>RESUMO!E143</f>
        <v>0</v>
      </c>
      <c r="AC237" s="481">
        <f t="shared" si="80"/>
        <v>0</v>
      </c>
      <c r="AD237" s="424">
        <f t="shared" si="81"/>
        <v>0</v>
      </c>
      <c r="AE237" s="476">
        <f t="shared" si="82"/>
        <v>0</v>
      </c>
      <c r="AF237" s="381"/>
      <c r="AG237" s="476">
        <f t="shared" si="83"/>
        <v>0</v>
      </c>
      <c r="AH237" s="381"/>
      <c r="AI237" s="476">
        <f t="shared" si="84"/>
        <v>0</v>
      </c>
      <c r="AJ237" s="381"/>
      <c r="AK237" s="476">
        <f t="shared" si="85"/>
        <v>0</v>
      </c>
    </row>
    <row r="238" spans="1:37" outlineLevel="2">
      <c r="A238" s="21" t="s">
        <v>2752</v>
      </c>
      <c r="B238" s="549">
        <f t="shared" si="86"/>
        <v>1</v>
      </c>
      <c r="C238" s="239">
        <f>SUM(Y224)</f>
        <v>0</v>
      </c>
      <c r="D238" s="239">
        <f>Z224</f>
        <v>0</v>
      </c>
      <c r="E238" s="239">
        <f>AA224</f>
        <v>0</v>
      </c>
      <c r="F238" s="4"/>
      <c r="G238" s="4"/>
      <c r="H238" s="4"/>
      <c r="I238" s="4"/>
      <c r="J238" s="4"/>
      <c r="K238" s="4"/>
      <c r="L238" s="4"/>
      <c r="M238" s="4"/>
      <c r="O238" s="11" t="s">
        <v>1567</v>
      </c>
      <c r="P238" s="10"/>
      <c r="Q238" s="10"/>
      <c r="R238" s="10"/>
      <c r="T238" s="9"/>
      <c r="U238" s="370"/>
      <c r="V238" s="436">
        <f>1-(SUM(V216:V237))</f>
        <v>7.1370379889267754E-2</v>
      </c>
      <c r="W238" s="437">
        <f>1-(SUM(W216:W237))</f>
        <v>1</v>
      </c>
      <c r="X238" s="438">
        <f>1-(SUM(X216:X237))</f>
        <v>1</v>
      </c>
      <c r="Y238" s="482">
        <f>IFERROR(V238/$V$304,0)</f>
        <v>7.1370379889267754E-2</v>
      </c>
      <c r="Z238" s="483">
        <f>IFERROR(W238/$W$304,0)</f>
        <v>1</v>
      </c>
      <c r="AA238" s="484">
        <f>IFERROR(X238/$X$304,0)</f>
        <v>1</v>
      </c>
      <c r="AB238" s="485"/>
      <c r="AC238" s="486"/>
      <c r="AD238" s="487"/>
      <c r="AE238" s="488"/>
      <c r="AF238" s="486"/>
      <c r="AG238" s="488"/>
      <c r="AH238" s="486"/>
      <c r="AI238" s="488"/>
      <c r="AJ238" s="486"/>
      <c r="AK238" s="488"/>
    </row>
    <row r="239" spans="1:37" outlineLevel="2">
      <c r="A239" s="21" t="s">
        <v>1794</v>
      </c>
      <c r="B239" s="549">
        <f t="shared" si="86"/>
        <v>1</v>
      </c>
      <c r="C239" s="182">
        <f>SUM(Y226:Y227)</f>
        <v>0</v>
      </c>
      <c r="D239" s="182">
        <f>SUM(Z226:Z227)</f>
        <v>0</v>
      </c>
      <c r="E239" s="182">
        <f>SUM(AA226:AA227)</f>
        <v>0</v>
      </c>
      <c r="F239" s="4"/>
      <c r="G239" s="4"/>
      <c r="H239" s="4"/>
      <c r="I239" s="4"/>
      <c r="J239" s="4"/>
      <c r="K239" s="4"/>
      <c r="L239" s="4"/>
      <c r="M239" s="4"/>
      <c r="O239" s="234" t="s">
        <v>1568</v>
      </c>
      <c r="P239" t="s">
        <v>1569</v>
      </c>
      <c r="Q239" t="s">
        <v>1570</v>
      </c>
      <c r="R239" t="s">
        <v>1571</v>
      </c>
      <c r="T239" s="9"/>
      <c r="U239" s="439" t="s">
        <v>1790</v>
      </c>
      <c r="V239" s="489">
        <f t="shared" ref="V239:AK239" si="87">SUM(V216:V238)</f>
        <v>1</v>
      </c>
      <c r="W239" s="490">
        <f t="shared" si="87"/>
        <v>1</v>
      </c>
      <c r="X239" s="491">
        <f t="shared" si="87"/>
        <v>1</v>
      </c>
      <c r="Y239" s="492">
        <f t="shared" si="87"/>
        <v>1</v>
      </c>
      <c r="Z239" s="493">
        <f t="shared" si="87"/>
        <v>1</v>
      </c>
      <c r="AA239" s="494">
        <f t="shared" si="87"/>
        <v>1</v>
      </c>
      <c r="AB239" s="495">
        <f t="shared" si="87"/>
        <v>30766.123636363642</v>
      </c>
      <c r="AC239" s="489">
        <f t="shared" si="87"/>
        <v>3213.1721813434615</v>
      </c>
      <c r="AD239" s="490">
        <f t="shared" si="87"/>
        <v>0</v>
      </c>
      <c r="AE239" s="491">
        <f t="shared" si="87"/>
        <v>0</v>
      </c>
      <c r="AF239" s="489">
        <f t="shared" si="87"/>
        <v>0</v>
      </c>
      <c r="AG239" s="491">
        <f t="shared" si="87"/>
        <v>3213.1721813434615</v>
      </c>
      <c r="AH239" s="489">
        <f t="shared" si="87"/>
        <v>0</v>
      </c>
      <c r="AI239" s="491">
        <f t="shared" si="87"/>
        <v>0</v>
      </c>
      <c r="AJ239" s="489">
        <f t="shared" si="87"/>
        <v>0</v>
      </c>
      <c r="AK239" s="491">
        <f t="shared" si="87"/>
        <v>0</v>
      </c>
    </row>
    <row r="240" spans="1:37" outlineLevel="2">
      <c r="A240" s="21" t="s">
        <v>1852</v>
      </c>
      <c r="B240" s="549">
        <f t="shared" si="86"/>
        <v>1</v>
      </c>
      <c r="C240" s="182">
        <f>Y228</f>
        <v>0</v>
      </c>
      <c r="D240" s="182">
        <f>Z228</f>
        <v>0</v>
      </c>
      <c r="E240" s="182">
        <f>AA228</f>
        <v>0</v>
      </c>
      <c r="F240" s="4"/>
      <c r="G240" s="4"/>
      <c r="H240" s="4"/>
      <c r="I240" s="4"/>
      <c r="J240" s="4"/>
      <c r="K240" s="4"/>
      <c r="L240" s="4"/>
      <c r="M240" s="4"/>
      <c r="O240" s="378">
        <f>E229</f>
        <v>2700</v>
      </c>
      <c r="P240" s="202">
        <f>$O$240*B229</f>
        <v>5400</v>
      </c>
      <c r="Q240" s="202">
        <f>$O$240*C229</f>
        <v>0</v>
      </c>
      <c r="R240" s="202">
        <f>$O$240*D229</f>
        <v>0</v>
      </c>
      <c r="T240" s="9"/>
      <c r="U240" s="370" t="s">
        <v>1648</v>
      </c>
      <c r="V240" s="433">
        <f>IFERROR(((RESUMO!C146)*(VLOOKUP(B251,$O$140:$S$146,3,0))),0)</f>
        <v>0</v>
      </c>
      <c r="W240" s="434">
        <f>IFERROR(((RESUMO!C146)*(VLOOKUP(B251,$O$140:$S$146,4,0))),0)</f>
        <v>0</v>
      </c>
      <c r="X240" s="435">
        <f>IFERROR(IF(B251&lt;3,0,(RESUMO!C146)*(VLOOKUP(B251,$O$140:$S$146,5,0))),0)</f>
        <v>0</v>
      </c>
      <c r="Y240" s="469">
        <f t="shared" ref="Y240:Y255" si="88">IFERROR(V240/$V$256,0)</f>
        <v>0</v>
      </c>
      <c r="Z240" s="470">
        <f t="shared" ref="Z240:Z255" si="89">IFERROR(W240/$W$256,0)</f>
        <v>0</v>
      </c>
      <c r="AA240" s="471">
        <f t="shared" ref="AA240:AA255" si="90">IFERROR(X240/$X$256,0)</f>
        <v>0</v>
      </c>
      <c r="AB240" s="472">
        <f>RESUMO!E146</f>
        <v>0</v>
      </c>
      <c r="AC240" s="473">
        <f t="shared" ref="AC240:AC251" si="91">IFERROR(Y240/SUM(Y240:AA240)*AB240/$I$15,0)*$I$12*$AC$137</f>
        <v>0</v>
      </c>
      <c r="AD240" s="474">
        <f t="shared" ref="AD240:AD251" si="92">IFERROR(Z240/SUM(Y240:AA240)*AB240/$J$15,0)*$I$12*$AD$137</f>
        <v>0</v>
      </c>
      <c r="AE240" s="475">
        <f t="shared" ref="AE240:AE251" si="93">IFERROR(AA240/SUM(Y240:AA240)*AB240/$K$15,0)*$I$12*$AE$137</f>
        <v>0</v>
      </c>
      <c r="AF240" s="381"/>
      <c r="AG240" s="476">
        <f>AC240</f>
        <v>0</v>
      </c>
      <c r="AH240" s="381"/>
      <c r="AI240" s="476">
        <f>AD240</f>
        <v>0</v>
      </c>
      <c r="AJ240" s="381"/>
      <c r="AK240" s="476">
        <f>AE240</f>
        <v>0</v>
      </c>
    </row>
    <row r="241" spans="1:16384" outlineLevel="2">
      <c r="A241" s="21" t="s">
        <v>1795</v>
      </c>
      <c r="B241" s="549">
        <f t="shared" si="86"/>
        <v>1</v>
      </c>
      <c r="C241" s="182">
        <f>SUM(Y229:Y230)</f>
        <v>0.92862962011073225</v>
      </c>
      <c r="D241" s="182">
        <f>SUM(Z229:Z230)</f>
        <v>0</v>
      </c>
      <c r="E241" s="182">
        <f>SUM(AA229:AA230)</f>
        <v>0</v>
      </c>
      <c r="F241" s="4"/>
      <c r="G241" s="4"/>
      <c r="H241" s="4"/>
      <c r="I241" s="4"/>
      <c r="J241" s="4"/>
      <c r="K241" s="4"/>
      <c r="L241" s="4"/>
      <c r="M241" s="4"/>
      <c r="O241" s="234" t="s">
        <v>3084</v>
      </c>
      <c r="P241" s="201">
        <f>(B212*C241)+(B212*C247*(C253+C252))+(B212*C247*(C269+C268))</f>
        <v>4457.4221765315151</v>
      </c>
      <c r="Q241" s="201">
        <f>(C212*D241)+(C212*D247*(D253+D252))+(C212*D247*(D269+D268))</f>
        <v>0</v>
      </c>
      <c r="R241" s="201">
        <f>(D212*E241)+(D212*E247*(E253+E252))+(D212*E247*(E269+E268))</f>
        <v>0</v>
      </c>
      <c r="T241" s="9"/>
      <c r="U241" s="370" t="s">
        <v>2409</v>
      </c>
      <c r="V241" s="433">
        <f>IFERROR(((RESUMO!C147)*(VLOOKUP(B251,$O$140:$S$146,3,0))),0)</f>
        <v>0</v>
      </c>
      <c r="W241" s="434">
        <f>IFERROR(((RESUMO!C147)*(VLOOKUP(B251,$O$140:$S$146,4,0))),0)</f>
        <v>0</v>
      </c>
      <c r="X241" s="435">
        <f>IFERROR(IF(B251&lt;3,0,(RESUMO!C147)*(VLOOKUP(B251,$O$140:$S$146,5,0))),0)</f>
        <v>0</v>
      </c>
      <c r="Y241" s="469">
        <f t="shared" si="88"/>
        <v>0</v>
      </c>
      <c r="Z241" s="470">
        <f t="shared" si="89"/>
        <v>0</v>
      </c>
      <c r="AA241" s="471">
        <f t="shared" si="90"/>
        <v>0</v>
      </c>
      <c r="AB241" s="472">
        <f>RESUMO!E147</f>
        <v>0</v>
      </c>
      <c r="AC241" s="473">
        <f t="shared" si="91"/>
        <v>0</v>
      </c>
      <c r="AD241" s="474">
        <f t="shared" si="92"/>
        <v>0</v>
      </c>
      <c r="AE241" s="475">
        <f t="shared" si="93"/>
        <v>0</v>
      </c>
      <c r="AF241" s="381"/>
      <c r="AG241" s="476">
        <f>AC241</f>
        <v>0</v>
      </c>
      <c r="AH241" s="381"/>
      <c r="AI241" s="476">
        <f>AD241</f>
        <v>0</v>
      </c>
      <c r="AJ241" s="381"/>
      <c r="AK241" s="476">
        <f>AE241</f>
        <v>0</v>
      </c>
    </row>
    <row r="242" spans="1:16384" outlineLevel="2">
      <c r="A242" s="21" t="s">
        <v>1796</v>
      </c>
      <c r="B242" s="549">
        <f t="shared" si="86"/>
        <v>1</v>
      </c>
      <c r="C242" s="182">
        <f>SUM(Y231:Y232)</f>
        <v>0</v>
      </c>
      <c r="D242" s="182">
        <f>SUM(Z231:Z232)</f>
        <v>0</v>
      </c>
      <c r="E242" s="182">
        <f>SUM(AA231:AA232)</f>
        <v>0</v>
      </c>
      <c r="F242" s="4"/>
      <c r="G242" s="4"/>
      <c r="H242" s="4"/>
      <c r="I242" s="4"/>
      <c r="J242" s="4"/>
      <c r="K242" s="4"/>
      <c r="L242" s="4"/>
      <c r="M242" s="4"/>
      <c r="O242" s="782">
        <f>ROUNDUP(RESUMO!$W$39/$E$229,0)</f>
        <v>2</v>
      </c>
      <c r="P242" s="201">
        <f>P240-P241</f>
        <v>942.57782346848489</v>
      </c>
      <c r="Q242" s="201">
        <f>Q240-Q241</f>
        <v>0</v>
      </c>
      <c r="R242" s="202">
        <f>R240-R241</f>
        <v>0</v>
      </c>
      <c r="T242" s="9"/>
      <c r="U242" s="370" t="s">
        <v>1649</v>
      </c>
      <c r="V242" s="431">
        <f>IFERROR(((RESUMO!C148)*(VLOOKUP(B252,$O$140:$S$146,3,0))),0)</f>
        <v>0</v>
      </c>
      <c r="W242" s="430">
        <f>IFERROR(((RESUMO!C148)*(VLOOKUP(B252,$O$140:$S$146,4,0))),0)</f>
        <v>0</v>
      </c>
      <c r="X242" s="432">
        <f>IFERROR(IF(B252&lt;3,0,(RESUMO!C148)*(VLOOKUP(B252,$O$140:$S$146,5,0))),0)</f>
        <v>0</v>
      </c>
      <c r="Y242" s="469">
        <f t="shared" si="88"/>
        <v>0</v>
      </c>
      <c r="Z242" s="470">
        <f t="shared" si="89"/>
        <v>0</v>
      </c>
      <c r="AA242" s="471">
        <f t="shared" si="90"/>
        <v>0</v>
      </c>
      <c r="AB242" s="448">
        <f>RESUMO!E148</f>
        <v>0</v>
      </c>
      <c r="AC242" s="453">
        <f t="shared" si="91"/>
        <v>0</v>
      </c>
      <c r="AD242" s="429">
        <f t="shared" si="92"/>
        <v>0</v>
      </c>
      <c r="AE242" s="454">
        <f t="shared" si="93"/>
        <v>0</v>
      </c>
      <c r="AF242" s="381"/>
      <c r="AG242" s="476">
        <f>AC242</f>
        <v>0</v>
      </c>
      <c r="AH242" s="381"/>
      <c r="AI242" s="476">
        <f>AD242</f>
        <v>0</v>
      </c>
      <c r="AJ242" s="381"/>
      <c r="AK242" s="476">
        <f>AE242</f>
        <v>0</v>
      </c>
    </row>
    <row r="243" spans="1:16384" outlineLevel="2">
      <c r="A243" s="21" t="s">
        <v>1700</v>
      </c>
      <c r="B243" s="549">
        <f t="shared" si="86"/>
        <v>1</v>
      </c>
      <c r="C243" s="182">
        <f t="shared" ref="C243:E245" si="94">Y233</f>
        <v>0</v>
      </c>
      <c r="D243" s="182">
        <f t="shared" si="94"/>
        <v>0</v>
      </c>
      <c r="E243" s="182">
        <f t="shared" si="94"/>
        <v>0</v>
      </c>
      <c r="F243" s="4"/>
      <c r="G243" s="4"/>
      <c r="H243" s="4"/>
      <c r="I243" s="4"/>
      <c r="J243" s="4"/>
      <c r="K243" s="4"/>
      <c r="L243" s="4"/>
      <c r="M243" s="4"/>
      <c r="P243" s="367" t="str">
        <f>IF(P242&gt;$O$150,"Sobrando Máq.",IF(P242&gt;=0,"Atende Capacidade","FaltandoMáq."))</f>
        <v>Sobrando Máq.</v>
      </c>
      <c r="Q243" s="367" t="str">
        <f>IF(Q242&gt;$O$150,"Sobrando Máq.",IF(Q242&gt;=0,"Atende Capacidade","FaltandoMáq."))</f>
        <v>Atende Capacidade</v>
      </c>
      <c r="R243" s="367" t="str">
        <f>IF(R242&gt;$O$150,"Sobrando Máq.",IF(R242&gt;=0,"Atende Capacidade","FaltandoMáq."))</f>
        <v>Atende Capacidade</v>
      </c>
      <c r="T243" s="9"/>
      <c r="U243" s="370" t="s">
        <v>1650</v>
      </c>
      <c r="V243" s="431">
        <f>IFERROR(((RESUMO!C149)*(VLOOKUP(B253,$O$140:$S$146,3,0))),0)</f>
        <v>0</v>
      </c>
      <c r="W243" s="430">
        <f>IFERROR(((RESUMO!C149)*(VLOOKUP(B253,$O$140:$S$146,4,0))),0)</f>
        <v>0</v>
      </c>
      <c r="X243" s="432">
        <f>IFERROR(IF(B253&lt;3,0,(RESUMO!C149)*(VLOOKUP(B253,$O$140:$S$146,5,0))),0)</f>
        <v>0</v>
      </c>
      <c r="Y243" s="469">
        <f t="shared" si="88"/>
        <v>0</v>
      </c>
      <c r="Z243" s="470">
        <f t="shared" si="89"/>
        <v>0</v>
      </c>
      <c r="AA243" s="471">
        <f t="shared" si="90"/>
        <v>0</v>
      </c>
      <c r="AB243" s="448">
        <f>RESUMO!E149</f>
        <v>0</v>
      </c>
      <c r="AC243" s="453">
        <f t="shared" si="91"/>
        <v>0</v>
      </c>
      <c r="AD243" s="429">
        <f t="shared" si="92"/>
        <v>0</v>
      </c>
      <c r="AE243" s="454">
        <f t="shared" si="93"/>
        <v>0</v>
      </c>
      <c r="AF243" s="381"/>
      <c r="AG243" s="476">
        <f>AC243</f>
        <v>0</v>
      </c>
      <c r="AH243" s="381"/>
      <c r="AI243" s="476">
        <f>AD243</f>
        <v>0</v>
      </c>
      <c r="AJ243" s="381"/>
      <c r="AK243" s="476">
        <f>AE243</f>
        <v>0</v>
      </c>
    </row>
    <row r="244" spans="1:16384" outlineLevel="2">
      <c r="A244" s="21" t="s">
        <v>1701</v>
      </c>
      <c r="B244" s="549">
        <f t="shared" si="86"/>
        <v>1</v>
      </c>
      <c r="C244" s="182">
        <f t="shared" si="94"/>
        <v>0</v>
      </c>
      <c r="D244" s="182">
        <f t="shared" si="94"/>
        <v>0</v>
      </c>
      <c r="E244" s="182">
        <f t="shared" si="94"/>
        <v>0</v>
      </c>
      <c r="F244" s="4"/>
      <c r="G244" s="4"/>
      <c r="H244" s="4"/>
      <c r="I244" s="4"/>
      <c r="J244" s="4"/>
      <c r="K244" s="4"/>
      <c r="L244" s="4"/>
      <c r="M244" s="4"/>
      <c r="P244" t="s">
        <v>1572</v>
      </c>
      <c r="Q244" s="367"/>
      <c r="R244" s="367"/>
      <c r="T244" s="9"/>
      <c r="U244" s="370" t="s">
        <v>1651</v>
      </c>
      <c r="V244" s="431">
        <f>IFERROR(((RESUMO!C150)*(VLOOKUP(B254,$O$140:$S$146,3,0))),0)</f>
        <v>0</v>
      </c>
      <c r="W244" s="430">
        <f>IFERROR(((RESUMO!C150)*(VLOOKUP(B254,$O$140:$S$146,4,0))),0)</f>
        <v>0</v>
      </c>
      <c r="X244" s="432">
        <f>IFERROR(IF(B254&lt;3,0,(RESUMO!C150)*(VLOOKUP(B254,$O$140:$S$146,5,0))),0)</f>
        <v>0</v>
      </c>
      <c r="Y244" s="469">
        <f t="shared" si="88"/>
        <v>0</v>
      </c>
      <c r="Z244" s="470">
        <f t="shared" si="89"/>
        <v>0</v>
      </c>
      <c r="AA244" s="471">
        <f t="shared" si="90"/>
        <v>0</v>
      </c>
      <c r="AB244" s="448">
        <f>RESUMO!E150</f>
        <v>0</v>
      </c>
      <c r="AC244" s="453">
        <f t="shared" si="91"/>
        <v>0</v>
      </c>
      <c r="AD244" s="429">
        <f t="shared" si="92"/>
        <v>0</v>
      </c>
      <c r="AE244" s="454">
        <f t="shared" si="93"/>
        <v>0</v>
      </c>
      <c r="AF244" s="381">
        <f>IF(AC244-($B$226*$E$226)&lt;=0,AC244,($B$226*$E$226))</f>
        <v>0</v>
      </c>
      <c r="AG244" s="454">
        <f>AC244-AF244</f>
        <v>0</v>
      </c>
      <c r="AH244" s="381">
        <f>IF(AD244-($B$226*$E$226)&lt;=0,AD244,($B$226*$E$226))</f>
        <v>0</v>
      </c>
      <c r="AI244" s="454">
        <f>AD244-AH244</f>
        <v>0</v>
      </c>
      <c r="AJ244" s="381">
        <f>IF(AE244-($B$226*$E$226)&lt;=0,AE244,($B$226*$E$226))</f>
        <v>0</v>
      </c>
      <c r="AK244" s="454">
        <f>AE244-AJ244</f>
        <v>0</v>
      </c>
    </row>
    <row r="245" spans="1:16384" outlineLevel="2">
      <c r="A245" s="21" t="s">
        <v>1875</v>
      </c>
      <c r="B245" s="549">
        <f t="shared" si="86"/>
        <v>1</v>
      </c>
      <c r="C245" s="182">
        <f t="shared" si="94"/>
        <v>0</v>
      </c>
      <c r="D245" s="182">
        <f t="shared" si="94"/>
        <v>0</v>
      </c>
      <c r="E245" s="182">
        <f t="shared" si="94"/>
        <v>0</v>
      </c>
      <c r="F245" s="4"/>
      <c r="G245" s="4"/>
      <c r="H245" s="4"/>
      <c r="I245" s="4"/>
      <c r="J245" s="4"/>
      <c r="K245" s="4"/>
      <c r="L245" s="4"/>
      <c r="M245" s="4"/>
      <c r="P245" t="s">
        <v>1573</v>
      </c>
      <c r="T245" s="9"/>
      <c r="U245" s="370" t="s">
        <v>1652</v>
      </c>
      <c r="V245" s="431">
        <f>IFERROR(((RESUMO!C151)*(VLOOKUP(B255,$O$140:$S$146,3,0))),0)</f>
        <v>0</v>
      </c>
      <c r="W245" s="430">
        <f>IFERROR(((RESUMO!C151)*(VLOOKUP(B255,$O$140:$S$146,4,0))),0)</f>
        <v>0</v>
      </c>
      <c r="X245" s="432">
        <f>IFERROR(IF(B255&lt;3,0,(RESUMO!C151)*(VLOOKUP(B255,$O$140:$S$146,5,0))),0)</f>
        <v>0</v>
      </c>
      <c r="Y245" s="469">
        <f t="shared" si="88"/>
        <v>0</v>
      </c>
      <c r="Z245" s="470">
        <f t="shared" si="89"/>
        <v>0</v>
      </c>
      <c r="AA245" s="471">
        <f t="shared" si="90"/>
        <v>0</v>
      </c>
      <c r="AB245" s="448">
        <f>RESUMO!E151</f>
        <v>0</v>
      </c>
      <c r="AC245" s="453">
        <f t="shared" si="91"/>
        <v>0</v>
      </c>
      <c r="AD245" s="429">
        <f t="shared" si="92"/>
        <v>0</v>
      </c>
      <c r="AE245" s="454">
        <f t="shared" si="93"/>
        <v>0</v>
      </c>
      <c r="AF245" s="381">
        <f>IF(AC245-($B$226*$E$226)&lt;=0,AC245,($B$226*$E$226))</f>
        <v>0</v>
      </c>
      <c r="AG245" s="454">
        <f>AC245-AF245</f>
        <v>0</v>
      </c>
      <c r="AH245" s="381">
        <f>IF(AD245-($B$226*$E$226)&lt;=0,AD245,($B$226*$E$226))</f>
        <v>0</v>
      </c>
      <c r="AI245" s="454">
        <f>AD245-AH245</f>
        <v>0</v>
      </c>
      <c r="AJ245" s="381">
        <f>IF(AE245-($B$226*$E$226)&lt;=0,AE245,($B$226*$E$226))</f>
        <v>0</v>
      </c>
      <c r="AK245" s="454">
        <f>AE245-AJ245</f>
        <v>0</v>
      </c>
    </row>
    <row r="246" spans="1:16384" outlineLevel="2">
      <c r="A246" s="21" t="s">
        <v>1797</v>
      </c>
      <c r="B246" s="549">
        <f t="shared" si="86"/>
        <v>1</v>
      </c>
      <c r="C246" s="182">
        <f>SUM(Y236:Y237)</f>
        <v>0</v>
      </c>
      <c r="D246" s="182">
        <f>SUM(Z236:Z237)</f>
        <v>0</v>
      </c>
      <c r="E246" s="182">
        <f>SUM(AA236:AA237)</f>
        <v>0</v>
      </c>
      <c r="F246" s="4"/>
      <c r="G246" s="4"/>
      <c r="H246" s="4"/>
      <c r="I246" s="4"/>
      <c r="J246" s="4"/>
      <c r="K246" s="4"/>
      <c r="L246" s="4"/>
      <c r="M246" s="4"/>
      <c r="T246" s="9"/>
      <c r="U246" s="370" t="s">
        <v>1653</v>
      </c>
      <c r="V246" s="431">
        <f>IFERROR(((RESUMO!C152)*(VLOOKUP(B256,$O$140:$S$146,3,0))),0)</f>
        <v>0</v>
      </c>
      <c r="W246" s="430">
        <f>IFERROR(((RESUMO!C152)*(VLOOKUP(B256,$O$140:$S$146,4,0))),0)</f>
        <v>0</v>
      </c>
      <c r="X246" s="432">
        <f>IFERROR(IF(B256&lt;3,0,(RESUMO!C152)*(VLOOKUP(B256,$O$140:$S$146,5,0))),0)</f>
        <v>0</v>
      </c>
      <c r="Y246" s="469">
        <f t="shared" si="88"/>
        <v>0</v>
      </c>
      <c r="Z246" s="470">
        <f t="shared" si="89"/>
        <v>0</v>
      </c>
      <c r="AA246" s="471">
        <f t="shared" si="90"/>
        <v>0</v>
      </c>
      <c r="AB246" s="448">
        <f>RESUMO!E152</f>
        <v>0</v>
      </c>
      <c r="AC246" s="453">
        <f t="shared" si="91"/>
        <v>0</v>
      </c>
      <c r="AD246" s="429">
        <f t="shared" si="92"/>
        <v>0</v>
      </c>
      <c r="AE246" s="454">
        <f t="shared" si="93"/>
        <v>0</v>
      </c>
      <c r="AF246" s="381">
        <f>IF(AC246-($B$226*$E$226)&lt;=0,AC246,($B$226*$E$226))</f>
        <v>0</v>
      </c>
      <c r="AG246" s="454">
        <f>AC246-AF246</f>
        <v>0</v>
      </c>
      <c r="AH246" s="381">
        <f>IF(AD246-($B$226*$E$226)&lt;=0,AD246,($B$226*$E$226))</f>
        <v>0</v>
      </c>
      <c r="AI246" s="454">
        <f>AD246-AH246</f>
        <v>0</v>
      </c>
      <c r="AJ246" s="381">
        <f>IF(AE246-($B$226*$E$226)&lt;=0,AE246,($B$226*$E$226))</f>
        <v>0</v>
      </c>
      <c r="AK246" s="454">
        <f>AE246-AJ246</f>
        <v>0</v>
      </c>
    </row>
    <row r="247" spans="1:16384" outlineLevel="2">
      <c r="A247" s="18" t="s">
        <v>1791</v>
      </c>
      <c r="C247" s="182">
        <f>100%-(SUM(C239:C246)+C234+C233)</f>
        <v>7.1370379889267754E-2</v>
      </c>
      <c r="D247" s="182">
        <f>100%-(SUM(D239:D246)+D234+D233)</f>
        <v>1</v>
      </c>
      <c r="E247" s="182">
        <f>100%-(SUM(E239:E246)+E234+E233)</f>
        <v>1</v>
      </c>
      <c r="F247" s="4"/>
      <c r="G247" s="4"/>
      <c r="H247" s="4"/>
      <c r="I247" s="4"/>
      <c r="J247" s="4"/>
      <c r="K247" s="4"/>
      <c r="L247" s="4"/>
      <c r="M247" s="4"/>
      <c r="O247" s="236"/>
      <c r="P247" s="4"/>
      <c r="Q247" s="4"/>
      <c r="R247" s="4"/>
      <c r="S247" s="4"/>
      <c r="T247" s="9"/>
      <c r="U247" s="370" t="s">
        <v>2565</v>
      </c>
      <c r="V247" s="431">
        <f>IFERROR(((RESUMO!C153)*(VLOOKUP(B257,$O$140:$S$146,3,0))),0)</f>
        <v>0</v>
      </c>
      <c r="W247" s="430">
        <f>IFERROR(((RESUMO!C153)*(VLOOKUP(B257,$O$140:$S$146,4,0))),0)</f>
        <v>0</v>
      </c>
      <c r="X247" s="432">
        <f>IFERROR(IF(B257&lt;3,0,(RESUMO!C153)*(VLOOKUP(B257,$O$140:$S$146,5,0))),0)</f>
        <v>0</v>
      </c>
      <c r="Y247" s="469">
        <f t="shared" si="88"/>
        <v>0</v>
      </c>
      <c r="Z247" s="470">
        <f t="shared" si="89"/>
        <v>0</v>
      </c>
      <c r="AA247" s="471">
        <f t="shared" si="90"/>
        <v>0</v>
      </c>
      <c r="AB247" s="448">
        <f>RESUMO!E153</f>
        <v>0</v>
      </c>
      <c r="AC247" s="453">
        <f t="shared" si="91"/>
        <v>0</v>
      </c>
      <c r="AD247" s="429">
        <f t="shared" si="92"/>
        <v>0</v>
      </c>
      <c r="AE247" s="454">
        <f t="shared" si="93"/>
        <v>0</v>
      </c>
      <c r="AF247" s="381">
        <f>IF(AC247-($B$226*$E$226)&lt;=0,AC247,($B$226*$E$226))</f>
        <v>0</v>
      </c>
      <c r="AG247" s="454">
        <f>AC247-AF247</f>
        <v>0</v>
      </c>
      <c r="AH247" s="381">
        <f>IF(AD247-($B$226*$E$226)&lt;=0,AD247,($B$226*$E$226))</f>
        <v>0</v>
      </c>
      <c r="AI247" s="454">
        <f>AD247-AH247</f>
        <v>0</v>
      </c>
      <c r="AJ247" s="381">
        <f>IF(AE247-($B$226*$E$226)&lt;=0,AE247,($B$226*$E$226))</f>
        <v>0</v>
      </c>
      <c r="AK247" s="454">
        <f>AE247-AJ247</f>
        <v>0</v>
      </c>
    </row>
    <row r="248" spans="1:16384" outlineLevel="2">
      <c r="F248" s="4"/>
      <c r="G248" s="4"/>
      <c r="H248" s="4"/>
      <c r="I248" s="4"/>
      <c r="J248" s="4"/>
      <c r="K248" s="4"/>
      <c r="L248" s="4"/>
      <c r="M248" s="4"/>
      <c r="N248" s="4"/>
      <c r="O248" s="236"/>
      <c r="R248" s="4"/>
      <c r="T248" s="9"/>
      <c r="U248" s="370" t="s">
        <v>1654</v>
      </c>
      <c r="V248" s="431">
        <f>IFERROR(((RESUMO!C154)*(VLOOKUP(B258,$O$140:$S$146,3,0))),0)</f>
        <v>0</v>
      </c>
      <c r="W248" s="430">
        <f>IFERROR(((RESUMO!C154)*(VLOOKUP(B258,$O$140:$S$146,4,0))),0)</f>
        <v>0</v>
      </c>
      <c r="X248" s="432">
        <f>IFERROR(IF(B258&lt;3,0,(RESUMO!C154)*(VLOOKUP(B258,$O$140:$S$146,5,0))),0)</f>
        <v>0</v>
      </c>
      <c r="Y248" s="469">
        <f t="shared" si="88"/>
        <v>0</v>
      </c>
      <c r="Z248" s="470">
        <f t="shared" si="89"/>
        <v>0</v>
      </c>
      <c r="AA248" s="471">
        <f t="shared" si="90"/>
        <v>0</v>
      </c>
      <c r="AB248" s="448">
        <f>RESUMO!E154</f>
        <v>0</v>
      </c>
      <c r="AC248" s="453">
        <f>IFERROR(Y248/SUM(Y248:AA248)*AB248/$I$15,0)*$I$12*$AC$137</f>
        <v>0</v>
      </c>
      <c r="AD248" s="429">
        <f>IFERROR(Z248/SUM(Y248:AA248)*AB248/$J$15,0)*$I$12*$AD$137</f>
        <v>0</v>
      </c>
      <c r="AE248" s="454">
        <f>IFERROR(AA248/SUM(Y248:AA248)*AB248/$K$15,0)*$I$12*$AE$137</f>
        <v>0</v>
      </c>
      <c r="AF248" s="381"/>
      <c r="AG248" s="476">
        <f t="shared" ref="AG248:AG255" si="95">AC248</f>
        <v>0</v>
      </c>
      <c r="AH248" s="381"/>
      <c r="AI248" s="476">
        <f t="shared" ref="AI248:AI255" si="96">AD248</f>
        <v>0</v>
      </c>
      <c r="AJ248" s="381"/>
      <c r="AK248" s="476">
        <f t="shared" ref="AK248:AK255" si="97">AE248</f>
        <v>0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  <c r="UG248" s="4"/>
      <c r="UH248" s="4"/>
      <c r="UI248" s="4"/>
      <c r="UJ248" s="4"/>
      <c r="UK248" s="4"/>
      <c r="UL248" s="4"/>
      <c r="UM248" s="4"/>
      <c r="UN248" s="4"/>
      <c r="UO248" s="4"/>
      <c r="UP248" s="4"/>
      <c r="UQ248" s="4"/>
      <c r="UR248" s="4"/>
      <c r="US248" s="4"/>
      <c r="UT248" s="4"/>
      <c r="UU248" s="4"/>
      <c r="UV248" s="4"/>
      <c r="UW248" s="4"/>
      <c r="UX248" s="4"/>
      <c r="UY248" s="4"/>
      <c r="UZ248" s="4"/>
      <c r="VA248" s="4"/>
      <c r="VB248" s="4"/>
      <c r="VC248" s="4"/>
      <c r="VD248" s="4"/>
      <c r="VE248" s="4"/>
      <c r="VF248" s="4"/>
      <c r="VG248" s="4"/>
      <c r="VH248" s="4"/>
      <c r="VI248" s="4"/>
      <c r="VJ248" s="4"/>
      <c r="VK248" s="4"/>
      <c r="VL248" s="4"/>
      <c r="VM248" s="4"/>
      <c r="VN248" s="4"/>
      <c r="VO248" s="4"/>
      <c r="VP248" s="4"/>
      <c r="VQ248" s="4"/>
      <c r="VR248" s="4"/>
      <c r="VS248" s="4"/>
      <c r="VT248" s="4"/>
      <c r="VU248" s="4"/>
      <c r="VV248" s="4"/>
      <c r="VW248" s="4"/>
      <c r="VX248" s="4"/>
      <c r="VY248" s="4"/>
      <c r="VZ248" s="4"/>
      <c r="WA248" s="4"/>
      <c r="WB248" s="4"/>
      <c r="WC248" s="4"/>
      <c r="WD248" s="4"/>
      <c r="WE248" s="4"/>
      <c r="WF248" s="4"/>
      <c r="WG248" s="4"/>
      <c r="WH248" s="4"/>
      <c r="WI248" s="4"/>
      <c r="WJ248" s="4"/>
      <c r="WK248" s="4"/>
      <c r="WL248" s="4"/>
      <c r="WM248" s="4"/>
      <c r="WN248" s="4"/>
      <c r="WO248" s="4"/>
      <c r="WP248" s="4"/>
      <c r="WQ248" s="4"/>
      <c r="WR248" s="4"/>
      <c r="WS248" s="4"/>
      <c r="WT248" s="4"/>
      <c r="WU248" s="4"/>
      <c r="WV248" s="4"/>
      <c r="WW248" s="4"/>
      <c r="WX248" s="4"/>
      <c r="WY248" s="4"/>
      <c r="WZ248" s="4"/>
      <c r="XA248" s="4"/>
      <c r="XB248" s="4"/>
      <c r="XC248" s="4"/>
      <c r="XD248" s="4"/>
      <c r="XE248" s="4"/>
      <c r="XF248" s="4"/>
      <c r="XG248" s="4"/>
      <c r="XH248" s="4"/>
      <c r="XI248" s="4"/>
      <c r="XJ248" s="4"/>
      <c r="XK248" s="4"/>
      <c r="XL248" s="4"/>
      <c r="XM248" s="4"/>
      <c r="XN248" s="4"/>
      <c r="XO248" s="4"/>
      <c r="XP248" s="4"/>
      <c r="XQ248" s="4"/>
      <c r="XR248" s="4"/>
      <c r="XS248" s="4"/>
      <c r="XT248" s="4"/>
      <c r="XU248" s="4"/>
      <c r="XV248" s="4"/>
      <c r="XW248" s="4"/>
      <c r="XX248" s="4"/>
      <c r="XY248" s="4"/>
      <c r="XZ248" s="4"/>
      <c r="YA248" s="4"/>
      <c r="YB248" s="4"/>
      <c r="YC248" s="4"/>
      <c r="YD248" s="4"/>
      <c r="YE248" s="4"/>
      <c r="YF248" s="4"/>
      <c r="YG248" s="4"/>
      <c r="YH248" s="4"/>
      <c r="YI248" s="4"/>
      <c r="YJ248" s="4"/>
      <c r="YK248" s="4"/>
      <c r="YL248" s="4"/>
      <c r="YM248" s="4"/>
      <c r="YN248" s="4"/>
      <c r="YO248" s="4"/>
      <c r="YP248" s="4"/>
      <c r="YQ248" s="4"/>
      <c r="YR248" s="4"/>
      <c r="YS248" s="4"/>
      <c r="YT248" s="4"/>
      <c r="YU248" s="4"/>
      <c r="YV248" s="4"/>
      <c r="YW248" s="4"/>
      <c r="YX248" s="4"/>
      <c r="YY248" s="4"/>
      <c r="YZ248" s="4"/>
      <c r="ZA248" s="4"/>
      <c r="ZB248" s="4"/>
      <c r="ZC248" s="4"/>
      <c r="ZD248" s="4"/>
      <c r="ZE248" s="4"/>
      <c r="ZF248" s="4"/>
      <c r="ZG248" s="4"/>
      <c r="ZH248" s="4"/>
      <c r="ZI248" s="4"/>
      <c r="ZJ248" s="4"/>
      <c r="ZK248" s="4"/>
      <c r="ZL248" s="4"/>
      <c r="ZM248" s="4"/>
      <c r="ZN248" s="4"/>
      <c r="ZO248" s="4"/>
      <c r="ZP248" s="4"/>
      <c r="ZQ248" s="4"/>
      <c r="ZR248" s="4"/>
      <c r="ZS248" s="4"/>
      <c r="ZT248" s="4"/>
      <c r="ZU248" s="4"/>
      <c r="ZV248" s="4"/>
      <c r="ZW248" s="4"/>
      <c r="ZX248" s="4"/>
      <c r="ZY248" s="4"/>
      <c r="ZZ248" s="4"/>
      <c r="AAA248" s="4"/>
      <c r="AAB248" s="4"/>
      <c r="AAC248" s="4"/>
      <c r="AAD248" s="4"/>
      <c r="AAE248" s="4"/>
      <c r="AAF248" s="4"/>
      <c r="AAG248" s="4"/>
      <c r="AAH248" s="4"/>
      <c r="AAI248" s="4"/>
      <c r="AAJ248" s="4"/>
      <c r="AAK248" s="4"/>
      <c r="AAL248" s="4"/>
      <c r="AAM248" s="4"/>
      <c r="AAN248" s="4"/>
      <c r="AAO248" s="4"/>
      <c r="AAP248" s="4"/>
      <c r="AAQ248" s="4"/>
      <c r="AAR248" s="4"/>
      <c r="AAS248" s="4"/>
      <c r="AAT248" s="4"/>
      <c r="AAU248" s="4"/>
      <c r="AAV248" s="4"/>
      <c r="AAW248" s="4"/>
      <c r="AAX248" s="4"/>
      <c r="AAY248" s="4"/>
      <c r="AAZ248" s="4"/>
      <c r="ABA248" s="4"/>
      <c r="ABB248" s="4"/>
      <c r="ABC248" s="4"/>
      <c r="ABD248" s="4"/>
      <c r="ABE248" s="4"/>
      <c r="ABF248" s="4"/>
      <c r="ABG248" s="4"/>
      <c r="ABH248" s="4"/>
      <c r="ABI248" s="4"/>
      <c r="ABJ248" s="4"/>
      <c r="ABK248" s="4"/>
      <c r="ABL248" s="4"/>
      <c r="ABM248" s="4"/>
      <c r="ABN248" s="4"/>
      <c r="ABO248" s="4"/>
      <c r="ABP248" s="4"/>
      <c r="ABQ248" s="4"/>
      <c r="ABR248" s="4"/>
      <c r="ABS248" s="4"/>
      <c r="ABT248" s="4"/>
      <c r="ABU248" s="4"/>
      <c r="ABV248" s="4"/>
      <c r="ABW248" s="4"/>
      <c r="ABX248" s="4"/>
      <c r="ABY248" s="4"/>
      <c r="ABZ248" s="4"/>
      <c r="ACA248" s="4"/>
      <c r="ACB248" s="4"/>
      <c r="ACC248" s="4"/>
      <c r="ACD248" s="4"/>
      <c r="ACE248" s="4"/>
      <c r="ACF248" s="4"/>
      <c r="ACG248" s="4"/>
      <c r="ACH248" s="4"/>
      <c r="ACI248" s="4"/>
      <c r="ACJ248" s="4"/>
      <c r="ACK248" s="4"/>
      <c r="ACL248" s="4"/>
      <c r="ACM248" s="4"/>
      <c r="ACN248" s="4"/>
      <c r="ACO248" s="4"/>
      <c r="ACP248" s="4"/>
      <c r="ACQ248" s="4"/>
      <c r="ACR248" s="4"/>
      <c r="ACS248" s="4"/>
      <c r="ACT248" s="4"/>
      <c r="ACU248" s="4"/>
      <c r="ACV248" s="4"/>
      <c r="ACW248" s="4"/>
      <c r="ACX248" s="4"/>
      <c r="ACY248" s="4"/>
      <c r="ACZ248" s="4"/>
      <c r="ADA248" s="4"/>
      <c r="ADB248" s="4"/>
      <c r="ADC248" s="4"/>
      <c r="ADD248" s="4"/>
      <c r="ADE248" s="4"/>
      <c r="ADF248" s="4"/>
      <c r="ADG248" s="4"/>
      <c r="ADH248" s="4"/>
      <c r="ADI248" s="4"/>
      <c r="ADJ248" s="4"/>
      <c r="ADK248" s="4"/>
      <c r="ADL248" s="4"/>
      <c r="ADM248" s="4"/>
      <c r="ADN248" s="4"/>
      <c r="ADO248" s="4"/>
      <c r="ADP248" s="4"/>
      <c r="ADQ248" s="4"/>
      <c r="ADR248" s="4"/>
      <c r="ADS248" s="4"/>
      <c r="ADT248" s="4"/>
      <c r="ADU248" s="4"/>
      <c r="ADV248" s="4"/>
      <c r="ADW248" s="4"/>
      <c r="ADX248" s="4"/>
      <c r="ADY248" s="4"/>
      <c r="ADZ248" s="4"/>
      <c r="AEA248" s="4"/>
      <c r="AEB248" s="4"/>
      <c r="AEC248" s="4"/>
      <c r="AED248" s="4"/>
      <c r="AEE248" s="4"/>
      <c r="AEF248" s="4"/>
      <c r="AEG248" s="4"/>
      <c r="AEH248" s="4"/>
      <c r="AEI248" s="4"/>
      <c r="AEJ248" s="4"/>
      <c r="AEK248" s="4"/>
      <c r="AEL248" s="4"/>
      <c r="AEM248" s="4"/>
      <c r="AEN248" s="4"/>
      <c r="AEO248" s="4"/>
      <c r="AEP248" s="4"/>
      <c r="AEQ248" s="4"/>
      <c r="AER248" s="4"/>
      <c r="AES248" s="4"/>
      <c r="AET248" s="4"/>
      <c r="AEU248" s="4"/>
      <c r="AEV248" s="4"/>
      <c r="AEW248" s="4"/>
      <c r="AEX248" s="4"/>
      <c r="AEY248" s="4"/>
      <c r="AEZ248" s="4"/>
      <c r="AFA248" s="4"/>
      <c r="AFB248" s="4"/>
      <c r="AFC248" s="4"/>
      <c r="AFD248" s="4"/>
      <c r="AFE248" s="4"/>
      <c r="AFF248" s="4"/>
      <c r="AFG248" s="4"/>
      <c r="AFH248" s="4"/>
      <c r="AFI248" s="4"/>
      <c r="AFJ248" s="4"/>
      <c r="AFK248" s="4"/>
      <c r="AFL248" s="4"/>
      <c r="AFM248" s="4"/>
      <c r="AFN248" s="4"/>
      <c r="AFO248" s="4"/>
      <c r="AFP248" s="4"/>
      <c r="AFQ248" s="4"/>
      <c r="AFR248" s="4"/>
      <c r="AFS248" s="4"/>
      <c r="AFT248" s="4"/>
      <c r="AFU248" s="4"/>
      <c r="AFV248" s="4"/>
      <c r="AFW248" s="4"/>
      <c r="AFX248" s="4"/>
      <c r="AFY248" s="4"/>
      <c r="AFZ248" s="4"/>
      <c r="AGA248" s="4"/>
      <c r="AGB248" s="4"/>
      <c r="AGC248" s="4"/>
      <c r="AGD248" s="4"/>
      <c r="AGE248" s="4"/>
      <c r="AGF248" s="4"/>
      <c r="AGG248" s="4"/>
      <c r="AGH248" s="4"/>
      <c r="AGI248" s="4"/>
      <c r="AGJ248" s="4"/>
      <c r="AGK248" s="4"/>
      <c r="AGL248" s="4"/>
      <c r="AGM248" s="4"/>
      <c r="AGN248" s="4"/>
      <c r="AGO248" s="4"/>
      <c r="AGP248" s="4"/>
      <c r="AGQ248" s="4"/>
      <c r="AGR248" s="4"/>
      <c r="AGS248" s="4"/>
      <c r="AGT248" s="4"/>
      <c r="AGU248" s="4"/>
      <c r="AGV248" s="4"/>
      <c r="AGW248" s="4"/>
      <c r="AGX248" s="4"/>
      <c r="AGY248" s="4"/>
      <c r="AGZ248" s="4"/>
      <c r="AHA248" s="4"/>
      <c r="AHB248" s="4"/>
      <c r="AHC248" s="4"/>
      <c r="AHD248" s="4"/>
      <c r="AHE248" s="4"/>
      <c r="AHF248" s="4"/>
      <c r="AHG248" s="4"/>
      <c r="AHH248" s="4"/>
      <c r="AHI248" s="4"/>
      <c r="AHJ248" s="4"/>
      <c r="AHK248" s="4"/>
      <c r="AHL248" s="4"/>
      <c r="AHM248" s="4"/>
      <c r="AHN248" s="4"/>
      <c r="AHO248" s="4"/>
      <c r="AHP248" s="4"/>
      <c r="AHQ248" s="4"/>
      <c r="AHR248" s="4"/>
      <c r="AHS248" s="4"/>
      <c r="AHT248" s="4"/>
      <c r="AHU248" s="4"/>
      <c r="AHV248" s="4"/>
      <c r="AHW248" s="4"/>
      <c r="AHX248" s="4"/>
      <c r="AHY248" s="4"/>
      <c r="AHZ248" s="4"/>
      <c r="AIA248" s="4"/>
      <c r="AIB248" s="4"/>
      <c r="AIC248" s="4"/>
      <c r="AID248" s="4"/>
      <c r="AIE248" s="4"/>
      <c r="AIF248" s="4"/>
      <c r="AIG248" s="4"/>
      <c r="AIH248" s="4"/>
      <c r="AII248" s="4"/>
      <c r="AIJ248" s="4"/>
      <c r="AIK248" s="4"/>
      <c r="AIL248" s="4"/>
      <c r="AIM248" s="4"/>
      <c r="AIN248" s="4"/>
      <c r="AIO248" s="4"/>
      <c r="AIP248" s="4"/>
      <c r="AIQ248" s="4"/>
      <c r="AIR248" s="4"/>
      <c r="AIS248" s="4"/>
      <c r="AIT248" s="4"/>
      <c r="AIU248" s="4"/>
      <c r="AIV248" s="4"/>
      <c r="AIW248" s="4"/>
      <c r="AIX248" s="4"/>
      <c r="AIY248" s="4"/>
      <c r="AIZ248" s="4"/>
      <c r="AJA248" s="4"/>
      <c r="AJB248" s="4"/>
      <c r="AJC248" s="4"/>
      <c r="AJD248" s="4"/>
      <c r="AJE248" s="4"/>
      <c r="AJF248" s="4"/>
      <c r="AJG248" s="4"/>
      <c r="AJH248" s="4"/>
      <c r="AJI248" s="4"/>
      <c r="AJJ248" s="4"/>
      <c r="AJK248" s="4"/>
      <c r="AJL248" s="4"/>
      <c r="AJM248" s="4"/>
      <c r="AJN248" s="4"/>
      <c r="AJO248" s="4"/>
      <c r="AJP248" s="4"/>
      <c r="AJQ248" s="4"/>
      <c r="AJR248" s="4"/>
      <c r="AJS248" s="4"/>
      <c r="AJT248" s="4"/>
      <c r="AJU248" s="4"/>
      <c r="AJV248" s="4"/>
      <c r="AJW248" s="4"/>
      <c r="AJX248" s="4"/>
      <c r="AJY248" s="4"/>
      <c r="AJZ248" s="4"/>
      <c r="AKA248" s="4"/>
      <c r="AKB248" s="4"/>
      <c r="AKC248" s="4"/>
      <c r="AKD248" s="4"/>
      <c r="AKE248" s="4"/>
      <c r="AKF248" s="4"/>
      <c r="AKG248" s="4"/>
      <c r="AKH248" s="4"/>
      <c r="AKI248" s="4"/>
      <c r="AKJ248" s="4"/>
      <c r="AKK248" s="4"/>
      <c r="AKL248" s="4"/>
      <c r="AKM248" s="4"/>
      <c r="AKN248" s="4"/>
      <c r="AKO248" s="4"/>
      <c r="AKP248" s="4"/>
      <c r="AKQ248" s="4"/>
      <c r="AKR248" s="4"/>
      <c r="AKS248" s="4"/>
      <c r="AKT248" s="4"/>
      <c r="AKU248" s="4"/>
      <c r="AKV248" s="4"/>
      <c r="AKW248" s="4"/>
      <c r="AKX248" s="4"/>
      <c r="AKY248" s="4"/>
      <c r="AKZ248" s="4"/>
      <c r="ALA248" s="4"/>
      <c r="ALB248" s="4"/>
      <c r="ALC248" s="4"/>
      <c r="ALD248" s="4"/>
      <c r="ALE248" s="4"/>
      <c r="ALF248" s="4"/>
      <c r="ALG248" s="4"/>
      <c r="ALH248" s="4"/>
      <c r="ALI248" s="4"/>
      <c r="ALJ248" s="4"/>
      <c r="ALK248" s="4"/>
      <c r="ALL248" s="4"/>
      <c r="ALM248" s="4"/>
      <c r="ALN248" s="4"/>
      <c r="ALO248" s="4"/>
      <c r="ALP248" s="4"/>
      <c r="ALQ248" s="4"/>
      <c r="ALR248" s="4"/>
      <c r="ALS248" s="4"/>
      <c r="ALT248" s="4"/>
      <c r="ALU248" s="4"/>
      <c r="ALV248" s="4"/>
      <c r="ALW248" s="4"/>
      <c r="ALX248" s="4"/>
      <c r="ALY248" s="4"/>
      <c r="ALZ248" s="4"/>
      <c r="AMA248" s="4"/>
      <c r="AMB248" s="4"/>
      <c r="AMC248" s="4"/>
      <c r="AMD248" s="4"/>
      <c r="AME248" s="4"/>
      <c r="AMF248" s="4"/>
      <c r="AMG248" s="4"/>
      <c r="AMH248" s="4"/>
      <c r="AMI248" s="4"/>
      <c r="AMJ248" s="4"/>
      <c r="AMK248" s="4"/>
      <c r="AML248" s="4"/>
      <c r="AMM248" s="4"/>
      <c r="AMN248" s="4"/>
      <c r="AMO248" s="4"/>
      <c r="AMP248" s="4"/>
      <c r="AMQ248" s="4"/>
      <c r="AMR248" s="4"/>
      <c r="AMS248" s="4"/>
      <c r="AMT248" s="4"/>
      <c r="AMU248" s="4"/>
      <c r="AMV248" s="4"/>
      <c r="AMW248" s="4"/>
      <c r="AMX248" s="4"/>
      <c r="AMY248" s="4"/>
      <c r="AMZ248" s="4"/>
      <c r="ANA248" s="4"/>
      <c r="ANB248" s="4"/>
      <c r="ANC248" s="4"/>
      <c r="AND248" s="4"/>
      <c r="ANE248" s="4"/>
      <c r="ANF248" s="4"/>
      <c r="ANG248" s="4"/>
      <c r="ANH248" s="4"/>
      <c r="ANI248" s="4"/>
      <c r="ANJ248" s="4"/>
      <c r="ANK248" s="4"/>
      <c r="ANL248" s="4"/>
      <c r="ANM248" s="4"/>
      <c r="ANN248" s="4"/>
      <c r="ANO248" s="4"/>
      <c r="ANP248" s="4"/>
      <c r="ANQ248" s="4"/>
      <c r="ANR248" s="4"/>
      <c r="ANS248" s="4"/>
      <c r="ANT248" s="4"/>
      <c r="ANU248" s="4"/>
      <c r="ANV248" s="4"/>
      <c r="ANW248" s="4"/>
      <c r="ANX248" s="4"/>
      <c r="ANY248" s="4"/>
      <c r="ANZ248" s="4"/>
      <c r="AOA248" s="4"/>
      <c r="AOB248" s="4"/>
      <c r="AOC248" s="4"/>
      <c r="AOD248" s="4"/>
      <c r="AOE248" s="4"/>
      <c r="AOF248" s="4"/>
      <c r="AOG248" s="4"/>
      <c r="AOH248" s="4"/>
      <c r="AOI248" s="4"/>
      <c r="AOJ248" s="4"/>
      <c r="AOK248" s="4"/>
      <c r="AOL248" s="4"/>
      <c r="AOM248" s="4"/>
      <c r="AON248" s="4"/>
      <c r="AOO248" s="4"/>
      <c r="AOP248" s="4"/>
      <c r="AOQ248" s="4"/>
      <c r="AOR248" s="4"/>
      <c r="AOS248" s="4"/>
      <c r="AOT248" s="4"/>
      <c r="AOU248" s="4"/>
      <c r="AOV248" s="4"/>
      <c r="AOW248" s="4"/>
      <c r="AOX248" s="4"/>
      <c r="AOY248" s="4"/>
      <c r="AOZ248" s="4"/>
      <c r="APA248" s="4"/>
      <c r="APB248" s="4"/>
      <c r="APC248" s="4"/>
      <c r="APD248" s="4"/>
      <c r="APE248" s="4"/>
      <c r="APF248" s="4"/>
      <c r="APG248" s="4"/>
      <c r="APH248" s="4"/>
      <c r="API248" s="4"/>
      <c r="APJ248" s="4"/>
      <c r="APK248" s="4"/>
      <c r="APL248" s="4"/>
      <c r="APM248" s="4"/>
      <c r="APN248" s="4"/>
      <c r="APO248" s="4"/>
      <c r="APP248" s="4"/>
      <c r="APQ248" s="4"/>
      <c r="APR248" s="4"/>
      <c r="APS248" s="4"/>
      <c r="APT248" s="4"/>
      <c r="APU248" s="4"/>
      <c r="APV248" s="4"/>
      <c r="APW248" s="4"/>
      <c r="APX248" s="4"/>
      <c r="APY248" s="4"/>
      <c r="APZ248" s="4"/>
      <c r="AQA248" s="4"/>
      <c r="AQB248" s="4"/>
      <c r="AQC248" s="4"/>
      <c r="AQD248" s="4"/>
      <c r="AQE248" s="4"/>
      <c r="AQF248" s="4"/>
      <c r="AQG248" s="4"/>
      <c r="AQH248" s="4"/>
      <c r="AQI248" s="4"/>
      <c r="AQJ248" s="4"/>
      <c r="AQK248" s="4"/>
      <c r="AQL248" s="4"/>
      <c r="AQM248" s="4"/>
      <c r="AQN248" s="4"/>
      <c r="AQO248" s="4"/>
      <c r="AQP248" s="4"/>
      <c r="AQQ248" s="4"/>
      <c r="AQR248" s="4"/>
      <c r="AQS248" s="4"/>
      <c r="AQT248" s="4"/>
      <c r="AQU248" s="4"/>
      <c r="AQV248" s="4"/>
      <c r="AQW248" s="4"/>
      <c r="AQX248" s="4"/>
      <c r="AQY248" s="4"/>
      <c r="AQZ248" s="4"/>
      <c r="ARA248" s="4"/>
      <c r="ARB248" s="4"/>
      <c r="ARC248" s="4"/>
      <c r="ARD248" s="4"/>
      <c r="ARE248" s="4"/>
      <c r="ARF248" s="4"/>
      <c r="ARG248" s="4"/>
      <c r="ARH248" s="4"/>
      <c r="ARI248" s="4"/>
      <c r="ARJ248" s="4"/>
      <c r="ARK248" s="4"/>
      <c r="ARL248" s="4"/>
      <c r="ARM248" s="4"/>
      <c r="ARN248" s="4"/>
      <c r="ARO248" s="4"/>
      <c r="ARP248" s="4"/>
      <c r="ARQ248" s="4"/>
      <c r="ARR248" s="4"/>
      <c r="ARS248" s="4"/>
      <c r="ART248" s="4"/>
      <c r="ARU248" s="4"/>
      <c r="ARV248" s="4"/>
      <c r="ARW248" s="4"/>
      <c r="ARX248" s="4"/>
      <c r="ARY248" s="4"/>
      <c r="ARZ248" s="4"/>
      <c r="ASA248" s="4"/>
      <c r="ASB248" s="4"/>
      <c r="ASC248" s="4"/>
      <c r="ASD248" s="4"/>
      <c r="ASE248" s="4"/>
      <c r="ASF248" s="4"/>
      <c r="ASG248" s="4"/>
      <c r="ASH248" s="4"/>
      <c r="ASI248" s="4"/>
      <c r="ASJ248" s="4"/>
      <c r="ASK248" s="4"/>
      <c r="ASL248" s="4"/>
      <c r="ASM248" s="4"/>
      <c r="ASN248" s="4"/>
      <c r="ASO248" s="4"/>
      <c r="ASP248" s="4"/>
      <c r="ASQ248" s="4"/>
      <c r="ASR248" s="4"/>
      <c r="ASS248" s="4"/>
      <c r="AST248" s="4"/>
      <c r="ASU248" s="4"/>
      <c r="ASV248" s="4"/>
      <c r="ASW248" s="4"/>
      <c r="ASX248" s="4"/>
      <c r="ASY248" s="4"/>
      <c r="ASZ248" s="4"/>
      <c r="ATA248" s="4"/>
      <c r="ATB248" s="4"/>
      <c r="ATC248" s="4"/>
      <c r="ATD248" s="4"/>
      <c r="ATE248" s="4"/>
      <c r="ATF248" s="4"/>
      <c r="ATG248" s="4"/>
      <c r="ATH248" s="4"/>
      <c r="ATI248" s="4"/>
      <c r="ATJ248" s="4"/>
      <c r="ATK248" s="4"/>
      <c r="ATL248" s="4"/>
      <c r="ATM248" s="4"/>
      <c r="ATN248" s="4"/>
      <c r="ATO248" s="4"/>
      <c r="ATP248" s="4"/>
      <c r="ATQ248" s="4"/>
      <c r="ATR248" s="4"/>
      <c r="ATS248" s="4"/>
      <c r="ATT248" s="4"/>
      <c r="ATU248" s="4"/>
      <c r="ATV248" s="4"/>
      <c r="ATW248" s="4"/>
      <c r="ATX248" s="4"/>
      <c r="ATY248" s="4"/>
      <c r="ATZ248" s="4"/>
      <c r="AUA248" s="4"/>
      <c r="AUB248" s="4"/>
      <c r="AUC248" s="4"/>
      <c r="AUD248" s="4"/>
      <c r="AUE248" s="4"/>
      <c r="AUF248" s="4"/>
      <c r="AUG248" s="4"/>
      <c r="AUH248" s="4"/>
      <c r="AUI248" s="4"/>
      <c r="AUJ248" s="4"/>
      <c r="AUK248" s="4"/>
      <c r="AUL248" s="4"/>
      <c r="AUM248" s="4"/>
      <c r="AUN248" s="4"/>
      <c r="AUO248" s="4"/>
      <c r="AUP248" s="4"/>
      <c r="AUQ248" s="4"/>
      <c r="AUR248" s="4"/>
      <c r="AUS248" s="4"/>
      <c r="AUT248" s="4"/>
      <c r="AUU248" s="4"/>
      <c r="AUV248" s="4"/>
      <c r="AUW248" s="4"/>
      <c r="AUX248" s="4"/>
      <c r="AUY248" s="4"/>
      <c r="AUZ248" s="4"/>
      <c r="AVA248" s="4"/>
      <c r="AVB248" s="4"/>
      <c r="AVC248" s="4"/>
      <c r="AVD248" s="4"/>
      <c r="AVE248" s="4"/>
      <c r="AVF248" s="4"/>
      <c r="AVG248" s="4"/>
      <c r="AVH248" s="4"/>
      <c r="AVI248" s="4"/>
      <c r="AVJ248" s="4"/>
      <c r="AVK248" s="4"/>
      <c r="AVL248" s="4"/>
      <c r="AVM248" s="4"/>
      <c r="AVN248" s="4"/>
      <c r="AVO248" s="4"/>
      <c r="AVP248" s="4"/>
      <c r="AVQ248" s="4"/>
      <c r="AVR248" s="4"/>
      <c r="AVS248" s="4"/>
      <c r="AVT248" s="4"/>
      <c r="AVU248" s="4"/>
      <c r="AVV248" s="4"/>
      <c r="AVW248" s="4"/>
      <c r="AVX248" s="4"/>
      <c r="AVY248" s="4"/>
      <c r="AVZ248" s="4"/>
      <c r="AWA248" s="4"/>
      <c r="AWB248" s="4"/>
      <c r="AWC248" s="4"/>
      <c r="AWD248" s="4"/>
      <c r="AWE248" s="4"/>
      <c r="AWF248" s="4"/>
      <c r="AWG248" s="4"/>
      <c r="AWH248" s="4"/>
      <c r="AWI248" s="4"/>
      <c r="AWJ248" s="4"/>
      <c r="AWK248" s="4"/>
      <c r="AWL248" s="4"/>
      <c r="AWM248" s="4"/>
      <c r="AWN248" s="4"/>
      <c r="AWO248" s="4"/>
      <c r="AWP248" s="4"/>
      <c r="AWQ248" s="4"/>
      <c r="AWR248" s="4"/>
      <c r="AWS248" s="4"/>
      <c r="AWT248" s="4"/>
      <c r="AWU248" s="4"/>
      <c r="AWV248" s="4"/>
      <c r="AWW248" s="4"/>
      <c r="AWX248" s="4"/>
      <c r="AWY248" s="4"/>
      <c r="AWZ248" s="4"/>
      <c r="AXA248" s="4"/>
      <c r="AXB248" s="4"/>
      <c r="AXC248" s="4"/>
      <c r="AXD248" s="4"/>
      <c r="AXE248" s="4"/>
      <c r="AXF248" s="4"/>
      <c r="AXG248" s="4"/>
      <c r="AXH248" s="4"/>
      <c r="AXI248" s="4"/>
      <c r="AXJ248" s="4"/>
      <c r="AXK248" s="4"/>
      <c r="AXL248" s="4"/>
      <c r="AXM248" s="4"/>
      <c r="AXN248" s="4"/>
      <c r="AXO248" s="4"/>
      <c r="AXP248" s="4"/>
      <c r="AXQ248" s="4"/>
      <c r="AXR248" s="4"/>
      <c r="AXS248" s="4"/>
      <c r="AXT248" s="4"/>
      <c r="AXU248" s="4"/>
      <c r="AXV248" s="4"/>
      <c r="AXW248" s="4"/>
      <c r="AXX248" s="4"/>
      <c r="AXY248" s="4"/>
      <c r="AXZ248" s="4"/>
      <c r="AYA248" s="4"/>
      <c r="AYB248" s="4"/>
      <c r="AYC248" s="4"/>
      <c r="AYD248" s="4"/>
      <c r="AYE248" s="4"/>
      <c r="AYF248" s="4"/>
      <c r="AYG248" s="4"/>
      <c r="AYH248" s="4"/>
      <c r="AYI248" s="4"/>
      <c r="AYJ248" s="4"/>
      <c r="AYK248" s="4"/>
      <c r="AYL248" s="4"/>
      <c r="AYM248" s="4"/>
      <c r="AYN248" s="4"/>
      <c r="AYO248" s="4"/>
      <c r="AYP248" s="4"/>
      <c r="AYQ248" s="4"/>
      <c r="AYR248" s="4"/>
      <c r="AYS248" s="4"/>
      <c r="AYT248" s="4"/>
      <c r="AYU248" s="4"/>
      <c r="AYV248" s="4"/>
      <c r="AYW248" s="4"/>
      <c r="AYX248" s="4"/>
      <c r="AYY248" s="4"/>
      <c r="AYZ248" s="4"/>
      <c r="AZA248" s="4"/>
      <c r="AZB248" s="4"/>
      <c r="AZC248" s="4"/>
      <c r="AZD248" s="4"/>
      <c r="AZE248" s="4"/>
      <c r="AZF248" s="4"/>
      <c r="AZG248" s="4"/>
      <c r="AZH248" s="4"/>
      <c r="AZI248" s="4"/>
      <c r="AZJ248" s="4"/>
      <c r="AZK248" s="4"/>
      <c r="AZL248" s="4"/>
      <c r="AZM248" s="4"/>
      <c r="AZN248" s="4"/>
      <c r="AZO248" s="4"/>
      <c r="AZP248" s="4"/>
      <c r="AZQ248" s="4"/>
      <c r="AZR248" s="4"/>
      <c r="AZS248" s="4"/>
      <c r="AZT248" s="4"/>
      <c r="AZU248" s="4"/>
      <c r="AZV248" s="4"/>
      <c r="AZW248" s="4"/>
      <c r="AZX248" s="4"/>
      <c r="AZY248" s="4"/>
      <c r="AZZ248" s="4"/>
      <c r="BAA248" s="4"/>
      <c r="BAB248" s="4"/>
      <c r="BAC248" s="4"/>
      <c r="BAD248" s="4"/>
      <c r="BAE248" s="4"/>
      <c r="BAF248" s="4"/>
      <c r="BAG248" s="4"/>
      <c r="BAH248" s="4"/>
      <c r="BAI248" s="4"/>
      <c r="BAJ248" s="4"/>
      <c r="BAK248" s="4"/>
      <c r="BAL248" s="4"/>
      <c r="BAM248" s="4"/>
      <c r="BAN248" s="4"/>
      <c r="BAO248" s="4"/>
      <c r="BAP248" s="4"/>
      <c r="BAQ248" s="4"/>
      <c r="BAR248" s="4"/>
      <c r="BAS248" s="4"/>
      <c r="BAT248" s="4"/>
      <c r="BAU248" s="4"/>
      <c r="BAV248" s="4"/>
      <c r="BAW248" s="4"/>
      <c r="BAX248" s="4"/>
      <c r="BAY248" s="4"/>
      <c r="BAZ248" s="4"/>
      <c r="BBA248" s="4"/>
      <c r="BBB248" s="4"/>
      <c r="BBC248" s="4"/>
      <c r="BBD248" s="4"/>
      <c r="BBE248" s="4"/>
      <c r="BBF248" s="4"/>
      <c r="BBG248" s="4"/>
      <c r="BBH248" s="4"/>
      <c r="BBI248" s="4"/>
      <c r="BBJ248" s="4"/>
      <c r="BBK248" s="4"/>
      <c r="BBL248" s="4"/>
      <c r="BBM248" s="4"/>
      <c r="BBN248" s="4"/>
      <c r="BBO248" s="4"/>
      <c r="BBP248" s="4"/>
      <c r="BBQ248" s="4"/>
      <c r="BBR248" s="4"/>
      <c r="BBS248" s="4"/>
      <c r="BBT248" s="4"/>
      <c r="BBU248" s="4"/>
      <c r="BBV248" s="4"/>
      <c r="BBW248" s="4"/>
      <c r="BBX248" s="4"/>
      <c r="BBY248" s="4"/>
      <c r="BBZ248" s="4"/>
      <c r="BCA248" s="4"/>
      <c r="BCB248" s="4"/>
      <c r="BCC248" s="4"/>
      <c r="BCD248" s="4"/>
      <c r="BCE248" s="4"/>
      <c r="BCF248" s="4"/>
      <c r="BCG248" s="4"/>
      <c r="BCH248" s="4"/>
      <c r="BCI248" s="4"/>
      <c r="BCJ248" s="4"/>
      <c r="BCK248" s="4"/>
      <c r="BCL248" s="4"/>
      <c r="BCM248" s="4"/>
      <c r="BCN248" s="4"/>
      <c r="BCO248" s="4"/>
      <c r="BCP248" s="4"/>
      <c r="BCQ248" s="4"/>
      <c r="BCR248" s="4"/>
      <c r="BCS248" s="4"/>
      <c r="BCT248" s="4"/>
      <c r="BCU248" s="4"/>
      <c r="BCV248" s="4"/>
      <c r="BCW248" s="4"/>
      <c r="BCX248" s="4"/>
      <c r="BCY248" s="4"/>
      <c r="BCZ248" s="4"/>
      <c r="BDA248" s="4"/>
      <c r="BDB248" s="4"/>
      <c r="BDC248" s="4"/>
      <c r="BDD248" s="4"/>
      <c r="BDE248" s="4"/>
      <c r="BDF248" s="4"/>
      <c r="BDG248" s="4"/>
      <c r="BDH248" s="4"/>
      <c r="BDI248" s="4"/>
      <c r="BDJ248" s="4"/>
      <c r="BDK248" s="4"/>
      <c r="BDL248" s="4"/>
      <c r="BDM248" s="4"/>
      <c r="BDN248" s="4"/>
      <c r="BDO248" s="4"/>
      <c r="BDP248" s="4"/>
      <c r="BDQ248" s="4"/>
      <c r="BDR248" s="4"/>
      <c r="BDS248" s="4"/>
      <c r="BDT248" s="4"/>
      <c r="BDU248" s="4"/>
      <c r="BDV248" s="4"/>
      <c r="BDW248" s="4"/>
      <c r="BDX248" s="4"/>
      <c r="BDY248" s="4"/>
      <c r="BDZ248" s="4"/>
      <c r="BEA248" s="4"/>
      <c r="BEB248" s="4"/>
      <c r="BEC248" s="4"/>
      <c r="BED248" s="4"/>
      <c r="BEE248" s="4"/>
      <c r="BEF248" s="4"/>
      <c r="BEG248" s="4"/>
      <c r="BEH248" s="4"/>
      <c r="BEI248" s="4"/>
      <c r="BEJ248" s="4"/>
      <c r="BEK248" s="4"/>
      <c r="BEL248" s="4"/>
      <c r="BEM248" s="4"/>
      <c r="BEN248" s="4"/>
      <c r="BEO248" s="4"/>
      <c r="BEP248" s="4"/>
      <c r="BEQ248" s="4"/>
      <c r="BER248" s="4"/>
      <c r="BES248" s="4"/>
      <c r="BET248" s="4"/>
      <c r="BEU248" s="4"/>
      <c r="BEV248" s="4"/>
      <c r="BEW248" s="4"/>
      <c r="BEX248" s="4"/>
      <c r="BEY248" s="4"/>
      <c r="BEZ248" s="4"/>
      <c r="BFA248" s="4"/>
      <c r="BFB248" s="4"/>
      <c r="BFC248" s="4"/>
      <c r="BFD248" s="4"/>
      <c r="BFE248" s="4"/>
      <c r="BFF248" s="4"/>
      <c r="BFG248" s="4"/>
      <c r="BFH248" s="4"/>
      <c r="BFI248" s="4"/>
      <c r="BFJ248" s="4"/>
      <c r="BFK248" s="4"/>
      <c r="BFL248" s="4"/>
      <c r="BFM248" s="4"/>
      <c r="BFN248" s="4"/>
      <c r="BFO248" s="4"/>
      <c r="BFP248" s="4"/>
      <c r="BFQ248" s="4"/>
      <c r="BFR248" s="4"/>
      <c r="BFS248" s="4"/>
      <c r="BFT248" s="4"/>
      <c r="BFU248" s="4"/>
      <c r="BFV248" s="4"/>
      <c r="BFW248" s="4"/>
      <c r="BFX248" s="4"/>
      <c r="BFY248" s="4"/>
      <c r="BFZ248" s="4"/>
      <c r="BGA248" s="4"/>
      <c r="BGB248" s="4"/>
      <c r="BGC248" s="4"/>
      <c r="BGD248" s="4"/>
      <c r="BGE248" s="4"/>
      <c r="BGF248" s="4"/>
      <c r="BGG248" s="4"/>
      <c r="BGH248" s="4"/>
      <c r="BGI248" s="4"/>
      <c r="BGJ248" s="4"/>
      <c r="BGK248" s="4"/>
      <c r="BGL248" s="4"/>
      <c r="BGM248" s="4"/>
      <c r="BGN248" s="4"/>
      <c r="BGO248" s="4"/>
      <c r="BGP248" s="4"/>
      <c r="BGQ248" s="4"/>
      <c r="BGR248" s="4"/>
      <c r="BGS248" s="4"/>
      <c r="BGT248" s="4"/>
      <c r="BGU248" s="4"/>
      <c r="BGV248" s="4"/>
      <c r="BGW248" s="4"/>
      <c r="BGX248" s="4"/>
      <c r="BGY248" s="4"/>
      <c r="BGZ248" s="4"/>
      <c r="BHA248" s="4"/>
      <c r="BHB248" s="4"/>
      <c r="BHC248" s="4"/>
      <c r="BHD248" s="4"/>
      <c r="BHE248" s="4"/>
      <c r="BHF248" s="4"/>
      <c r="BHG248" s="4"/>
      <c r="BHH248" s="4"/>
      <c r="BHI248" s="4"/>
      <c r="BHJ248" s="4"/>
      <c r="BHK248" s="4"/>
      <c r="BHL248" s="4"/>
      <c r="BHM248" s="4"/>
      <c r="BHN248" s="4"/>
      <c r="BHO248" s="4"/>
      <c r="BHP248" s="4"/>
      <c r="BHQ248" s="4"/>
      <c r="BHR248" s="4"/>
      <c r="BHS248" s="4"/>
      <c r="BHT248" s="4"/>
      <c r="BHU248" s="4"/>
      <c r="BHV248" s="4"/>
      <c r="BHW248" s="4"/>
      <c r="BHX248" s="4"/>
      <c r="BHY248" s="4"/>
      <c r="BHZ248" s="4"/>
      <c r="BIA248" s="4"/>
      <c r="BIB248" s="4"/>
      <c r="BIC248" s="4"/>
      <c r="BID248" s="4"/>
      <c r="BIE248" s="4"/>
      <c r="BIF248" s="4"/>
      <c r="BIG248" s="4"/>
      <c r="BIH248" s="4"/>
      <c r="BII248" s="4"/>
      <c r="BIJ248" s="4"/>
      <c r="BIK248" s="4"/>
      <c r="BIL248" s="4"/>
      <c r="BIM248" s="4"/>
      <c r="BIN248" s="4"/>
      <c r="BIO248" s="4"/>
      <c r="BIP248" s="4"/>
      <c r="BIQ248" s="4"/>
      <c r="BIR248" s="4"/>
      <c r="BIS248" s="4"/>
      <c r="BIT248" s="4"/>
      <c r="BIU248" s="4"/>
      <c r="BIV248" s="4"/>
      <c r="BIW248" s="4"/>
      <c r="BIX248" s="4"/>
      <c r="BIY248" s="4"/>
      <c r="BIZ248" s="4"/>
      <c r="BJA248" s="4"/>
      <c r="BJB248" s="4"/>
      <c r="BJC248" s="4"/>
      <c r="BJD248" s="4"/>
      <c r="BJE248" s="4"/>
      <c r="BJF248" s="4"/>
      <c r="BJG248" s="4"/>
      <c r="BJH248" s="4"/>
      <c r="BJI248" s="4"/>
      <c r="BJJ248" s="4"/>
      <c r="BJK248" s="4"/>
      <c r="BJL248" s="4"/>
      <c r="BJM248" s="4"/>
      <c r="BJN248" s="4"/>
      <c r="BJO248" s="4"/>
      <c r="BJP248" s="4"/>
      <c r="BJQ248" s="4"/>
      <c r="BJR248" s="4"/>
      <c r="BJS248" s="4"/>
      <c r="BJT248" s="4"/>
      <c r="BJU248" s="4"/>
      <c r="BJV248" s="4"/>
      <c r="BJW248" s="4"/>
      <c r="BJX248" s="4"/>
      <c r="BJY248" s="4"/>
      <c r="BJZ248" s="4"/>
      <c r="BKA248" s="4"/>
      <c r="BKB248" s="4"/>
      <c r="BKC248" s="4"/>
      <c r="BKD248" s="4"/>
      <c r="BKE248" s="4"/>
      <c r="BKF248" s="4"/>
      <c r="BKG248" s="4"/>
      <c r="BKH248" s="4"/>
      <c r="BKI248" s="4"/>
      <c r="BKJ248" s="4"/>
      <c r="BKK248" s="4"/>
      <c r="BKL248" s="4"/>
      <c r="BKM248" s="4"/>
      <c r="BKN248" s="4"/>
      <c r="BKO248" s="4"/>
      <c r="BKP248" s="4"/>
      <c r="BKQ248" s="4"/>
      <c r="BKR248" s="4"/>
      <c r="BKS248" s="4"/>
      <c r="BKT248" s="4"/>
      <c r="BKU248" s="4"/>
      <c r="BKV248" s="4"/>
      <c r="BKW248" s="4"/>
      <c r="BKX248" s="4"/>
      <c r="BKY248" s="4"/>
      <c r="BKZ248" s="4"/>
      <c r="BLA248" s="4"/>
      <c r="BLB248" s="4"/>
      <c r="BLC248" s="4"/>
      <c r="BLD248" s="4"/>
      <c r="BLE248" s="4"/>
      <c r="BLF248" s="4"/>
      <c r="BLG248" s="4"/>
      <c r="BLH248" s="4"/>
      <c r="BLI248" s="4"/>
      <c r="BLJ248" s="4"/>
      <c r="BLK248" s="4"/>
      <c r="BLL248" s="4"/>
      <c r="BLM248" s="4"/>
      <c r="BLN248" s="4"/>
      <c r="BLO248" s="4"/>
      <c r="BLP248" s="4"/>
      <c r="BLQ248" s="4"/>
      <c r="BLR248" s="4"/>
      <c r="BLS248" s="4"/>
      <c r="BLT248" s="4"/>
      <c r="BLU248" s="4"/>
      <c r="BLV248" s="4"/>
      <c r="BLW248" s="4"/>
      <c r="BLX248" s="4"/>
      <c r="BLY248" s="4"/>
      <c r="BLZ248" s="4"/>
      <c r="BMA248" s="4"/>
      <c r="BMB248" s="4"/>
      <c r="BMC248" s="4"/>
      <c r="BMD248" s="4"/>
      <c r="BME248" s="4"/>
      <c r="BMF248" s="4"/>
      <c r="BMG248" s="4"/>
      <c r="BMH248" s="4"/>
      <c r="BMI248" s="4"/>
      <c r="BMJ248" s="4"/>
      <c r="BMK248" s="4"/>
      <c r="BML248" s="4"/>
      <c r="BMM248" s="4"/>
      <c r="BMN248" s="4"/>
      <c r="BMO248" s="4"/>
      <c r="BMP248" s="4"/>
      <c r="BMQ248" s="4"/>
      <c r="BMR248" s="4"/>
      <c r="BMS248" s="4"/>
      <c r="BMT248" s="4"/>
      <c r="BMU248" s="4"/>
      <c r="BMV248" s="4"/>
      <c r="BMW248" s="4"/>
      <c r="BMX248" s="4"/>
      <c r="BMY248" s="4"/>
      <c r="BMZ248" s="4"/>
      <c r="BNA248" s="4"/>
      <c r="BNB248" s="4"/>
      <c r="BNC248" s="4"/>
      <c r="BND248" s="4"/>
      <c r="BNE248" s="4"/>
      <c r="BNF248" s="4"/>
      <c r="BNG248" s="4"/>
      <c r="BNH248" s="4"/>
      <c r="BNI248" s="4"/>
      <c r="BNJ248" s="4"/>
      <c r="BNK248" s="4"/>
      <c r="BNL248" s="4"/>
      <c r="BNM248" s="4"/>
      <c r="BNN248" s="4"/>
      <c r="BNO248" s="4"/>
      <c r="BNP248" s="4"/>
      <c r="BNQ248" s="4"/>
      <c r="BNR248" s="4"/>
      <c r="BNS248" s="4"/>
      <c r="BNT248" s="4"/>
      <c r="BNU248" s="4"/>
      <c r="BNV248" s="4"/>
      <c r="BNW248" s="4"/>
      <c r="BNX248" s="4"/>
      <c r="BNY248" s="4"/>
      <c r="BNZ248" s="4"/>
      <c r="BOA248" s="4"/>
      <c r="BOB248" s="4"/>
      <c r="BOC248" s="4"/>
      <c r="BOD248" s="4"/>
      <c r="BOE248" s="4"/>
      <c r="BOF248" s="4"/>
      <c r="BOG248" s="4"/>
      <c r="BOH248" s="4"/>
      <c r="BOI248" s="4"/>
      <c r="BOJ248" s="4"/>
      <c r="BOK248" s="4"/>
      <c r="BOL248" s="4"/>
      <c r="BOM248" s="4"/>
      <c r="BON248" s="4"/>
      <c r="BOO248" s="4"/>
      <c r="BOP248" s="4"/>
      <c r="BOQ248" s="4"/>
      <c r="BOR248" s="4"/>
      <c r="BOS248" s="4"/>
      <c r="BOT248" s="4"/>
      <c r="BOU248" s="4"/>
      <c r="BOV248" s="4"/>
      <c r="BOW248" s="4"/>
      <c r="BOX248" s="4"/>
      <c r="BOY248" s="4"/>
      <c r="BOZ248" s="4"/>
      <c r="BPA248" s="4"/>
      <c r="BPB248" s="4"/>
      <c r="BPC248" s="4"/>
      <c r="BPD248" s="4"/>
      <c r="BPE248" s="4"/>
      <c r="BPF248" s="4"/>
      <c r="BPG248" s="4"/>
      <c r="BPH248" s="4"/>
      <c r="BPI248" s="4"/>
      <c r="BPJ248" s="4"/>
      <c r="BPK248" s="4"/>
      <c r="BPL248" s="4"/>
      <c r="BPM248" s="4"/>
      <c r="BPN248" s="4"/>
      <c r="BPO248" s="4"/>
      <c r="BPP248" s="4"/>
      <c r="BPQ248" s="4"/>
      <c r="BPR248" s="4"/>
      <c r="BPS248" s="4"/>
      <c r="BPT248" s="4"/>
      <c r="BPU248" s="4"/>
      <c r="BPV248" s="4"/>
      <c r="BPW248" s="4"/>
      <c r="BPX248" s="4"/>
      <c r="BPY248" s="4"/>
      <c r="BPZ248" s="4"/>
      <c r="BQA248" s="4"/>
      <c r="BQB248" s="4"/>
      <c r="BQC248" s="4"/>
      <c r="BQD248" s="4"/>
      <c r="BQE248" s="4"/>
      <c r="BQF248" s="4"/>
      <c r="BQG248" s="4"/>
      <c r="BQH248" s="4"/>
      <c r="BQI248" s="4"/>
      <c r="BQJ248" s="4"/>
      <c r="BQK248" s="4"/>
      <c r="BQL248" s="4"/>
      <c r="BQM248" s="4"/>
      <c r="BQN248" s="4"/>
      <c r="BQO248" s="4"/>
      <c r="BQP248" s="4"/>
      <c r="BQQ248" s="4"/>
      <c r="BQR248" s="4"/>
      <c r="BQS248" s="4"/>
      <c r="BQT248" s="4"/>
      <c r="BQU248" s="4"/>
      <c r="BQV248" s="4"/>
      <c r="BQW248" s="4"/>
      <c r="BQX248" s="4"/>
      <c r="BQY248" s="4"/>
      <c r="BQZ248" s="4"/>
      <c r="BRA248" s="4"/>
      <c r="BRB248" s="4"/>
      <c r="BRC248" s="4"/>
      <c r="BRD248" s="4"/>
      <c r="BRE248" s="4"/>
      <c r="BRF248" s="4"/>
      <c r="BRG248" s="4"/>
      <c r="BRH248" s="4"/>
      <c r="BRI248" s="4"/>
      <c r="BRJ248" s="4"/>
      <c r="BRK248" s="4"/>
      <c r="BRL248" s="4"/>
      <c r="BRM248" s="4"/>
      <c r="BRN248" s="4"/>
      <c r="BRO248" s="4"/>
      <c r="BRP248" s="4"/>
      <c r="BRQ248" s="4"/>
      <c r="BRR248" s="4"/>
      <c r="BRS248" s="4"/>
      <c r="BRT248" s="4"/>
      <c r="BRU248" s="4"/>
      <c r="BRV248" s="4"/>
      <c r="BRW248" s="4"/>
      <c r="BRX248" s="4"/>
      <c r="BRY248" s="4"/>
      <c r="BRZ248" s="4"/>
      <c r="BSA248" s="4"/>
      <c r="BSB248" s="4"/>
      <c r="BSC248" s="4"/>
      <c r="BSD248" s="4"/>
      <c r="BSE248" s="4"/>
      <c r="BSF248" s="4"/>
      <c r="BSG248" s="4"/>
      <c r="BSH248" s="4"/>
      <c r="BSI248" s="4"/>
      <c r="BSJ248" s="4"/>
      <c r="BSK248" s="4"/>
      <c r="BSL248" s="4"/>
      <c r="BSM248" s="4"/>
      <c r="BSN248" s="4"/>
      <c r="BSO248" s="4"/>
      <c r="BSP248" s="4"/>
      <c r="BSQ248" s="4"/>
      <c r="BSR248" s="4"/>
      <c r="BSS248" s="4"/>
      <c r="BST248" s="4"/>
      <c r="BSU248" s="4"/>
      <c r="BSV248" s="4"/>
      <c r="BSW248" s="4"/>
      <c r="BSX248" s="4"/>
      <c r="BSY248" s="4"/>
      <c r="BSZ248" s="4"/>
      <c r="BTA248" s="4"/>
      <c r="BTB248" s="4"/>
      <c r="BTC248" s="4"/>
      <c r="BTD248" s="4"/>
      <c r="BTE248" s="4"/>
      <c r="BTF248" s="4"/>
      <c r="BTG248" s="4"/>
      <c r="BTH248" s="4"/>
      <c r="BTI248" s="4"/>
      <c r="BTJ248" s="4"/>
      <c r="BTK248" s="4"/>
      <c r="BTL248" s="4"/>
      <c r="BTM248" s="4"/>
      <c r="BTN248" s="4"/>
      <c r="BTO248" s="4"/>
      <c r="BTP248" s="4"/>
      <c r="BTQ248" s="4"/>
      <c r="BTR248" s="4"/>
      <c r="BTS248" s="4"/>
      <c r="BTT248" s="4"/>
      <c r="BTU248" s="4"/>
      <c r="BTV248" s="4"/>
      <c r="BTW248" s="4"/>
      <c r="BTX248" s="4"/>
      <c r="BTY248" s="4"/>
      <c r="BTZ248" s="4"/>
      <c r="BUA248" s="4"/>
      <c r="BUB248" s="4"/>
      <c r="BUC248" s="4"/>
      <c r="BUD248" s="4"/>
      <c r="BUE248" s="4"/>
      <c r="BUF248" s="4"/>
      <c r="BUG248" s="4"/>
      <c r="BUH248" s="4"/>
      <c r="BUI248" s="4"/>
      <c r="BUJ248" s="4"/>
      <c r="BUK248" s="4"/>
      <c r="BUL248" s="4"/>
      <c r="BUM248" s="4"/>
      <c r="BUN248" s="4"/>
      <c r="BUO248" s="4"/>
      <c r="BUP248" s="4"/>
      <c r="BUQ248" s="4"/>
      <c r="BUR248" s="4"/>
      <c r="BUS248" s="4"/>
      <c r="BUT248" s="4"/>
      <c r="BUU248" s="4"/>
      <c r="BUV248" s="4"/>
      <c r="BUW248" s="4"/>
      <c r="BUX248" s="4"/>
      <c r="BUY248" s="4"/>
      <c r="BUZ248" s="4"/>
      <c r="BVA248" s="4"/>
      <c r="BVB248" s="4"/>
      <c r="BVC248" s="4"/>
      <c r="BVD248" s="4"/>
      <c r="BVE248" s="4"/>
      <c r="BVF248" s="4"/>
      <c r="BVG248" s="4"/>
      <c r="BVH248" s="4"/>
      <c r="BVI248" s="4"/>
      <c r="BVJ248" s="4"/>
      <c r="BVK248" s="4"/>
      <c r="BVL248" s="4"/>
      <c r="BVM248" s="4"/>
      <c r="BVN248" s="4"/>
      <c r="BVO248" s="4"/>
      <c r="BVP248" s="4"/>
      <c r="BVQ248" s="4"/>
      <c r="BVR248" s="4"/>
      <c r="BVS248" s="4"/>
      <c r="BVT248" s="4"/>
      <c r="BVU248" s="4"/>
      <c r="BVV248" s="4"/>
      <c r="BVW248" s="4"/>
      <c r="BVX248" s="4"/>
      <c r="BVY248" s="4"/>
      <c r="BVZ248" s="4"/>
      <c r="BWA248" s="4"/>
      <c r="BWB248" s="4"/>
      <c r="BWC248" s="4"/>
      <c r="BWD248" s="4"/>
      <c r="BWE248" s="4"/>
      <c r="BWF248" s="4"/>
      <c r="BWG248" s="4"/>
      <c r="BWH248" s="4"/>
      <c r="BWI248" s="4"/>
      <c r="BWJ248" s="4"/>
      <c r="BWK248" s="4"/>
      <c r="BWL248" s="4"/>
      <c r="BWM248" s="4"/>
      <c r="BWN248" s="4"/>
      <c r="BWO248" s="4"/>
      <c r="BWP248" s="4"/>
      <c r="BWQ248" s="4"/>
      <c r="BWR248" s="4"/>
      <c r="BWS248" s="4"/>
      <c r="BWT248" s="4"/>
      <c r="BWU248" s="4"/>
      <c r="BWV248" s="4"/>
      <c r="BWW248" s="4"/>
      <c r="BWX248" s="4"/>
      <c r="BWY248" s="4"/>
      <c r="BWZ248" s="4"/>
      <c r="BXA248" s="4"/>
      <c r="BXB248" s="4"/>
      <c r="BXC248" s="4"/>
      <c r="BXD248" s="4"/>
      <c r="BXE248" s="4"/>
      <c r="BXF248" s="4"/>
      <c r="BXG248" s="4"/>
      <c r="BXH248" s="4"/>
      <c r="BXI248" s="4"/>
      <c r="BXJ248" s="4"/>
      <c r="BXK248" s="4"/>
      <c r="BXL248" s="4"/>
      <c r="BXM248" s="4"/>
      <c r="BXN248" s="4"/>
      <c r="BXO248" s="4"/>
      <c r="BXP248" s="4"/>
      <c r="BXQ248" s="4"/>
      <c r="BXR248" s="4"/>
      <c r="BXS248" s="4"/>
      <c r="BXT248" s="4"/>
      <c r="BXU248" s="4"/>
      <c r="BXV248" s="4"/>
      <c r="BXW248" s="4"/>
      <c r="BXX248" s="4"/>
      <c r="BXY248" s="4"/>
      <c r="BXZ248" s="4"/>
      <c r="BYA248" s="4"/>
      <c r="BYB248" s="4"/>
      <c r="BYC248" s="4"/>
      <c r="BYD248" s="4"/>
      <c r="BYE248" s="4"/>
      <c r="BYF248" s="4"/>
      <c r="BYG248" s="4"/>
      <c r="BYH248" s="4"/>
      <c r="BYI248" s="4"/>
      <c r="BYJ248" s="4"/>
      <c r="BYK248" s="4"/>
      <c r="BYL248" s="4"/>
      <c r="BYM248" s="4"/>
      <c r="BYN248" s="4"/>
      <c r="BYO248" s="4"/>
      <c r="BYP248" s="4"/>
      <c r="BYQ248" s="4"/>
      <c r="BYR248" s="4"/>
      <c r="BYS248" s="4"/>
      <c r="BYT248" s="4"/>
      <c r="BYU248" s="4"/>
      <c r="BYV248" s="4"/>
      <c r="BYW248" s="4"/>
      <c r="BYX248" s="4"/>
      <c r="BYY248" s="4"/>
      <c r="BYZ248" s="4"/>
      <c r="BZA248" s="4"/>
      <c r="BZB248" s="4"/>
      <c r="BZC248" s="4"/>
      <c r="BZD248" s="4"/>
      <c r="BZE248" s="4"/>
      <c r="BZF248" s="4"/>
      <c r="BZG248" s="4"/>
      <c r="BZH248" s="4"/>
      <c r="BZI248" s="4"/>
      <c r="BZJ248" s="4"/>
      <c r="BZK248" s="4"/>
      <c r="BZL248" s="4"/>
      <c r="BZM248" s="4"/>
      <c r="BZN248" s="4"/>
      <c r="BZO248" s="4"/>
      <c r="BZP248" s="4"/>
      <c r="BZQ248" s="4"/>
      <c r="BZR248" s="4"/>
      <c r="BZS248" s="4"/>
      <c r="BZT248" s="4"/>
      <c r="BZU248" s="4"/>
      <c r="BZV248" s="4"/>
      <c r="BZW248" s="4"/>
      <c r="BZX248" s="4"/>
      <c r="BZY248" s="4"/>
      <c r="BZZ248" s="4"/>
      <c r="CAA248" s="4"/>
      <c r="CAB248" s="4"/>
      <c r="CAC248" s="4"/>
      <c r="CAD248" s="4"/>
      <c r="CAE248" s="4"/>
      <c r="CAF248" s="4"/>
      <c r="CAG248" s="4"/>
      <c r="CAH248" s="4"/>
      <c r="CAI248" s="4"/>
      <c r="CAJ248" s="4"/>
      <c r="CAK248" s="4"/>
      <c r="CAL248" s="4"/>
      <c r="CAM248" s="4"/>
      <c r="CAN248" s="4"/>
      <c r="CAO248" s="4"/>
      <c r="CAP248" s="4"/>
      <c r="CAQ248" s="4"/>
      <c r="CAR248" s="4"/>
      <c r="CAS248" s="4"/>
      <c r="CAT248" s="4"/>
      <c r="CAU248" s="4"/>
      <c r="CAV248" s="4"/>
      <c r="CAW248" s="4"/>
      <c r="CAX248" s="4"/>
      <c r="CAY248" s="4"/>
      <c r="CAZ248" s="4"/>
      <c r="CBA248" s="4"/>
      <c r="CBB248" s="4"/>
      <c r="CBC248" s="4"/>
      <c r="CBD248" s="4"/>
      <c r="CBE248" s="4"/>
      <c r="CBF248" s="4"/>
      <c r="CBG248" s="4"/>
      <c r="CBH248" s="4"/>
      <c r="CBI248" s="4"/>
      <c r="CBJ248" s="4"/>
      <c r="CBK248" s="4"/>
      <c r="CBL248" s="4"/>
      <c r="CBM248" s="4"/>
      <c r="CBN248" s="4"/>
      <c r="CBO248" s="4"/>
      <c r="CBP248" s="4"/>
      <c r="CBQ248" s="4"/>
      <c r="CBR248" s="4"/>
      <c r="CBS248" s="4"/>
      <c r="CBT248" s="4"/>
      <c r="CBU248" s="4"/>
      <c r="CBV248" s="4"/>
      <c r="CBW248" s="4"/>
      <c r="CBX248" s="4"/>
      <c r="CBY248" s="4"/>
      <c r="CBZ248" s="4"/>
      <c r="CCA248" s="4"/>
      <c r="CCB248" s="4"/>
      <c r="CCC248" s="4"/>
      <c r="CCD248" s="4"/>
      <c r="CCE248" s="4"/>
      <c r="CCF248" s="4"/>
      <c r="CCG248" s="4"/>
      <c r="CCH248" s="4"/>
      <c r="CCI248" s="4"/>
      <c r="CCJ248" s="4"/>
      <c r="CCK248" s="4"/>
      <c r="CCL248" s="4"/>
      <c r="CCM248" s="4"/>
      <c r="CCN248" s="4"/>
      <c r="CCO248" s="4"/>
      <c r="CCP248" s="4"/>
      <c r="CCQ248" s="4"/>
      <c r="CCR248" s="4"/>
      <c r="CCS248" s="4"/>
      <c r="CCT248" s="4"/>
      <c r="CCU248" s="4"/>
      <c r="CCV248" s="4"/>
      <c r="CCW248" s="4"/>
      <c r="CCX248" s="4"/>
      <c r="CCY248" s="4"/>
      <c r="CCZ248" s="4"/>
      <c r="CDA248" s="4"/>
      <c r="CDB248" s="4"/>
      <c r="CDC248" s="4"/>
      <c r="CDD248" s="4"/>
      <c r="CDE248" s="4"/>
      <c r="CDF248" s="4"/>
      <c r="CDG248" s="4"/>
      <c r="CDH248" s="4"/>
      <c r="CDI248" s="4"/>
      <c r="CDJ248" s="4"/>
      <c r="CDK248" s="4"/>
      <c r="CDL248" s="4"/>
      <c r="CDM248" s="4"/>
      <c r="CDN248" s="4"/>
      <c r="CDO248" s="4"/>
      <c r="CDP248" s="4"/>
      <c r="CDQ248" s="4"/>
      <c r="CDR248" s="4"/>
      <c r="CDS248" s="4"/>
      <c r="CDT248" s="4"/>
      <c r="CDU248" s="4"/>
      <c r="CDV248" s="4"/>
      <c r="CDW248" s="4"/>
      <c r="CDX248" s="4"/>
      <c r="CDY248" s="4"/>
      <c r="CDZ248" s="4"/>
      <c r="CEA248" s="4"/>
      <c r="CEB248" s="4"/>
      <c r="CEC248" s="4"/>
      <c r="CED248" s="4"/>
      <c r="CEE248" s="4"/>
      <c r="CEF248" s="4"/>
      <c r="CEG248" s="4"/>
      <c r="CEH248" s="4"/>
      <c r="CEI248" s="4"/>
      <c r="CEJ248" s="4"/>
      <c r="CEK248" s="4"/>
      <c r="CEL248" s="4"/>
      <c r="CEM248" s="4"/>
      <c r="CEN248" s="4"/>
      <c r="CEO248" s="4"/>
      <c r="CEP248" s="4"/>
      <c r="CEQ248" s="4"/>
      <c r="CER248" s="4"/>
      <c r="CES248" s="4"/>
      <c r="CET248" s="4"/>
      <c r="CEU248" s="4"/>
      <c r="CEV248" s="4"/>
      <c r="CEW248" s="4"/>
      <c r="CEX248" s="4"/>
      <c r="CEY248" s="4"/>
      <c r="CEZ248" s="4"/>
      <c r="CFA248" s="4"/>
      <c r="CFB248" s="4"/>
      <c r="CFC248" s="4"/>
      <c r="CFD248" s="4"/>
      <c r="CFE248" s="4"/>
      <c r="CFF248" s="4"/>
      <c r="CFG248" s="4"/>
      <c r="CFH248" s="4"/>
      <c r="CFI248" s="4"/>
      <c r="CFJ248" s="4"/>
      <c r="CFK248" s="4"/>
      <c r="CFL248" s="4"/>
      <c r="CFM248" s="4"/>
      <c r="CFN248" s="4"/>
      <c r="CFO248" s="4"/>
      <c r="CFP248" s="4"/>
      <c r="CFQ248" s="4"/>
      <c r="CFR248" s="4"/>
      <c r="CFS248" s="4"/>
      <c r="CFT248" s="4"/>
      <c r="CFU248" s="4"/>
      <c r="CFV248" s="4"/>
      <c r="CFW248" s="4"/>
      <c r="CFX248" s="4"/>
      <c r="CFY248" s="4"/>
      <c r="CFZ248" s="4"/>
      <c r="CGA248" s="4"/>
      <c r="CGB248" s="4"/>
      <c r="CGC248" s="4"/>
      <c r="CGD248" s="4"/>
      <c r="CGE248" s="4"/>
      <c r="CGF248" s="4"/>
      <c r="CGG248" s="4"/>
      <c r="CGH248" s="4"/>
      <c r="CGI248" s="4"/>
      <c r="CGJ248" s="4"/>
      <c r="CGK248" s="4"/>
      <c r="CGL248" s="4"/>
      <c r="CGM248" s="4"/>
      <c r="CGN248" s="4"/>
      <c r="CGO248" s="4"/>
      <c r="CGP248" s="4"/>
      <c r="CGQ248" s="4"/>
      <c r="CGR248" s="4"/>
      <c r="CGS248" s="4"/>
      <c r="CGT248" s="4"/>
      <c r="CGU248" s="4"/>
      <c r="CGV248" s="4"/>
      <c r="CGW248" s="4"/>
      <c r="CGX248" s="4"/>
      <c r="CGY248" s="4"/>
      <c r="CGZ248" s="4"/>
      <c r="CHA248" s="4"/>
      <c r="CHB248" s="4"/>
      <c r="CHC248" s="4"/>
      <c r="CHD248" s="4"/>
      <c r="CHE248" s="4"/>
      <c r="CHF248" s="4"/>
      <c r="CHG248" s="4"/>
      <c r="CHH248" s="4"/>
      <c r="CHI248" s="4"/>
      <c r="CHJ248" s="4"/>
      <c r="CHK248" s="4"/>
      <c r="CHL248" s="4"/>
      <c r="CHM248" s="4"/>
      <c r="CHN248" s="4"/>
      <c r="CHO248" s="4"/>
      <c r="CHP248" s="4"/>
      <c r="CHQ248" s="4"/>
      <c r="CHR248" s="4"/>
      <c r="CHS248" s="4"/>
      <c r="CHT248" s="4"/>
      <c r="CHU248" s="4"/>
      <c r="CHV248" s="4"/>
      <c r="CHW248" s="4"/>
      <c r="CHX248" s="4"/>
      <c r="CHY248" s="4"/>
      <c r="CHZ248" s="4"/>
      <c r="CIA248" s="4"/>
      <c r="CIB248" s="4"/>
      <c r="CIC248" s="4"/>
      <c r="CID248" s="4"/>
      <c r="CIE248" s="4"/>
      <c r="CIF248" s="4"/>
      <c r="CIG248" s="4"/>
      <c r="CIH248" s="4"/>
      <c r="CII248" s="4"/>
      <c r="CIJ248" s="4"/>
      <c r="CIK248" s="4"/>
      <c r="CIL248" s="4"/>
      <c r="CIM248" s="4"/>
      <c r="CIN248" s="4"/>
      <c r="CIO248" s="4"/>
      <c r="CIP248" s="4"/>
      <c r="CIQ248" s="4"/>
      <c r="CIR248" s="4"/>
      <c r="CIS248" s="4"/>
      <c r="CIT248" s="4"/>
      <c r="CIU248" s="4"/>
      <c r="CIV248" s="4"/>
      <c r="CIW248" s="4"/>
      <c r="CIX248" s="4"/>
      <c r="CIY248" s="4"/>
      <c r="CIZ248" s="4"/>
      <c r="CJA248" s="4"/>
      <c r="CJB248" s="4"/>
      <c r="CJC248" s="4"/>
      <c r="CJD248" s="4"/>
      <c r="CJE248" s="4"/>
      <c r="CJF248" s="4"/>
      <c r="CJG248" s="4"/>
      <c r="CJH248" s="4"/>
      <c r="CJI248" s="4"/>
      <c r="CJJ248" s="4"/>
      <c r="CJK248" s="4"/>
      <c r="CJL248" s="4"/>
      <c r="CJM248" s="4"/>
      <c r="CJN248" s="4"/>
      <c r="CJO248" s="4"/>
      <c r="CJP248" s="4"/>
      <c r="CJQ248" s="4"/>
      <c r="CJR248" s="4"/>
      <c r="CJS248" s="4"/>
      <c r="CJT248" s="4"/>
      <c r="CJU248" s="4"/>
      <c r="CJV248" s="4"/>
      <c r="CJW248" s="4"/>
      <c r="CJX248" s="4"/>
      <c r="CJY248" s="4"/>
      <c r="CJZ248" s="4"/>
      <c r="CKA248" s="4"/>
      <c r="CKB248" s="4"/>
      <c r="CKC248" s="4"/>
      <c r="CKD248" s="4"/>
      <c r="CKE248" s="4"/>
      <c r="CKF248" s="4"/>
      <c r="CKG248" s="4"/>
      <c r="CKH248" s="4"/>
      <c r="CKI248" s="4"/>
      <c r="CKJ248" s="4"/>
      <c r="CKK248" s="4"/>
      <c r="CKL248" s="4"/>
      <c r="CKM248" s="4"/>
      <c r="CKN248" s="4"/>
      <c r="CKO248" s="4"/>
      <c r="CKP248" s="4"/>
      <c r="CKQ248" s="4"/>
      <c r="CKR248" s="4"/>
      <c r="CKS248" s="4"/>
      <c r="CKT248" s="4"/>
      <c r="CKU248" s="4"/>
      <c r="CKV248" s="4"/>
      <c r="CKW248" s="4"/>
      <c r="CKX248" s="4"/>
      <c r="CKY248" s="4"/>
      <c r="CKZ248" s="4"/>
      <c r="CLA248" s="4"/>
      <c r="CLB248" s="4"/>
      <c r="CLC248" s="4"/>
      <c r="CLD248" s="4"/>
      <c r="CLE248" s="4"/>
      <c r="CLF248" s="4"/>
      <c r="CLG248" s="4"/>
      <c r="CLH248" s="4"/>
      <c r="CLI248" s="4"/>
      <c r="CLJ248" s="4"/>
      <c r="CLK248" s="4"/>
      <c r="CLL248" s="4"/>
      <c r="CLM248" s="4"/>
      <c r="CLN248" s="4"/>
      <c r="CLO248" s="4"/>
      <c r="CLP248" s="4"/>
      <c r="CLQ248" s="4"/>
      <c r="CLR248" s="4"/>
      <c r="CLS248" s="4"/>
      <c r="CLT248" s="4"/>
      <c r="CLU248" s="4"/>
      <c r="CLV248" s="4"/>
      <c r="CLW248" s="4"/>
      <c r="CLX248" s="4"/>
      <c r="CLY248" s="4"/>
      <c r="CLZ248" s="4"/>
      <c r="CMA248" s="4"/>
      <c r="CMB248" s="4"/>
      <c r="CMC248" s="4"/>
      <c r="CMD248" s="4"/>
      <c r="CME248" s="4"/>
      <c r="CMF248" s="4"/>
      <c r="CMG248" s="4"/>
      <c r="CMH248" s="4"/>
      <c r="CMI248" s="4"/>
      <c r="CMJ248" s="4"/>
      <c r="CMK248" s="4"/>
      <c r="CML248" s="4"/>
      <c r="CMM248" s="4"/>
      <c r="CMN248" s="4"/>
      <c r="CMO248" s="4"/>
      <c r="CMP248" s="4"/>
      <c r="CMQ248" s="4"/>
      <c r="CMR248" s="4"/>
      <c r="CMS248" s="4"/>
      <c r="CMT248" s="4"/>
      <c r="CMU248" s="4"/>
      <c r="CMV248" s="4"/>
      <c r="CMW248" s="4"/>
      <c r="CMX248" s="4"/>
      <c r="CMY248" s="4"/>
      <c r="CMZ248" s="4"/>
      <c r="CNA248" s="4"/>
      <c r="CNB248" s="4"/>
      <c r="CNC248" s="4"/>
      <c r="CND248" s="4"/>
      <c r="CNE248" s="4"/>
      <c r="CNF248" s="4"/>
      <c r="CNG248" s="4"/>
      <c r="CNH248" s="4"/>
      <c r="CNI248" s="4"/>
      <c r="CNJ248" s="4"/>
      <c r="CNK248" s="4"/>
      <c r="CNL248" s="4"/>
      <c r="CNM248" s="4"/>
      <c r="CNN248" s="4"/>
      <c r="CNO248" s="4"/>
      <c r="CNP248" s="4"/>
      <c r="CNQ248" s="4"/>
      <c r="CNR248" s="4"/>
      <c r="CNS248" s="4"/>
      <c r="CNT248" s="4"/>
      <c r="CNU248" s="4"/>
      <c r="CNV248" s="4"/>
      <c r="CNW248" s="4"/>
      <c r="CNX248" s="4"/>
      <c r="CNY248" s="4"/>
      <c r="CNZ248" s="4"/>
      <c r="COA248" s="4"/>
      <c r="COB248" s="4"/>
      <c r="COC248" s="4"/>
      <c r="COD248" s="4"/>
      <c r="COE248" s="4"/>
      <c r="COF248" s="4"/>
      <c r="COG248" s="4"/>
      <c r="COH248" s="4"/>
      <c r="COI248" s="4"/>
      <c r="COJ248" s="4"/>
      <c r="COK248" s="4"/>
      <c r="COL248" s="4"/>
      <c r="COM248" s="4"/>
      <c r="CON248" s="4"/>
      <c r="COO248" s="4"/>
      <c r="COP248" s="4"/>
      <c r="COQ248" s="4"/>
      <c r="COR248" s="4"/>
      <c r="COS248" s="4"/>
      <c r="COT248" s="4"/>
      <c r="COU248" s="4"/>
      <c r="COV248" s="4"/>
      <c r="COW248" s="4"/>
      <c r="COX248" s="4"/>
      <c r="COY248" s="4"/>
      <c r="COZ248" s="4"/>
      <c r="CPA248" s="4"/>
      <c r="CPB248" s="4"/>
      <c r="CPC248" s="4"/>
      <c r="CPD248" s="4"/>
      <c r="CPE248" s="4"/>
      <c r="CPF248" s="4"/>
      <c r="CPG248" s="4"/>
      <c r="CPH248" s="4"/>
      <c r="CPI248" s="4"/>
      <c r="CPJ248" s="4"/>
      <c r="CPK248" s="4"/>
      <c r="CPL248" s="4"/>
      <c r="CPM248" s="4"/>
      <c r="CPN248" s="4"/>
      <c r="CPO248" s="4"/>
      <c r="CPP248" s="4"/>
      <c r="CPQ248" s="4"/>
      <c r="CPR248" s="4"/>
      <c r="CPS248" s="4"/>
      <c r="CPT248" s="4"/>
      <c r="CPU248" s="4"/>
      <c r="CPV248" s="4"/>
      <c r="CPW248" s="4"/>
      <c r="CPX248" s="4"/>
      <c r="CPY248" s="4"/>
      <c r="CPZ248" s="4"/>
      <c r="CQA248" s="4"/>
      <c r="CQB248" s="4"/>
      <c r="CQC248" s="4"/>
      <c r="CQD248" s="4"/>
      <c r="CQE248" s="4"/>
      <c r="CQF248" s="4"/>
      <c r="CQG248" s="4"/>
      <c r="CQH248" s="4"/>
      <c r="CQI248" s="4"/>
      <c r="CQJ248" s="4"/>
      <c r="CQK248" s="4"/>
      <c r="CQL248" s="4"/>
      <c r="CQM248" s="4"/>
      <c r="CQN248" s="4"/>
      <c r="CQO248" s="4"/>
      <c r="CQP248" s="4"/>
      <c r="CQQ248" s="4"/>
      <c r="CQR248" s="4"/>
      <c r="CQS248" s="4"/>
      <c r="CQT248" s="4"/>
      <c r="CQU248" s="4"/>
      <c r="CQV248" s="4"/>
      <c r="CQW248" s="4"/>
      <c r="CQX248" s="4"/>
      <c r="CQY248" s="4"/>
      <c r="CQZ248" s="4"/>
      <c r="CRA248" s="4"/>
      <c r="CRB248" s="4"/>
      <c r="CRC248" s="4"/>
      <c r="CRD248" s="4"/>
      <c r="CRE248" s="4"/>
      <c r="CRF248" s="4"/>
      <c r="CRG248" s="4"/>
      <c r="CRH248" s="4"/>
      <c r="CRI248" s="4"/>
      <c r="CRJ248" s="4"/>
      <c r="CRK248" s="4"/>
      <c r="CRL248" s="4"/>
      <c r="CRM248" s="4"/>
      <c r="CRN248" s="4"/>
      <c r="CRO248" s="4"/>
      <c r="CRP248" s="4"/>
      <c r="CRQ248" s="4"/>
      <c r="CRR248" s="4"/>
      <c r="CRS248" s="4"/>
      <c r="CRT248" s="4"/>
      <c r="CRU248" s="4"/>
      <c r="CRV248" s="4"/>
      <c r="CRW248" s="4"/>
      <c r="CRX248" s="4"/>
      <c r="CRY248" s="4"/>
      <c r="CRZ248" s="4"/>
      <c r="CSA248" s="4"/>
      <c r="CSB248" s="4"/>
      <c r="CSC248" s="4"/>
      <c r="CSD248" s="4"/>
      <c r="CSE248" s="4"/>
      <c r="CSF248" s="4"/>
      <c r="CSG248" s="4"/>
      <c r="CSH248" s="4"/>
      <c r="CSI248" s="4"/>
      <c r="CSJ248" s="4"/>
      <c r="CSK248" s="4"/>
      <c r="CSL248" s="4"/>
      <c r="CSM248" s="4"/>
      <c r="CSN248" s="4"/>
      <c r="CSO248" s="4"/>
      <c r="CSP248" s="4"/>
      <c r="CSQ248" s="4"/>
      <c r="CSR248" s="4"/>
      <c r="CSS248" s="4"/>
      <c r="CST248" s="4"/>
      <c r="CSU248" s="4"/>
      <c r="CSV248" s="4"/>
      <c r="CSW248" s="4"/>
      <c r="CSX248" s="4"/>
      <c r="CSY248" s="4"/>
      <c r="CSZ248" s="4"/>
      <c r="CTA248" s="4"/>
      <c r="CTB248" s="4"/>
      <c r="CTC248" s="4"/>
      <c r="CTD248" s="4"/>
      <c r="CTE248" s="4"/>
      <c r="CTF248" s="4"/>
      <c r="CTG248" s="4"/>
      <c r="CTH248" s="4"/>
      <c r="CTI248" s="4"/>
      <c r="CTJ248" s="4"/>
      <c r="CTK248" s="4"/>
      <c r="CTL248" s="4"/>
      <c r="CTM248" s="4"/>
      <c r="CTN248" s="4"/>
      <c r="CTO248" s="4"/>
      <c r="CTP248" s="4"/>
      <c r="CTQ248" s="4"/>
      <c r="CTR248" s="4"/>
      <c r="CTS248" s="4"/>
      <c r="CTT248" s="4"/>
      <c r="CTU248" s="4"/>
      <c r="CTV248" s="4"/>
      <c r="CTW248" s="4"/>
      <c r="CTX248" s="4"/>
      <c r="CTY248" s="4"/>
      <c r="CTZ248" s="4"/>
      <c r="CUA248" s="4"/>
      <c r="CUB248" s="4"/>
      <c r="CUC248" s="4"/>
      <c r="CUD248" s="4"/>
      <c r="CUE248" s="4"/>
      <c r="CUF248" s="4"/>
      <c r="CUG248" s="4"/>
      <c r="CUH248" s="4"/>
      <c r="CUI248" s="4"/>
      <c r="CUJ248" s="4"/>
      <c r="CUK248" s="4"/>
      <c r="CUL248" s="4"/>
      <c r="CUM248" s="4"/>
      <c r="CUN248" s="4"/>
      <c r="CUO248" s="4"/>
      <c r="CUP248" s="4"/>
      <c r="CUQ248" s="4"/>
      <c r="CUR248" s="4"/>
      <c r="CUS248" s="4"/>
      <c r="CUT248" s="4"/>
      <c r="CUU248" s="4"/>
      <c r="CUV248" s="4"/>
      <c r="CUW248" s="4"/>
      <c r="CUX248" s="4"/>
      <c r="CUY248" s="4"/>
      <c r="CUZ248" s="4"/>
      <c r="CVA248" s="4"/>
      <c r="CVB248" s="4"/>
      <c r="CVC248" s="4"/>
      <c r="CVD248" s="4"/>
      <c r="CVE248" s="4"/>
      <c r="CVF248" s="4"/>
      <c r="CVG248" s="4"/>
      <c r="CVH248" s="4"/>
      <c r="CVI248" s="4"/>
      <c r="CVJ248" s="4"/>
      <c r="CVK248" s="4"/>
      <c r="CVL248" s="4"/>
      <c r="CVM248" s="4"/>
      <c r="CVN248" s="4"/>
      <c r="CVO248" s="4"/>
      <c r="CVP248" s="4"/>
      <c r="CVQ248" s="4"/>
      <c r="CVR248" s="4"/>
      <c r="CVS248" s="4"/>
      <c r="CVT248" s="4"/>
      <c r="CVU248" s="4"/>
      <c r="CVV248" s="4"/>
      <c r="CVW248" s="4"/>
      <c r="CVX248" s="4"/>
      <c r="CVY248" s="4"/>
      <c r="CVZ248" s="4"/>
      <c r="CWA248" s="4"/>
      <c r="CWB248" s="4"/>
      <c r="CWC248" s="4"/>
      <c r="CWD248" s="4"/>
      <c r="CWE248" s="4"/>
      <c r="CWF248" s="4"/>
      <c r="CWG248" s="4"/>
      <c r="CWH248" s="4"/>
      <c r="CWI248" s="4"/>
      <c r="CWJ248" s="4"/>
      <c r="CWK248" s="4"/>
      <c r="CWL248" s="4"/>
      <c r="CWM248" s="4"/>
      <c r="CWN248" s="4"/>
      <c r="CWO248" s="4"/>
      <c r="CWP248" s="4"/>
      <c r="CWQ248" s="4"/>
      <c r="CWR248" s="4"/>
      <c r="CWS248" s="4"/>
      <c r="CWT248" s="4"/>
      <c r="CWU248" s="4"/>
      <c r="CWV248" s="4"/>
      <c r="CWW248" s="4"/>
      <c r="CWX248" s="4"/>
      <c r="CWY248" s="4"/>
      <c r="CWZ248" s="4"/>
      <c r="CXA248" s="4"/>
      <c r="CXB248" s="4"/>
      <c r="CXC248" s="4"/>
      <c r="CXD248" s="4"/>
      <c r="CXE248" s="4"/>
      <c r="CXF248" s="4"/>
      <c r="CXG248" s="4"/>
      <c r="CXH248" s="4"/>
      <c r="CXI248" s="4"/>
      <c r="CXJ248" s="4"/>
      <c r="CXK248" s="4"/>
      <c r="CXL248" s="4"/>
      <c r="CXM248" s="4"/>
      <c r="CXN248" s="4"/>
      <c r="CXO248" s="4"/>
      <c r="CXP248" s="4"/>
      <c r="CXQ248" s="4"/>
      <c r="CXR248" s="4"/>
      <c r="CXS248" s="4"/>
      <c r="CXT248" s="4"/>
      <c r="CXU248" s="4"/>
      <c r="CXV248" s="4"/>
      <c r="CXW248" s="4"/>
      <c r="CXX248" s="4"/>
      <c r="CXY248" s="4"/>
      <c r="CXZ248" s="4"/>
      <c r="CYA248" s="4"/>
      <c r="CYB248" s="4"/>
      <c r="CYC248" s="4"/>
      <c r="CYD248" s="4"/>
      <c r="CYE248" s="4"/>
      <c r="CYF248" s="4"/>
      <c r="CYG248" s="4"/>
      <c r="CYH248" s="4"/>
      <c r="CYI248" s="4"/>
      <c r="CYJ248" s="4"/>
      <c r="CYK248" s="4"/>
      <c r="CYL248" s="4"/>
      <c r="CYM248" s="4"/>
      <c r="CYN248" s="4"/>
      <c r="CYO248" s="4"/>
      <c r="CYP248" s="4"/>
      <c r="CYQ248" s="4"/>
      <c r="CYR248" s="4"/>
      <c r="CYS248" s="4"/>
      <c r="CYT248" s="4"/>
      <c r="CYU248" s="4"/>
      <c r="CYV248" s="4"/>
      <c r="CYW248" s="4"/>
      <c r="CYX248" s="4"/>
      <c r="CYY248" s="4"/>
      <c r="CYZ248" s="4"/>
      <c r="CZA248" s="4"/>
      <c r="CZB248" s="4"/>
      <c r="CZC248" s="4"/>
      <c r="CZD248" s="4"/>
      <c r="CZE248" s="4"/>
      <c r="CZF248" s="4"/>
      <c r="CZG248" s="4"/>
      <c r="CZH248" s="4"/>
      <c r="CZI248" s="4"/>
      <c r="CZJ248" s="4"/>
      <c r="CZK248" s="4"/>
      <c r="CZL248" s="4"/>
      <c r="CZM248" s="4"/>
      <c r="CZN248" s="4"/>
      <c r="CZO248" s="4"/>
      <c r="CZP248" s="4"/>
      <c r="CZQ248" s="4"/>
      <c r="CZR248" s="4"/>
      <c r="CZS248" s="4"/>
      <c r="CZT248" s="4"/>
      <c r="CZU248" s="4"/>
      <c r="CZV248" s="4"/>
      <c r="CZW248" s="4"/>
      <c r="CZX248" s="4"/>
      <c r="CZY248" s="4"/>
      <c r="CZZ248" s="4"/>
      <c r="DAA248" s="4"/>
      <c r="DAB248" s="4"/>
      <c r="DAC248" s="4"/>
      <c r="DAD248" s="4"/>
      <c r="DAE248" s="4"/>
      <c r="DAF248" s="4"/>
      <c r="DAG248" s="4"/>
      <c r="DAH248" s="4"/>
      <c r="DAI248" s="4"/>
      <c r="DAJ248" s="4"/>
      <c r="DAK248" s="4"/>
      <c r="DAL248" s="4"/>
      <c r="DAM248" s="4"/>
      <c r="DAN248" s="4"/>
      <c r="DAO248" s="4"/>
      <c r="DAP248" s="4"/>
      <c r="DAQ248" s="4"/>
      <c r="DAR248" s="4"/>
      <c r="DAS248" s="4"/>
      <c r="DAT248" s="4"/>
      <c r="DAU248" s="4"/>
      <c r="DAV248" s="4"/>
      <c r="DAW248" s="4"/>
      <c r="DAX248" s="4"/>
      <c r="DAY248" s="4"/>
      <c r="DAZ248" s="4"/>
      <c r="DBA248" s="4"/>
      <c r="DBB248" s="4"/>
      <c r="DBC248" s="4"/>
      <c r="DBD248" s="4"/>
      <c r="DBE248" s="4"/>
      <c r="DBF248" s="4"/>
      <c r="DBG248" s="4"/>
      <c r="DBH248" s="4"/>
      <c r="DBI248" s="4"/>
      <c r="DBJ248" s="4"/>
      <c r="DBK248" s="4"/>
      <c r="DBL248" s="4"/>
      <c r="DBM248" s="4"/>
      <c r="DBN248" s="4"/>
      <c r="DBO248" s="4"/>
      <c r="DBP248" s="4"/>
      <c r="DBQ248" s="4"/>
      <c r="DBR248" s="4"/>
      <c r="DBS248" s="4"/>
      <c r="DBT248" s="4"/>
      <c r="DBU248" s="4"/>
      <c r="DBV248" s="4"/>
      <c r="DBW248" s="4"/>
      <c r="DBX248" s="4"/>
      <c r="DBY248" s="4"/>
      <c r="DBZ248" s="4"/>
      <c r="DCA248" s="4"/>
      <c r="DCB248" s="4"/>
      <c r="DCC248" s="4"/>
      <c r="DCD248" s="4"/>
      <c r="DCE248" s="4"/>
      <c r="DCF248" s="4"/>
      <c r="DCG248" s="4"/>
      <c r="DCH248" s="4"/>
      <c r="DCI248" s="4"/>
      <c r="DCJ248" s="4"/>
      <c r="DCK248" s="4"/>
      <c r="DCL248" s="4"/>
      <c r="DCM248" s="4"/>
      <c r="DCN248" s="4"/>
      <c r="DCO248" s="4"/>
      <c r="DCP248" s="4"/>
      <c r="DCQ248" s="4"/>
      <c r="DCR248" s="4"/>
      <c r="DCS248" s="4"/>
      <c r="DCT248" s="4"/>
      <c r="DCU248" s="4"/>
      <c r="DCV248" s="4"/>
      <c r="DCW248" s="4"/>
      <c r="DCX248" s="4"/>
      <c r="DCY248" s="4"/>
      <c r="DCZ248" s="4"/>
      <c r="DDA248" s="4"/>
      <c r="DDB248" s="4"/>
      <c r="DDC248" s="4"/>
      <c r="DDD248" s="4"/>
      <c r="DDE248" s="4"/>
      <c r="DDF248" s="4"/>
      <c r="DDG248" s="4"/>
      <c r="DDH248" s="4"/>
      <c r="DDI248" s="4"/>
      <c r="DDJ248" s="4"/>
      <c r="DDK248" s="4"/>
      <c r="DDL248" s="4"/>
      <c r="DDM248" s="4"/>
      <c r="DDN248" s="4"/>
      <c r="DDO248" s="4"/>
      <c r="DDP248" s="4"/>
      <c r="DDQ248" s="4"/>
      <c r="DDR248" s="4"/>
      <c r="DDS248" s="4"/>
      <c r="DDT248" s="4"/>
      <c r="DDU248" s="4"/>
      <c r="DDV248" s="4"/>
      <c r="DDW248" s="4"/>
      <c r="DDX248" s="4"/>
      <c r="DDY248" s="4"/>
      <c r="DDZ248" s="4"/>
      <c r="DEA248" s="4"/>
      <c r="DEB248" s="4"/>
      <c r="DEC248" s="4"/>
      <c r="DED248" s="4"/>
      <c r="DEE248" s="4"/>
      <c r="DEF248" s="4"/>
      <c r="DEG248" s="4"/>
      <c r="DEH248" s="4"/>
      <c r="DEI248" s="4"/>
      <c r="DEJ248" s="4"/>
      <c r="DEK248" s="4"/>
      <c r="DEL248" s="4"/>
      <c r="DEM248" s="4"/>
      <c r="DEN248" s="4"/>
      <c r="DEO248" s="4"/>
      <c r="DEP248" s="4"/>
      <c r="DEQ248" s="4"/>
      <c r="DER248" s="4"/>
      <c r="DES248" s="4"/>
      <c r="DET248" s="4"/>
      <c r="DEU248" s="4"/>
      <c r="DEV248" s="4"/>
      <c r="DEW248" s="4"/>
      <c r="DEX248" s="4"/>
      <c r="DEY248" s="4"/>
      <c r="DEZ248" s="4"/>
      <c r="DFA248" s="4"/>
      <c r="DFB248" s="4"/>
      <c r="DFC248" s="4"/>
      <c r="DFD248" s="4"/>
      <c r="DFE248" s="4"/>
      <c r="DFF248" s="4"/>
      <c r="DFG248" s="4"/>
      <c r="DFH248" s="4"/>
      <c r="DFI248" s="4"/>
      <c r="DFJ248" s="4"/>
      <c r="DFK248" s="4"/>
      <c r="DFL248" s="4"/>
      <c r="DFM248" s="4"/>
      <c r="DFN248" s="4"/>
      <c r="DFO248" s="4"/>
      <c r="DFP248" s="4"/>
      <c r="DFQ248" s="4"/>
      <c r="DFR248" s="4"/>
      <c r="DFS248" s="4"/>
      <c r="DFT248" s="4"/>
      <c r="DFU248" s="4"/>
      <c r="DFV248" s="4"/>
      <c r="DFW248" s="4"/>
      <c r="DFX248" s="4"/>
      <c r="DFY248" s="4"/>
      <c r="DFZ248" s="4"/>
      <c r="DGA248" s="4"/>
      <c r="DGB248" s="4"/>
      <c r="DGC248" s="4"/>
      <c r="DGD248" s="4"/>
      <c r="DGE248" s="4"/>
      <c r="DGF248" s="4"/>
      <c r="DGG248" s="4"/>
      <c r="DGH248" s="4"/>
      <c r="DGI248" s="4"/>
      <c r="DGJ248" s="4"/>
      <c r="DGK248" s="4"/>
      <c r="DGL248" s="4"/>
      <c r="DGM248" s="4"/>
      <c r="DGN248" s="4"/>
      <c r="DGO248" s="4"/>
      <c r="DGP248" s="4"/>
      <c r="DGQ248" s="4"/>
      <c r="DGR248" s="4"/>
      <c r="DGS248" s="4"/>
      <c r="DGT248" s="4"/>
      <c r="DGU248" s="4"/>
      <c r="DGV248" s="4"/>
      <c r="DGW248" s="4"/>
      <c r="DGX248" s="4"/>
      <c r="DGY248" s="4"/>
      <c r="DGZ248" s="4"/>
      <c r="DHA248" s="4"/>
      <c r="DHB248" s="4"/>
      <c r="DHC248" s="4"/>
      <c r="DHD248" s="4"/>
      <c r="DHE248" s="4"/>
      <c r="DHF248" s="4"/>
      <c r="DHG248" s="4"/>
      <c r="DHH248" s="4"/>
      <c r="DHI248" s="4"/>
      <c r="DHJ248" s="4"/>
      <c r="DHK248" s="4"/>
      <c r="DHL248" s="4"/>
      <c r="DHM248" s="4"/>
      <c r="DHN248" s="4"/>
      <c r="DHO248" s="4"/>
      <c r="DHP248" s="4"/>
      <c r="DHQ248" s="4"/>
      <c r="DHR248" s="4"/>
      <c r="DHS248" s="4"/>
      <c r="DHT248" s="4"/>
      <c r="DHU248" s="4"/>
      <c r="DHV248" s="4"/>
      <c r="DHW248" s="4"/>
      <c r="DHX248" s="4"/>
      <c r="DHY248" s="4"/>
      <c r="DHZ248" s="4"/>
      <c r="DIA248" s="4"/>
      <c r="DIB248" s="4"/>
      <c r="DIC248" s="4"/>
      <c r="DID248" s="4"/>
      <c r="DIE248" s="4"/>
      <c r="DIF248" s="4"/>
      <c r="DIG248" s="4"/>
      <c r="DIH248" s="4"/>
      <c r="DII248" s="4"/>
      <c r="DIJ248" s="4"/>
      <c r="DIK248" s="4"/>
      <c r="DIL248" s="4"/>
      <c r="DIM248" s="4"/>
      <c r="DIN248" s="4"/>
      <c r="DIO248" s="4"/>
      <c r="DIP248" s="4"/>
      <c r="DIQ248" s="4"/>
      <c r="DIR248" s="4"/>
      <c r="DIS248" s="4"/>
      <c r="DIT248" s="4"/>
      <c r="DIU248" s="4"/>
      <c r="DIV248" s="4"/>
      <c r="DIW248" s="4"/>
      <c r="DIX248" s="4"/>
      <c r="DIY248" s="4"/>
      <c r="DIZ248" s="4"/>
      <c r="DJA248" s="4"/>
      <c r="DJB248" s="4"/>
      <c r="DJC248" s="4"/>
      <c r="DJD248" s="4"/>
      <c r="DJE248" s="4"/>
      <c r="DJF248" s="4"/>
      <c r="DJG248" s="4"/>
      <c r="DJH248" s="4"/>
      <c r="DJI248" s="4"/>
      <c r="DJJ248" s="4"/>
      <c r="DJK248" s="4"/>
      <c r="DJL248" s="4"/>
      <c r="DJM248" s="4"/>
      <c r="DJN248" s="4"/>
      <c r="DJO248" s="4"/>
      <c r="DJP248" s="4"/>
      <c r="DJQ248" s="4"/>
      <c r="DJR248" s="4"/>
      <c r="DJS248" s="4"/>
      <c r="DJT248" s="4"/>
      <c r="DJU248" s="4"/>
      <c r="DJV248" s="4"/>
      <c r="DJW248" s="4"/>
      <c r="DJX248" s="4"/>
      <c r="DJY248" s="4"/>
      <c r="DJZ248" s="4"/>
      <c r="DKA248" s="4"/>
      <c r="DKB248" s="4"/>
      <c r="DKC248" s="4"/>
      <c r="DKD248" s="4"/>
      <c r="DKE248" s="4"/>
      <c r="DKF248" s="4"/>
      <c r="DKG248" s="4"/>
      <c r="DKH248" s="4"/>
      <c r="DKI248" s="4"/>
      <c r="DKJ248" s="4"/>
      <c r="DKK248" s="4"/>
      <c r="DKL248" s="4"/>
      <c r="DKM248" s="4"/>
      <c r="DKN248" s="4"/>
      <c r="DKO248" s="4"/>
      <c r="DKP248" s="4"/>
      <c r="DKQ248" s="4"/>
      <c r="DKR248" s="4"/>
      <c r="DKS248" s="4"/>
      <c r="DKT248" s="4"/>
      <c r="DKU248" s="4"/>
      <c r="DKV248" s="4"/>
      <c r="DKW248" s="4"/>
      <c r="DKX248" s="4"/>
      <c r="DKY248" s="4"/>
      <c r="DKZ248" s="4"/>
      <c r="DLA248" s="4"/>
      <c r="DLB248" s="4"/>
      <c r="DLC248" s="4"/>
      <c r="DLD248" s="4"/>
      <c r="DLE248" s="4"/>
      <c r="DLF248" s="4"/>
      <c r="DLG248" s="4"/>
      <c r="DLH248" s="4"/>
      <c r="DLI248" s="4"/>
      <c r="DLJ248" s="4"/>
      <c r="DLK248" s="4"/>
      <c r="DLL248" s="4"/>
      <c r="DLM248" s="4"/>
      <c r="DLN248" s="4"/>
      <c r="DLO248" s="4"/>
      <c r="DLP248" s="4"/>
      <c r="DLQ248" s="4"/>
      <c r="DLR248" s="4"/>
      <c r="DLS248" s="4"/>
      <c r="DLT248" s="4"/>
      <c r="DLU248" s="4"/>
      <c r="DLV248" s="4"/>
      <c r="DLW248" s="4"/>
      <c r="DLX248" s="4"/>
      <c r="DLY248" s="4"/>
      <c r="DLZ248" s="4"/>
      <c r="DMA248" s="4"/>
      <c r="DMB248" s="4"/>
      <c r="DMC248" s="4"/>
      <c r="DMD248" s="4"/>
      <c r="DME248" s="4"/>
      <c r="DMF248" s="4"/>
      <c r="DMG248" s="4"/>
      <c r="DMH248" s="4"/>
      <c r="DMI248" s="4"/>
      <c r="DMJ248" s="4"/>
      <c r="DMK248" s="4"/>
      <c r="DML248" s="4"/>
      <c r="DMM248" s="4"/>
      <c r="DMN248" s="4"/>
      <c r="DMO248" s="4"/>
      <c r="DMP248" s="4"/>
      <c r="DMQ248" s="4"/>
      <c r="DMR248" s="4"/>
      <c r="DMS248" s="4"/>
      <c r="DMT248" s="4"/>
      <c r="DMU248" s="4"/>
      <c r="DMV248" s="4"/>
      <c r="DMW248" s="4"/>
      <c r="DMX248" s="4"/>
      <c r="DMY248" s="4"/>
      <c r="DMZ248" s="4"/>
      <c r="DNA248" s="4"/>
      <c r="DNB248" s="4"/>
      <c r="DNC248" s="4"/>
      <c r="DND248" s="4"/>
      <c r="DNE248" s="4"/>
      <c r="DNF248" s="4"/>
      <c r="DNG248" s="4"/>
      <c r="DNH248" s="4"/>
      <c r="DNI248" s="4"/>
      <c r="DNJ248" s="4"/>
      <c r="DNK248" s="4"/>
      <c r="DNL248" s="4"/>
      <c r="DNM248" s="4"/>
      <c r="DNN248" s="4"/>
      <c r="DNO248" s="4"/>
      <c r="DNP248" s="4"/>
      <c r="DNQ248" s="4"/>
      <c r="DNR248" s="4"/>
      <c r="DNS248" s="4"/>
      <c r="DNT248" s="4"/>
      <c r="DNU248" s="4"/>
      <c r="DNV248" s="4"/>
      <c r="DNW248" s="4"/>
      <c r="DNX248" s="4"/>
      <c r="DNY248" s="4"/>
      <c r="DNZ248" s="4"/>
      <c r="DOA248" s="4"/>
      <c r="DOB248" s="4"/>
      <c r="DOC248" s="4"/>
      <c r="DOD248" s="4"/>
      <c r="DOE248" s="4"/>
      <c r="DOF248" s="4"/>
      <c r="DOG248" s="4"/>
      <c r="DOH248" s="4"/>
      <c r="DOI248" s="4"/>
      <c r="DOJ248" s="4"/>
      <c r="DOK248" s="4"/>
      <c r="DOL248" s="4"/>
      <c r="DOM248" s="4"/>
      <c r="DON248" s="4"/>
      <c r="DOO248" s="4"/>
      <c r="DOP248" s="4"/>
      <c r="DOQ248" s="4"/>
      <c r="DOR248" s="4"/>
      <c r="DOS248" s="4"/>
      <c r="DOT248" s="4"/>
      <c r="DOU248" s="4"/>
      <c r="DOV248" s="4"/>
      <c r="DOW248" s="4"/>
      <c r="DOX248" s="4"/>
      <c r="DOY248" s="4"/>
      <c r="DOZ248" s="4"/>
      <c r="DPA248" s="4"/>
      <c r="DPB248" s="4"/>
      <c r="DPC248" s="4"/>
      <c r="DPD248" s="4"/>
      <c r="DPE248" s="4"/>
      <c r="DPF248" s="4"/>
      <c r="DPG248" s="4"/>
      <c r="DPH248" s="4"/>
      <c r="DPI248" s="4"/>
      <c r="DPJ248" s="4"/>
      <c r="DPK248" s="4"/>
      <c r="DPL248" s="4"/>
      <c r="DPM248" s="4"/>
      <c r="DPN248" s="4"/>
      <c r="DPO248" s="4"/>
      <c r="DPP248" s="4"/>
      <c r="DPQ248" s="4"/>
      <c r="DPR248" s="4"/>
      <c r="DPS248" s="4"/>
      <c r="DPT248" s="4"/>
      <c r="DPU248" s="4"/>
      <c r="DPV248" s="4"/>
      <c r="DPW248" s="4"/>
      <c r="DPX248" s="4"/>
      <c r="DPY248" s="4"/>
      <c r="DPZ248" s="4"/>
      <c r="DQA248" s="4"/>
      <c r="DQB248" s="4"/>
      <c r="DQC248" s="4"/>
      <c r="DQD248" s="4"/>
      <c r="DQE248" s="4"/>
      <c r="DQF248" s="4"/>
      <c r="DQG248" s="4"/>
      <c r="DQH248" s="4"/>
      <c r="DQI248" s="4"/>
      <c r="DQJ248" s="4"/>
      <c r="DQK248" s="4"/>
      <c r="DQL248" s="4"/>
      <c r="DQM248" s="4"/>
      <c r="DQN248" s="4"/>
      <c r="DQO248" s="4"/>
      <c r="DQP248" s="4"/>
      <c r="DQQ248" s="4"/>
      <c r="DQR248" s="4"/>
      <c r="DQS248" s="4"/>
      <c r="DQT248" s="4"/>
      <c r="DQU248" s="4"/>
      <c r="DQV248" s="4"/>
      <c r="DQW248" s="4"/>
      <c r="DQX248" s="4"/>
      <c r="DQY248" s="4"/>
      <c r="DQZ248" s="4"/>
      <c r="DRA248" s="4"/>
      <c r="DRB248" s="4"/>
      <c r="DRC248" s="4"/>
      <c r="DRD248" s="4"/>
      <c r="DRE248" s="4"/>
      <c r="DRF248" s="4"/>
      <c r="DRG248" s="4"/>
      <c r="DRH248" s="4"/>
      <c r="DRI248" s="4"/>
      <c r="DRJ248" s="4"/>
      <c r="DRK248" s="4"/>
      <c r="DRL248" s="4"/>
      <c r="DRM248" s="4"/>
      <c r="DRN248" s="4"/>
      <c r="DRO248" s="4"/>
      <c r="DRP248" s="4"/>
      <c r="DRQ248" s="4"/>
      <c r="DRR248" s="4"/>
      <c r="DRS248" s="4"/>
      <c r="DRT248" s="4"/>
      <c r="DRU248" s="4"/>
      <c r="DRV248" s="4"/>
      <c r="DRW248" s="4"/>
      <c r="DRX248" s="4"/>
      <c r="DRY248" s="4"/>
      <c r="DRZ248" s="4"/>
      <c r="DSA248" s="4"/>
      <c r="DSB248" s="4"/>
      <c r="DSC248" s="4"/>
      <c r="DSD248" s="4"/>
      <c r="DSE248" s="4"/>
      <c r="DSF248" s="4"/>
      <c r="DSG248" s="4"/>
      <c r="DSH248" s="4"/>
      <c r="DSI248" s="4"/>
      <c r="DSJ248" s="4"/>
      <c r="DSK248" s="4"/>
      <c r="DSL248" s="4"/>
      <c r="DSM248" s="4"/>
      <c r="DSN248" s="4"/>
      <c r="DSO248" s="4"/>
      <c r="DSP248" s="4"/>
      <c r="DSQ248" s="4"/>
      <c r="DSR248" s="4"/>
      <c r="DSS248" s="4"/>
      <c r="DST248" s="4"/>
      <c r="DSU248" s="4"/>
      <c r="DSV248" s="4"/>
      <c r="DSW248" s="4"/>
      <c r="DSX248" s="4"/>
      <c r="DSY248" s="4"/>
      <c r="DSZ248" s="4"/>
      <c r="DTA248" s="4"/>
      <c r="DTB248" s="4"/>
      <c r="DTC248" s="4"/>
      <c r="DTD248" s="4"/>
      <c r="DTE248" s="4"/>
      <c r="DTF248" s="4"/>
      <c r="DTG248" s="4"/>
      <c r="DTH248" s="4"/>
      <c r="DTI248" s="4"/>
      <c r="DTJ248" s="4"/>
      <c r="DTK248" s="4"/>
      <c r="DTL248" s="4"/>
      <c r="DTM248" s="4"/>
      <c r="DTN248" s="4"/>
      <c r="DTO248" s="4"/>
      <c r="DTP248" s="4"/>
      <c r="DTQ248" s="4"/>
      <c r="DTR248" s="4"/>
      <c r="DTS248" s="4"/>
      <c r="DTT248" s="4"/>
      <c r="DTU248" s="4"/>
      <c r="DTV248" s="4"/>
      <c r="DTW248" s="4"/>
      <c r="DTX248" s="4"/>
      <c r="DTY248" s="4"/>
      <c r="DTZ248" s="4"/>
      <c r="DUA248" s="4"/>
      <c r="DUB248" s="4"/>
      <c r="DUC248" s="4"/>
      <c r="DUD248" s="4"/>
      <c r="DUE248" s="4"/>
      <c r="DUF248" s="4"/>
      <c r="DUG248" s="4"/>
      <c r="DUH248" s="4"/>
      <c r="DUI248" s="4"/>
      <c r="DUJ248" s="4"/>
      <c r="DUK248" s="4"/>
      <c r="DUL248" s="4"/>
      <c r="DUM248" s="4"/>
      <c r="DUN248" s="4"/>
      <c r="DUO248" s="4"/>
      <c r="DUP248" s="4"/>
      <c r="DUQ248" s="4"/>
      <c r="DUR248" s="4"/>
      <c r="DUS248" s="4"/>
      <c r="DUT248" s="4"/>
      <c r="DUU248" s="4"/>
      <c r="DUV248" s="4"/>
      <c r="DUW248" s="4"/>
      <c r="DUX248" s="4"/>
      <c r="DUY248" s="4"/>
      <c r="DUZ248" s="4"/>
      <c r="DVA248" s="4"/>
      <c r="DVB248" s="4"/>
      <c r="DVC248" s="4"/>
      <c r="DVD248" s="4"/>
      <c r="DVE248" s="4"/>
      <c r="DVF248" s="4"/>
      <c r="DVG248" s="4"/>
      <c r="DVH248" s="4"/>
      <c r="DVI248" s="4"/>
      <c r="DVJ248" s="4"/>
      <c r="DVK248" s="4"/>
      <c r="DVL248" s="4"/>
      <c r="DVM248" s="4"/>
      <c r="DVN248" s="4"/>
      <c r="DVO248" s="4"/>
      <c r="DVP248" s="4"/>
      <c r="DVQ248" s="4"/>
      <c r="DVR248" s="4"/>
      <c r="DVS248" s="4"/>
      <c r="DVT248" s="4"/>
      <c r="DVU248" s="4"/>
      <c r="DVV248" s="4"/>
      <c r="DVW248" s="4"/>
      <c r="DVX248" s="4"/>
      <c r="DVY248" s="4"/>
      <c r="DVZ248" s="4"/>
      <c r="DWA248" s="4"/>
      <c r="DWB248" s="4"/>
      <c r="DWC248" s="4"/>
      <c r="DWD248" s="4"/>
      <c r="DWE248" s="4"/>
      <c r="DWF248" s="4"/>
      <c r="DWG248" s="4"/>
      <c r="DWH248" s="4"/>
      <c r="DWI248" s="4"/>
      <c r="DWJ248" s="4"/>
      <c r="DWK248" s="4"/>
      <c r="DWL248" s="4"/>
      <c r="DWM248" s="4"/>
      <c r="DWN248" s="4"/>
      <c r="DWO248" s="4"/>
      <c r="DWP248" s="4"/>
      <c r="DWQ248" s="4"/>
      <c r="DWR248" s="4"/>
      <c r="DWS248" s="4"/>
      <c r="DWT248" s="4"/>
      <c r="DWU248" s="4"/>
      <c r="DWV248" s="4"/>
      <c r="DWW248" s="4"/>
      <c r="DWX248" s="4"/>
      <c r="DWY248" s="4"/>
      <c r="DWZ248" s="4"/>
      <c r="DXA248" s="4"/>
      <c r="DXB248" s="4"/>
      <c r="DXC248" s="4"/>
      <c r="DXD248" s="4"/>
      <c r="DXE248" s="4"/>
      <c r="DXF248" s="4"/>
      <c r="DXG248" s="4"/>
      <c r="DXH248" s="4"/>
      <c r="DXI248" s="4"/>
      <c r="DXJ248" s="4"/>
      <c r="DXK248" s="4"/>
      <c r="DXL248" s="4"/>
      <c r="DXM248" s="4"/>
      <c r="DXN248" s="4"/>
      <c r="DXO248" s="4"/>
      <c r="DXP248" s="4"/>
      <c r="DXQ248" s="4"/>
      <c r="DXR248" s="4"/>
      <c r="DXS248" s="4"/>
      <c r="DXT248" s="4"/>
      <c r="DXU248" s="4"/>
      <c r="DXV248" s="4"/>
      <c r="DXW248" s="4"/>
      <c r="DXX248" s="4"/>
      <c r="DXY248" s="4"/>
      <c r="DXZ248" s="4"/>
      <c r="DYA248" s="4"/>
      <c r="DYB248" s="4"/>
      <c r="DYC248" s="4"/>
      <c r="DYD248" s="4"/>
      <c r="DYE248" s="4"/>
      <c r="DYF248" s="4"/>
      <c r="DYG248" s="4"/>
      <c r="DYH248" s="4"/>
      <c r="DYI248" s="4"/>
      <c r="DYJ248" s="4"/>
      <c r="DYK248" s="4"/>
      <c r="DYL248" s="4"/>
      <c r="DYM248" s="4"/>
      <c r="DYN248" s="4"/>
      <c r="DYO248" s="4"/>
      <c r="DYP248" s="4"/>
      <c r="DYQ248" s="4"/>
      <c r="DYR248" s="4"/>
      <c r="DYS248" s="4"/>
      <c r="DYT248" s="4"/>
      <c r="DYU248" s="4"/>
      <c r="DYV248" s="4"/>
      <c r="DYW248" s="4"/>
      <c r="DYX248" s="4"/>
      <c r="DYY248" s="4"/>
      <c r="DYZ248" s="4"/>
      <c r="DZA248" s="4"/>
      <c r="DZB248" s="4"/>
      <c r="DZC248" s="4"/>
      <c r="DZD248" s="4"/>
      <c r="DZE248" s="4"/>
      <c r="DZF248" s="4"/>
      <c r="DZG248" s="4"/>
      <c r="DZH248" s="4"/>
      <c r="DZI248" s="4"/>
      <c r="DZJ248" s="4"/>
      <c r="DZK248" s="4"/>
      <c r="DZL248" s="4"/>
      <c r="DZM248" s="4"/>
      <c r="DZN248" s="4"/>
      <c r="DZO248" s="4"/>
      <c r="DZP248" s="4"/>
      <c r="DZQ248" s="4"/>
      <c r="DZR248" s="4"/>
      <c r="DZS248" s="4"/>
      <c r="DZT248" s="4"/>
      <c r="DZU248" s="4"/>
      <c r="DZV248" s="4"/>
      <c r="DZW248" s="4"/>
      <c r="DZX248" s="4"/>
      <c r="DZY248" s="4"/>
      <c r="DZZ248" s="4"/>
      <c r="EAA248" s="4"/>
      <c r="EAB248" s="4"/>
      <c r="EAC248" s="4"/>
      <c r="EAD248" s="4"/>
      <c r="EAE248" s="4"/>
      <c r="EAF248" s="4"/>
      <c r="EAG248" s="4"/>
      <c r="EAH248" s="4"/>
      <c r="EAI248" s="4"/>
      <c r="EAJ248" s="4"/>
      <c r="EAK248" s="4"/>
      <c r="EAL248" s="4"/>
      <c r="EAM248" s="4"/>
      <c r="EAN248" s="4"/>
      <c r="EAO248" s="4"/>
      <c r="EAP248" s="4"/>
      <c r="EAQ248" s="4"/>
      <c r="EAR248" s="4"/>
      <c r="EAS248" s="4"/>
      <c r="EAT248" s="4"/>
      <c r="EAU248" s="4"/>
      <c r="EAV248" s="4"/>
      <c r="EAW248" s="4"/>
      <c r="EAX248" s="4"/>
      <c r="EAY248" s="4"/>
      <c r="EAZ248" s="4"/>
      <c r="EBA248" s="4"/>
      <c r="EBB248" s="4"/>
      <c r="EBC248" s="4"/>
      <c r="EBD248" s="4"/>
      <c r="EBE248" s="4"/>
      <c r="EBF248" s="4"/>
      <c r="EBG248" s="4"/>
      <c r="EBH248" s="4"/>
      <c r="EBI248" s="4"/>
      <c r="EBJ248" s="4"/>
      <c r="EBK248" s="4"/>
      <c r="EBL248" s="4"/>
      <c r="EBM248" s="4"/>
      <c r="EBN248" s="4"/>
      <c r="EBO248" s="4"/>
      <c r="EBP248" s="4"/>
      <c r="EBQ248" s="4"/>
      <c r="EBR248" s="4"/>
      <c r="EBS248" s="4"/>
      <c r="EBT248" s="4"/>
      <c r="EBU248" s="4"/>
      <c r="EBV248" s="4"/>
      <c r="EBW248" s="4"/>
      <c r="EBX248" s="4"/>
      <c r="EBY248" s="4"/>
      <c r="EBZ248" s="4"/>
      <c r="ECA248" s="4"/>
      <c r="ECB248" s="4"/>
      <c r="ECC248" s="4"/>
      <c r="ECD248" s="4"/>
      <c r="ECE248" s="4"/>
      <c r="ECF248" s="4"/>
      <c r="ECG248" s="4"/>
      <c r="ECH248" s="4"/>
      <c r="ECI248" s="4"/>
      <c r="ECJ248" s="4"/>
      <c r="ECK248" s="4"/>
      <c r="ECL248" s="4"/>
      <c r="ECM248" s="4"/>
      <c r="ECN248" s="4"/>
      <c r="ECO248" s="4"/>
      <c r="ECP248" s="4"/>
      <c r="ECQ248" s="4"/>
      <c r="ECR248" s="4"/>
      <c r="ECS248" s="4"/>
      <c r="ECT248" s="4"/>
      <c r="ECU248" s="4"/>
      <c r="ECV248" s="4"/>
      <c r="ECW248" s="4"/>
      <c r="ECX248" s="4"/>
      <c r="ECY248" s="4"/>
      <c r="ECZ248" s="4"/>
      <c r="EDA248" s="4"/>
      <c r="EDB248" s="4"/>
      <c r="EDC248" s="4"/>
      <c r="EDD248" s="4"/>
      <c r="EDE248" s="4"/>
      <c r="EDF248" s="4"/>
      <c r="EDG248" s="4"/>
      <c r="EDH248" s="4"/>
      <c r="EDI248" s="4"/>
      <c r="EDJ248" s="4"/>
      <c r="EDK248" s="4"/>
      <c r="EDL248" s="4"/>
      <c r="EDM248" s="4"/>
      <c r="EDN248" s="4"/>
      <c r="EDO248" s="4"/>
      <c r="EDP248" s="4"/>
      <c r="EDQ248" s="4"/>
      <c r="EDR248" s="4"/>
      <c r="EDS248" s="4"/>
      <c r="EDT248" s="4"/>
      <c r="EDU248" s="4"/>
      <c r="EDV248" s="4"/>
      <c r="EDW248" s="4"/>
      <c r="EDX248" s="4"/>
      <c r="EDY248" s="4"/>
      <c r="EDZ248" s="4"/>
      <c r="EEA248" s="4"/>
      <c r="EEB248" s="4"/>
      <c r="EEC248" s="4"/>
      <c r="EED248" s="4"/>
      <c r="EEE248" s="4"/>
      <c r="EEF248" s="4"/>
      <c r="EEG248" s="4"/>
      <c r="EEH248" s="4"/>
      <c r="EEI248" s="4"/>
      <c r="EEJ248" s="4"/>
      <c r="EEK248" s="4"/>
      <c r="EEL248" s="4"/>
      <c r="EEM248" s="4"/>
      <c r="EEN248" s="4"/>
      <c r="EEO248" s="4"/>
      <c r="EEP248" s="4"/>
      <c r="EEQ248" s="4"/>
      <c r="EER248" s="4"/>
      <c r="EES248" s="4"/>
      <c r="EET248" s="4"/>
      <c r="EEU248" s="4"/>
      <c r="EEV248" s="4"/>
      <c r="EEW248" s="4"/>
      <c r="EEX248" s="4"/>
      <c r="EEY248" s="4"/>
      <c r="EEZ248" s="4"/>
      <c r="EFA248" s="4"/>
      <c r="EFB248" s="4"/>
      <c r="EFC248" s="4"/>
      <c r="EFD248" s="4"/>
      <c r="EFE248" s="4"/>
      <c r="EFF248" s="4"/>
      <c r="EFG248" s="4"/>
      <c r="EFH248" s="4"/>
      <c r="EFI248" s="4"/>
      <c r="EFJ248" s="4"/>
      <c r="EFK248" s="4"/>
      <c r="EFL248" s="4"/>
      <c r="EFM248" s="4"/>
      <c r="EFN248" s="4"/>
      <c r="EFO248" s="4"/>
      <c r="EFP248" s="4"/>
      <c r="EFQ248" s="4"/>
      <c r="EFR248" s="4"/>
      <c r="EFS248" s="4"/>
      <c r="EFT248" s="4"/>
      <c r="EFU248" s="4"/>
      <c r="EFV248" s="4"/>
      <c r="EFW248" s="4"/>
      <c r="EFX248" s="4"/>
      <c r="EFY248" s="4"/>
      <c r="EFZ248" s="4"/>
      <c r="EGA248" s="4"/>
      <c r="EGB248" s="4"/>
      <c r="EGC248" s="4"/>
      <c r="EGD248" s="4"/>
      <c r="EGE248" s="4"/>
      <c r="EGF248" s="4"/>
      <c r="EGG248" s="4"/>
      <c r="EGH248" s="4"/>
      <c r="EGI248" s="4"/>
      <c r="EGJ248" s="4"/>
      <c r="EGK248" s="4"/>
      <c r="EGL248" s="4"/>
      <c r="EGM248" s="4"/>
      <c r="EGN248" s="4"/>
      <c r="EGO248" s="4"/>
      <c r="EGP248" s="4"/>
      <c r="EGQ248" s="4"/>
      <c r="EGR248" s="4"/>
      <c r="EGS248" s="4"/>
      <c r="EGT248" s="4"/>
      <c r="EGU248" s="4"/>
      <c r="EGV248" s="4"/>
      <c r="EGW248" s="4"/>
      <c r="EGX248" s="4"/>
      <c r="EGY248" s="4"/>
      <c r="EGZ248" s="4"/>
      <c r="EHA248" s="4"/>
      <c r="EHB248" s="4"/>
      <c r="EHC248" s="4"/>
      <c r="EHD248" s="4"/>
      <c r="EHE248" s="4"/>
      <c r="EHF248" s="4"/>
      <c r="EHG248" s="4"/>
      <c r="EHH248" s="4"/>
      <c r="EHI248" s="4"/>
      <c r="EHJ248" s="4"/>
      <c r="EHK248" s="4"/>
      <c r="EHL248" s="4"/>
      <c r="EHM248" s="4"/>
      <c r="EHN248" s="4"/>
      <c r="EHO248" s="4"/>
      <c r="EHP248" s="4"/>
      <c r="EHQ248" s="4"/>
      <c r="EHR248" s="4"/>
      <c r="EHS248" s="4"/>
      <c r="EHT248" s="4"/>
      <c r="EHU248" s="4"/>
      <c r="EHV248" s="4"/>
      <c r="EHW248" s="4"/>
      <c r="EHX248" s="4"/>
      <c r="EHY248" s="4"/>
      <c r="EHZ248" s="4"/>
      <c r="EIA248" s="4"/>
      <c r="EIB248" s="4"/>
      <c r="EIC248" s="4"/>
      <c r="EID248" s="4"/>
      <c r="EIE248" s="4"/>
      <c r="EIF248" s="4"/>
      <c r="EIG248" s="4"/>
      <c r="EIH248" s="4"/>
      <c r="EII248" s="4"/>
      <c r="EIJ248" s="4"/>
      <c r="EIK248" s="4"/>
      <c r="EIL248" s="4"/>
      <c r="EIM248" s="4"/>
      <c r="EIN248" s="4"/>
      <c r="EIO248" s="4"/>
      <c r="EIP248" s="4"/>
      <c r="EIQ248" s="4"/>
      <c r="EIR248" s="4"/>
      <c r="EIS248" s="4"/>
      <c r="EIT248" s="4"/>
      <c r="EIU248" s="4"/>
      <c r="EIV248" s="4"/>
      <c r="EIW248" s="4"/>
      <c r="EIX248" s="4"/>
      <c r="EIY248" s="4"/>
      <c r="EIZ248" s="4"/>
      <c r="EJA248" s="4"/>
      <c r="EJB248" s="4"/>
      <c r="EJC248" s="4"/>
      <c r="EJD248" s="4"/>
      <c r="EJE248" s="4"/>
      <c r="EJF248" s="4"/>
      <c r="EJG248" s="4"/>
      <c r="EJH248" s="4"/>
      <c r="EJI248" s="4"/>
      <c r="EJJ248" s="4"/>
      <c r="EJK248" s="4"/>
      <c r="EJL248" s="4"/>
      <c r="EJM248" s="4"/>
      <c r="EJN248" s="4"/>
      <c r="EJO248" s="4"/>
      <c r="EJP248" s="4"/>
      <c r="EJQ248" s="4"/>
      <c r="EJR248" s="4"/>
      <c r="EJS248" s="4"/>
      <c r="EJT248" s="4"/>
      <c r="EJU248" s="4"/>
      <c r="EJV248" s="4"/>
      <c r="EJW248" s="4"/>
      <c r="EJX248" s="4"/>
      <c r="EJY248" s="4"/>
      <c r="EJZ248" s="4"/>
      <c r="EKA248" s="4"/>
      <c r="EKB248" s="4"/>
      <c r="EKC248" s="4"/>
      <c r="EKD248" s="4"/>
      <c r="EKE248" s="4"/>
      <c r="EKF248" s="4"/>
      <c r="EKG248" s="4"/>
      <c r="EKH248" s="4"/>
      <c r="EKI248" s="4"/>
      <c r="EKJ248" s="4"/>
      <c r="EKK248" s="4"/>
      <c r="EKL248" s="4"/>
      <c r="EKM248" s="4"/>
      <c r="EKN248" s="4"/>
      <c r="EKO248" s="4"/>
      <c r="EKP248" s="4"/>
      <c r="EKQ248" s="4"/>
      <c r="EKR248" s="4"/>
      <c r="EKS248" s="4"/>
      <c r="EKT248" s="4"/>
      <c r="EKU248" s="4"/>
      <c r="EKV248" s="4"/>
      <c r="EKW248" s="4"/>
      <c r="EKX248" s="4"/>
      <c r="EKY248" s="4"/>
      <c r="EKZ248" s="4"/>
      <c r="ELA248" s="4"/>
      <c r="ELB248" s="4"/>
      <c r="ELC248" s="4"/>
      <c r="ELD248" s="4"/>
      <c r="ELE248" s="4"/>
      <c r="ELF248" s="4"/>
      <c r="ELG248" s="4"/>
      <c r="ELH248" s="4"/>
      <c r="ELI248" s="4"/>
      <c r="ELJ248" s="4"/>
      <c r="ELK248" s="4"/>
      <c r="ELL248" s="4"/>
      <c r="ELM248" s="4"/>
      <c r="ELN248" s="4"/>
      <c r="ELO248" s="4"/>
      <c r="ELP248" s="4"/>
      <c r="ELQ248" s="4"/>
      <c r="ELR248" s="4"/>
      <c r="ELS248" s="4"/>
      <c r="ELT248" s="4"/>
      <c r="ELU248" s="4"/>
      <c r="ELV248" s="4"/>
      <c r="ELW248" s="4"/>
      <c r="ELX248" s="4"/>
      <c r="ELY248" s="4"/>
      <c r="ELZ248" s="4"/>
      <c r="EMA248" s="4"/>
      <c r="EMB248" s="4"/>
      <c r="EMC248" s="4"/>
      <c r="EMD248" s="4"/>
      <c r="EME248" s="4"/>
      <c r="EMF248" s="4"/>
      <c r="EMG248" s="4"/>
      <c r="EMH248" s="4"/>
      <c r="EMI248" s="4"/>
      <c r="EMJ248" s="4"/>
      <c r="EMK248" s="4"/>
      <c r="EML248" s="4"/>
      <c r="EMM248" s="4"/>
      <c r="EMN248" s="4"/>
      <c r="EMO248" s="4"/>
      <c r="EMP248" s="4"/>
      <c r="EMQ248" s="4"/>
      <c r="EMR248" s="4"/>
      <c r="EMS248" s="4"/>
      <c r="EMT248" s="4"/>
      <c r="EMU248" s="4"/>
      <c r="EMV248" s="4"/>
      <c r="EMW248" s="4"/>
      <c r="EMX248" s="4"/>
      <c r="EMY248" s="4"/>
      <c r="EMZ248" s="4"/>
      <c r="ENA248" s="4"/>
      <c r="ENB248" s="4"/>
      <c r="ENC248" s="4"/>
      <c r="END248" s="4"/>
      <c r="ENE248" s="4"/>
      <c r="ENF248" s="4"/>
      <c r="ENG248" s="4"/>
      <c r="ENH248" s="4"/>
      <c r="ENI248" s="4"/>
      <c r="ENJ248" s="4"/>
      <c r="ENK248" s="4"/>
      <c r="ENL248" s="4"/>
      <c r="ENM248" s="4"/>
      <c r="ENN248" s="4"/>
      <c r="ENO248" s="4"/>
      <c r="ENP248" s="4"/>
      <c r="ENQ248" s="4"/>
      <c r="ENR248" s="4"/>
      <c r="ENS248" s="4"/>
      <c r="ENT248" s="4"/>
      <c r="ENU248" s="4"/>
      <c r="ENV248" s="4"/>
      <c r="ENW248" s="4"/>
      <c r="ENX248" s="4"/>
      <c r="ENY248" s="4"/>
      <c r="ENZ248" s="4"/>
      <c r="EOA248" s="4"/>
      <c r="EOB248" s="4"/>
      <c r="EOC248" s="4"/>
      <c r="EOD248" s="4"/>
      <c r="EOE248" s="4"/>
      <c r="EOF248" s="4"/>
      <c r="EOG248" s="4"/>
      <c r="EOH248" s="4"/>
      <c r="EOI248" s="4"/>
      <c r="EOJ248" s="4"/>
      <c r="EOK248" s="4"/>
      <c r="EOL248" s="4"/>
      <c r="EOM248" s="4"/>
      <c r="EON248" s="4"/>
      <c r="EOO248" s="4"/>
      <c r="EOP248" s="4"/>
      <c r="EOQ248" s="4"/>
      <c r="EOR248" s="4"/>
      <c r="EOS248" s="4"/>
      <c r="EOT248" s="4"/>
      <c r="EOU248" s="4"/>
      <c r="EOV248" s="4"/>
      <c r="EOW248" s="4"/>
      <c r="EOX248" s="4"/>
      <c r="EOY248" s="4"/>
      <c r="EOZ248" s="4"/>
      <c r="EPA248" s="4"/>
      <c r="EPB248" s="4"/>
      <c r="EPC248" s="4"/>
      <c r="EPD248" s="4"/>
      <c r="EPE248" s="4"/>
      <c r="EPF248" s="4"/>
      <c r="EPG248" s="4"/>
      <c r="EPH248" s="4"/>
      <c r="EPI248" s="4"/>
      <c r="EPJ248" s="4"/>
      <c r="EPK248" s="4"/>
      <c r="EPL248" s="4"/>
      <c r="EPM248" s="4"/>
      <c r="EPN248" s="4"/>
      <c r="EPO248" s="4"/>
      <c r="EPP248" s="4"/>
      <c r="EPQ248" s="4"/>
      <c r="EPR248" s="4"/>
      <c r="EPS248" s="4"/>
      <c r="EPT248" s="4"/>
      <c r="EPU248" s="4"/>
      <c r="EPV248" s="4"/>
      <c r="EPW248" s="4"/>
      <c r="EPX248" s="4"/>
      <c r="EPY248" s="4"/>
      <c r="EPZ248" s="4"/>
      <c r="EQA248" s="4"/>
      <c r="EQB248" s="4"/>
      <c r="EQC248" s="4"/>
      <c r="EQD248" s="4"/>
      <c r="EQE248" s="4"/>
      <c r="EQF248" s="4"/>
      <c r="EQG248" s="4"/>
      <c r="EQH248" s="4"/>
      <c r="EQI248" s="4"/>
      <c r="EQJ248" s="4"/>
      <c r="EQK248" s="4"/>
      <c r="EQL248" s="4"/>
      <c r="EQM248" s="4"/>
      <c r="EQN248" s="4"/>
      <c r="EQO248" s="4"/>
      <c r="EQP248" s="4"/>
      <c r="EQQ248" s="4"/>
      <c r="EQR248" s="4"/>
      <c r="EQS248" s="4"/>
      <c r="EQT248" s="4"/>
      <c r="EQU248" s="4"/>
      <c r="EQV248" s="4"/>
      <c r="EQW248" s="4"/>
      <c r="EQX248" s="4"/>
      <c r="EQY248" s="4"/>
      <c r="EQZ248" s="4"/>
      <c r="ERA248" s="4"/>
      <c r="ERB248" s="4"/>
      <c r="ERC248" s="4"/>
      <c r="ERD248" s="4"/>
      <c r="ERE248" s="4"/>
      <c r="ERF248" s="4"/>
      <c r="ERG248" s="4"/>
      <c r="ERH248" s="4"/>
      <c r="ERI248" s="4"/>
      <c r="ERJ248" s="4"/>
      <c r="ERK248" s="4"/>
      <c r="ERL248" s="4"/>
      <c r="ERM248" s="4"/>
      <c r="ERN248" s="4"/>
      <c r="ERO248" s="4"/>
      <c r="ERP248" s="4"/>
      <c r="ERQ248" s="4"/>
      <c r="ERR248" s="4"/>
      <c r="ERS248" s="4"/>
      <c r="ERT248" s="4"/>
      <c r="ERU248" s="4"/>
      <c r="ERV248" s="4"/>
      <c r="ERW248" s="4"/>
      <c r="ERX248" s="4"/>
      <c r="ERY248" s="4"/>
      <c r="ERZ248" s="4"/>
      <c r="ESA248" s="4"/>
      <c r="ESB248" s="4"/>
      <c r="ESC248" s="4"/>
      <c r="ESD248" s="4"/>
      <c r="ESE248" s="4"/>
      <c r="ESF248" s="4"/>
      <c r="ESG248" s="4"/>
      <c r="ESH248" s="4"/>
      <c r="ESI248" s="4"/>
      <c r="ESJ248" s="4"/>
      <c r="ESK248" s="4"/>
      <c r="ESL248" s="4"/>
      <c r="ESM248" s="4"/>
      <c r="ESN248" s="4"/>
      <c r="ESO248" s="4"/>
      <c r="ESP248" s="4"/>
      <c r="ESQ248" s="4"/>
      <c r="ESR248" s="4"/>
      <c r="ESS248" s="4"/>
      <c r="EST248" s="4"/>
      <c r="ESU248" s="4"/>
      <c r="ESV248" s="4"/>
      <c r="ESW248" s="4"/>
      <c r="ESX248" s="4"/>
      <c r="ESY248" s="4"/>
      <c r="ESZ248" s="4"/>
      <c r="ETA248" s="4"/>
      <c r="ETB248" s="4"/>
      <c r="ETC248" s="4"/>
      <c r="ETD248" s="4"/>
      <c r="ETE248" s="4"/>
      <c r="ETF248" s="4"/>
      <c r="ETG248" s="4"/>
      <c r="ETH248" s="4"/>
      <c r="ETI248" s="4"/>
      <c r="ETJ248" s="4"/>
      <c r="ETK248" s="4"/>
      <c r="ETL248" s="4"/>
      <c r="ETM248" s="4"/>
      <c r="ETN248" s="4"/>
      <c r="ETO248" s="4"/>
      <c r="ETP248" s="4"/>
      <c r="ETQ248" s="4"/>
      <c r="ETR248" s="4"/>
      <c r="ETS248" s="4"/>
      <c r="ETT248" s="4"/>
      <c r="ETU248" s="4"/>
      <c r="ETV248" s="4"/>
      <c r="ETW248" s="4"/>
      <c r="ETX248" s="4"/>
      <c r="ETY248" s="4"/>
      <c r="ETZ248" s="4"/>
      <c r="EUA248" s="4"/>
      <c r="EUB248" s="4"/>
      <c r="EUC248" s="4"/>
      <c r="EUD248" s="4"/>
      <c r="EUE248" s="4"/>
      <c r="EUF248" s="4"/>
      <c r="EUG248" s="4"/>
      <c r="EUH248" s="4"/>
      <c r="EUI248" s="4"/>
      <c r="EUJ248" s="4"/>
      <c r="EUK248" s="4"/>
      <c r="EUL248" s="4"/>
      <c r="EUM248" s="4"/>
      <c r="EUN248" s="4"/>
      <c r="EUO248" s="4"/>
      <c r="EUP248" s="4"/>
      <c r="EUQ248" s="4"/>
      <c r="EUR248" s="4"/>
      <c r="EUS248" s="4"/>
      <c r="EUT248" s="4"/>
      <c r="EUU248" s="4"/>
      <c r="EUV248" s="4"/>
      <c r="EUW248" s="4"/>
      <c r="EUX248" s="4"/>
      <c r="EUY248" s="4"/>
      <c r="EUZ248" s="4"/>
      <c r="EVA248" s="4"/>
      <c r="EVB248" s="4"/>
      <c r="EVC248" s="4"/>
      <c r="EVD248" s="4"/>
      <c r="EVE248" s="4"/>
      <c r="EVF248" s="4"/>
      <c r="EVG248" s="4"/>
      <c r="EVH248" s="4"/>
      <c r="EVI248" s="4"/>
      <c r="EVJ248" s="4"/>
      <c r="EVK248" s="4"/>
      <c r="EVL248" s="4"/>
      <c r="EVM248" s="4"/>
      <c r="EVN248" s="4"/>
      <c r="EVO248" s="4"/>
      <c r="EVP248" s="4"/>
      <c r="EVQ248" s="4"/>
      <c r="EVR248" s="4"/>
      <c r="EVS248" s="4"/>
      <c r="EVT248" s="4"/>
      <c r="EVU248" s="4"/>
      <c r="EVV248" s="4"/>
      <c r="EVW248" s="4"/>
      <c r="EVX248" s="4"/>
      <c r="EVY248" s="4"/>
      <c r="EVZ248" s="4"/>
      <c r="EWA248" s="4"/>
      <c r="EWB248" s="4"/>
      <c r="EWC248" s="4"/>
      <c r="EWD248" s="4"/>
      <c r="EWE248" s="4"/>
      <c r="EWF248" s="4"/>
      <c r="EWG248" s="4"/>
      <c r="EWH248" s="4"/>
      <c r="EWI248" s="4"/>
      <c r="EWJ248" s="4"/>
      <c r="EWK248" s="4"/>
      <c r="EWL248" s="4"/>
      <c r="EWM248" s="4"/>
      <c r="EWN248" s="4"/>
      <c r="EWO248" s="4"/>
      <c r="EWP248" s="4"/>
      <c r="EWQ248" s="4"/>
      <c r="EWR248" s="4"/>
      <c r="EWS248" s="4"/>
      <c r="EWT248" s="4"/>
      <c r="EWU248" s="4"/>
      <c r="EWV248" s="4"/>
      <c r="EWW248" s="4"/>
      <c r="EWX248" s="4"/>
      <c r="EWY248" s="4"/>
      <c r="EWZ248" s="4"/>
      <c r="EXA248" s="4"/>
      <c r="EXB248" s="4"/>
      <c r="EXC248" s="4"/>
      <c r="EXD248" s="4"/>
      <c r="EXE248" s="4"/>
      <c r="EXF248" s="4"/>
      <c r="EXG248" s="4"/>
      <c r="EXH248" s="4"/>
      <c r="EXI248" s="4"/>
      <c r="EXJ248" s="4"/>
      <c r="EXK248" s="4"/>
      <c r="EXL248" s="4"/>
      <c r="EXM248" s="4"/>
      <c r="EXN248" s="4"/>
      <c r="EXO248" s="4"/>
      <c r="EXP248" s="4"/>
      <c r="EXQ248" s="4"/>
      <c r="EXR248" s="4"/>
      <c r="EXS248" s="4"/>
      <c r="EXT248" s="4"/>
      <c r="EXU248" s="4"/>
      <c r="EXV248" s="4"/>
      <c r="EXW248" s="4"/>
      <c r="EXX248" s="4"/>
      <c r="EXY248" s="4"/>
      <c r="EXZ248" s="4"/>
      <c r="EYA248" s="4"/>
      <c r="EYB248" s="4"/>
      <c r="EYC248" s="4"/>
      <c r="EYD248" s="4"/>
      <c r="EYE248" s="4"/>
      <c r="EYF248" s="4"/>
      <c r="EYG248" s="4"/>
      <c r="EYH248" s="4"/>
      <c r="EYI248" s="4"/>
      <c r="EYJ248" s="4"/>
      <c r="EYK248" s="4"/>
      <c r="EYL248" s="4"/>
      <c r="EYM248" s="4"/>
      <c r="EYN248" s="4"/>
      <c r="EYO248" s="4"/>
      <c r="EYP248" s="4"/>
      <c r="EYQ248" s="4"/>
      <c r="EYR248" s="4"/>
      <c r="EYS248" s="4"/>
      <c r="EYT248" s="4"/>
      <c r="EYU248" s="4"/>
      <c r="EYV248" s="4"/>
      <c r="EYW248" s="4"/>
      <c r="EYX248" s="4"/>
      <c r="EYY248" s="4"/>
      <c r="EYZ248" s="4"/>
      <c r="EZA248" s="4"/>
      <c r="EZB248" s="4"/>
      <c r="EZC248" s="4"/>
      <c r="EZD248" s="4"/>
      <c r="EZE248" s="4"/>
      <c r="EZF248" s="4"/>
      <c r="EZG248" s="4"/>
      <c r="EZH248" s="4"/>
      <c r="EZI248" s="4"/>
      <c r="EZJ248" s="4"/>
      <c r="EZK248" s="4"/>
      <c r="EZL248" s="4"/>
      <c r="EZM248" s="4"/>
      <c r="EZN248" s="4"/>
      <c r="EZO248" s="4"/>
      <c r="EZP248" s="4"/>
      <c r="EZQ248" s="4"/>
      <c r="EZR248" s="4"/>
      <c r="EZS248" s="4"/>
      <c r="EZT248" s="4"/>
      <c r="EZU248" s="4"/>
      <c r="EZV248" s="4"/>
      <c r="EZW248" s="4"/>
      <c r="EZX248" s="4"/>
      <c r="EZY248" s="4"/>
      <c r="EZZ248" s="4"/>
      <c r="FAA248" s="4"/>
      <c r="FAB248" s="4"/>
      <c r="FAC248" s="4"/>
      <c r="FAD248" s="4"/>
      <c r="FAE248" s="4"/>
      <c r="FAF248" s="4"/>
      <c r="FAG248" s="4"/>
      <c r="FAH248" s="4"/>
      <c r="FAI248" s="4"/>
      <c r="FAJ248" s="4"/>
      <c r="FAK248" s="4"/>
      <c r="FAL248" s="4"/>
      <c r="FAM248" s="4"/>
      <c r="FAN248" s="4"/>
      <c r="FAO248" s="4"/>
      <c r="FAP248" s="4"/>
      <c r="FAQ248" s="4"/>
      <c r="FAR248" s="4"/>
      <c r="FAS248" s="4"/>
      <c r="FAT248" s="4"/>
      <c r="FAU248" s="4"/>
      <c r="FAV248" s="4"/>
      <c r="FAW248" s="4"/>
      <c r="FAX248" s="4"/>
      <c r="FAY248" s="4"/>
      <c r="FAZ248" s="4"/>
      <c r="FBA248" s="4"/>
      <c r="FBB248" s="4"/>
      <c r="FBC248" s="4"/>
      <c r="FBD248" s="4"/>
      <c r="FBE248" s="4"/>
      <c r="FBF248" s="4"/>
      <c r="FBG248" s="4"/>
      <c r="FBH248" s="4"/>
      <c r="FBI248" s="4"/>
      <c r="FBJ248" s="4"/>
      <c r="FBK248" s="4"/>
      <c r="FBL248" s="4"/>
      <c r="FBM248" s="4"/>
      <c r="FBN248" s="4"/>
      <c r="FBO248" s="4"/>
      <c r="FBP248" s="4"/>
      <c r="FBQ248" s="4"/>
      <c r="FBR248" s="4"/>
      <c r="FBS248" s="4"/>
      <c r="FBT248" s="4"/>
      <c r="FBU248" s="4"/>
      <c r="FBV248" s="4"/>
      <c r="FBW248" s="4"/>
      <c r="FBX248" s="4"/>
      <c r="FBY248" s="4"/>
      <c r="FBZ248" s="4"/>
      <c r="FCA248" s="4"/>
      <c r="FCB248" s="4"/>
      <c r="FCC248" s="4"/>
      <c r="FCD248" s="4"/>
      <c r="FCE248" s="4"/>
      <c r="FCF248" s="4"/>
      <c r="FCG248" s="4"/>
      <c r="FCH248" s="4"/>
      <c r="FCI248" s="4"/>
      <c r="FCJ248" s="4"/>
      <c r="FCK248" s="4"/>
      <c r="FCL248" s="4"/>
      <c r="FCM248" s="4"/>
      <c r="FCN248" s="4"/>
      <c r="FCO248" s="4"/>
      <c r="FCP248" s="4"/>
      <c r="FCQ248" s="4"/>
      <c r="FCR248" s="4"/>
      <c r="FCS248" s="4"/>
      <c r="FCT248" s="4"/>
      <c r="FCU248" s="4"/>
      <c r="FCV248" s="4"/>
      <c r="FCW248" s="4"/>
      <c r="FCX248" s="4"/>
      <c r="FCY248" s="4"/>
      <c r="FCZ248" s="4"/>
      <c r="FDA248" s="4"/>
      <c r="FDB248" s="4"/>
      <c r="FDC248" s="4"/>
      <c r="FDD248" s="4"/>
      <c r="FDE248" s="4"/>
      <c r="FDF248" s="4"/>
      <c r="FDG248" s="4"/>
      <c r="FDH248" s="4"/>
      <c r="FDI248" s="4"/>
      <c r="FDJ248" s="4"/>
      <c r="FDK248" s="4"/>
      <c r="FDL248" s="4"/>
      <c r="FDM248" s="4"/>
      <c r="FDN248" s="4"/>
      <c r="FDO248" s="4"/>
      <c r="FDP248" s="4"/>
      <c r="FDQ248" s="4"/>
      <c r="FDR248" s="4"/>
      <c r="FDS248" s="4"/>
      <c r="FDT248" s="4"/>
      <c r="FDU248" s="4"/>
      <c r="FDV248" s="4"/>
      <c r="FDW248" s="4"/>
      <c r="FDX248" s="4"/>
      <c r="FDY248" s="4"/>
      <c r="FDZ248" s="4"/>
      <c r="FEA248" s="4"/>
      <c r="FEB248" s="4"/>
      <c r="FEC248" s="4"/>
      <c r="FED248" s="4"/>
      <c r="FEE248" s="4"/>
      <c r="FEF248" s="4"/>
      <c r="FEG248" s="4"/>
      <c r="FEH248" s="4"/>
      <c r="FEI248" s="4"/>
      <c r="FEJ248" s="4"/>
      <c r="FEK248" s="4"/>
      <c r="FEL248" s="4"/>
      <c r="FEM248" s="4"/>
      <c r="FEN248" s="4"/>
      <c r="FEO248" s="4"/>
      <c r="FEP248" s="4"/>
      <c r="FEQ248" s="4"/>
      <c r="FER248" s="4"/>
      <c r="FES248" s="4"/>
      <c r="FET248" s="4"/>
      <c r="FEU248" s="4"/>
      <c r="FEV248" s="4"/>
      <c r="FEW248" s="4"/>
      <c r="FEX248" s="4"/>
      <c r="FEY248" s="4"/>
      <c r="FEZ248" s="4"/>
      <c r="FFA248" s="4"/>
      <c r="FFB248" s="4"/>
      <c r="FFC248" s="4"/>
      <c r="FFD248" s="4"/>
      <c r="FFE248" s="4"/>
      <c r="FFF248" s="4"/>
      <c r="FFG248" s="4"/>
      <c r="FFH248" s="4"/>
      <c r="FFI248" s="4"/>
      <c r="FFJ248" s="4"/>
      <c r="FFK248" s="4"/>
      <c r="FFL248" s="4"/>
      <c r="FFM248" s="4"/>
      <c r="FFN248" s="4"/>
      <c r="FFO248" s="4"/>
      <c r="FFP248" s="4"/>
      <c r="FFQ248" s="4"/>
      <c r="FFR248" s="4"/>
      <c r="FFS248" s="4"/>
      <c r="FFT248" s="4"/>
      <c r="FFU248" s="4"/>
      <c r="FFV248" s="4"/>
      <c r="FFW248" s="4"/>
      <c r="FFX248" s="4"/>
      <c r="FFY248" s="4"/>
      <c r="FFZ248" s="4"/>
      <c r="FGA248" s="4"/>
      <c r="FGB248" s="4"/>
      <c r="FGC248" s="4"/>
      <c r="FGD248" s="4"/>
      <c r="FGE248" s="4"/>
      <c r="FGF248" s="4"/>
      <c r="FGG248" s="4"/>
      <c r="FGH248" s="4"/>
      <c r="FGI248" s="4"/>
      <c r="FGJ248" s="4"/>
      <c r="FGK248" s="4"/>
      <c r="FGL248" s="4"/>
      <c r="FGM248" s="4"/>
      <c r="FGN248" s="4"/>
      <c r="FGO248" s="4"/>
      <c r="FGP248" s="4"/>
      <c r="FGQ248" s="4"/>
      <c r="FGR248" s="4"/>
      <c r="FGS248" s="4"/>
      <c r="FGT248" s="4"/>
      <c r="FGU248" s="4"/>
      <c r="FGV248" s="4"/>
      <c r="FGW248" s="4"/>
      <c r="FGX248" s="4"/>
      <c r="FGY248" s="4"/>
      <c r="FGZ248" s="4"/>
      <c r="FHA248" s="4"/>
      <c r="FHB248" s="4"/>
      <c r="FHC248" s="4"/>
      <c r="FHD248" s="4"/>
      <c r="FHE248" s="4"/>
      <c r="FHF248" s="4"/>
      <c r="FHG248" s="4"/>
      <c r="FHH248" s="4"/>
      <c r="FHI248" s="4"/>
      <c r="FHJ248" s="4"/>
      <c r="FHK248" s="4"/>
      <c r="FHL248" s="4"/>
      <c r="FHM248" s="4"/>
      <c r="FHN248" s="4"/>
      <c r="FHO248" s="4"/>
      <c r="FHP248" s="4"/>
      <c r="FHQ248" s="4"/>
      <c r="FHR248" s="4"/>
      <c r="FHS248" s="4"/>
      <c r="FHT248" s="4"/>
      <c r="FHU248" s="4"/>
      <c r="FHV248" s="4"/>
      <c r="FHW248" s="4"/>
      <c r="FHX248" s="4"/>
      <c r="FHY248" s="4"/>
      <c r="FHZ248" s="4"/>
      <c r="FIA248" s="4"/>
      <c r="FIB248" s="4"/>
      <c r="FIC248" s="4"/>
      <c r="FID248" s="4"/>
      <c r="FIE248" s="4"/>
      <c r="FIF248" s="4"/>
      <c r="FIG248" s="4"/>
      <c r="FIH248" s="4"/>
      <c r="FII248" s="4"/>
      <c r="FIJ248" s="4"/>
      <c r="FIK248" s="4"/>
      <c r="FIL248" s="4"/>
      <c r="FIM248" s="4"/>
      <c r="FIN248" s="4"/>
      <c r="FIO248" s="4"/>
      <c r="FIP248" s="4"/>
      <c r="FIQ248" s="4"/>
      <c r="FIR248" s="4"/>
      <c r="FIS248" s="4"/>
      <c r="FIT248" s="4"/>
      <c r="FIU248" s="4"/>
      <c r="FIV248" s="4"/>
      <c r="FIW248" s="4"/>
      <c r="FIX248" s="4"/>
      <c r="FIY248" s="4"/>
      <c r="FIZ248" s="4"/>
      <c r="FJA248" s="4"/>
      <c r="FJB248" s="4"/>
      <c r="FJC248" s="4"/>
      <c r="FJD248" s="4"/>
      <c r="FJE248" s="4"/>
      <c r="FJF248" s="4"/>
      <c r="FJG248" s="4"/>
      <c r="FJH248" s="4"/>
      <c r="FJI248" s="4"/>
      <c r="FJJ248" s="4"/>
      <c r="FJK248" s="4"/>
      <c r="FJL248" s="4"/>
      <c r="FJM248" s="4"/>
      <c r="FJN248" s="4"/>
      <c r="FJO248" s="4"/>
      <c r="FJP248" s="4"/>
      <c r="FJQ248" s="4"/>
      <c r="FJR248" s="4"/>
      <c r="FJS248" s="4"/>
      <c r="FJT248" s="4"/>
      <c r="FJU248" s="4"/>
      <c r="FJV248" s="4"/>
      <c r="FJW248" s="4"/>
      <c r="FJX248" s="4"/>
      <c r="FJY248" s="4"/>
      <c r="FJZ248" s="4"/>
      <c r="FKA248" s="4"/>
      <c r="FKB248" s="4"/>
      <c r="FKC248" s="4"/>
      <c r="FKD248" s="4"/>
      <c r="FKE248" s="4"/>
      <c r="FKF248" s="4"/>
      <c r="FKG248" s="4"/>
      <c r="FKH248" s="4"/>
      <c r="FKI248" s="4"/>
      <c r="FKJ248" s="4"/>
      <c r="FKK248" s="4"/>
      <c r="FKL248" s="4"/>
      <c r="FKM248" s="4"/>
      <c r="FKN248" s="4"/>
      <c r="FKO248" s="4"/>
      <c r="FKP248" s="4"/>
      <c r="FKQ248" s="4"/>
      <c r="FKR248" s="4"/>
      <c r="FKS248" s="4"/>
      <c r="FKT248" s="4"/>
      <c r="FKU248" s="4"/>
      <c r="FKV248" s="4"/>
      <c r="FKW248" s="4"/>
      <c r="FKX248" s="4"/>
      <c r="FKY248" s="4"/>
      <c r="FKZ248" s="4"/>
      <c r="FLA248" s="4"/>
      <c r="FLB248" s="4"/>
      <c r="FLC248" s="4"/>
      <c r="FLD248" s="4"/>
      <c r="FLE248" s="4"/>
      <c r="FLF248" s="4"/>
      <c r="FLG248" s="4"/>
      <c r="FLH248" s="4"/>
      <c r="FLI248" s="4"/>
      <c r="FLJ248" s="4"/>
      <c r="FLK248" s="4"/>
      <c r="FLL248" s="4"/>
      <c r="FLM248" s="4"/>
      <c r="FLN248" s="4"/>
      <c r="FLO248" s="4"/>
      <c r="FLP248" s="4"/>
      <c r="FLQ248" s="4"/>
      <c r="FLR248" s="4"/>
      <c r="FLS248" s="4"/>
      <c r="FLT248" s="4"/>
      <c r="FLU248" s="4"/>
      <c r="FLV248" s="4"/>
      <c r="FLW248" s="4"/>
      <c r="FLX248" s="4"/>
      <c r="FLY248" s="4"/>
      <c r="FLZ248" s="4"/>
      <c r="FMA248" s="4"/>
      <c r="FMB248" s="4"/>
      <c r="FMC248" s="4"/>
      <c r="FMD248" s="4"/>
      <c r="FME248" s="4"/>
      <c r="FMF248" s="4"/>
      <c r="FMG248" s="4"/>
      <c r="FMH248" s="4"/>
      <c r="FMI248" s="4"/>
      <c r="FMJ248" s="4"/>
      <c r="FMK248" s="4"/>
      <c r="FML248" s="4"/>
      <c r="FMM248" s="4"/>
      <c r="FMN248" s="4"/>
      <c r="FMO248" s="4"/>
      <c r="FMP248" s="4"/>
      <c r="FMQ248" s="4"/>
      <c r="FMR248" s="4"/>
      <c r="FMS248" s="4"/>
      <c r="FMT248" s="4"/>
      <c r="FMU248" s="4"/>
      <c r="FMV248" s="4"/>
      <c r="FMW248" s="4"/>
      <c r="FMX248" s="4"/>
      <c r="FMY248" s="4"/>
      <c r="FMZ248" s="4"/>
      <c r="FNA248" s="4"/>
      <c r="FNB248" s="4"/>
      <c r="FNC248" s="4"/>
      <c r="FND248" s="4"/>
      <c r="FNE248" s="4"/>
      <c r="FNF248" s="4"/>
      <c r="FNG248" s="4"/>
      <c r="FNH248" s="4"/>
      <c r="FNI248" s="4"/>
      <c r="FNJ248" s="4"/>
      <c r="FNK248" s="4"/>
      <c r="FNL248" s="4"/>
      <c r="FNM248" s="4"/>
      <c r="FNN248" s="4"/>
      <c r="FNO248" s="4"/>
      <c r="FNP248" s="4"/>
      <c r="FNQ248" s="4"/>
      <c r="FNR248" s="4"/>
      <c r="FNS248" s="4"/>
      <c r="FNT248" s="4"/>
      <c r="FNU248" s="4"/>
      <c r="FNV248" s="4"/>
      <c r="FNW248" s="4"/>
      <c r="FNX248" s="4"/>
      <c r="FNY248" s="4"/>
      <c r="FNZ248" s="4"/>
      <c r="FOA248" s="4"/>
      <c r="FOB248" s="4"/>
      <c r="FOC248" s="4"/>
      <c r="FOD248" s="4"/>
      <c r="FOE248" s="4"/>
      <c r="FOF248" s="4"/>
      <c r="FOG248" s="4"/>
      <c r="FOH248" s="4"/>
      <c r="FOI248" s="4"/>
      <c r="FOJ248" s="4"/>
      <c r="FOK248" s="4"/>
      <c r="FOL248" s="4"/>
      <c r="FOM248" s="4"/>
      <c r="FON248" s="4"/>
      <c r="FOO248" s="4"/>
      <c r="FOP248" s="4"/>
      <c r="FOQ248" s="4"/>
      <c r="FOR248" s="4"/>
      <c r="FOS248" s="4"/>
      <c r="FOT248" s="4"/>
      <c r="FOU248" s="4"/>
      <c r="FOV248" s="4"/>
      <c r="FOW248" s="4"/>
      <c r="FOX248" s="4"/>
      <c r="FOY248" s="4"/>
      <c r="FOZ248" s="4"/>
      <c r="FPA248" s="4"/>
      <c r="FPB248" s="4"/>
      <c r="FPC248" s="4"/>
      <c r="FPD248" s="4"/>
      <c r="FPE248" s="4"/>
      <c r="FPF248" s="4"/>
      <c r="FPG248" s="4"/>
      <c r="FPH248" s="4"/>
      <c r="FPI248" s="4"/>
      <c r="FPJ248" s="4"/>
      <c r="FPK248" s="4"/>
      <c r="FPL248" s="4"/>
      <c r="FPM248" s="4"/>
      <c r="FPN248" s="4"/>
      <c r="FPO248" s="4"/>
      <c r="FPP248" s="4"/>
      <c r="FPQ248" s="4"/>
      <c r="FPR248" s="4"/>
      <c r="FPS248" s="4"/>
      <c r="FPT248" s="4"/>
      <c r="FPU248" s="4"/>
      <c r="FPV248" s="4"/>
      <c r="FPW248" s="4"/>
      <c r="FPX248" s="4"/>
      <c r="FPY248" s="4"/>
      <c r="FPZ248" s="4"/>
      <c r="FQA248" s="4"/>
      <c r="FQB248" s="4"/>
      <c r="FQC248" s="4"/>
      <c r="FQD248" s="4"/>
      <c r="FQE248" s="4"/>
      <c r="FQF248" s="4"/>
      <c r="FQG248" s="4"/>
      <c r="FQH248" s="4"/>
      <c r="FQI248" s="4"/>
      <c r="FQJ248" s="4"/>
      <c r="FQK248" s="4"/>
      <c r="FQL248" s="4"/>
      <c r="FQM248" s="4"/>
      <c r="FQN248" s="4"/>
      <c r="FQO248" s="4"/>
      <c r="FQP248" s="4"/>
      <c r="FQQ248" s="4"/>
      <c r="FQR248" s="4"/>
      <c r="FQS248" s="4"/>
      <c r="FQT248" s="4"/>
      <c r="FQU248" s="4"/>
      <c r="FQV248" s="4"/>
      <c r="FQW248" s="4"/>
      <c r="FQX248" s="4"/>
      <c r="FQY248" s="4"/>
      <c r="FQZ248" s="4"/>
      <c r="FRA248" s="4"/>
      <c r="FRB248" s="4"/>
      <c r="FRC248" s="4"/>
      <c r="FRD248" s="4"/>
      <c r="FRE248" s="4"/>
      <c r="FRF248" s="4"/>
      <c r="FRG248" s="4"/>
      <c r="FRH248" s="4"/>
      <c r="FRI248" s="4"/>
      <c r="FRJ248" s="4"/>
      <c r="FRK248" s="4"/>
      <c r="FRL248" s="4"/>
      <c r="FRM248" s="4"/>
      <c r="FRN248" s="4"/>
      <c r="FRO248" s="4"/>
      <c r="FRP248" s="4"/>
      <c r="FRQ248" s="4"/>
      <c r="FRR248" s="4"/>
      <c r="FRS248" s="4"/>
      <c r="FRT248" s="4"/>
      <c r="FRU248" s="4"/>
      <c r="FRV248" s="4"/>
      <c r="FRW248" s="4"/>
      <c r="FRX248" s="4"/>
      <c r="FRY248" s="4"/>
      <c r="FRZ248" s="4"/>
      <c r="FSA248" s="4"/>
      <c r="FSB248" s="4"/>
      <c r="FSC248" s="4"/>
      <c r="FSD248" s="4"/>
      <c r="FSE248" s="4"/>
      <c r="FSF248" s="4"/>
      <c r="FSG248" s="4"/>
      <c r="FSH248" s="4"/>
      <c r="FSI248" s="4"/>
      <c r="FSJ248" s="4"/>
      <c r="FSK248" s="4"/>
      <c r="FSL248" s="4"/>
      <c r="FSM248" s="4"/>
      <c r="FSN248" s="4"/>
      <c r="FSO248" s="4"/>
      <c r="FSP248" s="4"/>
      <c r="FSQ248" s="4"/>
      <c r="FSR248" s="4"/>
      <c r="FSS248" s="4"/>
      <c r="FST248" s="4"/>
      <c r="FSU248" s="4"/>
      <c r="FSV248" s="4"/>
      <c r="FSW248" s="4"/>
      <c r="FSX248" s="4"/>
      <c r="FSY248" s="4"/>
      <c r="FSZ248" s="4"/>
      <c r="FTA248" s="4"/>
      <c r="FTB248" s="4"/>
      <c r="FTC248" s="4"/>
      <c r="FTD248" s="4"/>
      <c r="FTE248" s="4"/>
      <c r="FTF248" s="4"/>
      <c r="FTG248" s="4"/>
      <c r="FTH248" s="4"/>
      <c r="FTI248" s="4"/>
      <c r="FTJ248" s="4"/>
      <c r="FTK248" s="4"/>
      <c r="FTL248" s="4"/>
      <c r="FTM248" s="4"/>
      <c r="FTN248" s="4"/>
      <c r="FTO248" s="4"/>
      <c r="FTP248" s="4"/>
      <c r="FTQ248" s="4"/>
      <c r="FTR248" s="4"/>
      <c r="FTS248" s="4"/>
      <c r="FTT248" s="4"/>
      <c r="FTU248" s="4"/>
      <c r="FTV248" s="4"/>
      <c r="FTW248" s="4"/>
      <c r="FTX248" s="4"/>
      <c r="FTY248" s="4"/>
      <c r="FTZ248" s="4"/>
      <c r="FUA248" s="4"/>
      <c r="FUB248" s="4"/>
      <c r="FUC248" s="4"/>
      <c r="FUD248" s="4"/>
      <c r="FUE248" s="4"/>
      <c r="FUF248" s="4"/>
      <c r="FUG248" s="4"/>
      <c r="FUH248" s="4"/>
      <c r="FUI248" s="4"/>
      <c r="FUJ248" s="4"/>
      <c r="FUK248" s="4"/>
      <c r="FUL248" s="4"/>
      <c r="FUM248" s="4"/>
      <c r="FUN248" s="4"/>
      <c r="FUO248" s="4"/>
      <c r="FUP248" s="4"/>
      <c r="FUQ248" s="4"/>
      <c r="FUR248" s="4"/>
      <c r="FUS248" s="4"/>
      <c r="FUT248" s="4"/>
      <c r="FUU248" s="4"/>
      <c r="FUV248" s="4"/>
      <c r="FUW248" s="4"/>
      <c r="FUX248" s="4"/>
      <c r="FUY248" s="4"/>
      <c r="FUZ248" s="4"/>
      <c r="FVA248" s="4"/>
      <c r="FVB248" s="4"/>
      <c r="FVC248" s="4"/>
      <c r="FVD248" s="4"/>
      <c r="FVE248" s="4"/>
      <c r="FVF248" s="4"/>
      <c r="FVG248" s="4"/>
      <c r="FVH248" s="4"/>
      <c r="FVI248" s="4"/>
      <c r="FVJ248" s="4"/>
      <c r="FVK248" s="4"/>
      <c r="FVL248" s="4"/>
      <c r="FVM248" s="4"/>
      <c r="FVN248" s="4"/>
      <c r="FVO248" s="4"/>
      <c r="FVP248" s="4"/>
      <c r="FVQ248" s="4"/>
      <c r="FVR248" s="4"/>
      <c r="FVS248" s="4"/>
      <c r="FVT248" s="4"/>
      <c r="FVU248" s="4"/>
      <c r="FVV248" s="4"/>
      <c r="FVW248" s="4"/>
      <c r="FVX248" s="4"/>
      <c r="FVY248" s="4"/>
      <c r="FVZ248" s="4"/>
      <c r="FWA248" s="4"/>
      <c r="FWB248" s="4"/>
      <c r="FWC248" s="4"/>
      <c r="FWD248" s="4"/>
      <c r="FWE248" s="4"/>
      <c r="FWF248" s="4"/>
      <c r="FWG248" s="4"/>
      <c r="FWH248" s="4"/>
      <c r="FWI248" s="4"/>
      <c r="FWJ248" s="4"/>
      <c r="FWK248" s="4"/>
      <c r="FWL248" s="4"/>
      <c r="FWM248" s="4"/>
      <c r="FWN248" s="4"/>
      <c r="FWO248" s="4"/>
      <c r="FWP248" s="4"/>
      <c r="FWQ248" s="4"/>
      <c r="FWR248" s="4"/>
      <c r="FWS248" s="4"/>
      <c r="FWT248" s="4"/>
      <c r="FWU248" s="4"/>
      <c r="FWV248" s="4"/>
      <c r="FWW248" s="4"/>
      <c r="FWX248" s="4"/>
      <c r="FWY248" s="4"/>
      <c r="FWZ248" s="4"/>
      <c r="FXA248" s="4"/>
      <c r="FXB248" s="4"/>
      <c r="FXC248" s="4"/>
      <c r="FXD248" s="4"/>
      <c r="FXE248" s="4"/>
      <c r="FXF248" s="4"/>
      <c r="FXG248" s="4"/>
      <c r="FXH248" s="4"/>
      <c r="FXI248" s="4"/>
      <c r="FXJ248" s="4"/>
      <c r="FXK248" s="4"/>
      <c r="FXL248" s="4"/>
      <c r="FXM248" s="4"/>
      <c r="FXN248" s="4"/>
      <c r="FXO248" s="4"/>
      <c r="FXP248" s="4"/>
      <c r="FXQ248" s="4"/>
      <c r="FXR248" s="4"/>
      <c r="FXS248" s="4"/>
      <c r="FXT248" s="4"/>
      <c r="FXU248" s="4"/>
      <c r="FXV248" s="4"/>
      <c r="FXW248" s="4"/>
      <c r="FXX248" s="4"/>
      <c r="FXY248" s="4"/>
      <c r="FXZ248" s="4"/>
      <c r="FYA248" s="4"/>
      <c r="FYB248" s="4"/>
      <c r="FYC248" s="4"/>
      <c r="FYD248" s="4"/>
      <c r="FYE248" s="4"/>
      <c r="FYF248" s="4"/>
      <c r="FYG248" s="4"/>
      <c r="FYH248" s="4"/>
      <c r="FYI248" s="4"/>
      <c r="FYJ248" s="4"/>
      <c r="FYK248" s="4"/>
      <c r="FYL248" s="4"/>
      <c r="FYM248" s="4"/>
      <c r="FYN248" s="4"/>
      <c r="FYO248" s="4"/>
      <c r="FYP248" s="4"/>
      <c r="FYQ248" s="4"/>
      <c r="FYR248" s="4"/>
      <c r="FYS248" s="4"/>
      <c r="FYT248" s="4"/>
      <c r="FYU248" s="4"/>
      <c r="FYV248" s="4"/>
      <c r="FYW248" s="4"/>
      <c r="FYX248" s="4"/>
      <c r="FYY248" s="4"/>
      <c r="FYZ248" s="4"/>
      <c r="FZA248" s="4"/>
      <c r="FZB248" s="4"/>
      <c r="FZC248" s="4"/>
      <c r="FZD248" s="4"/>
      <c r="FZE248" s="4"/>
      <c r="FZF248" s="4"/>
      <c r="FZG248" s="4"/>
      <c r="FZH248" s="4"/>
      <c r="FZI248" s="4"/>
      <c r="FZJ248" s="4"/>
      <c r="FZK248" s="4"/>
      <c r="FZL248" s="4"/>
      <c r="FZM248" s="4"/>
      <c r="FZN248" s="4"/>
      <c r="FZO248" s="4"/>
      <c r="FZP248" s="4"/>
      <c r="FZQ248" s="4"/>
      <c r="FZR248" s="4"/>
      <c r="FZS248" s="4"/>
      <c r="FZT248" s="4"/>
      <c r="FZU248" s="4"/>
      <c r="FZV248" s="4"/>
      <c r="FZW248" s="4"/>
      <c r="FZX248" s="4"/>
      <c r="FZY248" s="4"/>
      <c r="FZZ248" s="4"/>
      <c r="GAA248" s="4"/>
      <c r="GAB248" s="4"/>
      <c r="GAC248" s="4"/>
      <c r="GAD248" s="4"/>
      <c r="GAE248" s="4"/>
      <c r="GAF248" s="4"/>
      <c r="GAG248" s="4"/>
      <c r="GAH248" s="4"/>
      <c r="GAI248" s="4"/>
      <c r="GAJ248" s="4"/>
      <c r="GAK248" s="4"/>
      <c r="GAL248" s="4"/>
      <c r="GAM248" s="4"/>
      <c r="GAN248" s="4"/>
      <c r="GAO248" s="4"/>
      <c r="GAP248" s="4"/>
      <c r="GAQ248" s="4"/>
      <c r="GAR248" s="4"/>
      <c r="GAS248" s="4"/>
      <c r="GAT248" s="4"/>
      <c r="GAU248" s="4"/>
      <c r="GAV248" s="4"/>
      <c r="GAW248" s="4"/>
      <c r="GAX248" s="4"/>
      <c r="GAY248" s="4"/>
      <c r="GAZ248" s="4"/>
      <c r="GBA248" s="4"/>
      <c r="GBB248" s="4"/>
      <c r="GBC248" s="4"/>
      <c r="GBD248" s="4"/>
      <c r="GBE248" s="4"/>
      <c r="GBF248" s="4"/>
      <c r="GBG248" s="4"/>
      <c r="GBH248" s="4"/>
      <c r="GBI248" s="4"/>
      <c r="GBJ248" s="4"/>
      <c r="GBK248" s="4"/>
      <c r="GBL248" s="4"/>
      <c r="GBM248" s="4"/>
      <c r="GBN248" s="4"/>
      <c r="GBO248" s="4"/>
      <c r="GBP248" s="4"/>
      <c r="GBQ248" s="4"/>
      <c r="GBR248" s="4"/>
      <c r="GBS248" s="4"/>
      <c r="GBT248" s="4"/>
      <c r="GBU248" s="4"/>
      <c r="GBV248" s="4"/>
      <c r="GBW248" s="4"/>
      <c r="GBX248" s="4"/>
      <c r="GBY248" s="4"/>
      <c r="GBZ248" s="4"/>
      <c r="GCA248" s="4"/>
      <c r="GCB248" s="4"/>
      <c r="GCC248" s="4"/>
      <c r="GCD248" s="4"/>
      <c r="GCE248" s="4"/>
      <c r="GCF248" s="4"/>
      <c r="GCG248" s="4"/>
      <c r="GCH248" s="4"/>
      <c r="GCI248" s="4"/>
      <c r="GCJ248" s="4"/>
      <c r="GCK248" s="4"/>
      <c r="GCL248" s="4"/>
      <c r="GCM248" s="4"/>
      <c r="GCN248" s="4"/>
      <c r="GCO248" s="4"/>
      <c r="GCP248" s="4"/>
      <c r="GCQ248" s="4"/>
      <c r="GCR248" s="4"/>
      <c r="GCS248" s="4"/>
      <c r="GCT248" s="4"/>
      <c r="GCU248" s="4"/>
      <c r="GCV248" s="4"/>
      <c r="GCW248" s="4"/>
      <c r="GCX248" s="4"/>
      <c r="GCY248" s="4"/>
      <c r="GCZ248" s="4"/>
      <c r="GDA248" s="4"/>
      <c r="GDB248" s="4"/>
      <c r="GDC248" s="4"/>
      <c r="GDD248" s="4"/>
      <c r="GDE248" s="4"/>
      <c r="GDF248" s="4"/>
      <c r="GDG248" s="4"/>
      <c r="GDH248" s="4"/>
      <c r="GDI248" s="4"/>
      <c r="GDJ248" s="4"/>
      <c r="GDK248" s="4"/>
      <c r="GDL248" s="4"/>
      <c r="GDM248" s="4"/>
      <c r="GDN248" s="4"/>
      <c r="GDO248" s="4"/>
      <c r="GDP248" s="4"/>
      <c r="GDQ248" s="4"/>
      <c r="GDR248" s="4"/>
      <c r="GDS248" s="4"/>
      <c r="GDT248" s="4"/>
      <c r="GDU248" s="4"/>
      <c r="GDV248" s="4"/>
      <c r="GDW248" s="4"/>
      <c r="GDX248" s="4"/>
      <c r="GDY248" s="4"/>
      <c r="GDZ248" s="4"/>
      <c r="GEA248" s="4"/>
      <c r="GEB248" s="4"/>
      <c r="GEC248" s="4"/>
      <c r="GED248" s="4"/>
      <c r="GEE248" s="4"/>
      <c r="GEF248" s="4"/>
      <c r="GEG248" s="4"/>
      <c r="GEH248" s="4"/>
      <c r="GEI248" s="4"/>
      <c r="GEJ248" s="4"/>
      <c r="GEK248" s="4"/>
      <c r="GEL248" s="4"/>
      <c r="GEM248" s="4"/>
      <c r="GEN248" s="4"/>
      <c r="GEO248" s="4"/>
      <c r="GEP248" s="4"/>
      <c r="GEQ248" s="4"/>
      <c r="GER248" s="4"/>
      <c r="GES248" s="4"/>
      <c r="GET248" s="4"/>
      <c r="GEU248" s="4"/>
      <c r="GEV248" s="4"/>
      <c r="GEW248" s="4"/>
      <c r="GEX248" s="4"/>
      <c r="GEY248" s="4"/>
      <c r="GEZ248" s="4"/>
      <c r="GFA248" s="4"/>
      <c r="GFB248" s="4"/>
      <c r="GFC248" s="4"/>
      <c r="GFD248" s="4"/>
      <c r="GFE248" s="4"/>
      <c r="GFF248" s="4"/>
      <c r="GFG248" s="4"/>
      <c r="GFH248" s="4"/>
      <c r="GFI248" s="4"/>
      <c r="GFJ248" s="4"/>
      <c r="GFK248" s="4"/>
      <c r="GFL248" s="4"/>
      <c r="GFM248" s="4"/>
      <c r="GFN248" s="4"/>
      <c r="GFO248" s="4"/>
      <c r="GFP248" s="4"/>
      <c r="GFQ248" s="4"/>
      <c r="GFR248" s="4"/>
      <c r="GFS248" s="4"/>
      <c r="GFT248" s="4"/>
      <c r="GFU248" s="4"/>
      <c r="GFV248" s="4"/>
      <c r="GFW248" s="4"/>
      <c r="GFX248" s="4"/>
      <c r="GFY248" s="4"/>
      <c r="GFZ248" s="4"/>
      <c r="GGA248" s="4"/>
      <c r="GGB248" s="4"/>
      <c r="GGC248" s="4"/>
      <c r="GGD248" s="4"/>
      <c r="GGE248" s="4"/>
      <c r="GGF248" s="4"/>
      <c r="GGG248" s="4"/>
      <c r="GGH248" s="4"/>
      <c r="GGI248" s="4"/>
      <c r="GGJ248" s="4"/>
      <c r="GGK248" s="4"/>
      <c r="GGL248" s="4"/>
      <c r="GGM248" s="4"/>
      <c r="GGN248" s="4"/>
      <c r="GGO248" s="4"/>
      <c r="GGP248" s="4"/>
      <c r="GGQ248" s="4"/>
      <c r="GGR248" s="4"/>
      <c r="GGS248" s="4"/>
      <c r="GGT248" s="4"/>
      <c r="GGU248" s="4"/>
      <c r="GGV248" s="4"/>
      <c r="GGW248" s="4"/>
      <c r="GGX248" s="4"/>
      <c r="GGY248" s="4"/>
      <c r="GGZ248" s="4"/>
      <c r="GHA248" s="4"/>
      <c r="GHB248" s="4"/>
      <c r="GHC248" s="4"/>
      <c r="GHD248" s="4"/>
      <c r="GHE248" s="4"/>
      <c r="GHF248" s="4"/>
      <c r="GHG248" s="4"/>
      <c r="GHH248" s="4"/>
      <c r="GHI248" s="4"/>
      <c r="GHJ248" s="4"/>
      <c r="GHK248" s="4"/>
      <c r="GHL248" s="4"/>
      <c r="GHM248" s="4"/>
      <c r="GHN248" s="4"/>
      <c r="GHO248" s="4"/>
      <c r="GHP248" s="4"/>
      <c r="GHQ248" s="4"/>
      <c r="GHR248" s="4"/>
      <c r="GHS248" s="4"/>
      <c r="GHT248" s="4"/>
      <c r="GHU248" s="4"/>
      <c r="GHV248" s="4"/>
      <c r="GHW248" s="4"/>
      <c r="GHX248" s="4"/>
      <c r="GHY248" s="4"/>
      <c r="GHZ248" s="4"/>
      <c r="GIA248" s="4"/>
      <c r="GIB248" s="4"/>
      <c r="GIC248" s="4"/>
      <c r="GID248" s="4"/>
      <c r="GIE248" s="4"/>
      <c r="GIF248" s="4"/>
      <c r="GIG248" s="4"/>
      <c r="GIH248" s="4"/>
      <c r="GII248" s="4"/>
      <c r="GIJ248" s="4"/>
      <c r="GIK248" s="4"/>
      <c r="GIL248" s="4"/>
      <c r="GIM248" s="4"/>
      <c r="GIN248" s="4"/>
      <c r="GIO248" s="4"/>
      <c r="GIP248" s="4"/>
      <c r="GIQ248" s="4"/>
      <c r="GIR248" s="4"/>
      <c r="GIS248" s="4"/>
      <c r="GIT248" s="4"/>
      <c r="GIU248" s="4"/>
      <c r="GIV248" s="4"/>
      <c r="GIW248" s="4"/>
      <c r="GIX248" s="4"/>
      <c r="GIY248" s="4"/>
      <c r="GIZ248" s="4"/>
      <c r="GJA248" s="4"/>
      <c r="GJB248" s="4"/>
      <c r="GJC248" s="4"/>
      <c r="GJD248" s="4"/>
      <c r="GJE248" s="4"/>
      <c r="GJF248" s="4"/>
      <c r="GJG248" s="4"/>
      <c r="GJH248" s="4"/>
      <c r="GJI248" s="4"/>
      <c r="GJJ248" s="4"/>
      <c r="GJK248" s="4"/>
      <c r="GJL248" s="4"/>
      <c r="GJM248" s="4"/>
      <c r="GJN248" s="4"/>
      <c r="GJO248" s="4"/>
      <c r="GJP248" s="4"/>
      <c r="GJQ248" s="4"/>
      <c r="GJR248" s="4"/>
      <c r="GJS248" s="4"/>
      <c r="GJT248" s="4"/>
      <c r="GJU248" s="4"/>
      <c r="GJV248" s="4"/>
      <c r="GJW248" s="4"/>
      <c r="GJX248" s="4"/>
      <c r="GJY248" s="4"/>
      <c r="GJZ248" s="4"/>
      <c r="GKA248" s="4"/>
      <c r="GKB248" s="4"/>
      <c r="GKC248" s="4"/>
      <c r="GKD248" s="4"/>
      <c r="GKE248" s="4"/>
      <c r="GKF248" s="4"/>
      <c r="GKG248" s="4"/>
      <c r="GKH248" s="4"/>
      <c r="GKI248" s="4"/>
      <c r="GKJ248" s="4"/>
      <c r="GKK248" s="4"/>
      <c r="GKL248" s="4"/>
      <c r="GKM248" s="4"/>
      <c r="GKN248" s="4"/>
      <c r="GKO248" s="4"/>
      <c r="GKP248" s="4"/>
      <c r="GKQ248" s="4"/>
      <c r="GKR248" s="4"/>
      <c r="GKS248" s="4"/>
      <c r="GKT248" s="4"/>
      <c r="GKU248" s="4"/>
      <c r="GKV248" s="4"/>
      <c r="GKW248" s="4"/>
      <c r="GKX248" s="4"/>
      <c r="GKY248" s="4"/>
      <c r="GKZ248" s="4"/>
      <c r="GLA248" s="4"/>
      <c r="GLB248" s="4"/>
      <c r="GLC248" s="4"/>
      <c r="GLD248" s="4"/>
      <c r="GLE248" s="4"/>
      <c r="GLF248" s="4"/>
      <c r="GLG248" s="4"/>
      <c r="GLH248" s="4"/>
      <c r="GLI248" s="4"/>
      <c r="GLJ248" s="4"/>
      <c r="GLK248" s="4"/>
      <c r="GLL248" s="4"/>
      <c r="GLM248" s="4"/>
      <c r="GLN248" s="4"/>
      <c r="GLO248" s="4"/>
      <c r="GLP248" s="4"/>
      <c r="GLQ248" s="4"/>
      <c r="GLR248" s="4"/>
      <c r="GLS248" s="4"/>
      <c r="GLT248" s="4"/>
      <c r="GLU248" s="4"/>
      <c r="GLV248" s="4"/>
      <c r="GLW248" s="4"/>
      <c r="GLX248" s="4"/>
      <c r="GLY248" s="4"/>
      <c r="GLZ248" s="4"/>
      <c r="GMA248" s="4"/>
      <c r="GMB248" s="4"/>
      <c r="GMC248" s="4"/>
      <c r="GMD248" s="4"/>
      <c r="GME248" s="4"/>
      <c r="GMF248" s="4"/>
      <c r="GMG248" s="4"/>
      <c r="GMH248" s="4"/>
      <c r="GMI248" s="4"/>
      <c r="GMJ248" s="4"/>
      <c r="GMK248" s="4"/>
      <c r="GML248" s="4"/>
      <c r="GMM248" s="4"/>
      <c r="GMN248" s="4"/>
      <c r="GMO248" s="4"/>
      <c r="GMP248" s="4"/>
      <c r="GMQ248" s="4"/>
      <c r="GMR248" s="4"/>
      <c r="GMS248" s="4"/>
      <c r="GMT248" s="4"/>
      <c r="GMU248" s="4"/>
      <c r="GMV248" s="4"/>
      <c r="GMW248" s="4"/>
      <c r="GMX248" s="4"/>
      <c r="GMY248" s="4"/>
      <c r="GMZ248" s="4"/>
      <c r="GNA248" s="4"/>
      <c r="GNB248" s="4"/>
      <c r="GNC248" s="4"/>
      <c r="GND248" s="4"/>
      <c r="GNE248" s="4"/>
      <c r="GNF248" s="4"/>
      <c r="GNG248" s="4"/>
      <c r="GNH248" s="4"/>
      <c r="GNI248" s="4"/>
      <c r="GNJ248" s="4"/>
      <c r="GNK248" s="4"/>
      <c r="GNL248" s="4"/>
      <c r="GNM248" s="4"/>
      <c r="GNN248" s="4"/>
      <c r="GNO248" s="4"/>
      <c r="GNP248" s="4"/>
      <c r="GNQ248" s="4"/>
      <c r="GNR248" s="4"/>
      <c r="GNS248" s="4"/>
      <c r="GNT248" s="4"/>
      <c r="GNU248" s="4"/>
      <c r="GNV248" s="4"/>
      <c r="GNW248" s="4"/>
      <c r="GNX248" s="4"/>
      <c r="GNY248" s="4"/>
      <c r="GNZ248" s="4"/>
      <c r="GOA248" s="4"/>
      <c r="GOB248" s="4"/>
      <c r="GOC248" s="4"/>
      <c r="GOD248" s="4"/>
      <c r="GOE248" s="4"/>
      <c r="GOF248" s="4"/>
      <c r="GOG248" s="4"/>
      <c r="GOH248" s="4"/>
      <c r="GOI248" s="4"/>
      <c r="GOJ248" s="4"/>
      <c r="GOK248" s="4"/>
      <c r="GOL248" s="4"/>
      <c r="GOM248" s="4"/>
      <c r="GON248" s="4"/>
      <c r="GOO248" s="4"/>
      <c r="GOP248" s="4"/>
      <c r="GOQ248" s="4"/>
      <c r="GOR248" s="4"/>
      <c r="GOS248" s="4"/>
      <c r="GOT248" s="4"/>
      <c r="GOU248" s="4"/>
      <c r="GOV248" s="4"/>
      <c r="GOW248" s="4"/>
      <c r="GOX248" s="4"/>
      <c r="GOY248" s="4"/>
      <c r="GOZ248" s="4"/>
      <c r="GPA248" s="4"/>
      <c r="GPB248" s="4"/>
      <c r="GPC248" s="4"/>
      <c r="GPD248" s="4"/>
      <c r="GPE248" s="4"/>
      <c r="GPF248" s="4"/>
      <c r="GPG248" s="4"/>
      <c r="GPH248" s="4"/>
      <c r="GPI248" s="4"/>
      <c r="GPJ248" s="4"/>
      <c r="GPK248" s="4"/>
      <c r="GPL248" s="4"/>
      <c r="GPM248" s="4"/>
      <c r="GPN248" s="4"/>
      <c r="GPO248" s="4"/>
      <c r="GPP248" s="4"/>
      <c r="GPQ248" s="4"/>
      <c r="GPR248" s="4"/>
      <c r="GPS248" s="4"/>
      <c r="GPT248" s="4"/>
      <c r="GPU248" s="4"/>
      <c r="GPV248" s="4"/>
      <c r="GPW248" s="4"/>
      <c r="GPX248" s="4"/>
      <c r="GPY248" s="4"/>
      <c r="GPZ248" s="4"/>
      <c r="GQA248" s="4"/>
      <c r="GQB248" s="4"/>
      <c r="GQC248" s="4"/>
      <c r="GQD248" s="4"/>
      <c r="GQE248" s="4"/>
      <c r="GQF248" s="4"/>
      <c r="GQG248" s="4"/>
      <c r="GQH248" s="4"/>
      <c r="GQI248" s="4"/>
      <c r="GQJ248" s="4"/>
      <c r="GQK248" s="4"/>
      <c r="GQL248" s="4"/>
      <c r="GQM248" s="4"/>
      <c r="GQN248" s="4"/>
      <c r="GQO248" s="4"/>
      <c r="GQP248" s="4"/>
      <c r="GQQ248" s="4"/>
      <c r="GQR248" s="4"/>
      <c r="GQS248" s="4"/>
      <c r="GQT248" s="4"/>
      <c r="GQU248" s="4"/>
      <c r="GQV248" s="4"/>
      <c r="GQW248" s="4"/>
      <c r="GQX248" s="4"/>
      <c r="GQY248" s="4"/>
      <c r="GQZ248" s="4"/>
      <c r="GRA248" s="4"/>
      <c r="GRB248" s="4"/>
      <c r="GRC248" s="4"/>
      <c r="GRD248" s="4"/>
      <c r="GRE248" s="4"/>
      <c r="GRF248" s="4"/>
      <c r="GRG248" s="4"/>
      <c r="GRH248" s="4"/>
      <c r="GRI248" s="4"/>
      <c r="GRJ248" s="4"/>
      <c r="GRK248" s="4"/>
      <c r="GRL248" s="4"/>
      <c r="GRM248" s="4"/>
      <c r="GRN248" s="4"/>
      <c r="GRO248" s="4"/>
      <c r="GRP248" s="4"/>
      <c r="GRQ248" s="4"/>
      <c r="GRR248" s="4"/>
      <c r="GRS248" s="4"/>
      <c r="GRT248" s="4"/>
      <c r="GRU248" s="4"/>
      <c r="GRV248" s="4"/>
      <c r="GRW248" s="4"/>
      <c r="GRX248" s="4"/>
      <c r="GRY248" s="4"/>
      <c r="GRZ248" s="4"/>
      <c r="GSA248" s="4"/>
      <c r="GSB248" s="4"/>
      <c r="GSC248" s="4"/>
      <c r="GSD248" s="4"/>
      <c r="GSE248" s="4"/>
      <c r="GSF248" s="4"/>
      <c r="GSG248" s="4"/>
      <c r="GSH248" s="4"/>
      <c r="GSI248" s="4"/>
      <c r="GSJ248" s="4"/>
      <c r="GSK248" s="4"/>
      <c r="GSL248" s="4"/>
      <c r="GSM248" s="4"/>
      <c r="GSN248" s="4"/>
      <c r="GSO248" s="4"/>
      <c r="GSP248" s="4"/>
      <c r="GSQ248" s="4"/>
      <c r="GSR248" s="4"/>
      <c r="GSS248" s="4"/>
      <c r="GST248" s="4"/>
      <c r="GSU248" s="4"/>
      <c r="GSV248" s="4"/>
      <c r="GSW248" s="4"/>
      <c r="GSX248" s="4"/>
      <c r="GSY248" s="4"/>
      <c r="GSZ248" s="4"/>
      <c r="GTA248" s="4"/>
      <c r="GTB248" s="4"/>
      <c r="GTC248" s="4"/>
      <c r="GTD248" s="4"/>
      <c r="GTE248" s="4"/>
      <c r="GTF248" s="4"/>
      <c r="GTG248" s="4"/>
      <c r="GTH248" s="4"/>
      <c r="GTI248" s="4"/>
      <c r="GTJ248" s="4"/>
      <c r="GTK248" s="4"/>
      <c r="GTL248" s="4"/>
      <c r="GTM248" s="4"/>
      <c r="GTN248" s="4"/>
      <c r="GTO248" s="4"/>
      <c r="GTP248" s="4"/>
      <c r="GTQ248" s="4"/>
      <c r="GTR248" s="4"/>
      <c r="GTS248" s="4"/>
      <c r="GTT248" s="4"/>
      <c r="GTU248" s="4"/>
      <c r="GTV248" s="4"/>
      <c r="GTW248" s="4"/>
      <c r="GTX248" s="4"/>
      <c r="GTY248" s="4"/>
      <c r="GTZ248" s="4"/>
      <c r="GUA248" s="4"/>
      <c r="GUB248" s="4"/>
      <c r="GUC248" s="4"/>
      <c r="GUD248" s="4"/>
      <c r="GUE248" s="4"/>
      <c r="GUF248" s="4"/>
      <c r="GUG248" s="4"/>
      <c r="GUH248" s="4"/>
      <c r="GUI248" s="4"/>
      <c r="GUJ248" s="4"/>
      <c r="GUK248" s="4"/>
      <c r="GUL248" s="4"/>
      <c r="GUM248" s="4"/>
      <c r="GUN248" s="4"/>
      <c r="GUO248" s="4"/>
      <c r="GUP248" s="4"/>
      <c r="GUQ248" s="4"/>
      <c r="GUR248" s="4"/>
      <c r="GUS248" s="4"/>
      <c r="GUT248" s="4"/>
      <c r="GUU248" s="4"/>
      <c r="GUV248" s="4"/>
      <c r="GUW248" s="4"/>
      <c r="GUX248" s="4"/>
      <c r="GUY248" s="4"/>
      <c r="GUZ248" s="4"/>
      <c r="GVA248" s="4"/>
      <c r="GVB248" s="4"/>
      <c r="GVC248" s="4"/>
      <c r="GVD248" s="4"/>
      <c r="GVE248" s="4"/>
      <c r="GVF248" s="4"/>
      <c r="GVG248" s="4"/>
      <c r="GVH248" s="4"/>
      <c r="GVI248" s="4"/>
      <c r="GVJ248" s="4"/>
      <c r="GVK248" s="4"/>
      <c r="GVL248" s="4"/>
      <c r="GVM248" s="4"/>
      <c r="GVN248" s="4"/>
      <c r="GVO248" s="4"/>
      <c r="GVP248" s="4"/>
      <c r="GVQ248" s="4"/>
      <c r="GVR248" s="4"/>
      <c r="GVS248" s="4"/>
      <c r="GVT248" s="4"/>
      <c r="GVU248" s="4"/>
      <c r="GVV248" s="4"/>
      <c r="GVW248" s="4"/>
      <c r="GVX248" s="4"/>
      <c r="GVY248" s="4"/>
      <c r="GVZ248" s="4"/>
      <c r="GWA248" s="4"/>
      <c r="GWB248" s="4"/>
      <c r="GWC248" s="4"/>
      <c r="GWD248" s="4"/>
      <c r="GWE248" s="4"/>
      <c r="GWF248" s="4"/>
      <c r="GWG248" s="4"/>
      <c r="GWH248" s="4"/>
      <c r="GWI248" s="4"/>
      <c r="GWJ248" s="4"/>
      <c r="GWK248" s="4"/>
      <c r="GWL248" s="4"/>
      <c r="GWM248" s="4"/>
      <c r="GWN248" s="4"/>
      <c r="GWO248" s="4"/>
      <c r="GWP248" s="4"/>
      <c r="GWQ248" s="4"/>
      <c r="GWR248" s="4"/>
      <c r="GWS248" s="4"/>
      <c r="GWT248" s="4"/>
      <c r="GWU248" s="4"/>
      <c r="GWV248" s="4"/>
      <c r="GWW248" s="4"/>
      <c r="GWX248" s="4"/>
      <c r="GWY248" s="4"/>
      <c r="GWZ248" s="4"/>
      <c r="GXA248" s="4"/>
      <c r="GXB248" s="4"/>
      <c r="GXC248" s="4"/>
      <c r="GXD248" s="4"/>
      <c r="GXE248" s="4"/>
      <c r="GXF248" s="4"/>
      <c r="GXG248" s="4"/>
      <c r="GXH248" s="4"/>
      <c r="GXI248" s="4"/>
      <c r="GXJ248" s="4"/>
      <c r="GXK248" s="4"/>
      <c r="GXL248" s="4"/>
      <c r="GXM248" s="4"/>
      <c r="GXN248" s="4"/>
      <c r="GXO248" s="4"/>
      <c r="GXP248" s="4"/>
      <c r="GXQ248" s="4"/>
      <c r="GXR248" s="4"/>
      <c r="GXS248" s="4"/>
      <c r="GXT248" s="4"/>
      <c r="GXU248" s="4"/>
      <c r="GXV248" s="4"/>
      <c r="GXW248" s="4"/>
      <c r="GXX248" s="4"/>
      <c r="GXY248" s="4"/>
      <c r="GXZ248" s="4"/>
      <c r="GYA248" s="4"/>
      <c r="GYB248" s="4"/>
      <c r="GYC248" s="4"/>
      <c r="GYD248" s="4"/>
      <c r="GYE248" s="4"/>
      <c r="GYF248" s="4"/>
      <c r="GYG248" s="4"/>
      <c r="GYH248" s="4"/>
      <c r="GYI248" s="4"/>
      <c r="GYJ248" s="4"/>
      <c r="GYK248" s="4"/>
      <c r="GYL248" s="4"/>
      <c r="GYM248" s="4"/>
      <c r="GYN248" s="4"/>
      <c r="GYO248" s="4"/>
      <c r="GYP248" s="4"/>
      <c r="GYQ248" s="4"/>
      <c r="GYR248" s="4"/>
      <c r="GYS248" s="4"/>
      <c r="GYT248" s="4"/>
      <c r="GYU248" s="4"/>
      <c r="GYV248" s="4"/>
      <c r="GYW248" s="4"/>
      <c r="GYX248" s="4"/>
      <c r="GYY248" s="4"/>
      <c r="GYZ248" s="4"/>
      <c r="GZA248" s="4"/>
      <c r="GZB248" s="4"/>
      <c r="GZC248" s="4"/>
      <c r="GZD248" s="4"/>
      <c r="GZE248" s="4"/>
      <c r="GZF248" s="4"/>
      <c r="GZG248" s="4"/>
      <c r="GZH248" s="4"/>
      <c r="GZI248" s="4"/>
      <c r="GZJ248" s="4"/>
      <c r="GZK248" s="4"/>
      <c r="GZL248" s="4"/>
      <c r="GZM248" s="4"/>
      <c r="GZN248" s="4"/>
      <c r="GZO248" s="4"/>
      <c r="GZP248" s="4"/>
      <c r="GZQ248" s="4"/>
      <c r="GZR248" s="4"/>
      <c r="GZS248" s="4"/>
      <c r="GZT248" s="4"/>
      <c r="GZU248" s="4"/>
      <c r="GZV248" s="4"/>
      <c r="GZW248" s="4"/>
      <c r="GZX248" s="4"/>
      <c r="GZY248" s="4"/>
      <c r="GZZ248" s="4"/>
      <c r="HAA248" s="4"/>
      <c r="HAB248" s="4"/>
      <c r="HAC248" s="4"/>
      <c r="HAD248" s="4"/>
      <c r="HAE248" s="4"/>
      <c r="HAF248" s="4"/>
      <c r="HAG248" s="4"/>
      <c r="HAH248" s="4"/>
      <c r="HAI248" s="4"/>
      <c r="HAJ248" s="4"/>
      <c r="HAK248" s="4"/>
      <c r="HAL248" s="4"/>
      <c r="HAM248" s="4"/>
      <c r="HAN248" s="4"/>
      <c r="HAO248" s="4"/>
      <c r="HAP248" s="4"/>
      <c r="HAQ248" s="4"/>
      <c r="HAR248" s="4"/>
      <c r="HAS248" s="4"/>
      <c r="HAT248" s="4"/>
      <c r="HAU248" s="4"/>
      <c r="HAV248" s="4"/>
      <c r="HAW248" s="4"/>
      <c r="HAX248" s="4"/>
      <c r="HAY248" s="4"/>
      <c r="HAZ248" s="4"/>
      <c r="HBA248" s="4"/>
      <c r="HBB248" s="4"/>
      <c r="HBC248" s="4"/>
      <c r="HBD248" s="4"/>
      <c r="HBE248" s="4"/>
      <c r="HBF248" s="4"/>
      <c r="HBG248" s="4"/>
      <c r="HBH248" s="4"/>
      <c r="HBI248" s="4"/>
      <c r="HBJ248" s="4"/>
      <c r="HBK248" s="4"/>
      <c r="HBL248" s="4"/>
      <c r="HBM248" s="4"/>
      <c r="HBN248" s="4"/>
      <c r="HBO248" s="4"/>
      <c r="HBP248" s="4"/>
      <c r="HBQ248" s="4"/>
      <c r="HBR248" s="4"/>
      <c r="HBS248" s="4"/>
      <c r="HBT248" s="4"/>
      <c r="HBU248" s="4"/>
      <c r="HBV248" s="4"/>
      <c r="HBW248" s="4"/>
      <c r="HBX248" s="4"/>
      <c r="HBY248" s="4"/>
      <c r="HBZ248" s="4"/>
      <c r="HCA248" s="4"/>
      <c r="HCB248" s="4"/>
      <c r="HCC248" s="4"/>
      <c r="HCD248" s="4"/>
      <c r="HCE248" s="4"/>
      <c r="HCF248" s="4"/>
      <c r="HCG248" s="4"/>
      <c r="HCH248" s="4"/>
      <c r="HCI248" s="4"/>
      <c r="HCJ248" s="4"/>
      <c r="HCK248" s="4"/>
      <c r="HCL248" s="4"/>
      <c r="HCM248" s="4"/>
      <c r="HCN248" s="4"/>
      <c r="HCO248" s="4"/>
      <c r="HCP248" s="4"/>
      <c r="HCQ248" s="4"/>
      <c r="HCR248" s="4"/>
      <c r="HCS248" s="4"/>
      <c r="HCT248" s="4"/>
      <c r="HCU248" s="4"/>
      <c r="HCV248" s="4"/>
      <c r="HCW248" s="4"/>
      <c r="HCX248" s="4"/>
      <c r="HCY248" s="4"/>
      <c r="HCZ248" s="4"/>
      <c r="HDA248" s="4"/>
      <c r="HDB248" s="4"/>
      <c r="HDC248" s="4"/>
      <c r="HDD248" s="4"/>
      <c r="HDE248" s="4"/>
      <c r="HDF248" s="4"/>
      <c r="HDG248" s="4"/>
      <c r="HDH248" s="4"/>
      <c r="HDI248" s="4"/>
      <c r="HDJ248" s="4"/>
      <c r="HDK248" s="4"/>
      <c r="HDL248" s="4"/>
      <c r="HDM248" s="4"/>
      <c r="HDN248" s="4"/>
      <c r="HDO248" s="4"/>
      <c r="HDP248" s="4"/>
      <c r="HDQ248" s="4"/>
      <c r="HDR248" s="4"/>
      <c r="HDS248" s="4"/>
      <c r="HDT248" s="4"/>
      <c r="HDU248" s="4"/>
      <c r="HDV248" s="4"/>
      <c r="HDW248" s="4"/>
      <c r="HDX248" s="4"/>
      <c r="HDY248" s="4"/>
      <c r="HDZ248" s="4"/>
      <c r="HEA248" s="4"/>
      <c r="HEB248" s="4"/>
      <c r="HEC248" s="4"/>
      <c r="HED248" s="4"/>
      <c r="HEE248" s="4"/>
      <c r="HEF248" s="4"/>
      <c r="HEG248" s="4"/>
      <c r="HEH248" s="4"/>
      <c r="HEI248" s="4"/>
      <c r="HEJ248" s="4"/>
      <c r="HEK248" s="4"/>
      <c r="HEL248" s="4"/>
      <c r="HEM248" s="4"/>
      <c r="HEN248" s="4"/>
      <c r="HEO248" s="4"/>
      <c r="HEP248" s="4"/>
      <c r="HEQ248" s="4"/>
      <c r="HER248" s="4"/>
      <c r="HES248" s="4"/>
      <c r="HET248" s="4"/>
      <c r="HEU248" s="4"/>
      <c r="HEV248" s="4"/>
      <c r="HEW248" s="4"/>
      <c r="HEX248" s="4"/>
      <c r="HEY248" s="4"/>
      <c r="HEZ248" s="4"/>
      <c r="HFA248" s="4"/>
      <c r="HFB248" s="4"/>
      <c r="HFC248" s="4"/>
      <c r="HFD248" s="4"/>
      <c r="HFE248" s="4"/>
      <c r="HFF248" s="4"/>
      <c r="HFG248" s="4"/>
      <c r="HFH248" s="4"/>
      <c r="HFI248" s="4"/>
      <c r="HFJ248" s="4"/>
      <c r="HFK248" s="4"/>
      <c r="HFL248" s="4"/>
      <c r="HFM248" s="4"/>
      <c r="HFN248" s="4"/>
      <c r="HFO248" s="4"/>
      <c r="HFP248" s="4"/>
      <c r="HFQ248" s="4"/>
      <c r="HFR248" s="4"/>
      <c r="HFS248" s="4"/>
      <c r="HFT248" s="4"/>
      <c r="HFU248" s="4"/>
      <c r="HFV248" s="4"/>
      <c r="HFW248" s="4"/>
      <c r="HFX248" s="4"/>
      <c r="HFY248" s="4"/>
      <c r="HFZ248" s="4"/>
      <c r="HGA248" s="4"/>
      <c r="HGB248" s="4"/>
      <c r="HGC248" s="4"/>
      <c r="HGD248" s="4"/>
      <c r="HGE248" s="4"/>
      <c r="HGF248" s="4"/>
      <c r="HGG248" s="4"/>
      <c r="HGH248" s="4"/>
      <c r="HGI248" s="4"/>
      <c r="HGJ248" s="4"/>
      <c r="HGK248" s="4"/>
      <c r="HGL248" s="4"/>
      <c r="HGM248" s="4"/>
      <c r="HGN248" s="4"/>
      <c r="HGO248" s="4"/>
      <c r="HGP248" s="4"/>
      <c r="HGQ248" s="4"/>
      <c r="HGR248" s="4"/>
      <c r="HGS248" s="4"/>
      <c r="HGT248" s="4"/>
      <c r="HGU248" s="4"/>
      <c r="HGV248" s="4"/>
      <c r="HGW248" s="4"/>
      <c r="HGX248" s="4"/>
      <c r="HGY248" s="4"/>
      <c r="HGZ248" s="4"/>
      <c r="HHA248" s="4"/>
      <c r="HHB248" s="4"/>
      <c r="HHC248" s="4"/>
      <c r="HHD248" s="4"/>
      <c r="HHE248" s="4"/>
      <c r="HHF248" s="4"/>
      <c r="HHG248" s="4"/>
      <c r="HHH248" s="4"/>
      <c r="HHI248" s="4"/>
      <c r="HHJ248" s="4"/>
      <c r="HHK248" s="4"/>
      <c r="HHL248" s="4"/>
      <c r="HHM248" s="4"/>
      <c r="HHN248" s="4"/>
      <c r="HHO248" s="4"/>
      <c r="HHP248" s="4"/>
      <c r="HHQ248" s="4"/>
      <c r="HHR248" s="4"/>
      <c r="HHS248" s="4"/>
      <c r="HHT248" s="4"/>
      <c r="HHU248" s="4"/>
      <c r="HHV248" s="4"/>
      <c r="HHW248" s="4"/>
      <c r="HHX248" s="4"/>
      <c r="HHY248" s="4"/>
      <c r="HHZ248" s="4"/>
      <c r="HIA248" s="4"/>
      <c r="HIB248" s="4"/>
      <c r="HIC248" s="4"/>
      <c r="HID248" s="4"/>
      <c r="HIE248" s="4"/>
      <c r="HIF248" s="4"/>
      <c r="HIG248" s="4"/>
      <c r="HIH248" s="4"/>
      <c r="HII248" s="4"/>
      <c r="HIJ248" s="4"/>
      <c r="HIK248" s="4"/>
      <c r="HIL248" s="4"/>
      <c r="HIM248" s="4"/>
      <c r="HIN248" s="4"/>
      <c r="HIO248" s="4"/>
      <c r="HIP248" s="4"/>
      <c r="HIQ248" s="4"/>
      <c r="HIR248" s="4"/>
      <c r="HIS248" s="4"/>
      <c r="HIT248" s="4"/>
      <c r="HIU248" s="4"/>
      <c r="HIV248" s="4"/>
      <c r="HIW248" s="4"/>
      <c r="HIX248" s="4"/>
      <c r="HIY248" s="4"/>
      <c r="HIZ248" s="4"/>
      <c r="HJA248" s="4"/>
      <c r="HJB248" s="4"/>
      <c r="HJC248" s="4"/>
      <c r="HJD248" s="4"/>
      <c r="HJE248" s="4"/>
      <c r="HJF248" s="4"/>
      <c r="HJG248" s="4"/>
      <c r="HJH248" s="4"/>
      <c r="HJI248" s="4"/>
      <c r="HJJ248" s="4"/>
      <c r="HJK248" s="4"/>
      <c r="HJL248" s="4"/>
      <c r="HJM248" s="4"/>
      <c r="HJN248" s="4"/>
      <c r="HJO248" s="4"/>
      <c r="HJP248" s="4"/>
      <c r="HJQ248" s="4"/>
      <c r="HJR248" s="4"/>
      <c r="HJS248" s="4"/>
      <c r="HJT248" s="4"/>
      <c r="HJU248" s="4"/>
      <c r="HJV248" s="4"/>
      <c r="HJW248" s="4"/>
      <c r="HJX248" s="4"/>
      <c r="HJY248" s="4"/>
      <c r="HJZ248" s="4"/>
      <c r="HKA248" s="4"/>
      <c r="HKB248" s="4"/>
      <c r="HKC248" s="4"/>
      <c r="HKD248" s="4"/>
      <c r="HKE248" s="4"/>
      <c r="HKF248" s="4"/>
      <c r="HKG248" s="4"/>
      <c r="HKH248" s="4"/>
      <c r="HKI248" s="4"/>
      <c r="HKJ248" s="4"/>
      <c r="HKK248" s="4"/>
      <c r="HKL248" s="4"/>
      <c r="HKM248" s="4"/>
      <c r="HKN248" s="4"/>
      <c r="HKO248" s="4"/>
      <c r="HKP248" s="4"/>
      <c r="HKQ248" s="4"/>
      <c r="HKR248" s="4"/>
      <c r="HKS248" s="4"/>
      <c r="HKT248" s="4"/>
      <c r="HKU248" s="4"/>
      <c r="HKV248" s="4"/>
      <c r="HKW248" s="4"/>
      <c r="HKX248" s="4"/>
      <c r="HKY248" s="4"/>
      <c r="HKZ248" s="4"/>
      <c r="HLA248" s="4"/>
      <c r="HLB248" s="4"/>
      <c r="HLC248" s="4"/>
      <c r="HLD248" s="4"/>
      <c r="HLE248" s="4"/>
      <c r="HLF248" s="4"/>
      <c r="HLG248" s="4"/>
      <c r="HLH248" s="4"/>
      <c r="HLI248" s="4"/>
      <c r="HLJ248" s="4"/>
      <c r="HLK248" s="4"/>
      <c r="HLL248" s="4"/>
      <c r="HLM248" s="4"/>
      <c r="HLN248" s="4"/>
      <c r="HLO248" s="4"/>
      <c r="HLP248" s="4"/>
      <c r="HLQ248" s="4"/>
      <c r="HLR248" s="4"/>
      <c r="HLS248" s="4"/>
      <c r="HLT248" s="4"/>
      <c r="HLU248" s="4"/>
      <c r="HLV248" s="4"/>
      <c r="HLW248" s="4"/>
      <c r="HLX248" s="4"/>
      <c r="HLY248" s="4"/>
      <c r="HLZ248" s="4"/>
      <c r="HMA248" s="4"/>
      <c r="HMB248" s="4"/>
      <c r="HMC248" s="4"/>
      <c r="HMD248" s="4"/>
      <c r="HME248" s="4"/>
      <c r="HMF248" s="4"/>
      <c r="HMG248" s="4"/>
      <c r="HMH248" s="4"/>
      <c r="HMI248" s="4"/>
      <c r="HMJ248" s="4"/>
      <c r="HMK248" s="4"/>
      <c r="HML248" s="4"/>
      <c r="HMM248" s="4"/>
      <c r="HMN248" s="4"/>
      <c r="HMO248" s="4"/>
      <c r="HMP248" s="4"/>
      <c r="HMQ248" s="4"/>
      <c r="HMR248" s="4"/>
      <c r="HMS248" s="4"/>
      <c r="HMT248" s="4"/>
      <c r="HMU248" s="4"/>
      <c r="HMV248" s="4"/>
      <c r="HMW248" s="4"/>
      <c r="HMX248" s="4"/>
      <c r="HMY248" s="4"/>
      <c r="HMZ248" s="4"/>
      <c r="HNA248" s="4"/>
      <c r="HNB248" s="4"/>
      <c r="HNC248" s="4"/>
      <c r="HND248" s="4"/>
      <c r="HNE248" s="4"/>
      <c r="HNF248" s="4"/>
      <c r="HNG248" s="4"/>
      <c r="HNH248" s="4"/>
      <c r="HNI248" s="4"/>
      <c r="HNJ248" s="4"/>
      <c r="HNK248" s="4"/>
      <c r="HNL248" s="4"/>
      <c r="HNM248" s="4"/>
      <c r="HNN248" s="4"/>
      <c r="HNO248" s="4"/>
      <c r="HNP248" s="4"/>
      <c r="HNQ248" s="4"/>
      <c r="HNR248" s="4"/>
      <c r="HNS248" s="4"/>
      <c r="HNT248" s="4"/>
      <c r="HNU248" s="4"/>
      <c r="HNV248" s="4"/>
      <c r="HNW248" s="4"/>
      <c r="HNX248" s="4"/>
      <c r="HNY248" s="4"/>
      <c r="HNZ248" s="4"/>
      <c r="HOA248" s="4"/>
      <c r="HOB248" s="4"/>
      <c r="HOC248" s="4"/>
      <c r="HOD248" s="4"/>
      <c r="HOE248" s="4"/>
      <c r="HOF248" s="4"/>
      <c r="HOG248" s="4"/>
      <c r="HOH248" s="4"/>
      <c r="HOI248" s="4"/>
      <c r="HOJ248" s="4"/>
      <c r="HOK248" s="4"/>
      <c r="HOL248" s="4"/>
      <c r="HOM248" s="4"/>
      <c r="HON248" s="4"/>
      <c r="HOO248" s="4"/>
      <c r="HOP248" s="4"/>
      <c r="HOQ248" s="4"/>
      <c r="HOR248" s="4"/>
      <c r="HOS248" s="4"/>
      <c r="HOT248" s="4"/>
      <c r="HOU248" s="4"/>
      <c r="HOV248" s="4"/>
      <c r="HOW248" s="4"/>
      <c r="HOX248" s="4"/>
      <c r="HOY248" s="4"/>
      <c r="HOZ248" s="4"/>
      <c r="HPA248" s="4"/>
      <c r="HPB248" s="4"/>
      <c r="HPC248" s="4"/>
      <c r="HPD248" s="4"/>
      <c r="HPE248" s="4"/>
      <c r="HPF248" s="4"/>
      <c r="HPG248" s="4"/>
      <c r="HPH248" s="4"/>
      <c r="HPI248" s="4"/>
      <c r="HPJ248" s="4"/>
      <c r="HPK248" s="4"/>
      <c r="HPL248" s="4"/>
      <c r="HPM248" s="4"/>
      <c r="HPN248" s="4"/>
      <c r="HPO248" s="4"/>
      <c r="HPP248" s="4"/>
      <c r="HPQ248" s="4"/>
      <c r="HPR248" s="4"/>
      <c r="HPS248" s="4"/>
      <c r="HPT248" s="4"/>
      <c r="HPU248" s="4"/>
      <c r="HPV248" s="4"/>
      <c r="HPW248" s="4"/>
      <c r="HPX248" s="4"/>
      <c r="HPY248" s="4"/>
      <c r="HPZ248" s="4"/>
      <c r="HQA248" s="4"/>
      <c r="HQB248" s="4"/>
      <c r="HQC248" s="4"/>
      <c r="HQD248" s="4"/>
      <c r="HQE248" s="4"/>
      <c r="HQF248" s="4"/>
      <c r="HQG248" s="4"/>
      <c r="HQH248" s="4"/>
      <c r="HQI248" s="4"/>
      <c r="HQJ248" s="4"/>
      <c r="HQK248" s="4"/>
      <c r="HQL248" s="4"/>
      <c r="HQM248" s="4"/>
      <c r="HQN248" s="4"/>
      <c r="HQO248" s="4"/>
      <c r="HQP248" s="4"/>
      <c r="HQQ248" s="4"/>
      <c r="HQR248" s="4"/>
      <c r="HQS248" s="4"/>
      <c r="HQT248" s="4"/>
      <c r="HQU248" s="4"/>
      <c r="HQV248" s="4"/>
      <c r="HQW248" s="4"/>
      <c r="HQX248" s="4"/>
      <c r="HQY248" s="4"/>
      <c r="HQZ248" s="4"/>
      <c r="HRA248" s="4"/>
      <c r="HRB248" s="4"/>
      <c r="HRC248" s="4"/>
      <c r="HRD248" s="4"/>
      <c r="HRE248" s="4"/>
      <c r="HRF248" s="4"/>
      <c r="HRG248" s="4"/>
      <c r="HRH248" s="4"/>
      <c r="HRI248" s="4"/>
      <c r="HRJ248" s="4"/>
      <c r="HRK248" s="4"/>
      <c r="HRL248" s="4"/>
      <c r="HRM248" s="4"/>
      <c r="HRN248" s="4"/>
      <c r="HRO248" s="4"/>
      <c r="HRP248" s="4"/>
      <c r="HRQ248" s="4"/>
      <c r="HRR248" s="4"/>
      <c r="HRS248" s="4"/>
      <c r="HRT248" s="4"/>
      <c r="HRU248" s="4"/>
      <c r="HRV248" s="4"/>
      <c r="HRW248" s="4"/>
      <c r="HRX248" s="4"/>
      <c r="HRY248" s="4"/>
      <c r="HRZ248" s="4"/>
      <c r="HSA248" s="4"/>
      <c r="HSB248" s="4"/>
      <c r="HSC248" s="4"/>
      <c r="HSD248" s="4"/>
      <c r="HSE248" s="4"/>
      <c r="HSF248" s="4"/>
      <c r="HSG248" s="4"/>
      <c r="HSH248" s="4"/>
      <c r="HSI248" s="4"/>
      <c r="HSJ248" s="4"/>
      <c r="HSK248" s="4"/>
      <c r="HSL248" s="4"/>
      <c r="HSM248" s="4"/>
      <c r="HSN248" s="4"/>
      <c r="HSO248" s="4"/>
      <c r="HSP248" s="4"/>
      <c r="HSQ248" s="4"/>
      <c r="HSR248" s="4"/>
      <c r="HSS248" s="4"/>
      <c r="HST248" s="4"/>
      <c r="HSU248" s="4"/>
      <c r="HSV248" s="4"/>
      <c r="HSW248" s="4"/>
      <c r="HSX248" s="4"/>
      <c r="HSY248" s="4"/>
      <c r="HSZ248" s="4"/>
      <c r="HTA248" s="4"/>
      <c r="HTB248" s="4"/>
      <c r="HTC248" s="4"/>
      <c r="HTD248" s="4"/>
      <c r="HTE248" s="4"/>
      <c r="HTF248" s="4"/>
      <c r="HTG248" s="4"/>
      <c r="HTH248" s="4"/>
      <c r="HTI248" s="4"/>
      <c r="HTJ248" s="4"/>
      <c r="HTK248" s="4"/>
      <c r="HTL248" s="4"/>
      <c r="HTM248" s="4"/>
      <c r="HTN248" s="4"/>
      <c r="HTO248" s="4"/>
      <c r="HTP248" s="4"/>
      <c r="HTQ248" s="4"/>
      <c r="HTR248" s="4"/>
      <c r="HTS248" s="4"/>
      <c r="HTT248" s="4"/>
      <c r="HTU248" s="4"/>
      <c r="HTV248" s="4"/>
      <c r="HTW248" s="4"/>
      <c r="HTX248" s="4"/>
      <c r="HTY248" s="4"/>
      <c r="HTZ248" s="4"/>
      <c r="HUA248" s="4"/>
      <c r="HUB248" s="4"/>
      <c r="HUC248" s="4"/>
      <c r="HUD248" s="4"/>
      <c r="HUE248" s="4"/>
      <c r="HUF248" s="4"/>
      <c r="HUG248" s="4"/>
      <c r="HUH248" s="4"/>
      <c r="HUI248" s="4"/>
      <c r="HUJ248" s="4"/>
      <c r="HUK248" s="4"/>
      <c r="HUL248" s="4"/>
      <c r="HUM248" s="4"/>
      <c r="HUN248" s="4"/>
      <c r="HUO248" s="4"/>
      <c r="HUP248" s="4"/>
      <c r="HUQ248" s="4"/>
      <c r="HUR248" s="4"/>
      <c r="HUS248" s="4"/>
      <c r="HUT248" s="4"/>
      <c r="HUU248" s="4"/>
      <c r="HUV248" s="4"/>
      <c r="HUW248" s="4"/>
      <c r="HUX248" s="4"/>
      <c r="HUY248" s="4"/>
      <c r="HUZ248" s="4"/>
      <c r="HVA248" s="4"/>
      <c r="HVB248" s="4"/>
      <c r="HVC248" s="4"/>
      <c r="HVD248" s="4"/>
      <c r="HVE248" s="4"/>
      <c r="HVF248" s="4"/>
      <c r="HVG248" s="4"/>
      <c r="HVH248" s="4"/>
      <c r="HVI248" s="4"/>
      <c r="HVJ248" s="4"/>
      <c r="HVK248" s="4"/>
      <c r="HVL248" s="4"/>
      <c r="HVM248" s="4"/>
      <c r="HVN248" s="4"/>
      <c r="HVO248" s="4"/>
      <c r="HVP248" s="4"/>
      <c r="HVQ248" s="4"/>
      <c r="HVR248" s="4"/>
      <c r="HVS248" s="4"/>
      <c r="HVT248" s="4"/>
      <c r="HVU248" s="4"/>
      <c r="HVV248" s="4"/>
      <c r="HVW248" s="4"/>
      <c r="HVX248" s="4"/>
      <c r="HVY248" s="4"/>
      <c r="HVZ248" s="4"/>
      <c r="HWA248" s="4"/>
      <c r="HWB248" s="4"/>
      <c r="HWC248" s="4"/>
      <c r="HWD248" s="4"/>
      <c r="HWE248" s="4"/>
      <c r="HWF248" s="4"/>
      <c r="HWG248" s="4"/>
      <c r="HWH248" s="4"/>
      <c r="HWI248" s="4"/>
      <c r="HWJ248" s="4"/>
      <c r="HWK248" s="4"/>
      <c r="HWL248" s="4"/>
      <c r="HWM248" s="4"/>
      <c r="HWN248" s="4"/>
      <c r="HWO248" s="4"/>
      <c r="HWP248" s="4"/>
      <c r="HWQ248" s="4"/>
      <c r="HWR248" s="4"/>
      <c r="HWS248" s="4"/>
      <c r="HWT248" s="4"/>
      <c r="HWU248" s="4"/>
      <c r="HWV248" s="4"/>
      <c r="HWW248" s="4"/>
      <c r="HWX248" s="4"/>
      <c r="HWY248" s="4"/>
      <c r="HWZ248" s="4"/>
      <c r="HXA248" s="4"/>
      <c r="HXB248" s="4"/>
      <c r="HXC248" s="4"/>
      <c r="HXD248" s="4"/>
      <c r="HXE248" s="4"/>
      <c r="HXF248" s="4"/>
      <c r="HXG248" s="4"/>
      <c r="HXH248" s="4"/>
      <c r="HXI248" s="4"/>
      <c r="HXJ248" s="4"/>
      <c r="HXK248" s="4"/>
      <c r="HXL248" s="4"/>
      <c r="HXM248" s="4"/>
      <c r="HXN248" s="4"/>
      <c r="HXO248" s="4"/>
      <c r="HXP248" s="4"/>
      <c r="HXQ248" s="4"/>
      <c r="HXR248" s="4"/>
      <c r="HXS248" s="4"/>
      <c r="HXT248" s="4"/>
      <c r="HXU248" s="4"/>
      <c r="HXV248" s="4"/>
      <c r="HXW248" s="4"/>
      <c r="HXX248" s="4"/>
      <c r="HXY248" s="4"/>
      <c r="HXZ248" s="4"/>
      <c r="HYA248" s="4"/>
      <c r="HYB248" s="4"/>
      <c r="HYC248" s="4"/>
      <c r="HYD248" s="4"/>
      <c r="HYE248" s="4"/>
      <c r="HYF248" s="4"/>
      <c r="HYG248" s="4"/>
      <c r="HYH248" s="4"/>
      <c r="HYI248" s="4"/>
      <c r="HYJ248" s="4"/>
      <c r="HYK248" s="4"/>
      <c r="HYL248" s="4"/>
      <c r="HYM248" s="4"/>
      <c r="HYN248" s="4"/>
      <c r="HYO248" s="4"/>
      <c r="HYP248" s="4"/>
      <c r="HYQ248" s="4"/>
      <c r="HYR248" s="4"/>
      <c r="HYS248" s="4"/>
      <c r="HYT248" s="4"/>
      <c r="HYU248" s="4"/>
      <c r="HYV248" s="4"/>
      <c r="HYW248" s="4"/>
      <c r="HYX248" s="4"/>
      <c r="HYY248" s="4"/>
      <c r="HYZ248" s="4"/>
      <c r="HZA248" s="4"/>
      <c r="HZB248" s="4"/>
      <c r="HZC248" s="4"/>
      <c r="HZD248" s="4"/>
      <c r="HZE248" s="4"/>
      <c r="HZF248" s="4"/>
      <c r="HZG248" s="4"/>
      <c r="HZH248" s="4"/>
      <c r="HZI248" s="4"/>
      <c r="HZJ248" s="4"/>
      <c r="HZK248" s="4"/>
      <c r="HZL248" s="4"/>
      <c r="HZM248" s="4"/>
      <c r="HZN248" s="4"/>
      <c r="HZO248" s="4"/>
      <c r="HZP248" s="4"/>
      <c r="HZQ248" s="4"/>
      <c r="HZR248" s="4"/>
      <c r="HZS248" s="4"/>
      <c r="HZT248" s="4"/>
      <c r="HZU248" s="4"/>
      <c r="HZV248" s="4"/>
      <c r="HZW248" s="4"/>
      <c r="HZX248" s="4"/>
      <c r="HZY248" s="4"/>
      <c r="HZZ248" s="4"/>
      <c r="IAA248" s="4"/>
      <c r="IAB248" s="4"/>
      <c r="IAC248" s="4"/>
      <c r="IAD248" s="4"/>
      <c r="IAE248" s="4"/>
      <c r="IAF248" s="4"/>
      <c r="IAG248" s="4"/>
      <c r="IAH248" s="4"/>
      <c r="IAI248" s="4"/>
      <c r="IAJ248" s="4"/>
      <c r="IAK248" s="4"/>
      <c r="IAL248" s="4"/>
      <c r="IAM248" s="4"/>
      <c r="IAN248" s="4"/>
      <c r="IAO248" s="4"/>
      <c r="IAP248" s="4"/>
      <c r="IAQ248" s="4"/>
      <c r="IAR248" s="4"/>
      <c r="IAS248" s="4"/>
      <c r="IAT248" s="4"/>
      <c r="IAU248" s="4"/>
      <c r="IAV248" s="4"/>
      <c r="IAW248" s="4"/>
      <c r="IAX248" s="4"/>
      <c r="IAY248" s="4"/>
      <c r="IAZ248" s="4"/>
      <c r="IBA248" s="4"/>
      <c r="IBB248" s="4"/>
      <c r="IBC248" s="4"/>
      <c r="IBD248" s="4"/>
      <c r="IBE248" s="4"/>
      <c r="IBF248" s="4"/>
      <c r="IBG248" s="4"/>
      <c r="IBH248" s="4"/>
      <c r="IBI248" s="4"/>
      <c r="IBJ248" s="4"/>
      <c r="IBK248" s="4"/>
      <c r="IBL248" s="4"/>
      <c r="IBM248" s="4"/>
      <c r="IBN248" s="4"/>
      <c r="IBO248" s="4"/>
      <c r="IBP248" s="4"/>
      <c r="IBQ248" s="4"/>
      <c r="IBR248" s="4"/>
      <c r="IBS248" s="4"/>
      <c r="IBT248" s="4"/>
      <c r="IBU248" s="4"/>
      <c r="IBV248" s="4"/>
      <c r="IBW248" s="4"/>
      <c r="IBX248" s="4"/>
      <c r="IBY248" s="4"/>
      <c r="IBZ248" s="4"/>
      <c r="ICA248" s="4"/>
      <c r="ICB248" s="4"/>
      <c r="ICC248" s="4"/>
      <c r="ICD248" s="4"/>
      <c r="ICE248" s="4"/>
      <c r="ICF248" s="4"/>
      <c r="ICG248" s="4"/>
      <c r="ICH248" s="4"/>
      <c r="ICI248" s="4"/>
      <c r="ICJ248" s="4"/>
      <c r="ICK248" s="4"/>
      <c r="ICL248" s="4"/>
      <c r="ICM248" s="4"/>
      <c r="ICN248" s="4"/>
      <c r="ICO248" s="4"/>
      <c r="ICP248" s="4"/>
      <c r="ICQ248" s="4"/>
      <c r="ICR248" s="4"/>
      <c r="ICS248" s="4"/>
      <c r="ICT248" s="4"/>
      <c r="ICU248" s="4"/>
      <c r="ICV248" s="4"/>
      <c r="ICW248" s="4"/>
      <c r="ICX248" s="4"/>
      <c r="ICY248" s="4"/>
      <c r="ICZ248" s="4"/>
      <c r="IDA248" s="4"/>
      <c r="IDB248" s="4"/>
      <c r="IDC248" s="4"/>
      <c r="IDD248" s="4"/>
      <c r="IDE248" s="4"/>
      <c r="IDF248" s="4"/>
      <c r="IDG248" s="4"/>
      <c r="IDH248" s="4"/>
      <c r="IDI248" s="4"/>
      <c r="IDJ248" s="4"/>
      <c r="IDK248" s="4"/>
      <c r="IDL248" s="4"/>
      <c r="IDM248" s="4"/>
      <c r="IDN248" s="4"/>
      <c r="IDO248" s="4"/>
      <c r="IDP248" s="4"/>
      <c r="IDQ248" s="4"/>
      <c r="IDR248" s="4"/>
      <c r="IDS248" s="4"/>
      <c r="IDT248" s="4"/>
      <c r="IDU248" s="4"/>
      <c r="IDV248" s="4"/>
      <c r="IDW248" s="4"/>
      <c r="IDX248" s="4"/>
      <c r="IDY248" s="4"/>
      <c r="IDZ248" s="4"/>
      <c r="IEA248" s="4"/>
      <c r="IEB248" s="4"/>
      <c r="IEC248" s="4"/>
      <c r="IED248" s="4"/>
      <c r="IEE248" s="4"/>
      <c r="IEF248" s="4"/>
      <c r="IEG248" s="4"/>
      <c r="IEH248" s="4"/>
      <c r="IEI248" s="4"/>
      <c r="IEJ248" s="4"/>
      <c r="IEK248" s="4"/>
      <c r="IEL248" s="4"/>
      <c r="IEM248" s="4"/>
      <c r="IEN248" s="4"/>
      <c r="IEO248" s="4"/>
      <c r="IEP248" s="4"/>
      <c r="IEQ248" s="4"/>
      <c r="IER248" s="4"/>
      <c r="IES248" s="4"/>
      <c r="IET248" s="4"/>
      <c r="IEU248" s="4"/>
      <c r="IEV248" s="4"/>
      <c r="IEW248" s="4"/>
      <c r="IEX248" s="4"/>
      <c r="IEY248" s="4"/>
      <c r="IEZ248" s="4"/>
      <c r="IFA248" s="4"/>
      <c r="IFB248" s="4"/>
      <c r="IFC248" s="4"/>
      <c r="IFD248" s="4"/>
      <c r="IFE248" s="4"/>
      <c r="IFF248" s="4"/>
      <c r="IFG248" s="4"/>
      <c r="IFH248" s="4"/>
      <c r="IFI248" s="4"/>
      <c r="IFJ248" s="4"/>
      <c r="IFK248" s="4"/>
      <c r="IFL248" s="4"/>
      <c r="IFM248" s="4"/>
      <c r="IFN248" s="4"/>
      <c r="IFO248" s="4"/>
      <c r="IFP248" s="4"/>
      <c r="IFQ248" s="4"/>
      <c r="IFR248" s="4"/>
      <c r="IFS248" s="4"/>
      <c r="IFT248" s="4"/>
      <c r="IFU248" s="4"/>
      <c r="IFV248" s="4"/>
      <c r="IFW248" s="4"/>
      <c r="IFX248" s="4"/>
      <c r="IFY248" s="4"/>
      <c r="IFZ248" s="4"/>
      <c r="IGA248" s="4"/>
      <c r="IGB248" s="4"/>
      <c r="IGC248" s="4"/>
      <c r="IGD248" s="4"/>
      <c r="IGE248" s="4"/>
      <c r="IGF248" s="4"/>
      <c r="IGG248" s="4"/>
      <c r="IGH248" s="4"/>
      <c r="IGI248" s="4"/>
      <c r="IGJ248" s="4"/>
      <c r="IGK248" s="4"/>
      <c r="IGL248" s="4"/>
      <c r="IGM248" s="4"/>
      <c r="IGN248" s="4"/>
      <c r="IGO248" s="4"/>
      <c r="IGP248" s="4"/>
      <c r="IGQ248" s="4"/>
      <c r="IGR248" s="4"/>
      <c r="IGS248" s="4"/>
      <c r="IGT248" s="4"/>
      <c r="IGU248" s="4"/>
      <c r="IGV248" s="4"/>
      <c r="IGW248" s="4"/>
      <c r="IGX248" s="4"/>
      <c r="IGY248" s="4"/>
      <c r="IGZ248" s="4"/>
      <c r="IHA248" s="4"/>
      <c r="IHB248" s="4"/>
      <c r="IHC248" s="4"/>
      <c r="IHD248" s="4"/>
      <c r="IHE248" s="4"/>
      <c r="IHF248" s="4"/>
      <c r="IHG248" s="4"/>
      <c r="IHH248" s="4"/>
      <c r="IHI248" s="4"/>
      <c r="IHJ248" s="4"/>
      <c r="IHK248" s="4"/>
      <c r="IHL248" s="4"/>
      <c r="IHM248" s="4"/>
      <c r="IHN248" s="4"/>
      <c r="IHO248" s="4"/>
      <c r="IHP248" s="4"/>
      <c r="IHQ248" s="4"/>
      <c r="IHR248" s="4"/>
      <c r="IHS248" s="4"/>
      <c r="IHT248" s="4"/>
      <c r="IHU248" s="4"/>
      <c r="IHV248" s="4"/>
      <c r="IHW248" s="4"/>
      <c r="IHX248" s="4"/>
      <c r="IHY248" s="4"/>
      <c r="IHZ248" s="4"/>
      <c r="IIA248" s="4"/>
      <c r="IIB248" s="4"/>
      <c r="IIC248" s="4"/>
      <c r="IID248" s="4"/>
      <c r="IIE248" s="4"/>
      <c r="IIF248" s="4"/>
      <c r="IIG248" s="4"/>
      <c r="IIH248" s="4"/>
      <c r="III248" s="4"/>
      <c r="IIJ248" s="4"/>
      <c r="IIK248" s="4"/>
      <c r="IIL248" s="4"/>
      <c r="IIM248" s="4"/>
      <c r="IIN248" s="4"/>
      <c r="IIO248" s="4"/>
      <c r="IIP248" s="4"/>
      <c r="IIQ248" s="4"/>
      <c r="IIR248" s="4"/>
      <c r="IIS248" s="4"/>
      <c r="IIT248" s="4"/>
      <c r="IIU248" s="4"/>
      <c r="IIV248" s="4"/>
      <c r="IIW248" s="4"/>
      <c r="IIX248" s="4"/>
      <c r="IIY248" s="4"/>
      <c r="IIZ248" s="4"/>
      <c r="IJA248" s="4"/>
      <c r="IJB248" s="4"/>
      <c r="IJC248" s="4"/>
      <c r="IJD248" s="4"/>
      <c r="IJE248" s="4"/>
      <c r="IJF248" s="4"/>
      <c r="IJG248" s="4"/>
      <c r="IJH248" s="4"/>
      <c r="IJI248" s="4"/>
      <c r="IJJ248" s="4"/>
      <c r="IJK248" s="4"/>
      <c r="IJL248" s="4"/>
      <c r="IJM248" s="4"/>
      <c r="IJN248" s="4"/>
      <c r="IJO248" s="4"/>
      <c r="IJP248" s="4"/>
      <c r="IJQ248" s="4"/>
      <c r="IJR248" s="4"/>
      <c r="IJS248" s="4"/>
      <c r="IJT248" s="4"/>
      <c r="IJU248" s="4"/>
      <c r="IJV248" s="4"/>
      <c r="IJW248" s="4"/>
      <c r="IJX248" s="4"/>
      <c r="IJY248" s="4"/>
      <c r="IJZ248" s="4"/>
      <c r="IKA248" s="4"/>
      <c r="IKB248" s="4"/>
      <c r="IKC248" s="4"/>
      <c r="IKD248" s="4"/>
      <c r="IKE248" s="4"/>
      <c r="IKF248" s="4"/>
      <c r="IKG248" s="4"/>
      <c r="IKH248" s="4"/>
      <c r="IKI248" s="4"/>
      <c r="IKJ248" s="4"/>
      <c r="IKK248" s="4"/>
      <c r="IKL248" s="4"/>
      <c r="IKM248" s="4"/>
      <c r="IKN248" s="4"/>
      <c r="IKO248" s="4"/>
      <c r="IKP248" s="4"/>
      <c r="IKQ248" s="4"/>
      <c r="IKR248" s="4"/>
      <c r="IKS248" s="4"/>
      <c r="IKT248" s="4"/>
      <c r="IKU248" s="4"/>
      <c r="IKV248" s="4"/>
      <c r="IKW248" s="4"/>
      <c r="IKX248" s="4"/>
      <c r="IKY248" s="4"/>
      <c r="IKZ248" s="4"/>
      <c r="ILA248" s="4"/>
      <c r="ILB248" s="4"/>
      <c r="ILC248" s="4"/>
      <c r="ILD248" s="4"/>
      <c r="ILE248" s="4"/>
      <c r="ILF248" s="4"/>
      <c r="ILG248" s="4"/>
      <c r="ILH248" s="4"/>
      <c r="ILI248" s="4"/>
      <c r="ILJ248" s="4"/>
      <c r="ILK248" s="4"/>
      <c r="ILL248" s="4"/>
      <c r="ILM248" s="4"/>
      <c r="ILN248" s="4"/>
      <c r="ILO248" s="4"/>
      <c r="ILP248" s="4"/>
      <c r="ILQ248" s="4"/>
      <c r="ILR248" s="4"/>
      <c r="ILS248" s="4"/>
      <c r="ILT248" s="4"/>
      <c r="ILU248" s="4"/>
      <c r="ILV248" s="4"/>
      <c r="ILW248" s="4"/>
      <c r="ILX248" s="4"/>
      <c r="ILY248" s="4"/>
      <c r="ILZ248" s="4"/>
      <c r="IMA248" s="4"/>
      <c r="IMB248" s="4"/>
      <c r="IMC248" s="4"/>
      <c r="IMD248" s="4"/>
      <c r="IME248" s="4"/>
      <c r="IMF248" s="4"/>
      <c r="IMG248" s="4"/>
      <c r="IMH248" s="4"/>
      <c r="IMI248" s="4"/>
      <c r="IMJ248" s="4"/>
      <c r="IMK248" s="4"/>
      <c r="IML248" s="4"/>
      <c r="IMM248" s="4"/>
      <c r="IMN248" s="4"/>
      <c r="IMO248" s="4"/>
      <c r="IMP248" s="4"/>
      <c r="IMQ248" s="4"/>
      <c r="IMR248" s="4"/>
      <c r="IMS248" s="4"/>
      <c r="IMT248" s="4"/>
      <c r="IMU248" s="4"/>
      <c r="IMV248" s="4"/>
      <c r="IMW248" s="4"/>
      <c r="IMX248" s="4"/>
      <c r="IMY248" s="4"/>
      <c r="IMZ248" s="4"/>
      <c r="INA248" s="4"/>
      <c r="INB248" s="4"/>
      <c r="INC248" s="4"/>
      <c r="IND248" s="4"/>
      <c r="INE248" s="4"/>
      <c r="INF248" s="4"/>
      <c r="ING248" s="4"/>
      <c r="INH248" s="4"/>
      <c r="INI248" s="4"/>
      <c r="INJ248" s="4"/>
      <c r="INK248" s="4"/>
      <c r="INL248" s="4"/>
      <c r="INM248" s="4"/>
      <c r="INN248" s="4"/>
      <c r="INO248" s="4"/>
      <c r="INP248" s="4"/>
      <c r="INQ248" s="4"/>
      <c r="INR248" s="4"/>
      <c r="INS248" s="4"/>
      <c r="INT248" s="4"/>
      <c r="INU248" s="4"/>
      <c r="INV248" s="4"/>
      <c r="INW248" s="4"/>
      <c r="INX248" s="4"/>
      <c r="INY248" s="4"/>
      <c r="INZ248" s="4"/>
      <c r="IOA248" s="4"/>
      <c r="IOB248" s="4"/>
      <c r="IOC248" s="4"/>
      <c r="IOD248" s="4"/>
      <c r="IOE248" s="4"/>
      <c r="IOF248" s="4"/>
      <c r="IOG248" s="4"/>
      <c r="IOH248" s="4"/>
      <c r="IOI248" s="4"/>
      <c r="IOJ248" s="4"/>
      <c r="IOK248" s="4"/>
      <c r="IOL248" s="4"/>
      <c r="IOM248" s="4"/>
      <c r="ION248" s="4"/>
      <c r="IOO248" s="4"/>
      <c r="IOP248" s="4"/>
      <c r="IOQ248" s="4"/>
      <c r="IOR248" s="4"/>
      <c r="IOS248" s="4"/>
      <c r="IOT248" s="4"/>
      <c r="IOU248" s="4"/>
      <c r="IOV248" s="4"/>
      <c r="IOW248" s="4"/>
      <c r="IOX248" s="4"/>
      <c r="IOY248" s="4"/>
      <c r="IOZ248" s="4"/>
      <c r="IPA248" s="4"/>
      <c r="IPB248" s="4"/>
      <c r="IPC248" s="4"/>
      <c r="IPD248" s="4"/>
      <c r="IPE248" s="4"/>
      <c r="IPF248" s="4"/>
      <c r="IPG248" s="4"/>
      <c r="IPH248" s="4"/>
      <c r="IPI248" s="4"/>
      <c r="IPJ248" s="4"/>
      <c r="IPK248" s="4"/>
      <c r="IPL248" s="4"/>
      <c r="IPM248" s="4"/>
      <c r="IPN248" s="4"/>
      <c r="IPO248" s="4"/>
      <c r="IPP248" s="4"/>
      <c r="IPQ248" s="4"/>
      <c r="IPR248" s="4"/>
      <c r="IPS248" s="4"/>
      <c r="IPT248" s="4"/>
      <c r="IPU248" s="4"/>
      <c r="IPV248" s="4"/>
      <c r="IPW248" s="4"/>
      <c r="IPX248" s="4"/>
      <c r="IPY248" s="4"/>
      <c r="IPZ248" s="4"/>
      <c r="IQA248" s="4"/>
      <c r="IQB248" s="4"/>
      <c r="IQC248" s="4"/>
      <c r="IQD248" s="4"/>
      <c r="IQE248" s="4"/>
      <c r="IQF248" s="4"/>
      <c r="IQG248" s="4"/>
      <c r="IQH248" s="4"/>
      <c r="IQI248" s="4"/>
      <c r="IQJ248" s="4"/>
      <c r="IQK248" s="4"/>
      <c r="IQL248" s="4"/>
      <c r="IQM248" s="4"/>
      <c r="IQN248" s="4"/>
      <c r="IQO248" s="4"/>
      <c r="IQP248" s="4"/>
      <c r="IQQ248" s="4"/>
      <c r="IQR248" s="4"/>
      <c r="IQS248" s="4"/>
      <c r="IQT248" s="4"/>
      <c r="IQU248" s="4"/>
      <c r="IQV248" s="4"/>
      <c r="IQW248" s="4"/>
      <c r="IQX248" s="4"/>
      <c r="IQY248" s="4"/>
      <c r="IQZ248" s="4"/>
      <c r="IRA248" s="4"/>
      <c r="IRB248" s="4"/>
      <c r="IRC248" s="4"/>
      <c r="IRD248" s="4"/>
      <c r="IRE248" s="4"/>
      <c r="IRF248" s="4"/>
      <c r="IRG248" s="4"/>
      <c r="IRH248" s="4"/>
      <c r="IRI248" s="4"/>
      <c r="IRJ248" s="4"/>
      <c r="IRK248" s="4"/>
      <c r="IRL248" s="4"/>
      <c r="IRM248" s="4"/>
      <c r="IRN248" s="4"/>
      <c r="IRO248" s="4"/>
      <c r="IRP248" s="4"/>
      <c r="IRQ248" s="4"/>
      <c r="IRR248" s="4"/>
      <c r="IRS248" s="4"/>
      <c r="IRT248" s="4"/>
      <c r="IRU248" s="4"/>
      <c r="IRV248" s="4"/>
      <c r="IRW248" s="4"/>
      <c r="IRX248" s="4"/>
      <c r="IRY248" s="4"/>
      <c r="IRZ248" s="4"/>
      <c r="ISA248" s="4"/>
      <c r="ISB248" s="4"/>
      <c r="ISC248" s="4"/>
      <c r="ISD248" s="4"/>
      <c r="ISE248" s="4"/>
      <c r="ISF248" s="4"/>
      <c r="ISG248" s="4"/>
      <c r="ISH248" s="4"/>
      <c r="ISI248" s="4"/>
      <c r="ISJ248" s="4"/>
      <c r="ISK248" s="4"/>
      <c r="ISL248" s="4"/>
      <c r="ISM248" s="4"/>
      <c r="ISN248" s="4"/>
      <c r="ISO248" s="4"/>
      <c r="ISP248" s="4"/>
      <c r="ISQ248" s="4"/>
      <c r="ISR248" s="4"/>
      <c r="ISS248" s="4"/>
      <c r="IST248" s="4"/>
      <c r="ISU248" s="4"/>
      <c r="ISV248" s="4"/>
      <c r="ISW248" s="4"/>
      <c r="ISX248" s="4"/>
      <c r="ISY248" s="4"/>
      <c r="ISZ248" s="4"/>
      <c r="ITA248" s="4"/>
      <c r="ITB248" s="4"/>
      <c r="ITC248" s="4"/>
      <c r="ITD248" s="4"/>
      <c r="ITE248" s="4"/>
      <c r="ITF248" s="4"/>
      <c r="ITG248" s="4"/>
      <c r="ITH248" s="4"/>
      <c r="ITI248" s="4"/>
      <c r="ITJ248" s="4"/>
      <c r="ITK248" s="4"/>
      <c r="ITL248" s="4"/>
      <c r="ITM248" s="4"/>
      <c r="ITN248" s="4"/>
      <c r="ITO248" s="4"/>
      <c r="ITP248" s="4"/>
      <c r="ITQ248" s="4"/>
      <c r="ITR248" s="4"/>
      <c r="ITS248" s="4"/>
      <c r="ITT248" s="4"/>
      <c r="ITU248" s="4"/>
      <c r="ITV248" s="4"/>
      <c r="ITW248" s="4"/>
      <c r="ITX248" s="4"/>
      <c r="ITY248" s="4"/>
      <c r="ITZ248" s="4"/>
      <c r="IUA248" s="4"/>
      <c r="IUB248" s="4"/>
      <c r="IUC248" s="4"/>
      <c r="IUD248" s="4"/>
      <c r="IUE248" s="4"/>
      <c r="IUF248" s="4"/>
      <c r="IUG248" s="4"/>
      <c r="IUH248" s="4"/>
      <c r="IUI248" s="4"/>
      <c r="IUJ248" s="4"/>
      <c r="IUK248" s="4"/>
      <c r="IUL248" s="4"/>
      <c r="IUM248" s="4"/>
      <c r="IUN248" s="4"/>
      <c r="IUO248" s="4"/>
      <c r="IUP248" s="4"/>
      <c r="IUQ248" s="4"/>
      <c r="IUR248" s="4"/>
      <c r="IUS248" s="4"/>
      <c r="IUT248" s="4"/>
      <c r="IUU248" s="4"/>
      <c r="IUV248" s="4"/>
      <c r="IUW248" s="4"/>
      <c r="IUX248" s="4"/>
      <c r="IUY248" s="4"/>
      <c r="IUZ248" s="4"/>
      <c r="IVA248" s="4"/>
      <c r="IVB248" s="4"/>
      <c r="IVC248" s="4"/>
      <c r="IVD248" s="4"/>
      <c r="IVE248" s="4"/>
      <c r="IVF248" s="4"/>
      <c r="IVG248" s="4"/>
      <c r="IVH248" s="4"/>
      <c r="IVI248" s="4"/>
      <c r="IVJ248" s="4"/>
      <c r="IVK248" s="4"/>
      <c r="IVL248" s="4"/>
      <c r="IVM248" s="4"/>
      <c r="IVN248" s="4"/>
      <c r="IVO248" s="4"/>
      <c r="IVP248" s="4"/>
      <c r="IVQ248" s="4"/>
      <c r="IVR248" s="4"/>
      <c r="IVS248" s="4"/>
      <c r="IVT248" s="4"/>
      <c r="IVU248" s="4"/>
      <c r="IVV248" s="4"/>
      <c r="IVW248" s="4"/>
      <c r="IVX248" s="4"/>
      <c r="IVY248" s="4"/>
      <c r="IVZ248" s="4"/>
      <c r="IWA248" s="4"/>
      <c r="IWB248" s="4"/>
      <c r="IWC248" s="4"/>
      <c r="IWD248" s="4"/>
      <c r="IWE248" s="4"/>
      <c r="IWF248" s="4"/>
      <c r="IWG248" s="4"/>
      <c r="IWH248" s="4"/>
      <c r="IWI248" s="4"/>
      <c r="IWJ248" s="4"/>
      <c r="IWK248" s="4"/>
      <c r="IWL248" s="4"/>
      <c r="IWM248" s="4"/>
      <c r="IWN248" s="4"/>
      <c r="IWO248" s="4"/>
      <c r="IWP248" s="4"/>
      <c r="IWQ248" s="4"/>
      <c r="IWR248" s="4"/>
      <c r="IWS248" s="4"/>
      <c r="IWT248" s="4"/>
      <c r="IWU248" s="4"/>
      <c r="IWV248" s="4"/>
      <c r="IWW248" s="4"/>
      <c r="IWX248" s="4"/>
      <c r="IWY248" s="4"/>
      <c r="IWZ248" s="4"/>
      <c r="IXA248" s="4"/>
      <c r="IXB248" s="4"/>
      <c r="IXC248" s="4"/>
      <c r="IXD248" s="4"/>
      <c r="IXE248" s="4"/>
      <c r="IXF248" s="4"/>
      <c r="IXG248" s="4"/>
      <c r="IXH248" s="4"/>
      <c r="IXI248" s="4"/>
      <c r="IXJ248" s="4"/>
      <c r="IXK248" s="4"/>
      <c r="IXL248" s="4"/>
      <c r="IXM248" s="4"/>
      <c r="IXN248" s="4"/>
      <c r="IXO248" s="4"/>
      <c r="IXP248" s="4"/>
      <c r="IXQ248" s="4"/>
      <c r="IXR248" s="4"/>
      <c r="IXS248" s="4"/>
      <c r="IXT248" s="4"/>
      <c r="IXU248" s="4"/>
      <c r="IXV248" s="4"/>
      <c r="IXW248" s="4"/>
      <c r="IXX248" s="4"/>
      <c r="IXY248" s="4"/>
      <c r="IXZ248" s="4"/>
      <c r="IYA248" s="4"/>
      <c r="IYB248" s="4"/>
      <c r="IYC248" s="4"/>
      <c r="IYD248" s="4"/>
      <c r="IYE248" s="4"/>
      <c r="IYF248" s="4"/>
      <c r="IYG248" s="4"/>
      <c r="IYH248" s="4"/>
      <c r="IYI248" s="4"/>
      <c r="IYJ248" s="4"/>
      <c r="IYK248" s="4"/>
      <c r="IYL248" s="4"/>
      <c r="IYM248" s="4"/>
      <c r="IYN248" s="4"/>
      <c r="IYO248" s="4"/>
      <c r="IYP248" s="4"/>
      <c r="IYQ248" s="4"/>
      <c r="IYR248" s="4"/>
      <c r="IYS248" s="4"/>
      <c r="IYT248" s="4"/>
      <c r="IYU248" s="4"/>
      <c r="IYV248" s="4"/>
      <c r="IYW248" s="4"/>
      <c r="IYX248" s="4"/>
      <c r="IYY248" s="4"/>
      <c r="IYZ248" s="4"/>
      <c r="IZA248" s="4"/>
      <c r="IZB248" s="4"/>
      <c r="IZC248" s="4"/>
      <c r="IZD248" s="4"/>
      <c r="IZE248" s="4"/>
      <c r="IZF248" s="4"/>
      <c r="IZG248" s="4"/>
      <c r="IZH248" s="4"/>
      <c r="IZI248" s="4"/>
      <c r="IZJ248" s="4"/>
      <c r="IZK248" s="4"/>
      <c r="IZL248" s="4"/>
      <c r="IZM248" s="4"/>
      <c r="IZN248" s="4"/>
      <c r="IZO248" s="4"/>
      <c r="IZP248" s="4"/>
      <c r="IZQ248" s="4"/>
      <c r="IZR248" s="4"/>
      <c r="IZS248" s="4"/>
      <c r="IZT248" s="4"/>
      <c r="IZU248" s="4"/>
      <c r="IZV248" s="4"/>
      <c r="IZW248" s="4"/>
      <c r="IZX248" s="4"/>
      <c r="IZY248" s="4"/>
      <c r="IZZ248" s="4"/>
      <c r="JAA248" s="4"/>
      <c r="JAB248" s="4"/>
      <c r="JAC248" s="4"/>
      <c r="JAD248" s="4"/>
      <c r="JAE248" s="4"/>
      <c r="JAF248" s="4"/>
      <c r="JAG248" s="4"/>
      <c r="JAH248" s="4"/>
      <c r="JAI248" s="4"/>
      <c r="JAJ248" s="4"/>
      <c r="JAK248" s="4"/>
      <c r="JAL248" s="4"/>
      <c r="JAM248" s="4"/>
      <c r="JAN248" s="4"/>
      <c r="JAO248" s="4"/>
      <c r="JAP248" s="4"/>
      <c r="JAQ248" s="4"/>
      <c r="JAR248" s="4"/>
      <c r="JAS248" s="4"/>
      <c r="JAT248" s="4"/>
      <c r="JAU248" s="4"/>
      <c r="JAV248" s="4"/>
      <c r="JAW248" s="4"/>
      <c r="JAX248" s="4"/>
      <c r="JAY248" s="4"/>
      <c r="JAZ248" s="4"/>
      <c r="JBA248" s="4"/>
      <c r="JBB248" s="4"/>
      <c r="JBC248" s="4"/>
      <c r="JBD248" s="4"/>
      <c r="JBE248" s="4"/>
      <c r="JBF248" s="4"/>
      <c r="JBG248" s="4"/>
      <c r="JBH248" s="4"/>
      <c r="JBI248" s="4"/>
      <c r="JBJ248" s="4"/>
      <c r="JBK248" s="4"/>
      <c r="JBL248" s="4"/>
      <c r="JBM248" s="4"/>
      <c r="JBN248" s="4"/>
      <c r="JBO248" s="4"/>
      <c r="JBP248" s="4"/>
      <c r="JBQ248" s="4"/>
      <c r="JBR248" s="4"/>
      <c r="JBS248" s="4"/>
      <c r="JBT248" s="4"/>
      <c r="JBU248" s="4"/>
      <c r="JBV248" s="4"/>
      <c r="JBW248" s="4"/>
      <c r="JBX248" s="4"/>
      <c r="JBY248" s="4"/>
      <c r="JBZ248" s="4"/>
      <c r="JCA248" s="4"/>
      <c r="JCB248" s="4"/>
      <c r="JCC248" s="4"/>
      <c r="JCD248" s="4"/>
      <c r="JCE248" s="4"/>
      <c r="JCF248" s="4"/>
      <c r="JCG248" s="4"/>
      <c r="JCH248" s="4"/>
      <c r="JCI248" s="4"/>
      <c r="JCJ248" s="4"/>
      <c r="JCK248" s="4"/>
      <c r="JCL248" s="4"/>
      <c r="JCM248" s="4"/>
      <c r="JCN248" s="4"/>
      <c r="JCO248" s="4"/>
      <c r="JCP248" s="4"/>
      <c r="JCQ248" s="4"/>
      <c r="JCR248" s="4"/>
      <c r="JCS248" s="4"/>
      <c r="JCT248" s="4"/>
      <c r="JCU248" s="4"/>
      <c r="JCV248" s="4"/>
      <c r="JCW248" s="4"/>
      <c r="JCX248" s="4"/>
      <c r="JCY248" s="4"/>
      <c r="JCZ248" s="4"/>
      <c r="JDA248" s="4"/>
      <c r="JDB248" s="4"/>
      <c r="JDC248" s="4"/>
      <c r="JDD248" s="4"/>
      <c r="JDE248" s="4"/>
      <c r="JDF248" s="4"/>
      <c r="JDG248" s="4"/>
      <c r="JDH248" s="4"/>
      <c r="JDI248" s="4"/>
      <c r="JDJ248" s="4"/>
      <c r="JDK248" s="4"/>
      <c r="JDL248" s="4"/>
      <c r="JDM248" s="4"/>
      <c r="JDN248" s="4"/>
      <c r="JDO248" s="4"/>
      <c r="JDP248" s="4"/>
      <c r="JDQ248" s="4"/>
      <c r="JDR248" s="4"/>
      <c r="JDS248" s="4"/>
      <c r="JDT248" s="4"/>
      <c r="JDU248" s="4"/>
      <c r="JDV248" s="4"/>
      <c r="JDW248" s="4"/>
      <c r="JDX248" s="4"/>
      <c r="JDY248" s="4"/>
      <c r="JDZ248" s="4"/>
      <c r="JEA248" s="4"/>
      <c r="JEB248" s="4"/>
      <c r="JEC248" s="4"/>
      <c r="JED248" s="4"/>
      <c r="JEE248" s="4"/>
      <c r="JEF248" s="4"/>
      <c r="JEG248" s="4"/>
      <c r="JEH248" s="4"/>
      <c r="JEI248" s="4"/>
      <c r="JEJ248" s="4"/>
      <c r="JEK248" s="4"/>
      <c r="JEL248" s="4"/>
      <c r="JEM248" s="4"/>
      <c r="JEN248" s="4"/>
      <c r="JEO248" s="4"/>
      <c r="JEP248" s="4"/>
      <c r="JEQ248" s="4"/>
      <c r="JER248" s="4"/>
      <c r="JES248" s="4"/>
      <c r="JET248" s="4"/>
      <c r="JEU248" s="4"/>
      <c r="JEV248" s="4"/>
      <c r="JEW248" s="4"/>
      <c r="JEX248" s="4"/>
      <c r="JEY248" s="4"/>
      <c r="JEZ248" s="4"/>
      <c r="JFA248" s="4"/>
      <c r="JFB248" s="4"/>
      <c r="JFC248" s="4"/>
      <c r="JFD248" s="4"/>
      <c r="JFE248" s="4"/>
      <c r="JFF248" s="4"/>
      <c r="JFG248" s="4"/>
      <c r="JFH248" s="4"/>
      <c r="JFI248" s="4"/>
      <c r="JFJ248" s="4"/>
      <c r="JFK248" s="4"/>
      <c r="JFL248" s="4"/>
      <c r="JFM248" s="4"/>
      <c r="JFN248" s="4"/>
      <c r="JFO248" s="4"/>
      <c r="JFP248" s="4"/>
      <c r="JFQ248" s="4"/>
      <c r="JFR248" s="4"/>
      <c r="JFS248" s="4"/>
      <c r="JFT248" s="4"/>
      <c r="JFU248" s="4"/>
      <c r="JFV248" s="4"/>
      <c r="JFW248" s="4"/>
      <c r="JFX248" s="4"/>
      <c r="JFY248" s="4"/>
      <c r="JFZ248" s="4"/>
      <c r="JGA248" s="4"/>
      <c r="JGB248" s="4"/>
      <c r="JGC248" s="4"/>
      <c r="JGD248" s="4"/>
      <c r="JGE248" s="4"/>
      <c r="JGF248" s="4"/>
      <c r="JGG248" s="4"/>
      <c r="JGH248" s="4"/>
      <c r="JGI248" s="4"/>
      <c r="JGJ248" s="4"/>
      <c r="JGK248" s="4"/>
      <c r="JGL248" s="4"/>
      <c r="JGM248" s="4"/>
      <c r="JGN248" s="4"/>
      <c r="JGO248" s="4"/>
      <c r="JGP248" s="4"/>
      <c r="JGQ248" s="4"/>
      <c r="JGR248" s="4"/>
      <c r="JGS248" s="4"/>
      <c r="JGT248" s="4"/>
      <c r="JGU248" s="4"/>
      <c r="JGV248" s="4"/>
      <c r="JGW248" s="4"/>
      <c r="JGX248" s="4"/>
      <c r="JGY248" s="4"/>
      <c r="JGZ248" s="4"/>
      <c r="JHA248" s="4"/>
      <c r="JHB248" s="4"/>
      <c r="JHC248" s="4"/>
      <c r="JHD248" s="4"/>
      <c r="JHE248" s="4"/>
      <c r="JHF248" s="4"/>
      <c r="JHG248" s="4"/>
      <c r="JHH248" s="4"/>
      <c r="JHI248" s="4"/>
      <c r="JHJ248" s="4"/>
      <c r="JHK248" s="4"/>
      <c r="JHL248" s="4"/>
      <c r="JHM248" s="4"/>
      <c r="JHN248" s="4"/>
      <c r="JHO248" s="4"/>
      <c r="JHP248" s="4"/>
      <c r="JHQ248" s="4"/>
      <c r="JHR248" s="4"/>
      <c r="JHS248" s="4"/>
      <c r="JHT248" s="4"/>
      <c r="JHU248" s="4"/>
      <c r="JHV248" s="4"/>
      <c r="JHW248" s="4"/>
      <c r="JHX248" s="4"/>
      <c r="JHY248" s="4"/>
      <c r="JHZ248" s="4"/>
      <c r="JIA248" s="4"/>
      <c r="JIB248" s="4"/>
      <c r="JIC248" s="4"/>
      <c r="JID248" s="4"/>
      <c r="JIE248" s="4"/>
      <c r="JIF248" s="4"/>
      <c r="JIG248" s="4"/>
      <c r="JIH248" s="4"/>
      <c r="JII248" s="4"/>
      <c r="JIJ248" s="4"/>
      <c r="JIK248" s="4"/>
      <c r="JIL248" s="4"/>
      <c r="JIM248" s="4"/>
      <c r="JIN248" s="4"/>
      <c r="JIO248" s="4"/>
      <c r="JIP248" s="4"/>
      <c r="JIQ248" s="4"/>
      <c r="JIR248" s="4"/>
      <c r="JIS248" s="4"/>
      <c r="JIT248" s="4"/>
      <c r="JIU248" s="4"/>
      <c r="JIV248" s="4"/>
      <c r="JIW248" s="4"/>
      <c r="JIX248" s="4"/>
      <c r="JIY248" s="4"/>
      <c r="JIZ248" s="4"/>
      <c r="JJA248" s="4"/>
      <c r="JJB248" s="4"/>
      <c r="JJC248" s="4"/>
      <c r="JJD248" s="4"/>
      <c r="JJE248" s="4"/>
      <c r="JJF248" s="4"/>
      <c r="JJG248" s="4"/>
      <c r="JJH248" s="4"/>
      <c r="JJI248" s="4"/>
      <c r="JJJ248" s="4"/>
      <c r="JJK248" s="4"/>
      <c r="JJL248" s="4"/>
      <c r="JJM248" s="4"/>
      <c r="JJN248" s="4"/>
      <c r="JJO248" s="4"/>
      <c r="JJP248" s="4"/>
      <c r="JJQ248" s="4"/>
      <c r="JJR248" s="4"/>
      <c r="JJS248" s="4"/>
      <c r="JJT248" s="4"/>
      <c r="JJU248" s="4"/>
      <c r="JJV248" s="4"/>
      <c r="JJW248" s="4"/>
      <c r="JJX248" s="4"/>
      <c r="JJY248" s="4"/>
      <c r="JJZ248" s="4"/>
      <c r="JKA248" s="4"/>
      <c r="JKB248" s="4"/>
      <c r="JKC248" s="4"/>
      <c r="JKD248" s="4"/>
      <c r="JKE248" s="4"/>
      <c r="JKF248" s="4"/>
      <c r="JKG248" s="4"/>
      <c r="JKH248" s="4"/>
      <c r="JKI248" s="4"/>
      <c r="JKJ248" s="4"/>
      <c r="JKK248" s="4"/>
      <c r="JKL248" s="4"/>
      <c r="JKM248" s="4"/>
      <c r="JKN248" s="4"/>
      <c r="JKO248" s="4"/>
      <c r="JKP248" s="4"/>
      <c r="JKQ248" s="4"/>
      <c r="JKR248" s="4"/>
      <c r="JKS248" s="4"/>
      <c r="JKT248" s="4"/>
      <c r="JKU248" s="4"/>
      <c r="JKV248" s="4"/>
      <c r="JKW248" s="4"/>
      <c r="JKX248" s="4"/>
      <c r="JKY248" s="4"/>
      <c r="JKZ248" s="4"/>
      <c r="JLA248" s="4"/>
      <c r="JLB248" s="4"/>
      <c r="JLC248" s="4"/>
      <c r="JLD248" s="4"/>
      <c r="JLE248" s="4"/>
      <c r="JLF248" s="4"/>
      <c r="JLG248" s="4"/>
      <c r="JLH248" s="4"/>
      <c r="JLI248" s="4"/>
      <c r="JLJ248" s="4"/>
      <c r="JLK248" s="4"/>
      <c r="JLL248" s="4"/>
      <c r="JLM248" s="4"/>
      <c r="JLN248" s="4"/>
      <c r="JLO248" s="4"/>
      <c r="JLP248" s="4"/>
      <c r="JLQ248" s="4"/>
      <c r="JLR248" s="4"/>
      <c r="JLS248" s="4"/>
      <c r="JLT248" s="4"/>
      <c r="JLU248" s="4"/>
      <c r="JLV248" s="4"/>
      <c r="JLW248" s="4"/>
      <c r="JLX248" s="4"/>
      <c r="JLY248" s="4"/>
      <c r="JLZ248" s="4"/>
      <c r="JMA248" s="4"/>
      <c r="JMB248" s="4"/>
      <c r="JMC248" s="4"/>
      <c r="JMD248" s="4"/>
      <c r="JME248" s="4"/>
      <c r="JMF248" s="4"/>
      <c r="JMG248" s="4"/>
      <c r="JMH248" s="4"/>
      <c r="JMI248" s="4"/>
      <c r="JMJ248" s="4"/>
      <c r="JMK248" s="4"/>
      <c r="JML248" s="4"/>
      <c r="JMM248" s="4"/>
      <c r="JMN248" s="4"/>
      <c r="JMO248" s="4"/>
      <c r="JMP248" s="4"/>
      <c r="JMQ248" s="4"/>
      <c r="JMR248" s="4"/>
      <c r="JMS248" s="4"/>
      <c r="JMT248" s="4"/>
      <c r="JMU248" s="4"/>
      <c r="JMV248" s="4"/>
      <c r="JMW248" s="4"/>
      <c r="JMX248" s="4"/>
      <c r="JMY248" s="4"/>
      <c r="JMZ248" s="4"/>
      <c r="JNA248" s="4"/>
      <c r="JNB248" s="4"/>
      <c r="JNC248" s="4"/>
      <c r="JND248" s="4"/>
      <c r="JNE248" s="4"/>
      <c r="JNF248" s="4"/>
      <c r="JNG248" s="4"/>
      <c r="JNH248" s="4"/>
      <c r="JNI248" s="4"/>
      <c r="JNJ248" s="4"/>
      <c r="JNK248" s="4"/>
      <c r="JNL248" s="4"/>
      <c r="JNM248" s="4"/>
      <c r="JNN248" s="4"/>
      <c r="JNO248" s="4"/>
      <c r="JNP248" s="4"/>
      <c r="JNQ248" s="4"/>
      <c r="JNR248" s="4"/>
      <c r="JNS248" s="4"/>
      <c r="JNT248" s="4"/>
      <c r="JNU248" s="4"/>
      <c r="JNV248" s="4"/>
      <c r="JNW248" s="4"/>
      <c r="JNX248" s="4"/>
      <c r="JNY248" s="4"/>
      <c r="JNZ248" s="4"/>
      <c r="JOA248" s="4"/>
      <c r="JOB248" s="4"/>
      <c r="JOC248" s="4"/>
      <c r="JOD248" s="4"/>
      <c r="JOE248" s="4"/>
      <c r="JOF248" s="4"/>
      <c r="JOG248" s="4"/>
      <c r="JOH248" s="4"/>
      <c r="JOI248" s="4"/>
      <c r="JOJ248" s="4"/>
      <c r="JOK248" s="4"/>
      <c r="JOL248" s="4"/>
      <c r="JOM248" s="4"/>
      <c r="JON248" s="4"/>
      <c r="JOO248" s="4"/>
      <c r="JOP248" s="4"/>
      <c r="JOQ248" s="4"/>
      <c r="JOR248" s="4"/>
      <c r="JOS248" s="4"/>
      <c r="JOT248" s="4"/>
      <c r="JOU248" s="4"/>
      <c r="JOV248" s="4"/>
      <c r="JOW248" s="4"/>
      <c r="JOX248" s="4"/>
      <c r="JOY248" s="4"/>
      <c r="JOZ248" s="4"/>
      <c r="JPA248" s="4"/>
      <c r="JPB248" s="4"/>
      <c r="JPC248" s="4"/>
      <c r="JPD248" s="4"/>
      <c r="JPE248" s="4"/>
      <c r="JPF248" s="4"/>
      <c r="JPG248" s="4"/>
      <c r="JPH248" s="4"/>
      <c r="JPI248" s="4"/>
      <c r="JPJ248" s="4"/>
      <c r="JPK248" s="4"/>
      <c r="JPL248" s="4"/>
      <c r="JPM248" s="4"/>
      <c r="JPN248" s="4"/>
      <c r="JPO248" s="4"/>
      <c r="JPP248" s="4"/>
      <c r="JPQ248" s="4"/>
      <c r="JPR248" s="4"/>
      <c r="JPS248" s="4"/>
      <c r="JPT248" s="4"/>
      <c r="JPU248" s="4"/>
      <c r="JPV248" s="4"/>
      <c r="JPW248" s="4"/>
      <c r="JPX248" s="4"/>
      <c r="JPY248" s="4"/>
      <c r="JPZ248" s="4"/>
      <c r="JQA248" s="4"/>
      <c r="JQB248" s="4"/>
      <c r="JQC248" s="4"/>
      <c r="JQD248" s="4"/>
      <c r="JQE248" s="4"/>
      <c r="JQF248" s="4"/>
      <c r="JQG248" s="4"/>
      <c r="JQH248" s="4"/>
      <c r="JQI248" s="4"/>
      <c r="JQJ248" s="4"/>
      <c r="JQK248" s="4"/>
      <c r="JQL248" s="4"/>
      <c r="JQM248" s="4"/>
      <c r="JQN248" s="4"/>
      <c r="JQO248" s="4"/>
      <c r="JQP248" s="4"/>
      <c r="JQQ248" s="4"/>
      <c r="JQR248" s="4"/>
      <c r="JQS248" s="4"/>
      <c r="JQT248" s="4"/>
      <c r="JQU248" s="4"/>
      <c r="JQV248" s="4"/>
      <c r="JQW248" s="4"/>
      <c r="JQX248" s="4"/>
      <c r="JQY248" s="4"/>
      <c r="JQZ248" s="4"/>
      <c r="JRA248" s="4"/>
      <c r="JRB248" s="4"/>
      <c r="JRC248" s="4"/>
      <c r="JRD248" s="4"/>
      <c r="JRE248" s="4"/>
      <c r="JRF248" s="4"/>
      <c r="JRG248" s="4"/>
      <c r="JRH248" s="4"/>
      <c r="JRI248" s="4"/>
      <c r="JRJ248" s="4"/>
      <c r="JRK248" s="4"/>
      <c r="JRL248" s="4"/>
      <c r="JRM248" s="4"/>
      <c r="JRN248" s="4"/>
      <c r="JRO248" s="4"/>
      <c r="JRP248" s="4"/>
      <c r="JRQ248" s="4"/>
      <c r="JRR248" s="4"/>
      <c r="JRS248" s="4"/>
      <c r="JRT248" s="4"/>
      <c r="JRU248" s="4"/>
      <c r="JRV248" s="4"/>
      <c r="JRW248" s="4"/>
      <c r="JRX248" s="4"/>
      <c r="JRY248" s="4"/>
      <c r="JRZ248" s="4"/>
      <c r="JSA248" s="4"/>
      <c r="JSB248" s="4"/>
      <c r="JSC248" s="4"/>
      <c r="JSD248" s="4"/>
      <c r="JSE248" s="4"/>
      <c r="JSF248" s="4"/>
      <c r="JSG248" s="4"/>
      <c r="JSH248" s="4"/>
      <c r="JSI248" s="4"/>
      <c r="JSJ248" s="4"/>
      <c r="JSK248" s="4"/>
      <c r="JSL248" s="4"/>
      <c r="JSM248" s="4"/>
      <c r="JSN248" s="4"/>
      <c r="JSO248" s="4"/>
      <c r="JSP248" s="4"/>
      <c r="JSQ248" s="4"/>
      <c r="JSR248" s="4"/>
      <c r="JSS248" s="4"/>
      <c r="JST248" s="4"/>
      <c r="JSU248" s="4"/>
      <c r="JSV248" s="4"/>
      <c r="JSW248" s="4"/>
      <c r="JSX248" s="4"/>
      <c r="JSY248" s="4"/>
      <c r="JSZ248" s="4"/>
      <c r="JTA248" s="4"/>
      <c r="JTB248" s="4"/>
      <c r="JTC248" s="4"/>
      <c r="JTD248" s="4"/>
      <c r="JTE248" s="4"/>
      <c r="JTF248" s="4"/>
      <c r="JTG248" s="4"/>
      <c r="JTH248" s="4"/>
      <c r="JTI248" s="4"/>
      <c r="JTJ248" s="4"/>
      <c r="JTK248" s="4"/>
      <c r="JTL248" s="4"/>
      <c r="JTM248" s="4"/>
      <c r="JTN248" s="4"/>
      <c r="JTO248" s="4"/>
      <c r="JTP248" s="4"/>
      <c r="JTQ248" s="4"/>
      <c r="JTR248" s="4"/>
      <c r="JTS248" s="4"/>
      <c r="JTT248" s="4"/>
      <c r="JTU248" s="4"/>
      <c r="JTV248" s="4"/>
      <c r="JTW248" s="4"/>
      <c r="JTX248" s="4"/>
      <c r="JTY248" s="4"/>
      <c r="JTZ248" s="4"/>
      <c r="JUA248" s="4"/>
      <c r="JUB248" s="4"/>
      <c r="JUC248" s="4"/>
      <c r="JUD248" s="4"/>
      <c r="JUE248" s="4"/>
      <c r="JUF248" s="4"/>
      <c r="JUG248" s="4"/>
      <c r="JUH248" s="4"/>
      <c r="JUI248" s="4"/>
      <c r="JUJ248" s="4"/>
      <c r="JUK248" s="4"/>
      <c r="JUL248" s="4"/>
      <c r="JUM248" s="4"/>
      <c r="JUN248" s="4"/>
      <c r="JUO248" s="4"/>
      <c r="JUP248" s="4"/>
      <c r="JUQ248" s="4"/>
      <c r="JUR248" s="4"/>
      <c r="JUS248" s="4"/>
      <c r="JUT248" s="4"/>
      <c r="JUU248" s="4"/>
      <c r="JUV248" s="4"/>
      <c r="JUW248" s="4"/>
      <c r="JUX248" s="4"/>
      <c r="JUY248" s="4"/>
      <c r="JUZ248" s="4"/>
      <c r="JVA248" s="4"/>
      <c r="JVB248" s="4"/>
      <c r="JVC248" s="4"/>
      <c r="JVD248" s="4"/>
      <c r="JVE248" s="4"/>
      <c r="JVF248" s="4"/>
      <c r="JVG248" s="4"/>
      <c r="JVH248" s="4"/>
      <c r="JVI248" s="4"/>
      <c r="JVJ248" s="4"/>
      <c r="JVK248" s="4"/>
      <c r="JVL248" s="4"/>
      <c r="JVM248" s="4"/>
      <c r="JVN248" s="4"/>
      <c r="JVO248" s="4"/>
      <c r="JVP248" s="4"/>
      <c r="JVQ248" s="4"/>
      <c r="JVR248" s="4"/>
      <c r="JVS248" s="4"/>
      <c r="JVT248" s="4"/>
      <c r="JVU248" s="4"/>
      <c r="JVV248" s="4"/>
      <c r="JVW248" s="4"/>
      <c r="JVX248" s="4"/>
      <c r="JVY248" s="4"/>
      <c r="JVZ248" s="4"/>
      <c r="JWA248" s="4"/>
      <c r="JWB248" s="4"/>
      <c r="JWC248" s="4"/>
      <c r="JWD248" s="4"/>
      <c r="JWE248" s="4"/>
      <c r="JWF248" s="4"/>
      <c r="JWG248" s="4"/>
      <c r="JWH248" s="4"/>
      <c r="JWI248" s="4"/>
      <c r="JWJ248" s="4"/>
      <c r="JWK248" s="4"/>
      <c r="JWL248" s="4"/>
      <c r="JWM248" s="4"/>
      <c r="JWN248" s="4"/>
      <c r="JWO248" s="4"/>
      <c r="JWP248" s="4"/>
      <c r="JWQ248" s="4"/>
      <c r="JWR248" s="4"/>
      <c r="JWS248" s="4"/>
      <c r="JWT248" s="4"/>
      <c r="JWU248" s="4"/>
      <c r="JWV248" s="4"/>
      <c r="JWW248" s="4"/>
      <c r="JWX248" s="4"/>
      <c r="JWY248" s="4"/>
      <c r="JWZ248" s="4"/>
      <c r="JXA248" s="4"/>
      <c r="JXB248" s="4"/>
      <c r="JXC248" s="4"/>
      <c r="JXD248" s="4"/>
      <c r="JXE248" s="4"/>
      <c r="JXF248" s="4"/>
      <c r="JXG248" s="4"/>
      <c r="JXH248" s="4"/>
      <c r="JXI248" s="4"/>
      <c r="JXJ248" s="4"/>
      <c r="JXK248" s="4"/>
      <c r="JXL248" s="4"/>
      <c r="JXM248" s="4"/>
      <c r="JXN248" s="4"/>
      <c r="JXO248" s="4"/>
      <c r="JXP248" s="4"/>
      <c r="JXQ248" s="4"/>
      <c r="JXR248" s="4"/>
      <c r="JXS248" s="4"/>
      <c r="JXT248" s="4"/>
      <c r="JXU248" s="4"/>
      <c r="JXV248" s="4"/>
      <c r="JXW248" s="4"/>
      <c r="JXX248" s="4"/>
      <c r="JXY248" s="4"/>
      <c r="JXZ248" s="4"/>
      <c r="JYA248" s="4"/>
      <c r="JYB248" s="4"/>
      <c r="JYC248" s="4"/>
      <c r="JYD248" s="4"/>
      <c r="JYE248" s="4"/>
      <c r="JYF248" s="4"/>
      <c r="JYG248" s="4"/>
      <c r="JYH248" s="4"/>
      <c r="JYI248" s="4"/>
      <c r="JYJ248" s="4"/>
      <c r="JYK248" s="4"/>
      <c r="JYL248" s="4"/>
      <c r="JYM248" s="4"/>
      <c r="JYN248" s="4"/>
      <c r="JYO248" s="4"/>
      <c r="JYP248" s="4"/>
      <c r="JYQ248" s="4"/>
      <c r="JYR248" s="4"/>
      <c r="JYS248" s="4"/>
      <c r="JYT248" s="4"/>
      <c r="JYU248" s="4"/>
      <c r="JYV248" s="4"/>
      <c r="JYW248" s="4"/>
      <c r="JYX248" s="4"/>
      <c r="JYY248" s="4"/>
      <c r="JYZ248" s="4"/>
      <c r="JZA248" s="4"/>
      <c r="JZB248" s="4"/>
      <c r="JZC248" s="4"/>
      <c r="JZD248" s="4"/>
      <c r="JZE248" s="4"/>
      <c r="JZF248" s="4"/>
      <c r="JZG248" s="4"/>
      <c r="JZH248" s="4"/>
      <c r="JZI248" s="4"/>
      <c r="JZJ248" s="4"/>
      <c r="JZK248" s="4"/>
      <c r="JZL248" s="4"/>
      <c r="JZM248" s="4"/>
      <c r="JZN248" s="4"/>
      <c r="JZO248" s="4"/>
      <c r="JZP248" s="4"/>
      <c r="JZQ248" s="4"/>
      <c r="JZR248" s="4"/>
      <c r="JZS248" s="4"/>
      <c r="JZT248" s="4"/>
      <c r="JZU248" s="4"/>
      <c r="JZV248" s="4"/>
      <c r="JZW248" s="4"/>
      <c r="JZX248" s="4"/>
      <c r="JZY248" s="4"/>
      <c r="JZZ248" s="4"/>
      <c r="KAA248" s="4"/>
      <c r="KAB248" s="4"/>
      <c r="KAC248" s="4"/>
      <c r="KAD248" s="4"/>
      <c r="KAE248" s="4"/>
      <c r="KAF248" s="4"/>
      <c r="KAG248" s="4"/>
      <c r="KAH248" s="4"/>
      <c r="KAI248" s="4"/>
      <c r="KAJ248" s="4"/>
      <c r="KAK248" s="4"/>
      <c r="KAL248" s="4"/>
      <c r="KAM248" s="4"/>
      <c r="KAN248" s="4"/>
      <c r="KAO248" s="4"/>
      <c r="KAP248" s="4"/>
      <c r="KAQ248" s="4"/>
      <c r="KAR248" s="4"/>
      <c r="KAS248" s="4"/>
      <c r="KAT248" s="4"/>
      <c r="KAU248" s="4"/>
      <c r="KAV248" s="4"/>
      <c r="KAW248" s="4"/>
      <c r="KAX248" s="4"/>
      <c r="KAY248" s="4"/>
      <c r="KAZ248" s="4"/>
      <c r="KBA248" s="4"/>
      <c r="KBB248" s="4"/>
      <c r="KBC248" s="4"/>
      <c r="KBD248" s="4"/>
      <c r="KBE248" s="4"/>
      <c r="KBF248" s="4"/>
      <c r="KBG248" s="4"/>
      <c r="KBH248" s="4"/>
      <c r="KBI248" s="4"/>
      <c r="KBJ248" s="4"/>
      <c r="KBK248" s="4"/>
      <c r="KBL248" s="4"/>
      <c r="KBM248" s="4"/>
      <c r="KBN248" s="4"/>
      <c r="KBO248" s="4"/>
      <c r="KBP248" s="4"/>
      <c r="KBQ248" s="4"/>
      <c r="KBR248" s="4"/>
      <c r="KBS248" s="4"/>
      <c r="KBT248" s="4"/>
      <c r="KBU248" s="4"/>
      <c r="KBV248" s="4"/>
      <c r="KBW248" s="4"/>
      <c r="KBX248" s="4"/>
      <c r="KBY248" s="4"/>
      <c r="KBZ248" s="4"/>
      <c r="KCA248" s="4"/>
      <c r="KCB248" s="4"/>
      <c r="KCC248" s="4"/>
      <c r="KCD248" s="4"/>
      <c r="KCE248" s="4"/>
      <c r="KCF248" s="4"/>
      <c r="KCG248" s="4"/>
      <c r="KCH248" s="4"/>
      <c r="KCI248" s="4"/>
      <c r="KCJ248" s="4"/>
      <c r="KCK248" s="4"/>
      <c r="KCL248" s="4"/>
      <c r="KCM248" s="4"/>
      <c r="KCN248" s="4"/>
      <c r="KCO248" s="4"/>
      <c r="KCP248" s="4"/>
      <c r="KCQ248" s="4"/>
      <c r="KCR248" s="4"/>
      <c r="KCS248" s="4"/>
      <c r="KCT248" s="4"/>
      <c r="KCU248" s="4"/>
      <c r="KCV248" s="4"/>
      <c r="KCW248" s="4"/>
      <c r="KCX248" s="4"/>
      <c r="KCY248" s="4"/>
      <c r="KCZ248" s="4"/>
      <c r="KDA248" s="4"/>
      <c r="KDB248" s="4"/>
      <c r="KDC248" s="4"/>
      <c r="KDD248" s="4"/>
      <c r="KDE248" s="4"/>
      <c r="KDF248" s="4"/>
      <c r="KDG248" s="4"/>
      <c r="KDH248" s="4"/>
      <c r="KDI248" s="4"/>
      <c r="KDJ248" s="4"/>
      <c r="KDK248" s="4"/>
      <c r="KDL248" s="4"/>
      <c r="KDM248" s="4"/>
      <c r="KDN248" s="4"/>
      <c r="KDO248" s="4"/>
      <c r="KDP248" s="4"/>
      <c r="KDQ248" s="4"/>
      <c r="KDR248" s="4"/>
      <c r="KDS248" s="4"/>
      <c r="KDT248" s="4"/>
      <c r="KDU248" s="4"/>
      <c r="KDV248" s="4"/>
      <c r="KDW248" s="4"/>
      <c r="KDX248" s="4"/>
      <c r="KDY248" s="4"/>
      <c r="KDZ248" s="4"/>
      <c r="KEA248" s="4"/>
      <c r="KEB248" s="4"/>
      <c r="KEC248" s="4"/>
      <c r="KED248" s="4"/>
      <c r="KEE248" s="4"/>
      <c r="KEF248" s="4"/>
      <c r="KEG248" s="4"/>
      <c r="KEH248" s="4"/>
      <c r="KEI248" s="4"/>
      <c r="KEJ248" s="4"/>
      <c r="KEK248" s="4"/>
      <c r="KEL248" s="4"/>
      <c r="KEM248" s="4"/>
      <c r="KEN248" s="4"/>
      <c r="KEO248" s="4"/>
      <c r="KEP248" s="4"/>
      <c r="KEQ248" s="4"/>
      <c r="KER248" s="4"/>
      <c r="KES248" s="4"/>
      <c r="KET248" s="4"/>
      <c r="KEU248" s="4"/>
      <c r="KEV248" s="4"/>
      <c r="KEW248" s="4"/>
      <c r="KEX248" s="4"/>
      <c r="KEY248" s="4"/>
      <c r="KEZ248" s="4"/>
      <c r="KFA248" s="4"/>
      <c r="KFB248" s="4"/>
      <c r="KFC248" s="4"/>
      <c r="KFD248" s="4"/>
      <c r="KFE248" s="4"/>
      <c r="KFF248" s="4"/>
      <c r="KFG248" s="4"/>
      <c r="KFH248" s="4"/>
      <c r="KFI248" s="4"/>
      <c r="KFJ248" s="4"/>
      <c r="KFK248" s="4"/>
      <c r="KFL248" s="4"/>
      <c r="KFM248" s="4"/>
      <c r="KFN248" s="4"/>
      <c r="KFO248" s="4"/>
      <c r="KFP248" s="4"/>
      <c r="KFQ248" s="4"/>
      <c r="KFR248" s="4"/>
      <c r="KFS248" s="4"/>
      <c r="KFT248" s="4"/>
      <c r="KFU248" s="4"/>
      <c r="KFV248" s="4"/>
      <c r="KFW248" s="4"/>
      <c r="KFX248" s="4"/>
      <c r="KFY248" s="4"/>
      <c r="KFZ248" s="4"/>
      <c r="KGA248" s="4"/>
      <c r="KGB248" s="4"/>
      <c r="KGC248" s="4"/>
      <c r="KGD248" s="4"/>
      <c r="KGE248" s="4"/>
      <c r="KGF248" s="4"/>
      <c r="KGG248" s="4"/>
      <c r="KGH248" s="4"/>
      <c r="KGI248" s="4"/>
      <c r="KGJ248" s="4"/>
      <c r="KGK248" s="4"/>
      <c r="KGL248" s="4"/>
      <c r="KGM248" s="4"/>
      <c r="KGN248" s="4"/>
      <c r="KGO248" s="4"/>
      <c r="KGP248" s="4"/>
      <c r="KGQ248" s="4"/>
      <c r="KGR248" s="4"/>
      <c r="KGS248" s="4"/>
      <c r="KGT248" s="4"/>
      <c r="KGU248" s="4"/>
      <c r="KGV248" s="4"/>
      <c r="KGW248" s="4"/>
      <c r="KGX248" s="4"/>
      <c r="KGY248" s="4"/>
      <c r="KGZ248" s="4"/>
      <c r="KHA248" s="4"/>
      <c r="KHB248" s="4"/>
      <c r="KHC248" s="4"/>
      <c r="KHD248" s="4"/>
      <c r="KHE248" s="4"/>
      <c r="KHF248" s="4"/>
      <c r="KHG248" s="4"/>
      <c r="KHH248" s="4"/>
      <c r="KHI248" s="4"/>
      <c r="KHJ248" s="4"/>
      <c r="KHK248" s="4"/>
      <c r="KHL248" s="4"/>
      <c r="KHM248" s="4"/>
      <c r="KHN248" s="4"/>
      <c r="KHO248" s="4"/>
      <c r="KHP248" s="4"/>
      <c r="KHQ248" s="4"/>
      <c r="KHR248" s="4"/>
      <c r="KHS248" s="4"/>
      <c r="KHT248" s="4"/>
      <c r="KHU248" s="4"/>
      <c r="KHV248" s="4"/>
      <c r="KHW248" s="4"/>
      <c r="KHX248" s="4"/>
      <c r="KHY248" s="4"/>
      <c r="KHZ248" s="4"/>
      <c r="KIA248" s="4"/>
      <c r="KIB248" s="4"/>
      <c r="KIC248" s="4"/>
      <c r="KID248" s="4"/>
      <c r="KIE248" s="4"/>
      <c r="KIF248" s="4"/>
      <c r="KIG248" s="4"/>
      <c r="KIH248" s="4"/>
      <c r="KII248" s="4"/>
      <c r="KIJ248" s="4"/>
      <c r="KIK248" s="4"/>
      <c r="KIL248" s="4"/>
      <c r="KIM248" s="4"/>
      <c r="KIN248" s="4"/>
      <c r="KIO248" s="4"/>
      <c r="KIP248" s="4"/>
      <c r="KIQ248" s="4"/>
      <c r="KIR248" s="4"/>
      <c r="KIS248" s="4"/>
      <c r="KIT248" s="4"/>
      <c r="KIU248" s="4"/>
      <c r="KIV248" s="4"/>
      <c r="KIW248" s="4"/>
      <c r="KIX248" s="4"/>
      <c r="KIY248" s="4"/>
      <c r="KIZ248" s="4"/>
      <c r="KJA248" s="4"/>
      <c r="KJB248" s="4"/>
      <c r="KJC248" s="4"/>
      <c r="KJD248" s="4"/>
      <c r="KJE248" s="4"/>
      <c r="KJF248" s="4"/>
      <c r="KJG248" s="4"/>
      <c r="KJH248" s="4"/>
      <c r="KJI248" s="4"/>
      <c r="KJJ248" s="4"/>
      <c r="KJK248" s="4"/>
      <c r="KJL248" s="4"/>
      <c r="KJM248" s="4"/>
      <c r="KJN248" s="4"/>
      <c r="KJO248" s="4"/>
      <c r="KJP248" s="4"/>
      <c r="KJQ248" s="4"/>
      <c r="KJR248" s="4"/>
      <c r="KJS248" s="4"/>
      <c r="KJT248" s="4"/>
      <c r="KJU248" s="4"/>
      <c r="KJV248" s="4"/>
      <c r="KJW248" s="4"/>
      <c r="KJX248" s="4"/>
      <c r="KJY248" s="4"/>
      <c r="KJZ248" s="4"/>
      <c r="KKA248" s="4"/>
      <c r="KKB248" s="4"/>
      <c r="KKC248" s="4"/>
      <c r="KKD248" s="4"/>
      <c r="KKE248" s="4"/>
      <c r="KKF248" s="4"/>
      <c r="KKG248" s="4"/>
      <c r="KKH248" s="4"/>
      <c r="KKI248" s="4"/>
      <c r="KKJ248" s="4"/>
      <c r="KKK248" s="4"/>
      <c r="KKL248" s="4"/>
      <c r="KKM248" s="4"/>
      <c r="KKN248" s="4"/>
      <c r="KKO248" s="4"/>
      <c r="KKP248" s="4"/>
      <c r="KKQ248" s="4"/>
      <c r="KKR248" s="4"/>
      <c r="KKS248" s="4"/>
      <c r="KKT248" s="4"/>
      <c r="KKU248" s="4"/>
      <c r="KKV248" s="4"/>
      <c r="KKW248" s="4"/>
      <c r="KKX248" s="4"/>
      <c r="KKY248" s="4"/>
      <c r="KKZ248" s="4"/>
      <c r="KLA248" s="4"/>
      <c r="KLB248" s="4"/>
      <c r="KLC248" s="4"/>
      <c r="KLD248" s="4"/>
      <c r="KLE248" s="4"/>
      <c r="KLF248" s="4"/>
      <c r="KLG248" s="4"/>
      <c r="KLH248" s="4"/>
      <c r="KLI248" s="4"/>
      <c r="KLJ248" s="4"/>
      <c r="KLK248" s="4"/>
      <c r="KLL248" s="4"/>
      <c r="KLM248" s="4"/>
      <c r="KLN248" s="4"/>
      <c r="KLO248" s="4"/>
      <c r="KLP248" s="4"/>
      <c r="KLQ248" s="4"/>
      <c r="KLR248" s="4"/>
      <c r="KLS248" s="4"/>
      <c r="KLT248" s="4"/>
      <c r="KLU248" s="4"/>
      <c r="KLV248" s="4"/>
      <c r="KLW248" s="4"/>
      <c r="KLX248" s="4"/>
      <c r="KLY248" s="4"/>
      <c r="KLZ248" s="4"/>
      <c r="KMA248" s="4"/>
      <c r="KMB248" s="4"/>
      <c r="KMC248" s="4"/>
      <c r="KMD248" s="4"/>
      <c r="KME248" s="4"/>
      <c r="KMF248" s="4"/>
      <c r="KMG248" s="4"/>
      <c r="KMH248" s="4"/>
      <c r="KMI248" s="4"/>
      <c r="KMJ248" s="4"/>
      <c r="KMK248" s="4"/>
      <c r="KML248" s="4"/>
      <c r="KMM248" s="4"/>
      <c r="KMN248" s="4"/>
      <c r="KMO248" s="4"/>
      <c r="KMP248" s="4"/>
      <c r="KMQ248" s="4"/>
      <c r="KMR248" s="4"/>
      <c r="KMS248" s="4"/>
      <c r="KMT248" s="4"/>
      <c r="KMU248" s="4"/>
      <c r="KMV248" s="4"/>
      <c r="KMW248" s="4"/>
      <c r="KMX248" s="4"/>
      <c r="KMY248" s="4"/>
      <c r="KMZ248" s="4"/>
      <c r="KNA248" s="4"/>
      <c r="KNB248" s="4"/>
      <c r="KNC248" s="4"/>
      <c r="KND248" s="4"/>
      <c r="KNE248" s="4"/>
      <c r="KNF248" s="4"/>
      <c r="KNG248" s="4"/>
      <c r="KNH248" s="4"/>
      <c r="KNI248" s="4"/>
      <c r="KNJ248" s="4"/>
      <c r="KNK248" s="4"/>
      <c r="KNL248" s="4"/>
      <c r="KNM248" s="4"/>
      <c r="KNN248" s="4"/>
      <c r="KNO248" s="4"/>
      <c r="KNP248" s="4"/>
      <c r="KNQ248" s="4"/>
      <c r="KNR248" s="4"/>
      <c r="KNS248" s="4"/>
      <c r="KNT248" s="4"/>
      <c r="KNU248" s="4"/>
      <c r="KNV248" s="4"/>
      <c r="KNW248" s="4"/>
      <c r="KNX248" s="4"/>
      <c r="KNY248" s="4"/>
      <c r="KNZ248" s="4"/>
      <c r="KOA248" s="4"/>
      <c r="KOB248" s="4"/>
      <c r="KOC248" s="4"/>
      <c r="KOD248" s="4"/>
      <c r="KOE248" s="4"/>
      <c r="KOF248" s="4"/>
      <c r="KOG248" s="4"/>
      <c r="KOH248" s="4"/>
      <c r="KOI248" s="4"/>
      <c r="KOJ248" s="4"/>
      <c r="KOK248" s="4"/>
      <c r="KOL248" s="4"/>
      <c r="KOM248" s="4"/>
      <c r="KON248" s="4"/>
      <c r="KOO248" s="4"/>
      <c r="KOP248" s="4"/>
      <c r="KOQ248" s="4"/>
      <c r="KOR248" s="4"/>
      <c r="KOS248" s="4"/>
      <c r="KOT248" s="4"/>
      <c r="KOU248" s="4"/>
      <c r="KOV248" s="4"/>
      <c r="KOW248" s="4"/>
      <c r="KOX248" s="4"/>
      <c r="KOY248" s="4"/>
      <c r="KOZ248" s="4"/>
      <c r="KPA248" s="4"/>
      <c r="KPB248" s="4"/>
      <c r="KPC248" s="4"/>
      <c r="KPD248" s="4"/>
      <c r="KPE248" s="4"/>
      <c r="KPF248" s="4"/>
      <c r="KPG248" s="4"/>
      <c r="KPH248" s="4"/>
      <c r="KPI248" s="4"/>
      <c r="KPJ248" s="4"/>
      <c r="KPK248" s="4"/>
      <c r="KPL248" s="4"/>
      <c r="KPM248" s="4"/>
      <c r="KPN248" s="4"/>
      <c r="KPO248" s="4"/>
      <c r="KPP248" s="4"/>
      <c r="KPQ248" s="4"/>
      <c r="KPR248" s="4"/>
      <c r="KPS248" s="4"/>
      <c r="KPT248" s="4"/>
      <c r="KPU248" s="4"/>
      <c r="KPV248" s="4"/>
      <c r="KPW248" s="4"/>
      <c r="KPX248" s="4"/>
      <c r="KPY248" s="4"/>
      <c r="KPZ248" s="4"/>
      <c r="KQA248" s="4"/>
      <c r="KQB248" s="4"/>
      <c r="KQC248" s="4"/>
      <c r="KQD248" s="4"/>
      <c r="KQE248" s="4"/>
      <c r="KQF248" s="4"/>
      <c r="KQG248" s="4"/>
      <c r="KQH248" s="4"/>
      <c r="KQI248" s="4"/>
      <c r="KQJ248" s="4"/>
      <c r="KQK248" s="4"/>
      <c r="KQL248" s="4"/>
      <c r="KQM248" s="4"/>
      <c r="KQN248" s="4"/>
      <c r="KQO248" s="4"/>
      <c r="KQP248" s="4"/>
      <c r="KQQ248" s="4"/>
      <c r="KQR248" s="4"/>
      <c r="KQS248" s="4"/>
      <c r="KQT248" s="4"/>
      <c r="KQU248" s="4"/>
      <c r="KQV248" s="4"/>
      <c r="KQW248" s="4"/>
      <c r="KQX248" s="4"/>
      <c r="KQY248" s="4"/>
      <c r="KQZ248" s="4"/>
      <c r="KRA248" s="4"/>
      <c r="KRB248" s="4"/>
      <c r="KRC248" s="4"/>
      <c r="KRD248" s="4"/>
      <c r="KRE248" s="4"/>
      <c r="KRF248" s="4"/>
      <c r="KRG248" s="4"/>
      <c r="KRH248" s="4"/>
      <c r="KRI248" s="4"/>
      <c r="KRJ248" s="4"/>
      <c r="KRK248" s="4"/>
      <c r="KRL248" s="4"/>
      <c r="KRM248" s="4"/>
      <c r="KRN248" s="4"/>
      <c r="KRO248" s="4"/>
      <c r="KRP248" s="4"/>
      <c r="KRQ248" s="4"/>
      <c r="KRR248" s="4"/>
      <c r="KRS248" s="4"/>
      <c r="KRT248" s="4"/>
      <c r="KRU248" s="4"/>
      <c r="KRV248" s="4"/>
      <c r="KRW248" s="4"/>
      <c r="KRX248" s="4"/>
      <c r="KRY248" s="4"/>
      <c r="KRZ248" s="4"/>
      <c r="KSA248" s="4"/>
      <c r="KSB248" s="4"/>
      <c r="KSC248" s="4"/>
      <c r="KSD248" s="4"/>
      <c r="KSE248" s="4"/>
      <c r="KSF248" s="4"/>
      <c r="KSG248" s="4"/>
      <c r="KSH248" s="4"/>
      <c r="KSI248" s="4"/>
      <c r="KSJ248" s="4"/>
      <c r="KSK248" s="4"/>
      <c r="KSL248" s="4"/>
      <c r="KSM248" s="4"/>
      <c r="KSN248" s="4"/>
      <c r="KSO248" s="4"/>
      <c r="KSP248" s="4"/>
      <c r="KSQ248" s="4"/>
      <c r="KSR248" s="4"/>
      <c r="KSS248" s="4"/>
      <c r="KST248" s="4"/>
      <c r="KSU248" s="4"/>
      <c r="KSV248" s="4"/>
      <c r="KSW248" s="4"/>
      <c r="KSX248" s="4"/>
      <c r="KSY248" s="4"/>
      <c r="KSZ248" s="4"/>
      <c r="KTA248" s="4"/>
      <c r="KTB248" s="4"/>
      <c r="KTC248" s="4"/>
      <c r="KTD248" s="4"/>
      <c r="KTE248" s="4"/>
      <c r="KTF248" s="4"/>
      <c r="KTG248" s="4"/>
      <c r="KTH248" s="4"/>
      <c r="KTI248" s="4"/>
      <c r="KTJ248" s="4"/>
      <c r="KTK248" s="4"/>
      <c r="KTL248" s="4"/>
      <c r="KTM248" s="4"/>
      <c r="KTN248" s="4"/>
      <c r="KTO248" s="4"/>
      <c r="KTP248" s="4"/>
      <c r="KTQ248" s="4"/>
      <c r="KTR248" s="4"/>
      <c r="KTS248" s="4"/>
      <c r="KTT248" s="4"/>
      <c r="KTU248" s="4"/>
      <c r="KTV248" s="4"/>
      <c r="KTW248" s="4"/>
      <c r="KTX248" s="4"/>
      <c r="KTY248" s="4"/>
      <c r="KTZ248" s="4"/>
      <c r="KUA248" s="4"/>
      <c r="KUB248" s="4"/>
      <c r="KUC248" s="4"/>
      <c r="KUD248" s="4"/>
      <c r="KUE248" s="4"/>
      <c r="KUF248" s="4"/>
      <c r="KUG248" s="4"/>
      <c r="KUH248" s="4"/>
      <c r="KUI248" s="4"/>
      <c r="KUJ248" s="4"/>
      <c r="KUK248" s="4"/>
      <c r="KUL248" s="4"/>
      <c r="KUM248" s="4"/>
      <c r="KUN248" s="4"/>
      <c r="KUO248" s="4"/>
      <c r="KUP248" s="4"/>
      <c r="KUQ248" s="4"/>
      <c r="KUR248" s="4"/>
      <c r="KUS248" s="4"/>
      <c r="KUT248" s="4"/>
      <c r="KUU248" s="4"/>
      <c r="KUV248" s="4"/>
      <c r="KUW248" s="4"/>
      <c r="KUX248" s="4"/>
      <c r="KUY248" s="4"/>
      <c r="KUZ248" s="4"/>
      <c r="KVA248" s="4"/>
      <c r="KVB248" s="4"/>
      <c r="KVC248" s="4"/>
      <c r="KVD248" s="4"/>
      <c r="KVE248" s="4"/>
      <c r="KVF248" s="4"/>
      <c r="KVG248" s="4"/>
      <c r="KVH248" s="4"/>
      <c r="KVI248" s="4"/>
      <c r="KVJ248" s="4"/>
      <c r="KVK248" s="4"/>
      <c r="KVL248" s="4"/>
      <c r="KVM248" s="4"/>
      <c r="KVN248" s="4"/>
      <c r="KVO248" s="4"/>
      <c r="KVP248" s="4"/>
      <c r="KVQ248" s="4"/>
      <c r="KVR248" s="4"/>
      <c r="KVS248" s="4"/>
      <c r="KVT248" s="4"/>
      <c r="KVU248" s="4"/>
      <c r="KVV248" s="4"/>
      <c r="KVW248" s="4"/>
      <c r="KVX248" s="4"/>
      <c r="KVY248" s="4"/>
      <c r="KVZ248" s="4"/>
      <c r="KWA248" s="4"/>
      <c r="KWB248" s="4"/>
      <c r="KWC248" s="4"/>
      <c r="KWD248" s="4"/>
      <c r="KWE248" s="4"/>
      <c r="KWF248" s="4"/>
      <c r="KWG248" s="4"/>
      <c r="KWH248" s="4"/>
      <c r="KWI248" s="4"/>
      <c r="KWJ248" s="4"/>
      <c r="KWK248" s="4"/>
      <c r="KWL248" s="4"/>
      <c r="KWM248" s="4"/>
      <c r="KWN248" s="4"/>
      <c r="KWO248" s="4"/>
      <c r="KWP248" s="4"/>
      <c r="KWQ248" s="4"/>
      <c r="KWR248" s="4"/>
      <c r="KWS248" s="4"/>
      <c r="KWT248" s="4"/>
      <c r="KWU248" s="4"/>
      <c r="KWV248" s="4"/>
      <c r="KWW248" s="4"/>
      <c r="KWX248" s="4"/>
      <c r="KWY248" s="4"/>
      <c r="KWZ248" s="4"/>
      <c r="KXA248" s="4"/>
      <c r="KXB248" s="4"/>
      <c r="KXC248" s="4"/>
      <c r="KXD248" s="4"/>
      <c r="KXE248" s="4"/>
      <c r="KXF248" s="4"/>
      <c r="KXG248" s="4"/>
      <c r="KXH248" s="4"/>
      <c r="KXI248" s="4"/>
      <c r="KXJ248" s="4"/>
      <c r="KXK248" s="4"/>
      <c r="KXL248" s="4"/>
      <c r="KXM248" s="4"/>
      <c r="KXN248" s="4"/>
      <c r="KXO248" s="4"/>
      <c r="KXP248" s="4"/>
      <c r="KXQ248" s="4"/>
      <c r="KXR248" s="4"/>
      <c r="KXS248" s="4"/>
      <c r="KXT248" s="4"/>
      <c r="KXU248" s="4"/>
      <c r="KXV248" s="4"/>
      <c r="KXW248" s="4"/>
      <c r="KXX248" s="4"/>
      <c r="KXY248" s="4"/>
      <c r="KXZ248" s="4"/>
      <c r="KYA248" s="4"/>
      <c r="KYB248" s="4"/>
      <c r="KYC248" s="4"/>
      <c r="KYD248" s="4"/>
      <c r="KYE248" s="4"/>
      <c r="KYF248" s="4"/>
      <c r="KYG248" s="4"/>
      <c r="KYH248" s="4"/>
      <c r="KYI248" s="4"/>
      <c r="KYJ248" s="4"/>
      <c r="KYK248" s="4"/>
      <c r="KYL248" s="4"/>
      <c r="KYM248" s="4"/>
      <c r="KYN248" s="4"/>
      <c r="KYO248" s="4"/>
      <c r="KYP248" s="4"/>
      <c r="KYQ248" s="4"/>
      <c r="KYR248" s="4"/>
      <c r="KYS248" s="4"/>
      <c r="KYT248" s="4"/>
      <c r="KYU248" s="4"/>
      <c r="KYV248" s="4"/>
      <c r="KYW248" s="4"/>
      <c r="KYX248" s="4"/>
      <c r="KYY248" s="4"/>
      <c r="KYZ248" s="4"/>
      <c r="KZA248" s="4"/>
      <c r="KZB248" s="4"/>
      <c r="KZC248" s="4"/>
      <c r="KZD248" s="4"/>
      <c r="KZE248" s="4"/>
      <c r="KZF248" s="4"/>
      <c r="KZG248" s="4"/>
      <c r="KZH248" s="4"/>
      <c r="KZI248" s="4"/>
      <c r="KZJ248" s="4"/>
      <c r="KZK248" s="4"/>
      <c r="KZL248" s="4"/>
      <c r="KZM248" s="4"/>
      <c r="KZN248" s="4"/>
      <c r="KZO248" s="4"/>
      <c r="KZP248" s="4"/>
      <c r="KZQ248" s="4"/>
      <c r="KZR248" s="4"/>
      <c r="KZS248" s="4"/>
      <c r="KZT248" s="4"/>
      <c r="KZU248" s="4"/>
      <c r="KZV248" s="4"/>
      <c r="KZW248" s="4"/>
      <c r="KZX248" s="4"/>
      <c r="KZY248" s="4"/>
      <c r="KZZ248" s="4"/>
      <c r="LAA248" s="4"/>
      <c r="LAB248" s="4"/>
      <c r="LAC248" s="4"/>
      <c r="LAD248" s="4"/>
      <c r="LAE248" s="4"/>
      <c r="LAF248" s="4"/>
      <c r="LAG248" s="4"/>
      <c r="LAH248" s="4"/>
      <c r="LAI248" s="4"/>
      <c r="LAJ248" s="4"/>
      <c r="LAK248" s="4"/>
      <c r="LAL248" s="4"/>
      <c r="LAM248" s="4"/>
      <c r="LAN248" s="4"/>
      <c r="LAO248" s="4"/>
      <c r="LAP248" s="4"/>
      <c r="LAQ248" s="4"/>
      <c r="LAR248" s="4"/>
      <c r="LAS248" s="4"/>
      <c r="LAT248" s="4"/>
      <c r="LAU248" s="4"/>
      <c r="LAV248" s="4"/>
      <c r="LAW248" s="4"/>
      <c r="LAX248" s="4"/>
      <c r="LAY248" s="4"/>
      <c r="LAZ248" s="4"/>
      <c r="LBA248" s="4"/>
      <c r="LBB248" s="4"/>
      <c r="LBC248" s="4"/>
      <c r="LBD248" s="4"/>
      <c r="LBE248" s="4"/>
      <c r="LBF248" s="4"/>
      <c r="LBG248" s="4"/>
      <c r="LBH248" s="4"/>
      <c r="LBI248" s="4"/>
      <c r="LBJ248" s="4"/>
      <c r="LBK248" s="4"/>
      <c r="LBL248" s="4"/>
      <c r="LBM248" s="4"/>
      <c r="LBN248" s="4"/>
      <c r="LBO248" s="4"/>
      <c r="LBP248" s="4"/>
      <c r="LBQ248" s="4"/>
      <c r="LBR248" s="4"/>
      <c r="LBS248" s="4"/>
      <c r="LBT248" s="4"/>
      <c r="LBU248" s="4"/>
      <c r="LBV248" s="4"/>
      <c r="LBW248" s="4"/>
      <c r="LBX248" s="4"/>
      <c r="LBY248" s="4"/>
      <c r="LBZ248" s="4"/>
      <c r="LCA248" s="4"/>
      <c r="LCB248" s="4"/>
      <c r="LCC248" s="4"/>
      <c r="LCD248" s="4"/>
      <c r="LCE248" s="4"/>
      <c r="LCF248" s="4"/>
      <c r="LCG248" s="4"/>
      <c r="LCH248" s="4"/>
      <c r="LCI248" s="4"/>
      <c r="LCJ248" s="4"/>
      <c r="LCK248" s="4"/>
      <c r="LCL248" s="4"/>
      <c r="LCM248" s="4"/>
      <c r="LCN248" s="4"/>
      <c r="LCO248" s="4"/>
      <c r="LCP248" s="4"/>
      <c r="LCQ248" s="4"/>
      <c r="LCR248" s="4"/>
      <c r="LCS248" s="4"/>
      <c r="LCT248" s="4"/>
      <c r="LCU248" s="4"/>
      <c r="LCV248" s="4"/>
      <c r="LCW248" s="4"/>
      <c r="LCX248" s="4"/>
      <c r="LCY248" s="4"/>
      <c r="LCZ248" s="4"/>
      <c r="LDA248" s="4"/>
      <c r="LDB248" s="4"/>
      <c r="LDC248" s="4"/>
      <c r="LDD248" s="4"/>
      <c r="LDE248" s="4"/>
      <c r="LDF248" s="4"/>
      <c r="LDG248" s="4"/>
      <c r="LDH248" s="4"/>
      <c r="LDI248" s="4"/>
      <c r="LDJ248" s="4"/>
      <c r="LDK248" s="4"/>
      <c r="LDL248" s="4"/>
      <c r="LDM248" s="4"/>
      <c r="LDN248" s="4"/>
      <c r="LDO248" s="4"/>
      <c r="LDP248" s="4"/>
      <c r="LDQ248" s="4"/>
      <c r="LDR248" s="4"/>
      <c r="LDS248" s="4"/>
      <c r="LDT248" s="4"/>
      <c r="LDU248" s="4"/>
      <c r="LDV248" s="4"/>
      <c r="LDW248" s="4"/>
      <c r="LDX248" s="4"/>
      <c r="LDY248" s="4"/>
      <c r="LDZ248" s="4"/>
      <c r="LEA248" s="4"/>
      <c r="LEB248" s="4"/>
      <c r="LEC248" s="4"/>
      <c r="LED248" s="4"/>
      <c r="LEE248" s="4"/>
      <c r="LEF248" s="4"/>
      <c r="LEG248" s="4"/>
      <c r="LEH248" s="4"/>
      <c r="LEI248" s="4"/>
      <c r="LEJ248" s="4"/>
      <c r="LEK248" s="4"/>
      <c r="LEL248" s="4"/>
      <c r="LEM248" s="4"/>
      <c r="LEN248" s="4"/>
      <c r="LEO248" s="4"/>
      <c r="LEP248" s="4"/>
      <c r="LEQ248" s="4"/>
      <c r="LER248" s="4"/>
      <c r="LES248" s="4"/>
      <c r="LET248" s="4"/>
      <c r="LEU248" s="4"/>
      <c r="LEV248" s="4"/>
      <c r="LEW248" s="4"/>
      <c r="LEX248" s="4"/>
      <c r="LEY248" s="4"/>
      <c r="LEZ248" s="4"/>
      <c r="LFA248" s="4"/>
      <c r="LFB248" s="4"/>
      <c r="LFC248" s="4"/>
      <c r="LFD248" s="4"/>
      <c r="LFE248" s="4"/>
      <c r="LFF248" s="4"/>
      <c r="LFG248" s="4"/>
      <c r="LFH248" s="4"/>
      <c r="LFI248" s="4"/>
      <c r="LFJ248" s="4"/>
      <c r="LFK248" s="4"/>
      <c r="LFL248" s="4"/>
      <c r="LFM248" s="4"/>
      <c r="LFN248" s="4"/>
      <c r="LFO248" s="4"/>
      <c r="LFP248" s="4"/>
      <c r="LFQ248" s="4"/>
      <c r="LFR248" s="4"/>
      <c r="LFS248" s="4"/>
      <c r="LFT248" s="4"/>
      <c r="LFU248" s="4"/>
      <c r="LFV248" s="4"/>
      <c r="LFW248" s="4"/>
      <c r="LFX248" s="4"/>
      <c r="LFY248" s="4"/>
      <c r="LFZ248" s="4"/>
      <c r="LGA248" s="4"/>
      <c r="LGB248" s="4"/>
      <c r="LGC248" s="4"/>
      <c r="LGD248" s="4"/>
      <c r="LGE248" s="4"/>
      <c r="LGF248" s="4"/>
      <c r="LGG248" s="4"/>
      <c r="LGH248" s="4"/>
      <c r="LGI248" s="4"/>
      <c r="LGJ248" s="4"/>
      <c r="LGK248" s="4"/>
      <c r="LGL248" s="4"/>
      <c r="LGM248" s="4"/>
      <c r="LGN248" s="4"/>
      <c r="LGO248" s="4"/>
      <c r="LGP248" s="4"/>
      <c r="LGQ248" s="4"/>
      <c r="LGR248" s="4"/>
      <c r="LGS248" s="4"/>
      <c r="LGT248" s="4"/>
      <c r="LGU248" s="4"/>
      <c r="LGV248" s="4"/>
      <c r="LGW248" s="4"/>
      <c r="LGX248" s="4"/>
      <c r="LGY248" s="4"/>
      <c r="LGZ248" s="4"/>
      <c r="LHA248" s="4"/>
      <c r="LHB248" s="4"/>
      <c r="LHC248" s="4"/>
      <c r="LHD248" s="4"/>
      <c r="LHE248" s="4"/>
      <c r="LHF248" s="4"/>
      <c r="LHG248" s="4"/>
      <c r="LHH248" s="4"/>
      <c r="LHI248" s="4"/>
      <c r="LHJ248" s="4"/>
      <c r="LHK248" s="4"/>
      <c r="LHL248" s="4"/>
      <c r="LHM248" s="4"/>
      <c r="LHN248" s="4"/>
      <c r="LHO248" s="4"/>
      <c r="LHP248" s="4"/>
      <c r="LHQ248" s="4"/>
      <c r="LHR248" s="4"/>
      <c r="LHS248" s="4"/>
      <c r="LHT248" s="4"/>
      <c r="LHU248" s="4"/>
      <c r="LHV248" s="4"/>
      <c r="LHW248" s="4"/>
      <c r="LHX248" s="4"/>
      <c r="LHY248" s="4"/>
      <c r="LHZ248" s="4"/>
      <c r="LIA248" s="4"/>
      <c r="LIB248" s="4"/>
      <c r="LIC248" s="4"/>
      <c r="LID248" s="4"/>
      <c r="LIE248" s="4"/>
      <c r="LIF248" s="4"/>
      <c r="LIG248" s="4"/>
      <c r="LIH248" s="4"/>
      <c r="LII248" s="4"/>
      <c r="LIJ248" s="4"/>
      <c r="LIK248" s="4"/>
      <c r="LIL248" s="4"/>
      <c r="LIM248" s="4"/>
      <c r="LIN248" s="4"/>
      <c r="LIO248" s="4"/>
      <c r="LIP248" s="4"/>
      <c r="LIQ248" s="4"/>
      <c r="LIR248" s="4"/>
      <c r="LIS248" s="4"/>
      <c r="LIT248" s="4"/>
      <c r="LIU248" s="4"/>
      <c r="LIV248" s="4"/>
      <c r="LIW248" s="4"/>
      <c r="LIX248" s="4"/>
      <c r="LIY248" s="4"/>
      <c r="LIZ248" s="4"/>
      <c r="LJA248" s="4"/>
      <c r="LJB248" s="4"/>
      <c r="LJC248" s="4"/>
      <c r="LJD248" s="4"/>
      <c r="LJE248" s="4"/>
      <c r="LJF248" s="4"/>
      <c r="LJG248" s="4"/>
      <c r="LJH248" s="4"/>
      <c r="LJI248" s="4"/>
      <c r="LJJ248" s="4"/>
      <c r="LJK248" s="4"/>
      <c r="LJL248" s="4"/>
      <c r="LJM248" s="4"/>
      <c r="LJN248" s="4"/>
      <c r="LJO248" s="4"/>
      <c r="LJP248" s="4"/>
      <c r="LJQ248" s="4"/>
      <c r="LJR248" s="4"/>
      <c r="LJS248" s="4"/>
      <c r="LJT248" s="4"/>
      <c r="LJU248" s="4"/>
      <c r="LJV248" s="4"/>
      <c r="LJW248" s="4"/>
      <c r="LJX248" s="4"/>
      <c r="LJY248" s="4"/>
      <c r="LJZ248" s="4"/>
      <c r="LKA248" s="4"/>
      <c r="LKB248" s="4"/>
      <c r="LKC248" s="4"/>
      <c r="LKD248" s="4"/>
      <c r="LKE248" s="4"/>
      <c r="LKF248" s="4"/>
      <c r="LKG248" s="4"/>
      <c r="LKH248" s="4"/>
      <c r="LKI248" s="4"/>
      <c r="LKJ248" s="4"/>
      <c r="LKK248" s="4"/>
      <c r="LKL248" s="4"/>
      <c r="LKM248" s="4"/>
      <c r="LKN248" s="4"/>
      <c r="LKO248" s="4"/>
      <c r="LKP248" s="4"/>
      <c r="LKQ248" s="4"/>
      <c r="LKR248" s="4"/>
      <c r="LKS248" s="4"/>
      <c r="LKT248" s="4"/>
      <c r="LKU248" s="4"/>
      <c r="LKV248" s="4"/>
      <c r="LKW248" s="4"/>
      <c r="LKX248" s="4"/>
      <c r="LKY248" s="4"/>
      <c r="LKZ248" s="4"/>
      <c r="LLA248" s="4"/>
      <c r="LLB248" s="4"/>
      <c r="LLC248" s="4"/>
      <c r="LLD248" s="4"/>
      <c r="LLE248" s="4"/>
      <c r="LLF248" s="4"/>
      <c r="LLG248" s="4"/>
      <c r="LLH248" s="4"/>
      <c r="LLI248" s="4"/>
      <c r="LLJ248" s="4"/>
      <c r="LLK248" s="4"/>
      <c r="LLL248" s="4"/>
      <c r="LLM248" s="4"/>
      <c r="LLN248" s="4"/>
      <c r="LLO248" s="4"/>
      <c r="LLP248" s="4"/>
      <c r="LLQ248" s="4"/>
      <c r="LLR248" s="4"/>
      <c r="LLS248" s="4"/>
      <c r="LLT248" s="4"/>
      <c r="LLU248" s="4"/>
      <c r="LLV248" s="4"/>
      <c r="LLW248" s="4"/>
      <c r="LLX248" s="4"/>
      <c r="LLY248" s="4"/>
      <c r="LLZ248" s="4"/>
      <c r="LMA248" s="4"/>
      <c r="LMB248" s="4"/>
      <c r="LMC248" s="4"/>
      <c r="LMD248" s="4"/>
      <c r="LME248" s="4"/>
      <c r="LMF248" s="4"/>
      <c r="LMG248" s="4"/>
      <c r="LMH248" s="4"/>
      <c r="LMI248" s="4"/>
      <c r="LMJ248" s="4"/>
      <c r="LMK248" s="4"/>
      <c r="LML248" s="4"/>
      <c r="LMM248" s="4"/>
      <c r="LMN248" s="4"/>
      <c r="LMO248" s="4"/>
      <c r="LMP248" s="4"/>
      <c r="LMQ248" s="4"/>
      <c r="LMR248" s="4"/>
      <c r="LMS248" s="4"/>
      <c r="LMT248" s="4"/>
      <c r="LMU248" s="4"/>
      <c r="LMV248" s="4"/>
      <c r="LMW248" s="4"/>
      <c r="LMX248" s="4"/>
      <c r="LMY248" s="4"/>
      <c r="LMZ248" s="4"/>
      <c r="LNA248" s="4"/>
      <c r="LNB248" s="4"/>
      <c r="LNC248" s="4"/>
      <c r="LND248" s="4"/>
      <c r="LNE248" s="4"/>
      <c r="LNF248" s="4"/>
      <c r="LNG248" s="4"/>
      <c r="LNH248" s="4"/>
      <c r="LNI248" s="4"/>
      <c r="LNJ248" s="4"/>
      <c r="LNK248" s="4"/>
      <c r="LNL248" s="4"/>
      <c r="LNM248" s="4"/>
      <c r="LNN248" s="4"/>
      <c r="LNO248" s="4"/>
      <c r="LNP248" s="4"/>
      <c r="LNQ248" s="4"/>
      <c r="LNR248" s="4"/>
      <c r="LNS248" s="4"/>
      <c r="LNT248" s="4"/>
      <c r="LNU248" s="4"/>
      <c r="LNV248" s="4"/>
      <c r="LNW248" s="4"/>
      <c r="LNX248" s="4"/>
      <c r="LNY248" s="4"/>
      <c r="LNZ248" s="4"/>
      <c r="LOA248" s="4"/>
      <c r="LOB248" s="4"/>
      <c r="LOC248" s="4"/>
      <c r="LOD248" s="4"/>
      <c r="LOE248" s="4"/>
      <c r="LOF248" s="4"/>
      <c r="LOG248" s="4"/>
      <c r="LOH248" s="4"/>
      <c r="LOI248" s="4"/>
      <c r="LOJ248" s="4"/>
      <c r="LOK248" s="4"/>
      <c r="LOL248" s="4"/>
      <c r="LOM248" s="4"/>
      <c r="LON248" s="4"/>
      <c r="LOO248" s="4"/>
      <c r="LOP248" s="4"/>
      <c r="LOQ248" s="4"/>
      <c r="LOR248" s="4"/>
      <c r="LOS248" s="4"/>
      <c r="LOT248" s="4"/>
      <c r="LOU248" s="4"/>
      <c r="LOV248" s="4"/>
      <c r="LOW248" s="4"/>
      <c r="LOX248" s="4"/>
      <c r="LOY248" s="4"/>
      <c r="LOZ248" s="4"/>
      <c r="LPA248" s="4"/>
      <c r="LPB248" s="4"/>
      <c r="LPC248" s="4"/>
      <c r="LPD248" s="4"/>
      <c r="LPE248" s="4"/>
      <c r="LPF248" s="4"/>
      <c r="LPG248" s="4"/>
      <c r="LPH248" s="4"/>
      <c r="LPI248" s="4"/>
      <c r="LPJ248" s="4"/>
      <c r="LPK248" s="4"/>
      <c r="LPL248" s="4"/>
      <c r="LPM248" s="4"/>
      <c r="LPN248" s="4"/>
      <c r="LPO248" s="4"/>
      <c r="LPP248" s="4"/>
      <c r="LPQ248" s="4"/>
      <c r="LPR248" s="4"/>
      <c r="LPS248" s="4"/>
      <c r="LPT248" s="4"/>
      <c r="LPU248" s="4"/>
      <c r="LPV248" s="4"/>
      <c r="LPW248" s="4"/>
      <c r="LPX248" s="4"/>
      <c r="LPY248" s="4"/>
      <c r="LPZ248" s="4"/>
      <c r="LQA248" s="4"/>
      <c r="LQB248" s="4"/>
      <c r="LQC248" s="4"/>
      <c r="LQD248" s="4"/>
      <c r="LQE248" s="4"/>
      <c r="LQF248" s="4"/>
      <c r="LQG248" s="4"/>
      <c r="LQH248" s="4"/>
      <c r="LQI248" s="4"/>
      <c r="LQJ248" s="4"/>
      <c r="LQK248" s="4"/>
      <c r="LQL248" s="4"/>
      <c r="LQM248" s="4"/>
      <c r="LQN248" s="4"/>
      <c r="LQO248" s="4"/>
      <c r="LQP248" s="4"/>
      <c r="LQQ248" s="4"/>
      <c r="LQR248" s="4"/>
      <c r="LQS248" s="4"/>
      <c r="LQT248" s="4"/>
      <c r="LQU248" s="4"/>
      <c r="LQV248" s="4"/>
      <c r="LQW248" s="4"/>
      <c r="LQX248" s="4"/>
      <c r="LQY248" s="4"/>
      <c r="LQZ248" s="4"/>
      <c r="LRA248" s="4"/>
      <c r="LRB248" s="4"/>
      <c r="LRC248" s="4"/>
      <c r="LRD248" s="4"/>
      <c r="LRE248" s="4"/>
      <c r="LRF248" s="4"/>
      <c r="LRG248" s="4"/>
      <c r="LRH248" s="4"/>
      <c r="LRI248" s="4"/>
      <c r="LRJ248" s="4"/>
      <c r="LRK248" s="4"/>
      <c r="LRL248" s="4"/>
      <c r="LRM248" s="4"/>
      <c r="LRN248" s="4"/>
      <c r="LRO248" s="4"/>
      <c r="LRP248" s="4"/>
      <c r="LRQ248" s="4"/>
      <c r="LRR248" s="4"/>
      <c r="LRS248" s="4"/>
      <c r="LRT248" s="4"/>
      <c r="LRU248" s="4"/>
      <c r="LRV248" s="4"/>
      <c r="LRW248" s="4"/>
      <c r="LRX248" s="4"/>
      <c r="LRY248" s="4"/>
      <c r="LRZ248" s="4"/>
      <c r="LSA248" s="4"/>
      <c r="LSB248" s="4"/>
      <c r="LSC248" s="4"/>
      <c r="LSD248" s="4"/>
      <c r="LSE248" s="4"/>
      <c r="LSF248" s="4"/>
      <c r="LSG248" s="4"/>
      <c r="LSH248" s="4"/>
      <c r="LSI248" s="4"/>
      <c r="LSJ248" s="4"/>
      <c r="LSK248" s="4"/>
      <c r="LSL248" s="4"/>
      <c r="LSM248" s="4"/>
      <c r="LSN248" s="4"/>
      <c r="LSO248" s="4"/>
      <c r="LSP248" s="4"/>
      <c r="LSQ248" s="4"/>
      <c r="LSR248" s="4"/>
      <c r="LSS248" s="4"/>
      <c r="LST248" s="4"/>
      <c r="LSU248" s="4"/>
      <c r="LSV248" s="4"/>
      <c r="LSW248" s="4"/>
      <c r="LSX248" s="4"/>
      <c r="LSY248" s="4"/>
      <c r="LSZ248" s="4"/>
      <c r="LTA248" s="4"/>
      <c r="LTB248" s="4"/>
      <c r="LTC248" s="4"/>
      <c r="LTD248" s="4"/>
      <c r="LTE248" s="4"/>
      <c r="LTF248" s="4"/>
      <c r="LTG248" s="4"/>
      <c r="LTH248" s="4"/>
      <c r="LTI248" s="4"/>
      <c r="LTJ248" s="4"/>
      <c r="LTK248" s="4"/>
      <c r="LTL248" s="4"/>
      <c r="LTM248" s="4"/>
      <c r="LTN248" s="4"/>
      <c r="LTO248" s="4"/>
      <c r="LTP248" s="4"/>
      <c r="LTQ248" s="4"/>
      <c r="LTR248" s="4"/>
      <c r="LTS248" s="4"/>
      <c r="LTT248" s="4"/>
      <c r="LTU248" s="4"/>
      <c r="LTV248" s="4"/>
      <c r="LTW248" s="4"/>
      <c r="LTX248" s="4"/>
      <c r="LTY248" s="4"/>
      <c r="LTZ248" s="4"/>
      <c r="LUA248" s="4"/>
      <c r="LUB248" s="4"/>
      <c r="LUC248" s="4"/>
      <c r="LUD248" s="4"/>
      <c r="LUE248" s="4"/>
      <c r="LUF248" s="4"/>
      <c r="LUG248" s="4"/>
      <c r="LUH248" s="4"/>
      <c r="LUI248" s="4"/>
      <c r="LUJ248" s="4"/>
      <c r="LUK248" s="4"/>
      <c r="LUL248" s="4"/>
      <c r="LUM248" s="4"/>
      <c r="LUN248" s="4"/>
      <c r="LUO248" s="4"/>
      <c r="LUP248" s="4"/>
      <c r="LUQ248" s="4"/>
      <c r="LUR248" s="4"/>
      <c r="LUS248" s="4"/>
      <c r="LUT248" s="4"/>
      <c r="LUU248" s="4"/>
      <c r="LUV248" s="4"/>
      <c r="LUW248" s="4"/>
      <c r="LUX248" s="4"/>
      <c r="LUY248" s="4"/>
      <c r="LUZ248" s="4"/>
      <c r="LVA248" s="4"/>
      <c r="LVB248" s="4"/>
      <c r="LVC248" s="4"/>
      <c r="LVD248" s="4"/>
      <c r="LVE248" s="4"/>
      <c r="LVF248" s="4"/>
      <c r="LVG248" s="4"/>
      <c r="LVH248" s="4"/>
      <c r="LVI248" s="4"/>
      <c r="LVJ248" s="4"/>
      <c r="LVK248" s="4"/>
      <c r="LVL248" s="4"/>
      <c r="LVM248" s="4"/>
      <c r="LVN248" s="4"/>
      <c r="LVO248" s="4"/>
      <c r="LVP248" s="4"/>
      <c r="LVQ248" s="4"/>
      <c r="LVR248" s="4"/>
      <c r="LVS248" s="4"/>
      <c r="LVT248" s="4"/>
      <c r="LVU248" s="4"/>
      <c r="LVV248" s="4"/>
      <c r="LVW248" s="4"/>
      <c r="LVX248" s="4"/>
      <c r="LVY248" s="4"/>
      <c r="LVZ248" s="4"/>
      <c r="LWA248" s="4"/>
      <c r="LWB248" s="4"/>
      <c r="LWC248" s="4"/>
      <c r="LWD248" s="4"/>
      <c r="LWE248" s="4"/>
      <c r="LWF248" s="4"/>
      <c r="LWG248" s="4"/>
      <c r="LWH248" s="4"/>
      <c r="LWI248" s="4"/>
      <c r="LWJ248" s="4"/>
      <c r="LWK248" s="4"/>
      <c r="LWL248" s="4"/>
      <c r="LWM248" s="4"/>
      <c r="LWN248" s="4"/>
      <c r="LWO248" s="4"/>
      <c r="LWP248" s="4"/>
      <c r="LWQ248" s="4"/>
      <c r="LWR248" s="4"/>
      <c r="LWS248" s="4"/>
      <c r="LWT248" s="4"/>
      <c r="LWU248" s="4"/>
      <c r="LWV248" s="4"/>
      <c r="LWW248" s="4"/>
      <c r="LWX248" s="4"/>
      <c r="LWY248" s="4"/>
      <c r="LWZ248" s="4"/>
      <c r="LXA248" s="4"/>
      <c r="LXB248" s="4"/>
      <c r="LXC248" s="4"/>
      <c r="LXD248" s="4"/>
      <c r="LXE248" s="4"/>
      <c r="LXF248" s="4"/>
      <c r="LXG248" s="4"/>
      <c r="LXH248" s="4"/>
      <c r="LXI248" s="4"/>
      <c r="LXJ248" s="4"/>
      <c r="LXK248" s="4"/>
      <c r="LXL248" s="4"/>
      <c r="LXM248" s="4"/>
      <c r="LXN248" s="4"/>
      <c r="LXO248" s="4"/>
      <c r="LXP248" s="4"/>
      <c r="LXQ248" s="4"/>
      <c r="LXR248" s="4"/>
      <c r="LXS248" s="4"/>
      <c r="LXT248" s="4"/>
      <c r="LXU248" s="4"/>
      <c r="LXV248" s="4"/>
      <c r="LXW248" s="4"/>
      <c r="LXX248" s="4"/>
      <c r="LXY248" s="4"/>
      <c r="LXZ248" s="4"/>
      <c r="LYA248" s="4"/>
      <c r="LYB248" s="4"/>
      <c r="LYC248" s="4"/>
      <c r="LYD248" s="4"/>
      <c r="LYE248" s="4"/>
      <c r="LYF248" s="4"/>
      <c r="LYG248" s="4"/>
      <c r="LYH248" s="4"/>
      <c r="LYI248" s="4"/>
      <c r="LYJ248" s="4"/>
      <c r="LYK248" s="4"/>
      <c r="LYL248" s="4"/>
      <c r="LYM248" s="4"/>
      <c r="LYN248" s="4"/>
      <c r="LYO248" s="4"/>
      <c r="LYP248" s="4"/>
      <c r="LYQ248" s="4"/>
      <c r="LYR248" s="4"/>
      <c r="LYS248" s="4"/>
      <c r="LYT248" s="4"/>
      <c r="LYU248" s="4"/>
      <c r="LYV248" s="4"/>
      <c r="LYW248" s="4"/>
      <c r="LYX248" s="4"/>
      <c r="LYY248" s="4"/>
      <c r="LYZ248" s="4"/>
      <c r="LZA248" s="4"/>
      <c r="LZB248" s="4"/>
      <c r="LZC248" s="4"/>
      <c r="LZD248" s="4"/>
      <c r="LZE248" s="4"/>
      <c r="LZF248" s="4"/>
      <c r="LZG248" s="4"/>
      <c r="LZH248" s="4"/>
      <c r="LZI248" s="4"/>
      <c r="LZJ248" s="4"/>
      <c r="LZK248" s="4"/>
      <c r="LZL248" s="4"/>
      <c r="LZM248" s="4"/>
      <c r="LZN248" s="4"/>
      <c r="LZO248" s="4"/>
      <c r="LZP248" s="4"/>
      <c r="LZQ248" s="4"/>
      <c r="LZR248" s="4"/>
      <c r="LZS248" s="4"/>
      <c r="LZT248" s="4"/>
      <c r="LZU248" s="4"/>
      <c r="LZV248" s="4"/>
      <c r="LZW248" s="4"/>
      <c r="LZX248" s="4"/>
      <c r="LZY248" s="4"/>
      <c r="LZZ248" s="4"/>
      <c r="MAA248" s="4"/>
      <c r="MAB248" s="4"/>
      <c r="MAC248" s="4"/>
      <c r="MAD248" s="4"/>
      <c r="MAE248" s="4"/>
      <c r="MAF248" s="4"/>
      <c r="MAG248" s="4"/>
      <c r="MAH248" s="4"/>
      <c r="MAI248" s="4"/>
      <c r="MAJ248" s="4"/>
      <c r="MAK248" s="4"/>
      <c r="MAL248" s="4"/>
      <c r="MAM248" s="4"/>
      <c r="MAN248" s="4"/>
      <c r="MAO248" s="4"/>
      <c r="MAP248" s="4"/>
      <c r="MAQ248" s="4"/>
      <c r="MAR248" s="4"/>
      <c r="MAS248" s="4"/>
      <c r="MAT248" s="4"/>
      <c r="MAU248" s="4"/>
      <c r="MAV248" s="4"/>
      <c r="MAW248" s="4"/>
      <c r="MAX248" s="4"/>
      <c r="MAY248" s="4"/>
      <c r="MAZ248" s="4"/>
      <c r="MBA248" s="4"/>
      <c r="MBB248" s="4"/>
      <c r="MBC248" s="4"/>
      <c r="MBD248" s="4"/>
      <c r="MBE248" s="4"/>
      <c r="MBF248" s="4"/>
      <c r="MBG248" s="4"/>
      <c r="MBH248" s="4"/>
      <c r="MBI248" s="4"/>
      <c r="MBJ248" s="4"/>
      <c r="MBK248" s="4"/>
      <c r="MBL248" s="4"/>
      <c r="MBM248" s="4"/>
      <c r="MBN248" s="4"/>
      <c r="MBO248" s="4"/>
      <c r="MBP248" s="4"/>
      <c r="MBQ248" s="4"/>
      <c r="MBR248" s="4"/>
      <c r="MBS248" s="4"/>
      <c r="MBT248" s="4"/>
      <c r="MBU248" s="4"/>
      <c r="MBV248" s="4"/>
      <c r="MBW248" s="4"/>
      <c r="MBX248" s="4"/>
      <c r="MBY248" s="4"/>
      <c r="MBZ248" s="4"/>
      <c r="MCA248" s="4"/>
      <c r="MCB248" s="4"/>
      <c r="MCC248" s="4"/>
      <c r="MCD248" s="4"/>
      <c r="MCE248" s="4"/>
      <c r="MCF248" s="4"/>
      <c r="MCG248" s="4"/>
      <c r="MCH248" s="4"/>
      <c r="MCI248" s="4"/>
      <c r="MCJ248" s="4"/>
      <c r="MCK248" s="4"/>
      <c r="MCL248" s="4"/>
      <c r="MCM248" s="4"/>
      <c r="MCN248" s="4"/>
      <c r="MCO248" s="4"/>
      <c r="MCP248" s="4"/>
      <c r="MCQ248" s="4"/>
      <c r="MCR248" s="4"/>
      <c r="MCS248" s="4"/>
      <c r="MCT248" s="4"/>
      <c r="MCU248" s="4"/>
      <c r="MCV248" s="4"/>
      <c r="MCW248" s="4"/>
      <c r="MCX248" s="4"/>
      <c r="MCY248" s="4"/>
      <c r="MCZ248" s="4"/>
      <c r="MDA248" s="4"/>
      <c r="MDB248" s="4"/>
      <c r="MDC248" s="4"/>
      <c r="MDD248" s="4"/>
      <c r="MDE248" s="4"/>
      <c r="MDF248" s="4"/>
      <c r="MDG248" s="4"/>
      <c r="MDH248" s="4"/>
      <c r="MDI248" s="4"/>
      <c r="MDJ248" s="4"/>
      <c r="MDK248" s="4"/>
      <c r="MDL248" s="4"/>
      <c r="MDM248" s="4"/>
      <c r="MDN248" s="4"/>
      <c r="MDO248" s="4"/>
      <c r="MDP248" s="4"/>
      <c r="MDQ248" s="4"/>
      <c r="MDR248" s="4"/>
      <c r="MDS248" s="4"/>
      <c r="MDT248" s="4"/>
      <c r="MDU248" s="4"/>
      <c r="MDV248" s="4"/>
      <c r="MDW248" s="4"/>
      <c r="MDX248" s="4"/>
      <c r="MDY248" s="4"/>
      <c r="MDZ248" s="4"/>
      <c r="MEA248" s="4"/>
      <c r="MEB248" s="4"/>
      <c r="MEC248" s="4"/>
      <c r="MED248" s="4"/>
      <c r="MEE248" s="4"/>
      <c r="MEF248" s="4"/>
      <c r="MEG248" s="4"/>
      <c r="MEH248" s="4"/>
      <c r="MEI248" s="4"/>
      <c r="MEJ248" s="4"/>
      <c r="MEK248" s="4"/>
      <c r="MEL248" s="4"/>
      <c r="MEM248" s="4"/>
      <c r="MEN248" s="4"/>
      <c r="MEO248" s="4"/>
      <c r="MEP248" s="4"/>
      <c r="MEQ248" s="4"/>
      <c r="MER248" s="4"/>
      <c r="MES248" s="4"/>
      <c r="MET248" s="4"/>
      <c r="MEU248" s="4"/>
      <c r="MEV248" s="4"/>
      <c r="MEW248" s="4"/>
      <c r="MEX248" s="4"/>
      <c r="MEY248" s="4"/>
      <c r="MEZ248" s="4"/>
      <c r="MFA248" s="4"/>
      <c r="MFB248" s="4"/>
      <c r="MFC248" s="4"/>
      <c r="MFD248" s="4"/>
      <c r="MFE248" s="4"/>
      <c r="MFF248" s="4"/>
      <c r="MFG248" s="4"/>
      <c r="MFH248" s="4"/>
      <c r="MFI248" s="4"/>
      <c r="MFJ248" s="4"/>
      <c r="MFK248" s="4"/>
      <c r="MFL248" s="4"/>
      <c r="MFM248" s="4"/>
      <c r="MFN248" s="4"/>
      <c r="MFO248" s="4"/>
      <c r="MFP248" s="4"/>
      <c r="MFQ248" s="4"/>
      <c r="MFR248" s="4"/>
      <c r="MFS248" s="4"/>
      <c r="MFT248" s="4"/>
      <c r="MFU248" s="4"/>
      <c r="MFV248" s="4"/>
      <c r="MFW248" s="4"/>
      <c r="MFX248" s="4"/>
      <c r="MFY248" s="4"/>
      <c r="MFZ248" s="4"/>
      <c r="MGA248" s="4"/>
      <c r="MGB248" s="4"/>
      <c r="MGC248" s="4"/>
      <c r="MGD248" s="4"/>
      <c r="MGE248" s="4"/>
      <c r="MGF248" s="4"/>
      <c r="MGG248" s="4"/>
      <c r="MGH248" s="4"/>
      <c r="MGI248" s="4"/>
      <c r="MGJ248" s="4"/>
      <c r="MGK248" s="4"/>
      <c r="MGL248" s="4"/>
      <c r="MGM248" s="4"/>
      <c r="MGN248" s="4"/>
      <c r="MGO248" s="4"/>
      <c r="MGP248" s="4"/>
      <c r="MGQ248" s="4"/>
      <c r="MGR248" s="4"/>
      <c r="MGS248" s="4"/>
      <c r="MGT248" s="4"/>
      <c r="MGU248" s="4"/>
      <c r="MGV248" s="4"/>
      <c r="MGW248" s="4"/>
      <c r="MGX248" s="4"/>
      <c r="MGY248" s="4"/>
      <c r="MGZ248" s="4"/>
      <c r="MHA248" s="4"/>
      <c r="MHB248" s="4"/>
      <c r="MHC248" s="4"/>
      <c r="MHD248" s="4"/>
      <c r="MHE248" s="4"/>
      <c r="MHF248" s="4"/>
      <c r="MHG248" s="4"/>
      <c r="MHH248" s="4"/>
      <c r="MHI248" s="4"/>
      <c r="MHJ248" s="4"/>
      <c r="MHK248" s="4"/>
      <c r="MHL248" s="4"/>
      <c r="MHM248" s="4"/>
      <c r="MHN248" s="4"/>
      <c r="MHO248" s="4"/>
      <c r="MHP248" s="4"/>
      <c r="MHQ248" s="4"/>
      <c r="MHR248" s="4"/>
      <c r="MHS248" s="4"/>
      <c r="MHT248" s="4"/>
      <c r="MHU248" s="4"/>
      <c r="MHV248" s="4"/>
      <c r="MHW248" s="4"/>
      <c r="MHX248" s="4"/>
      <c r="MHY248" s="4"/>
      <c r="MHZ248" s="4"/>
      <c r="MIA248" s="4"/>
      <c r="MIB248" s="4"/>
      <c r="MIC248" s="4"/>
      <c r="MID248" s="4"/>
      <c r="MIE248" s="4"/>
      <c r="MIF248" s="4"/>
      <c r="MIG248" s="4"/>
      <c r="MIH248" s="4"/>
      <c r="MII248" s="4"/>
      <c r="MIJ248" s="4"/>
      <c r="MIK248" s="4"/>
      <c r="MIL248" s="4"/>
      <c r="MIM248" s="4"/>
      <c r="MIN248" s="4"/>
      <c r="MIO248" s="4"/>
      <c r="MIP248" s="4"/>
      <c r="MIQ248" s="4"/>
      <c r="MIR248" s="4"/>
      <c r="MIS248" s="4"/>
      <c r="MIT248" s="4"/>
      <c r="MIU248" s="4"/>
      <c r="MIV248" s="4"/>
      <c r="MIW248" s="4"/>
      <c r="MIX248" s="4"/>
      <c r="MIY248" s="4"/>
      <c r="MIZ248" s="4"/>
      <c r="MJA248" s="4"/>
      <c r="MJB248" s="4"/>
      <c r="MJC248" s="4"/>
      <c r="MJD248" s="4"/>
      <c r="MJE248" s="4"/>
      <c r="MJF248" s="4"/>
      <c r="MJG248" s="4"/>
      <c r="MJH248" s="4"/>
      <c r="MJI248" s="4"/>
      <c r="MJJ248" s="4"/>
      <c r="MJK248" s="4"/>
      <c r="MJL248" s="4"/>
      <c r="MJM248" s="4"/>
      <c r="MJN248" s="4"/>
      <c r="MJO248" s="4"/>
      <c r="MJP248" s="4"/>
      <c r="MJQ248" s="4"/>
      <c r="MJR248" s="4"/>
      <c r="MJS248" s="4"/>
      <c r="MJT248" s="4"/>
      <c r="MJU248" s="4"/>
      <c r="MJV248" s="4"/>
      <c r="MJW248" s="4"/>
      <c r="MJX248" s="4"/>
      <c r="MJY248" s="4"/>
      <c r="MJZ248" s="4"/>
      <c r="MKA248" s="4"/>
      <c r="MKB248" s="4"/>
      <c r="MKC248" s="4"/>
      <c r="MKD248" s="4"/>
      <c r="MKE248" s="4"/>
      <c r="MKF248" s="4"/>
      <c r="MKG248" s="4"/>
      <c r="MKH248" s="4"/>
      <c r="MKI248" s="4"/>
      <c r="MKJ248" s="4"/>
      <c r="MKK248" s="4"/>
      <c r="MKL248" s="4"/>
      <c r="MKM248" s="4"/>
      <c r="MKN248" s="4"/>
      <c r="MKO248" s="4"/>
      <c r="MKP248" s="4"/>
      <c r="MKQ248" s="4"/>
      <c r="MKR248" s="4"/>
      <c r="MKS248" s="4"/>
      <c r="MKT248" s="4"/>
      <c r="MKU248" s="4"/>
      <c r="MKV248" s="4"/>
      <c r="MKW248" s="4"/>
      <c r="MKX248" s="4"/>
      <c r="MKY248" s="4"/>
      <c r="MKZ248" s="4"/>
      <c r="MLA248" s="4"/>
      <c r="MLB248" s="4"/>
      <c r="MLC248" s="4"/>
      <c r="MLD248" s="4"/>
      <c r="MLE248" s="4"/>
      <c r="MLF248" s="4"/>
      <c r="MLG248" s="4"/>
      <c r="MLH248" s="4"/>
      <c r="MLI248" s="4"/>
      <c r="MLJ248" s="4"/>
      <c r="MLK248" s="4"/>
      <c r="MLL248" s="4"/>
      <c r="MLM248" s="4"/>
      <c r="MLN248" s="4"/>
      <c r="MLO248" s="4"/>
      <c r="MLP248" s="4"/>
      <c r="MLQ248" s="4"/>
      <c r="MLR248" s="4"/>
      <c r="MLS248" s="4"/>
      <c r="MLT248" s="4"/>
      <c r="MLU248" s="4"/>
      <c r="MLV248" s="4"/>
      <c r="MLW248" s="4"/>
      <c r="MLX248" s="4"/>
      <c r="MLY248" s="4"/>
      <c r="MLZ248" s="4"/>
      <c r="MMA248" s="4"/>
      <c r="MMB248" s="4"/>
      <c r="MMC248" s="4"/>
      <c r="MMD248" s="4"/>
      <c r="MME248" s="4"/>
      <c r="MMF248" s="4"/>
      <c r="MMG248" s="4"/>
      <c r="MMH248" s="4"/>
      <c r="MMI248" s="4"/>
      <c r="MMJ248" s="4"/>
      <c r="MMK248" s="4"/>
      <c r="MML248" s="4"/>
      <c r="MMM248" s="4"/>
      <c r="MMN248" s="4"/>
      <c r="MMO248" s="4"/>
      <c r="MMP248" s="4"/>
      <c r="MMQ248" s="4"/>
      <c r="MMR248" s="4"/>
      <c r="MMS248" s="4"/>
      <c r="MMT248" s="4"/>
      <c r="MMU248" s="4"/>
      <c r="MMV248" s="4"/>
      <c r="MMW248" s="4"/>
      <c r="MMX248" s="4"/>
      <c r="MMY248" s="4"/>
      <c r="MMZ248" s="4"/>
      <c r="MNA248" s="4"/>
      <c r="MNB248" s="4"/>
      <c r="MNC248" s="4"/>
      <c r="MND248" s="4"/>
      <c r="MNE248" s="4"/>
      <c r="MNF248" s="4"/>
      <c r="MNG248" s="4"/>
      <c r="MNH248" s="4"/>
      <c r="MNI248" s="4"/>
      <c r="MNJ248" s="4"/>
      <c r="MNK248" s="4"/>
      <c r="MNL248" s="4"/>
      <c r="MNM248" s="4"/>
      <c r="MNN248" s="4"/>
      <c r="MNO248" s="4"/>
      <c r="MNP248" s="4"/>
      <c r="MNQ248" s="4"/>
      <c r="MNR248" s="4"/>
      <c r="MNS248" s="4"/>
      <c r="MNT248" s="4"/>
      <c r="MNU248" s="4"/>
      <c r="MNV248" s="4"/>
      <c r="MNW248" s="4"/>
      <c r="MNX248" s="4"/>
      <c r="MNY248" s="4"/>
      <c r="MNZ248" s="4"/>
      <c r="MOA248" s="4"/>
      <c r="MOB248" s="4"/>
      <c r="MOC248" s="4"/>
      <c r="MOD248" s="4"/>
      <c r="MOE248" s="4"/>
      <c r="MOF248" s="4"/>
      <c r="MOG248" s="4"/>
      <c r="MOH248" s="4"/>
      <c r="MOI248" s="4"/>
      <c r="MOJ248" s="4"/>
      <c r="MOK248" s="4"/>
      <c r="MOL248" s="4"/>
      <c r="MOM248" s="4"/>
      <c r="MON248" s="4"/>
      <c r="MOO248" s="4"/>
      <c r="MOP248" s="4"/>
      <c r="MOQ248" s="4"/>
      <c r="MOR248" s="4"/>
      <c r="MOS248" s="4"/>
      <c r="MOT248" s="4"/>
      <c r="MOU248" s="4"/>
      <c r="MOV248" s="4"/>
      <c r="MOW248" s="4"/>
      <c r="MOX248" s="4"/>
      <c r="MOY248" s="4"/>
      <c r="MOZ248" s="4"/>
      <c r="MPA248" s="4"/>
      <c r="MPB248" s="4"/>
      <c r="MPC248" s="4"/>
      <c r="MPD248" s="4"/>
      <c r="MPE248" s="4"/>
      <c r="MPF248" s="4"/>
      <c r="MPG248" s="4"/>
      <c r="MPH248" s="4"/>
      <c r="MPI248" s="4"/>
      <c r="MPJ248" s="4"/>
      <c r="MPK248" s="4"/>
      <c r="MPL248" s="4"/>
      <c r="MPM248" s="4"/>
      <c r="MPN248" s="4"/>
      <c r="MPO248" s="4"/>
      <c r="MPP248" s="4"/>
      <c r="MPQ248" s="4"/>
      <c r="MPR248" s="4"/>
      <c r="MPS248" s="4"/>
      <c r="MPT248" s="4"/>
      <c r="MPU248" s="4"/>
      <c r="MPV248" s="4"/>
      <c r="MPW248" s="4"/>
      <c r="MPX248" s="4"/>
      <c r="MPY248" s="4"/>
      <c r="MPZ248" s="4"/>
      <c r="MQA248" s="4"/>
      <c r="MQB248" s="4"/>
      <c r="MQC248" s="4"/>
      <c r="MQD248" s="4"/>
      <c r="MQE248" s="4"/>
      <c r="MQF248" s="4"/>
      <c r="MQG248" s="4"/>
      <c r="MQH248" s="4"/>
      <c r="MQI248" s="4"/>
      <c r="MQJ248" s="4"/>
      <c r="MQK248" s="4"/>
      <c r="MQL248" s="4"/>
      <c r="MQM248" s="4"/>
      <c r="MQN248" s="4"/>
      <c r="MQO248" s="4"/>
      <c r="MQP248" s="4"/>
      <c r="MQQ248" s="4"/>
      <c r="MQR248" s="4"/>
      <c r="MQS248" s="4"/>
      <c r="MQT248" s="4"/>
      <c r="MQU248" s="4"/>
      <c r="MQV248" s="4"/>
      <c r="MQW248" s="4"/>
      <c r="MQX248" s="4"/>
      <c r="MQY248" s="4"/>
      <c r="MQZ248" s="4"/>
      <c r="MRA248" s="4"/>
      <c r="MRB248" s="4"/>
      <c r="MRC248" s="4"/>
      <c r="MRD248" s="4"/>
      <c r="MRE248" s="4"/>
      <c r="MRF248" s="4"/>
      <c r="MRG248" s="4"/>
      <c r="MRH248" s="4"/>
      <c r="MRI248" s="4"/>
      <c r="MRJ248" s="4"/>
      <c r="MRK248" s="4"/>
      <c r="MRL248" s="4"/>
      <c r="MRM248" s="4"/>
      <c r="MRN248" s="4"/>
      <c r="MRO248" s="4"/>
      <c r="MRP248" s="4"/>
      <c r="MRQ248" s="4"/>
      <c r="MRR248" s="4"/>
      <c r="MRS248" s="4"/>
      <c r="MRT248" s="4"/>
      <c r="MRU248" s="4"/>
      <c r="MRV248" s="4"/>
      <c r="MRW248" s="4"/>
      <c r="MRX248" s="4"/>
      <c r="MRY248" s="4"/>
      <c r="MRZ248" s="4"/>
      <c r="MSA248" s="4"/>
      <c r="MSB248" s="4"/>
      <c r="MSC248" s="4"/>
      <c r="MSD248" s="4"/>
      <c r="MSE248" s="4"/>
      <c r="MSF248" s="4"/>
      <c r="MSG248" s="4"/>
      <c r="MSH248" s="4"/>
      <c r="MSI248" s="4"/>
      <c r="MSJ248" s="4"/>
      <c r="MSK248" s="4"/>
      <c r="MSL248" s="4"/>
      <c r="MSM248" s="4"/>
      <c r="MSN248" s="4"/>
      <c r="MSO248" s="4"/>
      <c r="MSP248" s="4"/>
      <c r="MSQ248" s="4"/>
      <c r="MSR248" s="4"/>
      <c r="MSS248" s="4"/>
      <c r="MST248" s="4"/>
      <c r="MSU248" s="4"/>
      <c r="MSV248" s="4"/>
      <c r="MSW248" s="4"/>
      <c r="MSX248" s="4"/>
      <c r="MSY248" s="4"/>
      <c r="MSZ248" s="4"/>
      <c r="MTA248" s="4"/>
      <c r="MTB248" s="4"/>
      <c r="MTC248" s="4"/>
      <c r="MTD248" s="4"/>
      <c r="MTE248" s="4"/>
      <c r="MTF248" s="4"/>
      <c r="MTG248" s="4"/>
      <c r="MTH248" s="4"/>
      <c r="MTI248" s="4"/>
      <c r="MTJ248" s="4"/>
      <c r="MTK248" s="4"/>
      <c r="MTL248" s="4"/>
      <c r="MTM248" s="4"/>
      <c r="MTN248" s="4"/>
      <c r="MTO248" s="4"/>
      <c r="MTP248" s="4"/>
      <c r="MTQ248" s="4"/>
      <c r="MTR248" s="4"/>
      <c r="MTS248" s="4"/>
      <c r="MTT248" s="4"/>
      <c r="MTU248" s="4"/>
      <c r="MTV248" s="4"/>
      <c r="MTW248" s="4"/>
      <c r="MTX248" s="4"/>
      <c r="MTY248" s="4"/>
      <c r="MTZ248" s="4"/>
      <c r="MUA248" s="4"/>
      <c r="MUB248" s="4"/>
      <c r="MUC248" s="4"/>
      <c r="MUD248" s="4"/>
      <c r="MUE248" s="4"/>
      <c r="MUF248" s="4"/>
      <c r="MUG248" s="4"/>
      <c r="MUH248" s="4"/>
      <c r="MUI248" s="4"/>
      <c r="MUJ248" s="4"/>
      <c r="MUK248" s="4"/>
      <c r="MUL248" s="4"/>
      <c r="MUM248" s="4"/>
      <c r="MUN248" s="4"/>
      <c r="MUO248" s="4"/>
      <c r="MUP248" s="4"/>
      <c r="MUQ248" s="4"/>
      <c r="MUR248" s="4"/>
      <c r="MUS248" s="4"/>
      <c r="MUT248" s="4"/>
      <c r="MUU248" s="4"/>
      <c r="MUV248" s="4"/>
      <c r="MUW248" s="4"/>
      <c r="MUX248" s="4"/>
      <c r="MUY248" s="4"/>
      <c r="MUZ248" s="4"/>
      <c r="MVA248" s="4"/>
      <c r="MVB248" s="4"/>
      <c r="MVC248" s="4"/>
      <c r="MVD248" s="4"/>
      <c r="MVE248" s="4"/>
      <c r="MVF248" s="4"/>
      <c r="MVG248" s="4"/>
      <c r="MVH248" s="4"/>
      <c r="MVI248" s="4"/>
      <c r="MVJ248" s="4"/>
      <c r="MVK248" s="4"/>
      <c r="MVL248" s="4"/>
      <c r="MVM248" s="4"/>
      <c r="MVN248" s="4"/>
      <c r="MVO248" s="4"/>
      <c r="MVP248" s="4"/>
      <c r="MVQ248" s="4"/>
      <c r="MVR248" s="4"/>
      <c r="MVS248" s="4"/>
      <c r="MVT248" s="4"/>
      <c r="MVU248" s="4"/>
      <c r="MVV248" s="4"/>
      <c r="MVW248" s="4"/>
      <c r="MVX248" s="4"/>
      <c r="MVY248" s="4"/>
      <c r="MVZ248" s="4"/>
      <c r="MWA248" s="4"/>
      <c r="MWB248" s="4"/>
      <c r="MWC248" s="4"/>
      <c r="MWD248" s="4"/>
      <c r="MWE248" s="4"/>
      <c r="MWF248" s="4"/>
      <c r="MWG248" s="4"/>
      <c r="MWH248" s="4"/>
      <c r="MWI248" s="4"/>
      <c r="MWJ248" s="4"/>
      <c r="MWK248" s="4"/>
      <c r="MWL248" s="4"/>
      <c r="MWM248" s="4"/>
      <c r="MWN248" s="4"/>
      <c r="MWO248" s="4"/>
      <c r="MWP248" s="4"/>
      <c r="MWQ248" s="4"/>
      <c r="MWR248" s="4"/>
      <c r="MWS248" s="4"/>
      <c r="MWT248" s="4"/>
      <c r="MWU248" s="4"/>
      <c r="MWV248" s="4"/>
      <c r="MWW248" s="4"/>
      <c r="MWX248" s="4"/>
      <c r="MWY248" s="4"/>
      <c r="MWZ248" s="4"/>
      <c r="MXA248" s="4"/>
      <c r="MXB248" s="4"/>
      <c r="MXC248" s="4"/>
      <c r="MXD248" s="4"/>
      <c r="MXE248" s="4"/>
      <c r="MXF248" s="4"/>
      <c r="MXG248" s="4"/>
      <c r="MXH248" s="4"/>
      <c r="MXI248" s="4"/>
      <c r="MXJ248" s="4"/>
      <c r="MXK248" s="4"/>
      <c r="MXL248" s="4"/>
      <c r="MXM248" s="4"/>
      <c r="MXN248" s="4"/>
      <c r="MXO248" s="4"/>
      <c r="MXP248" s="4"/>
      <c r="MXQ248" s="4"/>
      <c r="MXR248" s="4"/>
      <c r="MXS248" s="4"/>
      <c r="MXT248" s="4"/>
      <c r="MXU248" s="4"/>
      <c r="MXV248" s="4"/>
      <c r="MXW248" s="4"/>
      <c r="MXX248" s="4"/>
      <c r="MXY248" s="4"/>
      <c r="MXZ248" s="4"/>
      <c r="MYA248" s="4"/>
      <c r="MYB248" s="4"/>
      <c r="MYC248" s="4"/>
      <c r="MYD248" s="4"/>
      <c r="MYE248" s="4"/>
      <c r="MYF248" s="4"/>
      <c r="MYG248" s="4"/>
      <c r="MYH248" s="4"/>
      <c r="MYI248" s="4"/>
      <c r="MYJ248" s="4"/>
      <c r="MYK248" s="4"/>
      <c r="MYL248" s="4"/>
      <c r="MYM248" s="4"/>
      <c r="MYN248" s="4"/>
      <c r="MYO248" s="4"/>
      <c r="MYP248" s="4"/>
      <c r="MYQ248" s="4"/>
      <c r="MYR248" s="4"/>
      <c r="MYS248" s="4"/>
      <c r="MYT248" s="4"/>
      <c r="MYU248" s="4"/>
      <c r="MYV248" s="4"/>
      <c r="MYW248" s="4"/>
      <c r="MYX248" s="4"/>
      <c r="MYY248" s="4"/>
      <c r="MYZ248" s="4"/>
      <c r="MZA248" s="4"/>
      <c r="MZB248" s="4"/>
      <c r="MZC248" s="4"/>
      <c r="MZD248" s="4"/>
      <c r="MZE248" s="4"/>
      <c r="MZF248" s="4"/>
      <c r="MZG248" s="4"/>
      <c r="MZH248" s="4"/>
      <c r="MZI248" s="4"/>
      <c r="MZJ248" s="4"/>
      <c r="MZK248" s="4"/>
      <c r="MZL248" s="4"/>
      <c r="MZM248" s="4"/>
      <c r="MZN248" s="4"/>
      <c r="MZO248" s="4"/>
      <c r="MZP248" s="4"/>
      <c r="MZQ248" s="4"/>
      <c r="MZR248" s="4"/>
      <c r="MZS248" s="4"/>
      <c r="MZT248" s="4"/>
      <c r="MZU248" s="4"/>
      <c r="MZV248" s="4"/>
      <c r="MZW248" s="4"/>
      <c r="MZX248" s="4"/>
      <c r="MZY248" s="4"/>
      <c r="MZZ248" s="4"/>
      <c r="NAA248" s="4"/>
      <c r="NAB248" s="4"/>
      <c r="NAC248" s="4"/>
      <c r="NAD248" s="4"/>
      <c r="NAE248" s="4"/>
      <c r="NAF248" s="4"/>
      <c r="NAG248" s="4"/>
      <c r="NAH248" s="4"/>
      <c r="NAI248" s="4"/>
      <c r="NAJ248" s="4"/>
      <c r="NAK248" s="4"/>
      <c r="NAL248" s="4"/>
      <c r="NAM248" s="4"/>
      <c r="NAN248" s="4"/>
      <c r="NAO248" s="4"/>
      <c r="NAP248" s="4"/>
      <c r="NAQ248" s="4"/>
      <c r="NAR248" s="4"/>
      <c r="NAS248" s="4"/>
      <c r="NAT248" s="4"/>
      <c r="NAU248" s="4"/>
      <c r="NAV248" s="4"/>
      <c r="NAW248" s="4"/>
      <c r="NAX248" s="4"/>
      <c r="NAY248" s="4"/>
      <c r="NAZ248" s="4"/>
      <c r="NBA248" s="4"/>
      <c r="NBB248" s="4"/>
      <c r="NBC248" s="4"/>
      <c r="NBD248" s="4"/>
      <c r="NBE248" s="4"/>
      <c r="NBF248" s="4"/>
      <c r="NBG248" s="4"/>
      <c r="NBH248" s="4"/>
      <c r="NBI248" s="4"/>
      <c r="NBJ248" s="4"/>
      <c r="NBK248" s="4"/>
      <c r="NBL248" s="4"/>
      <c r="NBM248" s="4"/>
      <c r="NBN248" s="4"/>
      <c r="NBO248" s="4"/>
      <c r="NBP248" s="4"/>
      <c r="NBQ248" s="4"/>
      <c r="NBR248" s="4"/>
      <c r="NBS248" s="4"/>
      <c r="NBT248" s="4"/>
      <c r="NBU248" s="4"/>
      <c r="NBV248" s="4"/>
      <c r="NBW248" s="4"/>
      <c r="NBX248" s="4"/>
      <c r="NBY248" s="4"/>
      <c r="NBZ248" s="4"/>
      <c r="NCA248" s="4"/>
      <c r="NCB248" s="4"/>
      <c r="NCC248" s="4"/>
      <c r="NCD248" s="4"/>
      <c r="NCE248" s="4"/>
      <c r="NCF248" s="4"/>
      <c r="NCG248" s="4"/>
      <c r="NCH248" s="4"/>
      <c r="NCI248" s="4"/>
      <c r="NCJ248" s="4"/>
      <c r="NCK248" s="4"/>
      <c r="NCL248" s="4"/>
      <c r="NCM248" s="4"/>
      <c r="NCN248" s="4"/>
      <c r="NCO248" s="4"/>
      <c r="NCP248" s="4"/>
      <c r="NCQ248" s="4"/>
      <c r="NCR248" s="4"/>
      <c r="NCS248" s="4"/>
      <c r="NCT248" s="4"/>
      <c r="NCU248" s="4"/>
      <c r="NCV248" s="4"/>
      <c r="NCW248" s="4"/>
      <c r="NCX248" s="4"/>
      <c r="NCY248" s="4"/>
      <c r="NCZ248" s="4"/>
      <c r="NDA248" s="4"/>
      <c r="NDB248" s="4"/>
      <c r="NDC248" s="4"/>
      <c r="NDD248" s="4"/>
      <c r="NDE248" s="4"/>
      <c r="NDF248" s="4"/>
      <c r="NDG248" s="4"/>
      <c r="NDH248" s="4"/>
      <c r="NDI248" s="4"/>
      <c r="NDJ248" s="4"/>
      <c r="NDK248" s="4"/>
      <c r="NDL248" s="4"/>
      <c r="NDM248" s="4"/>
      <c r="NDN248" s="4"/>
      <c r="NDO248" s="4"/>
      <c r="NDP248" s="4"/>
      <c r="NDQ248" s="4"/>
      <c r="NDR248" s="4"/>
      <c r="NDS248" s="4"/>
      <c r="NDT248" s="4"/>
      <c r="NDU248" s="4"/>
      <c r="NDV248" s="4"/>
      <c r="NDW248" s="4"/>
      <c r="NDX248" s="4"/>
      <c r="NDY248" s="4"/>
      <c r="NDZ248" s="4"/>
      <c r="NEA248" s="4"/>
      <c r="NEB248" s="4"/>
      <c r="NEC248" s="4"/>
      <c r="NED248" s="4"/>
      <c r="NEE248" s="4"/>
      <c r="NEF248" s="4"/>
      <c r="NEG248" s="4"/>
      <c r="NEH248" s="4"/>
      <c r="NEI248" s="4"/>
      <c r="NEJ248" s="4"/>
      <c r="NEK248" s="4"/>
      <c r="NEL248" s="4"/>
      <c r="NEM248" s="4"/>
      <c r="NEN248" s="4"/>
      <c r="NEO248" s="4"/>
      <c r="NEP248" s="4"/>
      <c r="NEQ248" s="4"/>
      <c r="NER248" s="4"/>
      <c r="NES248" s="4"/>
      <c r="NET248" s="4"/>
      <c r="NEU248" s="4"/>
      <c r="NEV248" s="4"/>
      <c r="NEW248" s="4"/>
      <c r="NEX248" s="4"/>
      <c r="NEY248" s="4"/>
      <c r="NEZ248" s="4"/>
      <c r="NFA248" s="4"/>
      <c r="NFB248" s="4"/>
      <c r="NFC248" s="4"/>
      <c r="NFD248" s="4"/>
      <c r="NFE248" s="4"/>
      <c r="NFF248" s="4"/>
      <c r="NFG248" s="4"/>
      <c r="NFH248" s="4"/>
      <c r="NFI248" s="4"/>
      <c r="NFJ248" s="4"/>
      <c r="NFK248" s="4"/>
      <c r="NFL248" s="4"/>
      <c r="NFM248" s="4"/>
      <c r="NFN248" s="4"/>
      <c r="NFO248" s="4"/>
      <c r="NFP248" s="4"/>
      <c r="NFQ248" s="4"/>
      <c r="NFR248" s="4"/>
      <c r="NFS248" s="4"/>
      <c r="NFT248" s="4"/>
      <c r="NFU248" s="4"/>
      <c r="NFV248" s="4"/>
      <c r="NFW248" s="4"/>
      <c r="NFX248" s="4"/>
      <c r="NFY248" s="4"/>
      <c r="NFZ248" s="4"/>
      <c r="NGA248" s="4"/>
      <c r="NGB248" s="4"/>
      <c r="NGC248" s="4"/>
      <c r="NGD248" s="4"/>
      <c r="NGE248" s="4"/>
      <c r="NGF248" s="4"/>
      <c r="NGG248" s="4"/>
      <c r="NGH248" s="4"/>
      <c r="NGI248" s="4"/>
      <c r="NGJ248" s="4"/>
      <c r="NGK248" s="4"/>
      <c r="NGL248" s="4"/>
      <c r="NGM248" s="4"/>
      <c r="NGN248" s="4"/>
      <c r="NGO248" s="4"/>
      <c r="NGP248" s="4"/>
      <c r="NGQ248" s="4"/>
      <c r="NGR248" s="4"/>
      <c r="NGS248" s="4"/>
      <c r="NGT248" s="4"/>
      <c r="NGU248" s="4"/>
      <c r="NGV248" s="4"/>
      <c r="NGW248" s="4"/>
      <c r="NGX248" s="4"/>
      <c r="NGY248" s="4"/>
      <c r="NGZ248" s="4"/>
      <c r="NHA248" s="4"/>
      <c r="NHB248" s="4"/>
      <c r="NHC248" s="4"/>
      <c r="NHD248" s="4"/>
      <c r="NHE248" s="4"/>
      <c r="NHF248" s="4"/>
      <c r="NHG248" s="4"/>
      <c r="NHH248" s="4"/>
      <c r="NHI248" s="4"/>
      <c r="NHJ248" s="4"/>
      <c r="NHK248" s="4"/>
      <c r="NHL248" s="4"/>
      <c r="NHM248" s="4"/>
      <c r="NHN248" s="4"/>
      <c r="NHO248" s="4"/>
      <c r="NHP248" s="4"/>
      <c r="NHQ248" s="4"/>
      <c r="NHR248" s="4"/>
      <c r="NHS248" s="4"/>
      <c r="NHT248" s="4"/>
      <c r="NHU248" s="4"/>
      <c r="NHV248" s="4"/>
      <c r="NHW248" s="4"/>
      <c r="NHX248" s="4"/>
      <c r="NHY248" s="4"/>
      <c r="NHZ248" s="4"/>
      <c r="NIA248" s="4"/>
      <c r="NIB248" s="4"/>
      <c r="NIC248" s="4"/>
      <c r="NID248" s="4"/>
      <c r="NIE248" s="4"/>
      <c r="NIF248" s="4"/>
      <c r="NIG248" s="4"/>
      <c r="NIH248" s="4"/>
      <c r="NII248" s="4"/>
      <c r="NIJ248" s="4"/>
      <c r="NIK248" s="4"/>
      <c r="NIL248" s="4"/>
      <c r="NIM248" s="4"/>
      <c r="NIN248" s="4"/>
      <c r="NIO248" s="4"/>
      <c r="NIP248" s="4"/>
      <c r="NIQ248" s="4"/>
      <c r="NIR248" s="4"/>
      <c r="NIS248" s="4"/>
      <c r="NIT248" s="4"/>
      <c r="NIU248" s="4"/>
      <c r="NIV248" s="4"/>
      <c r="NIW248" s="4"/>
      <c r="NIX248" s="4"/>
      <c r="NIY248" s="4"/>
      <c r="NIZ248" s="4"/>
      <c r="NJA248" s="4"/>
      <c r="NJB248" s="4"/>
      <c r="NJC248" s="4"/>
      <c r="NJD248" s="4"/>
      <c r="NJE248" s="4"/>
      <c r="NJF248" s="4"/>
      <c r="NJG248" s="4"/>
      <c r="NJH248" s="4"/>
      <c r="NJI248" s="4"/>
      <c r="NJJ248" s="4"/>
      <c r="NJK248" s="4"/>
      <c r="NJL248" s="4"/>
      <c r="NJM248" s="4"/>
      <c r="NJN248" s="4"/>
      <c r="NJO248" s="4"/>
      <c r="NJP248" s="4"/>
      <c r="NJQ248" s="4"/>
      <c r="NJR248" s="4"/>
      <c r="NJS248" s="4"/>
      <c r="NJT248" s="4"/>
      <c r="NJU248" s="4"/>
      <c r="NJV248" s="4"/>
      <c r="NJW248" s="4"/>
      <c r="NJX248" s="4"/>
      <c r="NJY248" s="4"/>
      <c r="NJZ248" s="4"/>
      <c r="NKA248" s="4"/>
      <c r="NKB248" s="4"/>
      <c r="NKC248" s="4"/>
      <c r="NKD248" s="4"/>
      <c r="NKE248" s="4"/>
      <c r="NKF248" s="4"/>
      <c r="NKG248" s="4"/>
      <c r="NKH248" s="4"/>
      <c r="NKI248" s="4"/>
      <c r="NKJ248" s="4"/>
      <c r="NKK248" s="4"/>
      <c r="NKL248" s="4"/>
      <c r="NKM248" s="4"/>
      <c r="NKN248" s="4"/>
      <c r="NKO248" s="4"/>
      <c r="NKP248" s="4"/>
      <c r="NKQ248" s="4"/>
      <c r="NKR248" s="4"/>
      <c r="NKS248" s="4"/>
      <c r="NKT248" s="4"/>
      <c r="NKU248" s="4"/>
      <c r="NKV248" s="4"/>
      <c r="NKW248" s="4"/>
      <c r="NKX248" s="4"/>
      <c r="NKY248" s="4"/>
      <c r="NKZ248" s="4"/>
      <c r="NLA248" s="4"/>
      <c r="NLB248" s="4"/>
      <c r="NLC248" s="4"/>
      <c r="NLD248" s="4"/>
      <c r="NLE248" s="4"/>
      <c r="NLF248" s="4"/>
      <c r="NLG248" s="4"/>
      <c r="NLH248" s="4"/>
      <c r="NLI248" s="4"/>
      <c r="NLJ248" s="4"/>
      <c r="NLK248" s="4"/>
      <c r="NLL248" s="4"/>
      <c r="NLM248" s="4"/>
      <c r="NLN248" s="4"/>
      <c r="NLO248" s="4"/>
      <c r="NLP248" s="4"/>
      <c r="NLQ248" s="4"/>
      <c r="NLR248" s="4"/>
      <c r="NLS248" s="4"/>
      <c r="NLT248" s="4"/>
      <c r="NLU248" s="4"/>
      <c r="NLV248" s="4"/>
      <c r="NLW248" s="4"/>
      <c r="NLX248" s="4"/>
      <c r="NLY248" s="4"/>
      <c r="NLZ248" s="4"/>
      <c r="NMA248" s="4"/>
      <c r="NMB248" s="4"/>
      <c r="NMC248" s="4"/>
      <c r="NMD248" s="4"/>
      <c r="NME248" s="4"/>
      <c r="NMF248" s="4"/>
      <c r="NMG248" s="4"/>
      <c r="NMH248" s="4"/>
      <c r="NMI248" s="4"/>
      <c r="NMJ248" s="4"/>
      <c r="NMK248" s="4"/>
      <c r="NML248" s="4"/>
      <c r="NMM248" s="4"/>
      <c r="NMN248" s="4"/>
      <c r="NMO248" s="4"/>
      <c r="NMP248" s="4"/>
      <c r="NMQ248" s="4"/>
      <c r="NMR248" s="4"/>
      <c r="NMS248" s="4"/>
      <c r="NMT248" s="4"/>
      <c r="NMU248" s="4"/>
      <c r="NMV248" s="4"/>
      <c r="NMW248" s="4"/>
      <c r="NMX248" s="4"/>
      <c r="NMY248" s="4"/>
      <c r="NMZ248" s="4"/>
      <c r="NNA248" s="4"/>
      <c r="NNB248" s="4"/>
      <c r="NNC248" s="4"/>
      <c r="NND248" s="4"/>
      <c r="NNE248" s="4"/>
      <c r="NNF248" s="4"/>
      <c r="NNG248" s="4"/>
      <c r="NNH248" s="4"/>
      <c r="NNI248" s="4"/>
      <c r="NNJ248" s="4"/>
      <c r="NNK248" s="4"/>
      <c r="NNL248" s="4"/>
      <c r="NNM248" s="4"/>
      <c r="NNN248" s="4"/>
      <c r="NNO248" s="4"/>
      <c r="NNP248" s="4"/>
      <c r="NNQ248" s="4"/>
      <c r="NNR248" s="4"/>
      <c r="NNS248" s="4"/>
      <c r="NNT248" s="4"/>
      <c r="NNU248" s="4"/>
      <c r="NNV248" s="4"/>
      <c r="NNW248" s="4"/>
      <c r="NNX248" s="4"/>
      <c r="NNY248" s="4"/>
      <c r="NNZ248" s="4"/>
      <c r="NOA248" s="4"/>
      <c r="NOB248" s="4"/>
      <c r="NOC248" s="4"/>
      <c r="NOD248" s="4"/>
      <c r="NOE248" s="4"/>
      <c r="NOF248" s="4"/>
      <c r="NOG248" s="4"/>
      <c r="NOH248" s="4"/>
      <c r="NOI248" s="4"/>
      <c r="NOJ248" s="4"/>
      <c r="NOK248" s="4"/>
      <c r="NOL248" s="4"/>
      <c r="NOM248" s="4"/>
      <c r="NON248" s="4"/>
      <c r="NOO248" s="4"/>
      <c r="NOP248" s="4"/>
      <c r="NOQ248" s="4"/>
      <c r="NOR248" s="4"/>
      <c r="NOS248" s="4"/>
      <c r="NOT248" s="4"/>
      <c r="NOU248" s="4"/>
      <c r="NOV248" s="4"/>
      <c r="NOW248" s="4"/>
      <c r="NOX248" s="4"/>
      <c r="NOY248" s="4"/>
      <c r="NOZ248" s="4"/>
      <c r="NPA248" s="4"/>
      <c r="NPB248" s="4"/>
      <c r="NPC248" s="4"/>
      <c r="NPD248" s="4"/>
      <c r="NPE248" s="4"/>
      <c r="NPF248" s="4"/>
      <c r="NPG248" s="4"/>
      <c r="NPH248" s="4"/>
      <c r="NPI248" s="4"/>
      <c r="NPJ248" s="4"/>
      <c r="NPK248" s="4"/>
      <c r="NPL248" s="4"/>
      <c r="NPM248" s="4"/>
      <c r="NPN248" s="4"/>
      <c r="NPO248" s="4"/>
      <c r="NPP248" s="4"/>
      <c r="NPQ248" s="4"/>
      <c r="NPR248" s="4"/>
      <c r="NPS248" s="4"/>
      <c r="NPT248" s="4"/>
      <c r="NPU248" s="4"/>
      <c r="NPV248" s="4"/>
      <c r="NPW248" s="4"/>
      <c r="NPX248" s="4"/>
      <c r="NPY248" s="4"/>
      <c r="NPZ248" s="4"/>
      <c r="NQA248" s="4"/>
      <c r="NQB248" s="4"/>
      <c r="NQC248" s="4"/>
      <c r="NQD248" s="4"/>
      <c r="NQE248" s="4"/>
      <c r="NQF248" s="4"/>
      <c r="NQG248" s="4"/>
      <c r="NQH248" s="4"/>
      <c r="NQI248" s="4"/>
      <c r="NQJ248" s="4"/>
      <c r="NQK248" s="4"/>
      <c r="NQL248" s="4"/>
      <c r="NQM248" s="4"/>
      <c r="NQN248" s="4"/>
      <c r="NQO248" s="4"/>
      <c r="NQP248" s="4"/>
      <c r="NQQ248" s="4"/>
      <c r="NQR248" s="4"/>
      <c r="NQS248" s="4"/>
      <c r="NQT248" s="4"/>
      <c r="NQU248" s="4"/>
      <c r="NQV248" s="4"/>
      <c r="NQW248" s="4"/>
      <c r="NQX248" s="4"/>
      <c r="NQY248" s="4"/>
      <c r="NQZ248" s="4"/>
      <c r="NRA248" s="4"/>
      <c r="NRB248" s="4"/>
      <c r="NRC248" s="4"/>
      <c r="NRD248" s="4"/>
      <c r="NRE248" s="4"/>
      <c r="NRF248" s="4"/>
      <c r="NRG248" s="4"/>
      <c r="NRH248" s="4"/>
      <c r="NRI248" s="4"/>
      <c r="NRJ248" s="4"/>
      <c r="NRK248" s="4"/>
      <c r="NRL248" s="4"/>
      <c r="NRM248" s="4"/>
      <c r="NRN248" s="4"/>
      <c r="NRO248" s="4"/>
      <c r="NRP248" s="4"/>
      <c r="NRQ248" s="4"/>
      <c r="NRR248" s="4"/>
      <c r="NRS248" s="4"/>
      <c r="NRT248" s="4"/>
      <c r="NRU248" s="4"/>
      <c r="NRV248" s="4"/>
      <c r="NRW248" s="4"/>
      <c r="NRX248" s="4"/>
      <c r="NRY248" s="4"/>
      <c r="NRZ248" s="4"/>
      <c r="NSA248" s="4"/>
      <c r="NSB248" s="4"/>
      <c r="NSC248" s="4"/>
      <c r="NSD248" s="4"/>
      <c r="NSE248" s="4"/>
      <c r="NSF248" s="4"/>
      <c r="NSG248" s="4"/>
      <c r="NSH248" s="4"/>
      <c r="NSI248" s="4"/>
      <c r="NSJ248" s="4"/>
      <c r="NSK248" s="4"/>
      <c r="NSL248" s="4"/>
      <c r="NSM248" s="4"/>
      <c r="NSN248" s="4"/>
      <c r="NSO248" s="4"/>
      <c r="NSP248" s="4"/>
      <c r="NSQ248" s="4"/>
      <c r="NSR248" s="4"/>
      <c r="NSS248" s="4"/>
      <c r="NST248" s="4"/>
      <c r="NSU248" s="4"/>
      <c r="NSV248" s="4"/>
      <c r="NSW248" s="4"/>
      <c r="NSX248" s="4"/>
      <c r="NSY248" s="4"/>
      <c r="NSZ248" s="4"/>
      <c r="NTA248" s="4"/>
      <c r="NTB248" s="4"/>
      <c r="NTC248" s="4"/>
      <c r="NTD248" s="4"/>
      <c r="NTE248" s="4"/>
      <c r="NTF248" s="4"/>
      <c r="NTG248" s="4"/>
      <c r="NTH248" s="4"/>
      <c r="NTI248" s="4"/>
      <c r="NTJ248" s="4"/>
      <c r="NTK248" s="4"/>
      <c r="NTL248" s="4"/>
      <c r="NTM248" s="4"/>
      <c r="NTN248" s="4"/>
      <c r="NTO248" s="4"/>
      <c r="NTP248" s="4"/>
      <c r="NTQ248" s="4"/>
      <c r="NTR248" s="4"/>
      <c r="NTS248" s="4"/>
      <c r="NTT248" s="4"/>
      <c r="NTU248" s="4"/>
      <c r="NTV248" s="4"/>
      <c r="NTW248" s="4"/>
      <c r="NTX248" s="4"/>
      <c r="NTY248" s="4"/>
      <c r="NTZ248" s="4"/>
      <c r="NUA248" s="4"/>
      <c r="NUB248" s="4"/>
      <c r="NUC248" s="4"/>
      <c r="NUD248" s="4"/>
      <c r="NUE248" s="4"/>
      <c r="NUF248" s="4"/>
      <c r="NUG248" s="4"/>
      <c r="NUH248" s="4"/>
      <c r="NUI248" s="4"/>
      <c r="NUJ248" s="4"/>
      <c r="NUK248" s="4"/>
      <c r="NUL248" s="4"/>
      <c r="NUM248" s="4"/>
      <c r="NUN248" s="4"/>
      <c r="NUO248" s="4"/>
      <c r="NUP248" s="4"/>
      <c r="NUQ248" s="4"/>
      <c r="NUR248" s="4"/>
      <c r="NUS248" s="4"/>
      <c r="NUT248" s="4"/>
      <c r="NUU248" s="4"/>
      <c r="NUV248" s="4"/>
      <c r="NUW248" s="4"/>
      <c r="NUX248" s="4"/>
      <c r="NUY248" s="4"/>
      <c r="NUZ248" s="4"/>
      <c r="NVA248" s="4"/>
      <c r="NVB248" s="4"/>
      <c r="NVC248" s="4"/>
      <c r="NVD248" s="4"/>
      <c r="NVE248" s="4"/>
      <c r="NVF248" s="4"/>
      <c r="NVG248" s="4"/>
      <c r="NVH248" s="4"/>
      <c r="NVI248" s="4"/>
      <c r="NVJ248" s="4"/>
      <c r="NVK248" s="4"/>
      <c r="NVL248" s="4"/>
      <c r="NVM248" s="4"/>
      <c r="NVN248" s="4"/>
      <c r="NVO248" s="4"/>
      <c r="NVP248" s="4"/>
      <c r="NVQ248" s="4"/>
      <c r="NVR248" s="4"/>
      <c r="NVS248" s="4"/>
      <c r="NVT248" s="4"/>
      <c r="NVU248" s="4"/>
      <c r="NVV248" s="4"/>
      <c r="NVW248" s="4"/>
      <c r="NVX248" s="4"/>
      <c r="NVY248" s="4"/>
      <c r="NVZ248" s="4"/>
      <c r="NWA248" s="4"/>
      <c r="NWB248" s="4"/>
      <c r="NWC248" s="4"/>
      <c r="NWD248" s="4"/>
      <c r="NWE248" s="4"/>
      <c r="NWF248" s="4"/>
      <c r="NWG248" s="4"/>
      <c r="NWH248" s="4"/>
      <c r="NWI248" s="4"/>
      <c r="NWJ248" s="4"/>
      <c r="NWK248" s="4"/>
      <c r="NWL248" s="4"/>
      <c r="NWM248" s="4"/>
      <c r="NWN248" s="4"/>
      <c r="NWO248" s="4"/>
      <c r="NWP248" s="4"/>
      <c r="NWQ248" s="4"/>
      <c r="NWR248" s="4"/>
      <c r="NWS248" s="4"/>
      <c r="NWT248" s="4"/>
      <c r="NWU248" s="4"/>
      <c r="NWV248" s="4"/>
      <c r="NWW248" s="4"/>
      <c r="NWX248" s="4"/>
      <c r="NWY248" s="4"/>
      <c r="NWZ248" s="4"/>
      <c r="NXA248" s="4"/>
      <c r="NXB248" s="4"/>
      <c r="NXC248" s="4"/>
      <c r="NXD248" s="4"/>
      <c r="NXE248" s="4"/>
      <c r="NXF248" s="4"/>
      <c r="NXG248" s="4"/>
      <c r="NXH248" s="4"/>
      <c r="NXI248" s="4"/>
      <c r="NXJ248" s="4"/>
      <c r="NXK248" s="4"/>
      <c r="NXL248" s="4"/>
      <c r="NXM248" s="4"/>
      <c r="NXN248" s="4"/>
      <c r="NXO248" s="4"/>
      <c r="NXP248" s="4"/>
      <c r="NXQ248" s="4"/>
      <c r="NXR248" s="4"/>
      <c r="NXS248" s="4"/>
      <c r="NXT248" s="4"/>
      <c r="NXU248" s="4"/>
      <c r="NXV248" s="4"/>
      <c r="NXW248" s="4"/>
      <c r="NXX248" s="4"/>
      <c r="NXY248" s="4"/>
      <c r="NXZ248" s="4"/>
      <c r="NYA248" s="4"/>
      <c r="NYB248" s="4"/>
      <c r="NYC248" s="4"/>
      <c r="NYD248" s="4"/>
      <c r="NYE248" s="4"/>
      <c r="NYF248" s="4"/>
      <c r="NYG248" s="4"/>
      <c r="NYH248" s="4"/>
      <c r="NYI248" s="4"/>
      <c r="NYJ248" s="4"/>
      <c r="NYK248" s="4"/>
      <c r="NYL248" s="4"/>
      <c r="NYM248" s="4"/>
      <c r="NYN248" s="4"/>
      <c r="NYO248" s="4"/>
      <c r="NYP248" s="4"/>
      <c r="NYQ248" s="4"/>
      <c r="NYR248" s="4"/>
      <c r="NYS248" s="4"/>
      <c r="NYT248" s="4"/>
      <c r="NYU248" s="4"/>
      <c r="NYV248" s="4"/>
      <c r="NYW248" s="4"/>
      <c r="NYX248" s="4"/>
      <c r="NYY248" s="4"/>
      <c r="NYZ248" s="4"/>
      <c r="NZA248" s="4"/>
      <c r="NZB248" s="4"/>
      <c r="NZC248" s="4"/>
      <c r="NZD248" s="4"/>
      <c r="NZE248" s="4"/>
      <c r="NZF248" s="4"/>
      <c r="NZG248" s="4"/>
      <c r="NZH248" s="4"/>
      <c r="NZI248" s="4"/>
      <c r="NZJ248" s="4"/>
      <c r="NZK248" s="4"/>
      <c r="NZL248" s="4"/>
      <c r="NZM248" s="4"/>
      <c r="NZN248" s="4"/>
      <c r="NZO248" s="4"/>
      <c r="NZP248" s="4"/>
      <c r="NZQ248" s="4"/>
      <c r="NZR248" s="4"/>
      <c r="NZS248" s="4"/>
      <c r="NZT248" s="4"/>
      <c r="NZU248" s="4"/>
      <c r="NZV248" s="4"/>
      <c r="NZW248" s="4"/>
      <c r="NZX248" s="4"/>
      <c r="NZY248" s="4"/>
      <c r="NZZ248" s="4"/>
      <c r="OAA248" s="4"/>
      <c r="OAB248" s="4"/>
      <c r="OAC248" s="4"/>
      <c r="OAD248" s="4"/>
      <c r="OAE248" s="4"/>
      <c r="OAF248" s="4"/>
      <c r="OAG248" s="4"/>
      <c r="OAH248" s="4"/>
      <c r="OAI248" s="4"/>
      <c r="OAJ248" s="4"/>
      <c r="OAK248" s="4"/>
      <c r="OAL248" s="4"/>
      <c r="OAM248" s="4"/>
      <c r="OAN248" s="4"/>
      <c r="OAO248" s="4"/>
      <c r="OAP248" s="4"/>
      <c r="OAQ248" s="4"/>
      <c r="OAR248" s="4"/>
      <c r="OAS248" s="4"/>
      <c r="OAT248" s="4"/>
      <c r="OAU248" s="4"/>
      <c r="OAV248" s="4"/>
      <c r="OAW248" s="4"/>
      <c r="OAX248" s="4"/>
      <c r="OAY248" s="4"/>
      <c r="OAZ248" s="4"/>
      <c r="OBA248" s="4"/>
      <c r="OBB248" s="4"/>
      <c r="OBC248" s="4"/>
      <c r="OBD248" s="4"/>
      <c r="OBE248" s="4"/>
      <c r="OBF248" s="4"/>
      <c r="OBG248" s="4"/>
      <c r="OBH248" s="4"/>
      <c r="OBI248" s="4"/>
      <c r="OBJ248" s="4"/>
      <c r="OBK248" s="4"/>
      <c r="OBL248" s="4"/>
      <c r="OBM248" s="4"/>
      <c r="OBN248" s="4"/>
      <c r="OBO248" s="4"/>
      <c r="OBP248" s="4"/>
      <c r="OBQ248" s="4"/>
      <c r="OBR248" s="4"/>
      <c r="OBS248" s="4"/>
      <c r="OBT248" s="4"/>
      <c r="OBU248" s="4"/>
      <c r="OBV248" s="4"/>
      <c r="OBW248" s="4"/>
      <c r="OBX248" s="4"/>
      <c r="OBY248" s="4"/>
      <c r="OBZ248" s="4"/>
      <c r="OCA248" s="4"/>
      <c r="OCB248" s="4"/>
      <c r="OCC248" s="4"/>
      <c r="OCD248" s="4"/>
      <c r="OCE248" s="4"/>
      <c r="OCF248" s="4"/>
      <c r="OCG248" s="4"/>
      <c r="OCH248" s="4"/>
      <c r="OCI248" s="4"/>
      <c r="OCJ248" s="4"/>
      <c r="OCK248" s="4"/>
      <c r="OCL248" s="4"/>
      <c r="OCM248" s="4"/>
      <c r="OCN248" s="4"/>
      <c r="OCO248" s="4"/>
      <c r="OCP248" s="4"/>
      <c r="OCQ248" s="4"/>
      <c r="OCR248" s="4"/>
      <c r="OCS248" s="4"/>
      <c r="OCT248" s="4"/>
      <c r="OCU248" s="4"/>
      <c r="OCV248" s="4"/>
      <c r="OCW248" s="4"/>
      <c r="OCX248" s="4"/>
      <c r="OCY248" s="4"/>
      <c r="OCZ248" s="4"/>
      <c r="ODA248" s="4"/>
      <c r="ODB248" s="4"/>
      <c r="ODC248" s="4"/>
      <c r="ODD248" s="4"/>
      <c r="ODE248" s="4"/>
      <c r="ODF248" s="4"/>
      <c r="ODG248" s="4"/>
      <c r="ODH248" s="4"/>
      <c r="ODI248" s="4"/>
      <c r="ODJ248" s="4"/>
      <c r="ODK248" s="4"/>
      <c r="ODL248" s="4"/>
      <c r="ODM248" s="4"/>
      <c r="ODN248" s="4"/>
      <c r="ODO248" s="4"/>
      <c r="ODP248" s="4"/>
      <c r="ODQ248" s="4"/>
      <c r="ODR248" s="4"/>
      <c r="ODS248" s="4"/>
      <c r="ODT248" s="4"/>
      <c r="ODU248" s="4"/>
      <c r="ODV248" s="4"/>
      <c r="ODW248" s="4"/>
      <c r="ODX248" s="4"/>
      <c r="ODY248" s="4"/>
      <c r="ODZ248" s="4"/>
      <c r="OEA248" s="4"/>
      <c r="OEB248" s="4"/>
      <c r="OEC248" s="4"/>
      <c r="OED248" s="4"/>
      <c r="OEE248" s="4"/>
      <c r="OEF248" s="4"/>
      <c r="OEG248" s="4"/>
      <c r="OEH248" s="4"/>
      <c r="OEI248" s="4"/>
      <c r="OEJ248" s="4"/>
      <c r="OEK248" s="4"/>
      <c r="OEL248" s="4"/>
      <c r="OEM248" s="4"/>
      <c r="OEN248" s="4"/>
      <c r="OEO248" s="4"/>
      <c r="OEP248" s="4"/>
      <c r="OEQ248" s="4"/>
      <c r="OER248" s="4"/>
      <c r="OES248" s="4"/>
      <c r="OET248" s="4"/>
      <c r="OEU248" s="4"/>
      <c r="OEV248" s="4"/>
      <c r="OEW248" s="4"/>
      <c r="OEX248" s="4"/>
      <c r="OEY248" s="4"/>
      <c r="OEZ248" s="4"/>
      <c r="OFA248" s="4"/>
      <c r="OFB248" s="4"/>
      <c r="OFC248" s="4"/>
      <c r="OFD248" s="4"/>
      <c r="OFE248" s="4"/>
      <c r="OFF248" s="4"/>
      <c r="OFG248" s="4"/>
      <c r="OFH248" s="4"/>
      <c r="OFI248" s="4"/>
      <c r="OFJ248" s="4"/>
      <c r="OFK248" s="4"/>
      <c r="OFL248" s="4"/>
      <c r="OFM248" s="4"/>
      <c r="OFN248" s="4"/>
      <c r="OFO248" s="4"/>
      <c r="OFP248" s="4"/>
      <c r="OFQ248" s="4"/>
      <c r="OFR248" s="4"/>
      <c r="OFS248" s="4"/>
      <c r="OFT248" s="4"/>
      <c r="OFU248" s="4"/>
      <c r="OFV248" s="4"/>
      <c r="OFW248" s="4"/>
      <c r="OFX248" s="4"/>
      <c r="OFY248" s="4"/>
      <c r="OFZ248" s="4"/>
      <c r="OGA248" s="4"/>
      <c r="OGB248" s="4"/>
      <c r="OGC248" s="4"/>
      <c r="OGD248" s="4"/>
      <c r="OGE248" s="4"/>
      <c r="OGF248" s="4"/>
      <c r="OGG248" s="4"/>
      <c r="OGH248" s="4"/>
      <c r="OGI248" s="4"/>
      <c r="OGJ248" s="4"/>
      <c r="OGK248" s="4"/>
      <c r="OGL248" s="4"/>
      <c r="OGM248" s="4"/>
      <c r="OGN248" s="4"/>
      <c r="OGO248" s="4"/>
      <c r="OGP248" s="4"/>
      <c r="OGQ248" s="4"/>
      <c r="OGR248" s="4"/>
      <c r="OGS248" s="4"/>
      <c r="OGT248" s="4"/>
      <c r="OGU248" s="4"/>
      <c r="OGV248" s="4"/>
      <c r="OGW248" s="4"/>
      <c r="OGX248" s="4"/>
      <c r="OGY248" s="4"/>
      <c r="OGZ248" s="4"/>
      <c r="OHA248" s="4"/>
      <c r="OHB248" s="4"/>
      <c r="OHC248" s="4"/>
      <c r="OHD248" s="4"/>
      <c r="OHE248" s="4"/>
      <c r="OHF248" s="4"/>
      <c r="OHG248" s="4"/>
      <c r="OHH248" s="4"/>
      <c r="OHI248" s="4"/>
      <c r="OHJ248" s="4"/>
      <c r="OHK248" s="4"/>
      <c r="OHL248" s="4"/>
      <c r="OHM248" s="4"/>
      <c r="OHN248" s="4"/>
      <c r="OHO248" s="4"/>
      <c r="OHP248" s="4"/>
      <c r="OHQ248" s="4"/>
      <c r="OHR248" s="4"/>
      <c r="OHS248" s="4"/>
      <c r="OHT248" s="4"/>
      <c r="OHU248" s="4"/>
      <c r="OHV248" s="4"/>
      <c r="OHW248" s="4"/>
      <c r="OHX248" s="4"/>
      <c r="OHY248" s="4"/>
      <c r="OHZ248" s="4"/>
      <c r="OIA248" s="4"/>
      <c r="OIB248" s="4"/>
      <c r="OIC248" s="4"/>
      <c r="OID248" s="4"/>
      <c r="OIE248" s="4"/>
      <c r="OIF248" s="4"/>
      <c r="OIG248" s="4"/>
      <c r="OIH248" s="4"/>
      <c r="OII248" s="4"/>
      <c r="OIJ248" s="4"/>
      <c r="OIK248" s="4"/>
      <c r="OIL248" s="4"/>
      <c r="OIM248" s="4"/>
      <c r="OIN248" s="4"/>
      <c r="OIO248" s="4"/>
      <c r="OIP248" s="4"/>
      <c r="OIQ248" s="4"/>
      <c r="OIR248" s="4"/>
      <c r="OIS248" s="4"/>
      <c r="OIT248" s="4"/>
      <c r="OIU248" s="4"/>
      <c r="OIV248" s="4"/>
      <c r="OIW248" s="4"/>
      <c r="OIX248" s="4"/>
      <c r="OIY248" s="4"/>
      <c r="OIZ248" s="4"/>
      <c r="OJA248" s="4"/>
      <c r="OJB248" s="4"/>
      <c r="OJC248" s="4"/>
      <c r="OJD248" s="4"/>
      <c r="OJE248" s="4"/>
      <c r="OJF248" s="4"/>
      <c r="OJG248" s="4"/>
      <c r="OJH248" s="4"/>
      <c r="OJI248" s="4"/>
      <c r="OJJ248" s="4"/>
      <c r="OJK248" s="4"/>
      <c r="OJL248" s="4"/>
      <c r="OJM248" s="4"/>
      <c r="OJN248" s="4"/>
      <c r="OJO248" s="4"/>
      <c r="OJP248" s="4"/>
      <c r="OJQ248" s="4"/>
      <c r="OJR248" s="4"/>
      <c r="OJS248" s="4"/>
      <c r="OJT248" s="4"/>
      <c r="OJU248" s="4"/>
      <c r="OJV248" s="4"/>
      <c r="OJW248" s="4"/>
      <c r="OJX248" s="4"/>
      <c r="OJY248" s="4"/>
      <c r="OJZ248" s="4"/>
      <c r="OKA248" s="4"/>
      <c r="OKB248" s="4"/>
      <c r="OKC248" s="4"/>
      <c r="OKD248" s="4"/>
      <c r="OKE248" s="4"/>
      <c r="OKF248" s="4"/>
      <c r="OKG248" s="4"/>
      <c r="OKH248" s="4"/>
      <c r="OKI248" s="4"/>
      <c r="OKJ248" s="4"/>
      <c r="OKK248" s="4"/>
      <c r="OKL248" s="4"/>
      <c r="OKM248" s="4"/>
      <c r="OKN248" s="4"/>
      <c r="OKO248" s="4"/>
      <c r="OKP248" s="4"/>
      <c r="OKQ248" s="4"/>
      <c r="OKR248" s="4"/>
      <c r="OKS248" s="4"/>
      <c r="OKT248" s="4"/>
      <c r="OKU248" s="4"/>
      <c r="OKV248" s="4"/>
      <c r="OKW248" s="4"/>
      <c r="OKX248" s="4"/>
      <c r="OKY248" s="4"/>
      <c r="OKZ248" s="4"/>
      <c r="OLA248" s="4"/>
      <c r="OLB248" s="4"/>
      <c r="OLC248" s="4"/>
      <c r="OLD248" s="4"/>
      <c r="OLE248" s="4"/>
      <c r="OLF248" s="4"/>
      <c r="OLG248" s="4"/>
      <c r="OLH248" s="4"/>
      <c r="OLI248" s="4"/>
      <c r="OLJ248" s="4"/>
      <c r="OLK248" s="4"/>
      <c r="OLL248" s="4"/>
      <c r="OLM248" s="4"/>
      <c r="OLN248" s="4"/>
      <c r="OLO248" s="4"/>
      <c r="OLP248" s="4"/>
      <c r="OLQ248" s="4"/>
      <c r="OLR248" s="4"/>
      <c r="OLS248" s="4"/>
      <c r="OLT248" s="4"/>
      <c r="OLU248" s="4"/>
      <c r="OLV248" s="4"/>
      <c r="OLW248" s="4"/>
      <c r="OLX248" s="4"/>
      <c r="OLY248" s="4"/>
      <c r="OLZ248" s="4"/>
      <c r="OMA248" s="4"/>
      <c r="OMB248" s="4"/>
      <c r="OMC248" s="4"/>
      <c r="OMD248" s="4"/>
      <c r="OME248" s="4"/>
      <c r="OMF248" s="4"/>
      <c r="OMG248" s="4"/>
      <c r="OMH248" s="4"/>
      <c r="OMI248" s="4"/>
      <c r="OMJ248" s="4"/>
      <c r="OMK248" s="4"/>
      <c r="OML248" s="4"/>
      <c r="OMM248" s="4"/>
      <c r="OMN248" s="4"/>
      <c r="OMO248" s="4"/>
      <c r="OMP248" s="4"/>
      <c r="OMQ248" s="4"/>
      <c r="OMR248" s="4"/>
      <c r="OMS248" s="4"/>
      <c r="OMT248" s="4"/>
      <c r="OMU248" s="4"/>
      <c r="OMV248" s="4"/>
      <c r="OMW248" s="4"/>
      <c r="OMX248" s="4"/>
      <c r="OMY248" s="4"/>
      <c r="OMZ248" s="4"/>
      <c r="ONA248" s="4"/>
      <c r="ONB248" s="4"/>
      <c r="ONC248" s="4"/>
      <c r="OND248" s="4"/>
      <c r="ONE248" s="4"/>
      <c r="ONF248" s="4"/>
      <c r="ONG248" s="4"/>
      <c r="ONH248" s="4"/>
      <c r="ONI248" s="4"/>
      <c r="ONJ248" s="4"/>
      <c r="ONK248" s="4"/>
      <c r="ONL248" s="4"/>
      <c r="ONM248" s="4"/>
      <c r="ONN248" s="4"/>
      <c r="ONO248" s="4"/>
      <c r="ONP248" s="4"/>
      <c r="ONQ248" s="4"/>
      <c r="ONR248" s="4"/>
      <c r="ONS248" s="4"/>
      <c r="ONT248" s="4"/>
      <c r="ONU248" s="4"/>
      <c r="ONV248" s="4"/>
      <c r="ONW248" s="4"/>
      <c r="ONX248" s="4"/>
      <c r="ONY248" s="4"/>
      <c r="ONZ248" s="4"/>
      <c r="OOA248" s="4"/>
      <c r="OOB248" s="4"/>
      <c r="OOC248" s="4"/>
      <c r="OOD248" s="4"/>
      <c r="OOE248" s="4"/>
      <c r="OOF248" s="4"/>
      <c r="OOG248" s="4"/>
      <c r="OOH248" s="4"/>
      <c r="OOI248" s="4"/>
      <c r="OOJ248" s="4"/>
      <c r="OOK248" s="4"/>
      <c r="OOL248" s="4"/>
      <c r="OOM248" s="4"/>
      <c r="OON248" s="4"/>
      <c r="OOO248" s="4"/>
      <c r="OOP248" s="4"/>
      <c r="OOQ248" s="4"/>
      <c r="OOR248" s="4"/>
      <c r="OOS248" s="4"/>
      <c r="OOT248" s="4"/>
      <c r="OOU248" s="4"/>
      <c r="OOV248" s="4"/>
      <c r="OOW248" s="4"/>
      <c r="OOX248" s="4"/>
      <c r="OOY248" s="4"/>
      <c r="OOZ248" s="4"/>
      <c r="OPA248" s="4"/>
      <c r="OPB248" s="4"/>
      <c r="OPC248" s="4"/>
      <c r="OPD248" s="4"/>
      <c r="OPE248" s="4"/>
      <c r="OPF248" s="4"/>
      <c r="OPG248" s="4"/>
      <c r="OPH248" s="4"/>
      <c r="OPI248" s="4"/>
      <c r="OPJ248" s="4"/>
      <c r="OPK248" s="4"/>
      <c r="OPL248" s="4"/>
      <c r="OPM248" s="4"/>
      <c r="OPN248" s="4"/>
      <c r="OPO248" s="4"/>
      <c r="OPP248" s="4"/>
      <c r="OPQ248" s="4"/>
      <c r="OPR248" s="4"/>
      <c r="OPS248" s="4"/>
      <c r="OPT248" s="4"/>
      <c r="OPU248" s="4"/>
      <c r="OPV248" s="4"/>
      <c r="OPW248" s="4"/>
      <c r="OPX248" s="4"/>
      <c r="OPY248" s="4"/>
      <c r="OPZ248" s="4"/>
      <c r="OQA248" s="4"/>
      <c r="OQB248" s="4"/>
      <c r="OQC248" s="4"/>
      <c r="OQD248" s="4"/>
      <c r="OQE248" s="4"/>
      <c r="OQF248" s="4"/>
      <c r="OQG248" s="4"/>
      <c r="OQH248" s="4"/>
      <c r="OQI248" s="4"/>
      <c r="OQJ248" s="4"/>
      <c r="OQK248" s="4"/>
      <c r="OQL248" s="4"/>
      <c r="OQM248" s="4"/>
      <c r="OQN248" s="4"/>
      <c r="OQO248" s="4"/>
      <c r="OQP248" s="4"/>
      <c r="OQQ248" s="4"/>
      <c r="OQR248" s="4"/>
      <c r="OQS248" s="4"/>
      <c r="OQT248" s="4"/>
      <c r="OQU248" s="4"/>
      <c r="OQV248" s="4"/>
      <c r="OQW248" s="4"/>
      <c r="OQX248" s="4"/>
      <c r="OQY248" s="4"/>
      <c r="OQZ248" s="4"/>
      <c r="ORA248" s="4"/>
      <c r="ORB248" s="4"/>
      <c r="ORC248" s="4"/>
      <c r="ORD248" s="4"/>
      <c r="ORE248" s="4"/>
      <c r="ORF248" s="4"/>
      <c r="ORG248" s="4"/>
      <c r="ORH248" s="4"/>
      <c r="ORI248" s="4"/>
      <c r="ORJ248" s="4"/>
      <c r="ORK248" s="4"/>
      <c r="ORL248" s="4"/>
      <c r="ORM248" s="4"/>
      <c r="ORN248" s="4"/>
      <c r="ORO248" s="4"/>
      <c r="ORP248" s="4"/>
      <c r="ORQ248" s="4"/>
      <c r="ORR248" s="4"/>
      <c r="ORS248" s="4"/>
      <c r="ORT248" s="4"/>
      <c r="ORU248" s="4"/>
      <c r="ORV248" s="4"/>
      <c r="ORW248" s="4"/>
      <c r="ORX248" s="4"/>
      <c r="ORY248" s="4"/>
      <c r="ORZ248" s="4"/>
      <c r="OSA248" s="4"/>
      <c r="OSB248" s="4"/>
      <c r="OSC248" s="4"/>
      <c r="OSD248" s="4"/>
      <c r="OSE248" s="4"/>
      <c r="OSF248" s="4"/>
      <c r="OSG248" s="4"/>
      <c r="OSH248" s="4"/>
      <c r="OSI248" s="4"/>
      <c r="OSJ248" s="4"/>
      <c r="OSK248" s="4"/>
      <c r="OSL248" s="4"/>
      <c r="OSM248" s="4"/>
      <c r="OSN248" s="4"/>
      <c r="OSO248" s="4"/>
      <c r="OSP248" s="4"/>
      <c r="OSQ248" s="4"/>
      <c r="OSR248" s="4"/>
      <c r="OSS248" s="4"/>
      <c r="OST248" s="4"/>
      <c r="OSU248" s="4"/>
      <c r="OSV248" s="4"/>
      <c r="OSW248" s="4"/>
      <c r="OSX248" s="4"/>
      <c r="OSY248" s="4"/>
      <c r="OSZ248" s="4"/>
      <c r="OTA248" s="4"/>
      <c r="OTB248" s="4"/>
      <c r="OTC248" s="4"/>
      <c r="OTD248" s="4"/>
      <c r="OTE248" s="4"/>
      <c r="OTF248" s="4"/>
      <c r="OTG248" s="4"/>
      <c r="OTH248" s="4"/>
      <c r="OTI248" s="4"/>
      <c r="OTJ248" s="4"/>
      <c r="OTK248" s="4"/>
      <c r="OTL248" s="4"/>
      <c r="OTM248" s="4"/>
      <c r="OTN248" s="4"/>
      <c r="OTO248" s="4"/>
      <c r="OTP248" s="4"/>
      <c r="OTQ248" s="4"/>
      <c r="OTR248" s="4"/>
      <c r="OTS248" s="4"/>
      <c r="OTT248" s="4"/>
      <c r="OTU248" s="4"/>
      <c r="OTV248" s="4"/>
      <c r="OTW248" s="4"/>
      <c r="OTX248" s="4"/>
      <c r="OTY248" s="4"/>
      <c r="OTZ248" s="4"/>
      <c r="OUA248" s="4"/>
      <c r="OUB248" s="4"/>
      <c r="OUC248" s="4"/>
      <c r="OUD248" s="4"/>
      <c r="OUE248" s="4"/>
      <c r="OUF248" s="4"/>
      <c r="OUG248" s="4"/>
      <c r="OUH248" s="4"/>
      <c r="OUI248" s="4"/>
      <c r="OUJ248" s="4"/>
      <c r="OUK248" s="4"/>
      <c r="OUL248" s="4"/>
      <c r="OUM248" s="4"/>
      <c r="OUN248" s="4"/>
      <c r="OUO248" s="4"/>
      <c r="OUP248" s="4"/>
      <c r="OUQ248" s="4"/>
      <c r="OUR248" s="4"/>
      <c r="OUS248" s="4"/>
      <c r="OUT248" s="4"/>
      <c r="OUU248" s="4"/>
      <c r="OUV248" s="4"/>
      <c r="OUW248" s="4"/>
      <c r="OUX248" s="4"/>
      <c r="OUY248" s="4"/>
      <c r="OUZ248" s="4"/>
      <c r="OVA248" s="4"/>
      <c r="OVB248" s="4"/>
      <c r="OVC248" s="4"/>
      <c r="OVD248" s="4"/>
      <c r="OVE248" s="4"/>
      <c r="OVF248" s="4"/>
      <c r="OVG248" s="4"/>
      <c r="OVH248" s="4"/>
      <c r="OVI248" s="4"/>
      <c r="OVJ248" s="4"/>
      <c r="OVK248" s="4"/>
      <c r="OVL248" s="4"/>
      <c r="OVM248" s="4"/>
      <c r="OVN248" s="4"/>
      <c r="OVO248" s="4"/>
      <c r="OVP248" s="4"/>
      <c r="OVQ248" s="4"/>
      <c r="OVR248" s="4"/>
      <c r="OVS248" s="4"/>
      <c r="OVT248" s="4"/>
      <c r="OVU248" s="4"/>
      <c r="OVV248" s="4"/>
      <c r="OVW248" s="4"/>
      <c r="OVX248" s="4"/>
      <c r="OVY248" s="4"/>
      <c r="OVZ248" s="4"/>
      <c r="OWA248" s="4"/>
      <c r="OWB248" s="4"/>
      <c r="OWC248" s="4"/>
      <c r="OWD248" s="4"/>
      <c r="OWE248" s="4"/>
      <c r="OWF248" s="4"/>
      <c r="OWG248" s="4"/>
      <c r="OWH248" s="4"/>
      <c r="OWI248" s="4"/>
      <c r="OWJ248" s="4"/>
      <c r="OWK248" s="4"/>
      <c r="OWL248" s="4"/>
      <c r="OWM248" s="4"/>
      <c r="OWN248" s="4"/>
      <c r="OWO248" s="4"/>
      <c r="OWP248" s="4"/>
      <c r="OWQ248" s="4"/>
      <c r="OWR248" s="4"/>
      <c r="OWS248" s="4"/>
      <c r="OWT248" s="4"/>
      <c r="OWU248" s="4"/>
      <c r="OWV248" s="4"/>
      <c r="OWW248" s="4"/>
      <c r="OWX248" s="4"/>
      <c r="OWY248" s="4"/>
      <c r="OWZ248" s="4"/>
      <c r="OXA248" s="4"/>
      <c r="OXB248" s="4"/>
      <c r="OXC248" s="4"/>
      <c r="OXD248" s="4"/>
      <c r="OXE248" s="4"/>
      <c r="OXF248" s="4"/>
      <c r="OXG248" s="4"/>
      <c r="OXH248" s="4"/>
      <c r="OXI248" s="4"/>
      <c r="OXJ248" s="4"/>
      <c r="OXK248" s="4"/>
      <c r="OXL248" s="4"/>
      <c r="OXM248" s="4"/>
      <c r="OXN248" s="4"/>
      <c r="OXO248" s="4"/>
      <c r="OXP248" s="4"/>
      <c r="OXQ248" s="4"/>
      <c r="OXR248" s="4"/>
      <c r="OXS248" s="4"/>
      <c r="OXT248" s="4"/>
      <c r="OXU248" s="4"/>
      <c r="OXV248" s="4"/>
      <c r="OXW248" s="4"/>
      <c r="OXX248" s="4"/>
      <c r="OXY248" s="4"/>
      <c r="OXZ248" s="4"/>
      <c r="OYA248" s="4"/>
      <c r="OYB248" s="4"/>
      <c r="OYC248" s="4"/>
      <c r="OYD248" s="4"/>
      <c r="OYE248" s="4"/>
      <c r="OYF248" s="4"/>
      <c r="OYG248" s="4"/>
      <c r="OYH248" s="4"/>
      <c r="OYI248" s="4"/>
      <c r="OYJ248" s="4"/>
      <c r="OYK248" s="4"/>
      <c r="OYL248" s="4"/>
      <c r="OYM248" s="4"/>
      <c r="OYN248" s="4"/>
      <c r="OYO248" s="4"/>
      <c r="OYP248" s="4"/>
      <c r="OYQ248" s="4"/>
      <c r="OYR248" s="4"/>
      <c r="OYS248" s="4"/>
      <c r="OYT248" s="4"/>
      <c r="OYU248" s="4"/>
      <c r="OYV248" s="4"/>
      <c r="OYW248" s="4"/>
      <c r="OYX248" s="4"/>
      <c r="OYY248" s="4"/>
      <c r="OYZ248" s="4"/>
      <c r="OZA248" s="4"/>
      <c r="OZB248" s="4"/>
      <c r="OZC248" s="4"/>
      <c r="OZD248" s="4"/>
      <c r="OZE248" s="4"/>
      <c r="OZF248" s="4"/>
      <c r="OZG248" s="4"/>
      <c r="OZH248" s="4"/>
      <c r="OZI248" s="4"/>
      <c r="OZJ248" s="4"/>
      <c r="OZK248" s="4"/>
      <c r="OZL248" s="4"/>
      <c r="OZM248" s="4"/>
      <c r="OZN248" s="4"/>
      <c r="OZO248" s="4"/>
      <c r="OZP248" s="4"/>
      <c r="OZQ248" s="4"/>
      <c r="OZR248" s="4"/>
      <c r="OZS248" s="4"/>
      <c r="OZT248" s="4"/>
      <c r="OZU248" s="4"/>
      <c r="OZV248" s="4"/>
      <c r="OZW248" s="4"/>
      <c r="OZX248" s="4"/>
      <c r="OZY248" s="4"/>
      <c r="OZZ248" s="4"/>
      <c r="PAA248" s="4"/>
      <c r="PAB248" s="4"/>
      <c r="PAC248" s="4"/>
      <c r="PAD248" s="4"/>
      <c r="PAE248" s="4"/>
      <c r="PAF248" s="4"/>
      <c r="PAG248" s="4"/>
      <c r="PAH248" s="4"/>
      <c r="PAI248" s="4"/>
      <c r="PAJ248" s="4"/>
      <c r="PAK248" s="4"/>
      <c r="PAL248" s="4"/>
      <c r="PAM248" s="4"/>
      <c r="PAN248" s="4"/>
      <c r="PAO248" s="4"/>
      <c r="PAP248" s="4"/>
      <c r="PAQ248" s="4"/>
      <c r="PAR248" s="4"/>
      <c r="PAS248" s="4"/>
      <c r="PAT248" s="4"/>
      <c r="PAU248" s="4"/>
      <c r="PAV248" s="4"/>
      <c r="PAW248" s="4"/>
      <c r="PAX248" s="4"/>
      <c r="PAY248" s="4"/>
      <c r="PAZ248" s="4"/>
      <c r="PBA248" s="4"/>
      <c r="PBB248" s="4"/>
      <c r="PBC248" s="4"/>
      <c r="PBD248" s="4"/>
      <c r="PBE248" s="4"/>
      <c r="PBF248" s="4"/>
      <c r="PBG248" s="4"/>
      <c r="PBH248" s="4"/>
      <c r="PBI248" s="4"/>
      <c r="PBJ248" s="4"/>
      <c r="PBK248" s="4"/>
      <c r="PBL248" s="4"/>
      <c r="PBM248" s="4"/>
      <c r="PBN248" s="4"/>
      <c r="PBO248" s="4"/>
      <c r="PBP248" s="4"/>
      <c r="PBQ248" s="4"/>
      <c r="PBR248" s="4"/>
      <c r="PBS248" s="4"/>
      <c r="PBT248" s="4"/>
      <c r="PBU248" s="4"/>
      <c r="PBV248" s="4"/>
      <c r="PBW248" s="4"/>
      <c r="PBX248" s="4"/>
      <c r="PBY248" s="4"/>
      <c r="PBZ248" s="4"/>
      <c r="PCA248" s="4"/>
      <c r="PCB248" s="4"/>
      <c r="PCC248" s="4"/>
      <c r="PCD248" s="4"/>
      <c r="PCE248" s="4"/>
      <c r="PCF248" s="4"/>
      <c r="PCG248" s="4"/>
      <c r="PCH248" s="4"/>
      <c r="PCI248" s="4"/>
      <c r="PCJ248" s="4"/>
      <c r="PCK248" s="4"/>
      <c r="PCL248" s="4"/>
      <c r="PCM248" s="4"/>
      <c r="PCN248" s="4"/>
      <c r="PCO248" s="4"/>
      <c r="PCP248" s="4"/>
      <c r="PCQ248" s="4"/>
      <c r="PCR248" s="4"/>
      <c r="PCS248" s="4"/>
      <c r="PCT248" s="4"/>
      <c r="PCU248" s="4"/>
      <c r="PCV248" s="4"/>
      <c r="PCW248" s="4"/>
      <c r="PCX248" s="4"/>
      <c r="PCY248" s="4"/>
      <c r="PCZ248" s="4"/>
      <c r="PDA248" s="4"/>
      <c r="PDB248" s="4"/>
      <c r="PDC248" s="4"/>
      <c r="PDD248" s="4"/>
      <c r="PDE248" s="4"/>
      <c r="PDF248" s="4"/>
      <c r="PDG248" s="4"/>
      <c r="PDH248" s="4"/>
      <c r="PDI248" s="4"/>
      <c r="PDJ248" s="4"/>
      <c r="PDK248" s="4"/>
      <c r="PDL248" s="4"/>
      <c r="PDM248" s="4"/>
      <c r="PDN248" s="4"/>
      <c r="PDO248" s="4"/>
      <c r="PDP248" s="4"/>
      <c r="PDQ248" s="4"/>
      <c r="PDR248" s="4"/>
      <c r="PDS248" s="4"/>
      <c r="PDT248" s="4"/>
      <c r="PDU248" s="4"/>
      <c r="PDV248" s="4"/>
      <c r="PDW248" s="4"/>
      <c r="PDX248" s="4"/>
      <c r="PDY248" s="4"/>
      <c r="PDZ248" s="4"/>
      <c r="PEA248" s="4"/>
      <c r="PEB248" s="4"/>
      <c r="PEC248" s="4"/>
      <c r="PED248" s="4"/>
      <c r="PEE248" s="4"/>
      <c r="PEF248" s="4"/>
      <c r="PEG248" s="4"/>
      <c r="PEH248" s="4"/>
      <c r="PEI248" s="4"/>
      <c r="PEJ248" s="4"/>
      <c r="PEK248" s="4"/>
      <c r="PEL248" s="4"/>
      <c r="PEM248" s="4"/>
      <c r="PEN248" s="4"/>
      <c r="PEO248" s="4"/>
      <c r="PEP248" s="4"/>
      <c r="PEQ248" s="4"/>
      <c r="PER248" s="4"/>
      <c r="PES248" s="4"/>
      <c r="PET248" s="4"/>
      <c r="PEU248" s="4"/>
      <c r="PEV248" s="4"/>
      <c r="PEW248" s="4"/>
      <c r="PEX248" s="4"/>
      <c r="PEY248" s="4"/>
      <c r="PEZ248" s="4"/>
      <c r="PFA248" s="4"/>
      <c r="PFB248" s="4"/>
      <c r="PFC248" s="4"/>
      <c r="PFD248" s="4"/>
      <c r="PFE248" s="4"/>
      <c r="PFF248" s="4"/>
      <c r="PFG248" s="4"/>
      <c r="PFH248" s="4"/>
      <c r="PFI248" s="4"/>
      <c r="PFJ248" s="4"/>
      <c r="PFK248" s="4"/>
      <c r="PFL248" s="4"/>
      <c r="PFM248" s="4"/>
      <c r="PFN248" s="4"/>
      <c r="PFO248" s="4"/>
      <c r="PFP248" s="4"/>
      <c r="PFQ248" s="4"/>
      <c r="PFR248" s="4"/>
      <c r="PFS248" s="4"/>
      <c r="PFT248" s="4"/>
      <c r="PFU248" s="4"/>
      <c r="PFV248" s="4"/>
      <c r="PFW248" s="4"/>
      <c r="PFX248" s="4"/>
      <c r="PFY248" s="4"/>
      <c r="PFZ248" s="4"/>
      <c r="PGA248" s="4"/>
      <c r="PGB248" s="4"/>
      <c r="PGC248" s="4"/>
      <c r="PGD248" s="4"/>
      <c r="PGE248" s="4"/>
      <c r="PGF248" s="4"/>
      <c r="PGG248" s="4"/>
      <c r="PGH248" s="4"/>
      <c r="PGI248" s="4"/>
      <c r="PGJ248" s="4"/>
      <c r="PGK248" s="4"/>
      <c r="PGL248" s="4"/>
      <c r="PGM248" s="4"/>
      <c r="PGN248" s="4"/>
      <c r="PGO248" s="4"/>
      <c r="PGP248" s="4"/>
      <c r="PGQ248" s="4"/>
      <c r="PGR248" s="4"/>
      <c r="PGS248" s="4"/>
      <c r="PGT248" s="4"/>
      <c r="PGU248" s="4"/>
      <c r="PGV248" s="4"/>
      <c r="PGW248" s="4"/>
      <c r="PGX248" s="4"/>
      <c r="PGY248" s="4"/>
      <c r="PGZ248" s="4"/>
      <c r="PHA248" s="4"/>
      <c r="PHB248" s="4"/>
      <c r="PHC248" s="4"/>
      <c r="PHD248" s="4"/>
      <c r="PHE248" s="4"/>
      <c r="PHF248" s="4"/>
      <c r="PHG248" s="4"/>
      <c r="PHH248" s="4"/>
      <c r="PHI248" s="4"/>
      <c r="PHJ248" s="4"/>
      <c r="PHK248" s="4"/>
      <c r="PHL248" s="4"/>
      <c r="PHM248" s="4"/>
      <c r="PHN248" s="4"/>
      <c r="PHO248" s="4"/>
      <c r="PHP248" s="4"/>
      <c r="PHQ248" s="4"/>
      <c r="PHR248" s="4"/>
      <c r="PHS248" s="4"/>
      <c r="PHT248" s="4"/>
      <c r="PHU248" s="4"/>
      <c r="PHV248" s="4"/>
      <c r="PHW248" s="4"/>
      <c r="PHX248" s="4"/>
      <c r="PHY248" s="4"/>
      <c r="PHZ248" s="4"/>
      <c r="PIA248" s="4"/>
      <c r="PIB248" s="4"/>
      <c r="PIC248" s="4"/>
      <c r="PID248" s="4"/>
      <c r="PIE248" s="4"/>
      <c r="PIF248" s="4"/>
      <c r="PIG248" s="4"/>
      <c r="PIH248" s="4"/>
      <c r="PII248" s="4"/>
      <c r="PIJ248" s="4"/>
      <c r="PIK248" s="4"/>
      <c r="PIL248" s="4"/>
      <c r="PIM248" s="4"/>
      <c r="PIN248" s="4"/>
      <c r="PIO248" s="4"/>
      <c r="PIP248" s="4"/>
      <c r="PIQ248" s="4"/>
      <c r="PIR248" s="4"/>
      <c r="PIS248" s="4"/>
      <c r="PIT248" s="4"/>
      <c r="PIU248" s="4"/>
      <c r="PIV248" s="4"/>
      <c r="PIW248" s="4"/>
      <c r="PIX248" s="4"/>
      <c r="PIY248" s="4"/>
      <c r="PIZ248" s="4"/>
      <c r="PJA248" s="4"/>
      <c r="PJB248" s="4"/>
      <c r="PJC248" s="4"/>
      <c r="PJD248" s="4"/>
      <c r="PJE248" s="4"/>
      <c r="PJF248" s="4"/>
      <c r="PJG248" s="4"/>
      <c r="PJH248" s="4"/>
      <c r="PJI248" s="4"/>
      <c r="PJJ248" s="4"/>
      <c r="PJK248" s="4"/>
      <c r="PJL248" s="4"/>
      <c r="PJM248" s="4"/>
      <c r="PJN248" s="4"/>
      <c r="PJO248" s="4"/>
      <c r="PJP248" s="4"/>
      <c r="PJQ248" s="4"/>
      <c r="PJR248" s="4"/>
      <c r="PJS248" s="4"/>
      <c r="PJT248" s="4"/>
      <c r="PJU248" s="4"/>
      <c r="PJV248" s="4"/>
      <c r="PJW248" s="4"/>
      <c r="PJX248" s="4"/>
      <c r="PJY248" s="4"/>
      <c r="PJZ248" s="4"/>
      <c r="PKA248" s="4"/>
      <c r="PKB248" s="4"/>
      <c r="PKC248" s="4"/>
      <c r="PKD248" s="4"/>
      <c r="PKE248" s="4"/>
      <c r="PKF248" s="4"/>
      <c r="PKG248" s="4"/>
      <c r="PKH248" s="4"/>
      <c r="PKI248" s="4"/>
      <c r="PKJ248" s="4"/>
      <c r="PKK248" s="4"/>
      <c r="PKL248" s="4"/>
      <c r="PKM248" s="4"/>
      <c r="PKN248" s="4"/>
      <c r="PKO248" s="4"/>
      <c r="PKP248" s="4"/>
      <c r="PKQ248" s="4"/>
      <c r="PKR248" s="4"/>
      <c r="PKS248" s="4"/>
      <c r="PKT248" s="4"/>
      <c r="PKU248" s="4"/>
      <c r="PKV248" s="4"/>
      <c r="PKW248" s="4"/>
      <c r="PKX248" s="4"/>
      <c r="PKY248" s="4"/>
      <c r="PKZ248" s="4"/>
      <c r="PLA248" s="4"/>
      <c r="PLB248" s="4"/>
      <c r="PLC248" s="4"/>
      <c r="PLD248" s="4"/>
      <c r="PLE248" s="4"/>
      <c r="PLF248" s="4"/>
      <c r="PLG248" s="4"/>
      <c r="PLH248" s="4"/>
      <c r="PLI248" s="4"/>
      <c r="PLJ248" s="4"/>
      <c r="PLK248" s="4"/>
      <c r="PLL248" s="4"/>
      <c r="PLM248" s="4"/>
      <c r="PLN248" s="4"/>
      <c r="PLO248" s="4"/>
      <c r="PLP248" s="4"/>
      <c r="PLQ248" s="4"/>
      <c r="PLR248" s="4"/>
      <c r="PLS248" s="4"/>
      <c r="PLT248" s="4"/>
      <c r="PLU248" s="4"/>
      <c r="PLV248" s="4"/>
      <c r="PLW248" s="4"/>
      <c r="PLX248" s="4"/>
      <c r="PLY248" s="4"/>
      <c r="PLZ248" s="4"/>
      <c r="PMA248" s="4"/>
      <c r="PMB248" s="4"/>
      <c r="PMC248" s="4"/>
      <c r="PMD248" s="4"/>
      <c r="PME248" s="4"/>
      <c r="PMF248" s="4"/>
      <c r="PMG248" s="4"/>
      <c r="PMH248" s="4"/>
      <c r="PMI248" s="4"/>
      <c r="PMJ248" s="4"/>
      <c r="PMK248" s="4"/>
      <c r="PML248" s="4"/>
      <c r="PMM248" s="4"/>
      <c r="PMN248" s="4"/>
      <c r="PMO248" s="4"/>
      <c r="PMP248" s="4"/>
      <c r="PMQ248" s="4"/>
      <c r="PMR248" s="4"/>
      <c r="PMS248" s="4"/>
      <c r="PMT248" s="4"/>
      <c r="PMU248" s="4"/>
      <c r="PMV248" s="4"/>
      <c r="PMW248" s="4"/>
      <c r="PMX248" s="4"/>
      <c r="PMY248" s="4"/>
      <c r="PMZ248" s="4"/>
      <c r="PNA248" s="4"/>
      <c r="PNB248" s="4"/>
      <c r="PNC248" s="4"/>
      <c r="PND248" s="4"/>
      <c r="PNE248" s="4"/>
      <c r="PNF248" s="4"/>
      <c r="PNG248" s="4"/>
      <c r="PNH248" s="4"/>
      <c r="PNI248" s="4"/>
      <c r="PNJ248" s="4"/>
      <c r="PNK248" s="4"/>
      <c r="PNL248" s="4"/>
      <c r="PNM248" s="4"/>
      <c r="PNN248" s="4"/>
      <c r="PNO248" s="4"/>
      <c r="PNP248" s="4"/>
      <c r="PNQ248" s="4"/>
      <c r="PNR248" s="4"/>
      <c r="PNS248" s="4"/>
      <c r="PNT248" s="4"/>
      <c r="PNU248" s="4"/>
      <c r="PNV248" s="4"/>
      <c r="PNW248" s="4"/>
      <c r="PNX248" s="4"/>
      <c r="PNY248" s="4"/>
      <c r="PNZ248" s="4"/>
      <c r="POA248" s="4"/>
      <c r="POB248" s="4"/>
      <c r="POC248" s="4"/>
      <c r="POD248" s="4"/>
      <c r="POE248" s="4"/>
      <c r="POF248" s="4"/>
      <c r="POG248" s="4"/>
      <c r="POH248" s="4"/>
      <c r="POI248" s="4"/>
      <c r="POJ248" s="4"/>
      <c r="POK248" s="4"/>
      <c r="POL248" s="4"/>
      <c r="POM248" s="4"/>
      <c r="PON248" s="4"/>
      <c r="POO248" s="4"/>
      <c r="POP248" s="4"/>
      <c r="POQ248" s="4"/>
      <c r="POR248" s="4"/>
      <c r="POS248" s="4"/>
      <c r="POT248" s="4"/>
      <c r="POU248" s="4"/>
      <c r="POV248" s="4"/>
      <c r="POW248" s="4"/>
      <c r="POX248" s="4"/>
      <c r="POY248" s="4"/>
      <c r="POZ248" s="4"/>
      <c r="PPA248" s="4"/>
      <c r="PPB248" s="4"/>
      <c r="PPC248" s="4"/>
      <c r="PPD248" s="4"/>
      <c r="PPE248" s="4"/>
      <c r="PPF248" s="4"/>
      <c r="PPG248" s="4"/>
      <c r="PPH248" s="4"/>
      <c r="PPI248" s="4"/>
      <c r="PPJ248" s="4"/>
      <c r="PPK248" s="4"/>
      <c r="PPL248" s="4"/>
      <c r="PPM248" s="4"/>
      <c r="PPN248" s="4"/>
      <c r="PPO248" s="4"/>
      <c r="PPP248" s="4"/>
      <c r="PPQ248" s="4"/>
      <c r="PPR248" s="4"/>
      <c r="PPS248" s="4"/>
      <c r="PPT248" s="4"/>
      <c r="PPU248" s="4"/>
      <c r="PPV248" s="4"/>
      <c r="PPW248" s="4"/>
      <c r="PPX248" s="4"/>
      <c r="PPY248" s="4"/>
      <c r="PPZ248" s="4"/>
      <c r="PQA248" s="4"/>
      <c r="PQB248" s="4"/>
      <c r="PQC248" s="4"/>
      <c r="PQD248" s="4"/>
      <c r="PQE248" s="4"/>
      <c r="PQF248" s="4"/>
      <c r="PQG248" s="4"/>
      <c r="PQH248" s="4"/>
      <c r="PQI248" s="4"/>
      <c r="PQJ248" s="4"/>
      <c r="PQK248" s="4"/>
      <c r="PQL248" s="4"/>
      <c r="PQM248" s="4"/>
      <c r="PQN248" s="4"/>
      <c r="PQO248" s="4"/>
      <c r="PQP248" s="4"/>
      <c r="PQQ248" s="4"/>
      <c r="PQR248" s="4"/>
      <c r="PQS248" s="4"/>
      <c r="PQT248" s="4"/>
      <c r="PQU248" s="4"/>
      <c r="PQV248" s="4"/>
      <c r="PQW248" s="4"/>
      <c r="PQX248" s="4"/>
      <c r="PQY248" s="4"/>
      <c r="PQZ248" s="4"/>
      <c r="PRA248" s="4"/>
      <c r="PRB248" s="4"/>
      <c r="PRC248" s="4"/>
      <c r="PRD248" s="4"/>
      <c r="PRE248" s="4"/>
      <c r="PRF248" s="4"/>
      <c r="PRG248" s="4"/>
      <c r="PRH248" s="4"/>
      <c r="PRI248" s="4"/>
      <c r="PRJ248" s="4"/>
      <c r="PRK248" s="4"/>
      <c r="PRL248" s="4"/>
      <c r="PRM248" s="4"/>
      <c r="PRN248" s="4"/>
      <c r="PRO248" s="4"/>
      <c r="PRP248" s="4"/>
      <c r="PRQ248" s="4"/>
      <c r="PRR248" s="4"/>
      <c r="PRS248" s="4"/>
      <c r="PRT248" s="4"/>
      <c r="PRU248" s="4"/>
      <c r="PRV248" s="4"/>
      <c r="PRW248" s="4"/>
      <c r="PRX248" s="4"/>
      <c r="PRY248" s="4"/>
      <c r="PRZ248" s="4"/>
      <c r="PSA248" s="4"/>
      <c r="PSB248" s="4"/>
      <c r="PSC248" s="4"/>
      <c r="PSD248" s="4"/>
      <c r="PSE248" s="4"/>
      <c r="PSF248" s="4"/>
      <c r="PSG248" s="4"/>
      <c r="PSH248" s="4"/>
      <c r="PSI248" s="4"/>
      <c r="PSJ248" s="4"/>
      <c r="PSK248" s="4"/>
      <c r="PSL248" s="4"/>
      <c r="PSM248" s="4"/>
      <c r="PSN248" s="4"/>
      <c r="PSO248" s="4"/>
      <c r="PSP248" s="4"/>
      <c r="PSQ248" s="4"/>
      <c r="PSR248" s="4"/>
      <c r="PSS248" s="4"/>
      <c r="PST248" s="4"/>
      <c r="PSU248" s="4"/>
      <c r="PSV248" s="4"/>
      <c r="PSW248" s="4"/>
      <c r="PSX248" s="4"/>
      <c r="PSY248" s="4"/>
      <c r="PSZ248" s="4"/>
      <c r="PTA248" s="4"/>
      <c r="PTB248" s="4"/>
      <c r="PTC248" s="4"/>
      <c r="PTD248" s="4"/>
      <c r="PTE248" s="4"/>
      <c r="PTF248" s="4"/>
      <c r="PTG248" s="4"/>
      <c r="PTH248" s="4"/>
      <c r="PTI248" s="4"/>
      <c r="PTJ248" s="4"/>
      <c r="PTK248" s="4"/>
      <c r="PTL248" s="4"/>
      <c r="PTM248" s="4"/>
      <c r="PTN248" s="4"/>
      <c r="PTO248" s="4"/>
      <c r="PTP248" s="4"/>
      <c r="PTQ248" s="4"/>
      <c r="PTR248" s="4"/>
      <c r="PTS248" s="4"/>
      <c r="PTT248" s="4"/>
      <c r="PTU248" s="4"/>
      <c r="PTV248" s="4"/>
      <c r="PTW248" s="4"/>
      <c r="PTX248" s="4"/>
      <c r="PTY248" s="4"/>
      <c r="PTZ248" s="4"/>
      <c r="PUA248" s="4"/>
      <c r="PUB248" s="4"/>
      <c r="PUC248" s="4"/>
      <c r="PUD248" s="4"/>
      <c r="PUE248" s="4"/>
      <c r="PUF248" s="4"/>
      <c r="PUG248" s="4"/>
      <c r="PUH248" s="4"/>
      <c r="PUI248" s="4"/>
      <c r="PUJ248" s="4"/>
      <c r="PUK248" s="4"/>
      <c r="PUL248" s="4"/>
      <c r="PUM248" s="4"/>
      <c r="PUN248" s="4"/>
      <c r="PUO248" s="4"/>
      <c r="PUP248" s="4"/>
      <c r="PUQ248" s="4"/>
      <c r="PUR248" s="4"/>
      <c r="PUS248" s="4"/>
      <c r="PUT248" s="4"/>
      <c r="PUU248" s="4"/>
      <c r="PUV248" s="4"/>
      <c r="PUW248" s="4"/>
      <c r="PUX248" s="4"/>
      <c r="PUY248" s="4"/>
      <c r="PUZ248" s="4"/>
      <c r="PVA248" s="4"/>
      <c r="PVB248" s="4"/>
      <c r="PVC248" s="4"/>
      <c r="PVD248" s="4"/>
      <c r="PVE248" s="4"/>
      <c r="PVF248" s="4"/>
      <c r="PVG248" s="4"/>
      <c r="PVH248" s="4"/>
      <c r="PVI248" s="4"/>
      <c r="PVJ248" s="4"/>
      <c r="PVK248" s="4"/>
      <c r="PVL248" s="4"/>
      <c r="PVM248" s="4"/>
      <c r="PVN248" s="4"/>
      <c r="PVO248" s="4"/>
      <c r="PVP248" s="4"/>
      <c r="PVQ248" s="4"/>
      <c r="PVR248" s="4"/>
      <c r="PVS248" s="4"/>
      <c r="PVT248" s="4"/>
      <c r="PVU248" s="4"/>
      <c r="PVV248" s="4"/>
      <c r="PVW248" s="4"/>
      <c r="PVX248" s="4"/>
      <c r="PVY248" s="4"/>
      <c r="PVZ248" s="4"/>
      <c r="PWA248" s="4"/>
      <c r="PWB248" s="4"/>
      <c r="PWC248" s="4"/>
      <c r="PWD248" s="4"/>
      <c r="PWE248" s="4"/>
      <c r="PWF248" s="4"/>
      <c r="PWG248" s="4"/>
      <c r="PWH248" s="4"/>
      <c r="PWI248" s="4"/>
      <c r="PWJ248" s="4"/>
      <c r="PWK248" s="4"/>
      <c r="PWL248" s="4"/>
      <c r="PWM248" s="4"/>
      <c r="PWN248" s="4"/>
      <c r="PWO248" s="4"/>
      <c r="PWP248" s="4"/>
      <c r="PWQ248" s="4"/>
      <c r="PWR248" s="4"/>
      <c r="PWS248" s="4"/>
      <c r="PWT248" s="4"/>
      <c r="PWU248" s="4"/>
      <c r="PWV248" s="4"/>
      <c r="PWW248" s="4"/>
      <c r="PWX248" s="4"/>
      <c r="PWY248" s="4"/>
      <c r="PWZ248" s="4"/>
      <c r="PXA248" s="4"/>
      <c r="PXB248" s="4"/>
      <c r="PXC248" s="4"/>
      <c r="PXD248" s="4"/>
      <c r="PXE248" s="4"/>
      <c r="PXF248" s="4"/>
      <c r="PXG248" s="4"/>
      <c r="PXH248" s="4"/>
      <c r="PXI248" s="4"/>
      <c r="PXJ248" s="4"/>
      <c r="PXK248" s="4"/>
      <c r="PXL248" s="4"/>
      <c r="PXM248" s="4"/>
      <c r="PXN248" s="4"/>
      <c r="PXO248" s="4"/>
      <c r="PXP248" s="4"/>
      <c r="PXQ248" s="4"/>
      <c r="PXR248" s="4"/>
      <c r="PXS248" s="4"/>
      <c r="PXT248" s="4"/>
      <c r="PXU248" s="4"/>
      <c r="PXV248" s="4"/>
      <c r="PXW248" s="4"/>
      <c r="PXX248" s="4"/>
      <c r="PXY248" s="4"/>
      <c r="PXZ248" s="4"/>
      <c r="PYA248" s="4"/>
      <c r="PYB248" s="4"/>
      <c r="PYC248" s="4"/>
      <c r="PYD248" s="4"/>
      <c r="PYE248" s="4"/>
      <c r="PYF248" s="4"/>
      <c r="PYG248" s="4"/>
      <c r="PYH248" s="4"/>
      <c r="PYI248" s="4"/>
      <c r="PYJ248" s="4"/>
      <c r="PYK248" s="4"/>
      <c r="PYL248" s="4"/>
      <c r="PYM248" s="4"/>
      <c r="PYN248" s="4"/>
      <c r="PYO248" s="4"/>
      <c r="PYP248" s="4"/>
      <c r="PYQ248" s="4"/>
      <c r="PYR248" s="4"/>
      <c r="PYS248" s="4"/>
      <c r="PYT248" s="4"/>
      <c r="PYU248" s="4"/>
      <c r="PYV248" s="4"/>
      <c r="PYW248" s="4"/>
      <c r="PYX248" s="4"/>
      <c r="PYY248" s="4"/>
      <c r="PYZ248" s="4"/>
      <c r="PZA248" s="4"/>
      <c r="PZB248" s="4"/>
      <c r="PZC248" s="4"/>
      <c r="PZD248" s="4"/>
      <c r="PZE248" s="4"/>
      <c r="PZF248" s="4"/>
      <c r="PZG248" s="4"/>
      <c r="PZH248" s="4"/>
      <c r="PZI248" s="4"/>
      <c r="PZJ248" s="4"/>
      <c r="PZK248" s="4"/>
      <c r="PZL248" s="4"/>
      <c r="PZM248" s="4"/>
      <c r="PZN248" s="4"/>
      <c r="PZO248" s="4"/>
      <c r="PZP248" s="4"/>
      <c r="PZQ248" s="4"/>
      <c r="PZR248" s="4"/>
      <c r="PZS248" s="4"/>
      <c r="PZT248" s="4"/>
      <c r="PZU248" s="4"/>
      <c r="PZV248" s="4"/>
      <c r="PZW248" s="4"/>
      <c r="PZX248" s="4"/>
      <c r="PZY248" s="4"/>
      <c r="PZZ248" s="4"/>
      <c r="QAA248" s="4"/>
      <c r="QAB248" s="4"/>
      <c r="QAC248" s="4"/>
      <c r="QAD248" s="4"/>
      <c r="QAE248" s="4"/>
      <c r="QAF248" s="4"/>
      <c r="QAG248" s="4"/>
      <c r="QAH248" s="4"/>
      <c r="QAI248" s="4"/>
      <c r="QAJ248" s="4"/>
      <c r="QAK248" s="4"/>
      <c r="QAL248" s="4"/>
      <c r="QAM248" s="4"/>
      <c r="QAN248" s="4"/>
      <c r="QAO248" s="4"/>
      <c r="QAP248" s="4"/>
      <c r="QAQ248" s="4"/>
      <c r="QAR248" s="4"/>
      <c r="QAS248" s="4"/>
      <c r="QAT248" s="4"/>
      <c r="QAU248" s="4"/>
      <c r="QAV248" s="4"/>
      <c r="QAW248" s="4"/>
      <c r="QAX248" s="4"/>
      <c r="QAY248" s="4"/>
      <c r="QAZ248" s="4"/>
      <c r="QBA248" s="4"/>
      <c r="QBB248" s="4"/>
      <c r="QBC248" s="4"/>
      <c r="QBD248" s="4"/>
      <c r="QBE248" s="4"/>
      <c r="QBF248" s="4"/>
      <c r="QBG248" s="4"/>
      <c r="QBH248" s="4"/>
      <c r="QBI248" s="4"/>
      <c r="QBJ248" s="4"/>
      <c r="QBK248" s="4"/>
      <c r="QBL248" s="4"/>
      <c r="QBM248" s="4"/>
      <c r="QBN248" s="4"/>
      <c r="QBO248" s="4"/>
      <c r="QBP248" s="4"/>
      <c r="QBQ248" s="4"/>
      <c r="QBR248" s="4"/>
      <c r="QBS248" s="4"/>
      <c r="QBT248" s="4"/>
      <c r="QBU248" s="4"/>
      <c r="QBV248" s="4"/>
      <c r="QBW248" s="4"/>
      <c r="QBX248" s="4"/>
      <c r="QBY248" s="4"/>
      <c r="QBZ248" s="4"/>
      <c r="QCA248" s="4"/>
      <c r="QCB248" s="4"/>
      <c r="QCC248" s="4"/>
      <c r="QCD248" s="4"/>
      <c r="QCE248" s="4"/>
      <c r="QCF248" s="4"/>
      <c r="QCG248" s="4"/>
      <c r="QCH248" s="4"/>
      <c r="QCI248" s="4"/>
      <c r="QCJ248" s="4"/>
      <c r="QCK248" s="4"/>
      <c r="QCL248" s="4"/>
      <c r="QCM248" s="4"/>
      <c r="QCN248" s="4"/>
      <c r="QCO248" s="4"/>
      <c r="QCP248" s="4"/>
      <c r="QCQ248" s="4"/>
      <c r="QCR248" s="4"/>
      <c r="QCS248" s="4"/>
      <c r="QCT248" s="4"/>
      <c r="QCU248" s="4"/>
      <c r="QCV248" s="4"/>
      <c r="QCW248" s="4"/>
      <c r="QCX248" s="4"/>
      <c r="QCY248" s="4"/>
      <c r="QCZ248" s="4"/>
      <c r="QDA248" s="4"/>
      <c r="QDB248" s="4"/>
      <c r="QDC248" s="4"/>
      <c r="QDD248" s="4"/>
      <c r="QDE248" s="4"/>
      <c r="QDF248" s="4"/>
      <c r="QDG248" s="4"/>
      <c r="QDH248" s="4"/>
      <c r="QDI248" s="4"/>
      <c r="QDJ248" s="4"/>
      <c r="QDK248" s="4"/>
      <c r="QDL248" s="4"/>
      <c r="QDM248" s="4"/>
      <c r="QDN248" s="4"/>
      <c r="QDO248" s="4"/>
      <c r="QDP248" s="4"/>
      <c r="QDQ248" s="4"/>
      <c r="QDR248" s="4"/>
      <c r="QDS248" s="4"/>
      <c r="QDT248" s="4"/>
      <c r="QDU248" s="4"/>
      <c r="QDV248" s="4"/>
      <c r="QDW248" s="4"/>
      <c r="QDX248" s="4"/>
      <c r="QDY248" s="4"/>
      <c r="QDZ248" s="4"/>
      <c r="QEA248" s="4"/>
      <c r="QEB248" s="4"/>
      <c r="QEC248" s="4"/>
      <c r="QED248" s="4"/>
      <c r="QEE248" s="4"/>
      <c r="QEF248" s="4"/>
      <c r="QEG248" s="4"/>
      <c r="QEH248" s="4"/>
      <c r="QEI248" s="4"/>
      <c r="QEJ248" s="4"/>
      <c r="QEK248" s="4"/>
      <c r="QEL248" s="4"/>
      <c r="QEM248" s="4"/>
      <c r="QEN248" s="4"/>
      <c r="QEO248" s="4"/>
      <c r="QEP248" s="4"/>
      <c r="QEQ248" s="4"/>
      <c r="QER248" s="4"/>
      <c r="QES248" s="4"/>
      <c r="QET248" s="4"/>
      <c r="QEU248" s="4"/>
      <c r="QEV248" s="4"/>
      <c r="QEW248" s="4"/>
      <c r="QEX248" s="4"/>
      <c r="QEY248" s="4"/>
      <c r="QEZ248" s="4"/>
      <c r="QFA248" s="4"/>
      <c r="QFB248" s="4"/>
      <c r="QFC248" s="4"/>
      <c r="QFD248" s="4"/>
      <c r="QFE248" s="4"/>
      <c r="QFF248" s="4"/>
      <c r="QFG248" s="4"/>
      <c r="QFH248" s="4"/>
      <c r="QFI248" s="4"/>
      <c r="QFJ248" s="4"/>
      <c r="QFK248" s="4"/>
      <c r="QFL248" s="4"/>
      <c r="QFM248" s="4"/>
      <c r="QFN248" s="4"/>
      <c r="QFO248" s="4"/>
      <c r="QFP248" s="4"/>
      <c r="QFQ248" s="4"/>
      <c r="QFR248" s="4"/>
      <c r="QFS248" s="4"/>
      <c r="QFT248" s="4"/>
      <c r="QFU248" s="4"/>
      <c r="QFV248" s="4"/>
      <c r="QFW248" s="4"/>
      <c r="QFX248" s="4"/>
      <c r="QFY248" s="4"/>
      <c r="QFZ248" s="4"/>
      <c r="QGA248" s="4"/>
      <c r="QGB248" s="4"/>
      <c r="QGC248" s="4"/>
      <c r="QGD248" s="4"/>
      <c r="QGE248" s="4"/>
      <c r="QGF248" s="4"/>
      <c r="QGG248" s="4"/>
      <c r="QGH248" s="4"/>
      <c r="QGI248" s="4"/>
      <c r="QGJ248" s="4"/>
      <c r="QGK248" s="4"/>
      <c r="QGL248" s="4"/>
      <c r="QGM248" s="4"/>
      <c r="QGN248" s="4"/>
      <c r="QGO248" s="4"/>
      <c r="QGP248" s="4"/>
      <c r="QGQ248" s="4"/>
      <c r="QGR248" s="4"/>
      <c r="QGS248" s="4"/>
      <c r="QGT248" s="4"/>
      <c r="QGU248" s="4"/>
      <c r="QGV248" s="4"/>
      <c r="QGW248" s="4"/>
      <c r="QGX248" s="4"/>
      <c r="QGY248" s="4"/>
      <c r="QGZ248" s="4"/>
      <c r="QHA248" s="4"/>
      <c r="QHB248" s="4"/>
      <c r="QHC248" s="4"/>
      <c r="QHD248" s="4"/>
      <c r="QHE248" s="4"/>
      <c r="QHF248" s="4"/>
      <c r="QHG248" s="4"/>
      <c r="QHH248" s="4"/>
      <c r="QHI248" s="4"/>
      <c r="QHJ248" s="4"/>
      <c r="QHK248" s="4"/>
      <c r="QHL248" s="4"/>
      <c r="QHM248" s="4"/>
      <c r="QHN248" s="4"/>
      <c r="QHO248" s="4"/>
      <c r="QHP248" s="4"/>
      <c r="QHQ248" s="4"/>
      <c r="QHR248" s="4"/>
      <c r="QHS248" s="4"/>
      <c r="QHT248" s="4"/>
      <c r="QHU248" s="4"/>
      <c r="QHV248" s="4"/>
      <c r="QHW248" s="4"/>
      <c r="QHX248" s="4"/>
      <c r="QHY248" s="4"/>
      <c r="QHZ248" s="4"/>
      <c r="QIA248" s="4"/>
      <c r="QIB248" s="4"/>
      <c r="QIC248" s="4"/>
      <c r="QID248" s="4"/>
      <c r="QIE248" s="4"/>
      <c r="QIF248" s="4"/>
      <c r="QIG248" s="4"/>
      <c r="QIH248" s="4"/>
      <c r="QII248" s="4"/>
      <c r="QIJ248" s="4"/>
      <c r="QIK248" s="4"/>
      <c r="QIL248" s="4"/>
      <c r="QIM248" s="4"/>
      <c r="QIN248" s="4"/>
      <c r="QIO248" s="4"/>
      <c r="QIP248" s="4"/>
      <c r="QIQ248" s="4"/>
      <c r="QIR248" s="4"/>
      <c r="QIS248" s="4"/>
      <c r="QIT248" s="4"/>
      <c r="QIU248" s="4"/>
      <c r="QIV248" s="4"/>
      <c r="QIW248" s="4"/>
      <c r="QIX248" s="4"/>
      <c r="QIY248" s="4"/>
      <c r="QIZ248" s="4"/>
      <c r="QJA248" s="4"/>
      <c r="QJB248" s="4"/>
      <c r="QJC248" s="4"/>
      <c r="QJD248" s="4"/>
      <c r="QJE248" s="4"/>
      <c r="QJF248" s="4"/>
      <c r="QJG248" s="4"/>
      <c r="QJH248" s="4"/>
      <c r="QJI248" s="4"/>
      <c r="QJJ248" s="4"/>
      <c r="QJK248" s="4"/>
      <c r="QJL248" s="4"/>
      <c r="QJM248" s="4"/>
      <c r="QJN248" s="4"/>
      <c r="QJO248" s="4"/>
      <c r="QJP248" s="4"/>
      <c r="QJQ248" s="4"/>
      <c r="QJR248" s="4"/>
      <c r="QJS248" s="4"/>
      <c r="QJT248" s="4"/>
      <c r="QJU248" s="4"/>
      <c r="QJV248" s="4"/>
      <c r="QJW248" s="4"/>
      <c r="QJX248" s="4"/>
      <c r="QJY248" s="4"/>
      <c r="QJZ248" s="4"/>
      <c r="QKA248" s="4"/>
      <c r="QKB248" s="4"/>
      <c r="QKC248" s="4"/>
      <c r="QKD248" s="4"/>
      <c r="QKE248" s="4"/>
      <c r="QKF248" s="4"/>
      <c r="QKG248" s="4"/>
      <c r="QKH248" s="4"/>
      <c r="QKI248" s="4"/>
      <c r="QKJ248" s="4"/>
      <c r="QKK248" s="4"/>
      <c r="QKL248" s="4"/>
      <c r="QKM248" s="4"/>
      <c r="QKN248" s="4"/>
      <c r="QKO248" s="4"/>
      <c r="QKP248" s="4"/>
      <c r="QKQ248" s="4"/>
      <c r="QKR248" s="4"/>
      <c r="QKS248" s="4"/>
      <c r="QKT248" s="4"/>
      <c r="QKU248" s="4"/>
      <c r="QKV248" s="4"/>
      <c r="QKW248" s="4"/>
      <c r="QKX248" s="4"/>
      <c r="QKY248" s="4"/>
      <c r="QKZ248" s="4"/>
      <c r="QLA248" s="4"/>
      <c r="QLB248" s="4"/>
      <c r="QLC248" s="4"/>
      <c r="QLD248" s="4"/>
      <c r="QLE248" s="4"/>
      <c r="QLF248" s="4"/>
      <c r="QLG248" s="4"/>
      <c r="QLH248" s="4"/>
      <c r="QLI248" s="4"/>
      <c r="QLJ248" s="4"/>
      <c r="QLK248" s="4"/>
      <c r="QLL248" s="4"/>
      <c r="QLM248" s="4"/>
      <c r="QLN248" s="4"/>
      <c r="QLO248" s="4"/>
      <c r="QLP248" s="4"/>
      <c r="QLQ248" s="4"/>
      <c r="QLR248" s="4"/>
      <c r="QLS248" s="4"/>
      <c r="QLT248" s="4"/>
      <c r="QLU248" s="4"/>
      <c r="QLV248" s="4"/>
      <c r="QLW248" s="4"/>
      <c r="QLX248" s="4"/>
      <c r="QLY248" s="4"/>
      <c r="QLZ248" s="4"/>
      <c r="QMA248" s="4"/>
      <c r="QMB248" s="4"/>
      <c r="QMC248" s="4"/>
      <c r="QMD248" s="4"/>
      <c r="QME248" s="4"/>
      <c r="QMF248" s="4"/>
      <c r="QMG248" s="4"/>
      <c r="QMH248" s="4"/>
      <c r="QMI248" s="4"/>
      <c r="QMJ248" s="4"/>
      <c r="QMK248" s="4"/>
      <c r="QML248" s="4"/>
      <c r="QMM248" s="4"/>
      <c r="QMN248" s="4"/>
      <c r="QMO248" s="4"/>
      <c r="QMP248" s="4"/>
      <c r="QMQ248" s="4"/>
      <c r="QMR248" s="4"/>
      <c r="QMS248" s="4"/>
      <c r="QMT248" s="4"/>
      <c r="QMU248" s="4"/>
      <c r="QMV248" s="4"/>
      <c r="QMW248" s="4"/>
      <c r="QMX248" s="4"/>
      <c r="QMY248" s="4"/>
      <c r="QMZ248" s="4"/>
      <c r="QNA248" s="4"/>
      <c r="QNB248" s="4"/>
      <c r="QNC248" s="4"/>
      <c r="QND248" s="4"/>
      <c r="QNE248" s="4"/>
      <c r="QNF248" s="4"/>
      <c r="QNG248" s="4"/>
      <c r="QNH248" s="4"/>
      <c r="QNI248" s="4"/>
      <c r="QNJ248" s="4"/>
      <c r="QNK248" s="4"/>
      <c r="QNL248" s="4"/>
      <c r="QNM248" s="4"/>
      <c r="QNN248" s="4"/>
      <c r="QNO248" s="4"/>
      <c r="QNP248" s="4"/>
      <c r="QNQ248" s="4"/>
      <c r="QNR248" s="4"/>
      <c r="QNS248" s="4"/>
      <c r="QNT248" s="4"/>
      <c r="QNU248" s="4"/>
      <c r="QNV248" s="4"/>
      <c r="QNW248" s="4"/>
      <c r="QNX248" s="4"/>
      <c r="QNY248" s="4"/>
      <c r="QNZ248" s="4"/>
      <c r="QOA248" s="4"/>
      <c r="QOB248" s="4"/>
      <c r="QOC248" s="4"/>
      <c r="QOD248" s="4"/>
      <c r="QOE248" s="4"/>
      <c r="QOF248" s="4"/>
      <c r="QOG248" s="4"/>
      <c r="QOH248" s="4"/>
      <c r="QOI248" s="4"/>
      <c r="QOJ248" s="4"/>
      <c r="QOK248" s="4"/>
      <c r="QOL248" s="4"/>
      <c r="QOM248" s="4"/>
      <c r="QON248" s="4"/>
      <c r="QOO248" s="4"/>
      <c r="QOP248" s="4"/>
      <c r="QOQ248" s="4"/>
      <c r="QOR248" s="4"/>
      <c r="QOS248" s="4"/>
      <c r="QOT248" s="4"/>
      <c r="QOU248" s="4"/>
      <c r="QOV248" s="4"/>
      <c r="QOW248" s="4"/>
      <c r="QOX248" s="4"/>
      <c r="QOY248" s="4"/>
      <c r="QOZ248" s="4"/>
      <c r="QPA248" s="4"/>
      <c r="QPB248" s="4"/>
      <c r="QPC248" s="4"/>
      <c r="QPD248" s="4"/>
      <c r="QPE248" s="4"/>
      <c r="QPF248" s="4"/>
      <c r="QPG248" s="4"/>
      <c r="QPH248" s="4"/>
      <c r="QPI248" s="4"/>
      <c r="QPJ248" s="4"/>
      <c r="QPK248" s="4"/>
      <c r="QPL248" s="4"/>
      <c r="QPM248" s="4"/>
      <c r="QPN248" s="4"/>
      <c r="QPO248" s="4"/>
      <c r="QPP248" s="4"/>
      <c r="QPQ248" s="4"/>
      <c r="QPR248" s="4"/>
      <c r="QPS248" s="4"/>
      <c r="QPT248" s="4"/>
      <c r="QPU248" s="4"/>
      <c r="QPV248" s="4"/>
      <c r="QPW248" s="4"/>
      <c r="QPX248" s="4"/>
      <c r="QPY248" s="4"/>
      <c r="QPZ248" s="4"/>
      <c r="QQA248" s="4"/>
      <c r="QQB248" s="4"/>
      <c r="QQC248" s="4"/>
      <c r="QQD248" s="4"/>
      <c r="QQE248" s="4"/>
      <c r="QQF248" s="4"/>
      <c r="QQG248" s="4"/>
      <c r="QQH248" s="4"/>
      <c r="QQI248" s="4"/>
      <c r="QQJ248" s="4"/>
      <c r="QQK248" s="4"/>
      <c r="QQL248" s="4"/>
      <c r="QQM248" s="4"/>
      <c r="QQN248" s="4"/>
      <c r="QQO248" s="4"/>
      <c r="QQP248" s="4"/>
      <c r="QQQ248" s="4"/>
      <c r="QQR248" s="4"/>
      <c r="QQS248" s="4"/>
      <c r="QQT248" s="4"/>
      <c r="QQU248" s="4"/>
      <c r="QQV248" s="4"/>
      <c r="QQW248" s="4"/>
      <c r="QQX248" s="4"/>
      <c r="QQY248" s="4"/>
      <c r="QQZ248" s="4"/>
      <c r="QRA248" s="4"/>
      <c r="QRB248" s="4"/>
      <c r="QRC248" s="4"/>
      <c r="QRD248" s="4"/>
      <c r="QRE248" s="4"/>
      <c r="QRF248" s="4"/>
      <c r="QRG248" s="4"/>
      <c r="QRH248" s="4"/>
      <c r="QRI248" s="4"/>
      <c r="QRJ248" s="4"/>
      <c r="QRK248" s="4"/>
      <c r="QRL248" s="4"/>
      <c r="QRM248" s="4"/>
      <c r="QRN248" s="4"/>
      <c r="QRO248" s="4"/>
      <c r="QRP248" s="4"/>
      <c r="QRQ248" s="4"/>
      <c r="QRR248" s="4"/>
      <c r="QRS248" s="4"/>
      <c r="QRT248" s="4"/>
      <c r="QRU248" s="4"/>
      <c r="QRV248" s="4"/>
      <c r="QRW248" s="4"/>
      <c r="QRX248" s="4"/>
      <c r="QRY248" s="4"/>
      <c r="QRZ248" s="4"/>
      <c r="QSA248" s="4"/>
      <c r="QSB248" s="4"/>
      <c r="QSC248" s="4"/>
      <c r="QSD248" s="4"/>
      <c r="QSE248" s="4"/>
      <c r="QSF248" s="4"/>
      <c r="QSG248" s="4"/>
      <c r="QSH248" s="4"/>
      <c r="QSI248" s="4"/>
      <c r="QSJ248" s="4"/>
      <c r="QSK248" s="4"/>
      <c r="QSL248" s="4"/>
      <c r="QSM248" s="4"/>
      <c r="QSN248" s="4"/>
      <c r="QSO248" s="4"/>
      <c r="QSP248" s="4"/>
      <c r="QSQ248" s="4"/>
      <c r="QSR248" s="4"/>
      <c r="QSS248" s="4"/>
      <c r="QST248" s="4"/>
      <c r="QSU248" s="4"/>
      <c r="QSV248" s="4"/>
      <c r="QSW248" s="4"/>
      <c r="QSX248" s="4"/>
      <c r="QSY248" s="4"/>
      <c r="QSZ248" s="4"/>
      <c r="QTA248" s="4"/>
      <c r="QTB248" s="4"/>
      <c r="QTC248" s="4"/>
      <c r="QTD248" s="4"/>
      <c r="QTE248" s="4"/>
      <c r="QTF248" s="4"/>
      <c r="QTG248" s="4"/>
      <c r="QTH248" s="4"/>
      <c r="QTI248" s="4"/>
      <c r="QTJ248" s="4"/>
      <c r="QTK248" s="4"/>
      <c r="QTL248" s="4"/>
      <c r="QTM248" s="4"/>
      <c r="QTN248" s="4"/>
      <c r="QTO248" s="4"/>
      <c r="QTP248" s="4"/>
      <c r="QTQ248" s="4"/>
      <c r="QTR248" s="4"/>
      <c r="QTS248" s="4"/>
      <c r="QTT248" s="4"/>
      <c r="QTU248" s="4"/>
      <c r="QTV248" s="4"/>
      <c r="QTW248" s="4"/>
      <c r="QTX248" s="4"/>
      <c r="QTY248" s="4"/>
      <c r="QTZ248" s="4"/>
      <c r="QUA248" s="4"/>
      <c r="QUB248" s="4"/>
      <c r="QUC248" s="4"/>
      <c r="QUD248" s="4"/>
      <c r="QUE248" s="4"/>
      <c r="QUF248" s="4"/>
      <c r="QUG248" s="4"/>
      <c r="QUH248" s="4"/>
      <c r="QUI248" s="4"/>
      <c r="QUJ248" s="4"/>
      <c r="QUK248" s="4"/>
      <c r="QUL248" s="4"/>
      <c r="QUM248" s="4"/>
      <c r="QUN248" s="4"/>
      <c r="QUO248" s="4"/>
      <c r="QUP248" s="4"/>
      <c r="QUQ248" s="4"/>
      <c r="QUR248" s="4"/>
      <c r="QUS248" s="4"/>
      <c r="QUT248" s="4"/>
      <c r="QUU248" s="4"/>
      <c r="QUV248" s="4"/>
      <c r="QUW248" s="4"/>
      <c r="QUX248" s="4"/>
      <c r="QUY248" s="4"/>
      <c r="QUZ248" s="4"/>
      <c r="QVA248" s="4"/>
      <c r="QVB248" s="4"/>
      <c r="QVC248" s="4"/>
      <c r="QVD248" s="4"/>
      <c r="QVE248" s="4"/>
      <c r="QVF248" s="4"/>
      <c r="QVG248" s="4"/>
      <c r="QVH248" s="4"/>
      <c r="QVI248" s="4"/>
      <c r="QVJ248" s="4"/>
      <c r="QVK248" s="4"/>
      <c r="QVL248" s="4"/>
      <c r="QVM248" s="4"/>
      <c r="QVN248" s="4"/>
      <c r="QVO248" s="4"/>
      <c r="QVP248" s="4"/>
      <c r="QVQ248" s="4"/>
      <c r="QVR248" s="4"/>
      <c r="QVS248" s="4"/>
      <c r="QVT248" s="4"/>
      <c r="QVU248" s="4"/>
      <c r="QVV248" s="4"/>
      <c r="QVW248" s="4"/>
      <c r="QVX248" s="4"/>
      <c r="QVY248" s="4"/>
      <c r="QVZ248" s="4"/>
      <c r="QWA248" s="4"/>
      <c r="QWB248" s="4"/>
      <c r="QWC248" s="4"/>
      <c r="QWD248" s="4"/>
      <c r="QWE248" s="4"/>
      <c r="QWF248" s="4"/>
      <c r="QWG248" s="4"/>
      <c r="QWH248" s="4"/>
      <c r="QWI248" s="4"/>
      <c r="QWJ248" s="4"/>
      <c r="QWK248" s="4"/>
      <c r="QWL248" s="4"/>
      <c r="QWM248" s="4"/>
      <c r="QWN248" s="4"/>
      <c r="QWO248" s="4"/>
      <c r="QWP248" s="4"/>
      <c r="QWQ248" s="4"/>
      <c r="QWR248" s="4"/>
      <c r="QWS248" s="4"/>
      <c r="QWT248" s="4"/>
      <c r="QWU248" s="4"/>
      <c r="QWV248" s="4"/>
      <c r="QWW248" s="4"/>
      <c r="QWX248" s="4"/>
      <c r="QWY248" s="4"/>
      <c r="QWZ248" s="4"/>
      <c r="QXA248" s="4"/>
      <c r="QXB248" s="4"/>
      <c r="QXC248" s="4"/>
      <c r="QXD248" s="4"/>
      <c r="QXE248" s="4"/>
      <c r="QXF248" s="4"/>
      <c r="QXG248" s="4"/>
      <c r="QXH248" s="4"/>
      <c r="QXI248" s="4"/>
      <c r="QXJ248" s="4"/>
      <c r="QXK248" s="4"/>
      <c r="QXL248" s="4"/>
      <c r="QXM248" s="4"/>
      <c r="QXN248" s="4"/>
      <c r="QXO248" s="4"/>
      <c r="QXP248" s="4"/>
      <c r="QXQ248" s="4"/>
      <c r="QXR248" s="4"/>
      <c r="QXS248" s="4"/>
      <c r="QXT248" s="4"/>
      <c r="QXU248" s="4"/>
      <c r="QXV248" s="4"/>
      <c r="QXW248" s="4"/>
      <c r="QXX248" s="4"/>
      <c r="QXY248" s="4"/>
      <c r="QXZ248" s="4"/>
      <c r="QYA248" s="4"/>
      <c r="QYB248" s="4"/>
      <c r="QYC248" s="4"/>
      <c r="QYD248" s="4"/>
      <c r="QYE248" s="4"/>
      <c r="QYF248" s="4"/>
      <c r="QYG248" s="4"/>
      <c r="QYH248" s="4"/>
      <c r="QYI248" s="4"/>
      <c r="QYJ248" s="4"/>
      <c r="QYK248" s="4"/>
      <c r="QYL248" s="4"/>
      <c r="QYM248" s="4"/>
      <c r="QYN248" s="4"/>
      <c r="QYO248" s="4"/>
      <c r="QYP248" s="4"/>
      <c r="QYQ248" s="4"/>
      <c r="QYR248" s="4"/>
      <c r="QYS248" s="4"/>
      <c r="QYT248" s="4"/>
      <c r="QYU248" s="4"/>
      <c r="QYV248" s="4"/>
      <c r="QYW248" s="4"/>
      <c r="QYX248" s="4"/>
      <c r="QYY248" s="4"/>
      <c r="QYZ248" s="4"/>
      <c r="QZA248" s="4"/>
      <c r="QZB248" s="4"/>
      <c r="QZC248" s="4"/>
      <c r="QZD248" s="4"/>
      <c r="QZE248" s="4"/>
      <c r="QZF248" s="4"/>
      <c r="QZG248" s="4"/>
      <c r="QZH248" s="4"/>
      <c r="QZI248" s="4"/>
      <c r="QZJ248" s="4"/>
      <c r="QZK248" s="4"/>
      <c r="QZL248" s="4"/>
      <c r="QZM248" s="4"/>
      <c r="QZN248" s="4"/>
      <c r="QZO248" s="4"/>
      <c r="QZP248" s="4"/>
      <c r="QZQ248" s="4"/>
      <c r="QZR248" s="4"/>
      <c r="QZS248" s="4"/>
      <c r="QZT248" s="4"/>
      <c r="QZU248" s="4"/>
      <c r="QZV248" s="4"/>
      <c r="QZW248" s="4"/>
      <c r="QZX248" s="4"/>
      <c r="QZY248" s="4"/>
      <c r="QZZ248" s="4"/>
      <c r="RAA248" s="4"/>
      <c r="RAB248" s="4"/>
      <c r="RAC248" s="4"/>
      <c r="RAD248" s="4"/>
      <c r="RAE248" s="4"/>
      <c r="RAF248" s="4"/>
      <c r="RAG248" s="4"/>
      <c r="RAH248" s="4"/>
      <c r="RAI248" s="4"/>
      <c r="RAJ248" s="4"/>
      <c r="RAK248" s="4"/>
      <c r="RAL248" s="4"/>
      <c r="RAM248" s="4"/>
      <c r="RAN248" s="4"/>
      <c r="RAO248" s="4"/>
      <c r="RAP248" s="4"/>
      <c r="RAQ248" s="4"/>
      <c r="RAR248" s="4"/>
      <c r="RAS248" s="4"/>
      <c r="RAT248" s="4"/>
      <c r="RAU248" s="4"/>
      <c r="RAV248" s="4"/>
      <c r="RAW248" s="4"/>
      <c r="RAX248" s="4"/>
      <c r="RAY248" s="4"/>
      <c r="RAZ248" s="4"/>
      <c r="RBA248" s="4"/>
      <c r="RBB248" s="4"/>
      <c r="RBC248" s="4"/>
      <c r="RBD248" s="4"/>
      <c r="RBE248" s="4"/>
      <c r="RBF248" s="4"/>
      <c r="RBG248" s="4"/>
      <c r="RBH248" s="4"/>
      <c r="RBI248" s="4"/>
      <c r="RBJ248" s="4"/>
      <c r="RBK248" s="4"/>
      <c r="RBL248" s="4"/>
      <c r="RBM248" s="4"/>
      <c r="RBN248" s="4"/>
      <c r="RBO248" s="4"/>
      <c r="RBP248" s="4"/>
      <c r="RBQ248" s="4"/>
      <c r="RBR248" s="4"/>
      <c r="RBS248" s="4"/>
      <c r="RBT248" s="4"/>
      <c r="RBU248" s="4"/>
      <c r="RBV248" s="4"/>
      <c r="RBW248" s="4"/>
      <c r="RBX248" s="4"/>
      <c r="RBY248" s="4"/>
      <c r="RBZ248" s="4"/>
      <c r="RCA248" s="4"/>
      <c r="RCB248" s="4"/>
      <c r="RCC248" s="4"/>
      <c r="RCD248" s="4"/>
      <c r="RCE248" s="4"/>
      <c r="RCF248" s="4"/>
      <c r="RCG248" s="4"/>
      <c r="RCH248" s="4"/>
      <c r="RCI248" s="4"/>
      <c r="RCJ248" s="4"/>
      <c r="RCK248" s="4"/>
      <c r="RCL248" s="4"/>
      <c r="RCM248" s="4"/>
      <c r="RCN248" s="4"/>
      <c r="RCO248" s="4"/>
      <c r="RCP248" s="4"/>
      <c r="RCQ248" s="4"/>
      <c r="RCR248" s="4"/>
      <c r="RCS248" s="4"/>
      <c r="RCT248" s="4"/>
      <c r="RCU248" s="4"/>
      <c r="RCV248" s="4"/>
      <c r="RCW248" s="4"/>
      <c r="RCX248" s="4"/>
      <c r="RCY248" s="4"/>
      <c r="RCZ248" s="4"/>
      <c r="RDA248" s="4"/>
      <c r="RDB248" s="4"/>
      <c r="RDC248" s="4"/>
      <c r="RDD248" s="4"/>
      <c r="RDE248" s="4"/>
      <c r="RDF248" s="4"/>
      <c r="RDG248" s="4"/>
      <c r="RDH248" s="4"/>
      <c r="RDI248" s="4"/>
      <c r="RDJ248" s="4"/>
      <c r="RDK248" s="4"/>
      <c r="RDL248" s="4"/>
      <c r="RDM248" s="4"/>
      <c r="RDN248" s="4"/>
      <c r="RDO248" s="4"/>
      <c r="RDP248" s="4"/>
      <c r="RDQ248" s="4"/>
      <c r="RDR248" s="4"/>
      <c r="RDS248" s="4"/>
      <c r="RDT248" s="4"/>
      <c r="RDU248" s="4"/>
      <c r="RDV248" s="4"/>
      <c r="RDW248" s="4"/>
      <c r="RDX248" s="4"/>
      <c r="RDY248" s="4"/>
      <c r="RDZ248" s="4"/>
      <c r="REA248" s="4"/>
      <c r="REB248" s="4"/>
      <c r="REC248" s="4"/>
      <c r="RED248" s="4"/>
      <c r="REE248" s="4"/>
      <c r="REF248" s="4"/>
      <c r="REG248" s="4"/>
      <c r="REH248" s="4"/>
      <c r="REI248" s="4"/>
      <c r="REJ248" s="4"/>
      <c r="REK248" s="4"/>
      <c r="REL248" s="4"/>
      <c r="REM248" s="4"/>
      <c r="REN248" s="4"/>
      <c r="REO248" s="4"/>
      <c r="REP248" s="4"/>
      <c r="REQ248" s="4"/>
      <c r="RER248" s="4"/>
      <c r="RES248" s="4"/>
      <c r="RET248" s="4"/>
      <c r="REU248" s="4"/>
      <c r="REV248" s="4"/>
      <c r="REW248" s="4"/>
      <c r="REX248" s="4"/>
      <c r="REY248" s="4"/>
      <c r="REZ248" s="4"/>
      <c r="RFA248" s="4"/>
      <c r="RFB248" s="4"/>
      <c r="RFC248" s="4"/>
      <c r="RFD248" s="4"/>
      <c r="RFE248" s="4"/>
      <c r="RFF248" s="4"/>
      <c r="RFG248" s="4"/>
      <c r="RFH248" s="4"/>
      <c r="RFI248" s="4"/>
      <c r="RFJ248" s="4"/>
      <c r="RFK248" s="4"/>
      <c r="RFL248" s="4"/>
      <c r="RFM248" s="4"/>
      <c r="RFN248" s="4"/>
      <c r="RFO248" s="4"/>
      <c r="RFP248" s="4"/>
      <c r="RFQ248" s="4"/>
      <c r="RFR248" s="4"/>
      <c r="RFS248" s="4"/>
      <c r="RFT248" s="4"/>
      <c r="RFU248" s="4"/>
      <c r="RFV248" s="4"/>
      <c r="RFW248" s="4"/>
      <c r="RFX248" s="4"/>
      <c r="RFY248" s="4"/>
      <c r="RFZ248" s="4"/>
      <c r="RGA248" s="4"/>
      <c r="RGB248" s="4"/>
      <c r="RGC248" s="4"/>
      <c r="RGD248" s="4"/>
      <c r="RGE248" s="4"/>
      <c r="RGF248" s="4"/>
      <c r="RGG248" s="4"/>
      <c r="RGH248" s="4"/>
      <c r="RGI248" s="4"/>
      <c r="RGJ248" s="4"/>
      <c r="RGK248" s="4"/>
      <c r="RGL248" s="4"/>
      <c r="RGM248" s="4"/>
      <c r="RGN248" s="4"/>
      <c r="RGO248" s="4"/>
      <c r="RGP248" s="4"/>
      <c r="RGQ248" s="4"/>
      <c r="RGR248" s="4"/>
      <c r="RGS248" s="4"/>
      <c r="RGT248" s="4"/>
      <c r="RGU248" s="4"/>
      <c r="RGV248" s="4"/>
      <c r="RGW248" s="4"/>
      <c r="RGX248" s="4"/>
      <c r="RGY248" s="4"/>
      <c r="RGZ248" s="4"/>
      <c r="RHA248" s="4"/>
      <c r="RHB248" s="4"/>
      <c r="RHC248" s="4"/>
      <c r="RHD248" s="4"/>
      <c r="RHE248" s="4"/>
      <c r="RHF248" s="4"/>
      <c r="RHG248" s="4"/>
      <c r="RHH248" s="4"/>
      <c r="RHI248" s="4"/>
      <c r="RHJ248" s="4"/>
      <c r="RHK248" s="4"/>
      <c r="RHL248" s="4"/>
      <c r="RHM248" s="4"/>
      <c r="RHN248" s="4"/>
      <c r="RHO248" s="4"/>
      <c r="RHP248" s="4"/>
      <c r="RHQ248" s="4"/>
      <c r="RHR248" s="4"/>
      <c r="RHS248" s="4"/>
      <c r="RHT248" s="4"/>
      <c r="RHU248" s="4"/>
      <c r="RHV248" s="4"/>
      <c r="RHW248" s="4"/>
      <c r="RHX248" s="4"/>
      <c r="RHY248" s="4"/>
      <c r="RHZ248" s="4"/>
      <c r="RIA248" s="4"/>
      <c r="RIB248" s="4"/>
      <c r="RIC248" s="4"/>
      <c r="RID248" s="4"/>
      <c r="RIE248" s="4"/>
      <c r="RIF248" s="4"/>
      <c r="RIG248" s="4"/>
      <c r="RIH248" s="4"/>
      <c r="RII248" s="4"/>
      <c r="RIJ248" s="4"/>
      <c r="RIK248" s="4"/>
      <c r="RIL248" s="4"/>
      <c r="RIM248" s="4"/>
      <c r="RIN248" s="4"/>
      <c r="RIO248" s="4"/>
      <c r="RIP248" s="4"/>
      <c r="RIQ248" s="4"/>
      <c r="RIR248" s="4"/>
      <c r="RIS248" s="4"/>
      <c r="RIT248" s="4"/>
      <c r="RIU248" s="4"/>
      <c r="RIV248" s="4"/>
      <c r="RIW248" s="4"/>
      <c r="RIX248" s="4"/>
      <c r="RIY248" s="4"/>
      <c r="RIZ248" s="4"/>
      <c r="RJA248" s="4"/>
      <c r="RJB248" s="4"/>
      <c r="RJC248" s="4"/>
      <c r="RJD248" s="4"/>
      <c r="RJE248" s="4"/>
      <c r="RJF248" s="4"/>
      <c r="RJG248" s="4"/>
      <c r="RJH248" s="4"/>
      <c r="RJI248" s="4"/>
      <c r="RJJ248" s="4"/>
      <c r="RJK248" s="4"/>
      <c r="RJL248" s="4"/>
      <c r="RJM248" s="4"/>
      <c r="RJN248" s="4"/>
      <c r="RJO248" s="4"/>
      <c r="RJP248" s="4"/>
      <c r="RJQ248" s="4"/>
      <c r="RJR248" s="4"/>
      <c r="RJS248" s="4"/>
      <c r="RJT248" s="4"/>
      <c r="RJU248" s="4"/>
      <c r="RJV248" s="4"/>
      <c r="RJW248" s="4"/>
      <c r="RJX248" s="4"/>
      <c r="RJY248" s="4"/>
      <c r="RJZ248" s="4"/>
      <c r="RKA248" s="4"/>
      <c r="RKB248" s="4"/>
      <c r="RKC248" s="4"/>
      <c r="RKD248" s="4"/>
      <c r="RKE248" s="4"/>
      <c r="RKF248" s="4"/>
      <c r="RKG248" s="4"/>
      <c r="RKH248" s="4"/>
      <c r="RKI248" s="4"/>
      <c r="RKJ248" s="4"/>
      <c r="RKK248" s="4"/>
      <c r="RKL248" s="4"/>
      <c r="RKM248" s="4"/>
      <c r="RKN248" s="4"/>
      <c r="RKO248" s="4"/>
      <c r="RKP248" s="4"/>
      <c r="RKQ248" s="4"/>
      <c r="RKR248" s="4"/>
      <c r="RKS248" s="4"/>
      <c r="RKT248" s="4"/>
      <c r="RKU248" s="4"/>
      <c r="RKV248" s="4"/>
      <c r="RKW248" s="4"/>
      <c r="RKX248" s="4"/>
      <c r="RKY248" s="4"/>
      <c r="RKZ248" s="4"/>
      <c r="RLA248" s="4"/>
      <c r="RLB248" s="4"/>
      <c r="RLC248" s="4"/>
      <c r="RLD248" s="4"/>
      <c r="RLE248" s="4"/>
      <c r="RLF248" s="4"/>
      <c r="RLG248" s="4"/>
      <c r="RLH248" s="4"/>
      <c r="RLI248" s="4"/>
      <c r="RLJ248" s="4"/>
      <c r="RLK248" s="4"/>
      <c r="RLL248" s="4"/>
      <c r="RLM248" s="4"/>
      <c r="RLN248" s="4"/>
      <c r="RLO248" s="4"/>
      <c r="RLP248" s="4"/>
      <c r="RLQ248" s="4"/>
      <c r="RLR248" s="4"/>
      <c r="RLS248" s="4"/>
      <c r="RLT248" s="4"/>
      <c r="RLU248" s="4"/>
      <c r="RLV248" s="4"/>
      <c r="RLW248" s="4"/>
      <c r="RLX248" s="4"/>
      <c r="RLY248" s="4"/>
      <c r="RLZ248" s="4"/>
      <c r="RMA248" s="4"/>
      <c r="RMB248" s="4"/>
      <c r="RMC248" s="4"/>
      <c r="RMD248" s="4"/>
      <c r="RME248" s="4"/>
      <c r="RMF248" s="4"/>
      <c r="RMG248" s="4"/>
      <c r="RMH248" s="4"/>
      <c r="RMI248" s="4"/>
      <c r="RMJ248" s="4"/>
      <c r="RMK248" s="4"/>
      <c r="RML248" s="4"/>
      <c r="RMM248" s="4"/>
      <c r="RMN248" s="4"/>
      <c r="RMO248" s="4"/>
      <c r="RMP248" s="4"/>
      <c r="RMQ248" s="4"/>
      <c r="RMR248" s="4"/>
      <c r="RMS248" s="4"/>
      <c r="RMT248" s="4"/>
      <c r="RMU248" s="4"/>
      <c r="RMV248" s="4"/>
      <c r="RMW248" s="4"/>
      <c r="RMX248" s="4"/>
      <c r="RMY248" s="4"/>
      <c r="RMZ248" s="4"/>
      <c r="RNA248" s="4"/>
      <c r="RNB248" s="4"/>
      <c r="RNC248" s="4"/>
      <c r="RND248" s="4"/>
      <c r="RNE248" s="4"/>
      <c r="RNF248" s="4"/>
      <c r="RNG248" s="4"/>
      <c r="RNH248" s="4"/>
      <c r="RNI248" s="4"/>
      <c r="RNJ248" s="4"/>
      <c r="RNK248" s="4"/>
      <c r="RNL248" s="4"/>
      <c r="RNM248" s="4"/>
      <c r="RNN248" s="4"/>
      <c r="RNO248" s="4"/>
      <c r="RNP248" s="4"/>
      <c r="RNQ248" s="4"/>
      <c r="RNR248" s="4"/>
      <c r="RNS248" s="4"/>
      <c r="RNT248" s="4"/>
      <c r="RNU248" s="4"/>
      <c r="RNV248" s="4"/>
      <c r="RNW248" s="4"/>
      <c r="RNX248" s="4"/>
      <c r="RNY248" s="4"/>
      <c r="RNZ248" s="4"/>
      <c r="ROA248" s="4"/>
      <c r="ROB248" s="4"/>
      <c r="ROC248" s="4"/>
      <c r="ROD248" s="4"/>
      <c r="ROE248" s="4"/>
      <c r="ROF248" s="4"/>
      <c r="ROG248" s="4"/>
      <c r="ROH248" s="4"/>
      <c r="ROI248" s="4"/>
      <c r="ROJ248" s="4"/>
      <c r="ROK248" s="4"/>
      <c r="ROL248" s="4"/>
      <c r="ROM248" s="4"/>
      <c r="RON248" s="4"/>
      <c r="ROO248" s="4"/>
      <c r="ROP248" s="4"/>
      <c r="ROQ248" s="4"/>
      <c r="ROR248" s="4"/>
      <c r="ROS248" s="4"/>
      <c r="ROT248" s="4"/>
      <c r="ROU248" s="4"/>
      <c r="ROV248" s="4"/>
      <c r="ROW248" s="4"/>
      <c r="ROX248" s="4"/>
      <c r="ROY248" s="4"/>
      <c r="ROZ248" s="4"/>
      <c r="RPA248" s="4"/>
      <c r="RPB248" s="4"/>
      <c r="RPC248" s="4"/>
      <c r="RPD248" s="4"/>
      <c r="RPE248" s="4"/>
      <c r="RPF248" s="4"/>
      <c r="RPG248" s="4"/>
      <c r="RPH248" s="4"/>
      <c r="RPI248" s="4"/>
      <c r="RPJ248" s="4"/>
      <c r="RPK248" s="4"/>
      <c r="RPL248" s="4"/>
      <c r="RPM248" s="4"/>
      <c r="RPN248" s="4"/>
      <c r="RPO248" s="4"/>
      <c r="RPP248" s="4"/>
      <c r="RPQ248" s="4"/>
      <c r="RPR248" s="4"/>
      <c r="RPS248" s="4"/>
      <c r="RPT248" s="4"/>
      <c r="RPU248" s="4"/>
      <c r="RPV248" s="4"/>
      <c r="RPW248" s="4"/>
      <c r="RPX248" s="4"/>
      <c r="RPY248" s="4"/>
      <c r="RPZ248" s="4"/>
      <c r="RQA248" s="4"/>
      <c r="RQB248" s="4"/>
      <c r="RQC248" s="4"/>
      <c r="RQD248" s="4"/>
      <c r="RQE248" s="4"/>
      <c r="RQF248" s="4"/>
      <c r="RQG248" s="4"/>
      <c r="RQH248" s="4"/>
      <c r="RQI248" s="4"/>
      <c r="RQJ248" s="4"/>
      <c r="RQK248" s="4"/>
      <c r="RQL248" s="4"/>
      <c r="RQM248" s="4"/>
      <c r="RQN248" s="4"/>
      <c r="RQO248" s="4"/>
      <c r="RQP248" s="4"/>
      <c r="RQQ248" s="4"/>
      <c r="RQR248" s="4"/>
      <c r="RQS248" s="4"/>
      <c r="RQT248" s="4"/>
      <c r="RQU248" s="4"/>
      <c r="RQV248" s="4"/>
      <c r="RQW248" s="4"/>
      <c r="RQX248" s="4"/>
      <c r="RQY248" s="4"/>
      <c r="RQZ248" s="4"/>
      <c r="RRA248" s="4"/>
      <c r="RRB248" s="4"/>
      <c r="RRC248" s="4"/>
      <c r="RRD248" s="4"/>
      <c r="RRE248" s="4"/>
      <c r="RRF248" s="4"/>
      <c r="RRG248" s="4"/>
      <c r="RRH248" s="4"/>
      <c r="RRI248" s="4"/>
      <c r="RRJ248" s="4"/>
      <c r="RRK248" s="4"/>
      <c r="RRL248" s="4"/>
      <c r="RRM248" s="4"/>
      <c r="RRN248" s="4"/>
      <c r="RRO248" s="4"/>
      <c r="RRP248" s="4"/>
      <c r="RRQ248" s="4"/>
      <c r="RRR248" s="4"/>
      <c r="RRS248" s="4"/>
      <c r="RRT248" s="4"/>
      <c r="RRU248" s="4"/>
      <c r="RRV248" s="4"/>
      <c r="RRW248" s="4"/>
      <c r="RRX248" s="4"/>
      <c r="RRY248" s="4"/>
      <c r="RRZ248" s="4"/>
      <c r="RSA248" s="4"/>
      <c r="RSB248" s="4"/>
      <c r="RSC248" s="4"/>
      <c r="RSD248" s="4"/>
      <c r="RSE248" s="4"/>
      <c r="RSF248" s="4"/>
      <c r="RSG248" s="4"/>
      <c r="RSH248" s="4"/>
      <c r="RSI248" s="4"/>
      <c r="RSJ248" s="4"/>
      <c r="RSK248" s="4"/>
      <c r="RSL248" s="4"/>
      <c r="RSM248" s="4"/>
      <c r="RSN248" s="4"/>
      <c r="RSO248" s="4"/>
      <c r="RSP248" s="4"/>
      <c r="RSQ248" s="4"/>
      <c r="RSR248" s="4"/>
      <c r="RSS248" s="4"/>
      <c r="RST248" s="4"/>
      <c r="RSU248" s="4"/>
      <c r="RSV248" s="4"/>
      <c r="RSW248" s="4"/>
      <c r="RSX248" s="4"/>
      <c r="RSY248" s="4"/>
      <c r="RSZ248" s="4"/>
      <c r="RTA248" s="4"/>
      <c r="RTB248" s="4"/>
      <c r="RTC248" s="4"/>
      <c r="RTD248" s="4"/>
      <c r="RTE248" s="4"/>
      <c r="RTF248" s="4"/>
      <c r="RTG248" s="4"/>
      <c r="RTH248" s="4"/>
      <c r="RTI248" s="4"/>
      <c r="RTJ248" s="4"/>
      <c r="RTK248" s="4"/>
      <c r="RTL248" s="4"/>
      <c r="RTM248" s="4"/>
      <c r="RTN248" s="4"/>
      <c r="RTO248" s="4"/>
      <c r="RTP248" s="4"/>
      <c r="RTQ248" s="4"/>
      <c r="RTR248" s="4"/>
      <c r="RTS248" s="4"/>
      <c r="RTT248" s="4"/>
      <c r="RTU248" s="4"/>
      <c r="RTV248" s="4"/>
      <c r="RTW248" s="4"/>
      <c r="RTX248" s="4"/>
      <c r="RTY248" s="4"/>
      <c r="RTZ248" s="4"/>
      <c r="RUA248" s="4"/>
      <c r="RUB248" s="4"/>
      <c r="RUC248" s="4"/>
      <c r="RUD248" s="4"/>
      <c r="RUE248" s="4"/>
      <c r="RUF248" s="4"/>
      <c r="RUG248" s="4"/>
      <c r="RUH248" s="4"/>
      <c r="RUI248" s="4"/>
      <c r="RUJ248" s="4"/>
      <c r="RUK248" s="4"/>
      <c r="RUL248" s="4"/>
      <c r="RUM248" s="4"/>
      <c r="RUN248" s="4"/>
      <c r="RUO248" s="4"/>
      <c r="RUP248" s="4"/>
      <c r="RUQ248" s="4"/>
      <c r="RUR248" s="4"/>
      <c r="RUS248" s="4"/>
      <c r="RUT248" s="4"/>
      <c r="RUU248" s="4"/>
      <c r="RUV248" s="4"/>
      <c r="RUW248" s="4"/>
      <c r="RUX248" s="4"/>
      <c r="RUY248" s="4"/>
      <c r="RUZ248" s="4"/>
      <c r="RVA248" s="4"/>
      <c r="RVB248" s="4"/>
      <c r="RVC248" s="4"/>
      <c r="RVD248" s="4"/>
      <c r="RVE248" s="4"/>
      <c r="RVF248" s="4"/>
      <c r="RVG248" s="4"/>
      <c r="RVH248" s="4"/>
      <c r="RVI248" s="4"/>
      <c r="RVJ248" s="4"/>
      <c r="RVK248" s="4"/>
      <c r="RVL248" s="4"/>
      <c r="RVM248" s="4"/>
      <c r="RVN248" s="4"/>
      <c r="RVO248" s="4"/>
      <c r="RVP248" s="4"/>
      <c r="RVQ248" s="4"/>
      <c r="RVR248" s="4"/>
      <c r="RVS248" s="4"/>
      <c r="RVT248" s="4"/>
      <c r="RVU248" s="4"/>
      <c r="RVV248" s="4"/>
      <c r="RVW248" s="4"/>
      <c r="RVX248" s="4"/>
      <c r="RVY248" s="4"/>
      <c r="RVZ248" s="4"/>
      <c r="RWA248" s="4"/>
      <c r="RWB248" s="4"/>
      <c r="RWC248" s="4"/>
      <c r="RWD248" s="4"/>
      <c r="RWE248" s="4"/>
      <c r="RWF248" s="4"/>
      <c r="RWG248" s="4"/>
      <c r="RWH248" s="4"/>
      <c r="RWI248" s="4"/>
      <c r="RWJ248" s="4"/>
      <c r="RWK248" s="4"/>
      <c r="RWL248" s="4"/>
      <c r="RWM248" s="4"/>
      <c r="RWN248" s="4"/>
      <c r="RWO248" s="4"/>
      <c r="RWP248" s="4"/>
      <c r="RWQ248" s="4"/>
      <c r="RWR248" s="4"/>
      <c r="RWS248" s="4"/>
      <c r="RWT248" s="4"/>
      <c r="RWU248" s="4"/>
      <c r="RWV248" s="4"/>
      <c r="RWW248" s="4"/>
      <c r="RWX248" s="4"/>
      <c r="RWY248" s="4"/>
      <c r="RWZ248" s="4"/>
      <c r="RXA248" s="4"/>
      <c r="RXB248" s="4"/>
      <c r="RXC248" s="4"/>
      <c r="RXD248" s="4"/>
      <c r="RXE248" s="4"/>
      <c r="RXF248" s="4"/>
      <c r="RXG248" s="4"/>
      <c r="RXH248" s="4"/>
      <c r="RXI248" s="4"/>
      <c r="RXJ248" s="4"/>
      <c r="RXK248" s="4"/>
      <c r="RXL248" s="4"/>
      <c r="RXM248" s="4"/>
      <c r="RXN248" s="4"/>
      <c r="RXO248" s="4"/>
      <c r="RXP248" s="4"/>
      <c r="RXQ248" s="4"/>
      <c r="RXR248" s="4"/>
      <c r="RXS248" s="4"/>
      <c r="RXT248" s="4"/>
      <c r="RXU248" s="4"/>
      <c r="RXV248" s="4"/>
      <c r="RXW248" s="4"/>
      <c r="RXX248" s="4"/>
      <c r="RXY248" s="4"/>
      <c r="RXZ248" s="4"/>
      <c r="RYA248" s="4"/>
      <c r="RYB248" s="4"/>
      <c r="RYC248" s="4"/>
      <c r="RYD248" s="4"/>
      <c r="RYE248" s="4"/>
      <c r="RYF248" s="4"/>
      <c r="RYG248" s="4"/>
      <c r="RYH248" s="4"/>
      <c r="RYI248" s="4"/>
      <c r="RYJ248" s="4"/>
      <c r="RYK248" s="4"/>
      <c r="RYL248" s="4"/>
      <c r="RYM248" s="4"/>
      <c r="RYN248" s="4"/>
      <c r="RYO248" s="4"/>
      <c r="RYP248" s="4"/>
      <c r="RYQ248" s="4"/>
      <c r="RYR248" s="4"/>
      <c r="RYS248" s="4"/>
      <c r="RYT248" s="4"/>
      <c r="RYU248" s="4"/>
      <c r="RYV248" s="4"/>
      <c r="RYW248" s="4"/>
      <c r="RYX248" s="4"/>
      <c r="RYY248" s="4"/>
      <c r="RYZ248" s="4"/>
      <c r="RZA248" s="4"/>
      <c r="RZB248" s="4"/>
      <c r="RZC248" s="4"/>
      <c r="RZD248" s="4"/>
      <c r="RZE248" s="4"/>
      <c r="RZF248" s="4"/>
      <c r="RZG248" s="4"/>
      <c r="RZH248" s="4"/>
      <c r="RZI248" s="4"/>
      <c r="RZJ248" s="4"/>
      <c r="RZK248" s="4"/>
      <c r="RZL248" s="4"/>
      <c r="RZM248" s="4"/>
      <c r="RZN248" s="4"/>
      <c r="RZO248" s="4"/>
      <c r="RZP248" s="4"/>
      <c r="RZQ248" s="4"/>
      <c r="RZR248" s="4"/>
      <c r="RZS248" s="4"/>
      <c r="RZT248" s="4"/>
      <c r="RZU248" s="4"/>
      <c r="RZV248" s="4"/>
      <c r="RZW248" s="4"/>
      <c r="RZX248" s="4"/>
      <c r="RZY248" s="4"/>
      <c r="RZZ248" s="4"/>
      <c r="SAA248" s="4"/>
      <c r="SAB248" s="4"/>
      <c r="SAC248" s="4"/>
      <c r="SAD248" s="4"/>
      <c r="SAE248" s="4"/>
      <c r="SAF248" s="4"/>
      <c r="SAG248" s="4"/>
      <c r="SAH248" s="4"/>
      <c r="SAI248" s="4"/>
      <c r="SAJ248" s="4"/>
      <c r="SAK248" s="4"/>
      <c r="SAL248" s="4"/>
      <c r="SAM248" s="4"/>
      <c r="SAN248" s="4"/>
      <c r="SAO248" s="4"/>
      <c r="SAP248" s="4"/>
      <c r="SAQ248" s="4"/>
      <c r="SAR248" s="4"/>
      <c r="SAS248" s="4"/>
      <c r="SAT248" s="4"/>
      <c r="SAU248" s="4"/>
      <c r="SAV248" s="4"/>
      <c r="SAW248" s="4"/>
      <c r="SAX248" s="4"/>
      <c r="SAY248" s="4"/>
      <c r="SAZ248" s="4"/>
      <c r="SBA248" s="4"/>
      <c r="SBB248" s="4"/>
      <c r="SBC248" s="4"/>
      <c r="SBD248" s="4"/>
      <c r="SBE248" s="4"/>
      <c r="SBF248" s="4"/>
      <c r="SBG248" s="4"/>
      <c r="SBH248" s="4"/>
      <c r="SBI248" s="4"/>
      <c r="SBJ248" s="4"/>
      <c r="SBK248" s="4"/>
      <c r="SBL248" s="4"/>
      <c r="SBM248" s="4"/>
      <c r="SBN248" s="4"/>
      <c r="SBO248" s="4"/>
      <c r="SBP248" s="4"/>
      <c r="SBQ248" s="4"/>
      <c r="SBR248" s="4"/>
      <c r="SBS248" s="4"/>
      <c r="SBT248" s="4"/>
      <c r="SBU248" s="4"/>
      <c r="SBV248" s="4"/>
      <c r="SBW248" s="4"/>
      <c r="SBX248" s="4"/>
      <c r="SBY248" s="4"/>
      <c r="SBZ248" s="4"/>
      <c r="SCA248" s="4"/>
      <c r="SCB248" s="4"/>
      <c r="SCC248" s="4"/>
      <c r="SCD248" s="4"/>
      <c r="SCE248" s="4"/>
      <c r="SCF248" s="4"/>
      <c r="SCG248" s="4"/>
      <c r="SCH248" s="4"/>
      <c r="SCI248" s="4"/>
      <c r="SCJ248" s="4"/>
      <c r="SCK248" s="4"/>
      <c r="SCL248" s="4"/>
      <c r="SCM248" s="4"/>
      <c r="SCN248" s="4"/>
      <c r="SCO248" s="4"/>
      <c r="SCP248" s="4"/>
      <c r="SCQ248" s="4"/>
      <c r="SCR248" s="4"/>
      <c r="SCS248" s="4"/>
      <c r="SCT248" s="4"/>
      <c r="SCU248" s="4"/>
      <c r="SCV248" s="4"/>
      <c r="SCW248" s="4"/>
      <c r="SCX248" s="4"/>
      <c r="SCY248" s="4"/>
      <c r="SCZ248" s="4"/>
      <c r="SDA248" s="4"/>
      <c r="SDB248" s="4"/>
      <c r="SDC248" s="4"/>
      <c r="SDD248" s="4"/>
      <c r="SDE248" s="4"/>
      <c r="SDF248" s="4"/>
      <c r="SDG248" s="4"/>
      <c r="SDH248" s="4"/>
      <c r="SDI248" s="4"/>
      <c r="SDJ248" s="4"/>
      <c r="SDK248" s="4"/>
      <c r="SDL248" s="4"/>
      <c r="SDM248" s="4"/>
      <c r="SDN248" s="4"/>
      <c r="SDO248" s="4"/>
      <c r="SDP248" s="4"/>
      <c r="SDQ248" s="4"/>
      <c r="SDR248" s="4"/>
      <c r="SDS248" s="4"/>
      <c r="SDT248" s="4"/>
      <c r="SDU248" s="4"/>
      <c r="SDV248" s="4"/>
      <c r="SDW248" s="4"/>
      <c r="SDX248" s="4"/>
      <c r="SDY248" s="4"/>
      <c r="SDZ248" s="4"/>
      <c r="SEA248" s="4"/>
      <c r="SEB248" s="4"/>
      <c r="SEC248" s="4"/>
      <c r="SED248" s="4"/>
      <c r="SEE248" s="4"/>
      <c r="SEF248" s="4"/>
      <c r="SEG248" s="4"/>
      <c r="SEH248" s="4"/>
      <c r="SEI248" s="4"/>
      <c r="SEJ248" s="4"/>
      <c r="SEK248" s="4"/>
      <c r="SEL248" s="4"/>
      <c r="SEM248" s="4"/>
      <c r="SEN248" s="4"/>
      <c r="SEO248" s="4"/>
      <c r="SEP248" s="4"/>
      <c r="SEQ248" s="4"/>
      <c r="SER248" s="4"/>
      <c r="SES248" s="4"/>
      <c r="SET248" s="4"/>
      <c r="SEU248" s="4"/>
      <c r="SEV248" s="4"/>
      <c r="SEW248" s="4"/>
      <c r="SEX248" s="4"/>
      <c r="SEY248" s="4"/>
      <c r="SEZ248" s="4"/>
      <c r="SFA248" s="4"/>
      <c r="SFB248" s="4"/>
      <c r="SFC248" s="4"/>
      <c r="SFD248" s="4"/>
      <c r="SFE248" s="4"/>
      <c r="SFF248" s="4"/>
      <c r="SFG248" s="4"/>
      <c r="SFH248" s="4"/>
      <c r="SFI248" s="4"/>
      <c r="SFJ248" s="4"/>
      <c r="SFK248" s="4"/>
      <c r="SFL248" s="4"/>
      <c r="SFM248" s="4"/>
      <c r="SFN248" s="4"/>
      <c r="SFO248" s="4"/>
      <c r="SFP248" s="4"/>
      <c r="SFQ248" s="4"/>
      <c r="SFR248" s="4"/>
      <c r="SFS248" s="4"/>
      <c r="SFT248" s="4"/>
      <c r="SFU248" s="4"/>
      <c r="SFV248" s="4"/>
      <c r="SFW248" s="4"/>
      <c r="SFX248" s="4"/>
      <c r="SFY248" s="4"/>
      <c r="SFZ248" s="4"/>
      <c r="SGA248" s="4"/>
      <c r="SGB248" s="4"/>
      <c r="SGC248" s="4"/>
      <c r="SGD248" s="4"/>
      <c r="SGE248" s="4"/>
      <c r="SGF248" s="4"/>
      <c r="SGG248" s="4"/>
      <c r="SGH248" s="4"/>
      <c r="SGI248" s="4"/>
      <c r="SGJ248" s="4"/>
      <c r="SGK248" s="4"/>
      <c r="SGL248" s="4"/>
      <c r="SGM248" s="4"/>
      <c r="SGN248" s="4"/>
      <c r="SGO248" s="4"/>
      <c r="SGP248" s="4"/>
      <c r="SGQ248" s="4"/>
      <c r="SGR248" s="4"/>
      <c r="SGS248" s="4"/>
      <c r="SGT248" s="4"/>
      <c r="SGU248" s="4"/>
      <c r="SGV248" s="4"/>
      <c r="SGW248" s="4"/>
      <c r="SGX248" s="4"/>
      <c r="SGY248" s="4"/>
      <c r="SGZ248" s="4"/>
      <c r="SHA248" s="4"/>
      <c r="SHB248" s="4"/>
      <c r="SHC248" s="4"/>
      <c r="SHD248" s="4"/>
      <c r="SHE248" s="4"/>
      <c r="SHF248" s="4"/>
      <c r="SHG248" s="4"/>
      <c r="SHH248" s="4"/>
      <c r="SHI248" s="4"/>
      <c r="SHJ248" s="4"/>
      <c r="SHK248" s="4"/>
      <c r="SHL248" s="4"/>
      <c r="SHM248" s="4"/>
      <c r="SHN248" s="4"/>
      <c r="SHO248" s="4"/>
      <c r="SHP248" s="4"/>
      <c r="SHQ248" s="4"/>
      <c r="SHR248" s="4"/>
      <c r="SHS248" s="4"/>
      <c r="SHT248" s="4"/>
      <c r="SHU248" s="4"/>
      <c r="SHV248" s="4"/>
      <c r="SHW248" s="4"/>
      <c r="SHX248" s="4"/>
      <c r="SHY248" s="4"/>
      <c r="SHZ248" s="4"/>
      <c r="SIA248" s="4"/>
      <c r="SIB248" s="4"/>
      <c r="SIC248" s="4"/>
      <c r="SID248" s="4"/>
      <c r="SIE248" s="4"/>
      <c r="SIF248" s="4"/>
      <c r="SIG248" s="4"/>
      <c r="SIH248" s="4"/>
      <c r="SII248" s="4"/>
      <c r="SIJ248" s="4"/>
      <c r="SIK248" s="4"/>
      <c r="SIL248" s="4"/>
      <c r="SIM248" s="4"/>
      <c r="SIN248" s="4"/>
      <c r="SIO248" s="4"/>
      <c r="SIP248" s="4"/>
      <c r="SIQ248" s="4"/>
      <c r="SIR248" s="4"/>
      <c r="SIS248" s="4"/>
      <c r="SIT248" s="4"/>
      <c r="SIU248" s="4"/>
      <c r="SIV248" s="4"/>
      <c r="SIW248" s="4"/>
      <c r="SIX248" s="4"/>
      <c r="SIY248" s="4"/>
      <c r="SIZ248" s="4"/>
      <c r="SJA248" s="4"/>
      <c r="SJB248" s="4"/>
      <c r="SJC248" s="4"/>
      <c r="SJD248" s="4"/>
      <c r="SJE248" s="4"/>
      <c r="SJF248" s="4"/>
      <c r="SJG248" s="4"/>
      <c r="SJH248" s="4"/>
      <c r="SJI248" s="4"/>
      <c r="SJJ248" s="4"/>
      <c r="SJK248" s="4"/>
      <c r="SJL248" s="4"/>
      <c r="SJM248" s="4"/>
      <c r="SJN248" s="4"/>
      <c r="SJO248" s="4"/>
      <c r="SJP248" s="4"/>
      <c r="SJQ248" s="4"/>
      <c r="SJR248" s="4"/>
      <c r="SJS248" s="4"/>
      <c r="SJT248" s="4"/>
      <c r="SJU248" s="4"/>
      <c r="SJV248" s="4"/>
      <c r="SJW248" s="4"/>
      <c r="SJX248" s="4"/>
      <c r="SJY248" s="4"/>
      <c r="SJZ248" s="4"/>
      <c r="SKA248" s="4"/>
      <c r="SKB248" s="4"/>
      <c r="SKC248" s="4"/>
      <c r="SKD248" s="4"/>
      <c r="SKE248" s="4"/>
      <c r="SKF248" s="4"/>
      <c r="SKG248" s="4"/>
      <c r="SKH248" s="4"/>
      <c r="SKI248" s="4"/>
      <c r="SKJ248" s="4"/>
      <c r="SKK248" s="4"/>
      <c r="SKL248" s="4"/>
      <c r="SKM248" s="4"/>
      <c r="SKN248" s="4"/>
      <c r="SKO248" s="4"/>
      <c r="SKP248" s="4"/>
      <c r="SKQ248" s="4"/>
      <c r="SKR248" s="4"/>
      <c r="SKS248" s="4"/>
      <c r="SKT248" s="4"/>
      <c r="SKU248" s="4"/>
      <c r="SKV248" s="4"/>
      <c r="SKW248" s="4"/>
      <c r="SKX248" s="4"/>
      <c r="SKY248" s="4"/>
      <c r="SKZ248" s="4"/>
      <c r="SLA248" s="4"/>
      <c r="SLB248" s="4"/>
      <c r="SLC248" s="4"/>
      <c r="SLD248" s="4"/>
      <c r="SLE248" s="4"/>
      <c r="SLF248" s="4"/>
      <c r="SLG248" s="4"/>
      <c r="SLH248" s="4"/>
      <c r="SLI248" s="4"/>
      <c r="SLJ248" s="4"/>
      <c r="SLK248" s="4"/>
      <c r="SLL248" s="4"/>
      <c r="SLM248" s="4"/>
      <c r="SLN248" s="4"/>
      <c r="SLO248" s="4"/>
      <c r="SLP248" s="4"/>
      <c r="SLQ248" s="4"/>
      <c r="SLR248" s="4"/>
      <c r="SLS248" s="4"/>
      <c r="SLT248" s="4"/>
      <c r="SLU248" s="4"/>
      <c r="SLV248" s="4"/>
      <c r="SLW248" s="4"/>
      <c r="SLX248" s="4"/>
      <c r="SLY248" s="4"/>
      <c r="SLZ248" s="4"/>
      <c r="SMA248" s="4"/>
      <c r="SMB248" s="4"/>
      <c r="SMC248" s="4"/>
      <c r="SMD248" s="4"/>
      <c r="SME248" s="4"/>
      <c r="SMF248" s="4"/>
      <c r="SMG248" s="4"/>
      <c r="SMH248" s="4"/>
      <c r="SMI248" s="4"/>
      <c r="SMJ248" s="4"/>
      <c r="SMK248" s="4"/>
      <c r="SML248" s="4"/>
      <c r="SMM248" s="4"/>
      <c r="SMN248" s="4"/>
      <c r="SMO248" s="4"/>
      <c r="SMP248" s="4"/>
      <c r="SMQ248" s="4"/>
      <c r="SMR248" s="4"/>
      <c r="SMS248" s="4"/>
      <c r="SMT248" s="4"/>
      <c r="SMU248" s="4"/>
      <c r="SMV248" s="4"/>
      <c r="SMW248" s="4"/>
      <c r="SMX248" s="4"/>
      <c r="SMY248" s="4"/>
      <c r="SMZ248" s="4"/>
      <c r="SNA248" s="4"/>
      <c r="SNB248" s="4"/>
      <c r="SNC248" s="4"/>
      <c r="SND248" s="4"/>
      <c r="SNE248" s="4"/>
      <c r="SNF248" s="4"/>
      <c r="SNG248" s="4"/>
      <c r="SNH248" s="4"/>
      <c r="SNI248" s="4"/>
      <c r="SNJ248" s="4"/>
      <c r="SNK248" s="4"/>
      <c r="SNL248" s="4"/>
      <c r="SNM248" s="4"/>
      <c r="SNN248" s="4"/>
      <c r="SNO248" s="4"/>
      <c r="SNP248" s="4"/>
      <c r="SNQ248" s="4"/>
      <c r="SNR248" s="4"/>
      <c r="SNS248" s="4"/>
      <c r="SNT248" s="4"/>
      <c r="SNU248" s="4"/>
      <c r="SNV248" s="4"/>
      <c r="SNW248" s="4"/>
      <c r="SNX248" s="4"/>
      <c r="SNY248" s="4"/>
      <c r="SNZ248" s="4"/>
      <c r="SOA248" s="4"/>
      <c r="SOB248" s="4"/>
      <c r="SOC248" s="4"/>
      <c r="SOD248" s="4"/>
      <c r="SOE248" s="4"/>
      <c r="SOF248" s="4"/>
      <c r="SOG248" s="4"/>
      <c r="SOH248" s="4"/>
      <c r="SOI248" s="4"/>
      <c r="SOJ248" s="4"/>
      <c r="SOK248" s="4"/>
      <c r="SOL248" s="4"/>
      <c r="SOM248" s="4"/>
      <c r="SON248" s="4"/>
      <c r="SOO248" s="4"/>
      <c r="SOP248" s="4"/>
      <c r="SOQ248" s="4"/>
      <c r="SOR248" s="4"/>
      <c r="SOS248" s="4"/>
      <c r="SOT248" s="4"/>
      <c r="SOU248" s="4"/>
      <c r="SOV248" s="4"/>
      <c r="SOW248" s="4"/>
      <c r="SOX248" s="4"/>
      <c r="SOY248" s="4"/>
      <c r="SOZ248" s="4"/>
      <c r="SPA248" s="4"/>
      <c r="SPB248" s="4"/>
      <c r="SPC248" s="4"/>
      <c r="SPD248" s="4"/>
      <c r="SPE248" s="4"/>
      <c r="SPF248" s="4"/>
      <c r="SPG248" s="4"/>
      <c r="SPH248" s="4"/>
      <c r="SPI248" s="4"/>
      <c r="SPJ248" s="4"/>
      <c r="SPK248" s="4"/>
      <c r="SPL248" s="4"/>
      <c r="SPM248" s="4"/>
      <c r="SPN248" s="4"/>
      <c r="SPO248" s="4"/>
      <c r="SPP248" s="4"/>
      <c r="SPQ248" s="4"/>
      <c r="SPR248" s="4"/>
      <c r="SPS248" s="4"/>
      <c r="SPT248" s="4"/>
      <c r="SPU248" s="4"/>
      <c r="SPV248" s="4"/>
      <c r="SPW248" s="4"/>
      <c r="SPX248" s="4"/>
      <c r="SPY248" s="4"/>
      <c r="SPZ248" s="4"/>
      <c r="SQA248" s="4"/>
      <c r="SQB248" s="4"/>
      <c r="SQC248" s="4"/>
      <c r="SQD248" s="4"/>
      <c r="SQE248" s="4"/>
      <c r="SQF248" s="4"/>
      <c r="SQG248" s="4"/>
      <c r="SQH248" s="4"/>
      <c r="SQI248" s="4"/>
      <c r="SQJ248" s="4"/>
      <c r="SQK248" s="4"/>
      <c r="SQL248" s="4"/>
      <c r="SQM248" s="4"/>
      <c r="SQN248" s="4"/>
      <c r="SQO248" s="4"/>
      <c r="SQP248" s="4"/>
      <c r="SQQ248" s="4"/>
      <c r="SQR248" s="4"/>
      <c r="SQS248" s="4"/>
      <c r="SQT248" s="4"/>
      <c r="SQU248" s="4"/>
      <c r="SQV248" s="4"/>
      <c r="SQW248" s="4"/>
      <c r="SQX248" s="4"/>
      <c r="SQY248" s="4"/>
      <c r="SQZ248" s="4"/>
      <c r="SRA248" s="4"/>
      <c r="SRB248" s="4"/>
      <c r="SRC248" s="4"/>
      <c r="SRD248" s="4"/>
      <c r="SRE248" s="4"/>
      <c r="SRF248" s="4"/>
      <c r="SRG248" s="4"/>
      <c r="SRH248" s="4"/>
      <c r="SRI248" s="4"/>
      <c r="SRJ248" s="4"/>
      <c r="SRK248" s="4"/>
      <c r="SRL248" s="4"/>
      <c r="SRM248" s="4"/>
      <c r="SRN248" s="4"/>
      <c r="SRO248" s="4"/>
      <c r="SRP248" s="4"/>
      <c r="SRQ248" s="4"/>
      <c r="SRR248" s="4"/>
      <c r="SRS248" s="4"/>
      <c r="SRT248" s="4"/>
      <c r="SRU248" s="4"/>
      <c r="SRV248" s="4"/>
      <c r="SRW248" s="4"/>
      <c r="SRX248" s="4"/>
      <c r="SRY248" s="4"/>
      <c r="SRZ248" s="4"/>
      <c r="SSA248" s="4"/>
      <c r="SSB248" s="4"/>
      <c r="SSC248" s="4"/>
      <c r="SSD248" s="4"/>
      <c r="SSE248" s="4"/>
      <c r="SSF248" s="4"/>
      <c r="SSG248" s="4"/>
      <c r="SSH248" s="4"/>
      <c r="SSI248" s="4"/>
      <c r="SSJ248" s="4"/>
      <c r="SSK248" s="4"/>
      <c r="SSL248" s="4"/>
      <c r="SSM248" s="4"/>
      <c r="SSN248" s="4"/>
      <c r="SSO248" s="4"/>
      <c r="SSP248" s="4"/>
      <c r="SSQ248" s="4"/>
      <c r="SSR248" s="4"/>
      <c r="SSS248" s="4"/>
      <c r="SST248" s="4"/>
      <c r="SSU248" s="4"/>
      <c r="SSV248" s="4"/>
      <c r="SSW248" s="4"/>
      <c r="SSX248" s="4"/>
      <c r="SSY248" s="4"/>
      <c r="SSZ248" s="4"/>
      <c r="STA248" s="4"/>
      <c r="STB248" s="4"/>
      <c r="STC248" s="4"/>
      <c r="STD248" s="4"/>
      <c r="STE248" s="4"/>
      <c r="STF248" s="4"/>
      <c r="STG248" s="4"/>
      <c r="STH248" s="4"/>
      <c r="STI248" s="4"/>
      <c r="STJ248" s="4"/>
      <c r="STK248" s="4"/>
      <c r="STL248" s="4"/>
      <c r="STM248" s="4"/>
      <c r="STN248" s="4"/>
      <c r="STO248" s="4"/>
      <c r="STP248" s="4"/>
      <c r="STQ248" s="4"/>
      <c r="STR248" s="4"/>
      <c r="STS248" s="4"/>
      <c r="STT248" s="4"/>
      <c r="STU248" s="4"/>
      <c r="STV248" s="4"/>
      <c r="STW248" s="4"/>
      <c r="STX248" s="4"/>
      <c r="STY248" s="4"/>
      <c r="STZ248" s="4"/>
      <c r="SUA248" s="4"/>
      <c r="SUB248" s="4"/>
      <c r="SUC248" s="4"/>
      <c r="SUD248" s="4"/>
      <c r="SUE248" s="4"/>
      <c r="SUF248" s="4"/>
      <c r="SUG248" s="4"/>
      <c r="SUH248" s="4"/>
      <c r="SUI248" s="4"/>
      <c r="SUJ248" s="4"/>
      <c r="SUK248" s="4"/>
      <c r="SUL248" s="4"/>
      <c r="SUM248" s="4"/>
      <c r="SUN248" s="4"/>
      <c r="SUO248" s="4"/>
      <c r="SUP248" s="4"/>
      <c r="SUQ248" s="4"/>
      <c r="SUR248" s="4"/>
      <c r="SUS248" s="4"/>
      <c r="SUT248" s="4"/>
      <c r="SUU248" s="4"/>
      <c r="SUV248" s="4"/>
      <c r="SUW248" s="4"/>
      <c r="SUX248" s="4"/>
      <c r="SUY248" s="4"/>
      <c r="SUZ248" s="4"/>
      <c r="SVA248" s="4"/>
      <c r="SVB248" s="4"/>
      <c r="SVC248" s="4"/>
      <c r="SVD248" s="4"/>
      <c r="SVE248" s="4"/>
      <c r="SVF248" s="4"/>
      <c r="SVG248" s="4"/>
      <c r="SVH248" s="4"/>
      <c r="SVI248" s="4"/>
      <c r="SVJ248" s="4"/>
      <c r="SVK248" s="4"/>
      <c r="SVL248" s="4"/>
      <c r="SVM248" s="4"/>
      <c r="SVN248" s="4"/>
      <c r="SVO248" s="4"/>
      <c r="SVP248" s="4"/>
      <c r="SVQ248" s="4"/>
      <c r="SVR248" s="4"/>
      <c r="SVS248" s="4"/>
      <c r="SVT248" s="4"/>
      <c r="SVU248" s="4"/>
      <c r="SVV248" s="4"/>
      <c r="SVW248" s="4"/>
      <c r="SVX248" s="4"/>
      <c r="SVY248" s="4"/>
      <c r="SVZ248" s="4"/>
      <c r="SWA248" s="4"/>
      <c r="SWB248" s="4"/>
      <c r="SWC248" s="4"/>
      <c r="SWD248" s="4"/>
      <c r="SWE248" s="4"/>
      <c r="SWF248" s="4"/>
      <c r="SWG248" s="4"/>
      <c r="SWH248" s="4"/>
      <c r="SWI248" s="4"/>
      <c r="SWJ248" s="4"/>
      <c r="SWK248" s="4"/>
      <c r="SWL248" s="4"/>
      <c r="SWM248" s="4"/>
      <c r="SWN248" s="4"/>
      <c r="SWO248" s="4"/>
      <c r="SWP248" s="4"/>
      <c r="SWQ248" s="4"/>
      <c r="SWR248" s="4"/>
      <c r="SWS248" s="4"/>
      <c r="SWT248" s="4"/>
      <c r="SWU248" s="4"/>
      <c r="SWV248" s="4"/>
      <c r="SWW248" s="4"/>
      <c r="SWX248" s="4"/>
      <c r="SWY248" s="4"/>
      <c r="SWZ248" s="4"/>
      <c r="SXA248" s="4"/>
      <c r="SXB248" s="4"/>
      <c r="SXC248" s="4"/>
      <c r="SXD248" s="4"/>
      <c r="SXE248" s="4"/>
      <c r="SXF248" s="4"/>
      <c r="SXG248" s="4"/>
      <c r="SXH248" s="4"/>
      <c r="SXI248" s="4"/>
      <c r="SXJ248" s="4"/>
      <c r="SXK248" s="4"/>
      <c r="SXL248" s="4"/>
      <c r="SXM248" s="4"/>
      <c r="SXN248" s="4"/>
      <c r="SXO248" s="4"/>
      <c r="SXP248" s="4"/>
      <c r="SXQ248" s="4"/>
      <c r="SXR248" s="4"/>
      <c r="SXS248" s="4"/>
      <c r="SXT248" s="4"/>
      <c r="SXU248" s="4"/>
      <c r="SXV248" s="4"/>
      <c r="SXW248" s="4"/>
      <c r="SXX248" s="4"/>
      <c r="SXY248" s="4"/>
      <c r="SXZ248" s="4"/>
      <c r="SYA248" s="4"/>
      <c r="SYB248" s="4"/>
      <c r="SYC248" s="4"/>
      <c r="SYD248" s="4"/>
      <c r="SYE248" s="4"/>
      <c r="SYF248" s="4"/>
      <c r="SYG248" s="4"/>
      <c r="SYH248" s="4"/>
      <c r="SYI248" s="4"/>
      <c r="SYJ248" s="4"/>
      <c r="SYK248" s="4"/>
      <c r="SYL248" s="4"/>
      <c r="SYM248" s="4"/>
      <c r="SYN248" s="4"/>
      <c r="SYO248" s="4"/>
      <c r="SYP248" s="4"/>
      <c r="SYQ248" s="4"/>
      <c r="SYR248" s="4"/>
      <c r="SYS248" s="4"/>
      <c r="SYT248" s="4"/>
      <c r="SYU248" s="4"/>
      <c r="SYV248" s="4"/>
      <c r="SYW248" s="4"/>
      <c r="SYX248" s="4"/>
      <c r="SYY248" s="4"/>
      <c r="SYZ248" s="4"/>
      <c r="SZA248" s="4"/>
      <c r="SZB248" s="4"/>
      <c r="SZC248" s="4"/>
      <c r="SZD248" s="4"/>
      <c r="SZE248" s="4"/>
      <c r="SZF248" s="4"/>
      <c r="SZG248" s="4"/>
      <c r="SZH248" s="4"/>
      <c r="SZI248" s="4"/>
      <c r="SZJ248" s="4"/>
      <c r="SZK248" s="4"/>
      <c r="SZL248" s="4"/>
      <c r="SZM248" s="4"/>
      <c r="SZN248" s="4"/>
      <c r="SZO248" s="4"/>
      <c r="SZP248" s="4"/>
      <c r="SZQ248" s="4"/>
      <c r="SZR248" s="4"/>
      <c r="SZS248" s="4"/>
      <c r="SZT248" s="4"/>
      <c r="SZU248" s="4"/>
      <c r="SZV248" s="4"/>
      <c r="SZW248" s="4"/>
      <c r="SZX248" s="4"/>
      <c r="SZY248" s="4"/>
      <c r="SZZ248" s="4"/>
      <c r="TAA248" s="4"/>
      <c r="TAB248" s="4"/>
      <c r="TAC248" s="4"/>
      <c r="TAD248" s="4"/>
      <c r="TAE248" s="4"/>
      <c r="TAF248" s="4"/>
      <c r="TAG248" s="4"/>
      <c r="TAH248" s="4"/>
      <c r="TAI248" s="4"/>
      <c r="TAJ248" s="4"/>
      <c r="TAK248" s="4"/>
      <c r="TAL248" s="4"/>
      <c r="TAM248" s="4"/>
      <c r="TAN248" s="4"/>
      <c r="TAO248" s="4"/>
      <c r="TAP248" s="4"/>
      <c r="TAQ248" s="4"/>
      <c r="TAR248" s="4"/>
      <c r="TAS248" s="4"/>
      <c r="TAT248" s="4"/>
      <c r="TAU248" s="4"/>
      <c r="TAV248" s="4"/>
      <c r="TAW248" s="4"/>
      <c r="TAX248" s="4"/>
      <c r="TAY248" s="4"/>
      <c r="TAZ248" s="4"/>
      <c r="TBA248" s="4"/>
      <c r="TBB248" s="4"/>
      <c r="TBC248" s="4"/>
      <c r="TBD248" s="4"/>
      <c r="TBE248" s="4"/>
      <c r="TBF248" s="4"/>
      <c r="TBG248" s="4"/>
      <c r="TBH248" s="4"/>
      <c r="TBI248" s="4"/>
      <c r="TBJ248" s="4"/>
      <c r="TBK248" s="4"/>
      <c r="TBL248" s="4"/>
      <c r="TBM248" s="4"/>
      <c r="TBN248" s="4"/>
      <c r="TBO248" s="4"/>
      <c r="TBP248" s="4"/>
      <c r="TBQ248" s="4"/>
      <c r="TBR248" s="4"/>
      <c r="TBS248" s="4"/>
      <c r="TBT248" s="4"/>
      <c r="TBU248" s="4"/>
      <c r="TBV248" s="4"/>
      <c r="TBW248" s="4"/>
      <c r="TBX248" s="4"/>
      <c r="TBY248" s="4"/>
      <c r="TBZ248" s="4"/>
      <c r="TCA248" s="4"/>
      <c r="TCB248" s="4"/>
      <c r="TCC248" s="4"/>
      <c r="TCD248" s="4"/>
      <c r="TCE248" s="4"/>
      <c r="TCF248" s="4"/>
      <c r="TCG248" s="4"/>
      <c r="TCH248" s="4"/>
      <c r="TCI248" s="4"/>
      <c r="TCJ248" s="4"/>
      <c r="TCK248" s="4"/>
      <c r="TCL248" s="4"/>
      <c r="TCM248" s="4"/>
      <c r="TCN248" s="4"/>
      <c r="TCO248" s="4"/>
      <c r="TCP248" s="4"/>
      <c r="TCQ248" s="4"/>
      <c r="TCR248" s="4"/>
      <c r="TCS248" s="4"/>
      <c r="TCT248" s="4"/>
      <c r="TCU248" s="4"/>
      <c r="TCV248" s="4"/>
      <c r="TCW248" s="4"/>
      <c r="TCX248" s="4"/>
      <c r="TCY248" s="4"/>
      <c r="TCZ248" s="4"/>
      <c r="TDA248" s="4"/>
      <c r="TDB248" s="4"/>
      <c r="TDC248" s="4"/>
      <c r="TDD248" s="4"/>
      <c r="TDE248" s="4"/>
      <c r="TDF248" s="4"/>
      <c r="TDG248" s="4"/>
      <c r="TDH248" s="4"/>
      <c r="TDI248" s="4"/>
      <c r="TDJ248" s="4"/>
      <c r="TDK248" s="4"/>
      <c r="TDL248" s="4"/>
      <c r="TDM248" s="4"/>
      <c r="TDN248" s="4"/>
      <c r="TDO248" s="4"/>
      <c r="TDP248" s="4"/>
      <c r="TDQ248" s="4"/>
      <c r="TDR248" s="4"/>
      <c r="TDS248" s="4"/>
      <c r="TDT248" s="4"/>
      <c r="TDU248" s="4"/>
      <c r="TDV248" s="4"/>
      <c r="TDW248" s="4"/>
      <c r="TDX248" s="4"/>
      <c r="TDY248" s="4"/>
      <c r="TDZ248" s="4"/>
      <c r="TEA248" s="4"/>
      <c r="TEB248" s="4"/>
      <c r="TEC248" s="4"/>
      <c r="TED248" s="4"/>
      <c r="TEE248" s="4"/>
      <c r="TEF248" s="4"/>
      <c r="TEG248" s="4"/>
      <c r="TEH248" s="4"/>
      <c r="TEI248" s="4"/>
      <c r="TEJ248" s="4"/>
      <c r="TEK248" s="4"/>
      <c r="TEL248" s="4"/>
      <c r="TEM248" s="4"/>
      <c r="TEN248" s="4"/>
      <c r="TEO248" s="4"/>
      <c r="TEP248" s="4"/>
      <c r="TEQ248" s="4"/>
      <c r="TER248" s="4"/>
      <c r="TES248" s="4"/>
      <c r="TET248" s="4"/>
      <c r="TEU248" s="4"/>
      <c r="TEV248" s="4"/>
      <c r="TEW248" s="4"/>
      <c r="TEX248" s="4"/>
      <c r="TEY248" s="4"/>
      <c r="TEZ248" s="4"/>
      <c r="TFA248" s="4"/>
      <c r="TFB248" s="4"/>
      <c r="TFC248" s="4"/>
      <c r="TFD248" s="4"/>
      <c r="TFE248" s="4"/>
      <c r="TFF248" s="4"/>
      <c r="TFG248" s="4"/>
      <c r="TFH248" s="4"/>
      <c r="TFI248" s="4"/>
      <c r="TFJ248" s="4"/>
      <c r="TFK248" s="4"/>
      <c r="TFL248" s="4"/>
      <c r="TFM248" s="4"/>
      <c r="TFN248" s="4"/>
      <c r="TFO248" s="4"/>
      <c r="TFP248" s="4"/>
      <c r="TFQ248" s="4"/>
      <c r="TFR248" s="4"/>
      <c r="TFS248" s="4"/>
      <c r="TFT248" s="4"/>
      <c r="TFU248" s="4"/>
      <c r="TFV248" s="4"/>
      <c r="TFW248" s="4"/>
      <c r="TFX248" s="4"/>
      <c r="TFY248" s="4"/>
      <c r="TFZ248" s="4"/>
      <c r="TGA248" s="4"/>
      <c r="TGB248" s="4"/>
      <c r="TGC248" s="4"/>
      <c r="TGD248" s="4"/>
      <c r="TGE248" s="4"/>
      <c r="TGF248" s="4"/>
      <c r="TGG248" s="4"/>
      <c r="TGH248" s="4"/>
      <c r="TGI248" s="4"/>
      <c r="TGJ248" s="4"/>
      <c r="TGK248" s="4"/>
      <c r="TGL248" s="4"/>
      <c r="TGM248" s="4"/>
      <c r="TGN248" s="4"/>
      <c r="TGO248" s="4"/>
      <c r="TGP248" s="4"/>
      <c r="TGQ248" s="4"/>
      <c r="TGR248" s="4"/>
      <c r="TGS248" s="4"/>
      <c r="TGT248" s="4"/>
      <c r="TGU248" s="4"/>
      <c r="TGV248" s="4"/>
      <c r="TGW248" s="4"/>
      <c r="TGX248" s="4"/>
      <c r="TGY248" s="4"/>
      <c r="TGZ248" s="4"/>
      <c r="THA248" s="4"/>
      <c r="THB248" s="4"/>
      <c r="THC248" s="4"/>
      <c r="THD248" s="4"/>
      <c r="THE248" s="4"/>
      <c r="THF248" s="4"/>
      <c r="THG248" s="4"/>
      <c r="THH248" s="4"/>
      <c r="THI248" s="4"/>
      <c r="THJ248" s="4"/>
      <c r="THK248" s="4"/>
      <c r="THL248" s="4"/>
      <c r="THM248" s="4"/>
      <c r="THN248" s="4"/>
      <c r="THO248" s="4"/>
      <c r="THP248" s="4"/>
      <c r="THQ248" s="4"/>
      <c r="THR248" s="4"/>
      <c r="THS248" s="4"/>
      <c r="THT248" s="4"/>
      <c r="THU248" s="4"/>
      <c r="THV248" s="4"/>
      <c r="THW248" s="4"/>
      <c r="THX248" s="4"/>
      <c r="THY248" s="4"/>
      <c r="THZ248" s="4"/>
      <c r="TIA248" s="4"/>
      <c r="TIB248" s="4"/>
      <c r="TIC248" s="4"/>
      <c r="TID248" s="4"/>
      <c r="TIE248" s="4"/>
      <c r="TIF248" s="4"/>
      <c r="TIG248" s="4"/>
      <c r="TIH248" s="4"/>
      <c r="TII248" s="4"/>
      <c r="TIJ248" s="4"/>
      <c r="TIK248" s="4"/>
      <c r="TIL248" s="4"/>
      <c r="TIM248" s="4"/>
      <c r="TIN248" s="4"/>
      <c r="TIO248" s="4"/>
      <c r="TIP248" s="4"/>
      <c r="TIQ248" s="4"/>
      <c r="TIR248" s="4"/>
      <c r="TIS248" s="4"/>
      <c r="TIT248" s="4"/>
      <c r="TIU248" s="4"/>
      <c r="TIV248" s="4"/>
      <c r="TIW248" s="4"/>
      <c r="TIX248" s="4"/>
      <c r="TIY248" s="4"/>
      <c r="TIZ248" s="4"/>
      <c r="TJA248" s="4"/>
      <c r="TJB248" s="4"/>
      <c r="TJC248" s="4"/>
      <c r="TJD248" s="4"/>
      <c r="TJE248" s="4"/>
      <c r="TJF248" s="4"/>
      <c r="TJG248" s="4"/>
      <c r="TJH248" s="4"/>
      <c r="TJI248" s="4"/>
      <c r="TJJ248" s="4"/>
      <c r="TJK248" s="4"/>
      <c r="TJL248" s="4"/>
      <c r="TJM248" s="4"/>
      <c r="TJN248" s="4"/>
      <c r="TJO248" s="4"/>
      <c r="TJP248" s="4"/>
      <c r="TJQ248" s="4"/>
      <c r="TJR248" s="4"/>
      <c r="TJS248" s="4"/>
      <c r="TJT248" s="4"/>
      <c r="TJU248" s="4"/>
      <c r="TJV248" s="4"/>
      <c r="TJW248" s="4"/>
      <c r="TJX248" s="4"/>
      <c r="TJY248" s="4"/>
      <c r="TJZ248" s="4"/>
      <c r="TKA248" s="4"/>
      <c r="TKB248" s="4"/>
      <c r="TKC248" s="4"/>
      <c r="TKD248" s="4"/>
      <c r="TKE248" s="4"/>
      <c r="TKF248" s="4"/>
      <c r="TKG248" s="4"/>
      <c r="TKH248" s="4"/>
      <c r="TKI248" s="4"/>
      <c r="TKJ248" s="4"/>
      <c r="TKK248" s="4"/>
      <c r="TKL248" s="4"/>
      <c r="TKM248" s="4"/>
      <c r="TKN248" s="4"/>
      <c r="TKO248" s="4"/>
      <c r="TKP248" s="4"/>
      <c r="TKQ248" s="4"/>
      <c r="TKR248" s="4"/>
      <c r="TKS248" s="4"/>
      <c r="TKT248" s="4"/>
      <c r="TKU248" s="4"/>
      <c r="TKV248" s="4"/>
      <c r="TKW248" s="4"/>
      <c r="TKX248" s="4"/>
      <c r="TKY248" s="4"/>
      <c r="TKZ248" s="4"/>
      <c r="TLA248" s="4"/>
      <c r="TLB248" s="4"/>
      <c r="TLC248" s="4"/>
      <c r="TLD248" s="4"/>
      <c r="TLE248" s="4"/>
      <c r="TLF248" s="4"/>
      <c r="TLG248" s="4"/>
      <c r="TLH248" s="4"/>
      <c r="TLI248" s="4"/>
      <c r="TLJ248" s="4"/>
      <c r="TLK248" s="4"/>
      <c r="TLL248" s="4"/>
      <c r="TLM248" s="4"/>
      <c r="TLN248" s="4"/>
      <c r="TLO248" s="4"/>
      <c r="TLP248" s="4"/>
      <c r="TLQ248" s="4"/>
      <c r="TLR248" s="4"/>
      <c r="TLS248" s="4"/>
      <c r="TLT248" s="4"/>
      <c r="TLU248" s="4"/>
      <c r="TLV248" s="4"/>
      <c r="TLW248" s="4"/>
      <c r="TLX248" s="4"/>
      <c r="TLY248" s="4"/>
      <c r="TLZ248" s="4"/>
      <c r="TMA248" s="4"/>
      <c r="TMB248" s="4"/>
      <c r="TMC248" s="4"/>
      <c r="TMD248" s="4"/>
      <c r="TME248" s="4"/>
      <c r="TMF248" s="4"/>
      <c r="TMG248" s="4"/>
      <c r="TMH248" s="4"/>
      <c r="TMI248" s="4"/>
      <c r="TMJ248" s="4"/>
      <c r="TMK248" s="4"/>
      <c r="TML248" s="4"/>
      <c r="TMM248" s="4"/>
      <c r="TMN248" s="4"/>
      <c r="TMO248" s="4"/>
      <c r="TMP248" s="4"/>
      <c r="TMQ248" s="4"/>
      <c r="TMR248" s="4"/>
      <c r="TMS248" s="4"/>
      <c r="TMT248" s="4"/>
      <c r="TMU248" s="4"/>
      <c r="TMV248" s="4"/>
      <c r="TMW248" s="4"/>
      <c r="TMX248" s="4"/>
      <c r="TMY248" s="4"/>
      <c r="TMZ248" s="4"/>
      <c r="TNA248" s="4"/>
      <c r="TNB248" s="4"/>
      <c r="TNC248" s="4"/>
      <c r="TND248" s="4"/>
      <c r="TNE248" s="4"/>
      <c r="TNF248" s="4"/>
      <c r="TNG248" s="4"/>
      <c r="TNH248" s="4"/>
      <c r="TNI248" s="4"/>
      <c r="TNJ248" s="4"/>
      <c r="TNK248" s="4"/>
      <c r="TNL248" s="4"/>
      <c r="TNM248" s="4"/>
      <c r="TNN248" s="4"/>
      <c r="TNO248" s="4"/>
      <c r="TNP248" s="4"/>
      <c r="TNQ248" s="4"/>
      <c r="TNR248" s="4"/>
      <c r="TNS248" s="4"/>
      <c r="TNT248" s="4"/>
      <c r="TNU248" s="4"/>
      <c r="TNV248" s="4"/>
      <c r="TNW248" s="4"/>
      <c r="TNX248" s="4"/>
      <c r="TNY248" s="4"/>
      <c r="TNZ248" s="4"/>
      <c r="TOA248" s="4"/>
      <c r="TOB248" s="4"/>
      <c r="TOC248" s="4"/>
      <c r="TOD248" s="4"/>
      <c r="TOE248" s="4"/>
      <c r="TOF248" s="4"/>
      <c r="TOG248" s="4"/>
      <c r="TOH248" s="4"/>
      <c r="TOI248" s="4"/>
      <c r="TOJ248" s="4"/>
      <c r="TOK248" s="4"/>
      <c r="TOL248" s="4"/>
      <c r="TOM248" s="4"/>
      <c r="TON248" s="4"/>
      <c r="TOO248" s="4"/>
      <c r="TOP248" s="4"/>
      <c r="TOQ248" s="4"/>
      <c r="TOR248" s="4"/>
      <c r="TOS248" s="4"/>
      <c r="TOT248" s="4"/>
      <c r="TOU248" s="4"/>
      <c r="TOV248" s="4"/>
      <c r="TOW248" s="4"/>
      <c r="TOX248" s="4"/>
      <c r="TOY248" s="4"/>
      <c r="TOZ248" s="4"/>
      <c r="TPA248" s="4"/>
      <c r="TPB248" s="4"/>
      <c r="TPC248" s="4"/>
      <c r="TPD248" s="4"/>
      <c r="TPE248" s="4"/>
      <c r="TPF248" s="4"/>
      <c r="TPG248" s="4"/>
      <c r="TPH248" s="4"/>
      <c r="TPI248" s="4"/>
      <c r="TPJ248" s="4"/>
      <c r="TPK248" s="4"/>
      <c r="TPL248" s="4"/>
      <c r="TPM248" s="4"/>
      <c r="TPN248" s="4"/>
      <c r="TPO248" s="4"/>
      <c r="TPP248" s="4"/>
      <c r="TPQ248" s="4"/>
      <c r="TPR248" s="4"/>
      <c r="TPS248" s="4"/>
      <c r="TPT248" s="4"/>
      <c r="TPU248" s="4"/>
      <c r="TPV248" s="4"/>
      <c r="TPW248" s="4"/>
      <c r="TPX248" s="4"/>
      <c r="TPY248" s="4"/>
      <c r="TPZ248" s="4"/>
      <c r="TQA248" s="4"/>
      <c r="TQB248" s="4"/>
      <c r="TQC248" s="4"/>
      <c r="TQD248" s="4"/>
      <c r="TQE248" s="4"/>
      <c r="TQF248" s="4"/>
      <c r="TQG248" s="4"/>
      <c r="TQH248" s="4"/>
      <c r="TQI248" s="4"/>
      <c r="TQJ248" s="4"/>
      <c r="TQK248" s="4"/>
      <c r="TQL248" s="4"/>
      <c r="TQM248" s="4"/>
      <c r="TQN248" s="4"/>
      <c r="TQO248" s="4"/>
      <c r="TQP248" s="4"/>
      <c r="TQQ248" s="4"/>
      <c r="TQR248" s="4"/>
      <c r="TQS248" s="4"/>
      <c r="TQT248" s="4"/>
      <c r="TQU248" s="4"/>
      <c r="TQV248" s="4"/>
      <c r="TQW248" s="4"/>
      <c r="TQX248" s="4"/>
      <c r="TQY248" s="4"/>
      <c r="TQZ248" s="4"/>
      <c r="TRA248" s="4"/>
      <c r="TRB248" s="4"/>
      <c r="TRC248" s="4"/>
      <c r="TRD248" s="4"/>
      <c r="TRE248" s="4"/>
      <c r="TRF248" s="4"/>
      <c r="TRG248" s="4"/>
      <c r="TRH248" s="4"/>
      <c r="TRI248" s="4"/>
      <c r="TRJ248" s="4"/>
      <c r="TRK248" s="4"/>
      <c r="TRL248" s="4"/>
      <c r="TRM248" s="4"/>
      <c r="TRN248" s="4"/>
      <c r="TRO248" s="4"/>
      <c r="TRP248" s="4"/>
      <c r="TRQ248" s="4"/>
      <c r="TRR248" s="4"/>
      <c r="TRS248" s="4"/>
      <c r="TRT248" s="4"/>
      <c r="TRU248" s="4"/>
      <c r="TRV248" s="4"/>
      <c r="TRW248" s="4"/>
      <c r="TRX248" s="4"/>
      <c r="TRY248" s="4"/>
      <c r="TRZ248" s="4"/>
      <c r="TSA248" s="4"/>
      <c r="TSB248" s="4"/>
      <c r="TSC248" s="4"/>
      <c r="TSD248" s="4"/>
      <c r="TSE248" s="4"/>
      <c r="TSF248" s="4"/>
      <c r="TSG248" s="4"/>
      <c r="TSH248" s="4"/>
      <c r="TSI248" s="4"/>
      <c r="TSJ248" s="4"/>
      <c r="TSK248" s="4"/>
      <c r="TSL248" s="4"/>
      <c r="TSM248" s="4"/>
      <c r="TSN248" s="4"/>
      <c r="TSO248" s="4"/>
      <c r="TSP248" s="4"/>
      <c r="TSQ248" s="4"/>
      <c r="TSR248" s="4"/>
      <c r="TSS248" s="4"/>
      <c r="TST248" s="4"/>
      <c r="TSU248" s="4"/>
      <c r="TSV248" s="4"/>
      <c r="TSW248" s="4"/>
      <c r="TSX248" s="4"/>
      <c r="TSY248" s="4"/>
      <c r="TSZ248" s="4"/>
      <c r="TTA248" s="4"/>
      <c r="TTB248" s="4"/>
      <c r="TTC248" s="4"/>
      <c r="TTD248" s="4"/>
      <c r="TTE248" s="4"/>
      <c r="TTF248" s="4"/>
      <c r="TTG248" s="4"/>
      <c r="TTH248" s="4"/>
      <c r="TTI248" s="4"/>
      <c r="TTJ248" s="4"/>
      <c r="TTK248" s="4"/>
      <c r="TTL248" s="4"/>
      <c r="TTM248" s="4"/>
      <c r="TTN248" s="4"/>
      <c r="TTO248" s="4"/>
      <c r="TTP248" s="4"/>
      <c r="TTQ248" s="4"/>
      <c r="TTR248" s="4"/>
      <c r="TTS248" s="4"/>
      <c r="TTT248" s="4"/>
      <c r="TTU248" s="4"/>
      <c r="TTV248" s="4"/>
      <c r="TTW248" s="4"/>
      <c r="TTX248" s="4"/>
      <c r="TTY248" s="4"/>
      <c r="TTZ248" s="4"/>
      <c r="TUA248" s="4"/>
      <c r="TUB248" s="4"/>
      <c r="TUC248" s="4"/>
      <c r="TUD248" s="4"/>
      <c r="TUE248" s="4"/>
      <c r="TUF248" s="4"/>
      <c r="TUG248" s="4"/>
      <c r="TUH248" s="4"/>
      <c r="TUI248" s="4"/>
      <c r="TUJ248" s="4"/>
      <c r="TUK248" s="4"/>
      <c r="TUL248" s="4"/>
      <c r="TUM248" s="4"/>
      <c r="TUN248" s="4"/>
      <c r="TUO248" s="4"/>
      <c r="TUP248" s="4"/>
      <c r="TUQ248" s="4"/>
      <c r="TUR248" s="4"/>
      <c r="TUS248" s="4"/>
      <c r="TUT248" s="4"/>
      <c r="TUU248" s="4"/>
      <c r="TUV248" s="4"/>
      <c r="TUW248" s="4"/>
      <c r="TUX248" s="4"/>
      <c r="TUY248" s="4"/>
      <c r="TUZ248" s="4"/>
      <c r="TVA248" s="4"/>
      <c r="TVB248" s="4"/>
      <c r="TVC248" s="4"/>
      <c r="TVD248" s="4"/>
      <c r="TVE248" s="4"/>
      <c r="TVF248" s="4"/>
      <c r="TVG248" s="4"/>
      <c r="TVH248" s="4"/>
      <c r="TVI248" s="4"/>
      <c r="TVJ248" s="4"/>
      <c r="TVK248" s="4"/>
      <c r="TVL248" s="4"/>
      <c r="TVM248" s="4"/>
      <c r="TVN248" s="4"/>
      <c r="TVO248" s="4"/>
      <c r="TVP248" s="4"/>
      <c r="TVQ248" s="4"/>
      <c r="TVR248" s="4"/>
      <c r="TVS248" s="4"/>
      <c r="TVT248" s="4"/>
      <c r="TVU248" s="4"/>
      <c r="TVV248" s="4"/>
      <c r="TVW248" s="4"/>
      <c r="TVX248" s="4"/>
      <c r="TVY248" s="4"/>
      <c r="TVZ248" s="4"/>
      <c r="TWA248" s="4"/>
      <c r="TWB248" s="4"/>
      <c r="TWC248" s="4"/>
      <c r="TWD248" s="4"/>
      <c r="TWE248" s="4"/>
      <c r="TWF248" s="4"/>
      <c r="TWG248" s="4"/>
      <c r="TWH248" s="4"/>
      <c r="TWI248" s="4"/>
      <c r="TWJ248" s="4"/>
      <c r="TWK248" s="4"/>
      <c r="TWL248" s="4"/>
      <c r="TWM248" s="4"/>
      <c r="TWN248" s="4"/>
      <c r="TWO248" s="4"/>
      <c r="TWP248" s="4"/>
      <c r="TWQ248" s="4"/>
      <c r="TWR248" s="4"/>
      <c r="TWS248" s="4"/>
      <c r="TWT248" s="4"/>
      <c r="TWU248" s="4"/>
      <c r="TWV248" s="4"/>
      <c r="TWW248" s="4"/>
      <c r="TWX248" s="4"/>
      <c r="TWY248" s="4"/>
      <c r="TWZ248" s="4"/>
      <c r="TXA248" s="4"/>
      <c r="TXB248" s="4"/>
      <c r="TXC248" s="4"/>
      <c r="TXD248" s="4"/>
      <c r="TXE248" s="4"/>
      <c r="TXF248" s="4"/>
      <c r="TXG248" s="4"/>
      <c r="TXH248" s="4"/>
      <c r="TXI248" s="4"/>
      <c r="TXJ248" s="4"/>
      <c r="TXK248" s="4"/>
      <c r="TXL248" s="4"/>
      <c r="TXM248" s="4"/>
      <c r="TXN248" s="4"/>
      <c r="TXO248" s="4"/>
      <c r="TXP248" s="4"/>
      <c r="TXQ248" s="4"/>
      <c r="TXR248" s="4"/>
      <c r="TXS248" s="4"/>
      <c r="TXT248" s="4"/>
      <c r="TXU248" s="4"/>
      <c r="TXV248" s="4"/>
      <c r="TXW248" s="4"/>
      <c r="TXX248" s="4"/>
      <c r="TXY248" s="4"/>
      <c r="TXZ248" s="4"/>
      <c r="TYA248" s="4"/>
      <c r="TYB248" s="4"/>
      <c r="TYC248" s="4"/>
      <c r="TYD248" s="4"/>
      <c r="TYE248" s="4"/>
      <c r="TYF248" s="4"/>
      <c r="TYG248" s="4"/>
      <c r="TYH248" s="4"/>
      <c r="TYI248" s="4"/>
      <c r="TYJ248" s="4"/>
      <c r="TYK248" s="4"/>
      <c r="TYL248" s="4"/>
      <c r="TYM248" s="4"/>
      <c r="TYN248" s="4"/>
      <c r="TYO248" s="4"/>
      <c r="TYP248" s="4"/>
      <c r="TYQ248" s="4"/>
      <c r="TYR248" s="4"/>
      <c r="TYS248" s="4"/>
      <c r="TYT248" s="4"/>
      <c r="TYU248" s="4"/>
      <c r="TYV248" s="4"/>
      <c r="TYW248" s="4"/>
      <c r="TYX248" s="4"/>
      <c r="TYY248" s="4"/>
      <c r="TYZ248" s="4"/>
      <c r="TZA248" s="4"/>
      <c r="TZB248" s="4"/>
      <c r="TZC248" s="4"/>
      <c r="TZD248" s="4"/>
      <c r="TZE248" s="4"/>
      <c r="TZF248" s="4"/>
      <c r="TZG248" s="4"/>
      <c r="TZH248" s="4"/>
      <c r="TZI248" s="4"/>
      <c r="TZJ248" s="4"/>
      <c r="TZK248" s="4"/>
      <c r="TZL248" s="4"/>
      <c r="TZM248" s="4"/>
      <c r="TZN248" s="4"/>
      <c r="TZO248" s="4"/>
      <c r="TZP248" s="4"/>
      <c r="TZQ248" s="4"/>
      <c r="TZR248" s="4"/>
      <c r="TZS248" s="4"/>
      <c r="TZT248" s="4"/>
      <c r="TZU248" s="4"/>
      <c r="TZV248" s="4"/>
      <c r="TZW248" s="4"/>
      <c r="TZX248" s="4"/>
      <c r="TZY248" s="4"/>
      <c r="TZZ248" s="4"/>
      <c r="UAA248" s="4"/>
      <c r="UAB248" s="4"/>
      <c r="UAC248" s="4"/>
      <c r="UAD248" s="4"/>
      <c r="UAE248" s="4"/>
      <c r="UAF248" s="4"/>
      <c r="UAG248" s="4"/>
      <c r="UAH248" s="4"/>
      <c r="UAI248" s="4"/>
      <c r="UAJ248" s="4"/>
      <c r="UAK248" s="4"/>
      <c r="UAL248" s="4"/>
      <c r="UAM248" s="4"/>
      <c r="UAN248" s="4"/>
      <c r="UAO248" s="4"/>
      <c r="UAP248" s="4"/>
      <c r="UAQ248" s="4"/>
      <c r="UAR248" s="4"/>
      <c r="UAS248" s="4"/>
      <c r="UAT248" s="4"/>
      <c r="UAU248" s="4"/>
      <c r="UAV248" s="4"/>
      <c r="UAW248" s="4"/>
      <c r="UAX248" s="4"/>
      <c r="UAY248" s="4"/>
      <c r="UAZ248" s="4"/>
      <c r="UBA248" s="4"/>
      <c r="UBB248" s="4"/>
      <c r="UBC248" s="4"/>
      <c r="UBD248" s="4"/>
      <c r="UBE248" s="4"/>
      <c r="UBF248" s="4"/>
      <c r="UBG248" s="4"/>
      <c r="UBH248" s="4"/>
      <c r="UBI248" s="4"/>
      <c r="UBJ248" s="4"/>
      <c r="UBK248" s="4"/>
      <c r="UBL248" s="4"/>
      <c r="UBM248" s="4"/>
      <c r="UBN248" s="4"/>
      <c r="UBO248" s="4"/>
      <c r="UBP248" s="4"/>
      <c r="UBQ248" s="4"/>
      <c r="UBR248" s="4"/>
      <c r="UBS248" s="4"/>
      <c r="UBT248" s="4"/>
      <c r="UBU248" s="4"/>
      <c r="UBV248" s="4"/>
      <c r="UBW248" s="4"/>
      <c r="UBX248" s="4"/>
      <c r="UBY248" s="4"/>
      <c r="UBZ248" s="4"/>
      <c r="UCA248" s="4"/>
      <c r="UCB248" s="4"/>
      <c r="UCC248" s="4"/>
      <c r="UCD248" s="4"/>
      <c r="UCE248" s="4"/>
      <c r="UCF248" s="4"/>
      <c r="UCG248" s="4"/>
      <c r="UCH248" s="4"/>
      <c r="UCI248" s="4"/>
      <c r="UCJ248" s="4"/>
      <c r="UCK248" s="4"/>
      <c r="UCL248" s="4"/>
      <c r="UCM248" s="4"/>
      <c r="UCN248" s="4"/>
      <c r="UCO248" s="4"/>
      <c r="UCP248" s="4"/>
      <c r="UCQ248" s="4"/>
      <c r="UCR248" s="4"/>
      <c r="UCS248" s="4"/>
      <c r="UCT248" s="4"/>
      <c r="UCU248" s="4"/>
      <c r="UCV248" s="4"/>
      <c r="UCW248" s="4"/>
      <c r="UCX248" s="4"/>
      <c r="UCY248" s="4"/>
      <c r="UCZ248" s="4"/>
      <c r="UDA248" s="4"/>
      <c r="UDB248" s="4"/>
      <c r="UDC248" s="4"/>
      <c r="UDD248" s="4"/>
      <c r="UDE248" s="4"/>
      <c r="UDF248" s="4"/>
      <c r="UDG248" s="4"/>
      <c r="UDH248" s="4"/>
      <c r="UDI248" s="4"/>
      <c r="UDJ248" s="4"/>
      <c r="UDK248" s="4"/>
      <c r="UDL248" s="4"/>
      <c r="UDM248" s="4"/>
      <c r="UDN248" s="4"/>
      <c r="UDO248" s="4"/>
      <c r="UDP248" s="4"/>
      <c r="UDQ248" s="4"/>
      <c r="UDR248" s="4"/>
      <c r="UDS248" s="4"/>
      <c r="UDT248" s="4"/>
      <c r="UDU248" s="4"/>
      <c r="UDV248" s="4"/>
      <c r="UDW248" s="4"/>
      <c r="UDX248" s="4"/>
      <c r="UDY248" s="4"/>
      <c r="UDZ248" s="4"/>
      <c r="UEA248" s="4"/>
      <c r="UEB248" s="4"/>
      <c r="UEC248" s="4"/>
      <c r="UED248" s="4"/>
      <c r="UEE248" s="4"/>
      <c r="UEF248" s="4"/>
      <c r="UEG248" s="4"/>
      <c r="UEH248" s="4"/>
      <c r="UEI248" s="4"/>
      <c r="UEJ248" s="4"/>
      <c r="UEK248" s="4"/>
      <c r="UEL248" s="4"/>
      <c r="UEM248" s="4"/>
      <c r="UEN248" s="4"/>
      <c r="UEO248" s="4"/>
      <c r="UEP248" s="4"/>
      <c r="UEQ248" s="4"/>
      <c r="UER248" s="4"/>
      <c r="UES248" s="4"/>
      <c r="UET248" s="4"/>
      <c r="UEU248" s="4"/>
      <c r="UEV248" s="4"/>
      <c r="UEW248" s="4"/>
      <c r="UEX248" s="4"/>
      <c r="UEY248" s="4"/>
      <c r="UEZ248" s="4"/>
      <c r="UFA248" s="4"/>
      <c r="UFB248" s="4"/>
      <c r="UFC248" s="4"/>
      <c r="UFD248" s="4"/>
      <c r="UFE248" s="4"/>
      <c r="UFF248" s="4"/>
      <c r="UFG248" s="4"/>
      <c r="UFH248" s="4"/>
      <c r="UFI248" s="4"/>
      <c r="UFJ248" s="4"/>
      <c r="UFK248" s="4"/>
      <c r="UFL248" s="4"/>
      <c r="UFM248" s="4"/>
      <c r="UFN248" s="4"/>
      <c r="UFO248" s="4"/>
      <c r="UFP248" s="4"/>
      <c r="UFQ248" s="4"/>
      <c r="UFR248" s="4"/>
      <c r="UFS248" s="4"/>
      <c r="UFT248" s="4"/>
      <c r="UFU248" s="4"/>
      <c r="UFV248" s="4"/>
      <c r="UFW248" s="4"/>
      <c r="UFX248" s="4"/>
      <c r="UFY248" s="4"/>
      <c r="UFZ248" s="4"/>
      <c r="UGA248" s="4"/>
      <c r="UGB248" s="4"/>
      <c r="UGC248" s="4"/>
      <c r="UGD248" s="4"/>
      <c r="UGE248" s="4"/>
      <c r="UGF248" s="4"/>
      <c r="UGG248" s="4"/>
      <c r="UGH248" s="4"/>
      <c r="UGI248" s="4"/>
      <c r="UGJ248" s="4"/>
      <c r="UGK248" s="4"/>
      <c r="UGL248" s="4"/>
      <c r="UGM248" s="4"/>
      <c r="UGN248" s="4"/>
      <c r="UGO248" s="4"/>
      <c r="UGP248" s="4"/>
      <c r="UGQ248" s="4"/>
      <c r="UGR248" s="4"/>
      <c r="UGS248" s="4"/>
      <c r="UGT248" s="4"/>
      <c r="UGU248" s="4"/>
      <c r="UGV248" s="4"/>
      <c r="UGW248" s="4"/>
      <c r="UGX248" s="4"/>
      <c r="UGY248" s="4"/>
      <c r="UGZ248" s="4"/>
      <c r="UHA248" s="4"/>
      <c r="UHB248" s="4"/>
      <c r="UHC248" s="4"/>
      <c r="UHD248" s="4"/>
      <c r="UHE248" s="4"/>
      <c r="UHF248" s="4"/>
      <c r="UHG248" s="4"/>
      <c r="UHH248" s="4"/>
      <c r="UHI248" s="4"/>
      <c r="UHJ248" s="4"/>
      <c r="UHK248" s="4"/>
      <c r="UHL248" s="4"/>
      <c r="UHM248" s="4"/>
      <c r="UHN248" s="4"/>
      <c r="UHO248" s="4"/>
      <c r="UHP248" s="4"/>
      <c r="UHQ248" s="4"/>
      <c r="UHR248" s="4"/>
      <c r="UHS248" s="4"/>
      <c r="UHT248" s="4"/>
      <c r="UHU248" s="4"/>
      <c r="UHV248" s="4"/>
      <c r="UHW248" s="4"/>
      <c r="UHX248" s="4"/>
      <c r="UHY248" s="4"/>
      <c r="UHZ248" s="4"/>
      <c r="UIA248" s="4"/>
      <c r="UIB248" s="4"/>
      <c r="UIC248" s="4"/>
      <c r="UID248" s="4"/>
      <c r="UIE248" s="4"/>
      <c r="UIF248" s="4"/>
      <c r="UIG248" s="4"/>
      <c r="UIH248" s="4"/>
      <c r="UII248" s="4"/>
      <c r="UIJ248" s="4"/>
      <c r="UIK248" s="4"/>
      <c r="UIL248" s="4"/>
      <c r="UIM248" s="4"/>
      <c r="UIN248" s="4"/>
      <c r="UIO248" s="4"/>
      <c r="UIP248" s="4"/>
      <c r="UIQ248" s="4"/>
      <c r="UIR248" s="4"/>
      <c r="UIS248" s="4"/>
      <c r="UIT248" s="4"/>
      <c r="UIU248" s="4"/>
      <c r="UIV248" s="4"/>
      <c r="UIW248" s="4"/>
      <c r="UIX248" s="4"/>
      <c r="UIY248" s="4"/>
      <c r="UIZ248" s="4"/>
      <c r="UJA248" s="4"/>
      <c r="UJB248" s="4"/>
      <c r="UJC248" s="4"/>
      <c r="UJD248" s="4"/>
      <c r="UJE248" s="4"/>
      <c r="UJF248" s="4"/>
      <c r="UJG248" s="4"/>
      <c r="UJH248" s="4"/>
      <c r="UJI248" s="4"/>
      <c r="UJJ248" s="4"/>
      <c r="UJK248" s="4"/>
      <c r="UJL248" s="4"/>
      <c r="UJM248" s="4"/>
      <c r="UJN248" s="4"/>
      <c r="UJO248" s="4"/>
      <c r="UJP248" s="4"/>
      <c r="UJQ248" s="4"/>
      <c r="UJR248" s="4"/>
      <c r="UJS248" s="4"/>
      <c r="UJT248" s="4"/>
      <c r="UJU248" s="4"/>
      <c r="UJV248" s="4"/>
      <c r="UJW248" s="4"/>
      <c r="UJX248" s="4"/>
      <c r="UJY248" s="4"/>
      <c r="UJZ248" s="4"/>
      <c r="UKA248" s="4"/>
      <c r="UKB248" s="4"/>
      <c r="UKC248" s="4"/>
      <c r="UKD248" s="4"/>
      <c r="UKE248" s="4"/>
      <c r="UKF248" s="4"/>
      <c r="UKG248" s="4"/>
      <c r="UKH248" s="4"/>
      <c r="UKI248" s="4"/>
      <c r="UKJ248" s="4"/>
      <c r="UKK248" s="4"/>
      <c r="UKL248" s="4"/>
      <c r="UKM248" s="4"/>
      <c r="UKN248" s="4"/>
      <c r="UKO248" s="4"/>
      <c r="UKP248" s="4"/>
      <c r="UKQ248" s="4"/>
      <c r="UKR248" s="4"/>
      <c r="UKS248" s="4"/>
      <c r="UKT248" s="4"/>
      <c r="UKU248" s="4"/>
      <c r="UKV248" s="4"/>
      <c r="UKW248" s="4"/>
      <c r="UKX248" s="4"/>
      <c r="UKY248" s="4"/>
      <c r="UKZ248" s="4"/>
      <c r="ULA248" s="4"/>
      <c r="ULB248" s="4"/>
      <c r="ULC248" s="4"/>
      <c r="ULD248" s="4"/>
      <c r="ULE248" s="4"/>
      <c r="ULF248" s="4"/>
      <c r="ULG248" s="4"/>
      <c r="ULH248" s="4"/>
      <c r="ULI248" s="4"/>
      <c r="ULJ248" s="4"/>
      <c r="ULK248" s="4"/>
      <c r="ULL248" s="4"/>
      <c r="ULM248" s="4"/>
      <c r="ULN248" s="4"/>
      <c r="ULO248" s="4"/>
      <c r="ULP248" s="4"/>
      <c r="ULQ248" s="4"/>
      <c r="ULR248" s="4"/>
      <c r="ULS248" s="4"/>
      <c r="ULT248" s="4"/>
      <c r="ULU248" s="4"/>
      <c r="ULV248" s="4"/>
      <c r="ULW248" s="4"/>
      <c r="ULX248" s="4"/>
      <c r="ULY248" s="4"/>
      <c r="ULZ248" s="4"/>
      <c r="UMA248" s="4"/>
      <c r="UMB248" s="4"/>
      <c r="UMC248" s="4"/>
      <c r="UMD248" s="4"/>
      <c r="UME248" s="4"/>
      <c r="UMF248" s="4"/>
      <c r="UMG248" s="4"/>
      <c r="UMH248" s="4"/>
      <c r="UMI248" s="4"/>
      <c r="UMJ248" s="4"/>
      <c r="UMK248" s="4"/>
      <c r="UML248" s="4"/>
      <c r="UMM248" s="4"/>
      <c r="UMN248" s="4"/>
      <c r="UMO248" s="4"/>
      <c r="UMP248" s="4"/>
      <c r="UMQ248" s="4"/>
      <c r="UMR248" s="4"/>
      <c r="UMS248" s="4"/>
      <c r="UMT248" s="4"/>
      <c r="UMU248" s="4"/>
      <c r="UMV248" s="4"/>
      <c r="UMW248" s="4"/>
      <c r="UMX248" s="4"/>
      <c r="UMY248" s="4"/>
      <c r="UMZ248" s="4"/>
      <c r="UNA248" s="4"/>
      <c r="UNB248" s="4"/>
      <c r="UNC248" s="4"/>
      <c r="UND248" s="4"/>
      <c r="UNE248" s="4"/>
      <c r="UNF248" s="4"/>
      <c r="UNG248" s="4"/>
      <c r="UNH248" s="4"/>
      <c r="UNI248" s="4"/>
      <c r="UNJ248" s="4"/>
      <c r="UNK248" s="4"/>
      <c r="UNL248" s="4"/>
      <c r="UNM248" s="4"/>
      <c r="UNN248" s="4"/>
      <c r="UNO248" s="4"/>
      <c r="UNP248" s="4"/>
      <c r="UNQ248" s="4"/>
      <c r="UNR248" s="4"/>
      <c r="UNS248" s="4"/>
      <c r="UNT248" s="4"/>
      <c r="UNU248" s="4"/>
      <c r="UNV248" s="4"/>
      <c r="UNW248" s="4"/>
      <c r="UNX248" s="4"/>
      <c r="UNY248" s="4"/>
      <c r="UNZ248" s="4"/>
      <c r="UOA248" s="4"/>
      <c r="UOB248" s="4"/>
      <c r="UOC248" s="4"/>
      <c r="UOD248" s="4"/>
      <c r="UOE248" s="4"/>
      <c r="UOF248" s="4"/>
      <c r="UOG248" s="4"/>
      <c r="UOH248" s="4"/>
      <c r="UOI248" s="4"/>
      <c r="UOJ248" s="4"/>
      <c r="UOK248" s="4"/>
      <c r="UOL248" s="4"/>
      <c r="UOM248" s="4"/>
      <c r="UON248" s="4"/>
      <c r="UOO248" s="4"/>
      <c r="UOP248" s="4"/>
      <c r="UOQ248" s="4"/>
      <c r="UOR248" s="4"/>
      <c r="UOS248" s="4"/>
      <c r="UOT248" s="4"/>
      <c r="UOU248" s="4"/>
      <c r="UOV248" s="4"/>
      <c r="UOW248" s="4"/>
      <c r="UOX248" s="4"/>
      <c r="UOY248" s="4"/>
      <c r="UOZ248" s="4"/>
      <c r="UPA248" s="4"/>
      <c r="UPB248" s="4"/>
      <c r="UPC248" s="4"/>
      <c r="UPD248" s="4"/>
      <c r="UPE248" s="4"/>
      <c r="UPF248" s="4"/>
      <c r="UPG248" s="4"/>
      <c r="UPH248" s="4"/>
      <c r="UPI248" s="4"/>
      <c r="UPJ248" s="4"/>
      <c r="UPK248" s="4"/>
      <c r="UPL248" s="4"/>
      <c r="UPM248" s="4"/>
      <c r="UPN248" s="4"/>
      <c r="UPO248" s="4"/>
      <c r="UPP248" s="4"/>
      <c r="UPQ248" s="4"/>
      <c r="UPR248" s="4"/>
      <c r="UPS248" s="4"/>
      <c r="UPT248" s="4"/>
      <c r="UPU248" s="4"/>
      <c r="UPV248" s="4"/>
      <c r="UPW248" s="4"/>
      <c r="UPX248" s="4"/>
      <c r="UPY248" s="4"/>
      <c r="UPZ248" s="4"/>
      <c r="UQA248" s="4"/>
      <c r="UQB248" s="4"/>
      <c r="UQC248" s="4"/>
      <c r="UQD248" s="4"/>
      <c r="UQE248" s="4"/>
      <c r="UQF248" s="4"/>
      <c r="UQG248" s="4"/>
      <c r="UQH248" s="4"/>
      <c r="UQI248" s="4"/>
      <c r="UQJ248" s="4"/>
      <c r="UQK248" s="4"/>
      <c r="UQL248" s="4"/>
      <c r="UQM248" s="4"/>
      <c r="UQN248" s="4"/>
      <c r="UQO248" s="4"/>
      <c r="UQP248" s="4"/>
      <c r="UQQ248" s="4"/>
      <c r="UQR248" s="4"/>
      <c r="UQS248" s="4"/>
      <c r="UQT248" s="4"/>
      <c r="UQU248" s="4"/>
      <c r="UQV248" s="4"/>
      <c r="UQW248" s="4"/>
      <c r="UQX248" s="4"/>
      <c r="UQY248" s="4"/>
      <c r="UQZ248" s="4"/>
      <c r="URA248" s="4"/>
      <c r="URB248" s="4"/>
      <c r="URC248" s="4"/>
      <c r="URD248" s="4"/>
      <c r="URE248" s="4"/>
      <c r="URF248" s="4"/>
      <c r="URG248" s="4"/>
      <c r="URH248" s="4"/>
      <c r="URI248" s="4"/>
      <c r="URJ248" s="4"/>
      <c r="URK248" s="4"/>
      <c r="URL248" s="4"/>
      <c r="URM248" s="4"/>
      <c r="URN248" s="4"/>
      <c r="URO248" s="4"/>
      <c r="URP248" s="4"/>
      <c r="URQ248" s="4"/>
      <c r="URR248" s="4"/>
      <c r="URS248" s="4"/>
      <c r="URT248" s="4"/>
      <c r="URU248" s="4"/>
      <c r="URV248" s="4"/>
      <c r="URW248" s="4"/>
      <c r="URX248" s="4"/>
      <c r="URY248" s="4"/>
      <c r="URZ248" s="4"/>
      <c r="USA248" s="4"/>
      <c r="USB248" s="4"/>
      <c r="USC248" s="4"/>
      <c r="USD248" s="4"/>
      <c r="USE248" s="4"/>
      <c r="USF248" s="4"/>
      <c r="USG248" s="4"/>
      <c r="USH248" s="4"/>
      <c r="USI248" s="4"/>
      <c r="USJ248" s="4"/>
      <c r="USK248" s="4"/>
      <c r="USL248" s="4"/>
      <c r="USM248" s="4"/>
      <c r="USN248" s="4"/>
      <c r="USO248" s="4"/>
      <c r="USP248" s="4"/>
      <c r="USQ248" s="4"/>
      <c r="USR248" s="4"/>
      <c r="USS248" s="4"/>
      <c r="UST248" s="4"/>
      <c r="USU248" s="4"/>
      <c r="USV248" s="4"/>
      <c r="USW248" s="4"/>
      <c r="USX248" s="4"/>
      <c r="USY248" s="4"/>
      <c r="USZ248" s="4"/>
      <c r="UTA248" s="4"/>
      <c r="UTB248" s="4"/>
      <c r="UTC248" s="4"/>
      <c r="UTD248" s="4"/>
      <c r="UTE248" s="4"/>
      <c r="UTF248" s="4"/>
      <c r="UTG248" s="4"/>
      <c r="UTH248" s="4"/>
      <c r="UTI248" s="4"/>
      <c r="UTJ248" s="4"/>
      <c r="UTK248" s="4"/>
      <c r="UTL248" s="4"/>
      <c r="UTM248" s="4"/>
      <c r="UTN248" s="4"/>
      <c r="UTO248" s="4"/>
      <c r="UTP248" s="4"/>
      <c r="UTQ248" s="4"/>
      <c r="UTR248" s="4"/>
      <c r="UTS248" s="4"/>
      <c r="UTT248" s="4"/>
      <c r="UTU248" s="4"/>
      <c r="UTV248" s="4"/>
      <c r="UTW248" s="4"/>
      <c r="UTX248" s="4"/>
      <c r="UTY248" s="4"/>
      <c r="UTZ248" s="4"/>
      <c r="UUA248" s="4"/>
      <c r="UUB248" s="4"/>
      <c r="UUC248" s="4"/>
      <c r="UUD248" s="4"/>
      <c r="UUE248" s="4"/>
      <c r="UUF248" s="4"/>
      <c r="UUG248" s="4"/>
      <c r="UUH248" s="4"/>
      <c r="UUI248" s="4"/>
      <c r="UUJ248" s="4"/>
      <c r="UUK248" s="4"/>
      <c r="UUL248" s="4"/>
      <c r="UUM248" s="4"/>
      <c r="UUN248" s="4"/>
      <c r="UUO248" s="4"/>
      <c r="UUP248" s="4"/>
      <c r="UUQ248" s="4"/>
      <c r="UUR248" s="4"/>
      <c r="UUS248" s="4"/>
      <c r="UUT248" s="4"/>
      <c r="UUU248" s="4"/>
      <c r="UUV248" s="4"/>
      <c r="UUW248" s="4"/>
      <c r="UUX248" s="4"/>
      <c r="UUY248" s="4"/>
      <c r="UUZ248" s="4"/>
      <c r="UVA248" s="4"/>
      <c r="UVB248" s="4"/>
      <c r="UVC248" s="4"/>
      <c r="UVD248" s="4"/>
      <c r="UVE248" s="4"/>
      <c r="UVF248" s="4"/>
      <c r="UVG248" s="4"/>
      <c r="UVH248" s="4"/>
      <c r="UVI248" s="4"/>
      <c r="UVJ248" s="4"/>
      <c r="UVK248" s="4"/>
      <c r="UVL248" s="4"/>
      <c r="UVM248" s="4"/>
      <c r="UVN248" s="4"/>
      <c r="UVO248" s="4"/>
      <c r="UVP248" s="4"/>
      <c r="UVQ248" s="4"/>
      <c r="UVR248" s="4"/>
      <c r="UVS248" s="4"/>
      <c r="UVT248" s="4"/>
      <c r="UVU248" s="4"/>
      <c r="UVV248" s="4"/>
      <c r="UVW248" s="4"/>
      <c r="UVX248" s="4"/>
      <c r="UVY248" s="4"/>
      <c r="UVZ248" s="4"/>
      <c r="UWA248" s="4"/>
      <c r="UWB248" s="4"/>
      <c r="UWC248" s="4"/>
      <c r="UWD248" s="4"/>
      <c r="UWE248" s="4"/>
      <c r="UWF248" s="4"/>
      <c r="UWG248" s="4"/>
      <c r="UWH248" s="4"/>
      <c r="UWI248" s="4"/>
      <c r="UWJ248" s="4"/>
      <c r="UWK248" s="4"/>
      <c r="UWL248" s="4"/>
      <c r="UWM248" s="4"/>
      <c r="UWN248" s="4"/>
      <c r="UWO248" s="4"/>
      <c r="UWP248" s="4"/>
      <c r="UWQ248" s="4"/>
      <c r="UWR248" s="4"/>
      <c r="UWS248" s="4"/>
      <c r="UWT248" s="4"/>
      <c r="UWU248" s="4"/>
      <c r="UWV248" s="4"/>
      <c r="UWW248" s="4"/>
      <c r="UWX248" s="4"/>
      <c r="UWY248" s="4"/>
      <c r="UWZ248" s="4"/>
      <c r="UXA248" s="4"/>
      <c r="UXB248" s="4"/>
      <c r="UXC248" s="4"/>
      <c r="UXD248" s="4"/>
      <c r="UXE248" s="4"/>
      <c r="UXF248" s="4"/>
      <c r="UXG248" s="4"/>
      <c r="UXH248" s="4"/>
      <c r="UXI248" s="4"/>
      <c r="UXJ248" s="4"/>
      <c r="UXK248" s="4"/>
      <c r="UXL248" s="4"/>
      <c r="UXM248" s="4"/>
      <c r="UXN248" s="4"/>
      <c r="UXO248" s="4"/>
      <c r="UXP248" s="4"/>
      <c r="UXQ248" s="4"/>
      <c r="UXR248" s="4"/>
      <c r="UXS248" s="4"/>
      <c r="UXT248" s="4"/>
      <c r="UXU248" s="4"/>
      <c r="UXV248" s="4"/>
      <c r="UXW248" s="4"/>
      <c r="UXX248" s="4"/>
      <c r="UXY248" s="4"/>
      <c r="UXZ248" s="4"/>
      <c r="UYA248" s="4"/>
      <c r="UYB248" s="4"/>
      <c r="UYC248" s="4"/>
      <c r="UYD248" s="4"/>
      <c r="UYE248" s="4"/>
      <c r="UYF248" s="4"/>
      <c r="UYG248" s="4"/>
      <c r="UYH248" s="4"/>
      <c r="UYI248" s="4"/>
      <c r="UYJ248" s="4"/>
      <c r="UYK248" s="4"/>
      <c r="UYL248" s="4"/>
      <c r="UYM248" s="4"/>
      <c r="UYN248" s="4"/>
      <c r="UYO248" s="4"/>
      <c r="UYP248" s="4"/>
      <c r="UYQ248" s="4"/>
      <c r="UYR248" s="4"/>
      <c r="UYS248" s="4"/>
      <c r="UYT248" s="4"/>
      <c r="UYU248" s="4"/>
      <c r="UYV248" s="4"/>
      <c r="UYW248" s="4"/>
      <c r="UYX248" s="4"/>
      <c r="UYY248" s="4"/>
      <c r="UYZ248" s="4"/>
      <c r="UZA248" s="4"/>
      <c r="UZB248" s="4"/>
      <c r="UZC248" s="4"/>
      <c r="UZD248" s="4"/>
      <c r="UZE248" s="4"/>
      <c r="UZF248" s="4"/>
      <c r="UZG248" s="4"/>
      <c r="UZH248" s="4"/>
      <c r="UZI248" s="4"/>
      <c r="UZJ248" s="4"/>
      <c r="UZK248" s="4"/>
      <c r="UZL248" s="4"/>
      <c r="UZM248" s="4"/>
      <c r="UZN248" s="4"/>
      <c r="UZO248" s="4"/>
      <c r="UZP248" s="4"/>
      <c r="UZQ248" s="4"/>
      <c r="UZR248" s="4"/>
      <c r="UZS248" s="4"/>
      <c r="UZT248" s="4"/>
      <c r="UZU248" s="4"/>
      <c r="UZV248" s="4"/>
      <c r="UZW248" s="4"/>
      <c r="UZX248" s="4"/>
      <c r="UZY248" s="4"/>
      <c r="UZZ248" s="4"/>
      <c r="VAA248" s="4"/>
      <c r="VAB248" s="4"/>
      <c r="VAC248" s="4"/>
      <c r="VAD248" s="4"/>
      <c r="VAE248" s="4"/>
      <c r="VAF248" s="4"/>
      <c r="VAG248" s="4"/>
      <c r="VAH248" s="4"/>
      <c r="VAI248" s="4"/>
      <c r="VAJ248" s="4"/>
      <c r="VAK248" s="4"/>
      <c r="VAL248" s="4"/>
      <c r="VAM248" s="4"/>
      <c r="VAN248" s="4"/>
      <c r="VAO248" s="4"/>
      <c r="VAP248" s="4"/>
      <c r="VAQ248" s="4"/>
      <c r="VAR248" s="4"/>
      <c r="VAS248" s="4"/>
      <c r="VAT248" s="4"/>
      <c r="VAU248" s="4"/>
      <c r="VAV248" s="4"/>
      <c r="VAW248" s="4"/>
      <c r="VAX248" s="4"/>
      <c r="VAY248" s="4"/>
      <c r="VAZ248" s="4"/>
      <c r="VBA248" s="4"/>
      <c r="VBB248" s="4"/>
      <c r="VBC248" s="4"/>
      <c r="VBD248" s="4"/>
      <c r="VBE248" s="4"/>
      <c r="VBF248" s="4"/>
      <c r="VBG248" s="4"/>
      <c r="VBH248" s="4"/>
      <c r="VBI248" s="4"/>
      <c r="VBJ248" s="4"/>
      <c r="VBK248" s="4"/>
      <c r="VBL248" s="4"/>
      <c r="VBM248" s="4"/>
      <c r="VBN248" s="4"/>
      <c r="VBO248" s="4"/>
      <c r="VBP248" s="4"/>
      <c r="VBQ248" s="4"/>
      <c r="VBR248" s="4"/>
      <c r="VBS248" s="4"/>
      <c r="VBT248" s="4"/>
      <c r="VBU248" s="4"/>
      <c r="VBV248" s="4"/>
      <c r="VBW248" s="4"/>
      <c r="VBX248" s="4"/>
      <c r="VBY248" s="4"/>
      <c r="VBZ248" s="4"/>
      <c r="VCA248" s="4"/>
      <c r="VCB248" s="4"/>
      <c r="VCC248" s="4"/>
      <c r="VCD248" s="4"/>
      <c r="VCE248" s="4"/>
      <c r="VCF248" s="4"/>
      <c r="VCG248" s="4"/>
      <c r="VCH248" s="4"/>
      <c r="VCI248" s="4"/>
      <c r="VCJ248" s="4"/>
      <c r="VCK248" s="4"/>
      <c r="VCL248" s="4"/>
      <c r="VCM248" s="4"/>
      <c r="VCN248" s="4"/>
      <c r="VCO248" s="4"/>
      <c r="VCP248" s="4"/>
      <c r="VCQ248" s="4"/>
      <c r="VCR248" s="4"/>
      <c r="VCS248" s="4"/>
      <c r="VCT248" s="4"/>
      <c r="VCU248" s="4"/>
      <c r="VCV248" s="4"/>
      <c r="VCW248" s="4"/>
      <c r="VCX248" s="4"/>
      <c r="VCY248" s="4"/>
      <c r="VCZ248" s="4"/>
      <c r="VDA248" s="4"/>
      <c r="VDB248" s="4"/>
      <c r="VDC248" s="4"/>
      <c r="VDD248" s="4"/>
      <c r="VDE248" s="4"/>
      <c r="VDF248" s="4"/>
      <c r="VDG248" s="4"/>
      <c r="VDH248" s="4"/>
      <c r="VDI248" s="4"/>
      <c r="VDJ248" s="4"/>
      <c r="VDK248" s="4"/>
      <c r="VDL248" s="4"/>
      <c r="VDM248" s="4"/>
      <c r="VDN248" s="4"/>
      <c r="VDO248" s="4"/>
      <c r="VDP248" s="4"/>
      <c r="VDQ248" s="4"/>
      <c r="VDR248" s="4"/>
      <c r="VDS248" s="4"/>
      <c r="VDT248" s="4"/>
      <c r="VDU248" s="4"/>
      <c r="VDV248" s="4"/>
      <c r="VDW248" s="4"/>
      <c r="VDX248" s="4"/>
      <c r="VDY248" s="4"/>
      <c r="VDZ248" s="4"/>
      <c r="VEA248" s="4"/>
      <c r="VEB248" s="4"/>
      <c r="VEC248" s="4"/>
      <c r="VED248" s="4"/>
      <c r="VEE248" s="4"/>
      <c r="VEF248" s="4"/>
      <c r="VEG248" s="4"/>
      <c r="VEH248" s="4"/>
      <c r="VEI248" s="4"/>
      <c r="VEJ248" s="4"/>
      <c r="VEK248" s="4"/>
      <c r="VEL248" s="4"/>
      <c r="VEM248" s="4"/>
      <c r="VEN248" s="4"/>
      <c r="VEO248" s="4"/>
      <c r="VEP248" s="4"/>
      <c r="VEQ248" s="4"/>
      <c r="VER248" s="4"/>
      <c r="VES248" s="4"/>
      <c r="VET248" s="4"/>
      <c r="VEU248" s="4"/>
      <c r="VEV248" s="4"/>
      <c r="VEW248" s="4"/>
      <c r="VEX248" s="4"/>
      <c r="VEY248" s="4"/>
      <c r="VEZ248" s="4"/>
      <c r="VFA248" s="4"/>
      <c r="VFB248" s="4"/>
      <c r="VFC248" s="4"/>
      <c r="VFD248" s="4"/>
      <c r="VFE248" s="4"/>
      <c r="VFF248" s="4"/>
      <c r="VFG248" s="4"/>
      <c r="VFH248" s="4"/>
      <c r="VFI248" s="4"/>
      <c r="VFJ248" s="4"/>
      <c r="VFK248" s="4"/>
      <c r="VFL248" s="4"/>
      <c r="VFM248" s="4"/>
      <c r="VFN248" s="4"/>
      <c r="VFO248" s="4"/>
      <c r="VFP248" s="4"/>
      <c r="VFQ248" s="4"/>
      <c r="VFR248" s="4"/>
      <c r="VFS248" s="4"/>
      <c r="VFT248" s="4"/>
      <c r="VFU248" s="4"/>
      <c r="VFV248" s="4"/>
      <c r="VFW248" s="4"/>
      <c r="VFX248" s="4"/>
      <c r="VFY248" s="4"/>
      <c r="VFZ248" s="4"/>
      <c r="VGA248" s="4"/>
      <c r="VGB248" s="4"/>
      <c r="VGC248" s="4"/>
      <c r="VGD248" s="4"/>
      <c r="VGE248" s="4"/>
      <c r="VGF248" s="4"/>
      <c r="VGG248" s="4"/>
      <c r="VGH248" s="4"/>
      <c r="VGI248" s="4"/>
      <c r="VGJ248" s="4"/>
      <c r="VGK248" s="4"/>
      <c r="VGL248" s="4"/>
      <c r="VGM248" s="4"/>
      <c r="VGN248" s="4"/>
      <c r="VGO248" s="4"/>
      <c r="VGP248" s="4"/>
      <c r="VGQ248" s="4"/>
      <c r="VGR248" s="4"/>
      <c r="VGS248" s="4"/>
      <c r="VGT248" s="4"/>
      <c r="VGU248" s="4"/>
      <c r="VGV248" s="4"/>
      <c r="VGW248" s="4"/>
      <c r="VGX248" s="4"/>
      <c r="VGY248" s="4"/>
      <c r="VGZ248" s="4"/>
      <c r="VHA248" s="4"/>
      <c r="VHB248" s="4"/>
      <c r="VHC248" s="4"/>
      <c r="VHD248" s="4"/>
      <c r="VHE248" s="4"/>
      <c r="VHF248" s="4"/>
      <c r="VHG248" s="4"/>
      <c r="VHH248" s="4"/>
      <c r="VHI248" s="4"/>
      <c r="VHJ248" s="4"/>
      <c r="VHK248" s="4"/>
      <c r="VHL248" s="4"/>
      <c r="VHM248" s="4"/>
      <c r="VHN248" s="4"/>
      <c r="VHO248" s="4"/>
      <c r="VHP248" s="4"/>
      <c r="VHQ248" s="4"/>
      <c r="VHR248" s="4"/>
      <c r="VHS248" s="4"/>
      <c r="VHT248" s="4"/>
      <c r="VHU248" s="4"/>
      <c r="VHV248" s="4"/>
      <c r="VHW248" s="4"/>
      <c r="VHX248" s="4"/>
      <c r="VHY248" s="4"/>
      <c r="VHZ248" s="4"/>
      <c r="VIA248" s="4"/>
      <c r="VIB248" s="4"/>
      <c r="VIC248" s="4"/>
      <c r="VID248" s="4"/>
      <c r="VIE248" s="4"/>
      <c r="VIF248" s="4"/>
      <c r="VIG248" s="4"/>
      <c r="VIH248" s="4"/>
      <c r="VII248" s="4"/>
      <c r="VIJ248" s="4"/>
      <c r="VIK248" s="4"/>
      <c r="VIL248" s="4"/>
      <c r="VIM248" s="4"/>
      <c r="VIN248" s="4"/>
      <c r="VIO248" s="4"/>
      <c r="VIP248" s="4"/>
      <c r="VIQ248" s="4"/>
      <c r="VIR248" s="4"/>
      <c r="VIS248" s="4"/>
      <c r="VIT248" s="4"/>
      <c r="VIU248" s="4"/>
      <c r="VIV248" s="4"/>
      <c r="VIW248" s="4"/>
      <c r="VIX248" s="4"/>
      <c r="VIY248" s="4"/>
      <c r="VIZ248" s="4"/>
      <c r="VJA248" s="4"/>
      <c r="VJB248" s="4"/>
      <c r="VJC248" s="4"/>
      <c r="VJD248" s="4"/>
      <c r="VJE248" s="4"/>
      <c r="VJF248" s="4"/>
      <c r="VJG248" s="4"/>
      <c r="VJH248" s="4"/>
      <c r="VJI248" s="4"/>
      <c r="VJJ248" s="4"/>
      <c r="VJK248" s="4"/>
      <c r="VJL248" s="4"/>
      <c r="VJM248" s="4"/>
      <c r="VJN248" s="4"/>
      <c r="VJO248" s="4"/>
      <c r="VJP248" s="4"/>
      <c r="VJQ248" s="4"/>
      <c r="VJR248" s="4"/>
      <c r="VJS248" s="4"/>
      <c r="VJT248" s="4"/>
      <c r="VJU248" s="4"/>
      <c r="VJV248" s="4"/>
      <c r="VJW248" s="4"/>
      <c r="VJX248" s="4"/>
      <c r="VJY248" s="4"/>
      <c r="VJZ248" s="4"/>
      <c r="VKA248" s="4"/>
      <c r="VKB248" s="4"/>
      <c r="VKC248" s="4"/>
      <c r="VKD248" s="4"/>
      <c r="VKE248" s="4"/>
      <c r="VKF248" s="4"/>
      <c r="VKG248" s="4"/>
      <c r="VKH248" s="4"/>
      <c r="VKI248" s="4"/>
      <c r="VKJ248" s="4"/>
      <c r="VKK248" s="4"/>
      <c r="VKL248" s="4"/>
      <c r="VKM248" s="4"/>
      <c r="VKN248" s="4"/>
      <c r="VKO248" s="4"/>
      <c r="VKP248" s="4"/>
      <c r="VKQ248" s="4"/>
      <c r="VKR248" s="4"/>
      <c r="VKS248" s="4"/>
      <c r="VKT248" s="4"/>
      <c r="VKU248" s="4"/>
      <c r="VKV248" s="4"/>
      <c r="VKW248" s="4"/>
      <c r="VKX248" s="4"/>
      <c r="VKY248" s="4"/>
      <c r="VKZ248" s="4"/>
      <c r="VLA248" s="4"/>
      <c r="VLB248" s="4"/>
      <c r="VLC248" s="4"/>
      <c r="VLD248" s="4"/>
      <c r="VLE248" s="4"/>
      <c r="VLF248" s="4"/>
      <c r="VLG248" s="4"/>
      <c r="VLH248" s="4"/>
      <c r="VLI248" s="4"/>
      <c r="VLJ248" s="4"/>
      <c r="VLK248" s="4"/>
      <c r="VLL248" s="4"/>
      <c r="VLM248" s="4"/>
      <c r="VLN248" s="4"/>
      <c r="VLO248" s="4"/>
      <c r="VLP248" s="4"/>
      <c r="VLQ248" s="4"/>
      <c r="VLR248" s="4"/>
      <c r="VLS248" s="4"/>
      <c r="VLT248" s="4"/>
      <c r="VLU248" s="4"/>
      <c r="VLV248" s="4"/>
      <c r="VLW248" s="4"/>
      <c r="VLX248" s="4"/>
      <c r="VLY248" s="4"/>
      <c r="VLZ248" s="4"/>
      <c r="VMA248" s="4"/>
      <c r="VMB248" s="4"/>
      <c r="VMC248" s="4"/>
      <c r="VMD248" s="4"/>
      <c r="VME248" s="4"/>
      <c r="VMF248" s="4"/>
      <c r="VMG248" s="4"/>
      <c r="VMH248" s="4"/>
      <c r="VMI248" s="4"/>
      <c r="VMJ248" s="4"/>
      <c r="VMK248" s="4"/>
      <c r="VML248" s="4"/>
      <c r="VMM248" s="4"/>
      <c r="VMN248" s="4"/>
      <c r="VMO248" s="4"/>
      <c r="VMP248" s="4"/>
      <c r="VMQ248" s="4"/>
      <c r="VMR248" s="4"/>
      <c r="VMS248" s="4"/>
      <c r="VMT248" s="4"/>
      <c r="VMU248" s="4"/>
      <c r="VMV248" s="4"/>
      <c r="VMW248" s="4"/>
      <c r="VMX248" s="4"/>
      <c r="VMY248" s="4"/>
      <c r="VMZ248" s="4"/>
      <c r="VNA248" s="4"/>
      <c r="VNB248" s="4"/>
      <c r="VNC248" s="4"/>
      <c r="VND248" s="4"/>
      <c r="VNE248" s="4"/>
      <c r="VNF248" s="4"/>
      <c r="VNG248" s="4"/>
      <c r="VNH248" s="4"/>
      <c r="VNI248" s="4"/>
      <c r="VNJ248" s="4"/>
      <c r="VNK248" s="4"/>
      <c r="VNL248" s="4"/>
      <c r="VNM248" s="4"/>
      <c r="VNN248" s="4"/>
      <c r="VNO248" s="4"/>
      <c r="VNP248" s="4"/>
      <c r="VNQ248" s="4"/>
      <c r="VNR248" s="4"/>
      <c r="VNS248" s="4"/>
      <c r="VNT248" s="4"/>
      <c r="VNU248" s="4"/>
      <c r="VNV248" s="4"/>
      <c r="VNW248" s="4"/>
      <c r="VNX248" s="4"/>
      <c r="VNY248" s="4"/>
      <c r="VNZ248" s="4"/>
      <c r="VOA248" s="4"/>
      <c r="VOB248" s="4"/>
      <c r="VOC248" s="4"/>
      <c r="VOD248" s="4"/>
      <c r="VOE248" s="4"/>
      <c r="VOF248" s="4"/>
      <c r="VOG248" s="4"/>
      <c r="VOH248" s="4"/>
      <c r="VOI248" s="4"/>
      <c r="VOJ248" s="4"/>
      <c r="VOK248" s="4"/>
      <c r="VOL248" s="4"/>
      <c r="VOM248" s="4"/>
      <c r="VON248" s="4"/>
      <c r="VOO248" s="4"/>
      <c r="VOP248" s="4"/>
      <c r="VOQ248" s="4"/>
      <c r="VOR248" s="4"/>
      <c r="VOS248" s="4"/>
      <c r="VOT248" s="4"/>
      <c r="VOU248" s="4"/>
      <c r="VOV248" s="4"/>
      <c r="VOW248" s="4"/>
      <c r="VOX248" s="4"/>
      <c r="VOY248" s="4"/>
      <c r="VOZ248" s="4"/>
      <c r="VPA248" s="4"/>
      <c r="VPB248" s="4"/>
      <c r="VPC248" s="4"/>
      <c r="VPD248" s="4"/>
      <c r="VPE248" s="4"/>
      <c r="VPF248" s="4"/>
      <c r="VPG248" s="4"/>
      <c r="VPH248" s="4"/>
      <c r="VPI248" s="4"/>
      <c r="VPJ248" s="4"/>
      <c r="VPK248" s="4"/>
      <c r="VPL248" s="4"/>
      <c r="VPM248" s="4"/>
      <c r="VPN248" s="4"/>
      <c r="VPO248" s="4"/>
      <c r="VPP248" s="4"/>
      <c r="VPQ248" s="4"/>
      <c r="VPR248" s="4"/>
      <c r="VPS248" s="4"/>
      <c r="VPT248" s="4"/>
      <c r="VPU248" s="4"/>
      <c r="VPV248" s="4"/>
      <c r="VPW248" s="4"/>
      <c r="VPX248" s="4"/>
      <c r="VPY248" s="4"/>
      <c r="VPZ248" s="4"/>
      <c r="VQA248" s="4"/>
      <c r="VQB248" s="4"/>
      <c r="VQC248" s="4"/>
      <c r="VQD248" s="4"/>
      <c r="VQE248" s="4"/>
      <c r="VQF248" s="4"/>
      <c r="VQG248" s="4"/>
      <c r="VQH248" s="4"/>
      <c r="VQI248" s="4"/>
      <c r="VQJ248" s="4"/>
      <c r="VQK248" s="4"/>
      <c r="VQL248" s="4"/>
      <c r="VQM248" s="4"/>
      <c r="VQN248" s="4"/>
      <c r="VQO248" s="4"/>
      <c r="VQP248" s="4"/>
      <c r="VQQ248" s="4"/>
      <c r="VQR248" s="4"/>
      <c r="VQS248" s="4"/>
      <c r="VQT248" s="4"/>
      <c r="VQU248" s="4"/>
      <c r="VQV248" s="4"/>
      <c r="VQW248" s="4"/>
      <c r="VQX248" s="4"/>
      <c r="VQY248" s="4"/>
      <c r="VQZ248" s="4"/>
      <c r="VRA248" s="4"/>
      <c r="VRB248" s="4"/>
      <c r="VRC248" s="4"/>
      <c r="VRD248" s="4"/>
      <c r="VRE248" s="4"/>
      <c r="VRF248" s="4"/>
      <c r="VRG248" s="4"/>
      <c r="VRH248" s="4"/>
      <c r="VRI248" s="4"/>
      <c r="VRJ248" s="4"/>
      <c r="VRK248" s="4"/>
      <c r="VRL248" s="4"/>
      <c r="VRM248" s="4"/>
      <c r="VRN248" s="4"/>
      <c r="VRO248" s="4"/>
      <c r="VRP248" s="4"/>
      <c r="VRQ248" s="4"/>
      <c r="VRR248" s="4"/>
      <c r="VRS248" s="4"/>
      <c r="VRT248" s="4"/>
      <c r="VRU248" s="4"/>
      <c r="VRV248" s="4"/>
      <c r="VRW248" s="4"/>
      <c r="VRX248" s="4"/>
      <c r="VRY248" s="4"/>
      <c r="VRZ248" s="4"/>
      <c r="VSA248" s="4"/>
      <c r="VSB248" s="4"/>
      <c r="VSC248" s="4"/>
      <c r="VSD248" s="4"/>
      <c r="VSE248" s="4"/>
      <c r="VSF248" s="4"/>
      <c r="VSG248" s="4"/>
      <c r="VSH248" s="4"/>
      <c r="VSI248" s="4"/>
      <c r="VSJ248" s="4"/>
      <c r="VSK248" s="4"/>
      <c r="VSL248" s="4"/>
      <c r="VSM248" s="4"/>
      <c r="VSN248" s="4"/>
      <c r="VSO248" s="4"/>
      <c r="VSP248" s="4"/>
      <c r="VSQ248" s="4"/>
      <c r="VSR248" s="4"/>
      <c r="VSS248" s="4"/>
      <c r="VST248" s="4"/>
      <c r="VSU248" s="4"/>
      <c r="VSV248" s="4"/>
      <c r="VSW248" s="4"/>
      <c r="VSX248" s="4"/>
      <c r="VSY248" s="4"/>
      <c r="VSZ248" s="4"/>
      <c r="VTA248" s="4"/>
      <c r="VTB248" s="4"/>
      <c r="VTC248" s="4"/>
      <c r="VTD248" s="4"/>
      <c r="VTE248" s="4"/>
      <c r="VTF248" s="4"/>
      <c r="VTG248" s="4"/>
      <c r="VTH248" s="4"/>
      <c r="VTI248" s="4"/>
      <c r="VTJ248" s="4"/>
      <c r="VTK248" s="4"/>
      <c r="VTL248" s="4"/>
      <c r="VTM248" s="4"/>
      <c r="VTN248" s="4"/>
      <c r="VTO248" s="4"/>
      <c r="VTP248" s="4"/>
      <c r="VTQ248" s="4"/>
      <c r="VTR248" s="4"/>
      <c r="VTS248" s="4"/>
      <c r="VTT248" s="4"/>
      <c r="VTU248" s="4"/>
      <c r="VTV248" s="4"/>
      <c r="VTW248" s="4"/>
      <c r="VTX248" s="4"/>
      <c r="VTY248" s="4"/>
      <c r="VTZ248" s="4"/>
      <c r="VUA248" s="4"/>
      <c r="VUB248" s="4"/>
      <c r="VUC248" s="4"/>
      <c r="VUD248" s="4"/>
      <c r="VUE248" s="4"/>
      <c r="VUF248" s="4"/>
      <c r="VUG248" s="4"/>
      <c r="VUH248" s="4"/>
      <c r="VUI248" s="4"/>
      <c r="VUJ248" s="4"/>
      <c r="VUK248" s="4"/>
      <c r="VUL248" s="4"/>
      <c r="VUM248" s="4"/>
      <c r="VUN248" s="4"/>
      <c r="VUO248" s="4"/>
      <c r="VUP248" s="4"/>
      <c r="VUQ248" s="4"/>
      <c r="VUR248" s="4"/>
      <c r="VUS248" s="4"/>
      <c r="VUT248" s="4"/>
      <c r="VUU248" s="4"/>
      <c r="VUV248" s="4"/>
      <c r="VUW248" s="4"/>
      <c r="VUX248" s="4"/>
      <c r="VUY248" s="4"/>
      <c r="VUZ248" s="4"/>
      <c r="VVA248" s="4"/>
      <c r="VVB248" s="4"/>
      <c r="VVC248" s="4"/>
      <c r="VVD248" s="4"/>
      <c r="VVE248" s="4"/>
      <c r="VVF248" s="4"/>
      <c r="VVG248" s="4"/>
      <c r="VVH248" s="4"/>
      <c r="VVI248" s="4"/>
      <c r="VVJ248" s="4"/>
      <c r="VVK248" s="4"/>
      <c r="VVL248" s="4"/>
      <c r="VVM248" s="4"/>
      <c r="VVN248" s="4"/>
      <c r="VVO248" s="4"/>
      <c r="VVP248" s="4"/>
      <c r="VVQ248" s="4"/>
      <c r="VVR248" s="4"/>
      <c r="VVS248" s="4"/>
      <c r="VVT248" s="4"/>
      <c r="VVU248" s="4"/>
      <c r="VVV248" s="4"/>
      <c r="VVW248" s="4"/>
      <c r="VVX248" s="4"/>
      <c r="VVY248" s="4"/>
      <c r="VVZ248" s="4"/>
      <c r="VWA248" s="4"/>
      <c r="VWB248" s="4"/>
      <c r="VWC248" s="4"/>
      <c r="VWD248" s="4"/>
      <c r="VWE248" s="4"/>
      <c r="VWF248" s="4"/>
      <c r="VWG248" s="4"/>
      <c r="VWH248" s="4"/>
      <c r="VWI248" s="4"/>
      <c r="VWJ248" s="4"/>
      <c r="VWK248" s="4"/>
      <c r="VWL248" s="4"/>
      <c r="VWM248" s="4"/>
      <c r="VWN248" s="4"/>
      <c r="VWO248" s="4"/>
      <c r="VWP248" s="4"/>
      <c r="VWQ248" s="4"/>
      <c r="VWR248" s="4"/>
      <c r="VWS248" s="4"/>
      <c r="VWT248" s="4"/>
      <c r="VWU248" s="4"/>
      <c r="VWV248" s="4"/>
      <c r="VWW248" s="4"/>
      <c r="VWX248" s="4"/>
      <c r="VWY248" s="4"/>
      <c r="VWZ248" s="4"/>
      <c r="VXA248" s="4"/>
      <c r="VXB248" s="4"/>
      <c r="VXC248" s="4"/>
      <c r="VXD248" s="4"/>
      <c r="VXE248" s="4"/>
      <c r="VXF248" s="4"/>
      <c r="VXG248" s="4"/>
      <c r="VXH248" s="4"/>
      <c r="VXI248" s="4"/>
      <c r="VXJ248" s="4"/>
      <c r="VXK248" s="4"/>
      <c r="VXL248" s="4"/>
      <c r="VXM248" s="4"/>
      <c r="VXN248" s="4"/>
      <c r="VXO248" s="4"/>
      <c r="VXP248" s="4"/>
      <c r="VXQ248" s="4"/>
      <c r="VXR248" s="4"/>
      <c r="VXS248" s="4"/>
      <c r="VXT248" s="4"/>
      <c r="VXU248" s="4"/>
      <c r="VXV248" s="4"/>
      <c r="VXW248" s="4"/>
      <c r="VXX248" s="4"/>
      <c r="VXY248" s="4"/>
      <c r="VXZ248" s="4"/>
      <c r="VYA248" s="4"/>
      <c r="VYB248" s="4"/>
      <c r="VYC248" s="4"/>
      <c r="VYD248" s="4"/>
      <c r="VYE248" s="4"/>
      <c r="VYF248" s="4"/>
      <c r="VYG248" s="4"/>
      <c r="VYH248" s="4"/>
      <c r="VYI248" s="4"/>
      <c r="VYJ248" s="4"/>
      <c r="VYK248" s="4"/>
      <c r="VYL248" s="4"/>
      <c r="VYM248" s="4"/>
      <c r="VYN248" s="4"/>
      <c r="VYO248" s="4"/>
      <c r="VYP248" s="4"/>
      <c r="VYQ248" s="4"/>
      <c r="VYR248" s="4"/>
      <c r="VYS248" s="4"/>
      <c r="VYT248" s="4"/>
      <c r="VYU248" s="4"/>
      <c r="VYV248" s="4"/>
      <c r="VYW248" s="4"/>
      <c r="VYX248" s="4"/>
      <c r="VYY248" s="4"/>
      <c r="VYZ248" s="4"/>
      <c r="VZA248" s="4"/>
      <c r="VZB248" s="4"/>
      <c r="VZC248" s="4"/>
      <c r="VZD248" s="4"/>
      <c r="VZE248" s="4"/>
      <c r="VZF248" s="4"/>
      <c r="VZG248" s="4"/>
      <c r="VZH248" s="4"/>
      <c r="VZI248" s="4"/>
      <c r="VZJ248" s="4"/>
      <c r="VZK248" s="4"/>
      <c r="VZL248" s="4"/>
      <c r="VZM248" s="4"/>
      <c r="VZN248" s="4"/>
      <c r="VZO248" s="4"/>
      <c r="VZP248" s="4"/>
      <c r="VZQ248" s="4"/>
      <c r="VZR248" s="4"/>
      <c r="VZS248" s="4"/>
      <c r="VZT248" s="4"/>
      <c r="VZU248" s="4"/>
      <c r="VZV248" s="4"/>
      <c r="VZW248" s="4"/>
      <c r="VZX248" s="4"/>
      <c r="VZY248" s="4"/>
      <c r="VZZ248" s="4"/>
      <c r="WAA248" s="4"/>
      <c r="WAB248" s="4"/>
      <c r="WAC248" s="4"/>
      <c r="WAD248" s="4"/>
      <c r="WAE248" s="4"/>
      <c r="WAF248" s="4"/>
      <c r="WAG248" s="4"/>
      <c r="WAH248" s="4"/>
      <c r="WAI248" s="4"/>
      <c r="WAJ248" s="4"/>
      <c r="WAK248" s="4"/>
      <c r="WAL248" s="4"/>
      <c r="WAM248" s="4"/>
      <c r="WAN248" s="4"/>
      <c r="WAO248" s="4"/>
      <c r="WAP248" s="4"/>
      <c r="WAQ248" s="4"/>
      <c r="WAR248" s="4"/>
      <c r="WAS248" s="4"/>
      <c r="WAT248" s="4"/>
      <c r="WAU248" s="4"/>
      <c r="WAV248" s="4"/>
      <c r="WAW248" s="4"/>
      <c r="WAX248" s="4"/>
      <c r="WAY248" s="4"/>
      <c r="WAZ248" s="4"/>
      <c r="WBA248" s="4"/>
      <c r="WBB248" s="4"/>
      <c r="WBC248" s="4"/>
      <c r="WBD248" s="4"/>
      <c r="WBE248" s="4"/>
      <c r="WBF248" s="4"/>
      <c r="WBG248" s="4"/>
      <c r="WBH248" s="4"/>
      <c r="WBI248" s="4"/>
      <c r="WBJ248" s="4"/>
      <c r="WBK248" s="4"/>
      <c r="WBL248" s="4"/>
      <c r="WBM248" s="4"/>
      <c r="WBN248" s="4"/>
      <c r="WBO248" s="4"/>
      <c r="WBP248" s="4"/>
      <c r="WBQ248" s="4"/>
      <c r="WBR248" s="4"/>
      <c r="WBS248" s="4"/>
      <c r="WBT248" s="4"/>
      <c r="WBU248" s="4"/>
      <c r="WBV248" s="4"/>
      <c r="WBW248" s="4"/>
      <c r="WBX248" s="4"/>
      <c r="WBY248" s="4"/>
      <c r="WBZ248" s="4"/>
      <c r="WCA248" s="4"/>
      <c r="WCB248" s="4"/>
      <c r="WCC248" s="4"/>
      <c r="WCD248" s="4"/>
      <c r="WCE248" s="4"/>
      <c r="WCF248" s="4"/>
      <c r="WCG248" s="4"/>
      <c r="WCH248" s="4"/>
      <c r="WCI248" s="4"/>
      <c r="WCJ248" s="4"/>
      <c r="WCK248" s="4"/>
      <c r="WCL248" s="4"/>
      <c r="WCM248" s="4"/>
      <c r="WCN248" s="4"/>
      <c r="WCO248" s="4"/>
      <c r="WCP248" s="4"/>
      <c r="WCQ248" s="4"/>
      <c r="WCR248" s="4"/>
      <c r="WCS248" s="4"/>
      <c r="WCT248" s="4"/>
      <c r="WCU248" s="4"/>
      <c r="WCV248" s="4"/>
      <c r="WCW248" s="4"/>
      <c r="WCX248" s="4"/>
      <c r="WCY248" s="4"/>
      <c r="WCZ248" s="4"/>
      <c r="WDA248" s="4"/>
      <c r="WDB248" s="4"/>
      <c r="WDC248" s="4"/>
      <c r="WDD248" s="4"/>
      <c r="WDE248" s="4"/>
      <c r="WDF248" s="4"/>
      <c r="WDG248" s="4"/>
      <c r="WDH248" s="4"/>
      <c r="WDI248" s="4"/>
      <c r="WDJ248" s="4"/>
      <c r="WDK248" s="4"/>
      <c r="WDL248" s="4"/>
      <c r="WDM248" s="4"/>
      <c r="WDN248" s="4"/>
      <c r="WDO248" s="4"/>
      <c r="WDP248" s="4"/>
      <c r="WDQ248" s="4"/>
      <c r="WDR248" s="4"/>
      <c r="WDS248" s="4"/>
      <c r="WDT248" s="4"/>
      <c r="WDU248" s="4"/>
      <c r="WDV248" s="4"/>
      <c r="WDW248" s="4"/>
      <c r="WDX248" s="4"/>
      <c r="WDY248" s="4"/>
      <c r="WDZ248" s="4"/>
      <c r="WEA248" s="4"/>
      <c r="WEB248" s="4"/>
      <c r="WEC248" s="4"/>
      <c r="WED248" s="4"/>
      <c r="WEE248" s="4"/>
      <c r="WEF248" s="4"/>
      <c r="WEG248" s="4"/>
      <c r="WEH248" s="4"/>
      <c r="WEI248" s="4"/>
      <c r="WEJ248" s="4"/>
      <c r="WEK248" s="4"/>
      <c r="WEL248" s="4"/>
      <c r="WEM248" s="4"/>
      <c r="WEN248" s="4"/>
      <c r="WEO248" s="4"/>
      <c r="WEP248" s="4"/>
      <c r="WEQ248" s="4"/>
      <c r="WER248" s="4"/>
      <c r="WES248" s="4"/>
      <c r="WET248" s="4"/>
      <c r="WEU248" s="4"/>
      <c r="WEV248" s="4"/>
      <c r="WEW248" s="4"/>
      <c r="WEX248" s="4"/>
      <c r="WEY248" s="4"/>
      <c r="WEZ248" s="4"/>
      <c r="WFA248" s="4"/>
      <c r="WFB248" s="4"/>
      <c r="WFC248" s="4"/>
      <c r="WFD248" s="4"/>
      <c r="WFE248" s="4"/>
      <c r="WFF248" s="4"/>
      <c r="WFG248" s="4"/>
      <c r="WFH248" s="4"/>
      <c r="WFI248" s="4"/>
      <c r="WFJ248" s="4"/>
      <c r="WFK248" s="4"/>
      <c r="WFL248" s="4"/>
      <c r="WFM248" s="4"/>
      <c r="WFN248" s="4"/>
      <c r="WFO248" s="4"/>
      <c r="WFP248" s="4"/>
      <c r="WFQ248" s="4"/>
      <c r="WFR248" s="4"/>
      <c r="WFS248" s="4"/>
      <c r="WFT248" s="4"/>
      <c r="WFU248" s="4"/>
      <c r="WFV248" s="4"/>
      <c r="WFW248" s="4"/>
      <c r="WFX248" s="4"/>
      <c r="WFY248" s="4"/>
      <c r="WFZ248" s="4"/>
      <c r="WGA248" s="4"/>
      <c r="WGB248" s="4"/>
      <c r="WGC248" s="4"/>
      <c r="WGD248" s="4"/>
      <c r="WGE248" s="4"/>
      <c r="WGF248" s="4"/>
      <c r="WGG248" s="4"/>
      <c r="WGH248" s="4"/>
      <c r="WGI248" s="4"/>
      <c r="WGJ248" s="4"/>
      <c r="WGK248" s="4"/>
      <c r="WGL248" s="4"/>
      <c r="WGM248" s="4"/>
      <c r="WGN248" s="4"/>
      <c r="WGO248" s="4"/>
      <c r="WGP248" s="4"/>
      <c r="WGQ248" s="4"/>
      <c r="WGR248" s="4"/>
      <c r="WGS248" s="4"/>
      <c r="WGT248" s="4"/>
      <c r="WGU248" s="4"/>
      <c r="WGV248" s="4"/>
      <c r="WGW248" s="4"/>
      <c r="WGX248" s="4"/>
      <c r="WGY248" s="4"/>
      <c r="WGZ248" s="4"/>
      <c r="WHA248" s="4"/>
      <c r="WHB248" s="4"/>
      <c r="WHC248" s="4"/>
      <c r="WHD248" s="4"/>
      <c r="WHE248" s="4"/>
      <c r="WHF248" s="4"/>
      <c r="WHG248" s="4"/>
      <c r="WHH248" s="4"/>
      <c r="WHI248" s="4"/>
      <c r="WHJ248" s="4"/>
      <c r="WHK248" s="4"/>
      <c r="WHL248" s="4"/>
      <c r="WHM248" s="4"/>
      <c r="WHN248" s="4"/>
      <c r="WHO248" s="4"/>
      <c r="WHP248" s="4"/>
      <c r="WHQ248" s="4"/>
      <c r="WHR248" s="4"/>
      <c r="WHS248" s="4"/>
      <c r="WHT248" s="4"/>
      <c r="WHU248" s="4"/>
      <c r="WHV248" s="4"/>
      <c r="WHW248" s="4"/>
      <c r="WHX248" s="4"/>
      <c r="WHY248" s="4"/>
      <c r="WHZ248" s="4"/>
      <c r="WIA248" s="4"/>
      <c r="WIB248" s="4"/>
      <c r="WIC248" s="4"/>
      <c r="WID248" s="4"/>
      <c r="WIE248" s="4"/>
      <c r="WIF248" s="4"/>
      <c r="WIG248" s="4"/>
      <c r="WIH248" s="4"/>
      <c r="WII248" s="4"/>
      <c r="WIJ248" s="4"/>
      <c r="WIK248" s="4"/>
      <c r="WIL248" s="4"/>
      <c r="WIM248" s="4"/>
      <c r="WIN248" s="4"/>
      <c r="WIO248" s="4"/>
      <c r="WIP248" s="4"/>
      <c r="WIQ248" s="4"/>
      <c r="WIR248" s="4"/>
      <c r="WIS248" s="4"/>
      <c r="WIT248" s="4"/>
      <c r="WIU248" s="4"/>
      <c r="WIV248" s="4"/>
      <c r="WIW248" s="4"/>
      <c r="WIX248" s="4"/>
      <c r="WIY248" s="4"/>
      <c r="WIZ248" s="4"/>
      <c r="WJA248" s="4"/>
      <c r="WJB248" s="4"/>
      <c r="WJC248" s="4"/>
      <c r="WJD248" s="4"/>
      <c r="WJE248" s="4"/>
      <c r="WJF248" s="4"/>
      <c r="WJG248" s="4"/>
      <c r="WJH248" s="4"/>
      <c r="WJI248" s="4"/>
      <c r="WJJ248" s="4"/>
      <c r="WJK248" s="4"/>
      <c r="WJL248" s="4"/>
      <c r="WJM248" s="4"/>
      <c r="WJN248" s="4"/>
      <c r="WJO248" s="4"/>
      <c r="WJP248" s="4"/>
      <c r="WJQ248" s="4"/>
      <c r="WJR248" s="4"/>
      <c r="WJS248" s="4"/>
      <c r="WJT248" s="4"/>
      <c r="WJU248" s="4"/>
      <c r="WJV248" s="4"/>
      <c r="WJW248" s="4"/>
      <c r="WJX248" s="4"/>
      <c r="WJY248" s="4"/>
      <c r="WJZ248" s="4"/>
      <c r="WKA248" s="4"/>
      <c r="WKB248" s="4"/>
      <c r="WKC248" s="4"/>
      <c r="WKD248" s="4"/>
      <c r="WKE248" s="4"/>
      <c r="WKF248" s="4"/>
      <c r="WKG248" s="4"/>
      <c r="WKH248" s="4"/>
      <c r="WKI248" s="4"/>
      <c r="WKJ248" s="4"/>
      <c r="WKK248" s="4"/>
      <c r="WKL248" s="4"/>
      <c r="WKM248" s="4"/>
      <c r="WKN248" s="4"/>
      <c r="WKO248" s="4"/>
      <c r="WKP248" s="4"/>
      <c r="WKQ248" s="4"/>
      <c r="WKR248" s="4"/>
      <c r="WKS248" s="4"/>
      <c r="WKT248" s="4"/>
      <c r="WKU248" s="4"/>
      <c r="WKV248" s="4"/>
      <c r="WKW248" s="4"/>
      <c r="WKX248" s="4"/>
      <c r="WKY248" s="4"/>
      <c r="WKZ248" s="4"/>
      <c r="WLA248" s="4"/>
      <c r="WLB248" s="4"/>
      <c r="WLC248" s="4"/>
      <c r="WLD248" s="4"/>
      <c r="WLE248" s="4"/>
      <c r="WLF248" s="4"/>
      <c r="WLG248" s="4"/>
      <c r="WLH248" s="4"/>
      <c r="WLI248" s="4"/>
      <c r="WLJ248" s="4"/>
      <c r="WLK248" s="4"/>
      <c r="WLL248" s="4"/>
      <c r="WLM248" s="4"/>
      <c r="WLN248" s="4"/>
      <c r="WLO248" s="4"/>
      <c r="WLP248" s="4"/>
      <c r="WLQ248" s="4"/>
      <c r="WLR248" s="4"/>
      <c r="WLS248" s="4"/>
      <c r="WLT248" s="4"/>
      <c r="WLU248" s="4"/>
      <c r="WLV248" s="4"/>
      <c r="WLW248" s="4"/>
      <c r="WLX248" s="4"/>
      <c r="WLY248" s="4"/>
      <c r="WLZ248" s="4"/>
      <c r="WMA248" s="4"/>
      <c r="WMB248" s="4"/>
      <c r="WMC248" s="4"/>
      <c r="WMD248" s="4"/>
      <c r="WME248" s="4"/>
      <c r="WMF248" s="4"/>
      <c r="WMG248" s="4"/>
      <c r="WMH248" s="4"/>
      <c r="WMI248" s="4"/>
      <c r="WMJ248" s="4"/>
      <c r="WMK248" s="4"/>
      <c r="WML248" s="4"/>
      <c r="WMM248" s="4"/>
      <c r="WMN248" s="4"/>
      <c r="WMO248" s="4"/>
      <c r="WMP248" s="4"/>
      <c r="WMQ248" s="4"/>
      <c r="WMR248" s="4"/>
      <c r="WMS248" s="4"/>
      <c r="WMT248" s="4"/>
      <c r="WMU248" s="4"/>
      <c r="WMV248" s="4"/>
      <c r="WMW248" s="4"/>
      <c r="WMX248" s="4"/>
      <c r="WMY248" s="4"/>
      <c r="WMZ248" s="4"/>
      <c r="WNA248" s="4"/>
      <c r="WNB248" s="4"/>
      <c r="WNC248" s="4"/>
      <c r="WND248" s="4"/>
      <c r="WNE248" s="4"/>
      <c r="WNF248" s="4"/>
      <c r="WNG248" s="4"/>
      <c r="WNH248" s="4"/>
      <c r="WNI248" s="4"/>
      <c r="WNJ248" s="4"/>
      <c r="WNK248" s="4"/>
      <c r="WNL248" s="4"/>
      <c r="WNM248" s="4"/>
      <c r="WNN248" s="4"/>
      <c r="WNO248" s="4"/>
      <c r="WNP248" s="4"/>
      <c r="WNQ248" s="4"/>
      <c r="WNR248" s="4"/>
      <c r="WNS248" s="4"/>
      <c r="WNT248" s="4"/>
      <c r="WNU248" s="4"/>
      <c r="WNV248" s="4"/>
      <c r="WNW248" s="4"/>
      <c r="WNX248" s="4"/>
      <c r="WNY248" s="4"/>
      <c r="WNZ248" s="4"/>
      <c r="WOA248" s="4"/>
      <c r="WOB248" s="4"/>
      <c r="WOC248" s="4"/>
      <c r="WOD248" s="4"/>
      <c r="WOE248" s="4"/>
      <c r="WOF248" s="4"/>
      <c r="WOG248" s="4"/>
      <c r="WOH248" s="4"/>
      <c r="WOI248" s="4"/>
      <c r="WOJ248" s="4"/>
      <c r="WOK248" s="4"/>
      <c r="WOL248" s="4"/>
      <c r="WOM248" s="4"/>
      <c r="WON248" s="4"/>
      <c r="WOO248" s="4"/>
      <c r="WOP248" s="4"/>
      <c r="WOQ248" s="4"/>
      <c r="WOR248" s="4"/>
      <c r="WOS248" s="4"/>
      <c r="WOT248" s="4"/>
      <c r="WOU248" s="4"/>
      <c r="WOV248" s="4"/>
      <c r="WOW248" s="4"/>
      <c r="WOX248" s="4"/>
      <c r="WOY248" s="4"/>
      <c r="WOZ248" s="4"/>
      <c r="WPA248" s="4"/>
      <c r="WPB248" s="4"/>
      <c r="WPC248" s="4"/>
      <c r="WPD248" s="4"/>
      <c r="WPE248" s="4"/>
      <c r="WPF248" s="4"/>
      <c r="WPG248" s="4"/>
      <c r="WPH248" s="4"/>
      <c r="WPI248" s="4"/>
      <c r="WPJ248" s="4"/>
      <c r="WPK248" s="4"/>
      <c r="WPL248" s="4"/>
      <c r="WPM248" s="4"/>
      <c r="WPN248" s="4"/>
      <c r="WPO248" s="4"/>
      <c r="WPP248" s="4"/>
      <c r="WPQ248" s="4"/>
      <c r="WPR248" s="4"/>
      <c r="WPS248" s="4"/>
      <c r="WPT248" s="4"/>
      <c r="WPU248" s="4"/>
      <c r="WPV248" s="4"/>
      <c r="WPW248" s="4"/>
      <c r="WPX248" s="4"/>
      <c r="WPY248" s="4"/>
      <c r="WPZ248" s="4"/>
      <c r="WQA248" s="4"/>
      <c r="WQB248" s="4"/>
      <c r="WQC248" s="4"/>
      <c r="WQD248" s="4"/>
      <c r="WQE248" s="4"/>
      <c r="WQF248" s="4"/>
      <c r="WQG248" s="4"/>
      <c r="WQH248" s="4"/>
      <c r="WQI248" s="4"/>
      <c r="WQJ248" s="4"/>
      <c r="WQK248" s="4"/>
      <c r="WQL248" s="4"/>
      <c r="WQM248" s="4"/>
      <c r="WQN248" s="4"/>
      <c r="WQO248" s="4"/>
      <c r="WQP248" s="4"/>
      <c r="WQQ248" s="4"/>
      <c r="WQR248" s="4"/>
      <c r="WQS248" s="4"/>
      <c r="WQT248" s="4"/>
      <c r="WQU248" s="4"/>
      <c r="WQV248" s="4"/>
      <c r="WQW248" s="4"/>
      <c r="WQX248" s="4"/>
      <c r="WQY248" s="4"/>
      <c r="WQZ248" s="4"/>
      <c r="WRA248" s="4"/>
      <c r="WRB248" s="4"/>
      <c r="WRC248" s="4"/>
      <c r="WRD248" s="4"/>
      <c r="WRE248" s="4"/>
      <c r="WRF248" s="4"/>
      <c r="WRG248" s="4"/>
      <c r="WRH248" s="4"/>
      <c r="WRI248" s="4"/>
      <c r="WRJ248" s="4"/>
      <c r="WRK248" s="4"/>
      <c r="WRL248" s="4"/>
      <c r="WRM248" s="4"/>
      <c r="WRN248" s="4"/>
      <c r="WRO248" s="4"/>
      <c r="WRP248" s="4"/>
      <c r="WRQ248" s="4"/>
      <c r="WRR248" s="4"/>
      <c r="WRS248" s="4"/>
      <c r="WRT248" s="4"/>
      <c r="WRU248" s="4"/>
      <c r="WRV248" s="4"/>
      <c r="WRW248" s="4"/>
      <c r="WRX248" s="4"/>
      <c r="WRY248" s="4"/>
      <c r="WRZ248" s="4"/>
      <c r="WSA248" s="4"/>
      <c r="WSB248" s="4"/>
      <c r="WSC248" s="4"/>
      <c r="WSD248" s="4"/>
      <c r="WSE248" s="4"/>
      <c r="WSF248" s="4"/>
      <c r="WSG248" s="4"/>
      <c r="WSH248" s="4"/>
      <c r="WSI248" s="4"/>
      <c r="WSJ248" s="4"/>
      <c r="WSK248" s="4"/>
      <c r="WSL248" s="4"/>
      <c r="WSM248" s="4"/>
      <c r="WSN248" s="4"/>
      <c r="WSO248" s="4"/>
      <c r="WSP248" s="4"/>
      <c r="WSQ248" s="4"/>
      <c r="WSR248" s="4"/>
      <c r="WSS248" s="4"/>
      <c r="WST248" s="4"/>
      <c r="WSU248" s="4"/>
      <c r="WSV248" s="4"/>
      <c r="WSW248" s="4"/>
      <c r="WSX248" s="4"/>
      <c r="WSY248" s="4"/>
      <c r="WSZ248" s="4"/>
      <c r="WTA248" s="4"/>
      <c r="WTB248" s="4"/>
      <c r="WTC248" s="4"/>
      <c r="WTD248" s="4"/>
      <c r="WTE248" s="4"/>
      <c r="WTF248" s="4"/>
      <c r="WTG248" s="4"/>
      <c r="WTH248" s="4"/>
      <c r="WTI248" s="4"/>
      <c r="WTJ248" s="4"/>
      <c r="WTK248" s="4"/>
      <c r="WTL248" s="4"/>
      <c r="WTM248" s="4"/>
      <c r="WTN248" s="4"/>
      <c r="WTO248" s="4"/>
      <c r="WTP248" s="4"/>
      <c r="WTQ248" s="4"/>
      <c r="WTR248" s="4"/>
      <c r="WTS248" s="4"/>
      <c r="WTT248" s="4"/>
      <c r="WTU248" s="4"/>
      <c r="WTV248" s="4"/>
      <c r="WTW248" s="4"/>
      <c r="WTX248" s="4"/>
      <c r="WTY248" s="4"/>
      <c r="WTZ248" s="4"/>
      <c r="WUA248" s="4"/>
      <c r="WUB248" s="4"/>
      <c r="WUC248" s="4"/>
      <c r="WUD248" s="4"/>
      <c r="WUE248" s="4"/>
      <c r="WUF248" s="4"/>
      <c r="WUG248" s="4"/>
      <c r="WUH248" s="4"/>
      <c r="WUI248" s="4"/>
      <c r="WUJ248" s="4"/>
      <c r="WUK248" s="4"/>
      <c r="WUL248" s="4"/>
      <c r="WUM248" s="4"/>
      <c r="WUN248" s="4"/>
      <c r="WUO248" s="4"/>
      <c r="WUP248" s="4"/>
      <c r="WUQ248" s="4"/>
      <c r="WUR248" s="4"/>
      <c r="WUS248" s="4"/>
      <c r="WUT248" s="4"/>
      <c r="WUU248" s="4"/>
      <c r="WUV248" s="4"/>
      <c r="WUW248" s="4"/>
      <c r="WUX248" s="4"/>
      <c r="WUY248" s="4"/>
      <c r="WUZ248" s="4"/>
      <c r="WVA248" s="4"/>
      <c r="WVB248" s="4"/>
      <c r="WVC248" s="4"/>
      <c r="WVD248" s="4"/>
      <c r="WVE248" s="4"/>
      <c r="WVF248" s="4"/>
      <c r="WVG248" s="4"/>
      <c r="WVH248" s="4"/>
      <c r="WVI248" s="4"/>
      <c r="WVJ248" s="4"/>
      <c r="WVK248" s="4"/>
      <c r="WVL248" s="4"/>
      <c r="WVM248" s="4"/>
      <c r="WVN248" s="4"/>
      <c r="WVO248" s="4"/>
      <c r="WVP248" s="4"/>
      <c r="WVQ248" s="4"/>
      <c r="WVR248" s="4"/>
      <c r="WVS248" s="4"/>
      <c r="WVT248" s="4"/>
      <c r="WVU248" s="4"/>
      <c r="WVV248" s="4"/>
      <c r="WVW248" s="4"/>
      <c r="WVX248" s="4"/>
      <c r="WVY248" s="4"/>
      <c r="WVZ248" s="4"/>
      <c r="WWA248" s="4"/>
      <c r="WWB248" s="4"/>
      <c r="WWC248" s="4"/>
      <c r="WWD248" s="4"/>
      <c r="WWE248" s="4"/>
      <c r="WWF248" s="4"/>
      <c r="WWG248" s="4"/>
      <c r="WWH248" s="4"/>
      <c r="WWI248" s="4"/>
      <c r="WWJ248" s="4"/>
      <c r="WWK248" s="4"/>
      <c r="WWL248" s="4"/>
      <c r="WWM248" s="4"/>
      <c r="WWN248" s="4"/>
      <c r="WWO248" s="4"/>
      <c r="WWP248" s="4"/>
      <c r="WWQ248" s="4"/>
      <c r="WWR248" s="4"/>
      <c r="WWS248" s="4"/>
      <c r="WWT248" s="4"/>
      <c r="WWU248" s="4"/>
      <c r="WWV248" s="4"/>
      <c r="WWW248" s="4"/>
      <c r="WWX248" s="4"/>
      <c r="WWY248" s="4"/>
      <c r="WWZ248" s="4"/>
      <c r="WXA248" s="4"/>
      <c r="WXB248" s="4"/>
      <c r="WXC248" s="4"/>
      <c r="WXD248" s="4"/>
      <c r="WXE248" s="4"/>
      <c r="WXF248" s="4"/>
      <c r="WXG248" s="4"/>
      <c r="WXH248" s="4"/>
      <c r="WXI248" s="4"/>
      <c r="WXJ248" s="4"/>
      <c r="WXK248" s="4"/>
      <c r="WXL248" s="4"/>
      <c r="WXM248" s="4"/>
      <c r="WXN248" s="4"/>
      <c r="WXO248" s="4"/>
      <c r="WXP248" s="4"/>
      <c r="WXQ248" s="4"/>
      <c r="WXR248" s="4"/>
      <c r="WXS248" s="4"/>
      <c r="WXT248" s="4"/>
      <c r="WXU248" s="4"/>
      <c r="WXV248" s="4"/>
      <c r="WXW248" s="4"/>
      <c r="WXX248" s="4"/>
      <c r="WXY248" s="4"/>
      <c r="WXZ248" s="4"/>
      <c r="WYA248" s="4"/>
      <c r="WYB248" s="4"/>
      <c r="WYC248" s="4"/>
      <c r="WYD248" s="4"/>
      <c r="WYE248" s="4"/>
      <c r="WYF248" s="4"/>
      <c r="WYG248" s="4"/>
      <c r="WYH248" s="4"/>
      <c r="WYI248" s="4"/>
      <c r="WYJ248" s="4"/>
      <c r="WYK248" s="4"/>
      <c r="WYL248" s="4"/>
      <c r="WYM248" s="4"/>
      <c r="WYN248" s="4"/>
      <c r="WYO248" s="4"/>
      <c r="WYP248" s="4"/>
      <c r="WYQ248" s="4"/>
      <c r="WYR248" s="4"/>
      <c r="WYS248" s="4"/>
      <c r="WYT248" s="4"/>
      <c r="WYU248" s="4"/>
      <c r="WYV248" s="4"/>
      <c r="WYW248" s="4"/>
      <c r="WYX248" s="4"/>
      <c r="WYY248" s="4"/>
      <c r="WYZ248" s="4"/>
      <c r="WZA248" s="4"/>
      <c r="WZB248" s="4"/>
      <c r="WZC248" s="4"/>
      <c r="WZD248" s="4"/>
      <c r="WZE248" s="4"/>
      <c r="WZF248" s="4"/>
      <c r="WZG248" s="4"/>
      <c r="WZH248" s="4"/>
      <c r="WZI248" s="4"/>
      <c r="WZJ248" s="4"/>
      <c r="WZK248" s="4"/>
      <c r="WZL248" s="4"/>
      <c r="WZM248" s="4"/>
      <c r="WZN248" s="4"/>
      <c r="WZO248" s="4"/>
      <c r="WZP248" s="4"/>
      <c r="WZQ248" s="4"/>
      <c r="WZR248" s="4"/>
      <c r="WZS248" s="4"/>
      <c r="WZT248" s="4"/>
      <c r="WZU248" s="4"/>
      <c r="WZV248" s="4"/>
      <c r="WZW248" s="4"/>
      <c r="WZX248" s="4"/>
      <c r="WZY248" s="4"/>
      <c r="WZZ248" s="4"/>
      <c r="XAA248" s="4"/>
      <c r="XAB248" s="4"/>
      <c r="XAC248" s="4"/>
      <c r="XAD248" s="4"/>
      <c r="XAE248" s="4"/>
      <c r="XAF248" s="4"/>
      <c r="XAG248" s="4"/>
      <c r="XAH248" s="4"/>
      <c r="XAI248" s="4"/>
      <c r="XAJ248" s="4"/>
      <c r="XAK248" s="4"/>
      <c r="XAL248" s="4"/>
      <c r="XAM248" s="4"/>
      <c r="XAN248" s="4"/>
      <c r="XAO248" s="4"/>
      <c r="XAP248" s="4"/>
      <c r="XAQ248" s="4"/>
      <c r="XAR248" s="4"/>
      <c r="XAS248" s="4"/>
      <c r="XAT248" s="4"/>
      <c r="XAU248" s="4"/>
      <c r="XAV248" s="4"/>
      <c r="XAW248" s="4"/>
      <c r="XAX248" s="4"/>
      <c r="XAY248" s="4"/>
      <c r="XAZ248" s="4"/>
      <c r="XBA248" s="4"/>
      <c r="XBB248" s="4"/>
      <c r="XBC248" s="4"/>
      <c r="XBD248" s="4"/>
      <c r="XBE248" s="4"/>
      <c r="XBF248" s="4"/>
      <c r="XBG248" s="4"/>
      <c r="XBH248" s="4"/>
      <c r="XBI248" s="4"/>
      <c r="XBJ248" s="4"/>
      <c r="XBK248" s="4"/>
      <c r="XBL248" s="4"/>
      <c r="XBM248" s="4"/>
      <c r="XBN248" s="4"/>
      <c r="XBO248" s="4"/>
      <c r="XBP248" s="4"/>
      <c r="XBQ248" s="4"/>
      <c r="XBR248" s="4"/>
      <c r="XBS248" s="4"/>
      <c r="XBT248" s="4"/>
      <c r="XBU248" s="4"/>
      <c r="XBV248" s="4"/>
      <c r="XBW248" s="4"/>
      <c r="XBX248" s="4"/>
      <c r="XBY248" s="4"/>
      <c r="XBZ248" s="4"/>
      <c r="XCA248" s="4"/>
      <c r="XCB248" s="4"/>
      <c r="XCC248" s="4"/>
      <c r="XCD248" s="4"/>
      <c r="XCE248" s="4"/>
      <c r="XCF248" s="4"/>
      <c r="XCG248" s="4"/>
      <c r="XCH248" s="4"/>
      <c r="XCI248" s="4"/>
      <c r="XCJ248" s="4"/>
      <c r="XCK248" s="4"/>
      <c r="XCL248" s="4"/>
      <c r="XCM248" s="4"/>
      <c r="XCN248" s="4"/>
      <c r="XCO248" s="4"/>
      <c r="XCP248" s="4"/>
      <c r="XCQ248" s="4"/>
      <c r="XCR248" s="4"/>
      <c r="XCS248" s="4"/>
      <c r="XCT248" s="4"/>
      <c r="XCU248" s="4"/>
      <c r="XCV248" s="4"/>
      <c r="XCW248" s="4"/>
      <c r="XCX248" s="4"/>
      <c r="XCY248" s="4"/>
      <c r="XCZ248" s="4"/>
      <c r="XDA248" s="4"/>
      <c r="XDB248" s="4"/>
      <c r="XDC248" s="4"/>
      <c r="XDD248" s="4"/>
      <c r="XDE248" s="4"/>
      <c r="XDF248" s="4"/>
      <c r="XDG248" s="4"/>
      <c r="XDH248" s="4"/>
      <c r="XDI248" s="4"/>
      <c r="XDJ248" s="4"/>
      <c r="XDK248" s="4"/>
      <c r="XDL248" s="4"/>
      <c r="XDM248" s="4"/>
      <c r="XDN248" s="4"/>
      <c r="XDO248" s="4"/>
      <c r="XDP248" s="4"/>
      <c r="XDQ248" s="4"/>
      <c r="XDR248" s="4"/>
      <c r="XDS248" s="4"/>
      <c r="XDT248" s="4"/>
      <c r="XDU248" s="4"/>
      <c r="XDV248" s="4"/>
      <c r="XDW248" s="4"/>
      <c r="XDX248" s="4"/>
      <c r="XDY248" s="4"/>
      <c r="XDZ248" s="4"/>
      <c r="XEA248" s="4"/>
      <c r="XEB248" s="4"/>
      <c r="XEC248" s="4"/>
      <c r="XED248" s="4"/>
      <c r="XEE248" s="4"/>
      <c r="XEF248" s="4"/>
      <c r="XEG248" s="4"/>
      <c r="XEH248" s="4"/>
      <c r="XEI248" s="4"/>
      <c r="XEJ248" s="4"/>
      <c r="XEK248" s="4"/>
      <c r="XEL248" s="4"/>
      <c r="XEM248" s="4"/>
      <c r="XEN248" s="4"/>
      <c r="XEO248" s="4"/>
      <c r="XEP248" s="4"/>
      <c r="XEQ248" s="4"/>
      <c r="XER248" s="4"/>
      <c r="XES248" s="4"/>
      <c r="XET248" s="4"/>
      <c r="XEU248" s="4"/>
      <c r="XEV248" s="4"/>
      <c r="XEW248" s="4"/>
      <c r="XEX248" s="4"/>
      <c r="XEY248" s="4"/>
      <c r="XEZ248" s="4"/>
      <c r="XFA248" s="4"/>
      <c r="XFB248" s="4"/>
      <c r="XFC248" s="4"/>
      <c r="XFD248" s="4"/>
    </row>
    <row r="249" spans="1:16384" outlineLevel="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T249" s="4"/>
      <c r="U249" s="370" t="s">
        <v>1792</v>
      </c>
      <c r="V249" s="431">
        <f>IFERROR(((RESUMO!C155)*(VLOOKUP(B259,$O$140:$S$146,3,0))),0)</f>
        <v>0</v>
      </c>
      <c r="W249" s="430">
        <f>IFERROR(((RESUMO!C155)*(VLOOKUP(B259,$O$140:$S$146,4,0))),0)</f>
        <v>0</v>
      </c>
      <c r="X249" s="432">
        <f>IFERROR(IF(B259&lt;3,0,(RESUMO!C155)*(VLOOKUP(B259,$O$140:$S$146,5,0))),0)</f>
        <v>0</v>
      </c>
      <c r="Y249" s="469">
        <f t="shared" si="88"/>
        <v>0</v>
      </c>
      <c r="Z249" s="470">
        <f t="shared" si="89"/>
        <v>0</v>
      </c>
      <c r="AA249" s="471">
        <f t="shared" si="90"/>
        <v>0</v>
      </c>
      <c r="AB249" s="448">
        <f>RESUMO!E155</f>
        <v>0</v>
      </c>
      <c r="AC249" s="453">
        <f t="shared" si="91"/>
        <v>0</v>
      </c>
      <c r="AD249" s="429">
        <f t="shared" si="92"/>
        <v>0</v>
      </c>
      <c r="AE249" s="454">
        <f t="shared" si="93"/>
        <v>0</v>
      </c>
      <c r="AF249" s="381"/>
      <c r="AG249" s="476">
        <f t="shared" si="95"/>
        <v>0</v>
      </c>
      <c r="AH249" s="381"/>
      <c r="AI249" s="476">
        <f t="shared" si="96"/>
        <v>0</v>
      </c>
      <c r="AJ249" s="381"/>
      <c r="AK249" s="476">
        <f t="shared" si="97"/>
        <v>0</v>
      </c>
    </row>
    <row r="250" spans="1:16384" outlineLevel="2">
      <c r="A250" s="4"/>
      <c r="B250" s="5" t="s">
        <v>1537</v>
      </c>
      <c r="C250" s="365" t="s">
        <v>725</v>
      </c>
      <c r="D250" s="365" t="s">
        <v>726</v>
      </c>
      <c r="E250" s="365" t="s">
        <v>727</v>
      </c>
      <c r="F250" s="4"/>
      <c r="G250" s="4"/>
      <c r="H250" s="4"/>
      <c r="I250" s="4"/>
      <c r="J250" s="4"/>
      <c r="K250" s="4"/>
      <c r="L250" s="4"/>
      <c r="M250" s="4"/>
      <c r="O250" s="236"/>
      <c r="R250" s="4"/>
      <c r="T250" s="9"/>
      <c r="U250" s="370" t="s">
        <v>1877</v>
      </c>
      <c r="V250" s="431">
        <f>IFERROR(((RESUMO!C156)*(VLOOKUP(B260,$O$140:$S$146,3,0))),0)</f>
        <v>0</v>
      </c>
      <c r="W250" s="430">
        <f>IFERROR(((RESUMO!C156)*(VLOOKUP(B260,$O$140:$S$146,4,0))),0)</f>
        <v>0</v>
      </c>
      <c r="X250" s="432">
        <f>IFERROR(IF(B260&lt;3,0,(RESUMO!C156)*(VLOOKUP(B260,$O$140:$S$146,5,0))),0)</f>
        <v>0</v>
      </c>
      <c r="Y250" s="469">
        <f t="shared" si="88"/>
        <v>0</v>
      </c>
      <c r="Z250" s="470">
        <f t="shared" si="89"/>
        <v>0</v>
      </c>
      <c r="AA250" s="471">
        <f t="shared" si="90"/>
        <v>0</v>
      </c>
      <c r="AB250" s="448">
        <f>RESUMO!E156</f>
        <v>0</v>
      </c>
      <c r="AC250" s="453">
        <f t="shared" si="91"/>
        <v>0</v>
      </c>
      <c r="AD250" s="429">
        <f t="shared" si="92"/>
        <v>0</v>
      </c>
      <c r="AE250" s="454">
        <f t="shared" si="93"/>
        <v>0</v>
      </c>
      <c r="AF250" s="381"/>
      <c r="AG250" s="476">
        <f t="shared" si="95"/>
        <v>0</v>
      </c>
      <c r="AH250" s="381"/>
      <c r="AI250" s="476">
        <f t="shared" si="96"/>
        <v>0</v>
      </c>
      <c r="AJ250" s="381"/>
      <c r="AK250" s="476">
        <f t="shared" si="97"/>
        <v>0</v>
      </c>
    </row>
    <row r="251" spans="1:16384" outlineLevel="2">
      <c r="A251" s="18" t="s">
        <v>2412</v>
      </c>
      <c r="B251" s="549">
        <f t="shared" ref="B251:B265" si="98">IF($I$12=1,1,IF($I$12=2,"1_2",IF($I$12=3,"1_2_3",1)))</f>
        <v>1</v>
      </c>
      <c r="C251" s="182">
        <f>SUM(Y240:Y241)</f>
        <v>0</v>
      </c>
      <c r="D251" s="182">
        <f>SUM(Z240:Z241)</f>
        <v>0</v>
      </c>
      <c r="E251" s="182">
        <f>SUM(AA240:AA241)</f>
        <v>0</v>
      </c>
      <c r="F251" s="4"/>
      <c r="G251" s="4"/>
      <c r="H251" s="4"/>
      <c r="I251" s="4"/>
      <c r="J251" s="4"/>
      <c r="K251" s="4"/>
      <c r="L251" s="4"/>
      <c r="M251" s="4"/>
      <c r="O251" s="236"/>
      <c r="R251" s="4"/>
      <c r="T251" s="9"/>
      <c r="U251" s="370" t="s">
        <v>1655</v>
      </c>
      <c r="V251" s="431">
        <f>IFERROR(((RESUMO!C157)*(VLOOKUP(B261,$O$140:$S$146,3,0))),0)</f>
        <v>0</v>
      </c>
      <c r="W251" s="430">
        <f>IFERROR(((RESUMO!C157)*(VLOOKUP(B261,$O$140:$S$146,4,0))),0)</f>
        <v>0</v>
      </c>
      <c r="X251" s="432">
        <f>IFERROR(IF(B261&lt;3,0,(RESUMO!C157)*(VLOOKUP(B261,$O$140:$S$146,5,0))),0)</f>
        <v>0</v>
      </c>
      <c r="Y251" s="469">
        <f t="shared" si="88"/>
        <v>0</v>
      </c>
      <c r="Z251" s="470">
        <f t="shared" si="89"/>
        <v>0</v>
      </c>
      <c r="AA251" s="471">
        <f t="shared" si="90"/>
        <v>0</v>
      </c>
      <c r="AB251" s="448">
        <f>RESUMO!E157</f>
        <v>0</v>
      </c>
      <c r="AC251" s="453">
        <f t="shared" si="91"/>
        <v>0</v>
      </c>
      <c r="AD251" s="429">
        <f t="shared" si="92"/>
        <v>0</v>
      </c>
      <c r="AE251" s="454">
        <f t="shared" si="93"/>
        <v>0</v>
      </c>
      <c r="AF251" s="381"/>
      <c r="AG251" s="476">
        <f t="shared" si="95"/>
        <v>0</v>
      </c>
      <c r="AH251" s="381"/>
      <c r="AI251" s="476">
        <f t="shared" si="96"/>
        <v>0</v>
      </c>
      <c r="AJ251" s="381"/>
      <c r="AK251" s="476">
        <f t="shared" si="97"/>
        <v>0</v>
      </c>
    </row>
    <row r="252" spans="1:16384" outlineLevel="2">
      <c r="A252" s="18" t="s">
        <v>1649</v>
      </c>
      <c r="B252" s="549">
        <f t="shared" si="98"/>
        <v>1</v>
      </c>
      <c r="C252" s="182">
        <f t="shared" ref="C252:C265" si="99">Y242</f>
        <v>0</v>
      </c>
      <c r="D252" s="182">
        <f t="shared" ref="D252:D265" si="100">Z242</f>
        <v>0</v>
      </c>
      <c r="E252" s="182">
        <f t="shared" ref="E252:E265" si="101">AA242</f>
        <v>0</v>
      </c>
      <c r="F252" s="4"/>
      <c r="G252" s="4"/>
      <c r="H252" s="4"/>
      <c r="I252" s="4"/>
      <c r="J252" s="4"/>
      <c r="K252" s="4"/>
      <c r="L252" s="4"/>
      <c r="M252" s="4"/>
      <c r="O252" s="236"/>
      <c r="R252" s="4"/>
      <c r="T252" s="9"/>
      <c r="U252" s="370" t="s">
        <v>2671</v>
      </c>
      <c r="V252" s="431">
        <f>IFERROR(((RESUMO!C158)*(VLOOKUP(B262,$O$140:$S$146,3,0))),0)</f>
        <v>0</v>
      </c>
      <c r="W252" s="430">
        <f>IFERROR(((RESUMO!C158)*(VLOOKUP(B262,$O$140:$S$146,4,0))),0)</f>
        <v>0</v>
      </c>
      <c r="X252" s="432">
        <f>IFERROR(IF(B262&lt;3,0,(RESUMO!C158)*(VLOOKUP(B262,$O$140:$S$146,5,0))),0)</f>
        <v>0</v>
      </c>
      <c r="Y252" s="469">
        <f t="shared" si="88"/>
        <v>0</v>
      </c>
      <c r="Z252" s="470">
        <f t="shared" si="89"/>
        <v>0</v>
      </c>
      <c r="AA252" s="471">
        <f t="shared" si="90"/>
        <v>0</v>
      </c>
      <c r="AB252" s="448">
        <f>RESUMO!E158</f>
        <v>0</v>
      </c>
      <c r="AC252" s="453">
        <f>IFERROR(Y252/SUM(Y252:AA252)*AB252/$I$15,0)*$I$12*$AC$137</f>
        <v>0</v>
      </c>
      <c r="AD252" s="429">
        <f>IFERROR(Z252/SUM(Y252:AA252)*AB252/$J$15,0)*$I$12*$AD$137</f>
        <v>0</v>
      </c>
      <c r="AE252" s="454">
        <f>IFERROR(AA252/SUM(Y252:AA252)*AB252/$K$15,0)*$I$12*$AE$137</f>
        <v>0</v>
      </c>
      <c r="AF252" s="381"/>
      <c r="AG252" s="476">
        <f t="shared" si="95"/>
        <v>0</v>
      </c>
      <c r="AH252" s="381"/>
      <c r="AI252" s="476">
        <f t="shared" si="96"/>
        <v>0</v>
      </c>
      <c r="AJ252" s="381"/>
      <c r="AK252" s="476">
        <f t="shared" si="97"/>
        <v>0</v>
      </c>
    </row>
    <row r="253" spans="1:16384" outlineLevel="2">
      <c r="A253" s="18" t="s">
        <v>1650</v>
      </c>
      <c r="B253" s="549">
        <f t="shared" si="98"/>
        <v>1</v>
      </c>
      <c r="C253" s="182">
        <f t="shared" si="99"/>
        <v>0</v>
      </c>
      <c r="D253" s="182">
        <f t="shared" si="100"/>
        <v>0</v>
      </c>
      <c r="E253" s="182">
        <f t="shared" si="101"/>
        <v>0</v>
      </c>
      <c r="F253" s="4"/>
      <c r="G253" s="4"/>
      <c r="H253" s="4"/>
      <c r="I253" s="4"/>
      <c r="J253" s="4"/>
      <c r="K253" s="4"/>
      <c r="L253" s="4"/>
      <c r="M253" s="4"/>
      <c r="O253" s="236"/>
      <c r="R253" s="4"/>
      <c r="T253" s="9"/>
      <c r="U253" s="370" t="s">
        <v>1647</v>
      </c>
      <c r="V253" s="431">
        <f>IFERROR(((RESUMO!C159)*(VLOOKUP(B263,$O$140:$S$146,3,0))),0)</f>
        <v>0</v>
      </c>
      <c r="W253" s="430">
        <f>IFERROR(((RESUMO!C159)*(VLOOKUP(B263,$O$140:$S$146,4,0))),0)</f>
        <v>0</v>
      </c>
      <c r="X253" s="432">
        <f>IFERROR(IF(B263&lt;3,0,(RESUMO!C159)*(VLOOKUP(B263,$O$140:$S$146,5,0))),0)</f>
        <v>0</v>
      </c>
      <c r="Y253" s="469">
        <f t="shared" si="88"/>
        <v>0</v>
      </c>
      <c r="Z253" s="470">
        <f t="shared" si="89"/>
        <v>0</v>
      </c>
      <c r="AA253" s="471">
        <f t="shared" si="90"/>
        <v>0</v>
      </c>
      <c r="AB253" s="448">
        <f>RESUMO!E159</f>
        <v>0</v>
      </c>
      <c r="AC253" s="453">
        <f>IFERROR(Y253/SUM(Y253:AA253)*AB253/$I$15,0)*$I$12*$AC$137</f>
        <v>0</v>
      </c>
      <c r="AD253" s="429">
        <f>IFERROR(Z253/SUM(Y253:AA253)*AB253/$J$15,0)*$I$12*$AD$137</f>
        <v>0</v>
      </c>
      <c r="AE253" s="454">
        <f>IFERROR(AA253/SUM(Y253:AA253)*AB253/$K$15,0)*$I$12*$AE$137</f>
        <v>0</v>
      </c>
      <c r="AF253" s="381"/>
      <c r="AG253" s="476">
        <f t="shared" si="95"/>
        <v>0</v>
      </c>
      <c r="AH253" s="381"/>
      <c r="AI253" s="476">
        <f t="shared" si="96"/>
        <v>0</v>
      </c>
      <c r="AJ253" s="381"/>
      <c r="AK253" s="476">
        <f t="shared" si="97"/>
        <v>0</v>
      </c>
    </row>
    <row r="254" spans="1:16384" outlineLevel="2">
      <c r="A254" s="18" t="s">
        <v>1651</v>
      </c>
      <c r="B254" s="549">
        <f t="shared" si="98"/>
        <v>1</v>
      </c>
      <c r="C254" s="182">
        <f t="shared" si="99"/>
        <v>0</v>
      </c>
      <c r="D254" s="182">
        <f t="shared" si="100"/>
        <v>0</v>
      </c>
      <c r="E254" s="182">
        <f t="shared" si="101"/>
        <v>0</v>
      </c>
      <c r="F254" s="4"/>
      <c r="G254" s="4"/>
      <c r="H254" s="4"/>
      <c r="I254" s="4"/>
      <c r="J254" s="4"/>
      <c r="K254" s="4"/>
      <c r="L254" s="4"/>
      <c r="M254" s="4"/>
      <c r="O254" s="236"/>
      <c r="R254" s="4"/>
      <c r="T254" s="9"/>
      <c r="U254" s="370" t="s">
        <v>2460</v>
      </c>
      <c r="V254" s="431">
        <f>IFERROR(((RESUMO!C160)*(VLOOKUP(B264,$O$140:$S$146,3,0))),0)</f>
        <v>0</v>
      </c>
      <c r="W254" s="430">
        <f>IFERROR(((RESUMO!C160)*(VLOOKUP(B264,$O$140:$S$146,4,0))),0)</f>
        <v>0</v>
      </c>
      <c r="X254" s="432">
        <f>IFERROR(IF(B264&lt;3,0,(RESUMO!C160)*(VLOOKUP(B264,$O$140:$S$146,5,0))),0)</f>
        <v>0</v>
      </c>
      <c r="Y254" s="469">
        <f t="shared" si="88"/>
        <v>0</v>
      </c>
      <c r="Z254" s="470">
        <f t="shared" si="89"/>
        <v>0</v>
      </c>
      <c r="AA254" s="471">
        <f t="shared" si="90"/>
        <v>0</v>
      </c>
      <c r="AB254" s="448">
        <f>RESUMO!E160</f>
        <v>0</v>
      </c>
      <c r="AC254" s="453">
        <f>IFERROR(Y254/SUM(Y254:AA254)*AB254/$I$15,0)*$I$12*$AC$137</f>
        <v>0</v>
      </c>
      <c r="AD254" s="429">
        <f>IFERROR(Z254/SUM(Y254:AA254)*AB254/$J$15,0)*$I$12*$AD$137</f>
        <v>0</v>
      </c>
      <c r="AE254" s="454">
        <f>IFERROR(AA254/SUM(Y254:AA254)*AB254/$K$15,0)*$I$12*$AE$137</f>
        <v>0</v>
      </c>
      <c r="AF254" s="381"/>
      <c r="AG254" s="476">
        <f t="shared" si="95"/>
        <v>0</v>
      </c>
      <c r="AH254" s="381"/>
      <c r="AI254" s="476">
        <f t="shared" si="96"/>
        <v>0</v>
      </c>
      <c r="AJ254" s="381"/>
      <c r="AK254" s="476">
        <f t="shared" si="97"/>
        <v>0</v>
      </c>
    </row>
    <row r="255" spans="1:16384" outlineLevel="2">
      <c r="A255" s="18" t="s">
        <v>1652</v>
      </c>
      <c r="B255" s="549">
        <f t="shared" si="98"/>
        <v>1</v>
      </c>
      <c r="C255" s="182">
        <f t="shared" si="99"/>
        <v>0</v>
      </c>
      <c r="D255" s="182">
        <f t="shared" si="100"/>
        <v>0</v>
      </c>
      <c r="E255" s="182">
        <f t="shared" si="101"/>
        <v>0</v>
      </c>
      <c r="F255" s="4"/>
      <c r="G255" s="4"/>
      <c r="H255" s="4"/>
      <c r="I255" s="4"/>
      <c r="J255" s="4"/>
      <c r="K255" s="4"/>
      <c r="L255" s="4"/>
      <c r="M255" s="4"/>
      <c r="O255" s="236"/>
      <c r="R255" s="4"/>
      <c r="T255" s="9"/>
      <c r="U255" s="117" t="s">
        <v>1646</v>
      </c>
      <c r="V255" s="431">
        <f>IFERROR(((RESUMO!C161)*(VLOOKUP(B265,$O$140:$S$146,3,0))),0)</f>
        <v>0</v>
      </c>
      <c r="W255" s="430">
        <f>IFERROR(((RESUMO!C161)*(VLOOKUP(B265,$O$140:$S$146,4,0))),0)</f>
        <v>0</v>
      </c>
      <c r="X255" s="432">
        <f>IFERROR(IF(B265&lt;3,0,(RESUMO!C161)*(VLOOKUP(B265,$O$140:$S$146,5,0))),0)</f>
        <v>0</v>
      </c>
      <c r="Y255" s="469">
        <f t="shared" si="88"/>
        <v>0</v>
      </c>
      <c r="Z255" s="470">
        <f t="shared" si="89"/>
        <v>0</v>
      </c>
      <c r="AA255" s="471">
        <f t="shared" si="90"/>
        <v>0</v>
      </c>
      <c r="AB255" s="449">
        <f>RESUMO!E161</f>
        <v>0</v>
      </c>
      <c r="AC255" s="455">
        <f>IFERROR(Y255/SUM(Y255:AA255)*AB255/$I$15,0)*$I$12*$AC$137</f>
        <v>0</v>
      </c>
      <c r="AD255" s="456">
        <f>IFERROR(Z255/SUM(Y255:AA255)*AB255/$J$15,0)*$I$12*$AD$137</f>
        <v>0</v>
      </c>
      <c r="AE255" s="457">
        <f>IFERROR(AA255/SUM(Y255:AA255)*AB255/$K$15,0)*$I$12*$AE$137</f>
        <v>0</v>
      </c>
      <c r="AF255" s="381"/>
      <c r="AG255" s="476">
        <f t="shared" si="95"/>
        <v>0</v>
      </c>
      <c r="AH255" s="381"/>
      <c r="AI255" s="476">
        <f t="shared" si="96"/>
        <v>0</v>
      </c>
      <c r="AJ255" s="381"/>
      <c r="AK255" s="476">
        <f t="shared" si="97"/>
        <v>0</v>
      </c>
    </row>
    <row r="256" spans="1:16384" outlineLevel="2">
      <c r="A256" s="18" t="s">
        <v>1653</v>
      </c>
      <c r="B256" s="549">
        <f t="shared" si="98"/>
        <v>1</v>
      </c>
      <c r="C256" s="182">
        <f t="shared" si="99"/>
        <v>0</v>
      </c>
      <c r="D256" s="182">
        <f t="shared" si="100"/>
        <v>0</v>
      </c>
      <c r="E256" s="182">
        <f t="shared" si="101"/>
        <v>0</v>
      </c>
      <c r="F256" s="4"/>
      <c r="G256" s="4"/>
      <c r="H256" s="4"/>
      <c r="I256" s="4"/>
      <c r="J256" s="4"/>
      <c r="K256" s="4"/>
      <c r="L256" s="4"/>
      <c r="M256" s="4"/>
      <c r="O256" s="236"/>
      <c r="R256" s="4"/>
      <c r="T256" s="9"/>
      <c r="U256" s="439" t="s">
        <v>1790</v>
      </c>
      <c r="V256" s="460">
        <f t="shared" ref="V256:AK256" si="102">SUM(V240:V255)</f>
        <v>0</v>
      </c>
      <c r="W256" s="461">
        <f t="shared" si="102"/>
        <v>0</v>
      </c>
      <c r="X256" s="463">
        <f t="shared" si="102"/>
        <v>0</v>
      </c>
      <c r="Y256" s="464">
        <f t="shared" si="102"/>
        <v>0</v>
      </c>
      <c r="Z256" s="462">
        <f t="shared" si="102"/>
        <v>0</v>
      </c>
      <c r="AA256" s="465">
        <f t="shared" si="102"/>
        <v>0</v>
      </c>
      <c r="AB256" s="466">
        <f t="shared" si="102"/>
        <v>0</v>
      </c>
      <c r="AC256" s="460">
        <f t="shared" si="102"/>
        <v>0</v>
      </c>
      <c r="AD256" s="461">
        <f t="shared" si="102"/>
        <v>0</v>
      </c>
      <c r="AE256" s="463">
        <f t="shared" si="102"/>
        <v>0</v>
      </c>
      <c r="AF256" s="460">
        <f t="shared" si="102"/>
        <v>0</v>
      </c>
      <c r="AG256" s="463">
        <f t="shared" si="102"/>
        <v>0</v>
      </c>
      <c r="AH256" s="460">
        <f t="shared" si="102"/>
        <v>0</v>
      </c>
      <c r="AI256" s="463">
        <f t="shared" si="102"/>
        <v>0</v>
      </c>
      <c r="AJ256" s="460">
        <f t="shared" si="102"/>
        <v>0</v>
      </c>
      <c r="AK256" s="463">
        <f t="shared" si="102"/>
        <v>0</v>
      </c>
    </row>
    <row r="257" spans="1:37" outlineLevel="2">
      <c r="A257" s="18" t="s">
        <v>2565</v>
      </c>
      <c r="B257" s="549">
        <f t="shared" si="98"/>
        <v>1</v>
      </c>
      <c r="C257" s="182">
        <f t="shared" si="99"/>
        <v>0</v>
      </c>
      <c r="D257" s="182">
        <f t="shared" si="100"/>
        <v>0</v>
      </c>
      <c r="E257" s="182">
        <f t="shared" si="101"/>
        <v>0</v>
      </c>
      <c r="F257" s="4"/>
      <c r="G257" s="4"/>
      <c r="H257" s="4"/>
      <c r="I257" s="4"/>
      <c r="J257" s="4"/>
      <c r="K257" s="4"/>
      <c r="L257" s="4"/>
      <c r="M257" s="4"/>
      <c r="O257" s="236"/>
      <c r="R257" s="4"/>
      <c r="T257" s="9"/>
      <c r="U257" s="370" t="s">
        <v>1636</v>
      </c>
      <c r="V257" s="431">
        <f>IFERROR(((RESUMO!C165)*(VLOOKUP(B266,$O$140:$S$146,3,0))),0)</f>
        <v>0</v>
      </c>
      <c r="W257" s="430">
        <f>IFERROR(((RESUMO!C165)*(VLOOKUP(B266,$O$140:$S$146,4,0))),0)</f>
        <v>0</v>
      </c>
      <c r="X257" s="432">
        <f>IFERROR(IF(B267&lt;3,0,(RESUMO!C168)*(VLOOKUP(B266,$O$140:$S$146,5,0))),0)</f>
        <v>0</v>
      </c>
      <c r="Y257" s="443">
        <f t="shared" ref="Y257:Y276" si="103">IFERROR(V257/$V$277,0)</f>
        <v>0</v>
      </c>
      <c r="Z257" s="428">
        <f t="shared" ref="Z257:Z276" si="104">IFERROR(W257/$W$277,0)</f>
        <v>0</v>
      </c>
      <c r="AA257" s="444">
        <f t="shared" ref="AA257:AA276" si="105">IFERROR(X257/$X$277,0)</f>
        <v>0</v>
      </c>
      <c r="AB257" s="448">
        <f>RESUMO!E165</f>
        <v>0</v>
      </c>
      <c r="AC257" s="450">
        <f t="shared" ref="AC257:AC263" si="106">IFERROR(Y257/SUM(Y257:AA257)*AB257/$I$15,0)*$I$12*$AC$137</f>
        <v>0</v>
      </c>
      <c r="AD257" s="451">
        <f t="shared" ref="AD257:AD263" si="107">IFERROR(Z257/SUM(Y257:AA257)*AB257/$J$15,0)*$I$12*$AD$137</f>
        <v>0</v>
      </c>
      <c r="AE257" s="452">
        <f t="shared" ref="AE257:AE263" si="108">IFERROR(AA257/SUM(Y257:AA257)*AB257/$K$15,0)*$I$12*$AE$137</f>
        <v>0</v>
      </c>
      <c r="AF257" s="468"/>
      <c r="AG257" s="452">
        <f>AC257</f>
        <v>0</v>
      </c>
      <c r="AH257" s="468"/>
      <c r="AI257" s="452">
        <f>AD257</f>
        <v>0</v>
      </c>
      <c r="AJ257" s="468"/>
      <c r="AK257" s="452">
        <f>AE257</f>
        <v>0</v>
      </c>
    </row>
    <row r="258" spans="1:37" outlineLevel="2">
      <c r="A258" s="18" t="s">
        <v>1654</v>
      </c>
      <c r="B258" s="549">
        <f t="shared" si="98"/>
        <v>1</v>
      </c>
      <c r="C258" s="182">
        <f t="shared" si="99"/>
        <v>0</v>
      </c>
      <c r="D258" s="182">
        <f t="shared" si="100"/>
        <v>0</v>
      </c>
      <c r="E258" s="182">
        <f t="shared" si="101"/>
        <v>0</v>
      </c>
      <c r="F258" s="4"/>
      <c r="G258" s="4"/>
      <c r="H258" s="4"/>
      <c r="I258" s="4"/>
      <c r="J258" s="4"/>
      <c r="K258" s="4"/>
      <c r="L258" s="4"/>
      <c r="M258" s="4"/>
      <c r="O258" s="236"/>
      <c r="R258" s="4"/>
      <c r="T258" s="9"/>
      <c r="U258" s="370" t="s">
        <v>2410</v>
      </c>
      <c r="V258" s="431">
        <f>IFERROR(((RESUMO!C166)*(VLOOKUP(B267,$O$140:$S$146,3,0))),0)</f>
        <v>0</v>
      </c>
      <c r="W258" s="430">
        <f>IFERROR(((RESUMO!C166)*(VLOOKUP(B267,$O$140:$S$146,4,0))),0)</f>
        <v>0</v>
      </c>
      <c r="X258" s="432">
        <f>IFERROR(IF(B268&lt;3,0,(RESUMO!C169)*(VLOOKUP(B267,$O$140:$S$146,5,0))),0)</f>
        <v>0</v>
      </c>
      <c r="Y258" s="443">
        <f t="shared" si="103"/>
        <v>0</v>
      </c>
      <c r="Z258" s="428">
        <f t="shared" si="104"/>
        <v>0</v>
      </c>
      <c r="AA258" s="444">
        <f t="shared" si="105"/>
        <v>0</v>
      </c>
      <c r="AB258" s="448">
        <f>RESUMO!E166</f>
        <v>0</v>
      </c>
      <c r="AC258" s="450">
        <f t="shared" si="106"/>
        <v>0</v>
      </c>
      <c r="AD258" s="451">
        <f t="shared" si="107"/>
        <v>0</v>
      </c>
      <c r="AE258" s="452">
        <f t="shared" si="108"/>
        <v>0</v>
      </c>
      <c r="AF258" s="468"/>
      <c r="AG258" s="452">
        <f>AC258</f>
        <v>0</v>
      </c>
      <c r="AH258" s="468"/>
      <c r="AI258" s="452">
        <f>AD258</f>
        <v>0</v>
      </c>
      <c r="AJ258" s="468"/>
      <c r="AK258" s="452">
        <f>AE258</f>
        <v>0</v>
      </c>
    </row>
    <row r="259" spans="1:37" outlineLevel="2">
      <c r="A259" s="18" t="s">
        <v>1792</v>
      </c>
      <c r="B259" s="549">
        <f t="shared" si="98"/>
        <v>1</v>
      </c>
      <c r="C259" s="182">
        <f t="shared" si="99"/>
        <v>0</v>
      </c>
      <c r="D259" s="182">
        <f t="shared" si="100"/>
        <v>0</v>
      </c>
      <c r="E259" s="182">
        <f t="shared" si="101"/>
        <v>0</v>
      </c>
      <c r="F259" s="4"/>
      <c r="G259" s="4"/>
      <c r="H259" s="4"/>
      <c r="I259" s="4"/>
      <c r="J259" s="4"/>
      <c r="K259" s="4"/>
      <c r="L259" s="4"/>
      <c r="M259" s="4"/>
      <c r="O259" s="236"/>
      <c r="R259" s="4"/>
      <c r="T259" s="9"/>
      <c r="U259" s="370" t="s">
        <v>1637</v>
      </c>
      <c r="V259" s="431">
        <f>IFERROR(((RESUMO!C167)*(VLOOKUP(B268,$O$140:$S$146,3,0))),0)</f>
        <v>0</v>
      </c>
      <c r="W259" s="430">
        <f>IFERROR(((RESUMO!C167)*(VLOOKUP(B268,$O$140:$S$146,4,0))),0)</f>
        <v>0</v>
      </c>
      <c r="X259" s="432">
        <f>IFERROR(IF(B269&lt;3,0,(RESUMO!C170)*(VLOOKUP(B268,$O$140:$S$146,5,0))),0)</f>
        <v>0</v>
      </c>
      <c r="Y259" s="443">
        <f t="shared" si="103"/>
        <v>0</v>
      </c>
      <c r="Z259" s="428">
        <f t="shared" si="104"/>
        <v>0</v>
      </c>
      <c r="AA259" s="444">
        <f t="shared" si="105"/>
        <v>0</v>
      </c>
      <c r="AB259" s="448">
        <f>RESUMO!E167</f>
        <v>0</v>
      </c>
      <c r="AC259" s="453">
        <f t="shared" si="106"/>
        <v>0</v>
      </c>
      <c r="AD259" s="429">
        <f t="shared" si="107"/>
        <v>0</v>
      </c>
      <c r="AE259" s="454">
        <f t="shared" si="108"/>
        <v>0</v>
      </c>
      <c r="AF259" s="381"/>
      <c r="AG259" s="454">
        <f>AC259</f>
        <v>0</v>
      </c>
      <c r="AH259" s="381"/>
      <c r="AI259" s="454">
        <f>AD259</f>
        <v>0</v>
      </c>
      <c r="AJ259" s="381"/>
      <c r="AK259" s="454">
        <f>AE259</f>
        <v>0</v>
      </c>
    </row>
    <row r="260" spans="1:37" outlineLevel="2">
      <c r="A260" s="18" t="s">
        <v>1877</v>
      </c>
      <c r="B260" s="549">
        <f t="shared" si="98"/>
        <v>1</v>
      </c>
      <c r="C260" s="182">
        <f t="shared" si="99"/>
        <v>0</v>
      </c>
      <c r="D260" s="182">
        <f t="shared" si="100"/>
        <v>0</v>
      </c>
      <c r="E260" s="182">
        <f t="shared" si="101"/>
        <v>0</v>
      </c>
      <c r="F260" s="4"/>
      <c r="G260" s="4"/>
      <c r="H260" s="4"/>
      <c r="I260" s="4"/>
      <c r="J260" s="4"/>
      <c r="K260" s="4"/>
      <c r="L260" s="4"/>
      <c r="M260" s="4"/>
      <c r="O260" s="236"/>
      <c r="R260" s="4"/>
      <c r="T260" s="9"/>
      <c r="U260" s="370" t="s">
        <v>1638</v>
      </c>
      <c r="V260" s="431">
        <f>IFERROR(((RESUMO!C168)*(VLOOKUP(B269,$O$140:$S$146,3,0))),0)</f>
        <v>0</v>
      </c>
      <c r="W260" s="430">
        <f>IFERROR(((RESUMO!C168)*(VLOOKUP(B269,$O$140:$S$146,4,0))),0)</f>
        <v>0</v>
      </c>
      <c r="X260" s="432">
        <f>IFERROR(IF(B270&lt;3,0,(RESUMO!C171)*(VLOOKUP(B269,$O$140:$S$146,5,0))),0)</f>
        <v>0</v>
      </c>
      <c r="Y260" s="443">
        <f t="shared" si="103"/>
        <v>0</v>
      </c>
      <c r="Z260" s="428">
        <f t="shared" si="104"/>
        <v>0</v>
      </c>
      <c r="AA260" s="444">
        <f t="shared" si="105"/>
        <v>0</v>
      </c>
      <c r="AB260" s="448">
        <f>RESUMO!E168</f>
        <v>0</v>
      </c>
      <c r="AC260" s="453">
        <f>IFERROR(Y260/SUM(Y260:AA260)*AB260/$I$15,0)*$I$12*$AC$137</f>
        <v>0</v>
      </c>
      <c r="AD260" s="429">
        <f t="shared" si="107"/>
        <v>0</v>
      </c>
      <c r="AE260" s="454">
        <f t="shared" si="108"/>
        <v>0</v>
      </c>
      <c r="AF260" s="381"/>
      <c r="AG260" s="454">
        <f>AC260</f>
        <v>0</v>
      </c>
      <c r="AH260" s="381"/>
      <c r="AI260" s="454">
        <f>AD260</f>
        <v>0</v>
      </c>
      <c r="AJ260" s="381"/>
      <c r="AK260" s="454">
        <f>AE260</f>
        <v>0</v>
      </c>
    </row>
    <row r="261" spans="1:37" outlineLevel="2">
      <c r="A261" s="18" t="s">
        <v>1655</v>
      </c>
      <c r="B261" s="549">
        <f t="shared" si="98"/>
        <v>1</v>
      </c>
      <c r="C261" s="182">
        <f t="shared" si="99"/>
        <v>0</v>
      </c>
      <c r="D261" s="182">
        <f t="shared" si="100"/>
        <v>0</v>
      </c>
      <c r="E261" s="182">
        <f t="shared" si="101"/>
        <v>0</v>
      </c>
      <c r="F261" s="4"/>
      <c r="G261" s="4"/>
      <c r="H261" s="4"/>
      <c r="I261" s="4"/>
      <c r="J261" s="4"/>
      <c r="K261" s="4"/>
      <c r="L261" s="4"/>
      <c r="M261" s="4"/>
      <c r="O261" s="236"/>
      <c r="R261" s="4"/>
      <c r="T261" s="9"/>
      <c r="U261" s="370" t="s">
        <v>1639</v>
      </c>
      <c r="V261" s="431">
        <f>IFERROR(((RESUMO!C169)*(VLOOKUP(B270,$O$140:$S$146,3,0))),0)</f>
        <v>0</v>
      </c>
      <c r="W261" s="430">
        <f>IFERROR(((RESUMO!C169)*(VLOOKUP(B270,$O$140:$S$146,4,0))),0)</f>
        <v>0</v>
      </c>
      <c r="X261" s="432">
        <f>IFERROR(IF(B271&lt;3,0,(RESUMO!C172)*(VLOOKUP(B270,$O$140:$S$146,5,0))),0)</f>
        <v>0</v>
      </c>
      <c r="Y261" s="443">
        <f t="shared" si="103"/>
        <v>0</v>
      </c>
      <c r="Z261" s="428">
        <f t="shared" si="104"/>
        <v>0</v>
      </c>
      <c r="AA261" s="444">
        <f t="shared" si="105"/>
        <v>0</v>
      </c>
      <c r="AB261" s="448">
        <f>RESUMO!E169</f>
        <v>0</v>
      </c>
      <c r="AC261" s="453">
        <f t="shared" si="106"/>
        <v>0</v>
      </c>
      <c r="AD261" s="429">
        <f t="shared" si="107"/>
        <v>0</v>
      </c>
      <c r="AE261" s="454">
        <f t="shared" si="108"/>
        <v>0</v>
      </c>
      <c r="AF261" s="381">
        <f>IF(AC261-($B$226*$E$226)&lt;=0,AC261,($B$226*$E$226))</f>
        <v>0</v>
      </c>
      <c r="AG261" s="454">
        <f>AC261-AF261</f>
        <v>0</v>
      </c>
      <c r="AH261" s="381">
        <f>IF(AD261-($B$226*$E$226)&lt;=0,AD261,($B$226*$E$226))</f>
        <v>0</v>
      </c>
      <c r="AI261" s="454">
        <f>AD261-AH261</f>
        <v>0</v>
      </c>
      <c r="AJ261" s="381">
        <f>IF(AE261-($B$226*$E$226)&lt;=0,AE261,($B$226*$E$226))</f>
        <v>0</v>
      </c>
      <c r="AK261" s="454">
        <f>AE261-AJ261</f>
        <v>0</v>
      </c>
    </row>
    <row r="262" spans="1:37" outlineLevel="2">
      <c r="A262" s="18" t="s">
        <v>2671</v>
      </c>
      <c r="B262" s="549">
        <f t="shared" si="98"/>
        <v>1</v>
      </c>
      <c r="C262" s="182">
        <f t="shared" si="99"/>
        <v>0</v>
      </c>
      <c r="D262" s="182">
        <f t="shared" si="100"/>
        <v>0</v>
      </c>
      <c r="E262" s="182">
        <f t="shared" si="101"/>
        <v>0</v>
      </c>
      <c r="F262" s="4"/>
      <c r="G262" s="4"/>
      <c r="H262" s="4"/>
      <c r="I262" s="4"/>
      <c r="J262" s="4"/>
      <c r="K262" s="4"/>
      <c r="L262" s="4"/>
      <c r="M262" s="4"/>
      <c r="O262" s="236"/>
      <c r="R262" s="4"/>
      <c r="T262" s="9"/>
      <c r="U262" s="370" t="s">
        <v>1640</v>
      </c>
      <c r="V262" s="431">
        <f>IFERROR(((RESUMO!C170)*(VLOOKUP(B272,$O$140:$S$146,3,0))),0)</f>
        <v>0</v>
      </c>
      <c r="W262" s="430">
        <f>IFERROR(((RESUMO!C170)*(VLOOKUP(B272,$O$140:$S$146,4,0))),0)</f>
        <v>0</v>
      </c>
      <c r="X262" s="432">
        <f>IFERROR(IF(B272&lt;3,0,(RESUMO!C170)*(VLOOKUP(B272,$O$140:$S$146,5,0))),0)</f>
        <v>0</v>
      </c>
      <c r="Y262" s="443">
        <f t="shared" si="103"/>
        <v>0</v>
      </c>
      <c r="Z262" s="428">
        <f t="shared" si="104"/>
        <v>0</v>
      </c>
      <c r="AA262" s="444">
        <f t="shared" si="105"/>
        <v>0</v>
      </c>
      <c r="AB262" s="448">
        <f>RESUMO!E170</f>
        <v>0</v>
      </c>
      <c r="AC262" s="453">
        <f t="shared" si="106"/>
        <v>0</v>
      </c>
      <c r="AD262" s="429">
        <f t="shared" si="107"/>
        <v>0</v>
      </c>
      <c r="AE262" s="454">
        <f t="shared" si="108"/>
        <v>0</v>
      </c>
      <c r="AF262" s="381">
        <f>IF(AC262-($B$226*$E$226)&lt;=0,AC262,($B$226*$E$226))</f>
        <v>0</v>
      </c>
      <c r="AG262" s="454">
        <f>AC262-AF262</f>
        <v>0</v>
      </c>
      <c r="AH262" s="381">
        <f>IF(AD262-($B$226*$E$226)&lt;=0,AD262,($B$226*$E$226))</f>
        <v>0</v>
      </c>
      <c r="AI262" s="454">
        <f>AD262-AH262</f>
        <v>0</v>
      </c>
      <c r="AJ262" s="381">
        <f>IF(AE262-($B$226*$E$226)&lt;=0,AE262,($B$226*$E$226))</f>
        <v>0</v>
      </c>
      <c r="AK262" s="454">
        <f>AE262-AJ262</f>
        <v>0</v>
      </c>
    </row>
    <row r="263" spans="1:37" outlineLevel="2">
      <c r="A263" s="18" t="s">
        <v>1647</v>
      </c>
      <c r="B263" s="549">
        <f t="shared" si="98"/>
        <v>1</v>
      </c>
      <c r="C263" s="182">
        <f t="shared" si="99"/>
        <v>0</v>
      </c>
      <c r="D263" s="182">
        <f t="shared" si="100"/>
        <v>0</v>
      </c>
      <c r="E263" s="182">
        <f t="shared" si="101"/>
        <v>0</v>
      </c>
      <c r="F263" s="4"/>
      <c r="G263" s="4"/>
      <c r="H263" s="4"/>
      <c r="I263" s="4"/>
      <c r="J263" s="4"/>
      <c r="K263" s="4"/>
      <c r="L263" s="4"/>
      <c r="M263" s="4"/>
      <c r="O263" s="236"/>
      <c r="R263" s="4"/>
      <c r="T263" s="9"/>
      <c r="U263" s="370" t="s">
        <v>1641</v>
      </c>
      <c r="V263" s="431">
        <f>IFERROR(((RESUMO!C171)*(VLOOKUP(B273,$O$140:$S$146,3,0))),0)</f>
        <v>0</v>
      </c>
      <c r="W263" s="430">
        <f>IFERROR(((RESUMO!C171)*(VLOOKUP(B273,$O$140:$S$146,4,0))),0)</f>
        <v>0</v>
      </c>
      <c r="X263" s="432">
        <f>IFERROR(IF(B273&lt;3,0,(RESUMO!C171)*(VLOOKUP(B273,$O$140:$S$146,5,0))),0)</f>
        <v>0</v>
      </c>
      <c r="Y263" s="443">
        <f t="shared" si="103"/>
        <v>0</v>
      </c>
      <c r="Z263" s="428">
        <f t="shared" si="104"/>
        <v>0</v>
      </c>
      <c r="AA263" s="444">
        <f t="shared" si="105"/>
        <v>0</v>
      </c>
      <c r="AB263" s="448">
        <f>RESUMO!E171</f>
        <v>0</v>
      </c>
      <c r="AC263" s="453">
        <f t="shared" si="106"/>
        <v>0</v>
      </c>
      <c r="AD263" s="429">
        <f t="shared" si="107"/>
        <v>0</v>
      </c>
      <c r="AE263" s="454">
        <f t="shared" si="108"/>
        <v>0</v>
      </c>
      <c r="AF263" s="381">
        <f>IF(AC263-($B$226*$E$226)&lt;=0,AC263,($B$226*$E$226))</f>
        <v>0</v>
      </c>
      <c r="AG263" s="454">
        <f>AC263-AF263</f>
        <v>0</v>
      </c>
      <c r="AH263" s="381">
        <f>IF(AD263-($B$226*$E$226)&lt;=0,AD263,($B$226*$E$226))</f>
        <v>0</v>
      </c>
      <c r="AI263" s="454">
        <f>AD263-AH263</f>
        <v>0</v>
      </c>
      <c r="AJ263" s="381">
        <f>IF(AE263-($B$226*$E$226)&lt;=0,AE263,($B$226*$E$226))</f>
        <v>0</v>
      </c>
      <c r="AK263" s="454">
        <f>AE263-AJ263</f>
        <v>0</v>
      </c>
    </row>
    <row r="264" spans="1:37" outlineLevel="2">
      <c r="A264" s="18" t="s">
        <v>2460</v>
      </c>
      <c r="B264" s="549">
        <f t="shared" si="98"/>
        <v>1</v>
      </c>
      <c r="C264" s="182">
        <f t="shared" si="99"/>
        <v>0</v>
      </c>
      <c r="D264" s="182">
        <f t="shared" si="100"/>
        <v>0</v>
      </c>
      <c r="E264" s="182">
        <f t="shared" si="101"/>
        <v>0</v>
      </c>
      <c r="F264" s="4"/>
      <c r="G264" s="4"/>
      <c r="H264" s="4"/>
      <c r="I264" s="4"/>
      <c r="J264" s="4"/>
      <c r="K264" s="4"/>
      <c r="L264" s="4"/>
      <c r="M264" s="4"/>
      <c r="O264" s="236"/>
      <c r="R264" s="4"/>
      <c r="T264" s="9"/>
      <c r="U264" s="370" t="s">
        <v>2564</v>
      </c>
      <c r="V264" s="431">
        <f>IFERROR(((RESUMO!C172)*(VLOOKUP(B273,$O$140:$S$146,3,0))),0)</f>
        <v>0</v>
      </c>
      <c r="W264" s="430">
        <f>IFERROR(((RESUMO!C172)*(VLOOKUP(B273,$O$140:$S$146,4,0))),0)</f>
        <v>0</v>
      </c>
      <c r="X264" s="432">
        <f>IFERROR(IF(B273&lt;3,0,(RESUMO!C172)*(VLOOKUP(B273,$O$140:$S$146,5,0))),0)</f>
        <v>0</v>
      </c>
      <c r="Y264" s="443">
        <f t="shared" si="103"/>
        <v>0</v>
      </c>
      <c r="Z264" s="428">
        <f t="shared" si="104"/>
        <v>0</v>
      </c>
      <c r="AA264" s="444">
        <f t="shared" si="105"/>
        <v>0</v>
      </c>
      <c r="AB264" s="448">
        <f>RESUMO!E172</f>
        <v>0</v>
      </c>
      <c r="AC264" s="453">
        <f t="shared" ref="AC264:AC268" si="109">IFERROR(Y264/SUM(Y264:AA264)*AB264/$I$15,0)*$I$12*$AC$137</f>
        <v>0</v>
      </c>
      <c r="AD264" s="429">
        <f t="shared" ref="AD264:AD268" si="110">IFERROR(Z264/SUM(Y264:AA264)*AB264/$J$15,0)*$I$12*$AD$137</f>
        <v>0</v>
      </c>
      <c r="AE264" s="454">
        <f t="shared" ref="AE264:AE268" si="111">IFERROR(AA264/SUM(Y264:AA264)*AB264/$K$15,0)*$I$12*$AE$137</f>
        <v>0</v>
      </c>
      <c r="AF264" s="381">
        <f>IF(AC264-($B$226*$E$226)&lt;=0,AC264,($B$226*$E$226))</f>
        <v>0</v>
      </c>
      <c r="AG264" s="454">
        <f>AC264-AF264</f>
        <v>0</v>
      </c>
      <c r="AH264" s="381">
        <f>IF(AD264-($B$226*$E$226)&lt;=0,AD264,($B$226*$E$226))</f>
        <v>0</v>
      </c>
      <c r="AI264" s="454">
        <f>AD264-AH264</f>
        <v>0</v>
      </c>
      <c r="AJ264" s="381">
        <f>IF(AE264-($B$226*$E$226)&lt;=0,AE264,($B$226*$E$226))</f>
        <v>0</v>
      </c>
      <c r="AK264" s="454">
        <f>AE264-AJ264</f>
        <v>0</v>
      </c>
    </row>
    <row r="265" spans="1:37" outlineLevel="2">
      <c r="A265" s="18" t="s">
        <v>1646</v>
      </c>
      <c r="B265" s="549">
        <f t="shared" si="98"/>
        <v>1</v>
      </c>
      <c r="C265" s="182">
        <f t="shared" si="99"/>
        <v>0</v>
      </c>
      <c r="D265" s="182">
        <f t="shared" si="100"/>
        <v>0</v>
      </c>
      <c r="E265" s="182">
        <f t="shared" si="101"/>
        <v>0</v>
      </c>
      <c r="F265" s="4"/>
      <c r="G265" s="4"/>
      <c r="H265" s="4"/>
      <c r="I265" s="4"/>
      <c r="J265" s="4"/>
      <c r="K265" s="4"/>
      <c r="L265" s="4"/>
      <c r="M265" s="4"/>
      <c r="O265" s="236"/>
      <c r="R265" s="4"/>
      <c r="T265" s="9"/>
      <c r="U265" s="370" t="s">
        <v>1642</v>
      </c>
      <c r="V265" s="431">
        <f>IFERROR(((RESUMO!C173)*(VLOOKUP(B274,$O$140:$S$146,3,0))),0)</f>
        <v>1</v>
      </c>
      <c r="W265" s="430">
        <f>IFERROR(((RESUMO!C173)*(VLOOKUP(B274,$O$140:$S$146,4,0))),0)</f>
        <v>0</v>
      </c>
      <c r="X265" s="432">
        <f>IFERROR(IF(B275&lt;3,0,(RESUMO!C176)*(VLOOKUP(B274,$O$140:$S$146,5,0))),0)</f>
        <v>0</v>
      </c>
      <c r="Y265" s="443">
        <f t="shared" si="103"/>
        <v>1</v>
      </c>
      <c r="Z265" s="428">
        <f t="shared" si="104"/>
        <v>0</v>
      </c>
      <c r="AA265" s="444">
        <f t="shared" si="105"/>
        <v>0</v>
      </c>
      <c r="AB265" s="448">
        <f>RESUMO!E173</f>
        <v>237.85174825174829</v>
      </c>
      <c r="AC265" s="453">
        <f t="shared" si="109"/>
        <v>24.840913655535072</v>
      </c>
      <c r="AD265" s="429">
        <f t="shared" si="110"/>
        <v>0</v>
      </c>
      <c r="AE265" s="454">
        <f t="shared" si="111"/>
        <v>0</v>
      </c>
      <c r="AF265" s="453"/>
      <c r="AG265" s="454">
        <f t="shared" ref="AG265:AG268" si="112">AC265</f>
        <v>24.840913655535072</v>
      </c>
      <c r="AH265" s="453"/>
      <c r="AI265" s="454">
        <f t="shared" ref="AI265:AI268" si="113">AD265</f>
        <v>0</v>
      </c>
      <c r="AJ265" s="453"/>
      <c r="AK265" s="454">
        <f t="shared" ref="AK265:AK268" si="114">AE265</f>
        <v>0</v>
      </c>
    </row>
    <row r="266" spans="1:37" outlineLevel="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O266" s="236"/>
      <c r="R266" s="4"/>
      <c r="T266" s="9"/>
      <c r="U266" s="370" t="s">
        <v>2400</v>
      </c>
      <c r="V266" s="431">
        <f>IFERROR(((RESUMO!C175)*(VLOOKUP(B276,$O$140:$S$146,3,0))),0)</f>
        <v>0</v>
      </c>
      <c r="W266" s="430">
        <f>IFERROR(((RESUMO!C175)*(VLOOKUP(B276,$O$140:$S$146,4,0))),0)</f>
        <v>0</v>
      </c>
      <c r="X266" s="432">
        <f>IFERROR(IF(B276&lt;3,0,(RESUMO!C175)*(VLOOKUP(B276,$O$140:$S$146,5,0))),0)</f>
        <v>0</v>
      </c>
      <c r="Y266" s="443">
        <f t="shared" si="103"/>
        <v>0</v>
      </c>
      <c r="Z266" s="428">
        <f t="shared" si="104"/>
        <v>0</v>
      </c>
      <c r="AA266" s="444">
        <f t="shared" si="105"/>
        <v>0</v>
      </c>
      <c r="AB266" s="448">
        <f>RESUMO!E175</f>
        <v>0</v>
      </c>
      <c r="AC266" s="453">
        <f>IFERROR(Y266/SUM(Y266:AA266)*AB266/$I$15,0)*$I$12*$AC$137</f>
        <v>0</v>
      </c>
      <c r="AD266" s="429">
        <f>IFERROR(Z266/SUM(Y266:AA266)*AB266/$J$15,0)*$I$12*$AD$137</f>
        <v>0</v>
      </c>
      <c r="AE266" s="454">
        <f>IFERROR(AA266/SUM(Y266:AA266)*AB266/$K$15,0)*$I$12*$AE$137</f>
        <v>0</v>
      </c>
      <c r="AF266" s="453"/>
      <c r="AG266" s="454">
        <f>AC266</f>
        <v>0</v>
      </c>
      <c r="AH266" s="453"/>
      <c r="AI266" s="454">
        <f>AD266</f>
        <v>0</v>
      </c>
      <c r="AJ266" s="453"/>
      <c r="AK266" s="454">
        <f>AE266</f>
        <v>0</v>
      </c>
    </row>
    <row r="267" spans="1:37" outlineLevel="2">
      <c r="A267" s="18" t="s">
        <v>2413</v>
      </c>
      <c r="B267" s="549">
        <f t="shared" ref="B267:B284" si="115">IF($I$12=1,1,IF($I$12=2,"1_2",IF($I$12=3,"1_2_3",1)))</f>
        <v>1</v>
      </c>
      <c r="C267" s="182">
        <f>SUM(Y257:Y258)</f>
        <v>0</v>
      </c>
      <c r="D267" s="182">
        <f>SUM(Z257:Z258)</f>
        <v>0</v>
      </c>
      <c r="E267" s="182">
        <f>SUM(AA257:AA258)</f>
        <v>0</v>
      </c>
      <c r="F267" s="4"/>
      <c r="G267" s="4"/>
      <c r="H267" s="4"/>
      <c r="I267" s="4"/>
      <c r="J267" s="4"/>
      <c r="K267" s="4"/>
      <c r="L267" s="4"/>
      <c r="M267" s="4"/>
      <c r="O267" s="236"/>
      <c r="R267" s="4"/>
      <c r="T267" s="9"/>
      <c r="U267" s="370" t="s">
        <v>1878</v>
      </c>
      <c r="V267" s="431">
        <f>IFERROR(((RESUMO!C177)*(VLOOKUP(B278,$O$140:$S$146,3,0))),0)</f>
        <v>0</v>
      </c>
      <c r="W267" s="430">
        <f>IFERROR(((RESUMO!C177)*(VLOOKUP(B278,$O$140:$S$146,4,0))),0)</f>
        <v>0</v>
      </c>
      <c r="X267" s="432">
        <f>IFERROR(IF(B278&lt;3,0,(RESUMO!C177)*(VLOOKUP(B278,$O$140:$S$146,5,0))),0)</f>
        <v>0</v>
      </c>
      <c r="Y267" s="443">
        <f t="shared" si="103"/>
        <v>0</v>
      </c>
      <c r="Z267" s="428">
        <f t="shared" si="104"/>
        <v>0</v>
      </c>
      <c r="AA267" s="444">
        <f t="shared" si="105"/>
        <v>0</v>
      </c>
      <c r="AB267" s="448">
        <f>RESUMO!E177</f>
        <v>0</v>
      </c>
      <c r="AC267" s="453">
        <f>IFERROR(Y267/SUM(Y267:AA267)*AB267/$I$15,0)*$I$12*$AC$137</f>
        <v>0</v>
      </c>
      <c r="AD267" s="429">
        <f>IFERROR(Z267/SUM(Y267:AA267)*AB267/$J$15,0)*$I$12*$AD$137</f>
        <v>0</v>
      </c>
      <c r="AE267" s="454">
        <f>IFERROR(AA267/SUM(Y267:AA267)*AB267/$K$15,0)*$I$12*$AE$137</f>
        <v>0</v>
      </c>
      <c r="AF267" s="453"/>
      <c r="AG267" s="454">
        <f>AC267</f>
        <v>0</v>
      </c>
      <c r="AH267" s="453"/>
      <c r="AI267" s="454">
        <f>AD267</f>
        <v>0</v>
      </c>
      <c r="AJ267" s="453"/>
      <c r="AK267" s="454">
        <f>AE267</f>
        <v>0</v>
      </c>
    </row>
    <row r="268" spans="1:37" outlineLevel="2">
      <c r="A268" s="18" t="s">
        <v>1637</v>
      </c>
      <c r="B268" s="549">
        <f t="shared" si="115"/>
        <v>1</v>
      </c>
      <c r="C268" s="182">
        <f t="shared" ref="C268:C277" si="116">Y259</f>
        <v>0</v>
      </c>
      <c r="D268" s="182">
        <f t="shared" ref="D268:D277" si="117">Z259</f>
        <v>0</v>
      </c>
      <c r="E268" s="182">
        <f t="shared" ref="E268:E277" si="118">AA259</f>
        <v>0</v>
      </c>
      <c r="F268" s="4"/>
      <c r="G268" s="4"/>
      <c r="H268" s="4"/>
      <c r="I268" s="4"/>
      <c r="J268" s="4"/>
      <c r="K268" s="4"/>
      <c r="L268" s="4"/>
      <c r="M268" s="4"/>
      <c r="O268" s="236"/>
      <c r="R268" s="4"/>
      <c r="T268" s="9"/>
      <c r="U268" s="370" t="s">
        <v>1798</v>
      </c>
      <c r="V268" s="431">
        <f>IFERROR(((RESUMO!#REF!)*(VLOOKUP(B277,$O$140:$S$146,3,0))),0)</f>
        <v>0</v>
      </c>
      <c r="W268" s="430">
        <f>IFERROR(((RESUMO!#REF!)*(VLOOKUP(B277,$O$140:$S$146,4,0))),0)</f>
        <v>0</v>
      </c>
      <c r="X268" s="432">
        <f>IFERROR(IF(B277&lt;3,0,(RESUMO!#REF!)*(VLOOKUP(B277,$O$140:$S$146,5,0))),0)</f>
        <v>0</v>
      </c>
      <c r="Y268" s="443">
        <f t="shared" si="103"/>
        <v>0</v>
      </c>
      <c r="Z268" s="428">
        <f t="shared" si="104"/>
        <v>0</v>
      </c>
      <c r="AA268" s="444">
        <f t="shared" si="105"/>
        <v>0</v>
      </c>
      <c r="AB268" s="448">
        <f>RESUMO!E176</f>
        <v>0</v>
      </c>
      <c r="AC268" s="453">
        <f t="shared" si="109"/>
        <v>0</v>
      </c>
      <c r="AD268" s="429">
        <f t="shared" si="110"/>
        <v>0</v>
      </c>
      <c r="AE268" s="454">
        <f t="shared" si="111"/>
        <v>0</v>
      </c>
      <c r="AF268" s="453"/>
      <c r="AG268" s="454">
        <f t="shared" si="112"/>
        <v>0</v>
      </c>
      <c r="AH268" s="453"/>
      <c r="AI268" s="454">
        <f t="shared" si="113"/>
        <v>0</v>
      </c>
      <c r="AJ268" s="453"/>
      <c r="AK268" s="454">
        <f t="shared" si="114"/>
        <v>0</v>
      </c>
    </row>
    <row r="269" spans="1:37" outlineLevel="2">
      <c r="A269" s="18" t="s">
        <v>1638</v>
      </c>
      <c r="B269" s="549">
        <f t="shared" si="115"/>
        <v>1</v>
      </c>
      <c r="C269" s="182">
        <f t="shared" si="116"/>
        <v>0</v>
      </c>
      <c r="D269" s="182">
        <f t="shared" si="117"/>
        <v>0</v>
      </c>
      <c r="E269" s="182">
        <f t="shared" si="118"/>
        <v>0</v>
      </c>
      <c r="F269" s="4"/>
      <c r="G269" s="4"/>
      <c r="H269" s="4"/>
      <c r="I269" s="4"/>
      <c r="J269" s="4"/>
      <c r="K269" s="4"/>
      <c r="L269" s="4"/>
      <c r="M269" s="4"/>
      <c r="O269" s="236"/>
      <c r="R269" s="4"/>
      <c r="T269" s="9"/>
      <c r="U269" s="370" t="s">
        <v>2129</v>
      </c>
      <c r="V269" s="431">
        <f>IFERROR(((RESUMO!C178)*(VLOOKUP(B279,$O$140:$S$146,3,0))),0)</f>
        <v>0</v>
      </c>
      <c r="W269" s="430">
        <f>IFERROR(((RESUMO!C178)*(VLOOKUP(B279,$O$140:$S$146,4,0))),0)</f>
        <v>0</v>
      </c>
      <c r="X269" s="432">
        <f>IFERROR(IF(B279&lt;3,0,(RESUMO!C178)*(VLOOKUP(B279,$O$140:$S$146,5,0))),0)</f>
        <v>0</v>
      </c>
      <c r="Y269" s="443">
        <f t="shared" si="103"/>
        <v>0</v>
      </c>
      <c r="Z269" s="428">
        <f t="shared" si="104"/>
        <v>0</v>
      </c>
      <c r="AA269" s="444">
        <f t="shared" si="105"/>
        <v>0</v>
      </c>
      <c r="AB269" s="448">
        <f>RESUMO!E178</f>
        <v>0</v>
      </c>
      <c r="AC269" s="453">
        <f t="shared" ref="AC269:AC276" si="119">IFERROR(Y269/SUM(Y269:AA269)*AB269/$I$15,0)*$I$12*$AC$137</f>
        <v>0</v>
      </c>
      <c r="AD269" s="429">
        <f t="shared" ref="AD269:AD276" si="120">IFERROR(Z269/SUM(Y269:AA269)*AB269/$J$15,0)*$I$12*$AD$137</f>
        <v>0</v>
      </c>
      <c r="AE269" s="454">
        <f t="shared" ref="AE269:AE276" si="121">IFERROR(AA269/SUM(Y269:AA269)*AB269/$K$15,0)*$I$12*$AE$137</f>
        <v>0</v>
      </c>
      <c r="AF269" s="453"/>
      <c r="AG269" s="454">
        <f t="shared" ref="AG269:AG276" si="122">AC269</f>
        <v>0</v>
      </c>
      <c r="AH269" s="453"/>
      <c r="AI269" s="454">
        <f t="shared" ref="AI269:AI276" si="123">AD269</f>
        <v>0</v>
      </c>
      <c r="AJ269" s="453"/>
      <c r="AK269" s="454">
        <f t="shared" ref="AK269:AK276" si="124">AE269</f>
        <v>0</v>
      </c>
    </row>
    <row r="270" spans="1:37" outlineLevel="2">
      <c r="A270" s="18" t="s">
        <v>1639</v>
      </c>
      <c r="B270" s="549">
        <f t="shared" si="115"/>
        <v>1</v>
      </c>
      <c r="C270" s="182">
        <f t="shared" si="116"/>
        <v>0</v>
      </c>
      <c r="D270" s="182">
        <f t="shared" si="117"/>
        <v>0</v>
      </c>
      <c r="E270" s="182">
        <f t="shared" si="118"/>
        <v>0</v>
      </c>
      <c r="F270" s="4"/>
      <c r="G270" s="4"/>
      <c r="H270" s="4"/>
      <c r="I270" s="4"/>
      <c r="J270" s="4"/>
      <c r="K270" s="4"/>
      <c r="L270" s="4"/>
      <c r="M270" s="4"/>
      <c r="O270" s="236"/>
      <c r="R270" s="4"/>
      <c r="T270" s="9"/>
      <c r="U270" s="370" t="s">
        <v>2137</v>
      </c>
      <c r="V270" s="431">
        <f>IFERROR(((RESUMO!C179)*(VLOOKUP(B280,$O$140:$S$146,3,0))),0)</f>
        <v>0</v>
      </c>
      <c r="W270" s="430">
        <f>IFERROR(((RESUMO!C179)*(VLOOKUP(B280,$O$140:$S$146,4,0))),0)</f>
        <v>0</v>
      </c>
      <c r="X270" s="432">
        <f>IFERROR(IF(B280&lt;3,0,(RESUMO!C179)*(VLOOKUP(B280,$O$140:$S$146,5,0))),0)</f>
        <v>0</v>
      </c>
      <c r="Y270" s="443">
        <f t="shared" si="103"/>
        <v>0</v>
      </c>
      <c r="Z270" s="428">
        <f t="shared" si="104"/>
        <v>0</v>
      </c>
      <c r="AA270" s="444">
        <f t="shared" si="105"/>
        <v>0</v>
      </c>
      <c r="AB270" s="448">
        <f>RESUMO!E179</f>
        <v>0</v>
      </c>
      <c r="AC270" s="453">
        <f t="shared" si="119"/>
        <v>0</v>
      </c>
      <c r="AD270" s="429">
        <f t="shared" si="120"/>
        <v>0</v>
      </c>
      <c r="AE270" s="454">
        <f t="shared" si="121"/>
        <v>0</v>
      </c>
      <c r="AF270" s="453"/>
      <c r="AG270" s="454">
        <f t="shared" si="122"/>
        <v>0</v>
      </c>
      <c r="AH270" s="453"/>
      <c r="AI270" s="454">
        <f t="shared" si="123"/>
        <v>0</v>
      </c>
      <c r="AJ270" s="453"/>
      <c r="AK270" s="454">
        <f t="shared" si="124"/>
        <v>0</v>
      </c>
    </row>
    <row r="271" spans="1:37" outlineLevel="2">
      <c r="A271" s="18" t="s">
        <v>1640</v>
      </c>
      <c r="B271" s="549">
        <f t="shared" si="115"/>
        <v>1</v>
      </c>
      <c r="C271" s="182">
        <f t="shared" si="116"/>
        <v>0</v>
      </c>
      <c r="D271" s="182">
        <f t="shared" si="117"/>
        <v>0</v>
      </c>
      <c r="E271" s="182">
        <f t="shared" si="118"/>
        <v>0</v>
      </c>
      <c r="F271" s="4"/>
      <c r="G271" s="4"/>
      <c r="H271" s="4"/>
      <c r="I271" s="4"/>
      <c r="J271" s="4"/>
      <c r="K271" s="4"/>
      <c r="L271" s="4"/>
      <c r="M271" s="4"/>
      <c r="O271" s="236"/>
      <c r="R271" s="4"/>
      <c r="T271" s="9"/>
      <c r="U271" s="370" t="s">
        <v>1747</v>
      </c>
      <c r="V271" s="431">
        <f>IFERROR(((RESUMO!C174)*(VLOOKUP(B275,$O$140:$S$146,3,0))),0)</f>
        <v>0</v>
      </c>
      <c r="W271" s="430">
        <f>IFERROR(((RESUMO!C174)*(VLOOKUP(B275,$O$140:$S$146,4,0))),0)</f>
        <v>0</v>
      </c>
      <c r="X271" s="432">
        <f>IFERROR(IF(B275&lt;3,0,(RESUMO!C174)*(VLOOKUP(B275,$O$140:$S$146,5,0))),0)</f>
        <v>0</v>
      </c>
      <c r="Y271" s="443">
        <f t="shared" si="103"/>
        <v>0</v>
      </c>
      <c r="Z271" s="428">
        <f t="shared" si="104"/>
        <v>0</v>
      </c>
      <c r="AA271" s="444">
        <f t="shared" si="105"/>
        <v>0</v>
      </c>
      <c r="AB271" s="448">
        <f>RESUMO!E174</f>
        <v>0</v>
      </c>
      <c r="AC271" s="453">
        <f t="shared" si="119"/>
        <v>0</v>
      </c>
      <c r="AD271" s="429">
        <f t="shared" si="120"/>
        <v>0</v>
      </c>
      <c r="AE271" s="454">
        <f t="shared" si="121"/>
        <v>0</v>
      </c>
      <c r="AF271" s="453"/>
      <c r="AG271" s="454">
        <f t="shared" si="122"/>
        <v>0</v>
      </c>
      <c r="AH271" s="453"/>
      <c r="AI271" s="454">
        <f t="shared" si="123"/>
        <v>0</v>
      </c>
      <c r="AJ271" s="453"/>
      <c r="AK271" s="454">
        <f t="shared" si="124"/>
        <v>0</v>
      </c>
    </row>
    <row r="272" spans="1:37" outlineLevel="2">
      <c r="A272" s="18" t="s">
        <v>1641</v>
      </c>
      <c r="B272" s="549">
        <f t="shared" si="115"/>
        <v>1</v>
      </c>
      <c r="C272" s="182">
        <f t="shared" si="116"/>
        <v>0</v>
      </c>
      <c r="D272" s="182">
        <f t="shared" si="117"/>
        <v>0</v>
      </c>
      <c r="E272" s="182">
        <f t="shared" si="118"/>
        <v>0</v>
      </c>
      <c r="F272" s="4"/>
      <c r="G272" s="4"/>
      <c r="H272" s="4"/>
      <c r="I272" s="4"/>
      <c r="J272" s="4"/>
      <c r="K272" s="4"/>
      <c r="L272" s="4"/>
      <c r="M272" s="4"/>
      <c r="O272" s="236"/>
      <c r="R272" s="4"/>
      <c r="T272" s="9"/>
      <c r="U272" s="370" t="s">
        <v>2619</v>
      </c>
      <c r="V272" s="431">
        <f>IFERROR(((RESUMO!C180)*(VLOOKUP(B280,$O$140:$S$146,3,0))),0)</f>
        <v>0</v>
      </c>
      <c r="W272" s="430">
        <f>IFERROR(((RESUMO!C180)*(VLOOKUP(B280,$O$140:$S$146,4,0))),0)</f>
        <v>0</v>
      </c>
      <c r="X272" s="432">
        <f>IFERROR(IF(B280&lt;3,0,(RESUMO!C180)*(VLOOKUP(B281,$O$140:$S$146,5,0))),0)</f>
        <v>0</v>
      </c>
      <c r="Y272" s="443">
        <f t="shared" si="103"/>
        <v>0</v>
      </c>
      <c r="Z272" s="428">
        <f t="shared" si="104"/>
        <v>0</v>
      </c>
      <c r="AA272" s="444">
        <f t="shared" si="105"/>
        <v>0</v>
      </c>
      <c r="AB272" s="448">
        <f>RESUMO!E180</f>
        <v>0</v>
      </c>
      <c r="AC272" s="453">
        <f t="shared" si="119"/>
        <v>0</v>
      </c>
      <c r="AD272" s="429">
        <f t="shared" si="120"/>
        <v>0</v>
      </c>
      <c r="AE272" s="454">
        <f t="shared" si="121"/>
        <v>0</v>
      </c>
      <c r="AF272" s="453"/>
      <c r="AG272" s="454">
        <f t="shared" si="122"/>
        <v>0</v>
      </c>
      <c r="AH272" s="453"/>
      <c r="AI272" s="454">
        <f t="shared" si="123"/>
        <v>0</v>
      </c>
      <c r="AJ272" s="453"/>
      <c r="AK272" s="454">
        <f t="shared" si="124"/>
        <v>0</v>
      </c>
    </row>
    <row r="273" spans="1:37" outlineLevel="2">
      <c r="A273" s="18" t="s">
        <v>2564</v>
      </c>
      <c r="B273" s="549">
        <f t="shared" si="115"/>
        <v>1</v>
      </c>
      <c r="C273" s="182">
        <f t="shared" si="116"/>
        <v>0</v>
      </c>
      <c r="D273" s="182">
        <f t="shared" si="117"/>
        <v>0</v>
      </c>
      <c r="E273" s="182">
        <f t="shared" si="118"/>
        <v>0</v>
      </c>
      <c r="F273" s="4"/>
      <c r="G273" s="4"/>
      <c r="H273" s="4"/>
      <c r="I273" s="4"/>
      <c r="J273" s="4"/>
      <c r="K273" s="4"/>
      <c r="L273" s="4"/>
      <c r="M273" s="4"/>
      <c r="O273" s="236"/>
      <c r="R273" s="4"/>
      <c r="T273" s="9"/>
      <c r="U273" s="385" t="s">
        <v>1643</v>
      </c>
      <c r="V273" s="431">
        <f>IFERROR(((RESUMO!C181)*(VLOOKUP(B281,$O$140:$S$146,3,0))),0)</f>
        <v>0</v>
      </c>
      <c r="W273" s="430">
        <f>IFERROR(((RESUMO!C181)*(VLOOKUP(B281,$O$140:$S$146,4,0))),0)</f>
        <v>0</v>
      </c>
      <c r="X273" s="432">
        <f>IFERROR(IF(B281&lt;3,0,(RESUMO!C181)*(VLOOKUP(B281,$O$140:$S$146,5,0))),0)</f>
        <v>0</v>
      </c>
      <c r="Y273" s="443">
        <f t="shared" si="103"/>
        <v>0</v>
      </c>
      <c r="Z273" s="428">
        <f t="shared" si="104"/>
        <v>0</v>
      </c>
      <c r="AA273" s="444">
        <f t="shared" si="105"/>
        <v>0</v>
      </c>
      <c r="AB273" s="448">
        <f>RESUMO!E181</f>
        <v>0</v>
      </c>
      <c r="AC273" s="453">
        <f t="shared" si="119"/>
        <v>0</v>
      </c>
      <c r="AD273" s="429">
        <f t="shared" si="120"/>
        <v>0</v>
      </c>
      <c r="AE273" s="454">
        <f t="shared" si="121"/>
        <v>0</v>
      </c>
      <c r="AF273" s="453"/>
      <c r="AG273" s="454">
        <f t="shared" si="122"/>
        <v>0</v>
      </c>
      <c r="AH273" s="453"/>
      <c r="AI273" s="454">
        <f t="shared" si="123"/>
        <v>0</v>
      </c>
      <c r="AJ273" s="453"/>
      <c r="AK273" s="454">
        <f t="shared" si="124"/>
        <v>0</v>
      </c>
    </row>
    <row r="274" spans="1:37" outlineLevel="2">
      <c r="A274" s="18" t="s">
        <v>1642</v>
      </c>
      <c r="B274" s="549">
        <f t="shared" si="115"/>
        <v>1</v>
      </c>
      <c r="C274" s="182">
        <f t="shared" si="116"/>
        <v>1</v>
      </c>
      <c r="D274" s="182">
        <f t="shared" si="117"/>
        <v>0</v>
      </c>
      <c r="E274" s="182">
        <f t="shared" si="118"/>
        <v>0</v>
      </c>
      <c r="F274" s="4"/>
      <c r="G274" s="4"/>
      <c r="H274" s="4"/>
      <c r="I274" s="4"/>
      <c r="J274" s="4"/>
      <c r="K274" s="4"/>
      <c r="L274" s="4"/>
      <c r="M274" s="4"/>
      <c r="O274" s="236"/>
      <c r="R274" s="4"/>
      <c r="T274" s="9"/>
      <c r="U274" s="370" t="s">
        <v>1644</v>
      </c>
      <c r="V274" s="431">
        <f>IFERROR(((RESUMO!C182)*(VLOOKUP(B282,$O$140:$S$146,3,0))),0)</f>
        <v>0</v>
      </c>
      <c r="W274" s="430">
        <f>IFERROR(((RESUMO!C182)*(VLOOKUP(B282,$O$140:$S$146,4,0))),0)</f>
        <v>0</v>
      </c>
      <c r="X274" s="432">
        <f>IFERROR(IF(B282&lt;3,0,(RESUMO!C182)*(VLOOKUP(B282,$O$140:$S$146,5,0))),0)</f>
        <v>0</v>
      </c>
      <c r="Y274" s="443">
        <f t="shared" si="103"/>
        <v>0</v>
      </c>
      <c r="Z274" s="428">
        <f t="shared" si="104"/>
        <v>0</v>
      </c>
      <c r="AA274" s="444">
        <f t="shared" si="105"/>
        <v>0</v>
      </c>
      <c r="AB274" s="448">
        <f>RESUMO!E182</f>
        <v>0</v>
      </c>
      <c r="AC274" s="453">
        <f t="shared" si="119"/>
        <v>0</v>
      </c>
      <c r="AD274" s="429">
        <f t="shared" si="120"/>
        <v>0</v>
      </c>
      <c r="AE274" s="454">
        <f t="shared" si="121"/>
        <v>0</v>
      </c>
      <c r="AF274" s="453"/>
      <c r="AG274" s="454">
        <f t="shared" si="122"/>
        <v>0</v>
      </c>
      <c r="AH274" s="453"/>
      <c r="AI274" s="454">
        <f t="shared" si="123"/>
        <v>0</v>
      </c>
      <c r="AJ274" s="453"/>
      <c r="AK274" s="454">
        <f t="shared" si="124"/>
        <v>0</v>
      </c>
    </row>
    <row r="275" spans="1:37" outlineLevel="2">
      <c r="A275" s="18" t="s">
        <v>1747</v>
      </c>
      <c r="B275" s="549">
        <f t="shared" si="115"/>
        <v>1</v>
      </c>
      <c r="C275" s="182">
        <f>Y271</f>
        <v>0</v>
      </c>
      <c r="D275" s="182">
        <f>Z271</f>
        <v>0</v>
      </c>
      <c r="E275" s="182">
        <f>AA271</f>
        <v>0</v>
      </c>
      <c r="F275" s="4"/>
      <c r="G275" s="4"/>
      <c r="H275" s="4"/>
      <c r="I275" s="4"/>
      <c r="J275" s="4"/>
      <c r="K275" s="4"/>
      <c r="L275" s="4"/>
      <c r="M275" s="4"/>
      <c r="O275" s="236"/>
      <c r="R275" s="4"/>
      <c r="T275" s="9"/>
      <c r="U275" s="370" t="s">
        <v>2461</v>
      </c>
      <c r="V275" s="431">
        <f>IFERROR(((RESUMO!C183)*(VLOOKUP(B283,$O$140:$S$146,3,0))),0)</f>
        <v>0</v>
      </c>
      <c r="W275" s="430">
        <f>IFERROR(((RESUMO!C183)*(VLOOKUP(B283,$O$140:$S$146,4,0))),0)</f>
        <v>0</v>
      </c>
      <c r="X275" s="432">
        <f>IFERROR(IF(B283&lt;3,0,(RESUMO!C183)*(VLOOKUP(B283,$O$140:$S$146,5,0))),0)</f>
        <v>0</v>
      </c>
      <c r="Y275" s="443">
        <f t="shared" si="103"/>
        <v>0</v>
      </c>
      <c r="Z275" s="428">
        <f t="shared" si="104"/>
        <v>0</v>
      </c>
      <c r="AA275" s="444">
        <f t="shared" si="105"/>
        <v>0</v>
      </c>
      <c r="AB275" s="448">
        <f>RESUMO!E183</f>
        <v>0</v>
      </c>
      <c r="AC275" s="453">
        <f t="shared" si="119"/>
        <v>0</v>
      </c>
      <c r="AD275" s="429">
        <f t="shared" si="120"/>
        <v>0</v>
      </c>
      <c r="AE275" s="454">
        <f t="shared" si="121"/>
        <v>0</v>
      </c>
      <c r="AF275" s="453"/>
      <c r="AG275" s="454">
        <f t="shared" si="122"/>
        <v>0</v>
      </c>
      <c r="AH275" s="453"/>
      <c r="AI275" s="454">
        <f t="shared" si="123"/>
        <v>0</v>
      </c>
      <c r="AJ275" s="453"/>
      <c r="AK275" s="454">
        <f t="shared" si="124"/>
        <v>0</v>
      </c>
    </row>
    <row r="276" spans="1:37" outlineLevel="2">
      <c r="A276" s="18" t="s">
        <v>2400</v>
      </c>
      <c r="B276" s="549">
        <f t="shared" si="115"/>
        <v>1</v>
      </c>
      <c r="C276" s="182">
        <f>Y266</f>
        <v>0</v>
      </c>
      <c r="D276" s="182">
        <f>Z266</f>
        <v>0</v>
      </c>
      <c r="E276" s="182">
        <f>AA266</f>
        <v>0</v>
      </c>
      <c r="F276" s="4"/>
      <c r="G276" s="4"/>
      <c r="H276" s="4"/>
      <c r="I276" s="4"/>
      <c r="J276" s="4"/>
      <c r="K276" s="4"/>
      <c r="L276" s="4"/>
      <c r="M276" s="4"/>
      <c r="O276" s="236"/>
      <c r="R276" s="4"/>
      <c r="T276" s="9"/>
      <c r="U276" s="370" t="s">
        <v>1645</v>
      </c>
      <c r="V276" s="431">
        <f>IFERROR(((RESUMO!C184)*(VLOOKUP(B284,$O$140:$S$146,3,0))),0)</f>
        <v>0</v>
      </c>
      <c r="W276" s="430">
        <f>IFERROR(((RESUMO!C184)*(VLOOKUP(B284,$O$140:$S$146,4,0))),0)</f>
        <v>0</v>
      </c>
      <c r="X276" s="432">
        <f>IFERROR(IF(B284&lt;3,0,(RESUMO!C184)*(VLOOKUP(B284,$O$140:$S$146,5,0))),0)</f>
        <v>0</v>
      </c>
      <c r="Y276" s="445">
        <f t="shared" si="103"/>
        <v>0</v>
      </c>
      <c r="Z276" s="446">
        <f t="shared" si="104"/>
        <v>0</v>
      </c>
      <c r="AA276" s="447">
        <f t="shared" si="105"/>
        <v>0</v>
      </c>
      <c r="AB276" s="449">
        <f>RESUMO!E184</f>
        <v>0</v>
      </c>
      <c r="AC276" s="455">
        <f t="shared" si="119"/>
        <v>0</v>
      </c>
      <c r="AD276" s="456">
        <f t="shared" si="120"/>
        <v>0</v>
      </c>
      <c r="AE276" s="457">
        <f t="shared" si="121"/>
        <v>0</v>
      </c>
      <c r="AF276" s="455"/>
      <c r="AG276" s="457">
        <f t="shared" si="122"/>
        <v>0</v>
      </c>
      <c r="AH276" s="455"/>
      <c r="AI276" s="457">
        <f t="shared" si="123"/>
        <v>0</v>
      </c>
      <c r="AJ276" s="455"/>
      <c r="AK276" s="457">
        <f t="shared" si="124"/>
        <v>0</v>
      </c>
    </row>
    <row r="277" spans="1:37" outlineLevel="2">
      <c r="A277" s="18" t="s">
        <v>1798</v>
      </c>
      <c r="B277" s="549">
        <f t="shared" si="115"/>
        <v>1</v>
      </c>
      <c r="C277" s="182">
        <f t="shared" si="116"/>
        <v>0</v>
      </c>
      <c r="D277" s="182">
        <f t="shared" si="117"/>
        <v>0</v>
      </c>
      <c r="E277" s="182">
        <f t="shared" si="118"/>
        <v>0</v>
      </c>
      <c r="F277" s="4"/>
      <c r="G277" s="4"/>
      <c r="H277" s="4"/>
      <c r="I277" s="4"/>
      <c r="J277" s="4"/>
      <c r="K277" s="4"/>
      <c r="L277" s="4"/>
      <c r="M277" s="4"/>
      <c r="O277" s="236"/>
      <c r="R277" s="4"/>
      <c r="T277" s="9"/>
      <c r="U277" s="439" t="s">
        <v>1790</v>
      </c>
      <c r="V277" s="460">
        <f t="shared" ref="V277:AK277" si="125">SUM(V256:V276)</f>
        <v>1</v>
      </c>
      <c r="W277" s="461">
        <f t="shared" si="125"/>
        <v>0</v>
      </c>
      <c r="X277" s="463">
        <f t="shared" si="125"/>
        <v>0</v>
      </c>
      <c r="Y277" s="464">
        <f t="shared" si="125"/>
        <v>1</v>
      </c>
      <c r="Z277" s="462">
        <f t="shared" si="125"/>
        <v>0</v>
      </c>
      <c r="AA277" s="465">
        <f t="shared" si="125"/>
        <v>0</v>
      </c>
      <c r="AB277" s="466">
        <f t="shared" si="125"/>
        <v>237.85174825174829</v>
      </c>
      <c r="AC277" s="460">
        <f t="shared" si="125"/>
        <v>24.840913655535072</v>
      </c>
      <c r="AD277" s="461">
        <f t="shared" si="125"/>
        <v>0</v>
      </c>
      <c r="AE277" s="463">
        <f t="shared" si="125"/>
        <v>0</v>
      </c>
      <c r="AF277" s="460">
        <f t="shared" si="125"/>
        <v>0</v>
      </c>
      <c r="AG277" s="463">
        <f t="shared" si="125"/>
        <v>24.840913655535072</v>
      </c>
      <c r="AH277" s="460">
        <f t="shared" si="125"/>
        <v>0</v>
      </c>
      <c r="AI277" s="463">
        <f t="shared" si="125"/>
        <v>0</v>
      </c>
      <c r="AJ277" s="460">
        <f t="shared" si="125"/>
        <v>0</v>
      </c>
      <c r="AK277" s="463">
        <f t="shared" si="125"/>
        <v>0</v>
      </c>
    </row>
    <row r="278" spans="1:37" outlineLevel="2">
      <c r="A278" s="18" t="s">
        <v>1878</v>
      </c>
      <c r="B278" s="549">
        <f t="shared" si="115"/>
        <v>1</v>
      </c>
      <c r="C278" s="182">
        <f>Y267</f>
        <v>0</v>
      </c>
      <c r="D278" s="182">
        <f>Z267</f>
        <v>0</v>
      </c>
      <c r="E278" s="182">
        <f>AA267</f>
        <v>0</v>
      </c>
      <c r="F278" s="4"/>
      <c r="G278" s="4"/>
      <c r="H278" s="4"/>
      <c r="I278" s="4"/>
      <c r="J278" s="4"/>
      <c r="K278" s="4"/>
      <c r="L278" s="4"/>
      <c r="M278" s="4"/>
      <c r="O278" s="236"/>
      <c r="R278" s="4"/>
      <c r="T278" s="9"/>
    </row>
    <row r="279" spans="1:37" outlineLevel="2">
      <c r="A279" s="18" t="s">
        <v>2129</v>
      </c>
      <c r="B279" s="549">
        <f t="shared" si="115"/>
        <v>1</v>
      </c>
      <c r="C279" s="182">
        <f>Y269</f>
        <v>0</v>
      </c>
      <c r="D279" s="182">
        <f>Z269</f>
        <v>0</v>
      </c>
      <c r="E279" s="182">
        <f>AA269</f>
        <v>0</v>
      </c>
      <c r="F279" s="4"/>
      <c r="G279" s="4"/>
      <c r="H279" s="4"/>
      <c r="I279" s="4"/>
      <c r="J279" s="4"/>
      <c r="K279" s="4"/>
      <c r="L279" s="4"/>
      <c r="M279" s="4"/>
      <c r="O279" s="236"/>
      <c r="R279" s="4"/>
      <c r="T279" s="9"/>
      <c r="U279" s="9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 spans="1:37" outlineLevel="2">
      <c r="A280" s="18" t="s">
        <v>2620</v>
      </c>
      <c r="B280" s="549">
        <f t="shared" si="115"/>
        <v>1</v>
      </c>
      <c r="C280" s="182">
        <f>Y270+Y272</f>
        <v>0</v>
      </c>
      <c r="D280" s="182">
        <f>Z270+Z272</f>
        <v>0</v>
      </c>
      <c r="E280" s="182">
        <f>AA270+AA272</f>
        <v>0</v>
      </c>
      <c r="F280" s="4"/>
      <c r="G280" s="4"/>
      <c r="H280" s="4"/>
      <c r="I280" s="4"/>
      <c r="J280" s="4"/>
      <c r="K280" s="4"/>
      <c r="L280" s="4"/>
      <c r="M280" s="4"/>
      <c r="O280" s="236"/>
      <c r="R280" s="4"/>
      <c r="T280" s="9"/>
      <c r="U280" s="9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</row>
    <row r="281" spans="1:37" outlineLevel="2">
      <c r="A281" s="18" t="s">
        <v>1643</v>
      </c>
      <c r="B281" s="549">
        <f t="shared" si="115"/>
        <v>1</v>
      </c>
      <c r="C281" s="182">
        <f t="shared" ref="C281:E284" si="126">Y273</f>
        <v>0</v>
      </c>
      <c r="D281" s="182">
        <f t="shared" si="126"/>
        <v>0</v>
      </c>
      <c r="E281" s="182">
        <f t="shared" si="126"/>
        <v>0</v>
      </c>
      <c r="F281" s="4"/>
      <c r="G281" s="4"/>
      <c r="H281" s="4"/>
      <c r="I281" s="4"/>
      <c r="J281" s="4"/>
      <c r="K281" s="4"/>
      <c r="L281" s="4"/>
      <c r="M281" s="4"/>
      <c r="O281" s="236"/>
      <c r="R281" s="4"/>
      <c r="T281" s="9"/>
      <c r="U281" s="9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 spans="1:37" outlineLevel="2">
      <c r="A282" s="18" t="s">
        <v>1644</v>
      </c>
      <c r="B282" s="549">
        <f t="shared" si="115"/>
        <v>1</v>
      </c>
      <c r="C282" s="182">
        <f t="shared" si="126"/>
        <v>0</v>
      </c>
      <c r="D282" s="182">
        <f t="shared" si="126"/>
        <v>0</v>
      </c>
      <c r="E282" s="182">
        <f t="shared" si="126"/>
        <v>0</v>
      </c>
      <c r="F282" s="4"/>
      <c r="G282" s="4"/>
      <c r="H282" s="4"/>
      <c r="I282" s="4"/>
      <c r="J282" s="4"/>
      <c r="K282" s="4"/>
      <c r="L282" s="4"/>
      <c r="M282" s="4"/>
      <c r="O282" s="236"/>
      <c r="R282" s="4"/>
      <c r="T282" s="9"/>
      <c r="U282" s="9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</row>
    <row r="283" spans="1:37" outlineLevel="2">
      <c r="A283" s="18" t="s">
        <v>2461</v>
      </c>
      <c r="B283" s="549">
        <f t="shared" si="115"/>
        <v>1</v>
      </c>
      <c r="C283" s="182">
        <f t="shared" si="126"/>
        <v>0</v>
      </c>
      <c r="D283" s="182">
        <f t="shared" si="126"/>
        <v>0</v>
      </c>
      <c r="E283" s="182">
        <f t="shared" si="126"/>
        <v>0</v>
      </c>
      <c r="F283" s="4"/>
      <c r="G283" s="4"/>
      <c r="H283" s="4"/>
      <c r="I283" s="4"/>
      <c r="J283" s="4"/>
      <c r="K283" s="4"/>
      <c r="L283" s="4"/>
      <c r="M283" s="4"/>
      <c r="O283" s="236"/>
      <c r="R283" s="4"/>
      <c r="T283" s="9"/>
      <c r="U283" s="9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</row>
    <row r="284" spans="1:37" outlineLevel="2">
      <c r="A284" s="18" t="s">
        <v>1645</v>
      </c>
      <c r="B284" s="549">
        <f t="shared" si="115"/>
        <v>1</v>
      </c>
      <c r="C284" s="182">
        <f t="shared" si="126"/>
        <v>0</v>
      </c>
      <c r="D284" s="182">
        <f t="shared" si="126"/>
        <v>0</v>
      </c>
      <c r="E284" s="182">
        <f t="shared" si="126"/>
        <v>0</v>
      </c>
      <c r="F284" s="4"/>
      <c r="G284" s="4"/>
      <c r="H284" s="4"/>
      <c r="I284" s="4"/>
      <c r="J284" s="4"/>
      <c r="K284" s="4"/>
      <c r="L284" s="4"/>
      <c r="M284" s="4"/>
      <c r="O284" s="236"/>
      <c r="R284" s="4"/>
      <c r="T284" s="9"/>
      <c r="U284" s="9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</row>
    <row r="285" spans="1:37" outlineLevel="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O285" s="236"/>
      <c r="R285" s="4"/>
      <c r="T285" s="9"/>
      <c r="U285" s="9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</row>
    <row r="286" spans="1:37" outlineLevel="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O286" s="236"/>
      <c r="R286" s="4"/>
      <c r="T286" s="9"/>
      <c r="U286" s="9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</row>
    <row r="287" spans="1:37" outlineLevel="1">
      <c r="A287" s="11" t="s">
        <v>121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29"/>
      <c r="O287" s="11" t="s">
        <v>121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37" outlineLevel="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O288" s="11" t="s">
        <v>706</v>
      </c>
      <c r="P288" s="29"/>
      <c r="R288" s="29" t="s">
        <v>707</v>
      </c>
      <c r="S288" s="29"/>
      <c r="T288" s="29"/>
      <c r="U288" s="9"/>
      <c r="V288" s="29" t="s">
        <v>1033</v>
      </c>
      <c r="W288" s="29"/>
      <c r="X288" s="29"/>
      <c r="Y288" s="9"/>
      <c r="Z288" s="9"/>
    </row>
    <row r="289" spans="1:37" outlineLevel="2">
      <c r="A289" s="4"/>
      <c r="B289" s="226" t="s">
        <v>725</v>
      </c>
      <c r="C289" s="226" t="s">
        <v>726</v>
      </c>
      <c r="D289" s="226" t="s">
        <v>727</v>
      </c>
      <c r="K289" s="4"/>
      <c r="L289" s="4"/>
      <c r="M289" s="4"/>
      <c r="O289" s="236" t="s">
        <v>1057</v>
      </c>
      <c r="R289" s="9" t="s">
        <v>1026</v>
      </c>
      <c r="T289" s="9"/>
      <c r="U289" s="9"/>
      <c r="V289" s="9" t="s">
        <v>1034</v>
      </c>
      <c r="W289" s="9"/>
    </row>
    <row r="290" spans="1:37" outlineLevel="2">
      <c r="A290" s="18" t="s">
        <v>290</v>
      </c>
      <c r="B290" s="183">
        <f>B212+B125</f>
        <v>4800</v>
      </c>
      <c r="C290" s="183">
        <f>C212+C125</f>
        <v>0</v>
      </c>
      <c r="D290" s="183">
        <f>D212+D125</f>
        <v>0</v>
      </c>
      <c r="E290" s="416" t="s">
        <v>973</v>
      </c>
      <c r="K290" s="4"/>
      <c r="L290" s="4"/>
      <c r="M290" s="4"/>
      <c r="O290" s="236" t="s">
        <v>704</v>
      </c>
      <c r="R290" s="9" t="s">
        <v>336</v>
      </c>
      <c r="T290" s="9"/>
      <c r="U290" s="9"/>
      <c r="V290" s="9" t="s">
        <v>1035</v>
      </c>
      <c r="W290" s="9"/>
    </row>
    <row r="291" spans="1:37" outlineLevel="2">
      <c r="A291" s="19" t="s">
        <v>1771</v>
      </c>
      <c r="B291" s="8" t="s">
        <v>1026</v>
      </c>
      <c r="C291" s="8">
        <f t="shared" ref="C291:C297" si="127">IF($I$12&gt;1,B291,0)</f>
        <v>0</v>
      </c>
      <c r="D291" s="8">
        <f t="shared" ref="D291:D296" si="128">IF($I$12&gt;2,C291,0)</f>
        <v>0</v>
      </c>
      <c r="E291" s="114"/>
      <c r="K291" s="4"/>
      <c r="L291" s="4"/>
      <c r="M291" s="4"/>
      <c r="O291" s="236"/>
      <c r="R291" s="4"/>
      <c r="T291" s="9"/>
      <c r="U291" s="9"/>
      <c r="Z291" s="9"/>
      <c r="AC291" s="372" t="s">
        <v>1545</v>
      </c>
      <c r="AD291" s="372" t="s">
        <v>1546</v>
      </c>
      <c r="AE291" s="372" t="s">
        <v>1547</v>
      </c>
    </row>
    <row r="292" spans="1:37" ht="15" customHeight="1" outlineLevel="2">
      <c r="A292" s="5" t="s">
        <v>1777</v>
      </c>
      <c r="B292" s="114">
        <v>1</v>
      </c>
      <c r="C292" s="114">
        <f t="shared" si="127"/>
        <v>0</v>
      </c>
      <c r="D292" s="114">
        <f t="shared" si="128"/>
        <v>0</v>
      </c>
      <c r="E292" s="114"/>
      <c r="K292" s="4"/>
      <c r="L292" s="4"/>
      <c r="M292" s="4"/>
      <c r="O292" s="236"/>
      <c r="U292"/>
      <c r="V292" s="926" t="s">
        <v>1779</v>
      </c>
      <c r="W292" s="927"/>
      <c r="X292" s="928"/>
      <c r="Y292" s="926" t="s">
        <v>1780</v>
      </c>
      <c r="Z292" s="927"/>
      <c r="AA292" s="928"/>
      <c r="AB292" s="921" t="s">
        <v>1782</v>
      </c>
      <c r="AC292" s="926" t="s">
        <v>1781</v>
      </c>
      <c r="AD292" s="927"/>
      <c r="AE292" s="928"/>
      <c r="AF292" s="926" t="s">
        <v>1783</v>
      </c>
      <c r="AG292" s="927"/>
      <c r="AH292" s="927"/>
      <c r="AI292" s="927"/>
      <c r="AJ292" s="927"/>
      <c r="AK292" s="928"/>
    </row>
    <row r="293" spans="1:37" outlineLevel="2">
      <c r="A293" s="5" t="s">
        <v>1776</v>
      </c>
      <c r="B293" s="114">
        <v>0</v>
      </c>
      <c r="C293" s="114">
        <f t="shared" si="127"/>
        <v>0</v>
      </c>
      <c r="D293" s="114">
        <f t="shared" si="128"/>
        <v>0</v>
      </c>
      <c r="E293" s="114"/>
      <c r="K293" s="4"/>
      <c r="L293" s="4"/>
      <c r="M293" s="4"/>
      <c r="O293" s="236"/>
      <c r="U293" s="146"/>
      <c r="V293" s="372" t="s">
        <v>1545</v>
      </c>
      <c r="W293" s="372" t="s">
        <v>1546</v>
      </c>
      <c r="X293" s="372" t="s">
        <v>1547</v>
      </c>
      <c r="Y293" s="372" t="s">
        <v>1545</v>
      </c>
      <c r="Z293" s="372" t="s">
        <v>1546</v>
      </c>
      <c r="AA293" s="372" t="s">
        <v>1547</v>
      </c>
      <c r="AB293" s="922"/>
      <c r="AC293" s="555">
        <f>IFERROR(B290/SUM($B$290:$D$290),0)</f>
        <v>1</v>
      </c>
      <c r="AD293" s="555">
        <f>IFERROR(C290/SUM($B$290:$D$290),0)</f>
        <v>0</v>
      </c>
      <c r="AE293" s="555">
        <f>IFERROR(D290/SUM($B$290:$D$290),0)</f>
        <v>0</v>
      </c>
      <c r="AF293" s="458" t="s">
        <v>1785</v>
      </c>
      <c r="AG293" s="459" t="s">
        <v>1784</v>
      </c>
      <c r="AH293" s="458" t="s">
        <v>1787</v>
      </c>
      <c r="AI293" s="459" t="s">
        <v>1786</v>
      </c>
      <c r="AJ293" s="458" t="s">
        <v>1789</v>
      </c>
      <c r="AK293" s="459" t="s">
        <v>1788</v>
      </c>
    </row>
    <row r="294" spans="1:37" outlineLevel="2">
      <c r="A294" s="5" t="s">
        <v>1778</v>
      </c>
      <c r="B294" s="114">
        <v>0</v>
      </c>
      <c r="C294" s="114">
        <f t="shared" si="127"/>
        <v>0</v>
      </c>
      <c r="D294" s="114">
        <f t="shared" si="128"/>
        <v>0</v>
      </c>
      <c r="E294" s="114">
        <f>26*60</f>
        <v>1560</v>
      </c>
      <c r="K294" s="4"/>
      <c r="L294" s="4"/>
      <c r="M294" s="4"/>
      <c r="O294" s="236"/>
      <c r="U294" s="370" t="s">
        <v>2763</v>
      </c>
      <c r="V294" s="496">
        <f>IFERROR(((RESUMO!C190)*(VLOOKUP(B301,$O$140:$S$146,3,0))),0)</f>
        <v>0.37724918056229112</v>
      </c>
      <c r="W294" s="430">
        <f>IFERROR(((RESUMO!C190)*(VLOOKUP(B301,$O$140:$S$146,4,0))),0)</f>
        <v>0</v>
      </c>
      <c r="X294" s="432">
        <f>IFERROR(IF(B301&lt;3,0,(RESUMO!C190)*(VLOOKUP(B301,$O$140:$S$146,5,0))),0)</f>
        <v>0</v>
      </c>
      <c r="Y294" s="443">
        <f t="shared" ref="Y294:Y303" si="129">IFERROR(V294/$V$304,0)</f>
        <v>0.37724918056229112</v>
      </c>
      <c r="Z294" s="428">
        <f t="shared" ref="Z294:Z303" si="130">IFERROR(W294/$W$304,0)</f>
        <v>0</v>
      </c>
      <c r="AA294" s="444">
        <f t="shared" ref="AA294:AA303" si="131">IFERROR(X294/$X$304,0)</f>
        <v>0</v>
      </c>
      <c r="AB294" s="448">
        <f>RESUMO!E190</f>
        <v>265.30909090909091</v>
      </c>
      <c r="AC294" s="453">
        <f>IFERROR(Y294/SUM(Y294:AA294)*AB294/$I$15,0)*$I$12*$AC$293</f>
        <v>27.708521243769287</v>
      </c>
      <c r="AD294" s="429">
        <f>IFERROR(Z294/SUM(Y294:AA294)*AB294/$J$15,0)*$I$12*$AD$293</f>
        <v>0</v>
      </c>
      <c r="AE294" s="454">
        <f>IFERROR(AA294/SUM(Y294:AA294)*AB294/$K$15,0)*$I$12*$AE$293</f>
        <v>0</v>
      </c>
      <c r="AF294" s="453"/>
      <c r="AG294" s="454"/>
      <c r="AH294" s="453"/>
      <c r="AI294" s="454"/>
      <c r="AJ294" s="453"/>
      <c r="AK294" s="454"/>
    </row>
    <row r="295" spans="1:37" outlineLevel="2">
      <c r="A295" s="5" t="s">
        <v>1567</v>
      </c>
      <c r="B295" s="240">
        <v>0</v>
      </c>
      <c r="C295" s="114">
        <f t="shared" si="127"/>
        <v>0</v>
      </c>
      <c r="D295" s="114">
        <f t="shared" si="128"/>
        <v>0</v>
      </c>
      <c r="E295" s="114">
        <f>55*60</f>
        <v>3300</v>
      </c>
      <c r="K295" s="4"/>
      <c r="L295" s="4"/>
      <c r="M295" s="4"/>
      <c r="O295" s="236"/>
      <c r="U295" s="370" t="s">
        <v>2761</v>
      </c>
      <c r="V295" s="496">
        <f>IFERROR(((RESUMO!C191)*(VLOOKUP(B302,$O$140:$S$146,3,0))),0)</f>
        <v>0</v>
      </c>
      <c r="W295" s="430">
        <f>IFERROR(((RESUMO!C191)*(VLOOKUP(B302,$O$140:$S$146,4,0))),0)</f>
        <v>0</v>
      </c>
      <c r="X295" s="432">
        <f>IFERROR(IF(B302&lt;3,0,(RESUMO!C191)*(VLOOKUP(B302,$O$140:$S$146,5,0))),0)</f>
        <v>0</v>
      </c>
      <c r="Y295" s="443">
        <f t="shared" si="129"/>
        <v>0</v>
      </c>
      <c r="Z295" s="428">
        <f t="shared" si="130"/>
        <v>0</v>
      </c>
      <c r="AA295" s="444">
        <f t="shared" si="131"/>
        <v>0</v>
      </c>
      <c r="AB295" s="448">
        <f>RESUMO!E191</f>
        <v>0</v>
      </c>
      <c r="AC295" s="453">
        <f>IFERROR(Y295/SUM(Y295:AA295)*AB295/$I$15,0)*$I$12*$AC$293</f>
        <v>0</v>
      </c>
      <c r="AD295" s="429">
        <f>IFERROR(Z295/SUM(Y295:AA295)*AB295/$J$15,0)*$I$12*$AD$293</f>
        <v>0</v>
      </c>
      <c r="AE295" s="454">
        <f>IFERROR(AA295/SUM(Y295:AA295)*AB295/$K$15,0)*$I$12*$AE$293</f>
        <v>0</v>
      </c>
      <c r="AF295" s="453"/>
      <c r="AG295" s="454"/>
      <c r="AH295" s="453"/>
      <c r="AI295" s="454"/>
      <c r="AJ295" s="453"/>
      <c r="AK295" s="454"/>
    </row>
    <row r="296" spans="1:37" outlineLevel="2">
      <c r="A296" s="5" t="s">
        <v>1820</v>
      </c>
      <c r="B296" s="114">
        <v>2</v>
      </c>
      <c r="C296" s="114">
        <f t="shared" si="127"/>
        <v>0</v>
      </c>
      <c r="D296" s="114">
        <f t="shared" si="128"/>
        <v>0</v>
      </c>
      <c r="E296" s="114">
        <f>30*60</f>
        <v>1800</v>
      </c>
      <c r="K296" s="4"/>
      <c r="L296" s="4"/>
      <c r="M296" s="4"/>
      <c r="O296" s="236"/>
      <c r="U296" s="370" t="s">
        <v>1843</v>
      </c>
      <c r="V296" s="496">
        <f>IFERROR(((RESUMO!C192)*(VLOOKUP(B303,$O$140:$S$146,3,0))),0)</f>
        <v>0</v>
      </c>
      <c r="W296" s="430">
        <f>IFERROR(((RESUMO!C192)*(VLOOKUP(B303,$O$140:$S$146,4,0))),0)</f>
        <v>0</v>
      </c>
      <c r="X296" s="432">
        <f>IFERROR(IF(B303&lt;3,0,(RESUMO!C192)*(VLOOKUP(B303,$O$140:$S$146,5,0))),0)</f>
        <v>0</v>
      </c>
      <c r="Y296" s="443">
        <f t="shared" si="129"/>
        <v>0</v>
      </c>
      <c r="Z296" s="428">
        <f t="shared" si="130"/>
        <v>0</v>
      </c>
      <c r="AA296" s="444">
        <f t="shared" si="131"/>
        <v>0</v>
      </c>
      <c r="AB296" s="448">
        <f>RESUMO!E192</f>
        <v>0</v>
      </c>
      <c r="AC296" s="453">
        <f t="shared" ref="AC296:AC302" si="132">IFERROR(Y296/SUM(Y296:AA296)*AB296/$I$15,0)*$I$12*$AC$293</f>
        <v>0</v>
      </c>
      <c r="AD296" s="429">
        <f t="shared" ref="AD296:AD302" si="133">IFERROR(Z296/SUM(Y296:AA296)*AB296/$J$15,0)*$I$12*$AD$293</f>
        <v>0</v>
      </c>
      <c r="AE296" s="454">
        <f t="shared" ref="AE296:AE302" si="134">IFERROR(AA296/SUM(Y296:AA296)*AB296/$K$15,0)*$I$12*$AE$293</f>
        <v>0</v>
      </c>
      <c r="AF296" s="453"/>
      <c r="AG296" s="454"/>
      <c r="AH296" s="453"/>
      <c r="AI296" s="454"/>
      <c r="AJ296" s="453"/>
      <c r="AK296" s="454"/>
    </row>
    <row r="297" spans="1:37" outlineLevel="2">
      <c r="A297" s="5" t="s">
        <v>1557</v>
      </c>
      <c r="B297" s="114">
        <v>1</v>
      </c>
      <c r="C297" s="114">
        <f t="shared" si="127"/>
        <v>0</v>
      </c>
      <c r="D297" s="114">
        <f>IF($I$12&gt;2,C297,0)</f>
        <v>0</v>
      </c>
      <c r="E297" s="114">
        <v>0</v>
      </c>
      <c r="K297" s="4"/>
      <c r="L297" s="4"/>
      <c r="M297" s="4"/>
      <c r="O297" s="236"/>
      <c r="U297" s="370" t="s">
        <v>2764</v>
      </c>
      <c r="V297" s="496">
        <f>IFERROR(((RESUMO!C193)*(VLOOKUP(B304,$O$140:$S$146,3,0))),0)</f>
        <v>0</v>
      </c>
      <c r="W297" s="430">
        <f>IFERROR(((RESUMO!C193)*(VLOOKUP(B304,$O$140:$S$146,4,0))),0)</f>
        <v>0</v>
      </c>
      <c r="X297" s="432">
        <f>IFERROR(IF(B304&lt;3,0,(RESUMO!C193)*(VLOOKUP(B304,$O$140:$S$146,5,0))),0)</f>
        <v>0</v>
      </c>
      <c r="Y297" s="443">
        <f t="shared" si="129"/>
        <v>0</v>
      </c>
      <c r="Z297" s="428">
        <f t="shared" si="130"/>
        <v>0</v>
      </c>
      <c r="AA297" s="444">
        <f t="shared" si="131"/>
        <v>0</v>
      </c>
      <c r="AB297" s="448">
        <f>RESUMO!E193</f>
        <v>0</v>
      </c>
      <c r="AC297" s="453">
        <f t="shared" si="132"/>
        <v>0</v>
      </c>
      <c r="AD297" s="429">
        <f t="shared" si="133"/>
        <v>0</v>
      </c>
      <c r="AE297" s="454">
        <f t="shared" si="134"/>
        <v>0</v>
      </c>
      <c r="AF297" s="453"/>
      <c r="AG297" s="454"/>
      <c r="AH297" s="453"/>
      <c r="AI297" s="454"/>
      <c r="AJ297" s="453"/>
      <c r="AK297" s="454"/>
    </row>
    <row r="298" spans="1:37" outlineLevel="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O298" s="236"/>
      <c r="U298" s="370" t="s">
        <v>1773</v>
      </c>
      <c r="V298" s="496">
        <f>IFERROR(((RESUMO!C194)*(VLOOKUP(B305,$O$140:$S$146,3,0))),0)</f>
        <v>0</v>
      </c>
      <c r="W298" s="430">
        <f>IFERROR(((RESUMO!C194)*(VLOOKUP(B305,$O$140:$S$146,4,0))),0)</f>
        <v>0</v>
      </c>
      <c r="X298" s="432">
        <f>IFERROR(IF(B305&lt;3,0,(RESUMO!C194)*(VLOOKUP(B305,$O$140:$S$146,5,0))),0)</f>
        <v>0</v>
      </c>
      <c r="Y298" s="443">
        <f t="shared" si="129"/>
        <v>0</v>
      </c>
      <c r="Z298" s="428">
        <f t="shared" si="130"/>
        <v>0</v>
      </c>
      <c r="AA298" s="444">
        <f t="shared" si="131"/>
        <v>0</v>
      </c>
      <c r="AB298" s="448">
        <f>RESUMO!E194</f>
        <v>0</v>
      </c>
      <c r="AC298" s="453">
        <f t="shared" si="132"/>
        <v>0</v>
      </c>
      <c r="AD298" s="429">
        <f t="shared" si="133"/>
        <v>0</v>
      </c>
      <c r="AE298" s="454">
        <f t="shared" si="134"/>
        <v>0</v>
      </c>
      <c r="AF298" s="453"/>
      <c r="AG298" s="454"/>
      <c r="AH298" s="453"/>
      <c r="AI298" s="454"/>
      <c r="AJ298" s="453"/>
      <c r="AK298" s="454"/>
    </row>
    <row r="299" spans="1:37" outlineLevel="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O299" s="236"/>
      <c r="U299" s="370" t="s">
        <v>1774</v>
      </c>
      <c r="V299" s="496">
        <f>IFERROR(((RESUMO!C195)*(VLOOKUP(B306,$O$140:$S$146,3,0))),0)</f>
        <v>0</v>
      </c>
      <c r="W299" s="430">
        <f>IFERROR(((RESUMO!C195)*(VLOOKUP(B306,$O$140:$S$146,4,0))),0)</f>
        <v>0</v>
      </c>
      <c r="X299" s="432">
        <f>IFERROR(IF(B306&lt;3,0,(RESUMO!C195)*(VLOOKUP(B306,$O$140:$S$146,5,0))),0)</f>
        <v>0</v>
      </c>
      <c r="Y299" s="443">
        <f t="shared" si="129"/>
        <v>0</v>
      </c>
      <c r="Z299" s="428">
        <f t="shared" si="130"/>
        <v>0</v>
      </c>
      <c r="AA299" s="444">
        <f t="shared" si="131"/>
        <v>0</v>
      </c>
      <c r="AB299" s="448">
        <f>RESUMO!E195</f>
        <v>0</v>
      </c>
      <c r="AC299" s="453">
        <f t="shared" si="132"/>
        <v>0</v>
      </c>
      <c r="AD299" s="429">
        <f t="shared" si="133"/>
        <v>0</v>
      </c>
      <c r="AE299" s="454">
        <f t="shared" si="134"/>
        <v>0</v>
      </c>
      <c r="AF299" s="453"/>
      <c r="AG299" s="454"/>
      <c r="AH299" s="453"/>
      <c r="AI299" s="454"/>
      <c r="AJ299" s="453"/>
      <c r="AK299" s="454"/>
    </row>
    <row r="300" spans="1:37" outlineLevel="2">
      <c r="A300" s="4"/>
      <c r="B300" s="5" t="s">
        <v>1537</v>
      </c>
      <c r="C300" s="365" t="s">
        <v>725</v>
      </c>
      <c r="D300" s="365" t="s">
        <v>726</v>
      </c>
      <c r="E300" s="365" t="s">
        <v>727</v>
      </c>
      <c r="F300" s="4"/>
      <c r="G300" s="4"/>
      <c r="H300" s="4"/>
      <c r="I300" s="4"/>
      <c r="J300" s="4"/>
      <c r="K300" s="4"/>
      <c r="L300" s="4"/>
      <c r="M300" s="4"/>
      <c r="O300" s="11" t="s">
        <v>1567</v>
      </c>
      <c r="P300" s="10"/>
      <c r="Q300" s="10"/>
      <c r="R300" s="10"/>
      <c r="U300" s="370" t="s">
        <v>1775</v>
      </c>
      <c r="V300" s="496">
        <f>IFERROR(((RESUMO!C196)*(VLOOKUP(B307,$O$140:$S$146,3,0))),0)</f>
        <v>0</v>
      </c>
      <c r="W300" s="430">
        <f>IFERROR(((RESUMO!C196)*(VLOOKUP(B307,$O$140:$S$146,4,0))),0)</f>
        <v>0</v>
      </c>
      <c r="X300" s="432">
        <f>IFERROR(IF(B307&lt;3,0,(RESUMO!C196)*(VLOOKUP(B307,$O$140:$S$146,5,0))),0)</f>
        <v>0</v>
      </c>
      <c r="Y300" s="497">
        <f t="shared" si="129"/>
        <v>0</v>
      </c>
      <c r="Z300" s="428">
        <f t="shared" si="130"/>
        <v>0</v>
      </c>
      <c r="AA300" s="444">
        <f t="shared" si="131"/>
        <v>0</v>
      </c>
      <c r="AB300" s="448">
        <f>RESUMO!E196</f>
        <v>0</v>
      </c>
      <c r="AC300" s="453">
        <f t="shared" si="132"/>
        <v>0</v>
      </c>
      <c r="AD300" s="429">
        <f t="shared" si="133"/>
        <v>0</v>
      </c>
      <c r="AE300" s="454">
        <f t="shared" si="134"/>
        <v>0</v>
      </c>
      <c r="AF300" s="453"/>
      <c r="AG300" s="454"/>
      <c r="AH300" s="453"/>
      <c r="AI300" s="454"/>
      <c r="AJ300" s="453"/>
      <c r="AK300" s="454"/>
    </row>
    <row r="301" spans="1:37" outlineLevel="2">
      <c r="A301" s="18" t="s">
        <v>1772</v>
      </c>
      <c r="B301" s="549">
        <f t="shared" ref="B301:B306" si="135">IF($I$12=1,1,IF($I$12=2,"1_2",IF($I$12=3,"1_2_3",1)))</f>
        <v>1</v>
      </c>
      <c r="C301" s="182">
        <f t="shared" ref="C301:C309" si="136">Y294</f>
        <v>0.37724918056229112</v>
      </c>
      <c r="D301" s="182">
        <f t="shared" ref="D301:D309" si="137">Z294</f>
        <v>0</v>
      </c>
      <c r="E301" s="182">
        <f t="shared" ref="E301:E309" si="138">AA294</f>
        <v>0</v>
      </c>
      <c r="F301" s="4"/>
      <c r="G301" s="4"/>
      <c r="H301" s="4"/>
      <c r="I301" s="4"/>
      <c r="J301" s="4"/>
      <c r="K301" s="4"/>
      <c r="L301" s="4"/>
      <c r="M301" s="4"/>
      <c r="O301" s="234" t="s">
        <v>1568</v>
      </c>
      <c r="P301" t="s">
        <v>1569</v>
      </c>
      <c r="Q301" t="s">
        <v>1570</v>
      </c>
      <c r="R301" t="s">
        <v>1571</v>
      </c>
      <c r="U301" s="370" t="s">
        <v>1880</v>
      </c>
      <c r="V301" s="496">
        <f>IFERROR(((RESUMO!C197)*(VLOOKUP(B308,$O$140:$S$146,3,0))),0)</f>
        <v>0</v>
      </c>
      <c r="W301" s="430">
        <f>IFERROR(((RESUMO!C197)*(VLOOKUP(B308,$O$140:$S$146,4,0))),0)</f>
        <v>0</v>
      </c>
      <c r="X301" s="432">
        <f>IFERROR(IF(B308&lt;3,0,(RESUMO!C197)*(VLOOKUP(B308,$O$140:$S$146,5,0))),0)</f>
        <v>0</v>
      </c>
      <c r="Y301" s="497">
        <f t="shared" si="129"/>
        <v>0</v>
      </c>
      <c r="Z301" s="428">
        <f t="shared" si="130"/>
        <v>0</v>
      </c>
      <c r="AA301" s="444">
        <f t="shared" si="131"/>
        <v>0</v>
      </c>
      <c r="AB301" s="448">
        <f>RESUMO!E197</f>
        <v>0</v>
      </c>
      <c r="AC301" s="453">
        <f t="shared" si="132"/>
        <v>0</v>
      </c>
      <c r="AD301" s="429">
        <f t="shared" si="133"/>
        <v>0</v>
      </c>
      <c r="AE301" s="454">
        <f t="shared" si="134"/>
        <v>0</v>
      </c>
      <c r="AF301" s="453"/>
      <c r="AG301" s="454"/>
      <c r="AH301" s="453"/>
      <c r="AI301" s="454"/>
      <c r="AJ301" s="453"/>
      <c r="AK301" s="454"/>
    </row>
    <row r="302" spans="1:37" outlineLevel="2">
      <c r="A302" s="18" t="s">
        <v>2761</v>
      </c>
      <c r="B302" s="549">
        <f t="shared" si="135"/>
        <v>1</v>
      </c>
      <c r="C302" s="182">
        <f t="shared" si="136"/>
        <v>0</v>
      </c>
      <c r="D302" s="182">
        <f t="shared" si="137"/>
        <v>0</v>
      </c>
      <c r="E302" s="182">
        <f t="shared" si="138"/>
        <v>0</v>
      </c>
      <c r="F302" s="4"/>
      <c r="G302" s="4"/>
      <c r="H302" s="4"/>
      <c r="I302" s="4"/>
      <c r="J302" s="4"/>
      <c r="K302" s="4"/>
      <c r="L302" s="4"/>
      <c r="M302" s="4"/>
      <c r="O302" s="378">
        <f>E295</f>
        <v>3300</v>
      </c>
      <c r="P302" s="202">
        <f>$O$302*B295</f>
        <v>0</v>
      </c>
      <c r="Q302" s="202">
        <f>$O$302*C295</f>
        <v>0</v>
      </c>
      <c r="R302" s="202">
        <f>$O$302*D295</f>
        <v>0</v>
      </c>
      <c r="U302" s="370" t="s">
        <v>1032</v>
      </c>
      <c r="V302" s="496">
        <f>IFERROR(((RESUMO!C198)*(VLOOKUP(B309,$O$140:$S$146,3,0))),0)</f>
        <v>0</v>
      </c>
      <c r="W302" s="430">
        <f>IFERROR(((RESUMO!C198)*(VLOOKUP(B309,$O$140:$S$146,4,0))),0)</f>
        <v>0</v>
      </c>
      <c r="X302" s="432">
        <f>IFERROR(IF(B309&lt;3,0,(RESUMO!C198)*(VLOOKUP(B309,$O$140:$S$146,5,0))),0)</f>
        <v>0</v>
      </c>
      <c r="Y302" s="443">
        <f t="shared" si="129"/>
        <v>0</v>
      </c>
      <c r="Z302" s="428">
        <f t="shared" si="130"/>
        <v>0</v>
      </c>
      <c r="AA302" s="444">
        <f t="shared" si="131"/>
        <v>0</v>
      </c>
      <c r="AB302" s="448">
        <f>RESUMO!E198</f>
        <v>0</v>
      </c>
      <c r="AC302" s="453">
        <f t="shared" si="132"/>
        <v>0</v>
      </c>
      <c r="AD302" s="429">
        <f t="shared" si="133"/>
        <v>0</v>
      </c>
      <c r="AE302" s="454">
        <f t="shared" si="134"/>
        <v>0</v>
      </c>
      <c r="AF302" s="453"/>
      <c r="AG302" s="454"/>
      <c r="AH302" s="453"/>
      <c r="AI302" s="454"/>
      <c r="AJ302" s="453"/>
      <c r="AK302" s="454"/>
    </row>
    <row r="303" spans="1:37" outlineLevel="2">
      <c r="A303" s="18" t="s">
        <v>1843</v>
      </c>
      <c r="B303" s="549">
        <f t="shared" si="135"/>
        <v>1</v>
      </c>
      <c r="C303" s="182">
        <f t="shared" si="136"/>
        <v>0</v>
      </c>
      <c r="D303" s="182">
        <f t="shared" si="137"/>
        <v>0</v>
      </c>
      <c r="E303" s="182">
        <f t="shared" si="138"/>
        <v>0</v>
      </c>
      <c r="F303" s="4"/>
      <c r="G303" s="4"/>
      <c r="H303" s="4"/>
      <c r="I303" s="4"/>
      <c r="J303" s="4"/>
      <c r="K303" s="4"/>
      <c r="L303" s="4"/>
      <c r="M303" s="4"/>
      <c r="P303" s="201">
        <f>($B$290*$C$309*$I$23*7.81%/0.9)+($B$290*$C$310*($C$326+$C$327)*$I$23*2.95%/0.9)+($B$290*$C$310*($C$342+$C$341)*$I$23*4.03%/0.9)</f>
        <v>0</v>
      </c>
      <c r="Q303" s="201">
        <f>($C$290*$D$309*$I$23*7.81%/0.9)+($C$290*$D$310*($D$326+$D$327)*$I$23*2.95%/0.9)+($C$290*$D$310*($D$342+$D$341)*$I$23*4.03%/0.9)</f>
        <v>0</v>
      </c>
      <c r="R303" s="201">
        <f>($D$290*$E$309*$I$23*7.81%/0.9)+($D$290*$E$310*($E$326+$E$327)*$I$23*2.95%/0.9)+($D$290*$E$310*($E$342+$E$341)*$I$23*4.03%/0.9)</f>
        <v>0</v>
      </c>
      <c r="U303" s="370" t="str">
        <f>A310</f>
        <v>% de asas porcionada PRIME</v>
      </c>
      <c r="V303" s="436">
        <f>1-(SUM(V294:V302))</f>
        <v>0.62275081943770894</v>
      </c>
      <c r="W303" s="437">
        <f>1-(SUM(W294:W302))</f>
        <v>1</v>
      </c>
      <c r="X303" s="438">
        <f>1-(SUM(X294:X302))</f>
        <v>1</v>
      </c>
      <c r="Y303" s="445">
        <f t="shared" si="129"/>
        <v>0.62275081943770894</v>
      </c>
      <c r="Z303" s="446">
        <f t="shared" si="130"/>
        <v>1</v>
      </c>
      <c r="AA303" s="447">
        <f t="shared" si="131"/>
        <v>1</v>
      </c>
      <c r="AB303" s="449"/>
      <c r="AC303" s="455"/>
      <c r="AD303" s="456"/>
      <c r="AE303" s="457"/>
      <c r="AF303" s="455"/>
      <c r="AG303" s="457"/>
      <c r="AH303" s="455"/>
      <c r="AI303" s="457"/>
      <c r="AJ303" s="455"/>
      <c r="AK303" s="457"/>
    </row>
    <row r="304" spans="1:37" outlineLevel="2">
      <c r="A304" s="18" t="s">
        <v>1837</v>
      </c>
      <c r="B304" s="549">
        <f t="shared" si="135"/>
        <v>1</v>
      </c>
      <c r="C304" s="182">
        <f t="shared" si="136"/>
        <v>0</v>
      </c>
      <c r="D304" s="182">
        <f t="shared" si="137"/>
        <v>0</v>
      </c>
      <c r="E304" s="182">
        <f t="shared" si="138"/>
        <v>0</v>
      </c>
      <c r="F304" s="4"/>
      <c r="G304" s="4"/>
      <c r="H304" s="4"/>
      <c r="I304" s="4"/>
      <c r="J304" s="4"/>
      <c r="K304" s="4"/>
      <c r="L304" s="4"/>
      <c r="M304" s="4"/>
      <c r="P304" s="201">
        <f>P302-P303</f>
        <v>0</v>
      </c>
      <c r="Q304" s="201">
        <f>Q302-Q303</f>
        <v>0</v>
      </c>
      <c r="R304" s="202">
        <f>R302-R303</f>
        <v>0</v>
      </c>
      <c r="U304" s="439" t="s">
        <v>1790</v>
      </c>
      <c r="V304" s="460">
        <f t="shared" ref="V304:AK304" si="139">SUM(V294:V303)</f>
        <v>1</v>
      </c>
      <c r="W304" s="461">
        <f t="shared" si="139"/>
        <v>1</v>
      </c>
      <c r="X304" s="463">
        <f t="shared" si="139"/>
        <v>1</v>
      </c>
      <c r="Y304" s="464">
        <f t="shared" si="139"/>
        <v>1</v>
      </c>
      <c r="Z304" s="462">
        <f t="shared" si="139"/>
        <v>1</v>
      </c>
      <c r="AA304" s="465">
        <f t="shared" si="139"/>
        <v>1</v>
      </c>
      <c r="AB304" s="466">
        <f t="shared" si="139"/>
        <v>265.30909090909091</v>
      </c>
      <c r="AC304" s="460">
        <f t="shared" si="139"/>
        <v>27.708521243769287</v>
      </c>
      <c r="AD304" s="461">
        <f t="shared" si="139"/>
        <v>0</v>
      </c>
      <c r="AE304" s="463">
        <f t="shared" si="139"/>
        <v>0</v>
      </c>
      <c r="AF304" s="460">
        <f t="shared" si="139"/>
        <v>0</v>
      </c>
      <c r="AG304" s="463">
        <f t="shared" si="139"/>
        <v>0</v>
      </c>
      <c r="AH304" s="460">
        <f t="shared" si="139"/>
        <v>0</v>
      </c>
      <c r="AI304" s="463">
        <f t="shared" si="139"/>
        <v>0</v>
      </c>
      <c r="AJ304" s="460">
        <f t="shared" si="139"/>
        <v>0</v>
      </c>
      <c r="AK304" s="463">
        <f t="shared" si="139"/>
        <v>0</v>
      </c>
    </row>
    <row r="305" spans="1:37" outlineLevel="2">
      <c r="A305" s="18" t="s">
        <v>1773</v>
      </c>
      <c r="B305" s="549">
        <f t="shared" si="135"/>
        <v>1</v>
      </c>
      <c r="C305" s="182">
        <f t="shared" si="136"/>
        <v>0</v>
      </c>
      <c r="D305" s="182">
        <f t="shared" si="137"/>
        <v>0</v>
      </c>
      <c r="E305" s="182">
        <f t="shared" si="138"/>
        <v>0</v>
      </c>
      <c r="F305" s="4"/>
      <c r="G305" s="4"/>
      <c r="H305" s="4"/>
      <c r="I305" s="4"/>
      <c r="J305" s="4"/>
      <c r="K305" s="4"/>
      <c r="L305" s="4"/>
      <c r="M305" s="4"/>
      <c r="P305" s="367" t="str">
        <f>IF(P304&gt;$O$150,"Sobrando Máq.",IF(P304&gt;=0,"Atende Capacidade","FaltandoMáq."))</f>
        <v>Atende Capacidade</v>
      </c>
      <c r="Q305" s="367" t="str">
        <f>IF(Q304&gt;$O$150,"Sobrando Máq.",IF(Q304&gt;=0,"Atende Capacidade","FaltandoMáq."))</f>
        <v>Atende Capacidade</v>
      </c>
      <c r="R305" s="367" t="str">
        <f>IF(R304&gt;$O$150,"Sobrando Máq.",IF(R304&gt;=0,"Atende Capacidade","FaltandoMáq."))</f>
        <v>Atende Capacidade</v>
      </c>
      <c r="U305" s="370" t="s">
        <v>1752</v>
      </c>
      <c r="V305" s="496">
        <f>IFERROR(((RESUMO!C201)*(VLOOKUP(B313,$O$140:$S$146,3,0))),0)</f>
        <v>1</v>
      </c>
      <c r="W305" s="430">
        <f>IFERROR(((RESUMO!C201)*(VLOOKUP(B313,$O$140:$S$146,4,0))),0)</f>
        <v>0</v>
      </c>
      <c r="X305" s="432">
        <f>IFERROR(IF(B313&lt;3,0,(RESUMO!C201)*(VLOOKUP(B313,$O$140:$S$146,5,0))),0)</f>
        <v>0</v>
      </c>
      <c r="Y305" s="440">
        <f t="shared" ref="Y305:Y319" si="140">IFERROR(V305/$V$320,0)</f>
        <v>1</v>
      </c>
      <c r="Z305" s="441">
        <f t="shared" ref="Z305:Z319" si="141">IFERROR(W305/$W$320,0)</f>
        <v>0</v>
      </c>
      <c r="AA305" s="442">
        <f t="shared" ref="AA305:AA319" si="142">IFERROR(X305/$X$320,0)</f>
        <v>0</v>
      </c>
      <c r="AB305" s="467">
        <f>RESUMO!E201</f>
        <v>2586.7636363636366</v>
      </c>
      <c r="AC305" s="450">
        <f t="shared" ref="AC305:AC319" si="143">IFERROR(Y305/SUM(Y305:AA305)*AB305/$I$15,0)</f>
        <v>270.15808212675057</v>
      </c>
      <c r="AD305" s="451">
        <f t="shared" ref="AD305:AD319" si="144">IFERROR(Z305/SUM(Y305:AA305)*AB305/$J$15,0)</f>
        <v>0</v>
      </c>
      <c r="AE305" s="452">
        <f t="shared" ref="AE305:AE319" si="145">IFERROR(AA305/SUM(Y305:AA305)*AB305/$K$15,0)</f>
        <v>0</v>
      </c>
      <c r="AF305" s="468"/>
      <c r="AG305" s="452">
        <f t="shared" ref="AG305:AG319" si="146">AC305-AF305</f>
        <v>270.15808212675057</v>
      </c>
      <c r="AH305" s="468"/>
      <c r="AI305" s="452">
        <f t="shared" ref="AI305:AI319" si="147">AD305-AH305</f>
        <v>0</v>
      </c>
      <c r="AJ305" s="468"/>
      <c r="AK305" s="452">
        <f t="shared" ref="AK305:AK319" si="148">AE305-AJ305</f>
        <v>0</v>
      </c>
    </row>
    <row r="306" spans="1:37" outlineLevel="2">
      <c r="A306" s="18" t="s">
        <v>1774</v>
      </c>
      <c r="B306" s="549">
        <f t="shared" si="135"/>
        <v>1</v>
      </c>
      <c r="C306" s="182">
        <f t="shared" si="136"/>
        <v>0</v>
      </c>
      <c r="D306" s="182">
        <f t="shared" si="137"/>
        <v>0</v>
      </c>
      <c r="E306" s="182">
        <f t="shared" si="138"/>
        <v>0</v>
      </c>
      <c r="F306" s="4"/>
      <c r="G306" s="4"/>
      <c r="H306" s="4"/>
      <c r="I306" s="4"/>
      <c r="J306" s="4"/>
      <c r="K306" s="4"/>
      <c r="L306" s="4"/>
      <c r="M306" s="4"/>
      <c r="P306" t="s">
        <v>1572</v>
      </c>
      <c r="U306" s="370" t="s">
        <v>1753</v>
      </c>
      <c r="V306" s="431">
        <f>IFERROR(((RESUMO!C202)*(VLOOKUP(B314,$O$140:$S$146,3,0))),0)</f>
        <v>0</v>
      </c>
      <c r="W306" s="430">
        <f>IFERROR(((RESUMO!C202)*(VLOOKUP(B314,$O$140:$S$146,4,0))),0)</f>
        <v>0</v>
      </c>
      <c r="X306" s="432">
        <f>IFERROR(IF(B314&lt;3,0,(RESUMO!C202)*(VLOOKUP(B314,$O$140:$S$146,5,0))),0)</f>
        <v>0</v>
      </c>
      <c r="Y306" s="443">
        <f t="shared" si="140"/>
        <v>0</v>
      </c>
      <c r="Z306" s="428">
        <f t="shared" si="141"/>
        <v>0</v>
      </c>
      <c r="AA306" s="444">
        <f t="shared" si="142"/>
        <v>0</v>
      </c>
      <c r="AB306" s="448">
        <f>RESUMO!E202</f>
        <v>0</v>
      </c>
      <c r="AC306" s="453">
        <f t="shared" si="143"/>
        <v>0</v>
      </c>
      <c r="AD306" s="429">
        <f t="shared" si="144"/>
        <v>0</v>
      </c>
      <c r="AE306" s="454">
        <f t="shared" si="145"/>
        <v>0</v>
      </c>
      <c r="AF306" s="381"/>
      <c r="AG306" s="454">
        <f t="shared" si="146"/>
        <v>0</v>
      </c>
      <c r="AH306" s="381"/>
      <c r="AI306" s="454">
        <f t="shared" si="147"/>
        <v>0</v>
      </c>
      <c r="AJ306" s="381"/>
      <c r="AK306" s="454">
        <f t="shared" si="148"/>
        <v>0</v>
      </c>
    </row>
    <row r="307" spans="1:37" outlineLevel="2">
      <c r="A307" s="18" t="s">
        <v>1775</v>
      </c>
      <c r="B307" s="549" t="s">
        <v>1542</v>
      </c>
      <c r="C307" s="182">
        <f t="shared" si="136"/>
        <v>0</v>
      </c>
      <c r="D307" s="182">
        <f t="shared" si="137"/>
        <v>0</v>
      </c>
      <c r="E307" s="182">
        <f t="shared" si="138"/>
        <v>0</v>
      </c>
      <c r="F307" s="4"/>
      <c r="G307" s="4"/>
      <c r="H307" s="4"/>
      <c r="I307" s="4"/>
      <c r="J307" s="4"/>
      <c r="K307" s="4"/>
      <c r="L307" s="4"/>
      <c r="M307" s="4"/>
      <c r="U307" s="370" t="s">
        <v>1846</v>
      </c>
      <c r="V307" s="431">
        <f>IFERROR(((RESUMO!C203)*(VLOOKUP(B315,$O$140:$S$146,3,0))),0)</f>
        <v>0</v>
      </c>
      <c r="W307" s="430">
        <f>IFERROR(((RESUMO!C203)*(VLOOKUP(B315,$O$140:$S$146,4,0))),0)</f>
        <v>0</v>
      </c>
      <c r="X307" s="432">
        <f>IFERROR(IF(B315&lt;3,0,(RESUMO!C203)*(VLOOKUP(B315,$O$140:$S$146,5,0))),0)</f>
        <v>0</v>
      </c>
      <c r="Y307" s="443">
        <f t="shared" si="140"/>
        <v>0</v>
      </c>
      <c r="Z307" s="428">
        <f t="shared" si="141"/>
        <v>0</v>
      </c>
      <c r="AA307" s="444">
        <f t="shared" si="142"/>
        <v>0</v>
      </c>
      <c r="AB307" s="448">
        <f>RESUMO!E203</f>
        <v>0</v>
      </c>
      <c r="AC307" s="453">
        <f t="shared" si="143"/>
        <v>0</v>
      </c>
      <c r="AD307" s="429">
        <f t="shared" si="144"/>
        <v>0</v>
      </c>
      <c r="AE307" s="454">
        <f t="shared" si="145"/>
        <v>0</v>
      </c>
      <c r="AF307" s="381"/>
      <c r="AG307" s="454">
        <f t="shared" si="146"/>
        <v>0</v>
      </c>
      <c r="AH307" s="381"/>
      <c r="AI307" s="454">
        <f t="shared" si="147"/>
        <v>0</v>
      </c>
      <c r="AJ307" s="381"/>
      <c r="AK307" s="454">
        <f t="shared" si="148"/>
        <v>0</v>
      </c>
    </row>
    <row r="308" spans="1:37" outlineLevel="2">
      <c r="A308" s="18" t="s">
        <v>1880</v>
      </c>
      <c r="B308" s="549" t="s">
        <v>1542</v>
      </c>
      <c r="C308" s="182">
        <f t="shared" si="136"/>
        <v>0</v>
      </c>
      <c r="D308" s="182">
        <f t="shared" si="137"/>
        <v>0</v>
      </c>
      <c r="E308" s="182">
        <f t="shared" si="138"/>
        <v>0</v>
      </c>
      <c r="F308" s="4"/>
      <c r="G308" s="4"/>
      <c r="H308" s="4"/>
      <c r="I308" s="4"/>
      <c r="J308" s="4"/>
      <c r="K308" s="4"/>
      <c r="L308" s="4"/>
      <c r="M308" s="4"/>
      <c r="P308" t="s">
        <v>1573</v>
      </c>
      <c r="U308" s="370" t="s">
        <v>1006</v>
      </c>
      <c r="V308" s="431">
        <f>IFERROR(((RESUMO!C204)*(VLOOKUP(B316,$O$140:$S$146,3,0))),0)</f>
        <v>0</v>
      </c>
      <c r="W308" s="430">
        <f>IFERROR(((RESUMO!C204)*(VLOOKUP(B316,$O$140:$S$146,4,0))),0)</f>
        <v>0</v>
      </c>
      <c r="X308" s="432">
        <f>IFERROR(IF(B316&lt;3,0,(RESUMO!C204)*(VLOOKUP(B316,$O$140:$S$146,5,0))),0)</f>
        <v>0</v>
      </c>
      <c r="Y308" s="443">
        <f t="shared" si="140"/>
        <v>0</v>
      </c>
      <c r="Z308" s="428">
        <f t="shared" si="141"/>
        <v>0</v>
      </c>
      <c r="AA308" s="444">
        <f t="shared" si="142"/>
        <v>0</v>
      </c>
      <c r="AB308" s="448">
        <f>RESUMO!E204</f>
        <v>0</v>
      </c>
      <c r="AC308" s="453">
        <f t="shared" si="143"/>
        <v>0</v>
      </c>
      <c r="AD308" s="429">
        <f t="shared" si="144"/>
        <v>0</v>
      </c>
      <c r="AE308" s="454">
        <f t="shared" si="145"/>
        <v>0</v>
      </c>
      <c r="AF308" s="381">
        <f>IF(AC308-($B$294*$E$294)&lt;=0,AC308,($B$294*$E$294))</f>
        <v>0</v>
      </c>
      <c r="AG308" s="454">
        <f t="shared" si="146"/>
        <v>0</v>
      </c>
      <c r="AH308" s="381">
        <f>IF(AD308-($B$294*$E$294)&lt;=0,AD308,($B$294*$E$294))</f>
        <v>0</v>
      </c>
      <c r="AI308" s="454">
        <f t="shared" si="147"/>
        <v>0</v>
      </c>
      <c r="AJ308" s="381">
        <f>IF(AE308-($B$294*$E$294)&lt;=0,AE308,($B$294*$E$294))</f>
        <v>0</v>
      </c>
      <c r="AK308" s="454">
        <f t="shared" si="148"/>
        <v>0</v>
      </c>
    </row>
    <row r="309" spans="1:37" outlineLevel="2">
      <c r="A309" s="18" t="s">
        <v>1032</v>
      </c>
      <c r="B309" s="549">
        <f>IF($I$12=1,1,IF($I$12=2,"1_2",IF($I$12=3,"1_2_3",1)))</f>
        <v>1</v>
      </c>
      <c r="C309" s="182">
        <f t="shared" si="136"/>
        <v>0</v>
      </c>
      <c r="D309" s="182">
        <f t="shared" si="137"/>
        <v>0</v>
      </c>
      <c r="E309" s="182">
        <f t="shared" si="138"/>
        <v>0</v>
      </c>
      <c r="F309" s="4"/>
      <c r="G309" s="4"/>
      <c r="H309" s="4"/>
      <c r="I309" s="4"/>
      <c r="J309" s="4"/>
      <c r="K309" s="4"/>
      <c r="L309" s="4"/>
      <c r="M309" s="4"/>
      <c r="O309" s="236"/>
      <c r="U309" s="370" t="s">
        <v>1826</v>
      </c>
      <c r="V309" s="431">
        <f>IFERROR(((RESUMO!C205)*(VLOOKUP(B317,$O$140:$S$146,3,0))),0)</f>
        <v>0</v>
      </c>
      <c r="W309" s="430">
        <f>IFERROR(((RESUMO!C205)*(VLOOKUP(B317,$O$140:$S$146,4,0))),0)</f>
        <v>0</v>
      </c>
      <c r="X309" s="432">
        <f>IFERROR(IF(B317&lt;3,0,(RESUMO!C205)*(VLOOKUP(B317,$O$140:$S$146,5,0))),0)</f>
        <v>0</v>
      </c>
      <c r="Y309" s="443">
        <f t="shared" si="140"/>
        <v>0</v>
      </c>
      <c r="Z309" s="428">
        <f t="shared" si="141"/>
        <v>0</v>
      </c>
      <c r="AA309" s="444">
        <f t="shared" si="142"/>
        <v>0</v>
      </c>
      <c r="AB309" s="448">
        <f>RESUMO!E205</f>
        <v>0</v>
      </c>
      <c r="AC309" s="453">
        <f t="shared" si="143"/>
        <v>0</v>
      </c>
      <c r="AD309" s="429">
        <f t="shared" si="144"/>
        <v>0</v>
      </c>
      <c r="AE309" s="454">
        <f t="shared" si="145"/>
        <v>0</v>
      </c>
      <c r="AF309" s="453"/>
      <c r="AG309" s="454">
        <f t="shared" si="146"/>
        <v>0</v>
      </c>
      <c r="AH309" s="453"/>
      <c r="AI309" s="454">
        <f t="shared" si="147"/>
        <v>0</v>
      </c>
      <c r="AJ309" s="453"/>
      <c r="AK309" s="454">
        <f t="shared" si="148"/>
        <v>0</v>
      </c>
    </row>
    <row r="310" spans="1:37" outlineLevel="2">
      <c r="A310" s="244" t="s">
        <v>1035</v>
      </c>
      <c r="B310" s="4"/>
      <c r="C310" s="182">
        <f>100%-(SUM(C301:C309))</f>
        <v>0.62275081943770894</v>
      </c>
      <c r="D310" s="182">
        <f>100%-(SUM(D301:D309))</f>
        <v>1</v>
      </c>
      <c r="E310" s="182">
        <f>100%-(SUM(E301:E309))</f>
        <v>1</v>
      </c>
      <c r="F310" s="4"/>
      <c r="G310" s="4"/>
      <c r="H310" s="4"/>
      <c r="I310" s="4"/>
      <c r="J310" s="4"/>
      <c r="K310" s="4"/>
      <c r="L310" s="4"/>
      <c r="M310" s="4"/>
      <c r="O310" s="236"/>
      <c r="U310" s="370" t="s">
        <v>1007</v>
      </c>
      <c r="V310" s="431">
        <f>IFERROR(((RESUMO!C206)*(VLOOKUP(B318,$O$140:$S$146,3,0))),0)</f>
        <v>0</v>
      </c>
      <c r="W310" s="430">
        <f>IFERROR(((RESUMO!C206)*(VLOOKUP(B318,$O$140:$S$146,4,0))),0)</f>
        <v>0</v>
      </c>
      <c r="X310" s="432">
        <f>IFERROR(IF(B318&lt;3,0,(RESUMO!C206)*(VLOOKUP(B318,$O$140:$S$146,5,0))),0)</f>
        <v>0</v>
      </c>
      <c r="Y310" s="443">
        <f t="shared" si="140"/>
        <v>0</v>
      </c>
      <c r="Z310" s="428">
        <f t="shared" si="141"/>
        <v>0</v>
      </c>
      <c r="AA310" s="444">
        <f t="shared" si="142"/>
        <v>0</v>
      </c>
      <c r="AB310" s="448">
        <f>RESUMO!E206</f>
        <v>0</v>
      </c>
      <c r="AC310" s="453">
        <f t="shared" si="143"/>
        <v>0</v>
      </c>
      <c r="AD310" s="429">
        <f t="shared" si="144"/>
        <v>0</v>
      </c>
      <c r="AE310" s="454">
        <f t="shared" si="145"/>
        <v>0</v>
      </c>
      <c r="AF310" s="453"/>
      <c r="AG310" s="454">
        <f t="shared" si="146"/>
        <v>0</v>
      </c>
      <c r="AH310" s="453"/>
      <c r="AI310" s="454">
        <f t="shared" si="147"/>
        <v>0</v>
      </c>
      <c r="AJ310" s="453"/>
      <c r="AK310" s="454">
        <f t="shared" si="148"/>
        <v>0</v>
      </c>
    </row>
    <row r="311" spans="1:37" outlineLevel="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O311" s="236"/>
      <c r="U311" s="370" t="s">
        <v>2563</v>
      </c>
      <c r="V311" s="431">
        <f>IFERROR(((RESUMO!C207)*(VLOOKUP(B319,$O$140:$S$146,3,0))),0)</f>
        <v>0</v>
      </c>
      <c r="W311" s="430">
        <f>IFERROR(((RESUMO!C207)*(VLOOKUP(B319,$O$140:$S$146,4,0))),0)</f>
        <v>0</v>
      </c>
      <c r="X311" s="432">
        <f>IFERROR(IF(B319&lt;3,0,(RESUMO!C207)*(VLOOKUP(B319,$O$140:$S$146,5,0))),0)</f>
        <v>0</v>
      </c>
      <c r="Y311" s="443">
        <f t="shared" si="140"/>
        <v>0</v>
      </c>
      <c r="Z311" s="428">
        <f t="shared" si="141"/>
        <v>0</v>
      </c>
      <c r="AA311" s="444">
        <f t="shared" si="142"/>
        <v>0</v>
      </c>
      <c r="AB311" s="448">
        <f>RESUMO!E207</f>
        <v>0</v>
      </c>
      <c r="AC311" s="453">
        <f t="shared" si="143"/>
        <v>0</v>
      </c>
      <c r="AD311" s="429">
        <f t="shared" si="144"/>
        <v>0</v>
      </c>
      <c r="AE311" s="454">
        <f t="shared" si="145"/>
        <v>0</v>
      </c>
      <c r="AF311" s="453"/>
      <c r="AG311" s="454">
        <f t="shared" si="146"/>
        <v>0</v>
      </c>
      <c r="AH311" s="453"/>
      <c r="AI311" s="454">
        <f t="shared" si="147"/>
        <v>0</v>
      </c>
      <c r="AJ311" s="453"/>
      <c r="AK311" s="454">
        <f t="shared" si="148"/>
        <v>0</v>
      </c>
    </row>
    <row r="312" spans="1:37" outlineLevel="2">
      <c r="A312" s="4"/>
      <c r="B312" s="5" t="s">
        <v>1537</v>
      </c>
      <c r="C312" s="365" t="s">
        <v>725</v>
      </c>
      <c r="D312" s="365" t="s">
        <v>726</v>
      </c>
      <c r="E312" s="365" t="s">
        <v>727</v>
      </c>
      <c r="F312" s="4"/>
      <c r="G312" s="4"/>
      <c r="H312" s="4"/>
      <c r="I312" s="4"/>
      <c r="J312" s="4"/>
      <c r="K312" s="4"/>
      <c r="L312" s="4"/>
      <c r="M312" s="4"/>
      <c r="O312" s="236"/>
      <c r="U312" s="370" t="s">
        <v>1008</v>
      </c>
      <c r="V312" s="431">
        <f>IFERROR(((RESUMO!C208)*(VLOOKUP(B320,$O$140:$S$146,3,0))),0)</f>
        <v>0</v>
      </c>
      <c r="W312" s="430">
        <f>IFERROR(((RESUMO!C208)*(VLOOKUP(B320,$O$140:$S$146,4,0))),0)</f>
        <v>0</v>
      </c>
      <c r="X312" s="432">
        <f>IFERROR(IF(B320&lt;3,0,(RESUMO!C208)*(VLOOKUP(B320,$O$140:$S$146,5,0))),0)</f>
        <v>0</v>
      </c>
      <c r="Y312" s="443">
        <f t="shared" si="140"/>
        <v>0</v>
      </c>
      <c r="Z312" s="428">
        <f t="shared" si="141"/>
        <v>0</v>
      </c>
      <c r="AA312" s="444">
        <f t="shared" si="142"/>
        <v>0</v>
      </c>
      <c r="AB312" s="448">
        <f>RESUMO!E208</f>
        <v>0</v>
      </c>
      <c r="AC312" s="453">
        <f t="shared" si="143"/>
        <v>0</v>
      </c>
      <c r="AD312" s="429">
        <f t="shared" si="144"/>
        <v>0</v>
      </c>
      <c r="AE312" s="454">
        <f t="shared" si="145"/>
        <v>0</v>
      </c>
      <c r="AF312" s="453"/>
      <c r="AG312" s="454">
        <f t="shared" si="146"/>
        <v>0</v>
      </c>
      <c r="AH312" s="453"/>
      <c r="AI312" s="454">
        <f t="shared" si="147"/>
        <v>0</v>
      </c>
      <c r="AJ312" s="453"/>
      <c r="AK312" s="454">
        <f t="shared" si="148"/>
        <v>0</v>
      </c>
    </row>
    <row r="313" spans="1:37" outlineLevel="2">
      <c r="A313" s="18" t="s">
        <v>1752</v>
      </c>
      <c r="B313" s="549">
        <f t="shared" ref="B313:B327" si="149">IF($I$12=1,1,IF($I$12=2,"1_2",IF($I$12=3,"1_2_3",1)))</f>
        <v>1</v>
      </c>
      <c r="C313" s="182">
        <f t="shared" ref="C313:C327" si="150">Y305</f>
        <v>1</v>
      </c>
      <c r="D313" s="182">
        <f t="shared" ref="D313:D327" si="151">Z305</f>
        <v>0</v>
      </c>
      <c r="E313" s="182">
        <f t="shared" ref="E313:E327" si="152">AA305</f>
        <v>0</v>
      </c>
      <c r="F313" s="4"/>
      <c r="G313" s="4"/>
      <c r="H313" s="4"/>
      <c r="I313" s="4"/>
      <c r="J313" s="4"/>
      <c r="K313" s="4"/>
      <c r="L313" s="4"/>
      <c r="M313" s="4"/>
      <c r="O313" s="236"/>
      <c r="U313" s="370" t="s">
        <v>1881</v>
      </c>
      <c r="V313" s="431">
        <f>IFERROR(((RESUMO!C209)*(VLOOKUP(B321,$O$140:$S$146,3,0))),0)</f>
        <v>0</v>
      </c>
      <c r="W313" s="430">
        <f>IFERROR(((RESUMO!C209)*(VLOOKUP(B321,$O$140:$S$146,4,0))),0)</f>
        <v>0</v>
      </c>
      <c r="X313" s="432">
        <f>IFERROR(IF(B321&lt;3,0,(RESUMO!C209)*(VLOOKUP(B321,$O$140:$S$146,5,0))),0)</f>
        <v>0</v>
      </c>
      <c r="Y313" s="443">
        <f t="shared" si="140"/>
        <v>0</v>
      </c>
      <c r="Z313" s="428">
        <f t="shared" si="141"/>
        <v>0</v>
      </c>
      <c r="AA313" s="444">
        <f t="shared" si="142"/>
        <v>0</v>
      </c>
      <c r="AB313" s="448">
        <f>RESUMO!E209</f>
        <v>0</v>
      </c>
      <c r="AC313" s="453">
        <f t="shared" si="143"/>
        <v>0</v>
      </c>
      <c r="AD313" s="429">
        <f t="shared" si="144"/>
        <v>0</v>
      </c>
      <c r="AE313" s="454">
        <f t="shared" si="145"/>
        <v>0</v>
      </c>
      <c r="AF313" s="453"/>
      <c r="AG313" s="454">
        <f t="shared" si="146"/>
        <v>0</v>
      </c>
      <c r="AH313" s="453"/>
      <c r="AI313" s="454">
        <f t="shared" si="147"/>
        <v>0</v>
      </c>
      <c r="AJ313" s="453"/>
      <c r="AK313" s="454">
        <f t="shared" si="148"/>
        <v>0</v>
      </c>
    </row>
    <row r="314" spans="1:37" outlineLevel="2">
      <c r="A314" s="18" t="s">
        <v>1753</v>
      </c>
      <c r="B314" s="549">
        <f t="shared" si="149"/>
        <v>1</v>
      </c>
      <c r="C314" s="182">
        <f t="shared" si="150"/>
        <v>0</v>
      </c>
      <c r="D314" s="182">
        <f t="shared" si="151"/>
        <v>0</v>
      </c>
      <c r="E314" s="182">
        <f t="shared" si="152"/>
        <v>0</v>
      </c>
      <c r="F314" s="4"/>
      <c r="G314" s="4"/>
      <c r="H314" s="4"/>
      <c r="I314" s="4"/>
      <c r="J314" s="4"/>
      <c r="K314" s="4"/>
      <c r="L314" s="4"/>
      <c r="M314" s="4"/>
      <c r="O314" s="236"/>
      <c r="U314" s="370" t="s">
        <v>1009</v>
      </c>
      <c r="V314" s="431">
        <f>IFERROR(((RESUMO!C210)*(VLOOKUP(B322,$O$140:$S$146,3,0))),0)</f>
        <v>0</v>
      </c>
      <c r="W314" s="430">
        <f>IFERROR(((RESUMO!C210)*(VLOOKUP(B322,$O$140:$S$146,4,0))),0)</f>
        <v>0</v>
      </c>
      <c r="X314" s="432">
        <f>IFERROR(IF(B322&lt;3,0,(RESUMO!C210)*(VLOOKUP(B322,$O$140:$S$146,5,0))),0)</f>
        <v>0</v>
      </c>
      <c r="Y314" s="443">
        <f t="shared" si="140"/>
        <v>0</v>
      </c>
      <c r="Z314" s="428">
        <f t="shared" si="141"/>
        <v>0</v>
      </c>
      <c r="AA314" s="444">
        <f t="shared" si="142"/>
        <v>0</v>
      </c>
      <c r="AB314" s="448">
        <f>RESUMO!E210</f>
        <v>0</v>
      </c>
      <c r="AC314" s="453">
        <f t="shared" si="143"/>
        <v>0</v>
      </c>
      <c r="AD314" s="429">
        <f t="shared" si="144"/>
        <v>0</v>
      </c>
      <c r="AE314" s="454">
        <f t="shared" si="145"/>
        <v>0</v>
      </c>
      <c r="AF314" s="453"/>
      <c r="AG314" s="454">
        <f t="shared" si="146"/>
        <v>0</v>
      </c>
      <c r="AH314" s="453"/>
      <c r="AI314" s="454">
        <f t="shared" si="147"/>
        <v>0</v>
      </c>
      <c r="AJ314" s="453"/>
      <c r="AK314" s="454">
        <f t="shared" si="148"/>
        <v>0</v>
      </c>
    </row>
    <row r="315" spans="1:37" outlineLevel="2">
      <c r="A315" s="18" t="s">
        <v>1846</v>
      </c>
      <c r="B315" s="549">
        <f t="shared" si="149"/>
        <v>1</v>
      </c>
      <c r="C315" s="182">
        <f t="shared" si="150"/>
        <v>0</v>
      </c>
      <c r="D315" s="182">
        <f t="shared" si="151"/>
        <v>0</v>
      </c>
      <c r="E315" s="182">
        <f t="shared" si="152"/>
        <v>0</v>
      </c>
      <c r="F315" s="4"/>
      <c r="G315" s="4"/>
      <c r="H315" s="4"/>
      <c r="I315" s="4"/>
      <c r="J315" s="4"/>
      <c r="K315" s="4"/>
      <c r="L315" s="4"/>
      <c r="M315" s="4"/>
      <c r="O315" s="236"/>
      <c r="U315" s="370" t="s">
        <v>1010</v>
      </c>
      <c r="V315" s="431">
        <f>IFERROR(((RESUMO!C211)*(VLOOKUP(B323,$O$140:$S$146,3,0))),0)</f>
        <v>0</v>
      </c>
      <c r="W315" s="430">
        <f>IFERROR(((RESUMO!C211)*(VLOOKUP(B323,$O$140:$S$146,4,0))),0)</f>
        <v>0</v>
      </c>
      <c r="X315" s="432">
        <f>IFERROR(IF(B323&lt;3,0,(RESUMO!C211)*(VLOOKUP(B323,$O$140:$S$146,5,0))),0)</f>
        <v>0</v>
      </c>
      <c r="Y315" s="443">
        <f t="shared" si="140"/>
        <v>0</v>
      </c>
      <c r="Z315" s="428">
        <f t="shared" si="141"/>
        <v>0</v>
      </c>
      <c r="AA315" s="444">
        <f t="shared" si="142"/>
        <v>0</v>
      </c>
      <c r="AB315" s="448">
        <f>RESUMO!E211</f>
        <v>0</v>
      </c>
      <c r="AC315" s="453">
        <f t="shared" si="143"/>
        <v>0</v>
      </c>
      <c r="AD315" s="429">
        <f t="shared" si="144"/>
        <v>0</v>
      </c>
      <c r="AE315" s="454">
        <f t="shared" si="145"/>
        <v>0</v>
      </c>
      <c r="AF315" s="453"/>
      <c r="AG315" s="454">
        <f t="shared" si="146"/>
        <v>0</v>
      </c>
      <c r="AH315" s="453"/>
      <c r="AI315" s="454">
        <f t="shared" si="147"/>
        <v>0</v>
      </c>
      <c r="AJ315" s="453"/>
      <c r="AK315" s="454">
        <f t="shared" si="148"/>
        <v>0</v>
      </c>
    </row>
    <row r="316" spans="1:37" outlineLevel="2">
      <c r="A316" s="18" t="s">
        <v>1006</v>
      </c>
      <c r="B316" s="549">
        <f t="shared" si="149"/>
        <v>1</v>
      </c>
      <c r="C316" s="182">
        <f t="shared" si="150"/>
        <v>0</v>
      </c>
      <c r="D316" s="182">
        <f t="shared" si="151"/>
        <v>0</v>
      </c>
      <c r="E316" s="182">
        <f t="shared" si="152"/>
        <v>0</v>
      </c>
      <c r="F316" s="4"/>
      <c r="G316" s="4"/>
      <c r="H316" s="4"/>
      <c r="I316" s="4"/>
      <c r="J316" s="4"/>
      <c r="K316" s="4"/>
      <c r="L316" s="4"/>
      <c r="M316" s="4"/>
      <c r="O316" s="236"/>
      <c r="U316" s="370" t="s">
        <v>1011</v>
      </c>
      <c r="V316" s="431">
        <f>IFERROR(((RESUMO!C212)*(VLOOKUP(B324,$O$140:$S$146,3,0))),0)</f>
        <v>0</v>
      </c>
      <c r="W316" s="430">
        <f>IFERROR(((RESUMO!C212)*(VLOOKUP(B324,$O$140:$S$146,4,0))),0)</f>
        <v>0</v>
      </c>
      <c r="X316" s="432">
        <f>IFERROR(IF(B324&lt;3,0,(RESUMO!C212)*(VLOOKUP(B324,$O$140:$S$146,5,0))),0)</f>
        <v>0</v>
      </c>
      <c r="Y316" s="443">
        <f t="shared" si="140"/>
        <v>0</v>
      </c>
      <c r="Z316" s="428">
        <f t="shared" si="141"/>
        <v>0</v>
      </c>
      <c r="AA316" s="444">
        <f t="shared" si="142"/>
        <v>0</v>
      </c>
      <c r="AB316" s="448">
        <f>RESUMO!E212</f>
        <v>0</v>
      </c>
      <c r="AC316" s="453">
        <f t="shared" si="143"/>
        <v>0</v>
      </c>
      <c r="AD316" s="429">
        <f t="shared" si="144"/>
        <v>0</v>
      </c>
      <c r="AE316" s="454">
        <f t="shared" si="145"/>
        <v>0</v>
      </c>
      <c r="AF316" s="453"/>
      <c r="AG316" s="454">
        <f t="shared" si="146"/>
        <v>0</v>
      </c>
      <c r="AH316" s="453"/>
      <c r="AI316" s="454">
        <f t="shared" si="147"/>
        <v>0</v>
      </c>
      <c r="AJ316" s="453"/>
      <c r="AK316" s="454">
        <f t="shared" si="148"/>
        <v>0</v>
      </c>
    </row>
    <row r="317" spans="1:37" outlineLevel="2">
      <c r="A317" s="18" t="s">
        <v>1826</v>
      </c>
      <c r="B317" s="549">
        <f t="shared" si="149"/>
        <v>1</v>
      </c>
      <c r="C317" s="182">
        <f t="shared" si="150"/>
        <v>0</v>
      </c>
      <c r="D317" s="182">
        <f t="shared" si="151"/>
        <v>0</v>
      </c>
      <c r="E317" s="182">
        <f t="shared" si="152"/>
        <v>0</v>
      </c>
      <c r="F317" s="4"/>
      <c r="G317" s="4"/>
      <c r="H317" s="4"/>
      <c r="I317" s="4"/>
      <c r="J317" s="4"/>
      <c r="K317" s="4"/>
      <c r="L317" s="4"/>
      <c r="M317" s="4"/>
      <c r="O317" s="236"/>
      <c r="U317" s="370" t="s">
        <v>1838</v>
      </c>
      <c r="V317" s="431">
        <f>IFERROR(((RESUMO!C213)*(VLOOKUP(B325,$O$140:$S$146,3,0))),0)</f>
        <v>0</v>
      </c>
      <c r="W317" s="430">
        <f>IFERROR(((RESUMO!C213)*(VLOOKUP(B325,$O$140:$S$146,4,0))),0)</f>
        <v>0</v>
      </c>
      <c r="X317" s="432">
        <f>IFERROR(IF(B325&lt;3,0,(RESUMO!C213)*(VLOOKUP(B325,$O$140:$S$146,5,0))),0)</f>
        <v>0</v>
      </c>
      <c r="Y317" s="443">
        <f t="shared" si="140"/>
        <v>0</v>
      </c>
      <c r="Z317" s="428">
        <f t="shared" si="141"/>
        <v>0</v>
      </c>
      <c r="AA317" s="444">
        <f t="shared" si="142"/>
        <v>0</v>
      </c>
      <c r="AB317" s="448">
        <f>RESUMO!E213</f>
        <v>0</v>
      </c>
      <c r="AC317" s="453">
        <f t="shared" si="143"/>
        <v>0</v>
      </c>
      <c r="AD317" s="429">
        <f t="shared" si="144"/>
        <v>0</v>
      </c>
      <c r="AE317" s="454">
        <f t="shared" si="145"/>
        <v>0</v>
      </c>
      <c r="AF317" s="453"/>
      <c r="AG317" s="454">
        <f t="shared" si="146"/>
        <v>0</v>
      </c>
      <c r="AH317" s="453"/>
      <c r="AI317" s="454">
        <f t="shared" si="147"/>
        <v>0</v>
      </c>
      <c r="AJ317" s="453"/>
      <c r="AK317" s="454">
        <f t="shared" si="148"/>
        <v>0</v>
      </c>
    </row>
    <row r="318" spans="1:37" outlineLevel="2">
      <c r="A318" s="18" t="s">
        <v>1007</v>
      </c>
      <c r="B318" s="549">
        <f t="shared" si="149"/>
        <v>1</v>
      </c>
      <c r="C318" s="182">
        <f t="shared" si="150"/>
        <v>0</v>
      </c>
      <c r="D318" s="182">
        <f t="shared" si="151"/>
        <v>0</v>
      </c>
      <c r="E318" s="182">
        <f t="shared" si="152"/>
        <v>0</v>
      </c>
      <c r="F318" s="4"/>
      <c r="G318" s="4"/>
      <c r="H318" s="4"/>
      <c r="I318" s="4"/>
      <c r="J318" s="4"/>
      <c r="K318" s="4"/>
      <c r="L318" s="4"/>
      <c r="M318" s="4"/>
      <c r="O318" s="236"/>
      <c r="U318" s="370" t="s">
        <v>1756</v>
      </c>
      <c r="V318" s="431">
        <f>IFERROR(((RESUMO!C214)*(VLOOKUP(B326,$O$140:$S$146,3,0))),0)</f>
        <v>0</v>
      </c>
      <c r="W318" s="430">
        <f>IFERROR(((RESUMO!C214)*(VLOOKUP(B326,$O$140:$S$146,4,0))),0)</f>
        <v>0</v>
      </c>
      <c r="X318" s="432">
        <f>IFERROR(IF(B326&lt;3,0,(RESUMO!C214)*(VLOOKUP(B326,$O$140:$S$146,5,0))),0)</f>
        <v>0</v>
      </c>
      <c r="Y318" s="443">
        <f t="shared" si="140"/>
        <v>0</v>
      </c>
      <c r="Z318" s="428">
        <f t="shared" si="141"/>
        <v>0</v>
      </c>
      <c r="AA318" s="444">
        <f t="shared" si="142"/>
        <v>0</v>
      </c>
      <c r="AB318" s="448">
        <f>RESUMO!E214</f>
        <v>0</v>
      </c>
      <c r="AC318" s="453">
        <f t="shared" si="143"/>
        <v>0</v>
      </c>
      <c r="AD318" s="429">
        <f t="shared" si="144"/>
        <v>0</v>
      </c>
      <c r="AE318" s="454">
        <f t="shared" si="145"/>
        <v>0</v>
      </c>
      <c r="AF318" s="453"/>
      <c r="AG318" s="454">
        <f t="shared" si="146"/>
        <v>0</v>
      </c>
      <c r="AH318" s="453"/>
      <c r="AI318" s="454">
        <f t="shared" si="147"/>
        <v>0</v>
      </c>
      <c r="AJ318" s="453"/>
      <c r="AK318" s="454">
        <f t="shared" si="148"/>
        <v>0</v>
      </c>
    </row>
    <row r="319" spans="1:37" outlineLevel="2">
      <c r="A319" s="18" t="s">
        <v>2563</v>
      </c>
      <c r="B319" s="549">
        <f t="shared" si="149"/>
        <v>1</v>
      </c>
      <c r="C319" s="182">
        <f t="shared" si="150"/>
        <v>0</v>
      </c>
      <c r="D319" s="182">
        <f t="shared" si="151"/>
        <v>0</v>
      </c>
      <c r="E319" s="182">
        <f t="shared" si="152"/>
        <v>0</v>
      </c>
      <c r="F319" s="4"/>
      <c r="G319" s="4"/>
      <c r="H319" s="4"/>
      <c r="I319" s="4"/>
      <c r="J319" s="4"/>
      <c r="K319" s="4"/>
      <c r="L319" s="4"/>
      <c r="M319" s="4"/>
      <c r="O319" s="236"/>
      <c r="U319" s="370" t="s">
        <v>1012</v>
      </c>
      <c r="V319" s="436">
        <f>IFERROR(((RESUMO!C215)*(VLOOKUP(B327,$O$140:$S$146,3,0))),0)</f>
        <v>0</v>
      </c>
      <c r="W319" s="437">
        <f>IFERROR(((RESUMO!C215)*(VLOOKUP(B327,$O$140:$S$146,4,0))),0)</f>
        <v>0</v>
      </c>
      <c r="X319" s="438">
        <f>IFERROR(IF(B327&lt;3,0,(RESUMO!C215)*(VLOOKUP(B327,$O$140:$S$146,5,0))),0)</f>
        <v>0</v>
      </c>
      <c r="Y319" s="445">
        <f t="shared" si="140"/>
        <v>0</v>
      </c>
      <c r="Z319" s="446">
        <f t="shared" si="141"/>
        <v>0</v>
      </c>
      <c r="AA319" s="447">
        <f t="shared" si="142"/>
        <v>0</v>
      </c>
      <c r="AB319" s="449">
        <f>RESUMO!E215</f>
        <v>0</v>
      </c>
      <c r="AC319" s="455">
        <f t="shared" si="143"/>
        <v>0</v>
      </c>
      <c r="AD319" s="456">
        <f t="shared" si="144"/>
        <v>0</v>
      </c>
      <c r="AE319" s="457">
        <f t="shared" si="145"/>
        <v>0</v>
      </c>
      <c r="AF319" s="455"/>
      <c r="AG319" s="454">
        <f t="shared" si="146"/>
        <v>0</v>
      </c>
      <c r="AH319" s="455"/>
      <c r="AI319" s="454">
        <f t="shared" si="147"/>
        <v>0</v>
      </c>
      <c r="AJ319" s="455"/>
      <c r="AK319" s="454">
        <f t="shared" si="148"/>
        <v>0</v>
      </c>
    </row>
    <row r="320" spans="1:37" outlineLevel="2">
      <c r="A320" s="18" t="s">
        <v>1008</v>
      </c>
      <c r="B320" s="549">
        <f t="shared" si="149"/>
        <v>1</v>
      </c>
      <c r="C320" s="182">
        <f t="shared" si="150"/>
        <v>0</v>
      </c>
      <c r="D320" s="182">
        <f t="shared" si="151"/>
        <v>0</v>
      </c>
      <c r="E320" s="182">
        <f t="shared" si="152"/>
        <v>0</v>
      </c>
      <c r="F320" s="4"/>
      <c r="G320" s="4"/>
      <c r="H320" s="4"/>
      <c r="I320" s="4"/>
      <c r="J320" s="4"/>
      <c r="K320" s="4"/>
      <c r="L320" s="4"/>
      <c r="M320" s="4"/>
      <c r="O320" s="236"/>
      <c r="U320" s="439" t="s">
        <v>1790</v>
      </c>
      <c r="V320" s="460">
        <f t="shared" ref="V320:AK320" si="153">SUM(V305:V319)</f>
        <v>1</v>
      </c>
      <c r="W320" s="461">
        <f t="shared" si="153"/>
        <v>0</v>
      </c>
      <c r="X320" s="463">
        <f t="shared" si="153"/>
        <v>0</v>
      </c>
      <c r="Y320" s="464">
        <f t="shared" si="153"/>
        <v>1</v>
      </c>
      <c r="Z320" s="462">
        <f t="shared" si="153"/>
        <v>0</v>
      </c>
      <c r="AA320" s="465">
        <f t="shared" si="153"/>
        <v>0</v>
      </c>
      <c r="AB320" s="466">
        <f t="shared" si="153"/>
        <v>2586.7636363636366</v>
      </c>
      <c r="AC320" s="460">
        <f t="shared" si="153"/>
        <v>270.15808212675057</v>
      </c>
      <c r="AD320" s="461">
        <f t="shared" si="153"/>
        <v>0</v>
      </c>
      <c r="AE320" s="463">
        <f t="shared" si="153"/>
        <v>0</v>
      </c>
      <c r="AF320" s="460">
        <f t="shared" si="153"/>
        <v>0</v>
      </c>
      <c r="AG320" s="463">
        <f t="shared" si="153"/>
        <v>270.15808212675057</v>
      </c>
      <c r="AH320" s="460">
        <f t="shared" si="153"/>
        <v>0</v>
      </c>
      <c r="AI320" s="463">
        <f t="shared" si="153"/>
        <v>0</v>
      </c>
      <c r="AJ320" s="460">
        <f t="shared" si="153"/>
        <v>0</v>
      </c>
      <c r="AK320" s="463">
        <f t="shared" si="153"/>
        <v>0</v>
      </c>
    </row>
    <row r="321" spans="1:37" outlineLevel="2">
      <c r="A321" s="18" t="s">
        <v>1881</v>
      </c>
      <c r="B321" s="549">
        <f t="shared" si="149"/>
        <v>1</v>
      </c>
      <c r="C321" s="182">
        <f t="shared" si="150"/>
        <v>0</v>
      </c>
      <c r="D321" s="182">
        <f t="shared" si="151"/>
        <v>0</v>
      </c>
      <c r="E321" s="182">
        <f t="shared" si="152"/>
        <v>0</v>
      </c>
      <c r="F321" s="4"/>
      <c r="G321" s="4"/>
      <c r="H321" s="4"/>
      <c r="I321" s="4"/>
      <c r="J321" s="4"/>
      <c r="K321" s="4"/>
      <c r="L321" s="4"/>
      <c r="M321" s="4"/>
      <c r="O321" s="236"/>
      <c r="U321" s="370" t="s">
        <v>1754</v>
      </c>
      <c r="V321" s="431">
        <f>IFERROR(((RESUMO!C218)*(VLOOKUP(B329,$O$140:$S$146,3,0))),0)</f>
        <v>0.98529411764705876</v>
      </c>
      <c r="W321" s="430">
        <f>IFERROR(((RESUMO!C218)*(VLOOKUP(B329,$O$140:$S$146,4,0))),0)</f>
        <v>0</v>
      </c>
      <c r="X321" s="432">
        <f>IFERROR(IF(B329&lt;3,0,(RESUMO!C218)*(VLOOKUP(B329,$O$140:$S$146,5,0))),0)</f>
        <v>0</v>
      </c>
      <c r="Y321" s="443">
        <f t="shared" ref="Y321:Y336" si="154">IFERROR(V321/$V$337,0)</f>
        <v>0.98529411764705888</v>
      </c>
      <c r="Z321" s="428">
        <f t="shared" ref="Z321:Z336" si="155">IFERROR(W321/$W$337,0)</f>
        <v>0</v>
      </c>
      <c r="AA321" s="444">
        <f t="shared" ref="AA321:AA336" si="156">IFERROR(X321/$X$337,0)</f>
        <v>0</v>
      </c>
      <c r="AB321" s="448">
        <f>RESUMO!E218</f>
        <v>3332.9454545454546</v>
      </c>
      <c r="AC321" s="453">
        <f t="shared" ref="AC321:AC335" si="157">IFERROR(Y321/SUM(Y321:AA321)*AB321/$I$15,0)</f>
        <v>348.08829812485169</v>
      </c>
      <c r="AD321" s="429">
        <f t="shared" ref="AD321:AD335" si="158">IFERROR(Z321/SUM(Y321:AA321)*AB321/$J$15,0)</f>
        <v>0</v>
      </c>
      <c r="AE321" s="454">
        <f t="shared" ref="AE321:AE335" si="159">IFERROR(AA321/SUM(Y321:AA321)*AB321/$K$15,0)</f>
        <v>0</v>
      </c>
      <c r="AF321" s="453"/>
      <c r="AG321" s="454">
        <f t="shared" ref="AG321:AG335" si="160">AC321-AF321</f>
        <v>348.08829812485169</v>
      </c>
      <c r="AH321" s="453"/>
      <c r="AI321" s="454">
        <f t="shared" ref="AI321:AI335" si="161">AD321-AH321</f>
        <v>0</v>
      </c>
      <c r="AJ321" s="453"/>
      <c r="AK321" s="454">
        <f t="shared" ref="AK321:AK335" si="162">AE321-AJ321</f>
        <v>0</v>
      </c>
    </row>
    <row r="322" spans="1:37" outlineLevel="2">
      <c r="A322" s="18" t="s">
        <v>1009</v>
      </c>
      <c r="B322" s="549">
        <f t="shared" si="149"/>
        <v>1</v>
      </c>
      <c r="C322" s="182">
        <f t="shared" si="150"/>
        <v>0</v>
      </c>
      <c r="D322" s="182">
        <f t="shared" si="151"/>
        <v>0</v>
      </c>
      <c r="E322" s="182">
        <f t="shared" si="152"/>
        <v>0</v>
      </c>
      <c r="F322" s="4"/>
      <c r="G322" s="4"/>
      <c r="H322" s="4"/>
      <c r="I322" s="4"/>
      <c r="J322" s="4"/>
      <c r="K322" s="4"/>
      <c r="L322" s="4"/>
      <c r="M322" s="4"/>
      <c r="O322" s="236"/>
      <c r="U322" s="370" t="s">
        <v>1755</v>
      </c>
      <c r="V322" s="431">
        <f>IFERROR(((RESUMO!C219)*(VLOOKUP(B330,$O$140:$S$146,3,0))),0)</f>
        <v>0</v>
      </c>
      <c r="W322" s="430">
        <f>IFERROR(((RESUMO!C219)*(VLOOKUP(B330,$O$140:$S$146,4,0))),0)</f>
        <v>0</v>
      </c>
      <c r="X322" s="432">
        <f>IFERROR(IF(B330&lt;3,0,(RESUMO!C219)*(VLOOKUP(B330,$O$140:$S$146,5,0))),0)</f>
        <v>0</v>
      </c>
      <c r="Y322" s="443">
        <f t="shared" si="154"/>
        <v>0</v>
      </c>
      <c r="Z322" s="428">
        <f t="shared" si="155"/>
        <v>0</v>
      </c>
      <c r="AA322" s="444">
        <f t="shared" si="156"/>
        <v>0</v>
      </c>
      <c r="AB322" s="448">
        <f>RESUMO!E219</f>
        <v>0</v>
      </c>
      <c r="AC322" s="453">
        <f t="shared" si="157"/>
        <v>0</v>
      </c>
      <c r="AD322" s="429">
        <f t="shared" si="158"/>
        <v>0</v>
      </c>
      <c r="AE322" s="454">
        <f t="shared" si="159"/>
        <v>0</v>
      </c>
      <c r="AF322" s="381"/>
      <c r="AG322" s="454">
        <f t="shared" si="160"/>
        <v>0</v>
      </c>
      <c r="AH322" s="381"/>
      <c r="AI322" s="454">
        <f t="shared" si="161"/>
        <v>0</v>
      </c>
      <c r="AJ322" s="381"/>
      <c r="AK322" s="454">
        <f t="shared" si="162"/>
        <v>0</v>
      </c>
    </row>
    <row r="323" spans="1:37" outlineLevel="2">
      <c r="A323" s="18" t="s">
        <v>1010</v>
      </c>
      <c r="B323" s="549">
        <f t="shared" si="149"/>
        <v>1</v>
      </c>
      <c r="C323" s="182">
        <f t="shared" si="150"/>
        <v>0</v>
      </c>
      <c r="D323" s="182">
        <f t="shared" si="151"/>
        <v>0</v>
      </c>
      <c r="E323" s="182">
        <f t="shared" si="152"/>
        <v>0</v>
      </c>
      <c r="F323" s="4"/>
      <c r="G323" s="4"/>
      <c r="H323" s="4"/>
      <c r="I323" s="4"/>
      <c r="J323" s="4"/>
      <c r="K323" s="4"/>
      <c r="L323" s="4"/>
      <c r="M323" s="4"/>
      <c r="O323" s="236"/>
      <c r="U323" s="370" t="s">
        <v>1013</v>
      </c>
      <c r="V323" s="431">
        <f>IFERROR(((RESUMO!C220)*(VLOOKUP(B331,$O$140:$S$146,3,0))),0)</f>
        <v>0</v>
      </c>
      <c r="W323" s="430">
        <f>IFERROR(((RESUMO!C220)*(VLOOKUP(B331,$O$140:$S$146,4,0))),0)</f>
        <v>0</v>
      </c>
      <c r="X323" s="432">
        <f>IFERROR(IF(B331&lt;3,0,(RESUMO!C220)*(VLOOKUP(B331,$O$140:$S$146,5,0))),0)</f>
        <v>0</v>
      </c>
      <c r="Y323" s="443">
        <f t="shared" si="154"/>
        <v>0</v>
      </c>
      <c r="Z323" s="428">
        <f t="shared" si="155"/>
        <v>0</v>
      </c>
      <c r="AA323" s="444">
        <f t="shared" si="156"/>
        <v>0</v>
      </c>
      <c r="AB323" s="448">
        <f>RESUMO!E220</f>
        <v>0</v>
      </c>
      <c r="AC323" s="453">
        <f t="shared" si="157"/>
        <v>0</v>
      </c>
      <c r="AD323" s="429">
        <f t="shared" si="158"/>
        <v>0</v>
      </c>
      <c r="AE323" s="454">
        <f t="shared" si="159"/>
        <v>0</v>
      </c>
      <c r="AF323" s="381">
        <f>IF(AC323-($B$294*$E$294)&lt;=0,AC323,($B$294*$E$294))</f>
        <v>0</v>
      </c>
      <c r="AG323" s="454">
        <f t="shared" si="160"/>
        <v>0</v>
      </c>
      <c r="AH323" s="381">
        <f>IF(AD323-($B$294*$E$294)&lt;=0,AD323,($B$294*$E$294))</f>
        <v>0</v>
      </c>
      <c r="AI323" s="454">
        <f t="shared" si="161"/>
        <v>0</v>
      </c>
      <c r="AJ323" s="381">
        <f>IF(AE323-($B$294*$E$294)&lt;=0,AE323,($B$294*$E$294))</f>
        <v>0</v>
      </c>
      <c r="AK323" s="454">
        <f t="shared" si="162"/>
        <v>0</v>
      </c>
    </row>
    <row r="324" spans="1:37" outlineLevel="2">
      <c r="A324" s="18" t="s">
        <v>1011</v>
      </c>
      <c r="B324" s="549">
        <f t="shared" si="149"/>
        <v>1</v>
      </c>
      <c r="C324" s="182">
        <f t="shared" si="150"/>
        <v>0</v>
      </c>
      <c r="D324" s="182">
        <f t="shared" si="151"/>
        <v>0</v>
      </c>
      <c r="E324" s="182">
        <f t="shared" si="152"/>
        <v>0</v>
      </c>
      <c r="F324" s="4"/>
      <c r="G324" s="4"/>
      <c r="H324" s="4"/>
      <c r="I324" s="4"/>
      <c r="J324" s="4"/>
      <c r="K324" s="4"/>
      <c r="L324" s="4"/>
      <c r="M324" s="4"/>
      <c r="O324" s="236"/>
      <c r="U324" s="370" t="s">
        <v>1826</v>
      </c>
      <c r="V324" s="431">
        <f>IFERROR(((RESUMO!C221)*(VLOOKUP(B332,$O$140:$S$146,3,0))),0)</f>
        <v>0</v>
      </c>
      <c r="W324" s="430">
        <f>IFERROR(((RESUMO!C221)*(VLOOKUP(B332,$O$140:$S$146,4,0))),0)</f>
        <v>0</v>
      </c>
      <c r="X324" s="432">
        <f>IFERROR(IF(B332&lt;3,0,(RESUMO!C221)*(VLOOKUP(B332,$O$140:$S$146,5,0))),0)</f>
        <v>0</v>
      </c>
      <c r="Y324" s="443">
        <f t="shared" si="154"/>
        <v>0</v>
      </c>
      <c r="Z324" s="428">
        <f t="shared" si="155"/>
        <v>0</v>
      </c>
      <c r="AA324" s="444">
        <f t="shared" si="156"/>
        <v>0</v>
      </c>
      <c r="AB324" s="448">
        <f>RESUMO!E221</f>
        <v>0</v>
      </c>
      <c r="AC324" s="453">
        <f t="shared" si="157"/>
        <v>0</v>
      </c>
      <c r="AD324" s="429">
        <f t="shared" si="158"/>
        <v>0</v>
      </c>
      <c r="AE324" s="454">
        <f t="shared" si="159"/>
        <v>0</v>
      </c>
      <c r="AF324" s="453"/>
      <c r="AG324" s="454">
        <f t="shared" si="160"/>
        <v>0</v>
      </c>
      <c r="AH324" s="453"/>
      <c r="AI324" s="454">
        <f t="shared" si="161"/>
        <v>0</v>
      </c>
      <c r="AJ324" s="453"/>
      <c r="AK324" s="454">
        <f t="shared" si="162"/>
        <v>0</v>
      </c>
    </row>
    <row r="325" spans="1:37" outlineLevel="2">
      <c r="A325" s="18" t="s">
        <v>1838</v>
      </c>
      <c r="B325" s="549">
        <f t="shared" si="149"/>
        <v>1</v>
      </c>
      <c r="C325" s="182">
        <f t="shared" si="150"/>
        <v>0</v>
      </c>
      <c r="D325" s="182">
        <f t="shared" si="151"/>
        <v>0</v>
      </c>
      <c r="E325" s="182">
        <f t="shared" si="152"/>
        <v>0</v>
      </c>
      <c r="F325" s="4"/>
      <c r="G325" s="4"/>
      <c r="H325" s="4"/>
      <c r="I325" s="4"/>
      <c r="J325" s="4"/>
      <c r="K325" s="4"/>
      <c r="L325" s="4"/>
      <c r="M325" s="4"/>
      <c r="O325" s="236"/>
      <c r="U325" s="370" t="s">
        <v>1014</v>
      </c>
      <c r="V325" s="431">
        <f>IFERROR(((RESUMO!C222)*(VLOOKUP(B333,$O$140:$S$146,3,0))),0)</f>
        <v>0</v>
      </c>
      <c r="W325" s="430">
        <f>IFERROR(((RESUMO!C222)*(VLOOKUP(B333,$O$140:$S$146,4,0))),0)</f>
        <v>0</v>
      </c>
      <c r="X325" s="432">
        <f>IFERROR(IF(B333&lt;3,0,(RESUMO!C222)*(VLOOKUP(B333,$O$140:$S$146,5,0))),0)</f>
        <v>0</v>
      </c>
      <c r="Y325" s="443">
        <f t="shared" si="154"/>
        <v>0</v>
      </c>
      <c r="Z325" s="428">
        <f t="shared" si="155"/>
        <v>0</v>
      </c>
      <c r="AA325" s="444">
        <f t="shared" si="156"/>
        <v>0</v>
      </c>
      <c r="AB325" s="448">
        <f>RESUMO!E222</f>
        <v>0</v>
      </c>
      <c r="AC325" s="453">
        <f t="shared" si="157"/>
        <v>0</v>
      </c>
      <c r="AD325" s="429">
        <f t="shared" si="158"/>
        <v>0</v>
      </c>
      <c r="AE325" s="454">
        <f t="shared" si="159"/>
        <v>0</v>
      </c>
      <c r="AF325" s="453"/>
      <c r="AG325" s="454">
        <f t="shared" si="160"/>
        <v>0</v>
      </c>
      <c r="AH325" s="453"/>
      <c r="AI325" s="454">
        <f t="shared" si="161"/>
        <v>0</v>
      </c>
      <c r="AJ325" s="453"/>
      <c r="AK325" s="454">
        <f t="shared" si="162"/>
        <v>0</v>
      </c>
    </row>
    <row r="326" spans="1:37" outlineLevel="2">
      <c r="A326" s="18" t="s">
        <v>1756</v>
      </c>
      <c r="B326" s="549">
        <f t="shared" si="149"/>
        <v>1</v>
      </c>
      <c r="C326" s="182">
        <f t="shared" si="150"/>
        <v>0</v>
      </c>
      <c r="D326" s="182">
        <f t="shared" si="151"/>
        <v>0</v>
      </c>
      <c r="E326" s="182">
        <f t="shared" si="152"/>
        <v>0</v>
      </c>
      <c r="F326" s="4"/>
      <c r="G326" s="4"/>
      <c r="H326" s="4"/>
      <c r="I326" s="4"/>
      <c r="J326" s="4"/>
      <c r="K326" s="4"/>
      <c r="L326" s="4"/>
      <c r="M326" s="4"/>
      <c r="O326" s="236"/>
      <c r="U326" s="370" t="s">
        <v>2562</v>
      </c>
      <c r="V326" s="431">
        <f>IFERROR(((RESUMO!C223)*(VLOOKUP(B334,$O$140:$S$146,3,0))),0)</f>
        <v>0</v>
      </c>
      <c r="W326" s="430">
        <f>IFERROR(((RESUMO!C223)*(VLOOKUP(B334,$O$140:$S$146,4,0))),0)</f>
        <v>0</v>
      </c>
      <c r="X326" s="432">
        <f>IFERROR(IF(B334&lt;3,0,(RESUMO!C223)*(VLOOKUP(B334,$O$140:$S$146,5,0))),0)</f>
        <v>0</v>
      </c>
      <c r="Y326" s="443">
        <f t="shared" si="154"/>
        <v>0</v>
      </c>
      <c r="Z326" s="428">
        <f t="shared" si="155"/>
        <v>0</v>
      </c>
      <c r="AA326" s="444">
        <f t="shared" si="156"/>
        <v>0</v>
      </c>
      <c r="AB326" s="448">
        <f>RESUMO!E223</f>
        <v>0</v>
      </c>
      <c r="AC326" s="453">
        <f t="shared" si="157"/>
        <v>0</v>
      </c>
      <c r="AD326" s="429">
        <f t="shared" si="158"/>
        <v>0</v>
      </c>
      <c r="AE326" s="454">
        <f t="shared" si="159"/>
        <v>0</v>
      </c>
      <c r="AF326" s="453"/>
      <c r="AG326" s="454">
        <f t="shared" si="160"/>
        <v>0</v>
      </c>
      <c r="AH326" s="453"/>
      <c r="AI326" s="454">
        <f t="shared" si="161"/>
        <v>0</v>
      </c>
      <c r="AJ326" s="453"/>
      <c r="AK326" s="454">
        <f t="shared" si="162"/>
        <v>0</v>
      </c>
    </row>
    <row r="327" spans="1:37" outlineLevel="2">
      <c r="A327" s="18" t="s">
        <v>1012</v>
      </c>
      <c r="B327" s="549">
        <f t="shared" si="149"/>
        <v>1</v>
      </c>
      <c r="C327" s="182">
        <f t="shared" si="150"/>
        <v>0</v>
      </c>
      <c r="D327" s="182">
        <f t="shared" si="151"/>
        <v>0</v>
      </c>
      <c r="E327" s="182">
        <f t="shared" si="152"/>
        <v>0</v>
      </c>
      <c r="F327" s="4"/>
      <c r="G327" s="4"/>
      <c r="H327" s="4"/>
      <c r="I327" s="4"/>
      <c r="J327" s="4"/>
      <c r="K327" s="4"/>
      <c r="L327" s="4"/>
      <c r="M327" s="4"/>
      <c r="O327" s="236"/>
      <c r="U327" s="370" t="s">
        <v>1015</v>
      </c>
      <c r="V327" s="431">
        <f>IFERROR(((RESUMO!C224)*(VLOOKUP(B335,$O$140:$S$146,3,0))),0)</f>
        <v>1.4705882352941178E-2</v>
      </c>
      <c r="W327" s="430">
        <f>IFERROR(((RESUMO!C224)*(VLOOKUP(B335,$O$140:$S$146,4,0))),0)</f>
        <v>0</v>
      </c>
      <c r="X327" s="432">
        <f>IFERROR(IF(B335&lt;3,0,(RESUMO!C224)*(VLOOKUP(B335,$O$140:$S$146,5,0))),0)</f>
        <v>0</v>
      </c>
      <c r="Y327" s="443">
        <f t="shared" si="154"/>
        <v>1.470588235294118E-2</v>
      </c>
      <c r="Z327" s="428">
        <f t="shared" si="155"/>
        <v>0</v>
      </c>
      <c r="AA327" s="444">
        <f t="shared" si="156"/>
        <v>0</v>
      </c>
      <c r="AB327" s="448">
        <f>RESUMO!E224</f>
        <v>49.745454545454557</v>
      </c>
      <c r="AC327" s="453">
        <f t="shared" si="157"/>
        <v>5.1953477332067424</v>
      </c>
      <c r="AD327" s="429">
        <f t="shared" si="158"/>
        <v>0</v>
      </c>
      <c r="AE327" s="454">
        <f t="shared" si="159"/>
        <v>0</v>
      </c>
      <c r="AF327" s="453"/>
      <c r="AG327" s="454">
        <f t="shared" si="160"/>
        <v>5.1953477332067424</v>
      </c>
      <c r="AH327" s="453"/>
      <c r="AI327" s="454">
        <f t="shared" si="161"/>
        <v>0</v>
      </c>
      <c r="AJ327" s="453"/>
      <c r="AK327" s="454">
        <f t="shared" si="162"/>
        <v>0</v>
      </c>
    </row>
    <row r="328" spans="1:37" outlineLevel="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O328" s="236"/>
      <c r="U328" s="370" t="s">
        <v>1882</v>
      </c>
      <c r="V328" s="431">
        <f>IFERROR(((RESUMO!C225)*(VLOOKUP(B336,$O$140:$S$146,3,0))),0)</f>
        <v>0</v>
      </c>
      <c r="W328" s="430">
        <f>IFERROR(((RESUMO!C225)*(VLOOKUP(B336,$O$140:$S$146,4,0))),0)</f>
        <v>0</v>
      </c>
      <c r="X328" s="432">
        <f>IFERROR(IF(B336&lt;3,0,(RESUMO!C225)*(VLOOKUP(B336,$O$140:$S$146,5,0))),0)</f>
        <v>0</v>
      </c>
      <c r="Y328" s="443">
        <f t="shared" si="154"/>
        <v>0</v>
      </c>
      <c r="Z328" s="428">
        <f t="shared" si="155"/>
        <v>0</v>
      </c>
      <c r="AA328" s="444">
        <f t="shared" si="156"/>
        <v>0</v>
      </c>
      <c r="AB328" s="448">
        <f>RESUMO!E225</f>
        <v>0</v>
      </c>
      <c r="AC328" s="453">
        <f t="shared" si="157"/>
        <v>0</v>
      </c>
      <c r="AD328" s="429">
        <f t="shared" si="158"/>
        <v>0</v>
      </c>
      <c r="AE328" s="454">
        <f t="shared" si="159"/>
        <v>0</v>
      </c>
      <c r="AF328" s="453"/>
      <c r="AG328" s="454">
        <f t="shared" si="160"/>
        <v>0</v>
      </c>
      <c r="AH328" s="453"/>
      <c r="AI328" s="454">
        <f t="shared" si="161"/>
        <v>0</v>
      </c>
      <c r="AJ328" s="453"/>
      <c r="AK328" s="454">
        <f t="shared" si="162"/>
        <v>0</v>
      </c>
    </row>
    <row r="329" spans="1:37" outlineLevel="2">
      <c r="A329" s="18" t="s">
        <v>1754</v>
      </c>
      <c r="B329" s="549">
        <f t="shared" ref="B329:B344" si="163">IF($I$12=1,1,IF($I$12=2,"1_2",IF($I$12=3,"1_2_3",1)))</f>
        <v>1</v>
      </c>
      <c r="C329" s="182">
        <f t="shared" ref="C329:C342" si="164">Y321</f>
        <v>0.98529411764705888</v>
      </c>
      <c r="D329" s="182">
        <f t="shared" ref="D329:D342" si="165">Z321</f>
        <v>0</v>
      </c>
      <c r="E329" s="182">
        <f t="shared" ref="E329:E342" si="166">AA321</f>
        <v>0</v>
      </c>
      <c r="F329" s="4"/>
      <c r="G329" s="4"/>
      <c r="H329" s="4"/>
      <c r="I329" s="4"/>
      <c r="J329" s="4"/>
      <c r="K329" s="4"/>
      <c r="L329" s="4"/>
      <c r="M329" s="4"/>
      <c r="O329" s="236"/>
      <c r="U329" s="370" t="s">
        <v>1016</v>
      </c>
      <c r="V329" s="431">
        <f>IFERROR(((RESUMO!C226)*(VLOOKUP(B337,$O$140:$S$146,3,0))),0)</f>
        <v>0</v>
      </c>
      <c r="W329" s="430">
        <f>IFERROR(((RESUMO!C226)*(VLOOKUP(B337,$O$140:$S$146,4,0))),0)</f>
        <v>0</v>
      </c>
      <c r="X329" s="432">
        <f>IFERROR(IF(B337&lt;3,0,(RESUMO!C226)*(VLOOKUP(B337,$O$140:$S$146,5,0))),0)</f>
        <v>0</v>
      </c>
      <c r="Y329" s="443">
        <f t="shared" si="154"/>
        <v>0</v>
      </c>
      <c r="Z329" s="428">
        <f t="shared" si="155"/>
        <v>0</v>
      </c>
      <c r="AA329" s="444">
        <f t="shared" si="156"/>
        <v>0</v>
      </c>
      <c r="AB329" s="448">
        <f>RESUMO!E226</f>
        <v>0</v>
      </c>
      <c r="AC329" s="453">
        <f t="shared" si="157"/>
        <v>0</v>
      </c>
      <c r="AD329" s="429">
        <f t="shared" si="158"/>
        <v>0</v>
      </c>
      <c r="AE329" s="454">
        <f t="shared" si="159"/>
        <v>0</v>
      </c>
      <c r="AF329" s="453"/>
      <c r="AG329" s="454">
        <f t="shared" si="160"/>
        <v>0</v>
      </c>
      <c r="AH329" s="453"/>
      <c r="AI329" s="454">
        <f t="shared" si="161"/>
        <v>0</v>
      </c>
      <c r="AJ329" s="453"/>
      <c r="AK329" s="454">
        <f t="shared" si="162"/>
        <v>0</v>
      </c>
    </row>
    <row r="330" spans="1:37" outlineLevel="2">
      <c r="A330" s="18" t="s">
        <v>1755</v>
      </c>
      <c r="B330" s="549">
        <f t="shared" si="163"/>
        <v>1</v>
      </c>
      <c r="C330" s="182">
        <f t="shared" si="164"/>
        <v>0</v>
      </c>
      <c r="D330" s="182">
        <f t="shared" si="165"/>
        <v>0</v>
      </c>
      <c r="E330" s="182">
        <f t="shared" si="166"/>
        <v>0</v>
      </c>
      <c r="F330" s="4"/>
      <c r="G330" s="4"/>
      <c r="H330" s="4"/>
      <c r="I330" s="4"/>
      <c r="J330" s="4"/>
      <c r="K330" s="4"/>
      <c r="L330" s="4"/>
      <c r="M330" s="4"/>
      <c r="O330" s="236"/>
      <c r="R330" s="4"/>
      <c r="T330" s="9"/>
      <c r="U330" s="370" t="s">
        <v>2124</v>
      </c>
      <c r="V330" s="431">
        <f>IFERROR(((RESUMO!C227)*(VLOOKUP(B338,$O$140:$S$146,3,0))),0)</f>
        <v>0</v>
      </c>
      <c r="W330" s="430">
        <f>IFERROR(((RESUMO!C227)*(VLOOKUP(B338,$O$140:$S$146,4,0))),0)</f>
        <v>0</v>
      </c>
      <c r="X330" s="432">
        <f>IFERROR(IF(B338&lt;3,0,(RESUMO!C227)*(VLOOKUP(B338,$O$140:$S$146,5,0))),0)</f>
        <v>0</v>
      </c>
      <c r="Y330" s="443">
        <f t="shared" si="154"/>
        <v>0</v>
      </c>
      <c r="Z330" s="428">
        <f t="shared" si="155"/>
        <v>0</v>
      </c>
      <c r="AA330" s="444">
        <f t="shared" si="156"/>
        <v>0</v>
      </c>
      <c r="AB330" s="448">
        <f>RESUMO!E227</f>
        <v>0</v>
      </c>
      <c r="AC330" s="453">
        <f t="shared" si="157"/>
        <v>0</v>
      </c>
      <c r="AD330" s="429">
        <f t="shared" si="158"/>
        <v>0</v>
      </c>
      <c r="AE330" s="454">
        <f t="shared" si="159"/>
        <v>0</v>
      </c>
      <c r="AF330" s="453"/>
      <c r="AG330" s="454">
        <f t="shared" si="160"/>
        <v>0</v>
      </c>
      <c r="AH330" s="453"/>
      <c r="AI330" s="454">
        <f t="shared" si="161"/>
        <v>0</v>
      </c>
      <c r="AJ330" s="453"/>
      <c r="AK330" s="454">
        <f t="shared" si="162"/>
        <v>0</v>
      </c>
    </row>
    <row r="331" spans="1:37" outlineLevel="2">
      <c r="A331" s="18" t="s">
        <v>1013</v>
      </c>
      <c r="B331" s="549">
        <f t="shared" si="163"/>
        <v>1</v>
      </c>
      <c r="C331" s="182">
        <f t="shared" si="164"/>
        <v>0</v>
      </c>
      <c r="D331" s="182">
        <f t="shared" si="165"/>
        <v>0</v>
      </c>
      <c r="E331" s="182">
        <f t="shared" si="166"/>
        <v>0</v>
      </c>
      <c r="F331" s="4"/>
      <c r="G331" s="4"/>
      <c r="H331" s="4"/>
      <c r="I331" s="4"/>
      <c r="J331" s="4"/>
      <c r="K331" s="4"/>
      <c r="L331" s="4"/>
      <c r="M331" s="4"/>
      <c r="O331" s="236"/>
      <c r="R331" s="4"/>
      <c r="T331" s="9"/>
      <c r="U331" s="370" t="s">
        <v>1018</v>
      </c>
      <c r="V331" s="431">
        <f>IFERROR(((RESUMO!C228)*(VLOOKUP(B339,$O$140:$S$146,3,0))),0)</f>
        <v>0</v>
      </c>
      <c r="W331" s="430">
        <f>IFERROR(((RESUMO!C228)*(VLOOKUP(B339,$O$140:$S$146,4,0))),0)</f>
        <v>0</v>
      </c>
      <c r="X331" s="432">
        <f>IFERROR(IF(B339&lt;3,0,(RESUMO!C228)*(VLOOKUP(B339,$O$140:$S$146,5,0))),0)</f>
        <v>0</v>
      </c>
      <c r="Y331" s="443">
        <f t="shared" si="154"/>
        <v>0</v>
      </c>
      <c r="Z331" s="428">
        <f t="shared" si="155"/>
        <v>0</v>
      </c>
      <c r="AA331" s="444">
        <f t="shared" si="156"/>
        <v>0</v>
      </c>
      <c r="AB331" s="448">
        <f>RESUMO!E228</f>
        <v>0</v>
      </c>
      <c r="AC331" s="453">
        <f t="shared" si="157"/>
        <v>0</v>
      </c>
      <c r="AD331" s="429">
        <f t="shared" si="158"/>
        <v>0</v>
      </c>
      <c r="AE331" s="454">
        <f t="shared" si="159"/>
        <v>0</v>
      </c>
      <c r="AF331" s="453"/>
      <c r="AG331" s="454">
        <f t="shared" si="160"/>
        <v>0</v>
      </c>
      <c r="AH331" s="453"/>
      <c r="AI331" s="454">
        <f t="shared" si="161"/>
        <v>0</v>
      </c>
      <c r="AJ331" s="453"/>
      <c r="AK331" s="454">
        <f t="shared" si="162"/>
        <v>0</v>
      </c>
    </row>
    <row r="332" spans="1:37" outlineLevel="2">
      <c r="A332" s="18" t="s">
        <v>1826</v>
      </c>
      <c r="B332" s="549">
        <f t="shared" si="163"/>
        <v>1</v>
      </c>
      <c r="C332" s="182">
        <f t="shared" si="164"/>
        <v>0</v>
      </c>
      <c r="D332" s="182">
        <f t="shared" si="165"/>
        <v>0</v>
      </c>
      <c r="E332" s="182">
        <f t="shared" si="166"/>
        <v>0</v>
      </c>
      <c r="F332" s="4"/>
      <c r="G332" s="4"/>
      <c r="H332" s="4"/>
      <c r="I332" s="4"/>
      <c r="J332" s="4"/>
      <c r="K332" s="4"/>
      <c r="L332" s="4"/>
      <c r="M332" s="4"/>
      <c r="O332" s="236"/>
      <c r="R332" s="4"/>
      <c r="T332" s="9"/>
      <c r="U332" s="370" t="s">
        <v>1839</v>
      </c>
      <c r="V332" s="431">
        <f>IFERROR(((RESUMO!C229)*(VLOOKUP(B340,$O$140:$S$146,3,0))),0)</f>
        <v>0</v>
      </c>
      <c r="W332" s="430">
        <f>IFERROR(((RESUMO!C229)*(VLOOKUP(B340,$O$140:$S$146,4,0))),0)</f>
        <v>0</v>
      </c>
      <c r="X332" s="432">
        <f>IFERROR(IF(B340&lt;3,0,(RESUMO!C229)*(VLOOKUP(B340,$O$140:$S$146,5,0))),0)</f>
        <v>0</v>
      </c>
      <c r="Y332" s="443">
        <f t="shared" si="154"/>
        <v>0</v>
      </c>
      <c r="Z332" s="428">
        <f t="shared" si="155"/>
        <v>0</v>
      </c>
      <c r="AA332" s="444">
        <f t="shared" si="156"/>
        <v>0</v>
      </c>
      <c r="AB332" s="448">
        <f>RESUMO!E229</f>
        <v>0</v>
      </c>
      <c r="AC332" s="453">
        <f t="shared" si="157"/>
        <v>0</v>
      </c>
      <c r="AD332" s="429">
        <f t="shared" si="158"/>
        <v>0</v>
      </c>
      <c r="AE332" s="454">
        <f t="shared" si="159"/>
        <v>0</v>
      </c>
      <c r="AF332" s="453"/>
      <c r="AG332" s="454">
        <f t="shared" si="160"/>
        <v>0</v>
      </c>
      <c r="AH332" s="453"/>
      <c r="AI332" s="454">
        <f t="shared" si="161"/>
        <v>0</v>
      </c>
      <c r="AJ332" s="453"/>
      <c r="AK332" s="454">
        <f t="shared" si="162"/>
        <v>0</v>
      </c>
    </row>
    <row r="333" spans="1:37" outlineLevel="2">
      <c r="A333" s="18" t="s">
        <v>1014</v>
      </c>
      <c r="B333" s="549">
        <f t="shared" si="163"/>
        <v>1</v>
      </c>
      <c r="C333" s="182">
        <f t="shared" si="164"/>
        <v>0</v>
      </c>
      <c r="D333" s="182">
        <f t="shared" si="165"/>
        <v>0</v>
      </c>
      <c r="E333" s="182">
        <f t="shared" si="166"/>
        <v>0</v>
      </c>
      <c r="F333" s="4"/>
      <c r="G333" s="4"/>
      <c r="H333" s="4"/>
      <c r="I333" s="4"/>
      <c r="J333" s="4"/>
      <c r="K333" s="4"/>
      <c r="L333" s="4"/>
      <c r="M333" s="4"/>
      <c r="O333" s="236"/>
      <c r="R333" s="4"/>
      <c r="T333" s="9"/>
      <c r="U333" s="370" t="s">
        <v>1757</v>
      </c>
      <c r="V333" s="431">
        <f>IFERROR(((RESUMO!C230)*(VLOOKUP(B341,$O$140:$S$146,3,0))),0)</f>
        <v>0</v>
      </c>
      <c r="W333" s="430">
        <f>IFERROR(((RESUMO!C230)*(VLOOKUP(B341,$O$140:$S$146,4,0))),0)</f>
        <v>0</v>
      </c>
      <c r="X333" s="432">
        <f>IFERROR(IF(B341&lt;3,0,(RESUMO!C230)*(VLOOKUP(B341,$O$140:$S$146,5,0))),0)</f>
        <v>0</v>
      </c>
      <c r="Y333" s="443">
        <f t="shared" si="154"/>
        <v>0</v>
      </c>
      <c r="Z333" s="428">
        <f t="shared" si="155"/>
        <v>0</v>
      </c>
      <c r="AA333" s="444">
        <f t="shared" si="156"/>
        <v>0</v>
      </c>
      <c r="AB333" s="448">
        <f>RESUMO!E230</f>
        <v>0</v>
      </c>
      <c r="AC333" s="453">
        <f t="shared" si="157"/>
        <v>0</v>
      </c>
      <c r="AD333" s="429">
        <f t="shared" si="158"/>
        <v>0</v>
      </c>
      <c r="AE333" s="454">
        <f t="shared" si="159"/>
        <v>0</v>
      </c>
      <c r="AF333" s="453"/>
      <c r="AG333" s="454">
        <f t="shared" si="160"/>
        <v>0</v>
      </c>
      <c r="AH333" s="453"/>
      <c r="AI333" s="454">
        <f t="shared" si="161"/>
        <v>0</v>
      </c>
      <c r="AJ333" s="453"/>
      <c r="AK333" s="454">
        <f t="shared" si="162"/>
        <v>0</v>
      </c>
    </row>
    <row r="334" spans="1:37" outlineLevel="2">
      <c r="A334" s="18" t="s">
        <v>2562</v>
      </c>
      <c r="B334" s="549">
        <f t="shared" si="163"/>
        <v>1</v>
      </c>
      <c r="C334" s="182">
        <f t="shared" si="164"/>
        <v>0</v>
      </c>
      <c r="D334" s="182">
        <f t="shared" si="165"/>
        <v>0</v>
      </c>
      <c r="E334" s="182">
        <f t="shared" si="166"/>
        <v>0</v>
      </c>
      <c r="F334" s="4"/>
      <c r="G334" s="4"/>
      <c r="H334" s="4"/>
      <c r="I334" s="4"/>
      <c r="J334" s="4"/>
      <c r="K334" s="4"/>
      <c r="L334" s="4"/>
      <c r="M334" s="4"/>
      <c r="O334" s="236"/>
      <c r="R334" s="4"/>
      <c r="T334" s="9"/>
      <c r="U334" s="370" t="s">
        <v>1017</v>
      </c>
      <c r="V334" s="431">
        <f>IFERROR(((RESUMO!C231)*(VLOOKUP(B342,$O$140:$S$146,3,0))),0)</f>
        <v>0</v>
      </c>
      <c r="W334" s="430">
        <f>IFERROR(((RESUMO!C231)*(VLOOKUP(B342,$O$140:$S$146,4,0))),0)</f>
        <v>0</v>
      </c>
      <c r="X334" s="432">
        <f>IFERROR(IF(B342&lt;3,0,(RESUMO!C231)*(VLOOKUP(B342,$O$140:$S$146,5,0))),0)</f>
        <v>0</v>
      </c>
      <c r="Y334" s="443">
        <f t="shared" si="154"/>
        <v>0</v>
      </c>
      <c r="Z334" s="428">
        <f t="shared" si="155"/>
        <v>0</v>
      </c>
      <c r="AA334" s="444">
        <f t="shared" si="156"/>
        <v>0</v>
      </c>
      <c r="AB334" s="448">
        <f>RESUMO!E231</f>
        <v>0</v>
      </c>
      <c r="AC334" s="453">
        <f t="shared" si="157"/>
        <v>0</v>
      </c>
      <c r="AD334" s="429">
        <f t="shared" si="158"/>
        <v>0</v>
      </c>
      <c r="AE334" s="454">
        <f t="shared" si="159"/>
        <v>0</v>
      </c>
      <c r="AF334" s="453"/>
      <c r="AG334" s="454">
        <f t="shared" si="160"/>
        <v>0</v>
      </c>
      <c r="AH334" s="453"/>
      <c r="AI334" s="454">
        <f t="shared" si="161"/>
        <v>0</v>
      </c>
      <c r="AJ334" s="453"/>
      <c r="AK334" s="454">
        <f t="shared" si="162"/>
        <v>0</v>
      </c>
    </row>
    <row r="335" spans="1:37" outlineLevel="2">
      <c r="A335" s="18" t="s">
        <v>1015</v>
      </c>
      <c r="B335" s="549">
        <v>1</v>
      </c>
      <c r="C335" s="182">
        <f t="shared" si="164"/>
        <v>1.470588235294118E-2</v>
      </c>
      <c r="D335" s="182">
        <f t="shared" si="165"/>
        <v>0</v>
      </c>
      <c r="E335" s="182">
        <f t="shared" si="166"/>
        <v>0</v>
      </c>
      <c r="F335" s="4"/>
      <c r="G335" s="4"/>
      <c r="H335" s="4"/>
      <c r="I335" s="4"/>
      <c r="J335" s="4"/>
      <c r="K335" s="4"/>
      <c r="L335" s="4"/>
      <c r="M335" s="4"/>
      <c r="O335" s="236"/>
      <c r="R335" s="4"/>
      <c r="T335" s="9"/>
      <c r="U335" s="370" t="s">
        <v>2462</v>
      </c>
      <c r="V335" s="431">
        <f>IFERROR(((RESUMO!C232)*(VLOOKUP(B343,$O$140:$S$146,3,0))),0)</f>
        <v>0</v>
      </c>
      <c r="W335" s="430">
        <f>IFERROR(((RESUMO!C232)*(VLOOKUP(B343,$O$140:$S$146,4,0))),0)</f>
        <v>0</v>
      </c>
      <c r="X335" s="432">
        <f>IFERROR(IF(B343&lt;3,0,(RESUMO!C232)*(VLOOKUP(B343,$O$140:$S$146,5,0))),0)</f>
        <v>0</v>
      </c>
      <c r="Y335" s="445">
        <f t="shared" si="154"/>
        <v>0</v>
      </c>
      <c r="Z335" s="446">
        <f t="shared" si="155"/>
        <v>0</v>
      </c>
      <c r="AA335" s="447">
        <f t="shared" si="156"/>
        <v>0</v>
      </c>
      <c r="AB335" s="448">
        <f>RESUMO!E232</f>
        <v>0</v>
      </c>
      <c r="AC335" s="455">
        <f t="shared" si="157"/>
        <v>0</v>
      </c>
      <c r="AD335" s="456">
        <f t="shared" si="158"/>
        <v>0</v>
      </c>
      <c r="AE335" s="457">
        <f t="shared" si="159"/>
        <v>0</v>
      </c>
      <c r="AF335" s="455"/>
      <c r="AG335" s="454">
        <f t="shared" si="160"/>
        <v>0</v>
      </c>
      <c r="AH335" s="455"/>
      <c r="AI335" s="454">
        <f t="shared" si="161"/>
        <v>0</v>
      </c>
      <c r="AJ335" s="455"/>
      <c r="AK335" s="454">
        <f t="shared" si="162"/>
        <v>0</v>
      </c>
    </row>
    <row r="336" spans="1:37" outlineLevel="2">
      <c r="A336" s="18" t="s">
        <v>1882</v>
      </c>
      <c r="B336" s="549">
        <v>1</v>
      </c>
      <c r="C336" s="182">
        <f t="shared" si="164"/>
        <v>0</v>
      </c>
      <c r="D336" s="182">
        <f t="shared" si="165"/>
        <v>0</v>
      </c>
      <c r="E336" s="182">
        <f t="shared" si="166"/>
        <v>0</v>
      </c>
      <c r="F336" s="4"/>
      <c r="G336" s="4"/>
      <c r="H336" s="4"/>
      <c r="I336" s="4"/>
      <c r="J336" s="4"/>
      <c r="K336" s="4"/>
      <c r="L336" s="4"/>
      <c r="M336" s="4"/>
      <c r="O336" s="236"/>
      <c r="R336" s="4"/>
      <c r="T336" s="9"/>
      <c r="U336" s="370" t="s">
        <v>3145</v>
      </c>
      <c r="V336" s="431">
        <f>IFERROR(((RESUMO!C233)*(VLOOKUP(B344,$O$140:$S$146,3,0))),0)</f>
        <v>0</v>
      </c>
      <c r="W336" s="430">
        <f>IFERROR(((RESUMO!C233)*(VLOOKUP(B344,$O$140:$S$146,4,0))),0)</f>
        <v>0</v>
      </c>
      <c r="X336" s="432">
        <f>IFERROR(IF(B344&lt;3,0,(RESUMO!C233)*(VLOOKUP(B344,$O$140:$S$146,5,0))),0)</f>
        <v>0</v>
      </c>
      <c r="Y336" s="445">
        <f t="shared" si="154"/>
        <v>0</v>
      </c>
      <c r="Z336" s="446">
        <f t="shared" si="155"/>
        <v>0</v>
      </c>
      <c r="AA336" s="447">
        <f t="shared" si="156"/>
        <v>0</v>
      </c>
      <c r="AB336" s="448">
        <f>RESUMO!E233</f>
        <v>0</v>
      </c>
      <c r="AC336" s="455">
        <f t="shared" ref="AC336" si="167">IFERROR(Y336/SUM(Y336:AA336)*AB336/$I$15,0)</f>
        <v>0</v>
      </c>
      <c r="AD336" s="456">
        <f t="shared" ref="AD336" si="168">IFERROR(Z336/SUM(Y336:AA336)*AB336/$J$15,0)</f>
        <v>0</v>
      </c>
      <c r="AE336" s="457">
        <f t="shared" ref="AE336" si="169">IFERROR(AA336/SUM(Y336:AA336)*AB336/$K$15,0)</f>
        <v>0</v>
      </c>
      <c r="AF336" s="455"/>
      <c r="AG336" s="454">
        <f t="shared" ref="AG336" si="170">AC336-AF336</f>
        <v>0</v>
      </c>
      <c r="AH336" s="455"/>
      <c r="AI336" s="454">
        <f t="shared" ref="AI336" si="171">AD336-AH336</f>
        <v>0</v>
      </c>
      <c r="AJ336" s="455"/>
      <c r="AK336" s="454">
        <f t="shared" ref="AK336" si="172">AE336-AJ336</f>
        <v>0</v>
      </c>
    </row>
    <row r="337" spans="1:37" outlineLevel="2">
      <c r="A337" s="18" t="s">
        <v>1016</v>
      </c>
      <c r="B337" s="549">
        <f t="shared" si="163"/>
        <v>1</v>
      </c>
      <c r="C337" s="182">
        <f t="shared" si="164"/>
        <v>0</v>
      </c>
      <c r="D337" s="182">
        <f t="shared" si="165"/>
        <v>0</v>
      </c>
      <c r="E337" s="182">
        <f t="shared" si="166"/>
        <v>0</v>
      </c>
      <c r="F337" s="4"/>
      <c r="G337" s="4"/>
      <c r="H337" s="4"/>
      <c r="I337" s="4"/>
      <c r="J337" s="4"/>
      <c r="K337" s="4"/>
      <c r="L337" s="4"/>
      <c r="M337" s="4"/>
      <c r="O337" s="236"/>
      <c r="R337" s="4"/>
      <c r="T337" s="9"/>
      <c r="U337" s="439" t="s">
        <v>1790</v>
      </c>
      <c r="V337" s="460">
        <f t="shared" ref="V337:AA337" si="173">SUM(V321:V336)</f>
        <v>0.99999999999999989</v>
      </c>
      <c r="W337" s="461">
        <f t="shared" si="173"/>
        <v>0</v>
      </c>
      <c r="X337" s="463">
        <f t="shared" si="173"/>
        <v>0</v>
      </c>
      <c r="Y337" s="464">
        <f t="shared" si="173"/>
        <v>1</v>
      </c>
      <c r="Z337" s="462">
        <f t="shared" si="173"/>
        <v>0</v>
      </c>
      <c r="AA337" s="465">
        <f t="shared" si="173"/>
        <v>0</v>
      </c>
      <c r="AB337" s="466">
        <f>SUM(AB321:AB335)</f>
        <v>3382.6909090909094</v>
      </c>
      <c r="AC337" s="460">
        <f t="shared" ref="AC337:AH337" si="174">SUM(AC321:AC336)</f>
        <v>353.28364585805843</v>
      </c>
      <c r="AD337" s="461">
        <f t="shared" si="174"/>
        <v>0</v>
      </c>
      <c r="AE337" s="463">
        <f t="shared" si="174"/>
        <v>0</v>
      </c>
      <c r="AF337" s="460">
        <f t="shared" si="174"/>
        <v>0</v>
      </c>
      <c r="AG337" s="463">
        <f t="shared" si="174"/>
        <v>353.28364585805843</v>
      </c>
      <c r="AH337" s="460">
        <f t="shared" si="174"/>
        <v>0</v>
      </c>
      <c r="AI337" s="463">
        <f>SUM(AI321:AI335)</f>
        <v>0</v>
      </c>
      <c r="AJ337" s="460">
        <f>SUM(AJ321:AJ336)</f>
        <v>0</v>
      </c>
      <c r="AK337" s="463">
        <f>SUM(AK321:AK335)</f>
        <v>0</v>
      </c>
    </row>
    <row r="338" spans="1:37" outlineLevel="2">
      <c r="A338" s="18" t="s">
        <v>2124</v>
      </c>
      <c r="B338" s="549">
        <f t="shared" si="163"/>
        <v>1</v>
      </c>
      <c r="C338" s="182">
        <f t="shared" si="164"/>
        <v>0</v>
      </c>
      <c r="D338" s="182">
        <f t="shared" si="165"/>
        <v>0</v>
      </c>
      <c r="E338" s="182">
        <f t="shared" si="166"/>
        <v>0</v>
      </c>
      <c r="F338" s="4"/>
      <c r="G338" s="4"/>
      <c r="H338" s="4"/>
      <c r="I338" s="4"/>
      <c r="J338" s="4"/>
      <c r="K338" s="4"/>
      <c r="L338" s="4"/>
      <c r="M338" s="4"/>
      <c r="O338" s="236"/>
      <c r="R338" s="4"/>
      <c r="T338" s="9"/>
      <c r="U338" s="9"/>
      <c r="Z338" s="9"/>
    </row>
    <row r="339" spans="1:37" outlineLevel="2">
      <c r="A339" s="18" t="s">
        <v>1018</v>
      </c>
      <c r="B339" s="549">
        <f t="shared" si="163"/>
        <v>1</v>
      </c>
      <c r="C339" s="182">
        <f t="shared" si="164"/>
        <v>0</v>
      </c>
      <c r="D339" s="182">
        <f t="shared" si="165"/>
        <v>0</v>
      </c>
      <c r="E339" s="182">
        <f t="shared" si="166"/>
        <v>0</v>
      </c>
      <c r="F339" s="4"/>
      <c r="G339" s="4"/>
      <c r="H339" s="4"/>
      <c r="I339" s="4"/>
      <c r="J339" s="4"/>
      <c r="K339" s="4"/>
      <c r="L339" s="4"/>
      <c r="M339" s="4"/>
      <c r="O339" s="236"/>
      <c r="R339" s="4"/>
      <c r="T339" s="9"/>
      <c r="U339" s="9"/>
      <c r="Z339" s="9"/>
    </row>
    <row r="340" spans="1:37" outlineLevel="2">
      <c r="A340" s="18" t="s">
        <v>1839</v>
      </c>
      <c r="B340" s="549">
        <f t="shared" si="163"/>
        <v>1</v>
      </c>
      <c r="C340" s="182">
        <f t="shared" si="164"/>
        <v>0</v>
      </c>
      <c r="D340" s="182">
        <f t="shared" si="165"/>
        <v>0</v>
      </c>
      <c r="E340" s="182">
        <f t="shared" si="166"/>
        <v>0</v>
      </c>
      <c r="F340" s="4"/>
      <c r="G340" s="4"/>
      <c r="H340" s="4"/>
      <c r="I340" s="4"/>
      <c r="J340" s="4"/>
      <c r="K340" s="4"/>
      <c r="L340" s="4"/>
      <c r="M340" s="4"/>
      <c r="O340" s="236"/>
      <c r="R340" s="4"/>
      <c r="T340" s="9"/>
      <c r="U340" s="9"/>
      <c r="Z340" s="9"/>
    </row>
    <row r="341" spans="1:37" outlineLevel="2">
      <c r="A341" s="18" t="s">
        <v>1757</v>
      </c>
      <c r="B341" s="549">
        <f t="shared" si="163"/>
        <v>1</v>
      </c>
      <c r="C341" s="182">
        <f t="shared" si="164"/>
        <v>0</v>
      </c>
      <c r="D341" s="182">
        <f t="shared" si="165"/>
        <v>0</v>
      </c>
      <c r="E341" s="182">
        <f t="shared" si="166"/>
        <v>0</v>
      </c>
      <c r="F341" s="4"/>
      <c r="G341" s="4"/>
      <c r="H341" s="4"/>
      <c r="I341" s="4"/>
      <c r="J341" s="4"/>
      <c r="K341" s="4"/>
      <c r="L341" s="4"/>
      <c r="M341" s="4"/>
      <c r="O341" s="236"/>
      <c r="R341" s="4"/>
      <c r="T341" s="9"/>
      <c r="U341" s="9"/>
      <c r="Z341" s="9"/>
    </row>
    <row r="342" spans="1:37" outlineLevel="2">
      <c r="A342" s="18" t="s">
        <v>1017</v>
      </c>
      <c r="B342" s="549">
        <f t="shared" si="163"/>
        <v>1</v>
      </c>
      <c r="C342" s="182">
        <f t="shared" si="164"/>
        <v>0</v>
      </c>
      <c r="D342" s="182">
        <f t="shared" si="165"/>
        <v>0</v>
      </c>
      <c r="E342" s="182">
        <f t="shared" si="166"/>
        <v>0</v>
      </c>
      <c r="F342" s="4"/>
      <c r="G342" s="4"/>
      <c r="H342" s="4"/>
      <c r="I342" s="4"/>
      <c r="J342" s="4"/>
      <c r="K342" s="4"/>
      <c r="L342" s="4"/>
      <c r="M342" s="4"/>
      <c r="O342" s="236"/>
      <c r="R342" s="4"/>
      <c r="T342" s="9"/>
      <c r="U342" s="9"/>
      <c r="Z342" s="9"/>
    </row>
    <row r="343" spans="1:37" outlineLevel="2">
      <c r="A343" s="18" t="s">
        <v>2462</v>
      </c>
      <c r="B343" s="549">
        <f t="shared" si="163"/>
        <v>1</v>
      </c>
      <c r="C343" s="182">
        <f>Y335</f>
        <v>0</v>
      </c>
      <c r="D343" s="182">
        <f>Z335</f>
        <v>0</v>
      </c>
      <c r="E343" s="182">
        <f>AA337</f>
        <v>0</v>
      </c>
      <c r="F343" s="4"/>
      <c r="G343" s="4"/>
      <c r="H343" s="4"/>
      <c r="I343" s="4"/>
      <c r="J343" s="4"/>
      <c r="K343" s="4"/>
      <c r="L343" s="4"/>
      <c r="M343" s="4"/>
      <c r="O343" s="236"/>
      <c r="R343" s="4"/>
      <c r="T343" s="9"/>
      <c r="U343" s="9"/>
      <c r="Z343" s="9"/>
    </row>
    <row r="344" spans="1:37" outlineLevel="2">
      <c r="A344" s="18" t="s">
        <v>3145</v>
      </c>
      <c r="B344" s="549">
        <f t="shared" si="163"/>
        <v>1</v>
      </c>
      <c r="C344" s="182">
        <f>Y336</f>
        <v>0</v>
      </c>
      <c r="D344" s="182">
        <f>Z336</f>
        <v>0</v>
      </c>
      <c r="E344" s="182">
        <f>AA338</f>
        <v>0</v>
      </c>
      <c r="F344" s="4"/>
      <c r="G344" s="4"/>
      <c r="H344" s="4"/>
      <c r="I344" s="4"/>
      <c r="J344" s="4"/>
      <c r="K344" s="4"/>
      <c r="L344" s="4"/>
      <c r="M344" s="4"/>
      <c r="O344" s="236"/>
      <c r="R344" s="4"/>
      <c r="T344" s="9"/>
      <c r="U344" s="9"/>
      <c r="Z344" s="9"/>
    </row>
    <row r="345" spans="1:37" outlineLevel="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O345" s="236"/>
      <c r="R345" s="4"/>
      <c r="T345" s="9"/>
      <c r="U345" s="9"/>
      <c r="Z345" s="9"/>
    </row>
    <row r="346" spans="1:37">
      <c r="A346" s="121" t="s">
        <v>306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8"/>
      <c r="O346" s="121" t="s">
        <v>306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8"/>
    </row>
    <row r="347" spans="1:37" outlineLevel="1">
      <c r="A347" s="11" t="s">
        <v>884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29"/>
      <c r="O347" s="11" t="s">
        <v>1860</v>
      </c>
      <c r="P347" s="11"/>
      <c r="R347" s="4"/>
      <c r="T347" s="9"/>
      <c r="U347" s="9"/>
      <c r="Z347" s="9"/>
    </row>
    <row r="348" spans="1:37" outlineLevel="2">
      <c r="A348" s="22" t="s">
        <v>1022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4"/>
      <c r="M348" s="4"/>
      <c r="O348" s="236" t="s">
        <v>302</v>
      </c>
      <c r="R348" s="4"/>
      <c r="T348" s="9"/>
      <c r="U348" s="9"/>
      <c r="Z348" s="9"/>
    </row>
    <row r="349" spans="1:37" outlineLevel="2">
      <c r="A349" s="22" t="s">
        <v>1022</v>
      </c>
      <c r="B349" s="365" t="s">
        <v>725</v>
      </c>
      <c r="C349" s="365" t="s">
        <v>726</v>
      </c>
      <c r="D349" s="365" t="s">
        <v>727</v>
      </c>
      <c r="E349" s="22"/>
      <c r="F349" s="22"/>
      <c r="G349" s="22"/>
      <c r="H349" s="22"/>
      <c r="I349" s="22"/>
      <c r="J349" s="22"/>
      <c r="K349" s="22"/>
      <c r="L349" s="4"/>
      <c r="M349" s="4"/>
      <c r="O349" s="236" t="s">
        <v>277</v>
      </c>
      <c r="R349" s="4"/>
      <c r="T349" s="9"/>
      <c r="U349" s="9"/>
      <c r="Z349" s="9"/>
    </row>
    <row r="350" spans="1:37" outlineLevel="2">
      <c r="A350" s="5" t="s">
        <v>1858</v>
      </c>
      <c r="B350" s="8" t="s">
        <v>277</v>
      </c>
      <c r="C350" s="8">
        <f>IF($I$12&gt;1,B350,0)</f>
        <v>0</v>
      </c>
      <c r="D350" s="8">
        <f>IF($I$12&gt;2,C350,0)</f>
        <v>0</v>
      </c>
      <c r="E350" s="22"/>
      <c r="F350" s="22"/>
      <c r="G350" s="22"/>
      <c r="H350" s="22"/>
      <c r="I350" s="22"/>
      <c r="J350" s="22"/>
      <c r="K350" s="22"/>
      <c r="L350" s="4"/>
      <c r="M350" s="4"/>
      <c r="O350" s="236"/>
      <c r="R350" s="4"/>
      <c r="T350" s="9"/>
      <c r="U350" s="9"/>
      <c r="Z350" s="9"/>
    </row>
    <row r="351" spans="1:37" outlineLevel="2">
      <c r="A351" s="5" t="s">
        <v>1883</v>
      </c>
      <c r="B351" s="8" t="s">
        <v>277</v>
      </c>
      <c r="C351" s="8">
        <f>IF($I$12&gt;1,B351,0)</f>
        <v>0</v>
      </c>
      <c r="D351" s="8">
        <f>IF($I$12&gt;2,C351,0)</f>
        <v>0</v>
      </c>
      <c r="E351" s="22"/>
      <c r="F351" s="22"/>
      <c r="G351" s="22"/>
      <c r="H351" s="22"/>
      <c r="I351" s="22"/>
      <c r="J351" s="22"/>
      <c r="K351" s="22"/>
      <c r="L351" s="4"/>
      <c r="M351" s="4"/>
      <c r="O351" s="236"/>
      <c r="R351" s="4"/>
      <c r="T351" s="9"/>
      <c r="U351" s="9"/>
      <c r="Z351" s="9"/>
    </row>
    <row r="352" spans="1:37" outlineLevel="2">
      <c r="A352" s="5" t="s">
        <v>1859</v>
      </c>
      <c r="B352" s="8" t="s">
        <v>277</v>
      </c>
      <c r="C352" s="8">
        <f>IF($I$12&gt;1,B352,0)</f>
        <v>0</v>
      </c>
      <c r="D352" s="8">
        <f>IF($I$12&gt;2,C352,0)</f>
        <v>0</v>
      </c>
      <c r="E352" s="22"/>
      <c r="F352" s="22"/>
      <c r="G352" s="22"/>
      <c r="H352" s="22"/>
      <c r="I352" s="22"/>
      <c r="J352" s="22"/>
      <c r="K352" s="22"/>
      <c r="L352" s="4"/>
      <c r="M352" s="4"/>
      <c r="O352" s="236"/>
      <c r="R352" s="4"/>
      <c r="T352" s="9"/>
      <c r="U352" s="9"/>
      <c r="Z352" s="9"/>
    </row>
    <row r="353" spans="1:32" outlineLevel="2">
      <c r="A353" s="9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4"/>
      <c r="M353" s="4"/>
      <c r="O353" s="236"/>
      <c r="R353" s="4"/>
      <c r="T353" s="9"/>
      <c r="U353" s="9"/>
      <c r="Z353" s="9"/>
    </row>
    <row r="354" spans="1:32" outlineLevel="2">
      <c r="A354" s="9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4"/>
      <c r="M354" s="4"/>
      <c r="O354" s="236"/>
      <c r="R354" s="4"/>
      <c r="T354" s="9"/>
      <c r="U354" s="9"/>
      <c r="Z354" s="9"/>
    </row>
    <row r="355" spans="1:32" outlineLevel="2">
      <c r="A355" s="22"/>
      <c r="B355" s="22"/>
      <c r="C355" s="22"/>
      <c r="D355" s="22"/>
      <c r="E355" s="22"/>
      <c r="F355" s="4"/>
      <c r="G355" s="4"/>
      <c r="H355" s="4"/>
      <c r="I355" s="4"/>
      <c r="J355" s="4"/>
      <c r="K355" s="4"/>
      <c r="L355" s="4"/>
      <c r="M355" s="4"/>
      <c r="O355" s="236"/>
      <c r="R355" s="4"/>
      <c r="T355" s="9"/>
      <c r="U355" s="9"/>
      <c r="Z355" s="9"/>
    </row>
    <row r="356" spans="1:32" outlineLevel="1">
      <c r="A356" s="11" t="s">
        <v>307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29"/>
      <c r="O356" s="11" t="s">
        <v>307</v>
      </c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29"/>
    </row>
    <row r="357" spans="1:32" outlineLevel="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O357" s="29" t="s">
        <v>1050</v>
      </c>
      <c r="P357" s="29"/>
      <c r="Q357" s="29"/>
      <c r="R357" s="4"/>
      <c r="S357" s="29" t="s">
        <v>1051</v>
      </c>
      <c r="T357" s="29"/>
      <c r="U357" s="29"/>
      <c r="W357" s="29" t="s">
        <v>1935</v>
      </c>
      <c r="X357" s="29"/>
      <c r="Y357" s="29"/>
      <c r="Z357" s="9"/>
    </row>
    <row r="358" spans="1:32" outlineLevel="2">
      <c r="A358" s="4"/>
      <c r="B358" s="226" t="s">
        <v>725</v>
      </c>
      <c r="C358" s="226" t="s">
        <v>726</v>
      </c>
      <c r="D358" s="226" t="s">
        <v>727</v>
      </c>
      <c r="E358" s="4"/>
      <c r="F358" s="4"/>
      <c r="G358" s="4"/>
      <c r="H358" s="4"/>
      <c r="I358" s="4"/>
      <c r="J358" s="4"/>
      <c r="K358" s="4"/>
      <c r="L358" s="4"/>
      <c r="M358" s="4"/>
      <c r="O358" s="236" t="s">
        <v>1040</v>
      </c>
      <c r="P358" s="4" t="s">
        <v>1041</v>
      </c>
      <c r="R358" s="4"/>
      <c r="S358" s="228" t="s">
        <v>1040</v>
      </c>
      <c r="T358" s="4" t="s">
        <v>1041</v>
      </c>
      <c r="U358"/>
      <c r="W358" s="228" t="s">
        <v>1040</v>
      </c>
      <c r="X358" s="4" t="s">
        <v>1041</v>
      </c>
      <c r="Y358"/>
      <c r="Z358" s="9"/>
    </row>
    <row r="359" spans="1:32" outlineLevel="2">
      <c r="A359" s="23" t="s">
        <v>1865</v>
      </c>
      <c r="B359" s="8" t="s">
        <v>302</v>
      </c>
      <c r="C359" s="8">
        <f>IF($I$12&gt;1,B359,0)</f>
        <v>0</v>
      </c>
      <c r="D359" s="8">
        <f>IF($I$12&gt;2,C359,0)</f>
        <v>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57">
        <f>RESUMO!T6</f>
        <v>2643.0545454545454</v>
      </c>
      <c r="P359" s="247">
        <f>IFERROR(O359/(E363*B363),0)</f>
        <v>0</v>
      </c>
      <c r="Q359" s="247"/>
      <c r="R359" s="4"/>
      <c r="S359" s="558">
        <f>RESUMO!T24</f>
        <v>367.41902097902101</v>
      </c>
      <c r="T359" s="247">
        <f>IFERROR(S359/(B364*E364),0)</f>
        <v>0</v>
      </c>
      <c r="U359"/>
      <c r="W359" s="558">
        <f>RESUMO!T47</f>
        <v>0</v>
      </c>
      <c r="X359" s="247">
        <f>IFERROR(W359/(B365*E365),0)</f>
        <v>0</v>
      </c>
      <c r="Y359"/>
      <c r="Z359" s="9"/>
    </row>
    <row r="360" spans="1:32" outlineLevel="2">
      <c r="A360" s="23" t="s">
        <v>1866</v>
      </c>
      <c r="B360" s="8" t="s">
        <v>302</v>
      </c>
      <c r="C360" s="8">
        <f>IF($I$12&gt;1,B360,0)</f>
        <v>0</v>
      </c>
      <c r="D360" s="8">
        <f>IF($I$12&gt;2,C360,0)</f>
        <v>0</v>
      </c>
      <c r="E360" s="4"/>
      <c r="F360" s="13" t="s">
        <v>2595</v>
      </c>
      <c r="G360" s="689"/>
      <c r="H360" s="8" t="s">
        <v>277</v>
      </c>
      <c r="I360" s="4"/>
      <c r="J360" s="4"/>
      <c r="K360" s="4"/>
      <c r="L360" s="4"/>
      <c r="M360" s="4"/>
      <c r="N360" s="4"/>
      <c r="O360" s="557"/>
      <c r="P360" s="247"/>
      <c r="Q360" s="247"/>
      <c r="U360" s="9"/>
      <c r="Z360" s="9"/>
    </row>
    <row r="361" spans="1:32" outlineLevel="2">
      <c r="A361" s="23" t="s">
        <v>1867</v>
      </c>
      <c r="B361" s="8" t="s">
        <v>302</v>
      </c>
      <c r="C361" s="8">
        <f>IF($I$12&gt;1,B361,0)</f>
        <v>0</v>
      </c>
      <c r="D361" s="8">
        <f>IF($I$12&gt;2,C361,0)</f>
        <v>0</v>
      </c>
      <c r="F361" s="4"/>
      <c r="G361" s="4"/>
      <c r="H361" s="4"/>
      <c r="I361" s="4"/>
      <c r="J361" s="4"/>
      <c r="K361" s="4"/>
      <c r="L361" s="4"/>
      <c r="M361" s="4"/>
      <c r="N361" s="4"/>
      <c r="O361" s="398"/>
      <c r="P361" s="201"/>
      <c r="Z361" s="9"/>
    </row>
    <row r="362" spans="1:32" outlineLevel="2">
      <c r="A362" s="23" t="s">
        <v>2189</v>
      </c>
      <c r="B362" s="8" t="s">
        <v>302</v>
      </c>
      <c r="C362" s="8">
        <f>IF($I$12&gt;1,B362,0)</f>
        <v>0</v>
      </c>
      <c r="D362" s="8">
        <f>IF($I$12&gt;2,C362,0)</f>
        <v>0</v>
      </c>
      <c r="E362" s="543" t="s">
        <v>973</v>
      </c>
      <c r="F362" s="4"/>
      <c r="G362" s="4"/>
      <c r="H362" s="4"/>
      <c r="I362" s="4"/>
      <c r="J362" s="4"/>
      <c r="K362" s="4"/>
      <c r="L362" s="4"/>
      <c r="M362" s="4"/>
      <c r="N362" s="4"/>
      <c r="O362" s="398"/>
      <c r="P362" s="201"/>
      <c r="Z362" s="9"/>
    </row>
    <row r="363" spans="1:32" outlineLevel="2">
      <c r="A363" s="5" t="s">
        <v>1870</v>
      </c>
      <c r="B363" s="114">
        <v>0</v>
      </c>
      <c r="C363" s="114">
        <f>IF($C$371&gt;1,B363,0)</f>
        <v>0</v>
      </c>
      <c r="D363" s="114">
        <f>IF($C$371&gt;2,C363,0)</f>
        <v>0</v>
      </c>
      <c r="E363" s="114">
        <f>32*60</f>
        <v>1920</v>
      </c>
      <c r="F363" s="4"/>
      <c r="G363" s="4"/>
      <c r="H363" s="4"/>
      <c r="I363" s="4"/>
      <c r="J363" s="4"/>
      <c r="K363" s="4"/>
      <c r="L363" s="4"/>
      <c r="M363" s="4"/>
      <c r="N363" s="4"/>
      <c r="Z363" s="9"/>
    </row>
    <row r="364" spans="1:32" outlineLevel="2">
      <c r="A364" s="5" t="s">
        <v>1868</v>
      </c>
      <c r="B364" s="114">
        <v>1</v>
      </c>
      <c r="C364" s="114">
        <f>IF($C$394&gt;1,B364,0)</f>
        <v>0</v>
      </c>
      <c r="D364" s="114">
        <f>IF($C$418&gt;2,C364,0)</f>
        <v>0</v>
      </c>
      <c r="E364" s="114">
        <v>0</v>
      </c>
      <c r="F364" s="4"/>
      <c r="G364" s="4"/>
      <c r="H364" s="4"/>
      <c r="I364" s="4"/>
      <c r="J364" s="4"/>
      <c r="K364" s="4"/>
      <c r="L364" s="4"/>
      <c r="M364" s="4"/>
      <c r="N364" s="4"/>
      <c r="Z364" s="9"/>
    </row>
    <row r="365" spans="1:32" outlineLevel="2">
      <c r="A365" s="5" t="s">
        <v>1869</v>
      </c>
      <c r="B365" s="114">
        <v>0</v>
      </c>
      <c r="C365" s="114">
        <f>IF($C$418&gt;1,B365,0)</f>
        <v>0</v>
      </c>
      <c r="D365" s="114">
        <f>IF($C$418&gt;2,C365,0)</f>
        <v>0</v>
      </c>
      <c r="E365" s="114">
        <v>0</v>
      </c>
      <c r="F365" s="4"/>
      <c r="G365" s="4"/>
      <c r="H365" s="4"/>
      <c r="I365" s="4"/>
      <c r="J365" s="4"/>
      <c r="K365" s="4"/>
      <c r="L365" s="4"/>
      <c r="M365" s="4"/>
      <c r="N365" s="4"/>
      <c r="Z365" s="9"/>
    </row>
    <row r="366" spans="1:32" outlineLevel="2">
      <c r="A366" s="5" t="s">
        <v>1871</v>
      </c>
      <c r="B366" s="114">
        <v>0</v>
      </c>
      <c r="C366" s="114">
        <f>IF(C396&gt;1,B366,0)</f>
        <v>0</v>
      </c>
      <c r="D366" s="114">
        <f>IF($C$418&gt;2,C366,0)</f>
        <v>0</v>
      </c>
      <c r="E366" s="114"/>
      <c r="F366" s="4"/>
      <c r="G366" s="4"/>
      <c r="H366" s="4"/>
      <c r="I366" s="4"/>
      <c r="J366" s="4"/>
      <c r="K366" s="4"/>
      <c r="L366" s="4"/>
      <c r="M366" s="4"/>
      <c r="N366" s="4"/>
      <c r="Z366" s="9"/>
    </row>
    <row r="367" spans="1:32" outlineLevel="2">
      <c r="A367" s="5" t="s">
        <v>1872</v>
      </c>
      <c r="B367" s="114">
        <v>0</v>
      </c>
      <c r="C367" s="114">
        <f>IF(C371&gt;1,B367,0)</f>
        <v>0</v>
      </c>
      <c r="D367" s="114">
        <f>IF($C$371&gt;2,C367,0)</f>
        <v>0</v>
      </c>
      <c r="E367" s="114">
        <f>30*60</f>
        <v>1800</v>
      </c>
      <c r="F367" s="4"/>
      <c r="G367" s="4"/>
      <c r="H367" s="4"/>
      <c r="I367" s="4"/>
      <c r="J367" s="4"/>
      <c r="K367" s="4"/>
      <c r="L367" s="4"/>
      <c r="M367" s="4"/>
      <c r="N367" s="4"/>
      <c r="O367" s="368"/>
      <c r="P367" s="202"/>
      <c r="S367"/>
      <c r="T367"/>
      <c r="U367" s="559"/>
      <c r="V367" s="561" t="s">
        <v>1925</v>
      </c>
      <c r="W367" s="560"/>
      <c r="X367" s="559"/>
      <c r="Y367" s="561" t="s">
        <v>1933</v>
      </c>
      <c r="Z367" s="560"/>
      <c r="AA367" s="559"/>
      <c r="AB367" s="561" t="s">
        <v>1934</v>
      </c>
      <c r="AC367" s="560"/>
      <c r="AD367" s="559"/>
      <c r="AE367" s="561" t="s">
        <v>1937</v>
      </c>
      <c r="AF367" s="560"/>
    </row>
    <row r="368" spans="1:32" outlineLevel="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368" t="s">
        <v>1931</v>
      </c>
      <c r="P368" s="202" t="s">
        <v>1932</v>
      </c>
      <c r="Q368" s="202" t="s">
        <v>1936</v>
      </c>
      <c r="S368" s="228" t="s">
        <v>1042</v>
      </c>
      <c r="T368" s="228" t="s">
        <v>1043</v>
      </c>
      <c r="U368" s="228" t="s">
        <v>1926</v>
      </c>
      <c r="V368" s="228" t="s">
        <v>1927</v>
      </c>
      <c r="W368" s="228" t="s">
        <v>1928</v>
      </c>
      <c r="X368" s="228" t="s">
        <v>1926</v>
      </c>
      <c r="Y368" s="228" t="s">
        <v>1927</v>
      </c>
      <c r="Z368" s="228" t="s">
        <v>1928</v>
      </c>
      <c r="AA368" s="228" t="s">
        <v>1926</v>
      </c>
      <c r="AB368" s="228" t="s">
        <v>1927</v>
      </c>
      <c r="AC368" s="228" t="s">
        <v>1928</v>
      </c>
      <c r="AD368" s="228" t="s">
        <v>1926</v>
      </c>
      <c r="AE368" s="228" t="s">
        <v>1927</v>
      </c>
      <c r="AF368" s="228" t="s">
        <v>1928</v>
      </c>
    </row>
    <row r="369" spans="1:32" outlineLevel="2">
      <c r="E369" s="4"/>
      <c r="M369" s="4"/>
      <c r="N369" s="4"/>
      <c r="O369" s="368">
        <f t="shared" ref="O369:O386" si="175">IF($P$359&lt;=S369,1,0)</f>
        <v>1</v>
      </c>
      <c r="P369" s="202">
        <f t="shared" ref="P369:P386" si="176">IF($T$359&lt;=S369,1,0)</f>
        <v>1</v>
      </c>
      <c r="Q369" s="202">
        <f>IF($X$359&lt;=S369,1,0)</f>
        <v>1</v>
      </c>
      <c r="R369" s="562" t="s">
        <v>1924</v>
      </c>
      <c r="S369" s="202">
        <f>I15</f>
        <v>9.5749999999999993</v>
      </c>
      <c r="T369" s="202">
        <v>1</v>
      </c>
      <c r="U369" s="228">
        <v>0</v>
      </c>
      <c r="V369" s="246">
        <v>0</v>
      </c>
      <c r="W369" s="146">
        <v>0</v>
      </c>
      <c r="X369" s="567">
        <f t="shared" ref="X369:X386" si="177">IF($C$371&lt;T369,0,IF($C$371=T369,$O$359/S369,$B$363*$E$363))</f>
        <v>276.03702824590556</v>
      </c>
      <c r="Y369" s="567">
        <f t="shared" ref="Y369:Y386" si="178">IF($C$371&lt;2,0,IF($C$371=T369,$O$359/S369,$B$363*$E$363))</f>
        <v>0</v>
      </c>
      <c r="Z369" s="567">
        <f t="shared" ref="Z369:Z386" si="179">IF($C$371&lt;3,0,IF($C$371=T369,$O$359/S369,$B$363*$E$363))</f>
        <v>0</v>
      </c>
      <c r="AA369" s="567">
        <f t="shared" ref="AA369:AA376" si="180">IF($C$394&lt;T369,0,IF($C$394=T369,$S$359/S369,$B$364*$E$364))</f>
        <v>38.372743705380785</v>
      </c>
      <c r="AB369" s="567">
        <f t="shared" ref="AB369:AB376" si="181">IF($C$394&lt;2,0,IF($C$394=T369,$S$359/S369,$B$364*$E$364))</f>
        <v>0</v>
      </c>
      <c r="AC369" s="567">
        <f t="shared" ref="AC369:AC376" si="182">IF($C$394&lt;3,0,IF($C$394=T369,$S$359/S369,$B$364*$E$364))</f>
        <v>0</v>
      </c>
      <c r="AD369" s="388">
        <f t="shared" ref="AD369:AD376" si="183">IFERROR(IF($C$418&lt;T369,0,IF($C$418=T369,$W$359/S369,$B$365*$E$365)),0)</f>
        <v>0</v>
      </c>
      <c r="AE369" s="388">
        <f t="shared" ref="AE369:AE376" si="184">IFERROR(IF($C$418&lt;2,0,IF($C$418=T369,$W$359/S369,$C$365*$E$365)),0)</f>
        <v>0</v>
      </c>
      <c r="AF369" s="388">
        <f t="shared" ref="AF369:AF376" si="185">IFERROR(IF($C$418&lt;3,0,IF($C$418=T369,$W$359/S369,$D$365*$E$365)),0)</f>
        <v>0</v>
      </c>
    </row>
    <row r="370" spans="1:32" outlineLevel="2">
      <c r="A370" s="226" t="s">
        <v>1884</v>
      </c>
      <c r="B370" s="548" t="s">
        <v>1929</v>
      </c>
      <c r="C370" s="548" t="s">
        <v>1930</v>
      </c>
      <c r="M370" s="4"/>
      <c r="N370" s="4"/>
      <c r="O370" s="368">
        <f t="shared" si="175"/>
        <v>1</v>
      </c>
      <c r="P370" s="202">
        <f t="shared" si="176"/>
        <v>1</v>
      </c>
      <c r="Q370" s="202">
        <f t="shared" ref="Q370:Q386" si="186">IF($X$359&lt;=S370,1,0)</f>
        <v>1</v>
      </c>
      <c r="R370" s="562" t="s">
        <v>1923</v>
      </c>
      <c r="S370" s="202">
        <f>I15+1</f>
        <v>10.574999999999999</v>
      </c>
      <c r="T370" s="202">
        <v>1</v>
      </c>
      <c r="U370" s="228">
        <v>4</v>
      </c>
      <c r="V370" s="246">
        <v>0</v>
      </c>
      <c r="W370" s="146">
        <v>0</v>
      </c>
      <c r="X370" s="567">
        <f t="shared" si="177"/>
        <v>249.93423597678918</v>
      </c>
      <c r="Y370" s="567">
        <f t="shared" si="178"/>
        <v>0</v>
      </c>
      <c r="Z370" s="567">
        <f t="shared" si="179"/>
        <v>0</v>
      </c>
      <c r="AA370" s="567">
        <f t="shared" si="180"/>
        <v>34.74411545900908</v>
      </c>
      <c r="AB370" s="567">
        <f t="shared" si="181"/>
        <v>0</v>
      </c>
      <c r="AC370" s="567">
        <f t="shared" si="182"/>
        <v>0</v>
      </c>
      <c r="AD370" s="388">
        <f t="shared" si="183"/>
        <v>0</v>
      </c>
      <c r="AE370" s="388">
        <f t="shared" si="184"/>
        <v>0</v>
      </c>
      <c r="AF370" s="388">
        <f t="shared" si="185"/>
        <v>0</v>
      </c>
    </row>
    <row r="371" spans="1:32" outlineLevel="2">
      <c r="A371" s="563" t="str">
        <f>VLOOKUP(1,$O$369:$S$386,4,0)</f>
        <v>1 Turno com pausa e intervalo</v>
      </c>
      <c r="B371" s="565">
        <f>VLOOKUP(A371,$R$369:$W$386,2,0)</f>
        <v>9.5749999999999993</v>
      </c>
      <c r="C371" s="564">
        <f>VLOOKUP(A371,$R$369:$W$386,3,0)</f>
        <v>1</v>
      </c>
      <c r="M371" s="4"/>
      <c r="N371" s="4"/>
      <c r="O371" s="368">
        <f t="shared" si="175"/>
        <v>1</v>
      </c>
      <c r="P371" s="202">
        <f t="shared" si="176"/>
        <v>1</v>
      </c>
      <c r="Q371" s="202">
        <f t="shared" si="186"/>
        <v>1</v>
      </c>
      <c r="R371" s="562" t="s">
        <v>1922</v>
      </c>
      <c r="S371" s="202">
        <f>I15+2</f>
        <v>11.574999999999999</v>
      </c>
      <c r="T371" s="202">
        <v>1</v>
      </c>
      <c r="U371" s="228">
        <v>2</v>
      </c>
      <c r="V371" s="246">
        <v>0</v>
      </c>
      <c r="W371" s="146">
        <v>0</v>
      </c>
      <c r="X371" s="567">
        <f t="shared" si="177"/>
        <v>228.34164539564108</v>
      </c>
      <c r="Y371" s="567">
        <f>IF($C$371&lt;2,0,IF($C$371=T371,$O$359/S371,$B$363*$E$363))</f>
        <v>0</v>
      </c>
      <c r="Z371" s="567">
        <f t="shared" si="179"/>
        <v>0</v>
      </c>
      <c r="AA371" s="567">
        <f t="shared" si="180"/>
        <v>31.742464015466179</v>
      </c>
      <c r="AB371" s="567">
        <f t="shared" si="181"/>
        <v>0</v>
      </c>
      <c r="AC371" s="567">
        <f t="shared" si="182"/>
        <v>0</v>
      </c>
      <c r="AD371" s="388">
        <f t="shared" si="183"/>
        <v>0</v>
      </c>
      <c r="AE371" s="388">
        <f t="shared" si="184"/>
        <v>0</v>
      </c>
      <c r="AF371" s="388">
        <f t="shared" si="185"/>
        <v>0</v>
      </c>
    </row>
    <row r="372" spans="1:32" outlineLevel="2">
      <c r="A372" s="5"/>
      <c r="B372" s="226" t="s">
        <v>725</v>
      </c>
      <c r="C372" s="226" t="s">
        <v>726</v>
      </c>
      <c r="D372" s="226" t="s">
        <v>727</v>
      </c>
      <c r="M372" s="4"/>
      <c r="N372" s="4"/>
      <c r="O372" s="368">
        <f t="shared" si="175"/>
        <v>1</v>
      </c>
      <c r="P372" s="202">
        <f t="shared" si="176"/>
        <v>1</v>
      </c>
      <c r="Q372" s="202">
        <f t="shared" si="186"/>
        <v>1</v>
      </c>
      <c r="R372" s="562" t="s">
        <v>1036</v>
      </c>
      <c r="S372" s="202">
        <f>I15+J15</f>
        <v>9.5749999999999993</v>
      </c>
      <c r="T372" s="202">
        <v>2</v>
      </c>
      <c r="U372" s="228">
        <v>0</v>
      </c>
      <c r="V372" s="246">
        <v>0</v>
      </c>
      <c r="W372" s="146">
        <v>0</v>
      </c>
      <c r="X372" s="567">
        <f>IF($C$371&lt;T372,0,IF($C$371=T372,$O$359/S372,$B$363*$E$363))</f>
        <v>0</v>
      </c>
      <c r="Y372" s="567">
        <f t="shared" si="178"/>
        <v>0</v>
      </c>
      <c r="Z372" s="567">
        <f t="shared" si="179"/>
        <v>0</v>
      </c>
      <c r="AA372" s="567">
        <f t="shared" si="180"/>
        <v>0</v>
      </c>
      <c r="AB372" s="567">
        <f t="shared" si="181"/>
        <v>0</v>
      </c>
      <c r="AC372" s="567">
        <f t="shared" si="182"/>
        <v>0</v>
      </c>
      <c r="AD372" s="388">
        <f t="shared" si="183"/>
        <v>0</v>
      </c>
      <c r="AE372" s="388">
        <f t="shared" si="184"/>
        <v>0</v>
      </c>
      <c r="AF372" s="388">
        <f t="shared" si="185"/>
        <v>0</v>
      </c>
    </row>
    <row r="373" spans="1:32" outlineLevel="2">
      <c r="A373" s="5" t="s">
        <v>1101</v>
      </c>
      <c r="B373" s="7">
        <f>AC44</f>
        <v>0</v>
      </c>
      <c r="C373" s="7">
        <f>AD44</f>
        <v>0</v>
      </c>
      <c r="D373" s="7">
        <f>AE44</f>
        <v>0</v>
      </c>
      <c r="E373" s="4"/>
      <c r="M373" s="4"/>
      <c r="N373" s="4"/>
      <c r="O373" s="368">
        <f t="shared" si="175"/>
        <v>1</v>
      </c>
      <c r="P373" s="202">
        <f t="shared" si="176"/>
        <v>1</v>
      </c>
      <c r="Q373" s="202">
        <f t="shared" si="186"/>
        <v>1</v>
      </c>
      <c r="R373" s="562" t="s">
        <v>1045</v>
      </c>
      <c r="S373" s="202">
        <f>S372+1</f>
        <v>10.574999999999999</v>
      </c>
      <c r="T373" s="202">
        <v>2</v>
      </c>
      <c r="U373" s="228">
        <v>4</v>
      </c>
      <c r="V373" s="246">
        <v>0</v>
      </c>
      <c r="W373" s="146">
        <v>0</v>
      </c>
      <c r="X373" s="567">
        <f t="shared" si="177"/>
        <v>0</v>
      </c>
      <c r="Y373" s="567">
        <f t="shared" si="178"/>
        <v>0</v>
      </c>
      <c r="Z373" s="567">
        <f t="shared" si="179"/>
        <v>0</v>
      </c>
      <c r="AA373" s="567">
        <f t="shared" si="180"/>
        <v>0</v>
      </c>
      <c r="AB373" s="567">
        <f t="shared" si="181"/>
        <v>0</v>
      </c>
      <c r="AC373" s="567">
        <f t="shared" si="182"/>
        <v>0</v>
      </c>
      <c r="AD373" s="388">
        <f t="shared" si="183"/>
        <v>0</v>
      </c>
      <c r="AE373" s="388">
        <f t="shared" si="184"/>
        <v>0</v>
      </c>
      <c r="AF373" s="388">
        <f t="shared" si="185"/>
        <v>0</v>
      </c>
    </row>
    <row r="374" spans="1:32" outlineLevel="2">
      <c r="A374" s="5" t="s">
        <v>1100</v>
      </c>
      <c r="B374" s="7">
        <f>AC52</f>
        <v>0</v>
      </c>
      <c r="C374" s="7">
        <f>AD52</f>
        <v>0</v>
      </c>
      <c r="D374" s="7">
        <f>AE52</f>
        <v>0</v>
      </c>
      <c r="E374" s="4"/>
      <c r="M374" s="4"/>
      <c r="N374" s="4"/>
      <c r="O374" s="368">
        <f t="shared" si="175"/>
        <v>1</v>
      </c>
      <c r="P374" s="202">
        <f t="shared" si="176"/>
        <v>1</v>
      </c>
      <c r="Q374" s="202">
        <f t="shared" si="186"/>
        <v>1</v>
      </c>
      <c r="R374" s="562" t="s">
        <v>1037</v>
      </c>
      <c r="S374" s="202">
        <f>S373+1</f>
        <v>11.574999999999999</v>
      </c>
      <c r="T374" s="202">
        <v>2</v>
      </c>
      <c r="U374" s="228">
        <v>4</v>
      </c>
      <c r="V374" s="246">
        <v>4</v>
      </c>
      <c r="W374" s="146">
        <v>0</v>
      </c>
      <c r="X374" s="567">
        <f t="shared" si="177"/>
        <v>0</v>
      </c>
      <c r="Y374" s="567">
        <f t="shared" si="178"/>
        <v>0</v>
      </c>
      <c r="Z374" s="567">
        <f t="shared" si="179"/>
        <v>0</v>
      </c>
      <c r="AA374" s="567">
        <f t="shared" si="180"/>
        <v>0</v>
      </c>
      <c r="AB374" s="567">
        <f t="shared" si="181"/>
        <v>0</v>
      </c>
      <c r="AC374" s="567">
        <f t="shared" si="182"/>
        <v>0</v>
      </c>
      <c r="AD374" s="388">
        <f t="shared" si="183"/>
        <v>0</v>
      </c>
      <c r="AE374" s="388">
        <f t="shared" si="184"/>
        <v>0</v>
      </c>
      <c r="AF374" s="388">
        <f t="shared" si="185"/>
        <v>0</v>
      </c>
    </row>
    <row r="375" spans="1:32" outlineLevel="2">
      <c r="A375" s="5" t="s">
        <v>1889</v>
      </c>
      <c r="B375" s="7">
        <f>AC60</f>
        <v>0</v>
      </c>
      <c r="C375" s="7">
        <f>AD60</f>
        <v>0</v>
      </c>
      <c r="D375" s="7">
        <f>AE60</f>
        <v>0</v>
      </c>
      <c r="E375" s="4"/>
      <c r="M375" s="4"/>
      <c r="N375" s="4"/>
      <c r="O375" s="368">
        <f t="shared" si="175"/>
        <v>1</v>
      </c>
      <c r="P375" s="202">
        <f t="shared" si="176"/>
        <v>1</v>
      </c>
      <c r="Q375" s="202">
        <f t="shared" si="186"/>
        <v>1</v>
      </c>
      <c r="R375" s="562" t="s">
        <v>1038</v>
      </c>
      <c r="S375" s="202">
        <f>S374+1</f>
        <v>12.574999999999999</v>
      </c>
      <c r="T375" s="202">
        <v>2</v>
      </c>
      <c r="U375" s="228">
        <v>2</v>
      </c>
      <c r="V375" s="246">
        <v>4</v>
      </c>
      <c r="W375" s="146">
        <v>0</v>
      </c>
      <c r="X375" s="567">
        <f t="shared" si="177"/>
        <v>0</v>
      </c>
      <c r="Y375" s="567">
        <f t="shared" si="178"/>
        <v>0</v>
      </c>
      <c r="Z375" s="567">
        <f t="shared" si="179"/>
        <v>0</v>
      </c>
      <c r="AA375" s="567">
        <f t="shared" si="180"/>
        <v>0</v>
      </c>
      <c r="AB375" s="567">
        <f t="shared" si="181"/>
        <v>0</v>
      </c>
      <c r="AC375" s="567">
        <f t="shared" si="182"/>
        <v>0</v>
      </c>
      <c r="AD375" s="388">
        <f t="shared" si="183"/>
        <v>0</v>
      </c>
      <c r="AE375" s="388">
        <f t="shared" si="184"/>
        <v>0</v>
      </c>
      <c r="AF375" s="388">
        <f t="shared" si="185"/>
        <v>0</v>
      </c>
    </row>
    <row r="376" spans="1:32" outlineLevel="2">
      <c r="A376" s="5" t="s">
        <v>1447</v>
      </c>
      <c r="B376" s="7">
        <f>AC106</f>
        <v>0</v>
      </c>
      <c r="C376" s="7">
        <f>AD106</f>
        <v>0</v>
      </c>
      <c r="D376" s="7">
        <f>AE106</f>
        <v>0</v>
      </c>
      <c r="E376" s="4"/>
      <c r="M376" s="4"/>
      <c r="N376" s="4"/>
      <c r="O376" s="368">
        <f t="shared" si="175"/>
        <v>1</v>
      </c>
      <c r="P376" s="202">
        <f t="shared" si="176"/>
        <v>1</v>
      </c>
      <c r="Q376" s="202">
        <f t="shared" si="186"/>
        <v>1</v>
      </c>
      <c r="R376" s="562" t="s">
        <v>1039</v>
      </c>
      <c r="S376" s="202">
        <f>S375+1</f>
        <v>13.574999999999999</v>
      </c>
      <c r="T376" s="202">
        <v>2</v>
      </c>
      <c r="U376" s="228">
        <v>2</v>
      </c>
      <c r="V376" s="246">
        <v>2</v>
      </c>
      <c r="W376" s="146">
        <v>0</v>
      </c>
      <c r="X376" s="567">
        <f t="shared" si="177"/>
        <v>0</v>
      </c>
      <c r="Y376" s="567">
        <f t="shared" si="178"/>
        <v>0</v>
      </c>
      <c r="Z376" s="567">
        <f t="shared" si="179"/>
        <v>0</v>
      </c>
      <c r="AA376" s="567">
        <f t="shared" si="180"/>
        <v>0</v>
      </c>
      <c r="AB376" s="567">
        <f t="shared" si="181"/>
        <v>0</v>
      </c>
      <c r="AC376" s="567">
        <f t="shared" si="182"/>
        <v>0</v>
      </c>
      <c r="AD376" s="388">
        <f t="shared" si="183"/>
        <v>0</v>
      </c>
      <c r="AE376" s="388">
        <f t="shared" si="184"/>
        <v>0</v>
      </c>
      <c r="AF376" s="388">
        <f t="shared" si="185"/>
        <v>0</v>
      </c>
    </row>
    <row r="377" spans="1:32" outlineLevel="2">
      <c r="A377" s="5" t="s">
        <v>2558</v>
      </c>
      <c r="B377" s="7">
        <f>$AC$112</f>
        <v>0</v>
      </c>
      <c r="C377" s="7">
        <f>$AD$112</f>
        <v>0</v>
      </c>
      <c r="D377" s="7">
        <f>$AE$112</f>
        <v>0</v>
      </c>
      <c r="E377" s="4"/>
      <c r="M377" s="4"/>
      <c r="N377" s="4"/>
      <c r="O377" s="368"/>
      <c r="P377" s="202"/>
      <c r="Q377" s="202"/>
      <c r="R377" s="562"/>
      <c r="S377" s="202"/>
      <c r="T377" s="202"/>
      <c r="U377" s="228"/>
      <c r="V377" s="246"/>
      <c r="W377" s="146"/>
      <c r="X377" s="567"/>
      <c r="Y377" s="567"/>
      <c r="Z377" s="567"/>
      <c r="AA377" s="567"/>
      <c r="AB377" s="567"/>
      <c r="AC377" s="567"/>
      <c r="AD377" s="388"/>
      <c r="AE377" s="388"/>
      <c r="AF377" s="388"/>
    </row>
    <row r="378" spans="1:32" outlineLevel="2">
      <c r="A378" s="5" t="s">
        <v>1530</v>
      </c>
      <c r="B378" s="7">
        <f>AC168</f>
        <v>276.03702824590556</v>
      </c>
      <c r="C378" s="7">
        <f>AD168</f>
        <v>0</v>
      </c>
      <c r="D378" s="7">
        <f>AE168</f>
        <v>0</v>
      </c>
      <c r="E378" s="4"/>
      <c r="M378" s="4"/>
      <c r="N378" s="4"/>
      <c r="O378" s="368">
        <f t="shared" si="175"/>
        <v>1</v>
      </c>
      <c r="P378" s="202">
        <f t="shared" si="176"/>
        <v>1</v>
      </c>
      <c r="Q378" s="202">
        <f t="shared" si="186"/>
        <v>1</v>
      </c>
      <c r="R378" s="562" t="s">
        <v>1921</v>
      </c>
      <c r="S378" s="202">
        <v>19</v>
      </c>
      <c r="T378" s="202">
        <v>3</v>
      </c>
      <c r="U378" s="228">
        <v>4</v>
      </c>
      <c r="V378" s="246">
        <v>0</v>
      </c>
      <c r="W378" s="146">
        <v>0</v>
      </c>
      <c r="X378" s="567">
        <f t="shared" si="177"/>
        <v>0</v>
      </c>
      <c r="Y378" s="567">
        <f t="shared" si="178"/>
        <v>0</v>
      </c>
      <c r="Z378" s="567">
        <f t="shared" si="179"/>
        <v>0</v>
      </c>
      <c r="AA378" s="567">
        <f>IF($C$394&lt;T378,0,IF($C$394=T378,$S$359/S378,$B$364*$E$364))</f>
        <v>0</v>
      </c>
      <c r="AB378" s="567">
        <f>IF($C$394&lt;2,0,IF($C$394=T378,$S$359/S378,$B$364*$E$364))</f>
        <v>0</v>
      </c>
      <c r="AC378" s="567">
        <f>IF($C$394&lt;3,0,IF($C$394=T378,$S$359/S378,$B$364*$E$364))</f>
        <v>0</v>
      </c>
      <c r="AD378" s="388">
        <f>IFERROR(IF($C$418&lt;T378,0,IF($C$418=T378,$W$359/S378,$B$365*$E$365)),0)</f>
        <v>0</v>
      </c>
      <c r="AE378" s="388">
        <f>IFERROR(IF($C$418&lt;2,0,IF($C$418=T378,$W$359/S378,$C$365*$E$365)),0)</f>
        <v>0</v>
      </c>
      <c r="AF378" s="388">
        <f>IFERROR(IF($C$418&lt;3,0,IF($C$418=T378,$W$359/S378,$D$365*$E$365)),0)</f>
        <v>0</v>
      </c>
    </row>
    <row r="379" spans="1:32" outlineLevel="2">
      <c r="A379" s="5" t="s">
        <v>1590</v>
      </c>
      <c r="B379" s="7">
        <f t="shared" ref="B379:D380" si="187">AC201</f>
        <v>0</v>
      </c>
      <c r="C379" s="7">
        <f t="shared" si="187"/>
        <v>0</v>
      </c>
      <c r="D379" s="7">
        <f t="shared" si="187"/>
        <v>0</v>
      </c>
      <c r="E379" s="4"/>
      <c r="M379" s="4"/>
      <c r="N379" s="4"/>
      <c r="O379" s="368">
        <f t="shared" si="175"/>
        <v>1</v>
      </c>
      <c r="P379" s="202">
        <f t="shared" si="176"/>
        <v>1</v>
      </c>
      <c r="Q379" s="202">
        <f t="shared" si="186"/>
        <v>1</v>
      </c>
      <c r="R379" s="562" t="s">
        <v>1044</v>
      </c>
      <c r="S379" s="202">
        <f>S378+1</f>
        <v>20</v>
      </c>
      <c r="T379" s="202">
        <v>3</v>
      </c>
      <c r="U379" s="228">
        <v>4</v>
      </c>
      <c r="V379" s="246">
        <v>4</v>
      </c>
      <c r="W379" s="146">
        <v>0</v>
      </c>
      <c r="X379" s="567">
        <f t="shared" si="177"/>
        <v>0</v>
      </c>
      <c r="Y379" s="567">
        <f t="shared" si="178"/>
        <v>0</v>
      </c>
      <c r="Z379" s="567">
        <f t="shared" si="179"/>
        <v>0</v>
      </c>
      <c r="AA379" s="567">
        <f>IF($C$394&lt;T379,0,IF($C$394=T379,$S$359/S379,$B$364*$E$364))</f>
        <v>0</v>
      </c>
      <c r="AB379" s="567">
        <f>IF($C$394&lt;2,0,IF($C$394=T379,$S$359/S379,$B$364*$E$364))</f>
        <v>0</v>
      </c>
      <c r="AC379" s="567">
        <f>IF($C$394&lt;3,0,IF($C$394=T379,$S$359/S379,$B$364*$E$364))</f>
        <v>0</v>
      </c>
      <c r="AD379" s="388">
        <f>IFERROR(IF($C$418&lt;T379,0,IF($C$418=T379,$W$359/S379,$B$365*$E$365)),0)</f>
        <v>0</v>
      </c>
      <c r="AE379" s="388">
        <f>IFERROR(IF($C$418&lt;2,0,IF($C$418=T379,$W$359/S379,$C$365*$E$365)),0)</f>
        <v>0</v>
      </c>
      <c r="AF379" s="388">
        <f>IFERROR(IF($C$418&lt;3,0,IF($C$418=T379,$W$359/S379,$D$365*$E$365)),0)</f>
        <v>0</v>
      </c>
    </row>
    <row r="380" spans="1:32" outlineLevel="2">
      <c r="A380" s="5" t="s">
        <v>2567</v>
      </c>
      <c r="B380" s="7">
        <f t="shared" si="187"/>
        <v>0</v>
      </c>
      <c r="C380" s="7">
        <f t="shared" si="187"/>
        <v>0</v>
      </c>
      <c r="D380" s="7">
        <f t="shared" si="187"/>
        <v>0</v>
      </c>
      <c r="E380" s="4"/>
      <c r="M380" s="4"/>
      <c r="N380" s="4"/>
      <c r="O380" s="368"/>
      <c r="P380" s="202"/>
      <c r="Q380" s="202"/>
      <c r="R380" s="562"/>
      <c r="S380" s="202"/>
      <c r="T380" s="202"/>
      <c r="U380" s="228"/>
      <c r="V380" s="246"/>
      <c r="W380" s="146"/>
      <c r="X380" s="567"/>
      <c r="Y380" s="567"/>
      <c r="Z380" s="567"/>
      <c r="AA380" s="567"/>
      <c r="AB380" s="567"/>
      <c r="AC380" s="567"/>
      <c r="AD380" s="388"/>
      <c r="AE380" s="388"/>
      <c r="AF380" s="388"/>
    </row>
    <row r="381" spans="1:32" outlineLevel="2">
      <c r="A381" s="5" t="s">
        <v>1700</v>
      </c>
      <c r="B381" s="7">
        <f>AC233</f>
        <v>0</v>
      </c>
      <c r="C381" s="7">
        <f>AD233</f>
        <v>0</v>
      </c>
      <c r="D381" s="7">
        <f>AE233</f>
        <v>0</v>
      </c>
      <c r="E381" s="4"/>
      <c r="M381" s="4"/>
      <c r="N381" s="4"/>
      <c r="O381" s="368">
        <f t="shared" si="175"/>
        <v>1</v>
      </c>
      <c r="P381" s="202">
        <f t="shared" si="176"/>
        <v>1</v>
      </c>
      <c r="Q381" s="202">
        <f t="shared" si="186"/>
        <v>1</v>
      </c>
      <c r="R381" s="562" t="s">
        <v>1046</v>
      </c>
      <c r="S381" s="202">
        <f>S379+1</f>
        <v>21</v>
      </c>
      <c r="T381" s="202">
        <v>3</v>
      </c>
      <c r="U381" s="228">
        <v>4</v>
      </c>
      <c r="V381" s="246">
        <v>4</v>
      </c>
      <c r="W381" s="146">
        <v>4</v>
      </c>
      <c r="X381" s="567">
        <f t="shared" si="177"/>
        <v>0</v>
      </c>
      <c r="Y381" s="567">
        <f t="shared" si="178"/>
        <v>0</v>
      </c>
      <c r="Z381" s="567">
        <f t="shared" si="179"/>
        <v>0</v>
      </c>
      <c r="AA381" s="567">
        <f>IF($C$394&lt;T381,0,IF($C$394=T381,$S$359/S381,$B$364*$E$364))</f>
        <v>0</v>
      </c>
      <c r="AB381" s="567">
        <f>IF($C$394&lt;2,0,IF($C$394=T381,$S$359/S381,$B$364*$E$364))</f>
        <v>0</v>
      </c>
      <c r="AC381" s="567">
        <f>IF($C$394&lt;3,0,IF($C$394=T381,$S$359/S381,$B$364*$E$364))</f>
        <v>0</v>
      </c>
      <c r="AD381" s="388">
        <f>IFERROR(IF($C$418&lt;T381,0,IF($C$418=T381,$W$359/S381,$B$365*$E$365)),0)</f>
        <v>0</v>
      </c>
      <c r="AE381" s="388">
        <f>IFERROR(IF($C$418&lt;2,0,IF($C$418=T381,$W$359/S381,$C$365*$E$365)),0)</f>
        <v>0</v>
      </c>
      <c r="AF381" s="388">
        <f>IFERROR(IF($C$418&lt;3,0,IF($C$418=T381,$W$359/S381,$D$365*$E$365)),0)</f>
        <v>0</v>
      </c>
    </row>
    <row r="382" spans="1:32" outlineLevel="2">
      <c r="A382" s="5" t="s">
        <v>1653</v>
      </c>
      <c r="B382" s="7">
        <f t="shared" ref="B382:D383" si="188">AC246</f>
        <v>0</v>
      </c>
      <c r="C382" s="7">
        <f t="shared" si="188"/>
        <v>0</v>
      </c>
      <c r="D382" s="7">
        <f t="shared" si="188"/>
        <v>0</v>
      </c>
      <c r="E382" s="4"/>
      <c r="M382" s="4"/>
      <c r="N382" s="4"/>
      <c r="O382" s="368">
        <f t="shared" si="175"/>
        <v>1</v>
      </c>
      <c r="P382" s="202">
        <f t="shared" si="176"/>
        <v>1</v>
      </c>
      <c r="Q382" s="202">
        <f t="shared" si="186"/>
        <v>1</v>
      </c>
      <c r="R382" s="562" t="s">
        <v>1047</v>
      </c>
      <c r="S382" s="202">
        <f>S381+1</f>
        <v>22</v>
      </c>
      <c r="T382" s="202">
        <v>3</v>
      </c>
      <c r="U382" s="228">
        <v>2</v>
      </c>
      <c r="V382" s="246">
        <v>4</v>
      </c>
      <c r="W382" s="146">
        <v>4</v>
      </c>
      <c r="X382" s="567">
        <f t="shared" si="177"/>
        <v>0</v>
      </c>
      <c r="Y382" s="567">
        <f t="shared" si="178"/>
        <v>0</v>
      </c>
      <c r="Z382" s="567">
        <f t="shared" si="179"/>
        <v>0</v>
      </c>
      <c r="AA382" s="567">
        <f>IF($C$394&lt;T382,0,IF($C$394=T382,$S$359/S382,$B$364*$E$364))</f>
        <v>0</v>
      </c>
      <c r="AB382" s="567">
        <f>IF($C$394&lt;2,0,IF($C$394=T382,$S$359/S382,$B$364*$E$364))</f>
        <v>0</v>
      </c>
      <c r="AC382" s="567">
        <f>IF($C$394&lt;3,0,IF($C$394=T382,$S$359/S382,$B$364*$E$364))</f>
        <v>0</v>
      </c>
      <c r="AD382" s="388">
        <f>IFERROR(IF($C$418&lt;T382,0,IF($C$418=T382,$W$359/S382,$B$365*$E$365)),0)</f>
        <v>0</v>
      </c>
      <c r="AE382" s="388">
        <f>IFERROR(IF($C$418&lt;2,0,IF($C$418=T382,$W$359/S382,$C$365*$E$365)),0)</f>
        <v>0</v>
      </c>
      <c r="AF382" s="388">
        <f>IFERROR(IF($C$418&lt;3,0,IF($C$418=T382,$W$359/S382,$D$365*$E$365)),0)</f>
        <v>0</v>
      </c>
    </row>
    <row r="383" spans="1:32" outlineLevel="2">
      <c r="A383" s="5" t="s">
        <v>2565</v>
      </c>
      <c r="B383" s="7">
        <f t="shared" si="188"/>
        <v>0</v>
      </c>
      <c r="C383" s="7">
        <f t="shared" si="188"/>
        <v>0</v>
      </c>
      <c r="D383" s="7">
        <f t="shared" si="188"/>
        <v>0</v>
      </c>
      <c r="E383" s="4"/>
      <c r="M383" s="4"/>
      <c r="N383" s="4"/>
      <c r="O383" s="368"/>
      <c r="P383" s="202"/>
      <c r="Q383" s="202"/>
      <c r="R383" s="562"/>
      <c r="S383" s="202"/>
      <c r="T383" s="202"/>
      <c r="U383" s="228"/>
      <c r="V383" s="246"/>
      <c r="W383" s="146"/>
      <c r="X383" s="567"/>
      <c r="Y383" s="567"/>
      <c r="Z383" s="567"/>
      <c r="AA383" s="567"/>
      <c r="AB383" s="567"/>
      <c r="AC383" s="567"/>
      <c r="AD383" s="388"/>
      <c r="AE383" s="388"/>
      <c r="AF383" s="388"/>
    </row>
    <row r="384" spans="1:32" outlineLevel="2">
      <c r="A384" s="5" t="s">
        <v>1641</v>
      </c>
      <c r="B384" s="7">
        <f>AC262</f>
        <v>0</v>
      </c>
      <c r="C384" s="7">
        <f>AD262</f>
        <v>0</v>
      </c>
      <c r="D384" s="7">
        <f>AE262</f>
        <v>0</v>
      </c>
      <c r="E384" s="4"/>
      <c r="M384" s="4"/>
      <c r="N384" s="4"/>
      <c r="O384" s="368">
        <f t="shared" si="175"/>
        <v>1</v>
      </c>
      <c r="P384" s="202">
        <f t="shared" si="176"/>
        <v>1</v>
      </c>
      <c r="Q384" s="202">
        <f t="shared" si="186"/>
        <v>1</v>
      </c>
      <c r="R384" s="562" t="s">
        <v>1920</v>
      </c>
      <c r="S384" s="202">
        <f>S382+1</f>
        <v>23</v>
      </c>
      <c r="T384" s="202">
        <v>3</v>
      </c>
      <c r="U384" s="228">
        <v>2</v>
      </c>
      <c r="V384" s="246">
        <v>2</v>
      </c>
      <c r="W384" s="146">
        <v>4</v>
      </c>
      <c r="X384" s="567">
        <f t="shared" si="177"/>
        <v>0</v>
      </c>
      <c r="Y384" s="567">
        <f t="shared" si="178"/>
        <v>0</v>
      </c>
      <c r="Z384" s="567">
        <f t="shared" si="179"/>
        <v>0</v>
      </c>
      <c r="AA384" s="567">
        <f>IF($C$394&lt;T384,0,IF($C$394=T384,$S$359/S384,$B$364*$E$364))</f>
        <v>0</v>
      </c>
      <c r="AB384" s="567">
        <f>IF($C$394&lt;2,0,IF($C$394=T384,$S$359/S384,$B$364*$E$364))</f>
        <v>0</v>
      </c>
      <c r="AC384" s="567">
        <f>IF($C$394&lt;3,0,IF($C$394=T384,$S$359/S384,$B$364*$E$364))</f>
        <v>0</v>
      </c>
      <c r="AD384" s="388">
        <f>IFERROR(IF($C$418&lt;T384,0,IF($C$418=T384,$W$359/S384,$B$365*$E$365)),0)</f>
        <v>0</v>
      </c>
      <c r="AE384" s="388">
        <f>IFERROR(IF($C$418&lt;2,0,IF($C$418=T384,$W$359/S384,$C$365*$E$365)),0)</f>
        <v>0</v>
      </c>
      <c r="AF384" s="388">
        <f>IFERROR(IF($C$418&lt;3,0,IF($C$418=T384,$W$359/S384,$D$365*$E$365)),0)</f>
        <v>0</v>
      </c>
    </row>
    <row r="385" spans="1:32" outlineLevel="2">
      <c r="A385" s="18" t="s">
        <v>2564</v>
      </c>
      <c r="B385" s="7">
        <f>AC264</f>
        <v>0</v>
      </c>
      <c r="C385" s="7">
        <f>AD264</f>
        <v>0</v>
      </c>
      <c r="D385" s="7">
        <f>AE264</f>
        <v>0</v>
      </c>
      <c r="E385" s="4"/>
      <c r="M385" s="4"/>
      <c r="N385" s="4"/>
      <c r="O385" s="368"/>
      <c r="P385" s="202"/>
      <c r="Q385" s="202"/>
      <c r="R385" s="562"/>
      <c r="S385" s="202"/>
      <c r="T385" s="202"/>
      <c r="U385" s="228"/>
      <c r="V385" s="246"/>
      <c r="W385" s="146"/>
      <c r="X385" s="567"/>
      <c r="Y385" s="567"/>
      <c r="Z385" s="567"/>
      <c r="AA385" s="567"/>
      <c r="AB385" s="567"/>
      <c r="AC385" s="567"/>
      <c r="AD385" s="388"/>
      <c r="AE385" s="388"/>
      <c r="AF385" s="388"/>
    </row>
    <row r="386" spans="1:32" outlineLevel="2">
      <c r="A386" s="5" t="s">
        <v>1887</v>
      </c>
      <c r="B386" s="7">
        <f>AC299</f>
        <v>0</v>
      </c>
      <c r="C386" s="7">
        <f>AD299</f>
        <v>0</v>
      </c>
      <c r="D386" s="7">
        <f>AE299</f>
        <v>0</v>
      </c>
      <c r="E386" s="4"/>
      <c r="M386" s="4"/>
      <c r="N386" s="4"/>
      <c r="O386" s="368">
        <f t="shared" si="175"/>
        <v>1</v>
      </c>
      <c r="P386" s="202">
        <f t="shared" si="176"/>
        <v>1</v>
      </c>
      <c r="Q386" s="202">
        <f t="shared" si="186"/>
        <v>1</v>
      </c>
      <c r="R386" s="562" t="s">
        <v>1048</v>
      </c>
      <c r="S386" s="202">
        <f>S384+1</f>
        <v>24</v>
      </c>
      <c r="T386" s="202">
        <v>3</v>
      </c>
      <c r="U386" s="228">
        <v>2</v>
      </c>
      <c r="V386" s="246">
        <v>2</v>
      </c>
      <c r="W386" s="146">
        <v>2</v>
      </c>
      <c r="X386" s="567">
        <f t="shared" si="177"/>
        <v>0</v>
      </c>
      <c r="Y386" s="567">
        <f t="shared" si="178"/>
        <v>0</v>
      </c>
      <c r="Z386" s="567">
        <f t="shared" si="179"/>
        <v>0</v>
      </c>
      <c r="AA386" s="567">
        <f>IF($C$394&lt;T386,0,IF($C$394=T386,$S$359/S386,$B$364*$E$364))</f>
        <v>0</v>
      </c>
      <c r="AB386" s="567">
        <f>IF($C$394&lt;2,0,IF($C$394=T386,$S$359/S386,$B$364*$E$364))</f>
        <v>0</v>
      </c>
      <c r="AC386" s="567">
        <f>IF($C$394&lt;3,0,IF($C$394=T386,$S$359/S386,$B$364*$E$364))</f>
        <v>0</v>
      </c>
      <c r="AD386" s="388">
        <f>IFERROR(IF($C$418&lt;T386,0,IF($C$418=T386,$W$359/S386,$B$365*$E$365)),0)</f>
        <v>0</v>
      </c>
      <c r="AE386" s="388">
        <f>IFERROR(IF($C$418&lt;2,0,IF($C$418=T386,$W$359/S386,$C$365*$E$365)),0)</f>
        <v>0</v>
      </c>
      <c r="AF386" s="388">
        <f>IFERROR(IF($C$418&lt;3,0,IF($C$418=T386,$W$359/S386,$D$365*$E$365)),0)</f>
        <v>0</v>
      </c>
    </row>
    <row r="387" spans="1:32" outlineLevel="2">
      <c r="A387" s="5" t="s">
        <v>1007</v>
      </c>
      <c r="B387" s="7">
        <f t="shared" ref="B387:D388" si="189">AC310</f>
        <v>0</v>
      </c>
      <c r="C387" s="7">
        <f t="shared" si="189"/>
        <v>0</v>
      </c>
      <c r="D387" s="7">
        <f t="shared" si="189"/>
        <v>0</v>
      </c>
      <c r="E387" s="4"/>
      <c r="M387" s="4"/>
      <c r="N387" s="4"/>
    </row>
    <row r="388" spans="1:32" outlineLevel="2">
      <c r="A388" s="5" t="s">
        <v>2563</v>
      </c>
      <c r="B388" s="7">
        <f t="shared" si="189"/>
        <v>0</v>
      </c>
      <c r="C388" s="7">
        <f t="shared" si="189"/>
        <v>0</v>
      </c>
      <c r="D388" s="7">
        <f t="shared" si="189"/>
        <v>0</v>
      </c>
      <c r="E388" s="4"/>
      <c r="M388" s="4"/>
      <c r="N388" s="4"/>
    </row>
    <row r="389" spans="1:32" outlineLevel="2">
      <c r="A389" s="5" t="s">
        <v>1014</v>
      </c>
      <c r="B389" s="7">
        <f t="shared" ref="B389:D390" si="190">AC325</f>
        <v>0</v>
      </c>
      <c r="C389" s="7">
        <f t="shared" si="190"/>
        <v>0</v>
      </c>
      <c r="D389" s="7">
        <f t="shared" si="190"/>
        <v>0</v>
      </c>
      <c r="E389" s="4"/>
      <c r="M389" s="4"/>
      <c r="N389" s="4"/>
      <c r="Z389" s="9"/>
    </row>
    <row r="390" spans="1:32" outlineLevel="2">
      <c r="A390" s="5" t="s">
        <v>2562</v>
      </c>
      <c r="B390" s="7">
        <f t="shared" si="190"/>
        <v>0</v>
      </c>
      <c r="C390" s="7">
        <f t="shared" si="190"/>
        <v>0</v>
      </c>
      <c r="D390" s="7">
        <f t="shared" si="190"/>
        <v>0</v>
      </c>
      <c r="E390" s="4"/>
      <c r="M390" s="4"/>
      <c r="N390" s="4"/>
      <c r="Z390" s="9"/>
    </row>
    <row r="391" spans="1:32" outlineLevel="2">
      <c r="A391" s="359" t="s">
        <v>1916</v>
      </c>
      <c r="B391" s="358">
        <f>SUM(B373:B390)</f>
        <v>276.03702824590556</v>
      </c>
      <c r="C391" s="358">
        <f>SUM(C373:C390)</f>
        <v>0</v>
      </c>
      <c r="D391" s="358">
        <f>SUM(D373:D390)</f>
        <v>0</v>
      </c>
      <c r="E391" s="4"/>
      <c r="M391" s="4"/>
      <c r="N391" s="4"/>
      <c r="Z391" s="9"/>
    </row>
    <row r="392" spans="1:32" outlineLevel="2">
      <c r="A392" s="4"/>
      <c r="B392" s="4"/>
      <c r="C392" s="4"/>
      <c r="D392" s="4"/>
      <c r="E392" s="4"/>
      <c r="M392" s="4"/>
      <c r="N392" s="4"/>
      <c r="O392" s="236"/>
      <c r="R392" s="4"/>
      <c r="T392" s="9"/>
      <c r="U392" s="9"/>
      <c r="Z392" s="9"/>
    </row>
    <row r="393" spans="1:32" outlineLevel="2">
      <c r="A393" s="226" t="s">
        <v>1886</v>
      </c>
      <c r="B393" s="548" t="s">
        <v>1929</v>
      </c>
      <c r="C393" s="548" t="s">
        <v>1930</v>
      </c>
      <c r="M393" s="4"/>
      <c r="N393" s="4"/>
      <c r="O393" s="236"/>
      <c r="R393" s="4"/>
      <c r="T393" s="9"/>
      <c r="U393" s="9"/>
      <c r="Z393" s="9"/>
    </row>
    <row r="394" spans="1:32" outlineLevel="2">
      <c r="A394" s="563" t="str">
        <f>VLOOKUP(1,$P$369:$S$386,3,0)</f>
        <v>1 Turno com pausa e intervalo</v>
      </c>
      <c r="B394" s="565">
        <f>VLOOKUP(A394,$R$369:$W$386,2,0)</f>
        <v>9.5749999999999993</v>
      </c>
      <c r="C394" s="564">
        <f>VLOOKUP(A394,$R$369:$W$386,3,0)</f>
        <v>1</v>
      </c>
      <c r="M394" s="4"/>
      <c r="N394" s="4"/>
      <c r="O394" s="236"/>
      <c r="R394" s="4"/>
      <c r="T394" s="9"/>
      <c r="U394" s="9"/>
      <c r="Z394" s="9"/>
    </row>
    <row r="395" spans="1:32" outlineLevel="2">
      <c r="A395" s="5"/>
      <c r="B395" s="226" t="s">
        <v>725</v>
      </c>
      <c r="C395" s="226" t="s">
        <v>726</v>
      </c>
      <c r="D395" s="226" t="s">
        <v>727</v>
      </c>
      <c r="M395" s="4"/>
      <c r="N395" s="4"/>
      <c r="O395" s="236"/>
      <c r="R395" s="4"/>
      <c r="T395" s="9"/>
      <c r="U395" s="9"/>
      <c r="Z395" s="9"/>
    </row>
    <row r="396" spans="1:32" outlineLevel="2">
      <c r="A396" s="5" t="s">
        <v>1001</v>
      </c>
      <c r="B396" s="7">
        <f>AC43</f>
        <v>0</v>
      </c>
      <c r="C396" s="7">
        <f>AD43</f>
        <v>0</v>
      </c>
      <c r="D396" s="7">
        <f>AE43</f>
        <v>0</v>
      </c>
      <c r="M396" s="4"/>
      <c r="N396" s="4"/>
      <c r="O396" s="236"/>
      <c r="R396" s="4"/>
      <c r="T396" s="9"/>
      <c r="U396" s="9"/>
      <c r="Z396" s="9"/>
    </row>
    <row r="397" spans="1:32" outlineLevel="2">
      <c r="A397" s="5" t="s">
        <v>1000</v>
      </c>
      <c r="B397" s="7">
        <f>AC51</f>
        <v>0</v>
      </c>
      <c r="C397" s="7">
        <f>AD51</f>
        <v>0</v>
      </c>
      <c r="D397" s="7">
        <f>AE51</f>
        <v>0</v>
      </c>
      <c r="M397" s="4"/>
      <c r="N397" s="4"/>
      <c r="O397" s="236"/>
      <c r="R397" s="4"/>
      <c r="T397" s="9"/>
      <c r="U397" s="9"/>
      <c r="Z397" s="9"/>
    </row>
    <row r="398" spans="1:32" outlineLevel="2">
      <c r="A398" s="5" t="s">
        <v>1888</v>
      </c>
      <c r="B398" s="7">
        <f>AC59</f>
        <v>0</v>
      </c>
      <c r="C398" s="7">
        <f>AD59</f>
        <v>0</v>
      </c>
      <c r="D398" s="7">
        <f>AE59</f>
        <v>0</v>
      </c>
      <c r="M398" s="4"/>
      <c r="N398" s="4"/>
      <c r="O398" s="236"/>
      <c r="R398" s="4"/>
      <c r="T398" s="9"/>
      <c r="U398" s="9"/>
      <c r="Z398" s="9"/>
    </row>
    <row r="399" spans="1:32" outlineLevel="2">
      <c r="A399" s="5" t="s">
        <v>1437</v>
      </c>
      <c r="B399" s="7">
        <f>AC105</f>
        <v>0</v>
      </c>
      <c r="C399" s="7">
        <f>AD105</f>
        <v>0</v>
      </c>
      <c r="D399" s="7">
        <f>AE105</f>
        <v>0</v>
      </c>
      <c r="M399" s="4"/>
      <c r="N399" s="4"/>
      <c r="O399" s="236"/>
      <c r="R399" s="4"/>
      <c r="T399" s="9"/>
      <c r="U399" s="9"/>
      <c r="Z399" s="9"/>
    </row>
    <row r="400" spans="1:32" outlineLevel="2">
      <c r="A400" s="5" t="s">
        <v>1917</v>
      </c>
      <c r="B400" s="7">
        <f>AC160</f>
        <v>0</v>
      </c>
      <c r="C400" s="7">
        <f>AD160</f>
        <v>0</v>
      </c>
      <c r="D400" s="7">
        <f>AE160</f>
        <v>0</v>
      </c>
      <c r="M400" s="4"/>
      <c r="N400" s="4"/>
      <c r="O400" s="236"/>
      <c r="R400" s="4"/>
      <c r="T400" s="9"/>
      <c r="U400" s="9"/>
      <c r="Z400" s="9"/>
    </row>
    <row r="401" spans="1:26" outlineLevel="2">
      <c r="A401" s="5" t="s">
        <v>976</v>
      </c>
      <c r="B401" s="7">
        <f>AC169</f>
        <v>6.900925706147639</v>
      </c>
      <c r="C401" s="7">
        <f>AD169</f>
        <v>0</v>
      </c>
      <c r="D401" s="7">
        <f>AE169</f>
        <v>0</v>
      </c>
      <c r="I401" s="4"/>
      <c r="J401" s="4"/>
      <c r="K401" s="4"/>
      <c r="L401" s="4"/>
      <c r="M401" s="4"/>
      <c r="N401" s="4"/>
      <c r="O401" s="236"/>
      <c r="R401" s="4"/>
      <c r="T401" s="9"/>
      <c r="U401" s="9"/>
      <c r="Z401" s="9"/>
    </row>
    <row r="402" spans="1:26" outlineLevel="2">
      <c r="A402" s="5" t="s">
        <v>2118</v>
      </c>
      <c r="B402" s="7">
        <f t="shared" ref="B402:D404" si="191">AC172</f>
        <v>0</v>
      </c>
      <c r="C402" s="7">
        <f t="shared" si="191"/>
        <v>0</v>
      </c>
      <c r="D402" s="7">
        <f t="shared" si="191"/>
        <v>0</v>
      </c>
      <c r="I402" s="4"/>
      <c r="J402" s="4"/>
      <c r="K402" s="4"/>
      <c r="L402" s="4"/>
      <c r="M402" s="4"/>
      <c r="N402" s="4"/>
      <c r="O402" s="236"/>
      <c r="R402" s="4"/>
      <c r="T402" s="9"/>
      <c r="U402" s="9"/>
      <c r="Z402" s="9"/>
    </row>
    <row r="403" spans="1:26" outlineLevel="2">
      <c r="A403" s="5" t="s">
        <v>1804</v>
      </c>
      <c r="B403" s="7">
        <f t="shared" si="191"/>
        <v>0</v>
      </c>
      <c r="C403" s="7">
        <f t="shared" si="191"/>
        <v>0</v>
      </c>
      <c r="D403" s="7">
        <f t="shared" si="191"/>
        <v>0</v>
      </c>
      <c r="I403" s="4"/>
      <c r="J403" s="4"/>
      <c r="K403" s="4"/>
      <c r="L403" s="4"/>
      <c r="M403" s="4"/>
      <c r="N403" s="4"/>
      <c r="O403" s="236"/>
      <c r="R403" s="4"/>
      <c r="T403" s="9"/>
      <c r="U403" s="9"/>
      <c r="Z403" s="9"/>
    </row>
    <row r="404" spans="1:26" outlineLevel="2">
      <c r="A404" s="5" t="s">
        <v>1807</v>
      </c>
      <c r="B404" s="7">
        <f t="shared" si="191"/>
        <v>0</v>
      </c>
      <c r="C404" s="7">
        <f t="shared" si="191"/>
        <v>0</v>
      </c>
      <c r="D404" s="7">
        <f t="shared" si="191"/>
        <v>0</v>
      </c>
      <c r="I404" s="4"/>
      <c r="J404" s="4"/>
      <c r="K404" s="4"/>
      <c r="L404" s="4"/>
      <c r="M404" s="4"/>
      <c r="N404" s="4"/>
      <c r="O404" s="236"/>
      <c r="R404" s="4"/>
      <c r="T404" s="9"/>
      <c r="U404" s="9"/>
      <c r="Z404" s="9"/>
    </row>
    <row r="405" spans="1:26" outlineLevel="2">
      <c r="A405" s="5" t="s">
        <v>1589</v>
      </c>
      <c r="B405" s="7">
        <f>AC203</f>
        <v>1.4355566104913366</v>
      </c>
      <c r="C405" s="7">
        <f>AD203</f>
        <v>0</v>
      </c>
      <c r="D405" s="7">
        <f>AE203</f>
        <v>0</v>
      </c>
      <c r="I405" s="4"/>
      <c r="J405" s="4"/>
      <c r="K405" s="4"/>
      <c r="L405" s="4"/>
      <c r="M405" s="4"/>
      <c r="N405" s="4"/>
      <c r="O405" s="236"/>
      <c r="R405" s="4"/>
      <c r="T405" s="9"/>
      <c r="U405" s="9"/>
      <c r="Z405" s="9"/>
    </row>
    <row r="406" spans="1:26" outlineLevel="2">
      <c r="A406" s="5" t="s">
        <v>1701</v>
      </c>
      <c r="B406" s="7">
        <f>AC234</f>
        <v>0</v>
      </c>
      <c r="C406" s="7">
        <f>AD234</f>
        <v>0</v>
      </c>
      <c r="D406" s="7">
        <f>AE234</f>
        <v>0</v>
      </c>
      <c r="H406" s="4"/>
      <c r="I406" s="4"/>
      <c r="J406" s="4"/>
      <c r="K406" s="4"/>
      <c r="L406" s="4"/>
      <c r="M406" s="4"/>
      <c r="N406" s="4"/>
      <c r="O406" s="236"/>
      <c r="R406" s="4"/>
      <c r="T406" s="9"/>
      <c r="U406" s="9"/>
      <c r="Z406" s="9"/>
    </row>
    <row r="407" spans="1:26" outlineLevel="2">
      <c r="A407" s="5" t="s">
        <v>1654</v>
      </c>
      <c r="B407" s="7">
        <f t="shared" ref="B407:D408" si="192">AC248</f>
        <v>0</v>
      </c>
      <c r="C407" s="7">
        <f t="shared" si="192"/>
        <v>0</v>
      </c>
      <c r="D407" s="7">
        <f t="shared" si="192"/>
        <v>0</v>
      </c>
      <c r="H407" s="4"/>
      <c r="I407" s="4"/>
      <c r="J407" s="4"/>
      <c r="K407" s="4"/>
      <c r="L407" s="4"/>
      <c r="M407" s="4"/>
      <c r="N407" s="4"/>
      <c r="O407" s="236"/>
      <c r="R407" s="4"/>
      <c r="T407" s="9"/>
      <c r="U407" s="9"/>
      <c r="Z407" s="9"/>
    </row>
    <row r="408" spans="1:26" outlineLevel="2">
      <c r="A408" s="5" t="s">
        <v>1792</v>
      </c>
      <c r="B408" s="7">
        <f t="shared" si="192"/>
        <v>0</v>
      </c>
      <c r="C408" s="7">
        <f t="shared" si="192"/>
        <v>0</v>
      </c>
      <c r="D408" s="7">
        <f t="shared" si="192"/>
        <v>0</v>
      </c>
      <c r="H408" s="4"/>
      <c r="I408" s="4"/>
      <c r="J408" s="4"/>
      <c r="K408" s="4"/>
      <c r="L408" s="4"/>
      <c r="M408" s="4"/>
      <c r="N408" s="4"/>
      <c r="O408" s="236"/>
      <c r="R408" s="4"/>
      <c r="T408" s="9"/>
      <c r="U408" s="9"/>
      <c r="Z408" s="9"/>
    </row>
    <row r="409" spans="1:26" outlineLevel="2">
      <c r="A409" s="5" t="s">
        <v>1642</v>
      </c>
      <c r="B409" s="7">
        <f t="shared" ref="B409:D409" si="193">AC265</f>
        <v>24.840913655535072</v>
      </c>
      <c r="C409" s="7">
        <f t="shared" si="193"/>
        <v>0</v>
      </c>
      <c r="D409" s="7">
        <f t="shared" si="193"/>
        <v>0</v>
      </c>
      <c r="H409" s="4"/>
      <c r="I409" s="4"/>
      <c r="J409" s="4"/>
      <c r="K409" s="4"/>
      <c r="L409" s="4"/>
      <c r="M409" s="4"/>
      <c r="N409" s="4"/>
      <c r="O409" s="236"/>
      <c r="R409" s="4"/>
      <c r="T409" s="9"/>
      <c r="U409" s="9"/>
      <c r="Z409" s="9"/>
    </row>
    <row r="410" spans="1:26" outlineLevel="2">
      <c r="A410" s="5" t="s">
        <v>1747</v>
      </c>
      <c r="B410" s="7">
        <f>AC271</f>
        <v>0</v>
      </c>
      <c r="C410" s="7">
        <f>AD271</f>
        <v>0</v>
      </c>
      <c r="D410" s="7">
        <f>AE271</f>
        <v>0</v>
      </c>
      <c r="H410" s="4"/>
      <c r="I410" s="4"/>
      <c r="J410" s="4"/>
      <c r="K410" s="4"/>
      <c r="L410" s="4"/>
      <c r="M410" s="4"/>
      <c r="N410" s="4"/>
      <c r="O410" s="236"/>
      <c r="R410" s="4"/>
      <c r="T410" s="9"/>
      <c r="U410" s="9"/>
      <c r="Z410" s="9"/>
    </row>
    <row r="411" spans="1:26" outlineLevel="2">
      <c r="A411" s="5" t="s">
        <v>1798</v>
      </c>
      <c r="B411" s="7">
        <f>AC268</f>
        <v>0</v>
      </c>
      <c r="C411" s="7">
        <f>AD268</f>
        <v>0</v>
      </c>
      <c r="D411" s="7">
        <f>AE268</f>
        <v>0</v>
      </c>
      <c r="H411" s="4"/>
      <c r="I411" s="4"/>
      <c r="J411" s="4"/>
      <c r="K411" s="4"/>
      <c r="L411" s="4"/>
      <c r="M411" s="4"/>
      <c r="N411" s="4"/>
      <c r="O411" s="236"/>
      <c r="R411" s="4"/>
      <c r="T411" s="9"/>
      <c r="U411" s="9"/>
      <c r="Z411" s="9"/>
    </row>
    <row r="412" spans="1:26" outlineLevel="2">
      <c r="A412" s="5" t="s">
        <v>1768</v>
      </c>
      <c r="B412" s="7">
        <f>AC300</f>
        <v>0</v>
      </c>
      <c r="C412" s="7">
        <f>AD300</f>
        <v>0</v>
      </c>
      <c r="D412" s="7">
        <f>AE300</f>
        <v>0</v>
      </c>
      <c r="H412" s="4"/>
      <c r="I412" s="4"/>
      <c r="J412" s="4"/>
      <c r="K412" s="4"/>
      <c r="L412" s="4"/>
      <c r="M412" s="4"/>
      <c r="N412" s="4"/>
      <c r="O412" s="236"/>
      <c r="R412" s="4"/>
      <c r="T412" s="9"/>
      <c r="U412" s="9"/>
      <c r="Z412" s="9"/>
    </row>
    <row r="413" spans="1:26" outlineLevel="2">
      <c r="A413" s="5" t="s">
        <v>1008</v>
      </c>
      <c r="B413" s="7">
        <f>AC312</f>
        <v>0</v>
      </c>
      <c r="C413" s="7">
        <f>AD312</f>
        <v>0</v>
      </c>
      <c r="D413" s="7">
        <f>AE312</f>
        <v>0</v>
      </c>
      <c r="H413" s="4"/>
      <c r="I413" s="4"/>
      <c r="J413" s="4"/>
      <c r="K413" s="4"/>
      <c r="L413" s="4"/>
      <c r="M413" s="4"/>
      <c r="N413" s="4"/>
      <c r="O413" s="236"/>
      <c r="R413" s="4"/>
      <c r="T413" s="9"/>
      <c r="U413" s="9"/>
      <c r="Z413" s="9"/>
    </row>
    <row r="414" spans="1:26" outlineLevel="2">
      <c r="A414" s="5" t="s">
        <v>1015</v>
      </c>
      <c r="B414" s="7">
        <f>AC327</f>
        <v>5.1953477332067424</v>
      </c>
      <c r="C414" s="7">
        <f>AD327</f>
        <v>0</v>
      </c>
      <c r="D414" s="7">
        <f>AE327</f>
        <v>0</v>
      </c>
      <c r="H414" s="4"/>
      <c r="I414" s="4"/>
      <c r="J414" s="4"/>
      <c r="K414" s="4"/>
      <c r="L414" s="4"/>
      <c r="M414" s="4"/>
      <c r="N414" s="4"/>
      <c r="O414" s="236"/>
      <c r="R414" s="4"/>
      <c r="T414" s="9"/>
      <c r="U414" s="9"/>
      <c r="Z414" s="9"/>
    </row>
    <row r="415" spans="1:26" outlineLevel="2">
      <c r="A415" s="359" t="s">
        <v>1916</v>
      </c>
      <c r="B415" s="358">
        <f>SUM(B396:B414)</f>
        <v>38.372743705380792</v>
      </c>
      <c r="C415" s="358">
        <f>SUM(C396:C414)</f>
        <v>0</v>
      </c>
      <c r="D415" s="358">
        <f>SUM(D396:D414)</f>
        <v>0</v>
      </c>
      <c r="H415" s="4"/>
      <c r="I415" s="4"/>
      <c r="J415" s="4"/>
      <c r="K415" s="4"/>
      <c r="L415" s="4"/>
      <c r="M415" s="4"/>
      <c r="N415" s="4"/>
      <c r="O415" s="236"/>
      <c r="R415" s="4"/>
      <c r="T415" s="9"/>
      <c r="U415" s="9"/>
      <c r="Z415" s="9"/>
    </row>
    <row r="416" spans="1:26" outlineLevel="2">
      <c r="A416" s="359"/>
      <c r="B416" s="545"/>
      <c r="C416" s="545"/>
      <c r="D416" s="545"/>
      <c r="H416" s="4"/>
      <c r="I416" s="4"/>
      <c r="J416" s="4"/>
      <c r="K416" s="4"/>
      <c r="L416" s="4"/>
      <c r="M416" s="4"/>
      <c r="N416" s="4"/>
      <c r="O416" s="236"/>
      <c r="R416" s="4"/>
      <c r="T416" s="9"/>
      <c r="U416" s="9"/>
      <c r="Z416" s="9"/>
    </row>
    <row r="417" spans="1:28" outlineLevel="2">
      <c r="A417" s="226" t="s">
        <v>1952</v>
      </c>
      <c r="B417" s="566" t="s">
        <v>1929</v>
      </c>
      <c r="C417" s="566" t="s">
        <v>1930</v>
      </c>
      <c r="H417" s="4"/>
      <c r="I417" s="4"/>
      <c r="J417" s="4"/>
      <c r="K417" s="4"/>
      <c r="L417" s="4"/>
      <c r="M417" s="4"/>
      <c r="N417" s="4"/>
      <c r="O417" s="236"/>
      <c r="R417" s="4"/>
      <c r="T417" s="9"/>
      <c r="U417" s="9"/>
      <c r="Z417" s="9"/>
    </row>
    <row r="418" spans="1:28" outlineLevel="2">
      <c r="A418" s="563" t="str">
        <f>VLOOKUP(1,$Q$369:$S$386,2,0)</f>
        <v>1 Turno com pausa e intervalo</v>
      </c>
      <c r="B418" s="565">
        <f>VLOOKUP(A418,$R$369:$W$386,2,0)</f>
        <v>9.5749999999999993</v>
      </c>
      <c r="C418" s="564">
        <f>VLOOKUP(A418,$R$369:$W$386,3,0)</f>
        <v>1</v>
      </c>
      <c r="H418" s="4"/>
      <c r="I418" s="4"/>
      <c r="J418" s="4"/>
      <c r="K418" s="4"/>
      <c r="L418" s="4"/>
      <c r="M418" s="4"/>
      <c r="N418" s="4"/>
      <c r="O418" s="236"/>
      <c r="R418" s="4"/>
      <c r="T418" s="9"/>
      <c r="U418" s="9"/>
      <c r="Z418" s="9"/>
    </row>
    <row r="419" spans="1:28" outlineLevel="2">
      <c r="A419" s="5"/>
      <c r="B419" s="226" t="s">
        <v>725</v>
      </c>
      <c r="C419" s="226" t="s">
        <v>726</v>
      </c>
      <c r="D419" s="226" t="s">
        <v>727</v>
      </c>
      <c r="H419" s="4"/>
      <c r="I419" s="4"/>
      <c r="J419" s="4"/>
      <c r="K419" s="4"/>
      <c r="L419" s="4"/>
      <c r="M419" s="4"/>
      <c r="N419" s="4"/>
      <c r="O419" s="236"/>
      <c r="R419" s="4"/>
      <c r="T419" s="9"/>
      <c r="U419" s="9"/>
      <c r="Z419" s="9"/>
    </row>
    <row r="420" spans="1:28" outlineLevel="2">
      <c r="A420" s="5" t="s">
        <v>1873</v>
      </c>
      <c r="B420" s="7">
        <f>$AC$170</f>
        <v>0</v>
      </c>
      <c r="C420" s="7">
        <f>AD171</f>
        <v>0</v>
      </c>
      <c r="D420" s="7">
        <f>AE171</f>
        <v>0</v>
      </c>
      <c r="H420" s="4"/>
      <c r="I420" s="4"/>
      <c r="J420" s="4"/>
      <c r="K420" s="4"/>
      <c r="L420" s="4"/>
      <c r="M420" s="4"/>
      <c r="N420" s="4"/>
      <c r="O420" s="236"/>
      <c r="R420" s="4"/>
      <c r="T420" s="9"/>
      <c r="U420" s="9"/>
      <c r="Z420" s="9"/>
    </row>
    <row r="421" spans="1:28" outlineLevel="2">
      <c r="A421" s="5" t="s">
        <v>1874</v>
      </c>
      <c r="B421" s="7">
        <f>AC204</f>
        <v>0</v>
      </c>
      <c r="C421" s="7">
        <f>AD204</f>
        <v>0</v>
      </c>
      <c r="D421" s="7">
        <f>AE204</f>
        <v>0</v>
      </c>
      <c r="H421" s="4"/>
      <c r="I421" s="4"/>
      <c r="J421" s="4"/>
      <c r="K421" s="4"/>
      <c r="L421" s="4"/>
      <c r="M421" s="4"/>
      <c r="N421" s="4"/>
      <c r="O421" s="236"/>
      <c r="R421" s="4"/>
      <c r="T421" s="9"/>
      <c r="U421" s="9"/>
      <c r="Z421" s="9"/>
    </row>
    <row r="422" spans="1:28" outlineLevel="2">
      <c r="A422" s="5" t="s">
        <v>1875</v>
      </c>
      <c r="B422" s="7">
        <f>AC235</f>
        <v>0</v>
      </c>
      <c r="C422" s="7">
        <f>AD235</f>
        <v>0</v>
      </c>
      <c r="D422" s="7">
        <f>AE235</f>
        <v>0</v>
      </c>
      <c r="H422" s="4"/>
      <c r="I422" s="4"/>
      <c r="J422" s="4"/>
      <c r="K422" s="4"/>
      <c r="L422" s="4"/>
      <c r="M422" s="4"/>
      <c r="N422" s="4"/>
      <c r="O422" s="236"/>
      <c r="R422" s="4"/>
      <c r="T422" s="9"/>
      <c r="U422" s="9"/>
      <c r="Z422" s="9"/>
    </row>
    <row r="423" spans="1:28" outlineLevel="2">
      <c r="A423" s="5" t="s">
        <v>1877</v>
      </c>
      <c r="B423" s="7">
        <f>AC250</f>
        <v>0</v>
      </c>
      <c r="C423" s="7">
        <f>AD250</f>
        <v>0</v>
      </c>
      <c r="D423" s="7">
        <f>AE250</f>
        <v>0</v>
      </c>
      <c r="H423" s="4"/>
      <c r="I423" s="4"/>
      <c r="J423" s="4"/>
      <c r="K423" s="4"/>
      <c r="L423" s="4"/>
      <c r="M423" s="4"/>
      <c r="N423" s="4"/>
      <c r="O423" s="236"/>
      <c r="R423" s="4"/>
      <c r="T423" s="9"/>
      <c r="U423" s="9"/>
      <c r="Z423" s="9"/>
    </row>
    <row r="424" spans="1:28" outlineLevel="2">
      <c r="A424" s="5" t="s">
        <v>1878</v>
      </c>
      <c r="B424" s="7">
        <f>AC267</f>
        <v>0</v>
      </c>
      <c r="C424" s="7">
        <f>AD267</f>
        <v>0</v>
      </c>
      <c r="D424" s="7">
        <f>AE267</f>
        <v>0</v>
      </c>
      <c r="H424" s="4"/>
      <c r="I424" s="4"/>
      <c r="J424" s="4"/>
      <c r="K424" s="4"/>
      <c r="L424" s="4"/>
      <c r="M424" s="4"/>
      <c r="N424" s="4"/>
      <c r="O424" s="236"/>
      <c r="R424" s="4"/>
      <c r="T424" s="9"/>
      <c r="U424" s="9"/>
      <c r="Z424" s="9"/>
    </row>
    <row r="425" spans="1:28" outlineLevel="2">
      <c r="A425" s="5" t="s">
        <v>1879</v>
      </c>
      <c r="B425" s="7">
        <f>AC301</f>
        <v>0</v>
      </c>
      <c r="C425" s="7">
        <f>AD301</f>
        <v>0</v>
      </c>
      <c r="D425" s="7">
        <f>AE301</f>
        <v>0</v>
      </c>
      <c r="H425" s="4"/>
      <c r="I425" s="4"/>
      <c r="J425" s="4"/>
      <c r="K425" s="4"/>
      <c r="L425" s="4"/>
      <c r="M425" s="4"/>
      <c r="N425" s="4"/>
      <c r="O425" s="236"/>
      <c r="R425" s="4"/>
      <c r="T425" s="9"/>
      <c r="U425" s="9"/>
      <c r="Z425" s="9"/>
    </row>
    <row r="426" spans="1:28" outlineLevel="2">
      <c r="A426" s="5" t="s">
        <v>1881</v>
      </c>
      <c r="B426" s="7">
        <f>AC313</f>
        <v>0</v>
      </c>
      <c r="C426" s="7">
        <f>AD313</f>
        <v>0</v>
      </c>
      <c r="D426" s="7">
        <f>AE313</f>
        <v>0</v>
      </c>
      <c r="H426" s="4"/>
      <c r="I426" s="4"/>
      <c r="J426" s="4"/>
      <c r="K426" s="4"/>
      <c r="L426" s="4"/>
      <c r="M426" s="4"/>
      <c r="N426" s="4"/>
      <c r="O426" s="236"/>
      <c r="R426" s="4"/>
      <c r="T426" s="9"/>
      <c r="U426" s="9"/>
      <c r="Z426" s="9"/>
    </row>
    <row r="427" spans="1:28" outlineLevel="2">
      <c r="A427" s="5" t="s">
        <v>1882</v>
      </c>
      <c r="B427" s="7">
        <f>AC328</f>
        <v>0</v>
      </c>
      <c r="C427" s="7">
        <f>AD328</f>
        <v>0</v>
      </c>
      <c r="D427" s="7">
        <f>AE328</f>
        <v>0</v>
      </c>
      <c r="H427" s="4"/>
      <c r="I427" s="4"/>
      <c r="J427" s="4"/>
      <c r="K427" s="4"/>
      <c r="L427" s="4"/>
      <c r="M427" s="4"/>
      <c r="N427" s="4"/>
      <c r="O427" s="236"/>
      <c r="R427" s="4"/>
      <c r="T427" s="9"/>
      <c r="U427" s="9"/>
      <c r="Z427" s="9"/>
    </row>
    <row r="428" spans="1:28" outlineLevel="2">
      <c r="A428" s="359" t="s">
        <v>1916</v>
      </c>
      <c r="B428" s="358">
        <f>SUM(B420:B427)</f>
        <v>0</v>
      </c>
      <c r="C428" s="358">
        <f>SUM(C420:C427)</f>
        <v>0</v>
      </c>
      <c r="D428" s="358">
        <f>SUM(D420:D427)</f>
        <v>0</v>
      </c>
      <c r="H428" s="4"/>
      <c r="I428" s="4"/>
      <c r="J428" s="4"/>
      <c r="K428" s="4"/>
      <c r="L428" s="4"/>
      <c r="M428" s="4"/>
      <c r="N428" s="4"/>
      <c r="O428" s="236"/>
      <c r="R428" s="4"/>
      <c r="T428" s="9"/>
      <c r="U428" s="9"/>
      <c r="Z428" s="9"/>
    </row>
    <row r="429" spans="1:28" outlineLevel="2">
      <c r="A429" s="359"/>
      <c r="B429" s="545"/>
      <c r="C429" s="545"/>
      <c r="D429" s="545"/>
      <c r="H429" s="4"/>
      <c r="I429" s="4"/>
      <c r="J429" s="4"/>
      <c r="K429" s="4"/>
      <c r="L429" s="4"/>
      <c r="M429" s="4"/>
      <c r="N429" s="4"/>
      <c r="O429" s="236"/>
      <c r="R429" s="4"/>
      <c r="T429" s="9"/>
      <c r="U429" s="9"/>
      <c r="Z429" s="9"/>
    </row>
    <row r="430" spans="1:28" outlineLevel="1">
      <c r="A430" s="11" t="s">
        <v>260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29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29"/>
    </row>
    <row r="431" spans="1:28" outlineLevel="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O431" s="29" t="s">
        <v>1049</v>
      </c>
      <c r="P431" s="29"/>
      <c r="Q431" s="29"/>
      <c r="R431" s="29"/>
      <c r="Y431" s="29" t="s">
        <v>1169</v>
      </c>
      <c r="Z431" s="29"/>
      <c r="AA431" s="29" t="s">
        <v>1965</v>
      </c>
      <c r="AB431" s="29"/>
    </row>
    <row r="432" spans="1:28" outlineLevel="2">
      <c r="A432" s="4"/>
      <c r="B432" s="226" t="s">
        <v>725</v>
      </c>
      <c r="C432" s="226" t="s">
        <v>726</v>
      </c>
      <c r="D432" s="226" t="s">
        <v>727</v>
      </c>
      <c r="E432" s="574" t="s">
        <v>2294</v>
      </c>
      <c r="F432" s="4"/>
      <c r="G432" s="4"/>
      <c r="H432" s="4"/>
      <c r="I432" s="4"/>
      <c r="J432" s="4"/>
      <c r="K432" s="4"/>
      <c r="L432" s="4"/>
      <c r="M432" s="4"/>
      <c r="O432" s="236" t="s">
        <v>1961</v>
      </c>
      <c r="P432" s="4" t="s">
        <v>1041</v>
      </c>
      <c r="R432" s="4"/>
      <c r="Y432" s="31" t="s">
        <v>1026</v>
      </c>
      <c r="AA432" s="31" t="s">
        <v>302</v>
      </c>
      <c r="AB432" s="31"/>
    </row>
    <row r="433" spans="1:28" outlineLevel="2">
      <c r="A433" s="5" t="s">
        <v>2188</v>
      </c>
      <c r="B433" s="114">
        <v>0</v>
      </c>
      <c r="C433" s="114">
        <f>IF($C$441&gt;1,B433,0)</f>
        <v>0</v>
      </c>
      <c r="D433" s="114">
        <f>IF($C$441&gt;2,C433,0)</f>
        <v>0</v>
      </c>
      <c r="E433" s="635">
        <v>1.18</v>
      </c>
      <c r="F433" s="4"/>
      <c r="G433" s="4"/>
      <c r="H433" s="4"/>
      <c r="I433" s="4"/>
      <c r="J433" s="4"/>
      <c r="K433" s="4"/>
      <c r="L433" s="4"/>
      <c r="M433" s="4"/>
      <c r="O433" s="557">
        <f>RESUMO!V5</f>
        <v>0</v>
      </c>
      <c r="P433" s="247">
        <f>(O433/2400)*(200%-E433)</f>
        <v>0</v>
      </c>
      <c r="Q433" s="562"/>
      <c r="R433" s="4"/>
      <c r="Y433" s="31" t="s">
        <v>336</v>
      </c>
      <c r="AA433" s="31" t="s">
        <v>277</v>
      </c>
      <c r="AB433" s="31"/>
    </row>
    <row r="434" spans="1:28" outlineLevel="2">
      <c r="A434" s="5" t="s">
        <v>2187</v>
      </c>
      <c r="B434" s="114">
        <v>0</v>
      </c>
      <c r="C434" s="114">
        <f>IF($C$441&gt;1,B434,0)</f>
        <v>0</v>
      </c>
      <c r="D434" s="114">
        <f>IF(C441&gt;2,C434,0)</f>
        <v>0</v>
      </c>
      <c r="E434" s="635">
        <v>1</v>
      </c>
      <c r="F434" s="4"/>
      <c r="G434" s="4"/>
      <c r="H434" s="4"/>
      <c r="I434" s="4"/>
      <c r="J434" s="4"/>
      <c r="K434" s="4"/>
      <c r="L434" s="4"/>
      <c r="M434" s="4"/>
      <c r="O434" s="378">
        <f>RESUMO!W5</f>
        <v>0</v>
      </c>
      <c r="Z434" s="9"/>
    </row>
    <row r="435" spans="1:28" outlineLevel="2">
      <c r="A435" s="5" t="s">
        <v>2419</v>
      </c>
      <c r="B435" s="114" t="s">
        <v>1026</v>
      </c>
      <c r="C435" s="114" t="s">
        <v>1026</v>
      </c>
      <c r="D435" s="114" t="s">
        <v>1026</v>
      </c>
      <c r="E435" s="4"/>
      <c r="F435" s="4"/>
      <c r="G435" s="4"/>
      <c r="H435" s="4"/>
      <c r="I435" s="4"/>
      <c r="J435" s="4"/>
      <c r="K435" s="4"/>
      <c r="L435" s="4"/>
      <c r="M435" s="4"/>
      <c r="Z435" s="9"/>
    </row>
    <row r="436" spans="1:28" outlineLevel="2">
      <c r="A436" s="5" t="s">
        <v>2420</v>
      </c>
      <c r="B436" s="114" t="s">
        <v>1026</v>
      </c>
      <c r="C436" s="114" t="s">
        <v>1026</v>
      </c>
      <c r="D436" s="114" t="s">
        <v>1026</v>
      </c>
      <c r="E436" s="4"/>
      <c r="F436" s="4"/>
      <c r="G436" s="4"/>
      <c r="H436" s="4"/>
      <c r="I436" s="4"/>
      <c r="J436" s="4"/>
      <c r="K436" s="4"/>
      <c r="L436" s="4"/>
      <c r="M436" s="4"/>
      <c r="Z436" s="9"/>
    </row>
    <row r="437" spans="1:28" outlineLevel="2">
      <c r="A437" s="5" t="s">
        <v>2421</v>
      </c>
      <c r="B437" s="114" t="s">
        <v>1026</v>
      </c>
      <c r="C437" s="114" t="s">
        <v>336</v>
      </c>
      <c r="D437" s="114" t="s">
        <v>336</v>
      </c>
      <c r="E437" s="4"/>
      <c r="F437" s="4"/>
      <c r="G437" s="4"/>
      <c r="H437" s="4"/>
      <c r="I437" s="4"/>
      <c r="J437" s="4"/>
      <c r="K437" s="4"/>
      <c r="L437" s="4"/>
      <c r="M437" s="4"/>
      <c r="Z437" s="9"/>
    </row>
    <row r="438" spans="1:28" outlineLevel="2">
      <c r="A438" s="5" t="s">
        <v>1964</v>
      </c>
      <c r="B438" s="114" t="s">
        <v>302</v>
      </c>
      <c r="C438" s="114" t="s">
        <v>302</v>
      </c>
      <c r="D438" s="114" t="s">
        <v>302</v>
      </c>
      <c r="E438" s="4"/>
      <c r="F438" s="4"/>
      <c r="G438" s="4"/>
      <c r="H438" s="4"/>
      <c r="I438" s="4"/>
      <c r="J438" s="4"/>
      <c r="K438" s="4"/>
      <c r="L438" s="4"/>
      <c r="M438" s="4"/>
      <c r="Z438" s="9"/>
    </row>
    <row r="439" spans="1:28" outlineLevel="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Z439" s="9"/>
    </row>
    <row r="440" spans="1:28" outlineLevel="2">
      <c r="A440" s="226" t="s">
        <v>1958</v>
      </c>
      <c r="B440" s="574" t="s">
        <v>1929</v>
      </c>
      <c r="C440" s="574" t="s">
        <v>1930</v>
      </c>
      <c r="E440" s="4"/>
      <c r="F440" s="4"/>
      <c r="G440" s="4"/>
      <c r="H440" s="4"/>
      <c r="I440" s="4"/>
      <c r="J440" s="4"/>
      <c r="K440" s="4"/>
      <c r="L440" s="4"/>
      <c r="M440" s="4"/>
      <c r="S440" s="559"/>
      <c r="T440" s="561" t="s">
        <v>1925</v>
      </c>
      <c r="U440" s="560"/>
      <c r="W440" s="559"/>
      <c r="X440" s="561" t="s">
        <v>2308</v>
      </c>
      <c r="Y440" s="560"/>
    </row>
    <row r="441" spans="1:28" outlineLevel="2">
      <c r="A441" s="563" t="str">
        <f>VLOOKUP(1,$O$442:$P$456,2,0)</f>
        <v>1 Turno com pausa e intervalo</v>
      </c>
      <c r="B441" s="565">
        <f>VLOOKUP(A441,$P$442:$Q$456,2,0)</f>
        <v>9.5749999999999993</v>
      </c>
      <c r="C441" s="564">
        <f>VLOOKUP(A441,$P$442:$R$456,3,0)</f>
        <v>1</v>
      </c>
      <c r="E441" s="4"/>
      <c r="F441" s="4"/>
      <c r="G441" s="4"/>
      <c r="H441" s="4"/>
      <c r="I441" s="4"/>
      <c r="J441" s="4"/>
      <c r="K441" s="4"/>
      <c r="L441" s="4"/>
      <c r="M441" s="4"/>
      <c r="O441" s="368" t="s">
        <v>260</v>
      </c>
      <c r="Q441" s="228" t="s">
        <v>1042</v>
      </c>
      <c r="R441" s="228" t="s">
        <v>1043</v>
      </c>
      <c r="S441" s="228" t="s">
        <v>1926</v>
      </c>
      <c r="T441" s="228" t="s">
        <v>1927</v>
      </c>
      <c r="U441" s="228" t="s">
        <v>1928</v>
      </c>
      <c r="W441" s="228" t="s">
        <v>1926</v>
      </c>
      <c r="X441" s="228" t="s">
        <v>1927</v>
      </c>
      <c r="Y441" s="228" t="s">
        <v>1928</v>
      </c>
      <c r="Z441" s="31">
        <f>VLOOKUP($A$441,$P$442:$Y$456,8,0)</f>
        <v>0</v>
      </c>
      <c r="AA441" t="e">
        <f>IF(Z441=1,'BD VOLUME'!$AK$7,$O$433/$P$433)</f>
        <v>#DIV/0!</v>
      </c>
      <c r="AB441" s="643" t="s">
        <v>1345</v>
      </c>
    </row>
    <row r="442" spans="1:28" outlineLevel="2">
      <c r="A442" s="5"/>
      <c r="B442" s="226" t="s">
        <v>725</v>
      </c>
      <c r="C442" s="226" t="s">
        <v>726</v>
      </c>
      <c r="D442" s="226" t="s">
        <v>727</v>
      </c>
      <c r="E442" s="4"/>
      <c r="F442" s="4"/>
      <c r="G442" s="4"/>
      <c r="H442" s="4"/>
      <c r="I442" s="4"/>
      <c r="J442" s="4"/>
      <c r="K442" s="4"/>
      <c r="L442" s="4"/>
      <c r="M442" s="4"/>
      <c r="O442" s="368">
        <f>IFERROR(IF($P$433&lt;=Q442,1,0),0)</f>
        <v>1</v>
      </c>
      <c r="P442" s="562" t="s">
        <v>1924</v>
      </c>
      <c r="Q442" s="582">
        <f>$I$15</f>
        <v>9.5749999999999993</v>
      </c>
      <c r="R442" s="202">
        <v>1</v>
      </c>
      <c r="S442" s="228">
        <v>0</v>
      </c>
      <c r="T442" s="246">
        <v>0</v>
      </c>
      <c r="U442" s="146">
        <v>0</v>
      </c>
      <c r="V442" s="641"/>
      <c r="Z442" s="31">
        <f>VLOOKUP($A$441,$P$442:$Y$456,9,0)</f>
        <v>0</v>
      </c>
      <c r="AA442">
        <f>IF(C441&lt;2,0,IF(Z442=1,'BD VOLUME'!$AK$7,$O$433/$P$433))</f>
        <v>0</v>
      </c>
      <c r="AB442" s="643" t="s">
        <v>1346</v>
      </c>
    </row>
    <row r="443" spans="1:28" outlineLevel="2">
      <c r="A443" s="5" t="s">
        <v>1523</v>
      </c>
      <c r="B443" s="7">
        <f>IFERROR(RESUMO!W7/$B$441,0)</f>
        <v>0</v>
      </c>
      <c r="C443" s="7">
        <f>IFERROR(IF($C$441&gt;1,B443,0),)</f>
        <v>0</v>
      </c>
      <c r="D443" s="7">
        <f>IFERROR(IF($C$441&gt;2,C443,0),)</f>
        <v>0</v>
      </c>
      <c r="E443" s="4"/>
      <c r="F443" s="4"/>
      <c r="G443" s="4"/>
      <c r="H443" s="4"/>
      <c r="I443" s="4"/>
      <c r="J443" s="4"/>
      <c r="K443" s="4"/>
      <c r="L443" s="4"/>
      <c r="M443" s="4"/>
      <c r="O443" s="368">
        <f>IFERROR(IF($P$433&lt;=Q443,1,0),0)</f>
        <v>1</v>
      </c>
      <c r="P443" s="562" t="s">
        <v>1923</v>
      </c>
      <c r="Q443" s="202">
        <f>$I$15+1</f>
        <v>10.574999999999999</v>
      </c>
      <c r="R443" s="202">
        <v>1</v>
      </c>
      <c r="S443" s="228">
        <v>4</v>
      </c>
      <c r="T443" s="246">
        <v>0</v>
      </c>
      <c r="U443" s="146">
        <v>0</v>
      </c>
      <c r="V443" s="642"/>
      <c r="W443" s="642">
        <v>1</v>
      </c>
      <c r="Z443" s="31">
        <f>VLOOKUP($A$441,$P$442:$Y$456,10,0)</f>
        <v>0</v>
      </c>
      <c r="AA443">
        <f>IF(C441&lt;3,0,IF(Z443=1,'BD VOLUME'!$AK$7,$O$433/$P$433))*1000</f>
        <v>0</v>
      </c>
      <c r="AB443" s="643" t="s">
        <v>1347</v>
      </c>
    </row>
    <row r="444" spans="1:28" outlineLevel="2">
      <c r="A444" s="5" t="s">
        <v>1805</v>
      </c>
      <c r="B444" s="7">
        <f>IFERROR(RESUMO!W8/$B$441,0)</f>
        <v>0</v>
      </c>
      <c r="C444" s="7">
        <f t="shared" ref="C444:C456" si="194">IFERROR(IF($C$441&gt;1,B444,0),)</f>
        <v>0</v>
      </c>
      <c r="D444" s="7">
        <f t="shared" ref="D444:D456" si="195">IFERROR(IF($C$441&gt;2,C444,0),)</f>
        <v>0</v>
      </c>
      <c r="E444" s="4"/>
      <c r="F444" s="4"/>
      <c r="G444" s="4"/>
      <c r="H444" s="4"/>
      <c r="I444" s="4"/>
      <c r="J444" s="4"/>
      <c r="K444" s="4"/>
      <c r="L444" s="4"/>
      <c r="M444" s="4"/>
      <c r="O444" s="368">
        <f>IFERROR(IF($P$433&lt;=Q444,1,0),0)</f>
        <v>1</v>
      </c>
      <c r="P444" s="562" t="s">
        <v>1922</v>
      </c>
      <c r="Q444" s="202">
        <f>$I$15+2</f>
        <v>11.574999999999999</v>
      </c>
      <c r="R444" s="202">
        <v>1</v>
      </c>
      <c r="S444" s="228">
        <v>2</v>
      </c>
      <c r="T444" s="246">
        <v>0</v>
      </c>
      <c r="U444" s="146">
        <v>0</v>
      </c>
      <c r="V444" s="642"/>
      <c r="W444" s="642">
        <v>1</v>
      </c>
    </row>
    <row r="445" spans="1:28" outlineLevel="2">
      <c r="A445" s="5" t="s">
        <v>1809</v>
      </c>
      <c r="B445" s="7">
        <f>IFERROR(RESUMO!W9/$B$441,0)</f>
        <v>0</v>
      </c>
      <c r="C445" s="7">
        <f t="shared" si="194"/>
        <v>0</v>
      </c>
      <c r="D445" s="7">
        <f t="shared" si="195"/>
        <v>0</v>
      </c>
      <c r="E445" s="4"/>
      <c r="F445" s="4"/>
      <c r="G445" s="4"/>
      <c r="H445" s="4"/>
      <c r="I445" s="4"/>
      <c r="J445" s="4"/>
      <c r="K445" s="4"/>
      <c r="L445" s="4"/>
      <c r="M445" s="4"/>
      <c r="O445" s="368">
        <f>IFERROR(IF($P$433&lt;=Q445,1,0),0)</f>
        <v>1</v>
      </c>
      <c r="P445" s="562" t="s">
        <v>1036</v>
      </c>
      <c r="Q445" s="202">
        <f>$I$15+$J$15</f>
        <v>9.5749999999999993</v>
      </c>
      <c r="R445" s="202">
        <v>2</v>
      </c>
      <c r="S445" s="228">
        <v>0</v>
      </c>
      <c r="T445" s="246">
        <v>0</v>
      </c>
      <c r="U445" s="146">
        <v>0</v>
      </c>
    </row>
    <row r="446" spans="1:28" outlineLevel="2">
      <c r="A446" s="5" t="s">
        <v>936</v>
      </c>
      <c r="B446" s="7">
        <f>IFERROR(RESUMO!W10/$B$441,0)</f>
        <v>0</v>
      </c>
      <c r="C446" s="7">
        <f t="shared" si="194"/>
        <v>0</v>
      </c>
      <c r="D446" s="7">
        <f t="shared" si="195"/>
        <v>0</v>
      </c>
      <c r="E446" s="4"/>
      <c r="F446" s="4"/>
      <c r="G446" s="4"/>
      <c r="H446" s="4"/>
      <c r="I446" s="4"/>
      <c r="J446" s="4"/>
      <c r="K446" s="4"/>
      <c r="L446" s="4"/>
      <c r="M446" s="4"/>
      <c r="O446" s="368">
        <f t="shared" ref="O446:O456" si="196">IFERROR(IF($P$433&lt;=Q446,1,0),0)</f>
        <v>1</v>
      </c>
      <c r="P446" s="562" t="s">
        <v>1045</v>
      </c>
      <c r="Q446" s="202">
        <f>Q445+1</f>
        <v>10.574999999999999</v>
      </c>
      <c r="R446" s="202">
        <v>2</v>
      </c>
      <c r="S446" s="228">
        <v>4</v>
      </c>
      <c r="T446" s="246">
        <v>0</v>
      </c>
      <c r="U446" s="146">
        <v>0</v>
      </c>
      <c r="V446" s="642"/>
      <c r="W446" s="642">
        <v>1</v>
      </c>
      <c r="X446" s="642"/>
    </row>
    <row r="447" spans="1:28" outlineLevel="2">
      <c r="A447" s="5" t="s">
        <v>933</v>
      </c>
      <c r="B447" s="7">
        <f>IFERROR(RESUMO!W11/$B$441,0)</f>
        <v>0</v>
      </c>
      <c r="C447" s="7">
        <f t="shared" si="194"/>
        <v>0</v>
      </c>
      <c r="D447" s="7">
        <f t="shared" si="195"/>
        <v>0</v>
      </c>
      <c r="E447" s="4"/>
      <c r="F447" s="4"/>
      <c r="G447" s="4"/>
      <c r="H447" s="4"/>
      <c r="I447" s="4"/>
      <c r="J447" s="4"/>
      <c r="K447" s="4"/>
      <c r="L447" s="4"/>
      <c r="M447" s="4"/>
      <c r="O447" s="368">
        <f t="shared" si="196"/>
        <v>1</v>
      </c>
      <c r="P447" s="562" t="s">
        <v>1037</v>
      </c>
      <c r="Q447" s="202">
        <f>Q446+1</f>
        <v>11.574999999999999</v>
      </c>
      <c r="R447" s="202">
        <v>2</v>
      </c>
      <c r="S447" s="228">
        <v>4</v>
      </c>
      <c r="T447" s="246">
        <v>4</v>
      </c>
      <c r="U447" s="146">
        <v>0</v>
      </c>
      <c r="V447" s="642"/>
      <c r="W447" s="642">
        <v>1</v>
      </c>
      <c r="X447" s="642"/>
    </row>
    <row r="448" spans="1:28" outlineLevel="2">
      <c r="A448" s="5" t="s">
        <v>2399</v>
      </c>
      <c r="B448" s="7">
        <f>IFERROR(RESUMO!W18/$B$441,0)</f>
        <v>0</v>
      </c>
      <c r="C448" s="7">
        <f>IFERROR(IF($C$441&gt;1,B448,0),)</f>
        <v>0</v>
      </c>
      <c r="D448" s="7">
        <f>IFERROR(IF($C$441&gt;2,C448,0),)</f>
        <v>0</v>
      </c>
      <c r="E448" s="4"/>
      <c r="F448" s="4"/>
      <c r="G448" s="4"/>
      <c r="H448" s="4"/>
      <c r="I448" s="4"/>
      <c r="J448" s="4"/>
      <c r="K448" s="4"/>
      <c r="L448" s="4"/>
      <c r="M448" s="4"/>
      <c r="O448" s="368">
        <f t="shared" si="196"/>
        <v>1</v>
      </c>
      <c r="P448" s="562" t="s">
        <v>1038</v>
      </c>
      <c r="Q448" s="202">
        <f>Q447+1</f>
        <v>12.574999999999999</v>
      </c>
      <c r="R448" s="202">
        <v>2</v>
      </c>
      <c r="S448" s="228">
        <v>2</v>
      </c>
      <c r="T448" s="246">
        <v>4</v>
      </c>
      <c r="U448" s="146">
        <v>0</v>
      </c>
      <c r="V448" s="642"/>
      <c r="W448" s="642">
        <v>1</v>
      </c>
      <c r="X448" s="642">
        <v>1</v>
      </c>
    </row>
    <row r="449" spans="1:26" outlineLevel="2">
      <c r="A449" s="5" t="s">
        <v>1081</v>
      </c>
      <c r="B449" s="7">
        <f>IFERROR(RESUMO!W12/$B$441,0)</f>
        <v>0</v>
      </c>
      <c r="C449" s="7">
        <f t="shared" si="194"/>
        <v>0</v>
      </c>
      <c r="D449" s="7">
        <f t="shared" si="195"/>
        <v>0</v>
      </c>
      <c r="E449" s="4"/>
      <c r="F449" s="4"/>
      <c r="G449" s="4"/>
      <c r="H449" s="4"/>
      <c r="I449" s="4"/>
      <c r="J449" s="4"/>
      <c r="K449" s="4"/>
      <c r="L449" s="4"/>
      <c r="M449" s="4"/>
      <c r="O449" s="368">
        <f t="shared" si="196"/>
        <v>1</v>
      </c>
      <c r="P449" s="562" t="s">
        <v>1039</v>
      </c>
      <c r="Q449" s="202">
        <f>Q448+1</f>
        <v>13.574999999999999</v>
      </c>
      <c r="R449" s="202">
        <v>2</v>
      </c>
      <c r="S449" s="228">
        <v>2</v>
      </c>
      <c r="T449" s="246">
        <v>2</v>
      </c>
      <c r="U449" s="146">
        <v>0</v>
      </c>
      <c r="V449" s="642"/>
      <c r="W449" s="642">
        <v>1</v>
      </c>
      <c r="X449" s="642">
        <v>1</v>
      </c>
    </row>
    <row r="450" spans="1:26" outlineLevel="2">
      <c r="A450" s="5" t="s">
        <v>1655</v>
      </c>
      <c r="B450" s="7">
        <f>IFERROR(RESUMO!W13/$B$441,0)</f>
        <v>0</v>
      </c>
      <c r="C450" s="7">
        <f t="shared" si="194"/>
        <v>0</v>
      </c>
      <c r="D450" s="7">
        <f t="shared" si="195"/>
        <v>0</v>
      </c>
      <c r="E450" s="4"/>
      <c r="F450" s="4"/>
      <c r="G450" s="4"/>
      <c r="H450" s="4"/>
      <c r="I450" s="4"/>
      <c r="J450" s="4"/>
      <c r="K450" s="4"/>
      <c r="L450" s="4"/>
      <c r="M450" s="4"/>
      <c r="O450" s="368">
        <f t="shared" si="196"/>
        <v>1</v>
      </c>
      <c r="P450" s="562" t="s">
        <v>1960</v>
      </c>
      <c r="Q450" s="202">
        <f>IF(I12&gt;2,118.5,0)</f>
        <v>0</v>
      </c>
      <c r="R450" s="202">
        <v>3</v>
      </c>
      <c r="S450" s="228">
        <v>0</v>
      </c>
      <c r="T450" s="246">
        <v>0</v>
      </c>
      <c r="U450" s="146">
        <v>0</v>
      </c>
    </row>
    <row r="451" spans="1:26" outlineLevel="2">
      <c r="A451" s="18" t="s">
        <v>2671</v>
      </c>
      <c r="B451" s="7">
        <f>IFERROR(RESUMO!W21/$B$441,0)</f>
        <v>0</v>
      </c>
      <c r="C451" s="7">
        <f>IFERROR(IF($C$441&gt;1,B451,0),)</f>
        <v>0</v>
      </c>
      <c r="D451" s="7">
        <f>IFERROR(IF($C$441&gt;2,C451,0),)</f>
        <v>0</v>
      </c>
      <c r="E451" s="4"/>
      <c r="F451" s="4"/>
      <c r="G451" s="4"/>
      <c r="H451" s="4"/>
      <c r="I451" s="4"/>
      <c r="J451" s="4"/>
      <c r="K451" s="4"/>
      <c r="L451" s="4"/>
      <c r="M451" s="4"/>
      <c r="O451" s="368">
        <f t="shared" si="196"/>
        <v>1</v>
      </c>
      <c r="P451" s="562" t="s">
        <v>1921</v>
      </c>
      <c r="Q451" s="202">
        <v>19</v>
      </c>
      <c r="R451" s="202">
        <v>3</v>
      </c>
      <c r="S451" s="228">
        <v>4</v>
      </c>
      <c r="T451" s="246">
        <v>0</v>
      </c>
      <c r="U451" s="146">
        <v>0</v>
      </c>
      <c r="V451" s="642"/>
      <c r="W451" s="642">
        <v>1</v>
      </c>
    </row>
    <row r="452" spans="1:26" outlineLevel="2">
      <c r="A452" s="5" t="s">
        <v>1643</v>
      </c>
      <c r="B452" s="7">
        <f>IFERROR(RESUMO!W14/$B$441,0)</f>
        <v>0</v>
      </c>
      <c r="C452" s="7">
        <f t="shared" si="194"/>
        <v>0</v>
      </c>
      <c r="D452" s="7">
        <f t="shared" si="195"/>
        <v>0</v>
      </c>
      <c r="E452" s="4"/>
      <c r="F452" s="4"/>
      <c r="G452" s="4"/>
      <c r="H452" s="4"/>
      <c r="I452" s="4"/>
      <c r="J452" s="4"/>
      <c r="K452" s="4"/>
      <c r="L452" s="4"/>
      <c r="M452" s="4"/>
      <c r="O452" s="368">
        <f t="shared" si="196"/>
        <v>1</v>
      </c>
      <c r="P452" s="562" t="s">
        <v>1044</v>
      </c>
      <c r="Q452" s="202">
        <f>Q451+1</f>
        <v>20</v>
      </c>
      <c r="R452" s="202">
        <v>3</v>
      </c>
      <c r="S452" s="228">
        <v>4</v>
      </c>
      <c r="T452" s="246">
        <v>4</v>
      </c>
      <c r="U452" s="146">
        <v>0</v>
      </c>
      <c r="V452" s="642"/>
      <c r="W452" s="642">
        <v>1</v>
      </c>
      <c r="X452" s="642">
        <v>1</v>
      </c>
    </row>
    <row r="453" spans="1:26" outlineLevel="2">
      <c r="A453" s="5" t="s">
        <v>2400</v>
      </c>
      <c r="B453" s="7">
        <f>IFERROR(RESUMO!W19/$B$441,0)</f>
        <v>0</v>
      </c>
      <c r="C453" s="7">
        <f>IFERROR(IF($C$441&gt;1,B453,0),)</f>
        <v>0</v>
      </c>
      <c r="D453" s="7">
        <f>IFERROR(IF($C$441&gt;2,C453,0),)</f>
        <v>0</v>
      </c>
      <c r="E453" s="4"/>
      <c r="F453" s="4"/>
      <c r="G453" s="4"/>
      <c r="H453" s="4"/>
      <c r="I453" s="4"/>
      <c r="J453" s="4"/>
      <c r="K453" s="4"/>
      <c r="L453" s="4"/>
      <c r="M453" s="4"/>
      <c r="O453" s="368">
        <f t="shared" si="196"/>
        <v>1</v>
      </c>
      <c r="P453" s="562" t="s">
        <v>1046</v>
      </c>
      <c r="Q453" s="202">
        <f>Q452+1</f>
        <v>21</v>
      </c>
      <c r="R453" s="202">
        <v>3</v>
      </c>
      <c r="S453" s="228">
        <v>4</v>
      </c>
      <c r="T453" s="246">
        <v>4</v>
      </c>
      <c r="U453" s="146">
        <v>4</v>
      </c>
      <c r="V453" s="642"/>
      <c r="W453" s="642">
        <v>1</v>
      </c>
      <c r="X453" s="642">
        <v>1</v>
      </c>
      <c r="Y453" s="642">
        <v>1</v>
      </c>
    </row>
    <row r="454" spans="1:26" outlineLevel="2">
      <c r="A454" s="5" t="s">
        <v>1009</v>
      </c>
      <c r="B454" s="7">
        <f>IFERROR(RESUMO!W15/$B$441,0)</f>
        <v>0</v>
      </c>
      <c r="C454" s="7">
        <f t="shared" si="194"/>
        <v>0</v>
      </c>
      <c r="D454" s="7">
        <f t="shared" si="195"/>
        <v>0</v>
      </c>
      <c r="E454" s="4"/>
      <c r="F454" s="4"/>
      <c r="G454" s="4"/>
      <c r="H454" s="4"/>
      <c r="I454" s="4"/>
      <c r="J454" s="4"/>
      <c r="K454" s="4"/>
      <c r="L454" s="4"/>
      <c r="M454" s="4"/>
      <c r="O454" s="368">
        <f t="shared" si="196"/>
        <v>1</v>
      </c>
      <c r="P454" s="562" t="s">
        <v>1047</v>
      </c>
      <c r="Q454" s="202">
        <f>Q453+1</f>
        <v>22</v>
      </c>
      <c r="R454" s="202">
        <v>3</v>
      </c>
      <c r="S454" s="228">
        <v>2</v>
      </c>
      <c r="T454" s="246">
        <v>4</v>
      </c>
      <c r="U454" s="146">
        <v>4</v>
      </c>
      <c r="V454" s="642"/>
      <c r="W454" s="642">
        <v>1</v>
      </c>
      <c r="X454" s="642">
        <v>1</v>
      </c>
      <c r="Y454" s="642">
        <v>1</v>
      </c>
    </row>
    <row r="455" spans="1:26" outlineLevel="2">
      <c r="A455" s="5" t="s">
        <v>1016</v>
      </c>
      <c r="B455" s="7">
        <f>IFERROR(RESUMO!W16/$B$441,0)</f>
        <v>0</v>
      </c>
      <c r="C455" s="7">
        <f t="shared" si="194"/>
        <v>0</v>
      </c>
      <c r="D455" s="7">
        <f t="shared" si="195"/>
        <v>0</v>
      </c>
      <c r="E455" s="4"/>
      <c r="F455" s="4"/>
      <c r="G455" s="4"/>
      <c r="H455" s="4"/>
      <c r="I455" s="4"/>
      <c r="J455" s="4"/>
      <c r="K455" s="4"/>
      <c r="L455" s="4"/>
      <c r="M455" s="4"/>
      <c r="O455" s="368">
        <f t="shared" si="196"/>
        <v>1</v>
      </c>
      <c r="P455" s="562" t="s">
        <v>1920</v>
      </c>
      <c r="Q455" s="202">
        <f>Q454+1</f>
        <v>23</v>
      </c>
      <c r="R455" s="202">
        <v>3</v>
      </c>
      <c r="S455" s="228">
        <v>2</v>
      </c>
      <c r="T455" s="246">
        <v>2</v>
      </c>
      <c r="U455" s="146">
        <v>4</v>
      </c>
      <c r="V455" s="642"/>
      <c r="W455" s="642">
        <v>1</v>
      </c>
      <c r="X455" s="642">
        <v>1</v>
      </c>
      <c r="Y455" s="642">
        <v>1</v>
      </c>
    </row>
    <row r="456" spans="1:26" outlineLevel="2">
      <c r="A456" s="5" t="s">
        <v>1440</v>
      </c>
      <c r="B456" s="7">
        <f>IFERROR(RESUMO!W17/$B$441,0)</f>
        <v>0</v>
      </c>
      <c r="C456" s="7">
        <f t="shared" si="194"/>
        <v>0</v>
      </c>
      <c r="D456" s="7">
        <f t="shared" si="195"/>
        <v>0</v>
      </c>
      <c r="E456" s="4"/>
      <c r="F456" s="4"/>
      <c r="G456" s="4"/>
      <c r="H456" s="4"/>
      <c r="I456" s="4"/>
      <c r="J456" s="4"/>
      <c r="K456" s="4"/>
      <c r="L456" s="4"/>
      <c r="M456" s="4"/>
      <c r="O456" s="368">
        <f t="shared" si="196"/>
        <v>1</v>
      </c>
      <c r="P456" s="562" t="s">
        <v>1048</v>
      </c>
      <c r="Q456" s="202">
        <f>Q455+1</f>
        <v>24</v>
      </c>
      <c r="R456" s="202">
        <v>3</v>
      </c>
      <c r="S456" s="228">
        <v>2</v>
      </c>
      <c r="T456" s="246">
        <v>2</v>
      </c>
      <c r="U456" s="146">
        <v>2</v>
      </c>
      <c r="V456" s="642"/>
      <c r="W456" s="642">
        <v>1</v>
      </c>
      <c r="X456" s="642">
        <v>1</v>
      </c>
      <c r="Y456" s="642">
        <v>1</v>
      </c>
    </row>
    <row r="457" spans="1:26" outlineLevel="2">
      <c r="A457" s="226" t="s">
        <v>1959</v>
      </c>
      <c r="B457" s="226" t="s">
        <v>725</v>
      </c>
      <c r="C457" s="226" t="s">
        <v>726</v>
      </c>
      <c r="D457" s="226" t="s">
        <v>727</v>
      </c>
      <c r="E457" s="4"/>
      <c r="F457" s="4"/>
      <c r="G457" s="4"/>
      <c r="H457" s="4"/>
      <c r="I457" s="4"/>
      <c r="J457" s="4"/>
      <c r="K457" s="4"/>
      <c r="L457" s="4"/>
      <c r="M457" s="4"/>
    </row>
    <row r="458" spans="1:26" outlineLevel="2">
      <c r="A458" s="5" t="s">
        <v>1529</v>
      </c>
      <c r="B458" s="7">
        <f>IFERROR(RESUMO!W24/$B$441,0)</f>
        <v>0</v>
      </c>
      <c r="C458" s="7">
        <f>IFERROR(IF($C$441&gt;1,B458,0),)</f>
        <v>0</v>
      </c>
      <c r="D458" s="7">
        <f>IFERROR(IF($C$441&gt;2,C458,0),)</f>
        <v>0</v>
      </c>
      <c r="E458" s="4"/>
      <c r="F458" s="4"/>
      <c r="G458" s="4"/>
      <c r="H458" s="4"/>
      <c r="I458" s="4"/>
      <c r="J458" s="4"/>
      <c r="K458" s="4"/>
      <c r="L458" s="4"/>
      <c r="M458" s="4"/>
    </row>
    <row r="459" spans="1:26" outlineLevel="2">
      <c r="A459" s="5" t="s">
        <v>1522</v>
      </c>
      <c r="B459" s="7">
        <f>IFERROR(RESUMO!W25/$B$441,0)</f>
        <v>0</v>
      </c>
      <c r="C459" s="7">
        <f t="shared" ref="C459:C465" si="197">IFERROR(IF($C$441&gt;1,B459,0),)</f>
        <v>0</v>
      </c>
      <c r="D459" s="7">
        <f t="shared" ref="D459:D465" si="198">IFERROR(IF($C$441&gt;2,C459,0),)</f>
        <v>0</v>
      </c>
      <c r="E459" s="4"/>
      <c r="F459" s="4"/>
      <c r="G459" s="4"/>
      <c r="H459" s="4"/>
      <c r="I459" s="4"/>
      <c r="J459" s="4"/>
      <c r="K459" s="4"/>
      <c r="L459" s="4"/>
      <c r="M459" s="4"/>
    </row>
    <row r="460" spans="1:26" outlineLevel="2">
      <c r="A460" s="5" t="s">
        <v>2120</v>
      </c>
      <c r="B460" s="7">
        <f>IFERROR(RESUMO!W26/$B$441,0)</f>
        <v>0</v>
      </c>
      <c r="C460" s="7">
        <f t="shared" si="197"/>
        <v>0</v>
      </c>
      <c r="D460" s="7">
        <f t="shared" si="198"/>
        <v>0</v>
      </c>
      <c r="E460" s="4"/>
      <c r="F460" s="4"/>
      <c r="G460" s="4"/>
      <c r="H460" s="4"/>
      <c r="I460" s="4"/>
      <c r="J460" s="4"/>
      <c r="K460" s="4"/>
      <c r="L460" s="4"/>
      <c r="M460" s="4"/>
      <c r="R460" s="4"/>
      <c r="T460" s="9"/>
      <c r="U460" s="9"/>
      <c r="Z460" s="9"/>
    </row>
    <row r="461" spans="1:26" outlineLevel="2">
      <c r="A461" s="5" t="s">
        <v>1602</v>
      </c>
      <c r="B461" s="7">
        <f>IFERROR(RESUMO!W27/$B$441,0)</f>
        <v>0</v>
      </c>
      <c r="C461" s="7">
        <f t="shared" si="197"/>
        <v>0</v>
      </c>
      <c r="D461" s="7">
        <f t="shared" si="198"/>
        <v>0</v>
      </c>
      <c r="E461" s="4"/>
      <c r="F461" s="4"/>
      <c r="G461" s="4"/>
      <c r="H461" s="4"/>
      <c r="I461" s="4"/>
      <c r="J461" s="4"/>
      <c r="K461" s="4"/>
      <c r="L461" s="4"/>
      <c r="M461" s="4"/>
      <c r="O461" s="236"/>
      <c r="R461" s="4"/>
      <c r="T461" s="9"/>
      <c r="U461" s="9"/>
      <c r="Z461" s="9"/>
    </row>
    <row r="462" spans="1:26" outlineLevel="2">
      <c r="A462" s="5" t="s">
        <v>1082</v>
      </c>
      <c r="B462" s="7">
        <f>IFERROR(RESUMO!W28/$B$441,0)</f>
        <v>0</v>
      </c>
      <c r="C462" s="7">
        <f t="shared" si="197"/>
        <v>0</v>
      </c>
      <c r="D462" s="7">
        <f t="shared" si="198"/>
        <v>0</v>
      </c>
      <c r="E462" s="4"/>
      <c r="F462" s="4"/>
      <c r="G462" s="4"/>
      <c r="H462" s="4"/>
      <c r="I462" s="4"/>
      <c r="J462" s="4"/>
      <c r="K462" s="4"/>
      <c r="L462" s="4"/>
      <c r="M462" s="4"/>
      <c r="O462" s="236"/>
      <c r="R462" s="4"/>
      <c r="T462" s="9"/>
      <c r="U462" s="9"/>
      <c r="Z462" s="9"/>
    </row>
    <row r="463" spans="1:26" outlineLevel="2">
      <c r="A463" s="5" t="s">
        <v>2126</v>
      </c>
      <c r="B463" s="7">
        <f>IFERROR(RESUMO!W29/$B$441,0)</f>
        <v>0</v>
      </c>
      <c r="C463" s="7">
        <f t="shared" si="197"/>
        <v>0</v>
      </c>
      <c r="D463" s="7">
        <f t="shared" si="198"/>
        <v>0</v>
      </c>
      <c r="E463" s="4"/>
      <c r="F463" s="4"/>
      <c r="G463" s="4"/>
      <c r="H463" s="4"/>
      <c r="I463" s="4"/>
      <c r="J463" s="4"/>
      <c r="K463" s="4"/>
      <c r="L463" s="4"/>
      <c r="M463" s="4"/>
      <c r="O463" s="236"/>
      <c r="R463" s="4"/>
      <c r="T463" s="9"/>
      <c r="U463" s="9"/>
      <c r="Z463" s="9"/>
    </row>
    <row r="464" spans="1:26" outlineLevel="2">
      <c r="A464" s="5" t="s">
        <v>1644</v>
      </c>
      <c r="B464" s="7">
        <f>IFERROR(RESUMO!W30/$B$441,0)</f>
        <v>0</v>
      </c>
      <c r="C464" s="7">
        <f t="shared" si="197"/>
        <v>0</v>
      </c>
      <c r="D464" s="7">
        <f t="shared" si="198"/>
        <v>0</v>
      </c>
      <c r="E464" s="4"/>
      <c r="F464" s="4"/>
      <c r="G464" s="4"/>
      <c r="H464" s="4"/>
      <c r="I464" s="4"/>
      <c r="J464" s="4"/>
      <c r="K464" s="4"/>
      <c r="L464" s="4"/>
      <c r="M464" s="4"/>
      <c r="O464" s="236"/>
      <c r="R464" s="4"/>
      <c r="T464" s="9"/>
      <c r="U464" s="9"/>
      <c r="Z464" s="9"/>
    </row>
    <row r="465" spans="1:28" outlineLevel="2">
      <c r="A465" s="5" t="s">
        <v>2124</v>
      </c>
      <c r="B465" s="7">
        <f>IFERROR(RESUMO!W31/$B$441,0)</f>
        <v>0</v>
      </c>
      <c r="C465" s="7">
        <f t="shared" si="197"/>
        <v>0</v>
      </c>
      <c r="D465" s="7">
        <f t="shared" si="198"/>
        <v>0</v>
      </c>
      <c r="E465" s="4"/>
      <c r="F465" s="4"/>
      <c r="G465" s="4"/>
      <c r="H465" s="4"/>
      <c r="I465" s="4"/>
      <c r="J465" s="4"/>
      <c r="K465" s="4"/>
      <c r="L465" s="4"/>
      <c r="M465" s="4"/>
      <c r="O465" s="236"/>
      <c r="R465" s="4"/>
      <c r="T465" s="9"/>
      <c r="U465" s="9"/>
      <c r="Z465" s="9"/>
    </row>
    <row r="466" spans="1:28" outlineLevel="2">
      <c r="A466" s="226" t="s">
        <v>2417</v>
      </c>
      <c r="B466" s="226" t="s">
        <v>725</v>
      </c>
      <c r="C466" s="226" t="s">
        <v>726</v>
      </c>
      <c r="D466" s="226" t="s">
        <v>727</v>
      </c>
      <c r="E466" s="4"/>
      <c r="F466" s="4"/>
      <c r="G466" s="4"/>
      <c r="H466" s="4"/>
      <c r="I466" s="4"/>
      <c r="J466" s="4"/>
      <c r="K466" s="4"/>
      <c r="L466" s="4"/>
      <c r="M466" s="4"/>
      <c r="O466" s="236"/>
      <c r="R466" s="4"/>
      <c r="T466" s="9"/>
      <c r="U466" s="9"/>
      <c r="Z466" s="9"/>
    </row>
    <row r="467" spans="1:28" outlineLevel="2">
      <c r="A467" s="5" t="s">
        <v>2386</v>
      </c>
      <c r="B467" s="7">
        <f>IFERROR(RESUMO!W33/$B$441,0)</f>
        <v>0</v>
      </c>
      <c r="C467" s="7">
        <f>IFERROR(IF($C$441&gt;1,B467,0),)</f>
        <v>0</v>
      </c>
      <c r="D467" s="7">
        <f>IFERROR(IF($C$441&gt;2,C467,0),)</f>
        <v>0</v>
      </c>
      <c r="E467" s="4"/>
      <c r="F467" s="4"/>
      <c r="G467" s="4"/>
      <c r="H467" s="4"/>
      <c r="I467" s="4"/>
      <c r="J467" s="4"/>
      <c r="K467" s="4"/>
      <c r="L467" s="4"/>
      <c r="M467" s="4"/>
      <c r="O467" s="236"/>
      <c r="R467" s="4"/>
      <c r="T467" s="9"/>
      <c r="U467" s="9"/>
      <c r="Z467" s="9"/>
    </row>
    <row r="468" spans="1:28" outlineLevel="2">
      <c r="A468" s="5" t="s">
        <v>2387</v>
      </c>
      <c r="B468" s="7">
        <f>IFERROR(RESUMO!W34/$B$441,0)</f>
        <v>0</v>
      </c>
      <c r="C468" s="7">
        <f>IFERROR(IF($C$441&gt;1,B468,0),)</f>
        <v>0</v>
      </c>
      <c r="D468" s="7">
        <f>IFERROR(IF($C$441&gt;2,C468,0),)</f>
        <v>0</v>
      </c>
      <c r="E468" s="4"/>
      <c r="F468" s="4"/>
      <c r="G468" s="4"/>
      <c r="H468" s="4"/>
      <c r="I468" s="4"/>
      <c r="J468" s="4"/>
      <c r="K468" s="4"/>
      <c r="L468" s="4"/>
      <c r="M468" s="4"/>
      <c r="O468" s="236"/>
      <c r="R468" s="4"/>
      <c r="T468" s="9"/>
      <c r="U468" s="9"/>
      <c r="Z468" s="9"/>
    </row>
    <row r="469" spans="1:28" outlineLevel="2">
      <c r="A469" s="5" t="s">
        <v>2388</v>
      </c>
      <c r="B469" s="7">
        <f>IFERROR(RESUMO!W35/$B$441,0)</f>
        <v>0</v>
      </c>
      <c r="C469" s="7">
        <f>IFERROR(IF($C$441&gt;1,B469,0),)</f>
        <v>0</v>
      </c>
      <c r="D469" s="7">
        <f>IFERROR(IF($C$441&gt;2,C469,0),)</f>
        <v>0</v>
      </c>
      <c r="E469" s="4"/>
      <c r="F469" s="4"/>
      <c r="G469" s="4"/>
      <c r="H469" s="4"/>
      <c r="I469" s="4"/>
      <c r="J469" s="4"/>
      <c r="K469" s="4"/>
      <c r="L469" s="4"/>
      <c r="M469" s="4"/>
      <c r="O469" s="236"/>
      <c r="R469" s="4"/>
      <c r="T469" s="9"/>
      <c r="U469" s="9"/>
      <c r="Z469" s="9"/>
    </row>
    <row r="470" spans="1:28" outlineLevel="2">
      <c r="A470" s="5"/>
      <c r="B470" s="658"/>
      <c r="C470" s="658"/>
      <c r="D470" s="658"/>
      <c r="E470" s="4"/>
      <c r="F470" s="4"/>
      <c r="G470" s="4"/>
      <c r="H470" s="4"/>
      <c r="I470" s="4"/>
      <c r="J470" s="4"/>
      <c r="K470" s="4"/>
      <c r="L470" s="4"/>
      <c r="M470" s="4"/>
      <c r="O470" s="236"/>
      <c r="R470" s="4"/>
      <c r="T470" s="9"/>
      <c r="U470" s="9"/>
      <c r="Z470" s="9"/>
    </row>
    <row r="471" spans="1:28" outlineLevel="2">
      <c r="A471" s="359" t="s">
        <v>1966</v>
      </c>
      <c r="B471" s="358">
        <f>SUM(B443:B470)</f>
        <v>0</v>
      </c>
      <c r="C471" s="358">
        <f>SUM(C443:C470)</f>
        <v>0</v>
      </c>
      <c r="D471" s="358">
        <f>SUM(D443:D470)</f>
        <v>0</v>
      </c>
      <c r="E471" s="4"/>
      <c r="F471" s="4"/>
      <c r="G471" s="4"/>
      <c r="H471" s="4"/>
      <c r="I471" s="4"/>
      <c r="J471" s="4"/>
      <c r="K471" s="4"/>
      <c r="L471" s="4"/>
      <c r="M471" s="4"/>
      <c r="O471" s="236"/>
      <c r="R471" s="4"/>
      <c r="T471" s="9"/>
      <c r="U471" s="9"/>
      <c r="Z471" s="9"/>
    </row>
    <row r="472" spans="1:28" outlineLevel="2">
      <c r="E472" s="4"/>
      <c r="F472" s="4"/>
      <c r="G472" s="4"/>
      <c r="H472" s="4"/>
      <c r="I472" s="4"/>
      <c r="J472" s="4"/>
      <c r="K472" s="4"/>
      <c r="L472" s="4"/>
      <c r="M472" s="4"/>
      <c r="O472" s="236"/>
      <c r="R472" s="4"/>
      <c r="T472" s="9"/>
      <c r="U472" s="9"/>
      <c r="Z472" s="9"/>
    </row>
    <row r="473" spans="1:28" outlineLevel="1">
      <c r="A473" s="11" t="s">
        <v>308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29"/>
      <c r="O473" s="11" t="s">
        <v>308</v>
      </c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29"/>
    </row>
    <row r="474" spans="1:28" outlineLevel="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O474" s="17" t="s">
        <v>312</v>
      </c>
      <c r="P474" s="30"/>
      <c r="R474" s="17" t="s">
        <v>1021</v>
      </c>
      <c r="S474" s="30"/>
      <c r="T474" s="9"/>
      <c r="U474" s="9"/>
      <c r="Z474" s="9"/>
    </row>
    <row r="475" spans="1:28" outlineLevel="2">
      <c r="A475" s="4"/>
      <c r="B475" s="226" t="s">
        <v>725</v>
      </c>
      <c r="C475" s="226" t="s">
        <v>726</v>
      </c>
      <c r="D475" s="226" t="s">
        <v>727</v>
      </c>
      <c r="E475" s="4"/>
      <c r="F475" s="4"/>
      <c r="G475" s="4"/>
      <c r="H475" s="4"/>
      <c r="I475" s="4"/>
      <c r="J475" s="4"/>
      <c r="K475" s="4"/>
      <c r="L475" s="4"/>
      <c r="M475" s="4"/>
      <c r="O475" s="236" t="s">
        <v>1026</v>
      </c>
      <c r="R475" s="4" t="s">
        <v>339</v>
      </c>
      <c r="T475" s="9"/>
      <c r="U475" s="9"/>
      <c r="Z475" s="9"/>
    </row>
    <row r="476" spans="1:28" outlineLevel="2">
      <c r="A476" s="18" t="s">
        <v>1052</v>
      </c>
      <c r="B476" s="183">
        <f>IFERROR((SUM($I$13:$I$14)/SUM($I$13:$K$14))*RESUMO!$G$6/Preencher!$I$15,0)</f>
        <v>727.99560292264937</v>
      </c>
      <c r="C476" s="183">
        <f>IFERROR((SUM(J13:J14)/SUM($I$13:$K$14))*RESUMO!$G$6/Preencher!J15,0)</f>
        <v>0</v>
      </c>
      <c r="D476" s="183">
        <f>IFERROR((SUM(K13:K14)/SUM($I$13:$K$14))*RESUMO!$G$6/Preencher!K15,0)</f>
        <v>0</v>
      </c>
      <c r="E476" s="4"/>
      <c r="F476" s="4"/>
      <c r="G476" s="4"/>
      <c r="H476" s="4"/>
      <c r="I476" s="4"/>
      <c r="J476" s="4"/>
      <c r="K476" s="4"/>
      <c r="L476" s="4"/>
      <c r="M476" s="4"/>
      <c r="O476" s="236" t="s">
        <v>336</v>
      </c>
      <c r="R476" s="4" t="s">
        <v>1055</v>
      </c>
      <c r="T476" s="9"/>
      <c r="U476" s="9"/>
      <c r="Z476" s="9"/>
    </row>
    <row r="477" spans="1:28" outlineLevel="2">
      <c r="A477" s="18" t="s">
        <v>1053</v>
      </c>
      <c r="B477" s="183">
        <f>IFERROR((SUM($I$13:$I$14)/SUM($I$13:$K$14))*RESUMO!$E$6/Preencher!$I$15,0)</f>
        <v>6630.9073069888191</v>
      </c>
      <c r="C477" s="183">
        <f>IFERROR((SUM(J13:J14)/SUM($I$13:$K$14))*RESUMO!$E$6/Preencher!J15,0)</f>
        <v>0</v>
      </c>
      <c r="D477" s="183">
        <f>IFERROR((SUM(K13:K14)/SUM($I$13:$K$14))*RESUMO!$E$6/Preencher!K15,0)</f>
        <v>0</v>
      </c>
      <c r="E477" s="4"/>
      <c r="F477" s="4"/>
      <c r="G477" s="4"/>
      <c r="H477" s="4"/>
      <c r="I477" s="4"/>
      <c r="J477" s="4"/>
      <c r="K477" s="4"/>
      <c r="L477" s="4"/>
      <c r="M477" s="4"/>
      <c r="O477" s="236"/>
      <c r="R477" s="4"/>
      <c r="T477" s="9"/>
      <c r="U477" s="9"/>
      <c r="Z477" s="9"/>
    </row>
    <row r="478" spans="1:28" outlineLevel="2">
      <c r="A478" s="18" t="s">
        <v>1054</v>
      </c>
      <c r="B478" s="183">
        <f>B476</f>
        <v>727.99560292264937</v>
      </c>
      <c r="C478" s="183">
        <f>C476</f>
        <v>0</v>
      </c>
      <c r="D478" s="183">
        <f>D476</f>
        <v>0</v>
      </c>
      <c r="E478" s="4"/>
      <c r="F478" s="4"/>
      <c r="G478" s="4"/>
      <c r="H478" s="4"/>
      <c r="I478" s="4"/>
      <c r="J478" s="4"/>
      <c r="K478" s="4"/>
      <c r="L478" s="4"/>
      <c r="M478" s="4"/>
      <c r="O478" s="236"/>
      <c r="R478" s="4"/>
      <c r="T478" s="9"/>
      <c r="U478" s="9"/>
      <c r="Z478" s="9"/>
    </row>
    <row r="479" spans="1:28" outlineLevel="2">
      <c r="A479" s="18" t="s">
        <v>309</v>
      </c>
      <c r="B479" s="114">
        <v>2</v>
      </c>
      <c r="C479" s="114">
        <f>IF($I$12&gt;1,B479,0)</f>
        <v>0</v>
      </c>
      <c r="D479" s="114">
        <f>IF($I$12&gt;2,C479,0)</f>
        <v>0</v>
      </c>
      <c r="E479" s="4"/>
      <c r="F479" s="4"/>
      <c r="G479" s="4"/>
      <c r="H479" s="4"/>
      <c r="I479" s="4"/>
      <c r="J479" s="4"/>
      <c r="K479" s="4"/>
      <c r="L479" s="4"/>
      <c r="M479" s="4"/>
      <c r="O479" s="236"/>
      <c r="R479" s="4"/>
      <c r="T479" s="9"/>
      <c r="U479" s="9"/>
      <c r="Z479" s="9"/>
    </row>
    <row r="480" spans="1:28" outlineLevel="2">
      <c r="A480" s="18" t="s">
        <v>310</v>
      </c>
      <c r="B480" s="182">
        <f>IFERROR(RESUMO!I6/$B$476,0)</f>
        <v>7.8178941648045022E-2</v>
      </c>
      <c r="C480" s="182">
        <f>IFERROR(RESUMO!I6/$C$476,0)</f>
        <v>0</v>
      </c>
      <c r="D480" s="182">
        <f>IFERROR(RESUMO!I6/$D$476,0)</f>
        <v>0</v>
      </c>
      <c r="E480" s="4"/>
      <c r="F480" s="4"/>
      <c r="G480" s="4"/>
      <c r="H480" s="4"/>
      <c r="I480" s="4"/>
      <c r="J480" s="4"/>
      <c r="K480" s="4"/>
      <c r="L480" s="4"/>
      <c r="M480" s="4"/>
      <c r="O480" s="236"/>
      <c r="R480" s="4"/>
      <c r="T480" s="9"/>
      <c r="U480" s="9"/>
      <c r="Z480" s="9"/>
    </row>
    <row r="481" spans="1:28" outlineLevel="2">
      <c r="A481" s="18" t="s">
        <v>311</v>
      </c>
      <c r="B481" s="182">
        <f>IFERROR(RESUMO!J6/$B$476,0)</f>
        <v>0.59531721156911011</v>
      </c>
      <c r="C481" s="182">
        <f>IFERROR(RESUMO!J6/$C$476,0)</f>
        <v>0</v>
      </c>
      <c r="D481" s="182">
        <f>IFERROR(RESUMO!J6/$D$476,0)</f>
        <v>0</v>
      </c>
      <c r="E481" s="4"/>
      <c r="F481" s="4"/>
      <c r="G481" s="4"/>
      <c r="H481" s="4"/>
      <c r="I481" s="4"/>
      <c r="J481" s="4"/>
      <c r="K481" s="4"/>
      <c r="L481" s="4"/>
      <c r="M481" s="4"/>
      <c r="O481" s="236"/>
      <c r="R481" s="4"/>
      <c r="T481" s="9"/>
      <c r="U481" s="9"/>
      <c r="Z481" s="9"/>
    </row>
    <row r="482" spans="1:28" outlineLevel="2">
      <c r="A482" s="18" t="s">
        <v>312</v>
      </c>
      <c r="B482" s="8" t="s">
        <v>336</v>
      </c>
      <c r="C482" s="8">
        <f>IF($I$12&gt;1,B482,0)</f>
        <v>0</v>
      </c>
      <c r="D482" s="8">
        <f>IF($I$12&gt;2,C482,0)</f>
        <v>0</v>
      </c>
      <c r="E482" s="4"/>
      <c r="F482" s="4"/>
      <c r="G482" s="4"/>
      <c r="H482" s="4"/>
      <c r="I482" s="4"/>
      <c r="J482" s="4"/>
      <c r="K482" s="4"/>
      <c r="L482" s="4"/>
      <c r="M482" s="4"/>
      <c r="O482" s="236"/>
      <c r="R482" s="4"/>
      <c r="T482" s="9"/>
      <c r="U482" s="9"/>
      <c r="Z482" s="9"/>
    </row>
    <row r="483" spans="1:28" outlineLevel="2">
      <c r="A483" s="18" t="s">
        <v>1021</v>
      </c>
      <c r="B483" s="8" t="s">
        <v>339</v>
      </c>
      <c r="C483" s="8">
        <f>IF($I$12&gt;1,B483,0)</f>
        <v>0</v>
      </c>
      <c r="D483" s="8">
        <f>IF($I$12&gt;2,C483,0)</f>
        <v>0</v>
      </c>
      <c r="E483" s="4"/>
      <c r="F483" s="4"/>
      <c r="G483" s="4"/>
      <c r="H483" s="4"/>
      <c r="I483" s="4"/>
      <c r="J483" s="4"/>
      <c r="K483" s="4"/>
      <c r="L483" s="4"/>
      <c r="M483" s="4"/>
      <c r="O483" s="236"/>
      <c r="R483" s="4"/>
      <c r="T483" s="9"/>
      <c r="U483" s="9"/>
      <c r="Z483" s="9"/>
    </row>
    <row r="484" spans="1:28" outlineLevel="2">
      <c r="A484" s="2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O484" s="236"/>
      <c r="R484" s="4"/>
      <c r="T484" s="9"/>
      <c r="U484" s="9"/>
      <c r="Z484" s="9"/>
    </row>
    <row r="485" spans="1:28">
      <c r="A485" s="121" t="s">
        <v>313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8"/>
      <c r="O485" s="121" t="s">
        <v>313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8"/>
    </row>
    <row r="486" spans="1:28" outlineLevel="1">
      <c r="A486" s="11" t="s">
        <v>313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29"/>
      <c r="O486" s="11" t="s">
        <v>313</v>
      </c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29"/>
    </row>
    <row r="487" spans="1:28" outlineLevel="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O487" s="17" t="s">
        <v>1049</v>
      </c>
      <c r="P487" s="30"/>
      <c r="R487" s="17" t="s">
        <v>890</v>
      </c>
      <c r="S487" s="30"/>
      <c r="T487" s="9"/>
      <c r="U487" s="17" t="s">
        <v>890</v>
      </c>
      <c r="V487" s="30"/>
      <c r="W487" s="227"/>
      <c r="Z487" s="9"/>
    </row>
    <row r="488" spans="1:28" outlineLevel="2">
      <c r="A488" s="226" t="s">
        <v>2295</v>
      </c>
      <c r="B488" s="624" t="s">
        <v>1929</v>
      </c>
      <c r="C488" s="624" t="s">
        <v>1930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O488" s="235" t="s">
        <v>2296</v>
      </c>
      <c r="P488" s="4" t="s">
        <v>1041</v>
      </c>
      <c r="R488" s="4" t="s">
        <v>891</v>
      </c>
      <c r="T488" s="9"/>
      <c r="U488" s="9" t="s">
        <v>302</v>
      </c>
      <c r="Z488" s="9"/>
    </row>
    <row r="489" spans="1:28" outlineLevel="2">
      <c r="A489" s="563" t="str">
        <f>VLOOKUP(1,$O$494:$P$508,2,0)</f>
        <v>1 Turno sem pausa e intervalo</v>
      </c>
      <c r="B489" s="565">
        <f>VLOOKUP(A489,$P$494:$Q$508,2,0)</f>
        <v>11.574999999999999</v>
      </c>
      <c r="C489" s="564">
        <f>VLOOKUP(A489,$P$494:$R$508,3,0)</f>
        <v>1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O489" s="623">
        <f>RESUMO!G6</f>
        <v>6970.5578979843676</v>
      </c>
      <c r="P489" s="247">
        <f>'BD VOLUME'!$AE$7*(200%-E491)+F491</f>
        <v>11</v>
      </c>
      <c r="R489" s="4" t="s">
        <v>1056</v>
      </c>
      <c r="T489" s="9"/>
      <c r="U489" s="9" t="s">
        <v>277</v>
      </c>
      <c r="Z489" s="9"/>
    </row>
    <row r="490" spans="1:28" outlineLevel="2">
      <c r="A490" s="4"/>
      <c r="B490" s="226" t="s">
        <v>725</v>
      </c>
      <c r="C490" s="226" t="s">
        <v>726</v>
      </c>
      <c r="D490" s="226" t="s">
        <v>727</v>
      </c>
      <c r="E490" s="624" t="s">
        <v>2294</v>
      </c>
      <c r="F490" s="773" t="s">
        <v>1041</v>
      </c>
      <c r="G490" s="4"/>
      <c r="H490" s="4"/>
      <c r="I490" s="4"/>
      <c r="J490" s="4"/>
      <c r="K490" s="4"/>
      <c r="L490" s="4"/>
      <c r="M490" s="4"/>
      <c r="O490" s="236" t="s">
        <v>2298</v>
      </c>
      <c r="P490" s="4"/>
      <c r="R490" s="4"/>
      <c r="T490" s="9"/>
      <c r="U490" s="9"/>
      <c r="Z490" s="9"/>
    </row>
    <row r="491" spans="1:28" outlineLevel="2">
      <c r="A491" s="13" t="s">
        <v>314</v>
      </c>
      <c r="B491" s="184">
        <f>IFERROR(SUM(RESUMO!$I$6:$J$6)/RESUMO!$H$6,0)*V494</f>
        <v>380.84997472322931</v>
      </c>
      <c r="C491" s="184">
        <f>IFERROR(SUM(RESUMO!$I$6:$J$6)/RESUMO!$H$6,0)*W494</f>
        <v>0</v>
      </c>
      <c r="D491" s="184">
        <f>IFERROR(SUM(RESUMO!$I$6:$J$6)/RESUMO!$H$6,0)*X494</f>
        <v>0</v>
      </c>
      <c r="E491" s="635">
        <v>0.05</v>
      </c>
      <c r="F491" s="114">
        <v>11</v>
      </c>
      <c r="G491" s="4"/>
      <c r="H491" s="4"/>
      <c r="I491" s="4"/>
      <c r="J491" s="4"/>
      <c r="K491" s="4"/>
      <c r="L491" s="4"/>
      <c r="M491" s="4"/>
      <c r="O491" s="557">
        <f>'BD VOLUME'!AD7*1000</f>
        <v>0</v>
      </c>
      <c r="R491" s="4"/>
      <c r="T491" s="9"/>
      <c r="U491" s="9"/>
      <c r="Z491" s="9"/>
    </row>
    <row r="492" spans="1:28" outlineLevel="2">
      <c r="A492" s="13" t="s">
        <v>315</v>
      </c>
      <c r="B492" s="184">
        <f>IFERROR(SUM(RESUMO!$K$6:$M$6)/RESUMO!$H$6,0)*V494</f>
        <v>184.63205944131039</v>
      </c>
      <c r="C492" s="184">
        <f>IFERROR(SUM(RESUMO!$K$6:$M$6)/RESUMO!$H$6,0)*W494</f>
        <v>0</v>
      </c>
      <c r="D492" s="184">
        <f>IFERROR(SUM(RESUMO!$K$6:$M$6)/RESUMO!$H$6,0)*X494</f>
        <v>0</v>
      </c>
      <c r="E492" s="635">
        <v>1</v>
      </c>
      <c r="F492" s="4"/>
      <c r="G492" s="4"/>
      <c r="H492" s="4"/>
      <c r="I492" s="4"/>
      <c r="J492" s="4"/>
      <c r="K492" s="4"/>
      <c r="L492" s="4"/>
      <c r="M492" s="4"/>
      <c r="S492" s="559"/>
      <c r="T492" s="561" t="s">
        <v>1925</v>
      </c>
      <c r="U492" s="560"/>
      <c r="V492" s="559"/>
      <c r="W492" s="561" t="s">
        <v>2297</v>
      </c>
      <c r="X492" s="560"/>
      <c r="Z492" s="9"/>
    </row>
    <row r="493" spans="1:28" outlineLevel="2">
      <c r="A493" s="13" t="s">
        <v>316</v>
      </c>
      <c r="B493" s="184">
        <f>SUM(B491:B492)/SUM($B$491:$D$492)*($C$489*RESUMO!$N$6)</f>
        <v>0</v>
      </c>
      <c r="C493" s="184">
        <f>SUM(C491:C492)/SUM($B$491:$D$492)*($C$489*RESUMO!$N$6)</f>
        <v>0</v>
      </c>
      <c r="D493" s="184">
        <f>SUM(D491:D492)/SUM($B$491:$D$492)*($C$489*RESUMO!$N$6)</f>
        <v>0</v>
      </c>
      <c r="E493" s="4"/>
      <c r="F493" s="4"/>
      <c r="G493" s="4"/>
      <c r="H493" s="4"/>
      <c r="I493" s="4"/>
      <c r="J493" s="4"/>
      <c r="K493" s="4"/>
      <c r="L493" s="4"/>
      <c r="M493" s="4"/>
      <c r="O493" s="368" t="s">
        <v>262</v>
      </c>
      <c r="Q493" s="228" t="s">
        <v>1042</v>
      </c>
      <c r="R493" s="228" t="s">
        <v>1043</v>
      </c>
      <c r="S493" s="228" t="s">
        <v>1926</v>
      </c>
      <c r="T493" s="228" t="s">
        <v>1927</v>
      </c>
      <c r="U493" s="228" t="s">
        <v>1928</v>
      </c>
      <c r="V493" s="228" t="s">
        <v>1926</v>
      </c>
      <c r="W493" s="228" t="s">
        <v>1927</v>
      </c>
      <c r="X493" s="228" t="s">
        <v>1928</v>
      </c>
      <c r="Z493" s="9"/>
    </row>
    <row r="494" spans="1:28" outlineLevel="2">
      <c r="A494" s="13" t="s">
        <v>317</v>
      </c>
      <c r="B494" s="184">
        <f>(B491+B492)/55</f>
        <v>10.281491530264359</v>
      </c>
      <c r="C494" s="184">
        <f>(C491+C492)/55</f>
        <v>0</v>
      </c>
      <c r="D494" s="184">
        <f>(D491+D492)/55</f>
        <v>0</v>
      </c>
      <c r="E494" s="4"/>
      <c r="F494" s="4"/>
      <c r="G494" s="4"/>
      <c r="H494" s="4"/>
      <c r="I494" s="4"/>
      <c r="J494" s="4"/>
      <c r="K494" s="4"/>
      <c r="L494" s="4"/>
      <c r="M494" s="4"/>
      <c r="O494" s="368">
        <f t="shared" ref="O494:O508" si="199">IFERROR(IF($P$489&lt;=Q494,1,0),0)</f>
        <v>0</v>
      </c>
      <c r="P494" s="562" t="s">
        <v>1924</v>
      </c>
      <c r="Q494" s="582">
        <f>$I$15</f>
        <v>9.5749999999999993</v>
      </c>
      <c r="R494" s="202">
        <v>1</v>
      </c>
      <c r="S494" s="228">
        <v>0</v>
      </c>
      <c r="T494" s="246">
        <v>0</v>
      </c>
      <c r="U494" s="146">
        <v>0</v>
      </c>
      <c r="V494" s="201">
        <f>IF($I$12&lt;$C$489,$O$491/15,RESUMO!$D$6/$B$489)/15</f>
        <v>565.48203416453953</v>
      </c>
      <c r="W494" s="201">
        <f>IF($C$489&lt;2,0,IF($I$12&lt;$C$489,(O489-(B491*Q496))/J15,RESUMO!$D$6/$B$489)/15)</f>
        <v>0</v>
      </c>
      <c r="X494" s="201">
        <f>IF($C$489&lt;3,0,IF($I$12&lt;$C$489,(O489-(C491*Q501))/K15,RESUMO!$D$6/$B$489)/15)</f>
        <v>0</v>
      </c>
      <c r="Z494" s="9"/>
    </row>
    <row r="495" spans="1:28" outlineLevel="2">
      <c r="A495" s="13" t="s">
        <v>318</v>
      </c>
      <c r="B495" s="8">
        <v>1</v>
      </c>
      <c r="C495" s="114">
        <f>IF($C$489&gt;1,B495,0)</f>
        <v>0</v>
      </c>
      <c r="D495" s="114">
        <f>IF($C$489&gt;2,C495,0)</f>
        <v>0</v>
      </c>
      <c r="E495" s="4"/>
      <c r="F495" s="4"/>
      <c r="G495" s="4"/>
      <c r="H495" s="4"/>
      <c r="I495" s="4"/>
      <c r="J495" s="4"/>
      <c r="K495" s="4"/>
      <c r="L495" s="4"/>
      <c r="M495" s="4"/>
      <c r="O495" s="368">
        <f t="shared" si="199"/>
        <v>0</v>
      </c>
      <c r="P495" s="562" t="s">
        <v>1923</v>
      </c>
      <c r="Q495" s="202">
        <f>$I$15+1</f>
        <v>10.574999999999999</v>
      </c>
      <c r="R495" s="202">
        <v>1</v>
      </c>
      <c r="S495" s="228">
        <v>4</v>
      </c>
      <c r="T495" s="246">
        <v>0</v>
      </c>
      <c r="U495" s="146">
        <v>0</v>
      </c>
      <c r="V495"/>
      <c r="W495"/>
      <c r="X495"/>
      <c r="Z495" s="9"/>
    </row>
    <row r="496" spans="1:28" outlineLevel="2">
      <c r="A496" s="13" t="s">
        <v>319</v>
      </c>
      <c r="B496" s="8">
        <v>1</v>
      </c>
      <c r="C496" s="114">
        <f>IF($C$489&gt;1,B496,0)</f>
        <v>0</v>
      </c>
      <c r="D496" s="114">
        <f>IF($C$489&gt;2,C496,0)</f>
        <v>0</v>
      </c>
      <c r="E496" s="4"/>
      <c r="F496" s="4"/>
      <c r="G496" s="4"/>
      <c r="H496" s="4"/>
      <c r="I496" s="4"/>
      <c r="J496" s="4"/>
      <c r="K496" s="4"/>
      <c r="L496" s="4"/>
      <c r="M496" s="4"/>
      <c r="O496" s="368">
        <f t="shared" si="199"/>
        <v>1</v>
      </c>
      <c r="P496" s="562" t="s">
        <v>1922</v>
      </c>
      <c r="Q496" s="202">
        <f>$I$15+2</f>
        <v>11.574999999999999</v>
      </c>
      <c r="R496" s="202">
        <v>1</v>
      </c>
      <c r="S496" s="228">
        <v>2</v>
      </c>
      <c r="T496" s="246">
        <v>0</v>
      </c>
      <c r="U496" s="146">
        <v>0</v>
      </c>
      <c r="V496"/>
      <c r="W496"/>
      <c r="X496"/>
      <c r="Z496" s="9"/>
    </row>
    <row r="497" spans="1:26" outlineLevel="2">
      <c r="A497" s="13" t="s">
        <v>320</v>
      </c>
      <c r="B497" s="8">
        <v>1</v>
      </c>
      <c r="C497" s="114">
        <f>IF($C$489&gt;1,B497,0)</f>
        <v>0</v>
      </c>
      <c r="D497" s="114">
        <f>IF($C$489&gt;2,C497,0)</f>
        <v>0</v>
      </c>
      <c r="E497" s="4"/>
      <c r="F497" s="4"/>
      <c r="G497" s="4"/>
      <c r="H497" s="4"/>
      <c r="I497" s="4"/>
      <c r="J497" s="4"/>
      <c r="K497" s="4"/>
      <c r="L497" s="4"/>
      <c r="M497" s="4"/>
      <c r="O497" s="368">
        <f t="shared" si="199"/>
        <v>0</v>
      </c>
      <c r="P497" s="562" t="s">
        <v>1036</v>
      </c>
      <c r="Q497" s="202">
        <f>$I$15+$J$15</f>
        <v>9.5749999999999993</v>
      </c>
      <c r="R497" s="202">
        <v>2</v>
      </c>
      <c r="S497" s="228">
        <v>0</v>
      </c>
      <c r="T497" s="246">
        <v>0</v>
      </c>
      <c r="U497" s="146">
        <v>0</v>
      </c>
      <c r="V497"/>
      <c r="W497"/>
      <c r="X497"/>
      <c r="Z497" s="9"/>
    </row>
    <row r="498" spans="1:26" outlineLevel="2">
      <c r="A498" s="13" t="s">
        <v>321</v>
      </c>
      <c r="B498" s="8" t="s">
        <v>302</v>
      </c>
      <c r="C498" s="8">
        <f>IF($I$12&gt;1,B498,0)</f>
        <v>0</v>
      </c>
      <c r="D498" s="8">
        <f>IF($I$12&gt;2,C498,0)</f>
        <v>0</v>
      </c>
      <c r="E498" s="4"/>
      <c r="F498" s="4"/>
      <c r="G498" s="4"/>
      <c r="H498" s="4"/>
      <c r="I498" s="4"/>
      <c r="J498" s="4"/>
      <c r="K498" s="4"/>
      <c r="L498" s="4"/>
      <c r="M498" s="4"/>
      <c r="O498" s="368">
        <f t="shared" si="199"/>
        <v>0</v>
      </c>
      <c r="P498" s="562" t="s">
        <v>1045</v>
      </c>
      <c r="Q498" s="202">
        <f>Q497+1</f>
        <v>10.574999999999999</v>
      </c>
      <c r="R498" s="202">
        <v>2</v>
      </c>
      <c r="S498" s="228">
        <v>4</v>
      </c>
      <c r="T498" s="246">
        <v>0</v>
      </c>
      <c r="U498" s="146">
        <v>0</v>
      </c>
      <c r="V498"/>
      <c r="W498"/>
      <c r="X498"/>
      <c r="Z498" s="9"/>
    </row>
    <row r="499" spans="1:26" outlineLevel="2">
      <c r="A499" s="13" t="s">
        <v>890</v>
      </c>
      <c r="B499" s="8" t="s">
        <v>1056</v>
      </c>
      <c r="C499" s="8" t="str">
        <f>B499</f>
        <v>Bacias</v>
      </c>
      <c r="D499" s="8" t="str">
        <f>C499</f>
        <v>Bacias</v>
      </c>
      <c r="E499" s="4"/>
      <c r="F499" s="4"/>
      <c r="G499" s="4"/>
      <c r="H499" s="4"/>
      <c r="I499" s="4"/>
      <c r="J499" s="4"/>
      <c r="K499" s="4"/>
      <c r="L499" s="4"/>
      <c r="M499" s="4"/>
      <c r="O499" s="368">
        <f t="shared" si="199"/>
        <v>1</v>
      </c>
      <c r="P499" s="562" t="s">
        <v>1037</v>
      </c>
      <c r="Q499" s="202">
        <f>Q498+1</f>
        <v>11.574999999999999</v>
      </c>
      <c r="R499" s="202">
        <v>2</v>
      </c>
      <c r="S499" s="228">
        <v>4</v>
      </c>
      <c r="T499" s="246">
        <v>4</v>
      </c>
      <c r="U499" s="146">
        <v>0</v>
      </c>
      <c r="V499"/>
      <c r="W499"/>
      <c r="X499"/>
      <c r="Z499" s="9"/>
    </row>
    <row r="500" spans="1:26" outlineLevel="2">
      <c r="F500" s="4"/>
      <c r="G500" s="4"/>
      <c r="H500" s="4"/>
      <c r="I500" s="4"/>
      <c r="J500" s="4"/>
      <c r="K500" s="4"/>
      <c r="L500" s="4"/>
      <c r="M500" s="4"/>
      <c r="O500" s="368">
        <f t="shared" si="199"/>
        <v>1</v>
      </c>
      <c r="P500" s="562" t="s">
        <v>1038</v>
      </c>
      <c r="Q500" s="202">
        <f>Q499+1</f>
        <v>12.574999999999999</v>
      </c>
      <c r="R500" s="202">
        <v>2</v>
      </c>
      <c r="S500" s="228">
        <v>2</v>
      </c>
      <c r="T500" s="246">
        <v>4</v>
      </c>
      <c r="U500" s="146">
        <v>0</v>
      </c>
      <c r="V500"/>
      <c r="W500"/>
      <c r="X500"/>
      <c r="Z500" s="9"/>
    </row>
    <row r="501" spans="1:26" outlineLevel="2">
      <c r="F501" s="4"/>
      <c r="G501" s="4"/>
      <c r="H501" s="4"/>
      <c r="I501" s="4"/>
      <c r="J501" s="4"/>
      <c r="K501" s="4"/>
      <c r="L501" s="4"/>
      <c r="M501" s="4"/>
      <c r="O501" s="368">
        <f t="shared" si="199"/>
        <v>1</v>
      </c>
      <c r="P501" s="562" t="s">
        <v>1039</v>
      </c>
      <c r="Q501" s="202">
        <f>Q500+1</f>
        <v>13.574999999999999</v>
      </c>
      <c r="R501" s="202">
        <v>2</v>
      </c>
      <c r="S501" s="228">
        <v>2</v>
      </c>
      <c r="T501" s="246">
        <v>2</v>
      </c>
      <c r="U501" s="146">
        <v>0</v>
      </c>
      <c r="V501"/>
      <c r="W501"/>
      <c r="X501"/>
      <c r="Z501" s="9"/>
    </row>
    <row r="502" spans="1:26" outlineLevel="2">
      <c r="D502" s="4"/>
      <c r="E502" s="4"/>
      <c r="F502" s="4"/>
      <c r="G502" s="4"/>
      <c r="H502" s="4"/>
      <c r="I502" s="4"/>
      <c r="J502" s="4"/>
      <c r="K502" s="4"/>
      <c r="L502" s="4"/>
      <c r="M502" s="4"/>
      <c r="O502" s="368">
        <f t="shared" si="199"/>
        <v>0</v>
      </c>
      <c r="P502" s="562" t="s">
        <v>1960</v>
      </c>
      <c r="Q502" s="202">
        <f>IF(I56&gt;2,18,0)</f>
        <v>0</v>
      </c>
      <c r="R502" s="202">
        <v>3</v>
      </c>
      <c r="S502" s="228">
        <v>0</v>
      </c>
      <c r="T502" s="246">
        <v>0</v>
      </c>
      <c r="U502" s="146">
        <v>0</v>
      </c>
      <c r="V502"/>
      <c r="W502"/>
      <c r="X502"/>
      <c r="Z502" s="9"/>
    </row>
    <row r="503" spans="1:26" outlineLevel="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O503" s="368">
        <f t="shared" si="199"/>
        <v>1</v>
      </c>
      <c r="P503" s="562" t="s">
        <v>1921</v>
      </c>
      <c r="Q503" s="202">
        <v>19</v>
      </c>
      <c r="R503" s="202">
        <v>3</v>
      </c>
      <c r="S503" s="228">
        <v>4</v>
      </c>
      <c r="T503" s="246">
        <v>0</v>
      </c>
      <c r="U503" s="146">
        <v>0</v>
      </c>
      <c r="V503"/>
      <c r="W503"/>
      <c r="X503"/>
      <c r="Z503" s="9"/>
    </row>
    <row r="504" spans="1:26" outlineLevel="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O504" s="368">
        <f t="shared" si="199"/>
        <v>1</v>
      </c>
      <c r="P504" s="562" t="s">
        <v>1044</v>
      </c>
      <c r="Q504" s="202">
        <f>Q503+1</f>
        <v>20</v>
      </c>
      <c r="R504" s="202">
        <v>3</v>
      </c>
      <c r="S504" s="228">
        <v>4</v>
      </c>
      <c r="T504" s="246">
        <v>4</v>
      </c>
      <c r="U504" s="146">
        <v>0</v>
      </c>
      <c r="V504"/>
      <c r="W504"/>
      <c r="X504"/>
      <c r="Z504" s="9"/>
    </row>
    <row r="505" spans="1:26" outlineLevel="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O505" s="368">
        <f t="shared" si="199"/>
        <v>1</v>
      </c>
      <c r="P505" s="562" t="s">
        <v>1046</v>
      </c>
      <c r="Q505" s="202">
        <f>Q504+1</f>
        <v>21</v>
      </c>
      <c r="R505" s="202">
        <v>3</v>
      </c>
      <c r="S505" s="228">
        <v>4</v>
      </c>
      <c r="T505" s="246">
        <v>4</v>
      </c>
      <c r="U505" s="146">
        <v>4</v>
      </c>
      <c r="V505"/>
      <c r="W505"/>
      <c r="X505"/>
      <c r="Z505" s="9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368">
        <f t="shared" si="199"/>
        <v>1</v>
      </c>
      <c r="P506" s="562" t="s">
        <v>1047</v>
      </c>
      <c r="Q506" s="202">
        <f>Q505+1</f>
        <v>22</v>
      </c>
      <c r="R506" s="202">
        <v>3</v>
      </c>
      <c r="S506" s="228">
        <v>2</v>
      </c>
      <c r="T506" s="246">
        <v>4</v>
      </c>
      <c r="U506" s="146">
        <v>4</v>
      </c>
      <c r="V506"/>
      <c r="W506"/>
      <c r="X506"/>
      <c r="Z506" s="9"/>
    </row>
    <row r="507" spans="1:26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368">
        <f t="shared" si="199"/>
        <v>1</v>
      </c>
      <c r="P507" s="562" t="s">
        <v>1920</v>
      </c>
      <c r="Q507" s="202">
        <f>Q506+1</f>
        <v>23</v>
      </c>
      <c r="R507" s="202">
        <v>3</v>
      </c>
      <c r="S507" s="228">
        <v>2</v>
      </c>
      <c r="T507" s="246">
        <v>2</v>
      </c>
      <c r="U507" s="146">
        <v>4</v>
      </c>
      <c r="V507"/>
      <c r="W507"/>
      <c r="X507"/>
      <c r="Z507" s="9"/>
    </row>
    <row r="508" spans="1:26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368">
        <f t="shared" si="199"/>
        <v>1</v>
      </c>
      <c r="P508" s="562" t="s">
        <v>1048</v>
      </c>
      <c r="Q508" s="202">
        <f>Q507+1</f>
        <v>24</v>
      </c>
      <c r="R508" s="202">
        <v>3</v>
      </c>
      <c r="S508" s="228">
        <v>2</v>
      </c>
      <c r="T508" s="246">
        <v>2</v>
      </c>
      <c r="U508" s="146">
        <v>2</v>
      </c>
      <c r="V508"/>
      <c r="W508"/>
      <c r="X508"/>
      <c r="Z508" s="9"/>
    </row>
    <row r="509" spans="1:26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V509"/>
      <c r="W509"/>
      <c r="X509"/>
    </row>
    <row r="510" spans="1:26"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V510"/>
      <c r="W510"/>
      <c r="X510"/>
    </row>
    <row r="511" spans="1:26"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36"/>
      <c r="R511" s="4"/>
      <c r="T511" s="9"/>
      <c r="U511" s="9"/>
      <c r="V511"/>
      <c r="W511"/>
      <c r="X511"/>
      <c r="Z511" s="9"/>
    </row>
    <row r="512" spans="1:26"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36"/>
      <c r="R512" s="4"/>
      <c r="T512" s="9"/>
      <c r="U512" s="9"/>
      <c r="V512"/>
      <c r="W512"/>
      <c r="X512"/>
      <c r="Z512" s="9"/>
    </row>
    <row r="513" spans="2:26"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36"/>
      <c r="R513" s="4"/>
      <c r="T513" s="9"/>
      <c r="U513" s="9"/>
      <c r="Z513" s="9"/>
    </row>
    <row r="514" spans="2:26"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36"/>
      <c r="R514" s="4"/>
      <c r="T514" s="9"/>
      <c r="U514" s="9"/>
      <c r="Z514" s="9"/>
    </row>
    <row r="515" spans="2:26"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36"/>
      <c r="R515" s="4"/>
      <c r="T515" s="9"/>
      <c r="U515" s="9"/>
      <c r="Z515" s="9"/>
    </row>
    <row r="516" spans="2:26"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36"/>
      <c r="R516" s="4"/>
      <c r="T516" s="9"/>
      <c r="U516" s="9"/>
      <c r="Z516" s="9"/>
    </row>
    <row r="517" spans="2:26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36"/>
      <c r="R517" s="4"/>
      <c r="T517" s="9"/>
      <c r="U517" s="9"/>
      <c r="Z517" s="9"/>
    </row>
    <row r="518" spans="2:26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36"/>
      <c r="R518" s="4"/>
      <c r="T518" s="9"/>
      <c r="U518" s="9"/>
      <c r="Z518" s="9"/>
    </row>
    <row r="519" spans="2:26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36"/>
      <c r="R519" s="4"/>
      <c r="T519" s="9"/>
      <c r="U519" s="9"/>
      <c r="Z519" s="9"/>
    </row>
    <row r="520" spans="2:26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36"/>
      <c r="R520" s="4"/>
      <c r="T520" s="9"/>
      <c r="U520" s="9"/>
      <c r="Z520" s="9"/>
    </row>
    <row r="521" spans="2:26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36"/>
      <c r="R521" s="4"/>
      <c r="T521" s="9"/>
      <c r="U521" s="9"/>
      <c r="Z521" s="9"/>
    </row>
    <row r="522" spans="2:26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36"/>
      <c r="R522" s="4"/>
      <c r="T522" s="9"/>
      <c r="U522" s="9"/>
      <c r="Z522" s="9"/>
    </row>
    <row r="523" spans="2:26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36"/>
      <c r="R523" s="4"/>
      <c r="T523" s="9"/>
      <c r="U523" s="9"/>
      <c r="Z523" s="9"/>
    </row>
    <row r="524" spans="2:26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36"/>
      <c r="R524" s="4"/>
      <c r="T524" s="9"/>
      <c r="U524" s="9"/>
      <c r="Z524" s="9"/>
    </row>
    <row r="525" spans="2:26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36"/>
      <c r="R525" s="4"/>
      <c r="T525" s="9"/>
      <c r="U525" s="9"/>
      <c r="Z525" s="9"/>
    </row>
    <row r="526" spans="2: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36"/>
      <c r="R526" s="4"/>
      <c r="T526" s="9"/>
      <c r="U526" s="9"/>
      <c r="Z526" s="9"/>
    </row>
    <row r="527" spans="2:26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36"/>
      <c r="R527" s="4"/>
      <c r="T527" s="9"/>
      <c r="U527" s="9"/>
      <c r="Z527" s="9"/>
    </row>
    <row r="528" spans="2:26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36"/>
      <c r="R528" s="4"/>
      <c r="T528" s="9"/>
      <c r="U528" s="9"/>
      <c r="Z528" s="9"/>
    </row>
    <row r="529" spans="2:26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36"/>
      <c r="R529" s="4"/>
      <c r="T529" s="9"/>
      <c r="U529" s="9"/>
      <c r="Z529" s="9"/>
    </row>
    <row r="530" spans="2:26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36"/>
      <c r="R530" s="4"/>
      <c r="T530" s="9"/>
      <c r="U530" s="9"/>
      <c r="Z530" s="9"/>
    </row>
    <row r="531" spans="2:26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36"/>
      <c r="R531" s="4"/>
      <c r="T531" s="9"/>
      <c r="U531" s="9"/>
      <c r="Z531" s="9"/>
    </row>
    <row r="532" spans="2:26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36"/>
      <c r="R532" s="4"/>
      <c r="T532" s="9"/>
      <c r="U532" s="9"/>
      <c r="Z532" s="9"/>
    </row>
    <row r="533" spans="2:26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36"/>
      <c r="R533" s="4"/>
      <c r="T533" s="9"/>
      <c r="U533" s="9"/>
      <c r="Z533" s="9"/>
    </row>
    <row r="534" spans="2:26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36"/>
      <c r="R534" s="4"/>
      <c r="T534" s="9"/>
      <c r="U534" s="9"/>
      <c r="Z534" s="9"/>
    </row>
    <row r="535" spans="2:26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36"/>
      <c r="R535" s="4"/>
      <c r="T535" s="9"/>
      <c r="U535" s="9"/>
      <c r="Z535" s="9"/>
    </row>
    <row r="536" spans="2:2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36"/>
      <c r="R536" s="4"/>
      <c r="T536" s="9"/>
      <c r="U536" s="9"/>
      <c r="Z536" s="9"/>
    </row>
    <row r="537" spans="2:26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36"/>
      <c r="R537" s="4"/>
      <c r="T537" s="9"/>
      <c r="U537" s="9"/>
      <c r="Z537" s="9"/>
    </row>
    <row r="538" spans="2:26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36"/>
      <c r="R538" s="4"/>
      <c r="T538" s="9"/>
      <c r="U538" s="9"/>
      <c r="Z538" s="9"/>
    </row>
    <row r="539" spans="2:26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36"/>
      <c r="R539" s="4"/>
      <c r="T539" s="9"/>
      <c r="U539" s="9"/>
      <c r="Z539" s="9"/>
    </row>
    <row r="540" spans="2:26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36"/>
      <c r="R540" s="4"/>
      <c r="T540" s="9"/>
      <c r="U540" s="9"/>
      <c r="Z540" s="9"/>
    </row>
    <row r="541" spans="2:26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36"/>
      <c r="R541" s="4"/>
      <c r="T541" s="9"/>
      <c r="U541" s="9"/>
      <c r="Z541" s="9"/>
    </row>
    <row r="542" spans="2:26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36"/>
      <c r="R542" s="4"/>
      <c r="T542" s="9"/>
      <c r="U542" s="9"/>
      <c r="Z542" s="9"/>
    </row>
    <row r="543" spans="2:26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36"/>
      <c r="R543" s="4"/>
      <c r="T543" s="9"/>
      <c r="U543" s="9"/>
      <c r="Z543" s="9"/>
    </row>
    <row r="544" spans="2:26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36"/>
      <c r="R544" s="4"/>
      <c r="T544" s="9"/>
      <c r="U544" s="9"/>
      <c r="Z544" s="9"/>
    </row>
    <row r="545" spans="2:26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36"/>
      <c r="R545" s="4"/>
      <c r="T545" s="9"/>
      <c r="U545" s="9"/>
      <c r="Z545" s="9"/>
    </row>
    <row r="546" spans="2:2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36"/>
      <c r="R546" s="4"/>
      <c r="T546" s="9"/>
      <c r="U546" s="9"/>
      <c r="Z546" s="9"/>
    </row>
    <row r="547" spans="2:26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36"/>
      <c r="R547" s="4"/>
      <c r="T547" s="9"/>
      <c r="U547" s="9"/>
      <c r="Z547" s="9"/>
    </row>
    <row r="548" spans="2:26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36"/>
      <c r="R548" s="4"/>
      <c r="T548" s="9"/>
      <c r="U548" s="9"/>
      <c r="Z548" s="9"/>
    </row>
    <row r="549" spans="2:26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36"/>
      <c r="R549" s="4"/>
      <c r="T549" s="9"/>
      <c r="U549" s="9"/>
      <c r="Z549" s="9"/>
    </row>
    <row r="550" spans="2:26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36"/>
      <c r="R550" s="4"/>
      <c r="T550" s="9"/>
      <c r="U550" s="9"/>
      <c r="Z550" s="9"/>
    </row>
    <row r="551" spans="2:26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36"/>
      <c r="R551" s="4"/>
      <c r="T551" s="9"/>
      <c r="U551" s="9"/>
      <c r="Z551" s="9"/>
    </row>
    <row r="552" spans="2:26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36"/>
      <c r="R552" s="4"/>
      <c r="T552" s="9"/>
      <c r="U552" s="9"/>
      <c r="Z552" s="9"/>
    </row>
    <row r="553" spans="2:26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36"/>
      <c r="R553" s="4"/>
      <c r="T553" s="9"/>
      <c r="U553" s="9"/>
      <c r="Z553" s="9"/>
    </row>
    <row r="554" spans="2:26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36"/>
      <c r="R554" s="4"/>
      <c r="T554" s="9"/>
      <c r="U554" s="9"/>
      <c r="Z554" s="9"/>
    </row>
    <row r="555" spans="2:26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36"/>
      <c r="R555" s="4"/>
      <c r="T555" s="9"/>
      <c r="U555" s="9"/>
      <c r="Z555" s="9"/>
    </row>
    <row r="556" spans="2:2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36"/>
      <c r="R556" s="4"/>
      <c r="T556" s="9"/>
      <c r="U556" s="9"/>
      <c r="Z556" s="9"/>
    </row>
    <row r="557" spans="2:26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36"/>
      <c r="R557" s="4"/>
      <c r="T557" s="9"/>
      <c r="U557" s="9"/>
      <c r="Z557" s="9"/>
    </row>
    <row r="558" spans="2:26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36"/>
      <c r="R558" s="4"/>
      <c r="T558" s="9"/>
      <c r="U558" s="9"/>
      <c r="Z558" s="9"/>
    </row>
    <row r="559" spans="2:26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36"/>
      <c r="R559" s="4"/>
      <c r="T559" s="9"/>
      <c r="U559" s="9"/>
      <c r="Z559" s="9"/>
    </row>
    <row r="560" spans="2:26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36"/>
      <c r="R560" s="4"/>
      <c r="T560" s="9"/>
      <c r="U560" s="9"/>
      <c r="Z560" s="9"/>
    </row>
    <row r="561" spans="2:26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36"/>
      <c r="R561" s="4"/>
      <c r="T561" s="9"/>
      <c r="U561" s="9"/>
      <c r="Z561" s="9"/>
    </row>
    <row r="562" spans="2:26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36"/>
      <c r="R562" s="4"/>
      <c r="T562" s="9"/>
      <c r="U562" s="9"/>
      <c r="Z562" s="9"/>
    </row>
    <row r="563" spans="2:26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36"/>
      <c r="R563" s="4"/>
      <c r="T563" s="9"/>
      <c r="U563" s="9"/>
      <c r="Z563" s="9"/>
    </row>
    <row r="564" spans="2:26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36"/>
      <c r="R564" s="4"/>
      <c r="T564" s="9"/>
      <c r="U564" s="9"/>
      <c r="Z564" s="9"/>
    </row>
    <row r="565" spans="2:26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36"/>
      <c r="R565" s="4"/>
      <c r="T565" s="9"/>
      <c r="U565" s="9"/>
      <c r="Z565" s="9"/>
    </row>
    <row r="566" spans="2:2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36"/>
      <c r="R566" s="4"/>
      <c r="T566" s="9"/>
      <c r="U566" s="9"/>
      <c r="Z566" s="9"/>
    </row>
    <row r="567" spans="2:26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36"/>
      <c r="R567" s="4"/>
      <c r="T567" s="9"/>
      <c r="U567" s="9"/>
      <c r="Z567" s="9"/>
    </row>
    <row r="568" spans="2:26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36"/>
      <c r="R568" s="4"/>
      <c r="T568" s="9"/>
      <c r="U568" s="9"/>
      <c r="Z568" s="9"/>
    </row>
    <row r="569" spans="2:26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36"/>
      <c r="R569" s="4"/>
      <c r="T569" s="9"/>
      <c r="U569" s="9"/>
      <c r="Z569" s="9"/>
    </row>
    <row r="570" spans="2:26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36"/>
      <c r="R570" s="4"/>
      <c r="T570" s="9"/>
      <c r="U570" s="9"/>
      <c r="Z570" s="9"/>
    </row>
    <row r="571" spans="2:26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36"/>
      <c r="R571" s="4"/>
      <c r="T571" s="9"/>
      <c r="U571" s="9"/>
      <c r="Z571" s="9"/>
    </row>
    <row r="572" spans="2:26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36"/>
      <c r="R572" s="4"/>
      <c r="T572" s="9"/>
      <c r="U572" s="9"/>
      <c r="Z572" s="9"/>
    </row>
    <row r="573" spans="2:26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36"/>
      <c r="R573" s="4"/>
      <c r="T573" s="9"/>
      <c r="U573" s="9"/>
      <c r="Z573" s="9"/>
    </row>
    <row r="574" spans="2:26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36"/>
      <c r="R574" s="4"/>
      <c r="T574" s="9"/>
      <c r="U574" s="9"/>
      <c r="Z574" s="9"/>
    </row>
    <row r="575" spans="2:26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36"/>
      <c r="R575" s="4"/>
      <c r="T575" s="9"/>
      <c r="U575" s="9"/>
      <c r="Z575" s="9"/>
    </row>
    <row r="576" spans="2:2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36"/>
      <c r="R576" s="4"/>
      <c r="T576" s="9"/>
      <c r="U576" s="9"/>
      <c r="Z576" s="9"/>
    </row>
    <row r="577" spans="2:26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36"/>
      <c r="R577" s="4"/>
      <c r="T577" s="9"/>
      <c r="U577" s="9"/>
      <c r="Z577" s="9"/>
    </row>
    <row r="578" spans="2:26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36"/>
      <c r="R578" s="4"/>
      <c r="T578" s="9"/>
      <c r="U578" s="9"/>
      <c r="Z578" s="9"/>
    </row>
    <row r="579" spans="2:26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36"/>
      <c r="R579" s="4"/>
      <c r="T579" s="9"/>
      <c r="U579" s="9"/>
      <c r="Z579" s="9"/>
    </row>
    <row r="580" spans="2:26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36"/>
      <c r="R580" s="4"/>
      <c r="T580" s="9"/>
      <c r="U580" s="9"/>
      <c r="Z580" s="9"/>
    </row>
    <row r="581" spans="2:26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36"/>
      <c r="R581" s="4"/>
      <c r="T581" s="9"/>
      <c r="U581" s="9"/>
      <c r="Z581" s="9"/>
    </row>
    <row r="582" spans="2:26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36"/>
      <c r="R582" s="4"/>
      <c r="T582" s="9"/>
      <c r="U582" s="9"/>
      <c r="Z582" s="9"/>
    </row>
    <row r="583" spans="2:26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36"/>
      <c r="R583" s="4"/>
      <c r="T583" s="9"/>
      <c r="U583" s="9"/>
      <c r="Z583" s="9"/>
    </row>
    <row r="584" spans="2:26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36"/>
      <c r="R584" s="4"/>
      <c r="T584" s="9"/>
      <c r="U584" s="9"/>
      <c r="Z584" s="9"/>
    </row>
    <row r="585" spans="2:26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36"/>
      <c r="R585" s="4"/>
      <c r="T585" s="9"/>
      <c r="U585" s="9"/>
      <c r="Z585" s="9"/>
    </row>
    <row r="586" spans="2:2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36"/>
      <c r="R586" s="4"/>
      <c r="T586" s="9"/>
      <c r="U586" s="9"/>
      <c r="Z586" s="9"/>
    </row>
    <row r="587" spans="2:26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36"/>
      <c r="R587" s="4"/>
      <c r="T587" s="9"/>
      <c r="U587" s="9"/>
      <c r="Z587" s="9"/>
    </row>
    <row r="588" spans="2:26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36"/>
      <c r="R588" s="4"/>
      <c r="T588" s="9"/>
      <c r="U588" s="9"/>
      <c r="Z588" s="9"/>
    </row>
    <row r="589" spans="2:26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36"/>
      <c r="R589" s="4"/>
      <c r="T589" s="9"/>
      <c r="U589" s="9"/>
      <c r="Z589" s="9"/>
    </row>
    <row r="590" spans="2:26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36"/>
      <c r="R590" s="4"/>
      <c r="T590" s="9"/>
      <c r="U590" s="9"/>
      <c r="Z590" s="9"/>
    </row>
    <row r="591" spans="2:26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36"/>
      <c r="R591" s="4"/>
      <c r="T591" s="9"/>
      <c r="U591" s="9"/>
      <c r="Z591" s="9"/>
    </row>
    <row r="592" spans="2:26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36"/>
      <c r="R592" s="4"/>
      <c r="T592" s="9"/>
      <c r="U592" s="9"/>
      <c r="Z592" s="9"/>
    </row>
    <row r="593" spans="2:26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36"/>
      <c r="R593" s="4"/>
      <c r="T593" s="9"/>
      <c r="U593" s="9"/>
      <c r="Z593" s="9"/>
    </row>
    <row r="594" spans="2:26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36"/>
      <c r="R594" s="4"/>
      <c r="T594" s="9"/>
      <c r="U594" s="9"/>
      <c r="Z594" s="9"/>
    </row>
    <row r="595" spans="2:26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36"/>
      <c r="R595" s="4"/>
      <c r="T595" s="9"/>
      <c r="U595" s="9"/>
      <c r="Z595" s="9"/>
    </row>
    <row r="596" spans="2:2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36"/>
      <c r="R596" s="4"/>
      <c r="T596" s="9"/>
      <c r="U596" s="9"/>
      <c r="Z596" s="9"/>
    </row>
    <row r="597" spans="2:26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36"/>
      <c r="R597" s="4"/>
      <c r="T597" s="9"/>
      <c r="U597" s="9"/>
      <c r="Z597" s="9"/>
    </row>
    <row r="598" spans="2:26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36"/>
      <c r="R598" s="4"/>
      <c r="T598" s="9"/>
      <c r="U598" s="9"/>
      <c r="Z598" s="9"/>
    </row>
    <row r="599" spans="2:26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36"/>
      <c r="R599" s="4"/>
      <c r="T599" s="9"/>
      <c r="U599" s="9"/>
      <c r="Z599" s="9"/>
    </row>
    <row r="600" spans="2:26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36"/>
      <c r="R600" s="4"/>
      <c r="T600" s="9"/>
      <c r="U600" s="9"/>
      <c r="Z600" s="9"/>
    </row>
    <row r="601" spans="2:26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36"/>
      <c r="R601" s="4"/>
      <c r="T601" s="9"/>
      <c r="U601" s="9"/>
      <c r="Z601" s="9"/>
    </row>
    <row r="602" spans="2:26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36"/>
      <c r="R602" s="4"/>
      <c r="T602" s="9"/>
      <c r="U602" s="9"/>
      <c r="Z602" s="9"/>
    </row>
    <row r="603" spans="2:26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36"/>
      <c r="R603" s="4"/>
      <c r="T603" s="9"/>
      <c r="U603" s="9"/>
      <c r="Z603" s="9"/>
    </row>
    <row r="604" spans="2:26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36"/>
      <c r="R604" s="4"/>
      <c r="T604" s="9"/>
      <c r="U604" s="9"/>
      <c r="Z604" s="9"/>
    </row>
    <row r="605" spans="2:26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36"/>
      <c r="R605" s="4"/>
      <c r="T605" s="9"/>
      <c r="U605" s="9"/>
      <c r="Z605" s="9"/>
    </row>
    <row r="606" spans="2:2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36"/>
      <c r="R606" s="4"/>
      <c r="T606" s="9"/>
      <c r="U606" s="9"/>
      <c r="Z606" s="9"/>
    </row>
    <row r="607" spans="2:26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36"/>
      <c r="R607" s="4"/>
      <c r="T607" s="9"/>
      <c r="U607" s="9"/>
      <c r="Z607" s="9"/>
    </row>
    <row r="608" spans="2:26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36"/>
      <c r="R608" s="4"/>
      <c r="T608" s="9"/>
      <c r="U608" s="9"/>
      <c r="Z608" s="9"/>
    </row>
    <row r="609" spans="2:26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36"/>
      <c r="R609" s="4"/>
      <c r="T609" s="9"/>
      <c r="U609" s="9"/>
      <c r="Z609" s="9"/>
    </row>
    <row r="610" spans="2:26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36"/>
      <c r="R610" s="4"/>
      <c r="T610" s="9"/>
      <c r="U610" s="9"/>
      <c r="Z610" s="9"/>
    </row>
    <row r="611" spans="2:26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36"/>
      <c r="R611" s="4"/>
      <c r="T611" s="9"/>
      <c r="U611" s="9"/>
      <c r="Z611" s="9"/>
    </row>
    <row r="612" spans="2:26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36"/>
      <c r="R612" s="4"/>
      <c r="T612" s="9"/>
      <c r="U612" s="9"/>
      <c r="Z612" s="9"/>
    </row>
    <row r="613" spans="2:26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36"/>
      <c r="R613" s="4"/>
      <c r="T613" s="9"/>
      <c r="U613" s="9"/>
      <c r="Z613" s="9"/>
    </row>
    <row r="614" spans="2:26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36"/>
      <c r="R614" s="4"/>
      <c r="T614" s="9"/>
      <c r="U614" s="9"/>
      <c r="Z614" s="9"/>
    </row>
    <row r="615" spans="2:26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36"/>
      <c r="R615" s="4"/>
      <c r="T615" s="9"/>
      <c r="U615" s="9"/>
      <c r="Z615" s="9"/>
    </row>
    <row r="616" spans="2:2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36"/>
      <c r="R616" s="4"/>
      <c r="T616" s="9"/>
      <c r="U616" s="9"/>
      <c r="Z616" s="9"/>
    </row>
    <row r="617" spans="2:26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36"/>
      <c r="R617" s="4"/>
      <c r="T617" s="9"/>
      <c r="U617" s="9"/>
      <c r="Z617" s="9"/>
    </row>
    <row r="618" spans="2:26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36"/>
      <c r="R618" s="4"/>
      <c r="T618" s="9"/>
      <c r="U618" s="9"/>
      <c r="Z618" s="9"/>
    </row>
    <row r="619" spans="2:26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36"/>
      <c r="R619" s="4"/>
      <c r="T619" s="9"/>
      <c r="U619" s="9"/>
      <c r="Z619" s="9"/>
    </row>
    <row r="620" spans="2:26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36"/>
      <c r="R620" s="4"/>
      <c r="T620" s="9"/>
      <c r="U620" s="9"/>
      <c r="Z620" s="9"/>
    </row>
    <row r="621" spans="2:26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36"/>
      <c r="R621" s="4"/>
      <c r="T621" s="9"/>
      <c r="U621" s="9"/>
      <c r="Z621" s="9"/>
    </row>
    <row r="622" spans="2:26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36"/>
      <c r="R622" s="4"/>
      <c r="T622" s="9"/>
      <c r="U622" s="9"/>
      <c r="Z622" s="9"/>
    </row>
    <row r="623" spans="2:26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36"/>
      <c r="R623" s="4"/>
      <c r="T623" s="9"/>
      <c r="U623" s="9"/>
      <c r="Z623" s="9"/>
    </row>
    <row r="624" spans="2:26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36"/>
      <c r="R624" s="4"/>
      <c r="T624" s="9"/>
      <c r="U624" s="9"/>
      <c r="Z624" s="9"/>
    </row>
    <row r="625" spans="2:26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36"/>
      <c r="R625" s="4"/>
      <c r="T625" s="9"/>
      <c r="U625" s="9"/>
      <c r="Z625" s="9"/>
    </row>
    <row r="626" spans="2: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36"/>
      <c r="R626" s="4"/>
      <c r="T626" s="9"/>
      <c r="U626" s="9"/>
      <c r="Z626" s="9"/>
    </row>
    <row r="627" spans="2:26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36"/>
      <c r="R627" s="4"/>
      <c r="T627" s="9"/>
      <c r="U627" s="9"/>
      <c r="Z627" s="9"/>
    </row>
    <row r="628" spans="2:26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36"/>
      <c r="R628" s="4"/>
      <c r="T628" s="9"/>
      <c r="U628" s="9"/>
      <c r="Z628" s="9"/>
    </row>
    <row r="629" spans="2:26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36"/>
      <c r="R629" s="4"/>
      <c r="T629" s="9"/>
      <c r="U629" s="9"/>
      <c r="Z629" s="9"/>
    </row>
    <row r="630" spans="2:26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36"/>
      <c r="R630" s="4"/>
      <c r="T630" s="9"/>
      <c r="U630" s="9"/>
      <c r="Z630" s="9"/>
    </row>
    <row r="631" spans="2:26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36"/>
      <c r="R631" s="4"/>
      <c r="T631" s="9"/>
      <c r="U631" s="9"/>
      <c r="Z631" s="9"/>
    </row>
    <row r="632" spans="2:26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36"/>
      <c r="R632" s="4"/>
      <c r="T632" s="9"/>
      <c r="U632" s="9"/>
      <c r="Z632" s="9"/>
    </row>
    <row r="633" spans="2:26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36"/>
      <c r="R633" s="4"/>
      <c r="T633" s="9"/>
      <c r="U633" s="9"/>
      <c r="Z633" s="9"/>
    </row>
    <row r="634" spans="2:26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36"/>
      <c r="R634" s="4"/>
      <c r="T634" s="9"/>
      <c r="U634" s="9"/>
      <c r="Z634" s="9"/>
    </row>
    <row r="635" spans="2:26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36"/>
      <c r="R635" s="4"/>
      <c r="T635" s="9"/>
      <c r="U635" s="9"/>
      <c r="Z635" s="9"/>
    </row>
    <row r="636" spans="2:2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36"/>
      <c r="R636" s="4"/>
      <c r="T636" s="9"/>
      <c r="U636" s="9"/>
      <c r="Z636" s="9"/>
    </row>
    <row r="637" spans="2:26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36"/>
      <c r="R637" s="4"/>
      <c r="T637" s="9"/>
      <c r="U637" s="9"/>
      <c r="Z637" s="9"/>
    </row>
    <row r="638" spans="2:26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36"/>
      <c r="R638" s="4"/>
      <c r="T638" s="9"/>
      <c r="U638" s="9"/>
      <c r="Z638" s="9"/>
    </row>
    <row r="639" spans="2:26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36"/>
      <c r="R639" s="4"/>
      <c r="T639" s="9"/>
      <c r="U639" s="9"/>
      <c r="Z639" s="9"/>
    </row>
    <row r="640" spans="2:26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36"/>
      <c r="R640" s="4"/>
      <c r="T640" s="9"/>
      <c r="U640" s="9"/>
      <c r="Z640" s="9"/>
    </row>
    <row r="641" spans="2:26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36"/>
      <c r="R641" s="4"/>
      <c r="T641" s="9"/>
      <c r="U641" s="9"/>
      <c r="Z641" s="9"/>
    </row>
    <row r="642" spans="2:26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36"/>
      <c r="R642" s="4"/>
      <c r="T642" s="9"/>
      <c r="U642" s="9"/>
      <c r="Z642" s="9"/>
    </row>
    <row r="643" spans="2:26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36"/>
      <c r="R643" s="4"/>
      <c r="T643" s="9"/>
      <c r="U643" s="9"/>
      <c r="Z643" s="9"/>
    </row>
    <row r="644" spans="2:26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36"/>
      <c r="R644" s="4"/>
      <c r="T644" s="9"/>
      <c r="U644" s="9"/>
      <c r="Z644" s="9"/>
    </row>
    <row r="645" spans="2:26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36"/>
      <c r="R645" s="4"/>
      <c r="T645" s="9"/>
      <c r="U645" s="9"/>
      <c r="Z645" s="9"/>
    </row>
    <row r="646" spans="2:2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36"/>
      <c r="R646" s="4"/>
      <c r="T646" s="9"/>
      <c r="U646" s="9"/>
      <c r="Z646" s="9"/>
    </row>
    <row r="647" spans="2:26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36"/>
      <c r="R647" s="4"/>
      <c r="T647" s="9"/>
      <c r="U647" s="9"/>
      <c r="Z647" s="9"/>
    </row>
    <row r="648" spans="2:26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36"/>
      <c r="R648" s="4"/>
      <c r="T648" s="9"/>
      <c r="U648" s="9"/>
      <c r="Z648" s="9"/>
    </row>
    <row r="649" spans="2:26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36"/>
      <c r="R649" s="4"/>
      <c r="T649" s="9"/>
      <c r="U649" s="9"/>
      <c r="Z649" s="9"/>
    </row>
    <row r="650" spans="2:26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36"/>
      <c r="R650" s="4"/>
      <c r="T650" s="9"/>
      <c r="U650" s="9"/>
      <c r="Z650" s="9"/>
    </row>
    <row r="651" spans="2:26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36"/>
      <c r="R651" s="4"/>
      <c r="T651" s="9"/>
      <c r="U651" s="9"/>
      <c r="Z651" s="9"/>
    </row>
    <row r="652" spans="2:26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36"/>
      <c r="R652" s="4"/>
      <c r="T652" s="9"/>
      <c r="U652" s="9"/>
      <c r="Z652" s="9"/>
    </row>
    <row r="653" spans="2:26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36"/>
      <c r="R653" s="4"/>
      <c r="T653" s="9"/>
      <c r="U653" s="9"/>
      <c r="Z653" s="9"/>
    </row>
    <row r="654" spans="2:26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36"/>
      <c r="R654" s="4"/>
      <c r="T654" s="9"/>
      <c r="U654" s="9"/>
      <c r="Z654" s="9"/>
    </row>
    <row r="655" spans="2:26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36"/>
      <c r="R655" s="4"/>
      <c r="T655" s="9"/>
      <c r="U655" s="9"/>
      <c r="Z655" s="9"/>
    </row>
    <row r="656" spans="2:2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36"/>
      <c r="R656" s="4"/>
      <c r="T656" s="9"/>
      <c r="U656" s="9"/>
      <c r="Z656" s="9"/>
    </row>
    <row r="657" spans="2:26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36"/>
      <c r="R657" s="4"/>
      <c r="T657" s="9"/>
      <c r="U657" s="9"/>
      <c r="Z657" s="9"/>
    </row>
    <row r="658" spans="2:26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36"/>
      <c r="R658" s="4"/>
      <c r="T658" s="9"/>
      <c r="U658" s="9"/>
      <c r="Z658" s="9"/>
    </row>
    <row r="659" spans="2:26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36"/>
      <c r="R659" s="4"/>
      <c r="T659" s="9"/>
      <c r="U659" s="9"/>
      <c r="Z659" s="9"/>
    </row>
    <row r="660" spans="2:26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36"/>
      <c r="R660" s="4"/>
      <c r="T660" s="9"/>
      <c r="U660" s="9"/>
      <c r="Z660" s="9"/>
    </row>
    <row r="661" spans="2:26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36"/>
      <c r="R661" s="4"/>
      <c r="T661" s="9"/>
      <c r="U661" s="9"/>
      <c r="Z661" s="9"/>
    </row>
    <row r="662" spans="2:26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36"/>
      <c r="R662" s="4"/>
      <c r="T662" s="9"/>
      <c r="U662" s="9"/>
      <c r="Z662" s="9"/>
    </row>
    <row r="663" spans="2:26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36"/>
      <c r="R663" s="4"/>
      <c r="T663" s="9"/>
      <c r="U663" s="9"/>
      <c r="Z663" s="9"/>
    </row>
    <row r="664" spans="2:26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36"/>
      <c r="R664" s="4"/>
      <c r="T664" s="9"/>
      <c r="U664" s="9"/>
      <c r="Z664" s="9"/>
    </row>
    <row r="665" spans="2:26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36"/>
      <c r="R665" s="4"/>
      <c r="T665" s="9"/>
      <c r="U665" s="9"/>
      <c r="Z665" s="9"/>
    </row>
    <row r="666" spans="2:2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36"/>
      <c r="R666" s="4"/>
      <c r="T666" s="9"/>
      <c r="U666" s="9"/>
      <c r="Z666" s="9"/>
    </row>
    <row r="667" spans="2:26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36"/>
      <c r="R667" s="4"/>
      <c r="T667" s="9"/>
      <c r="U667" s="9"/>
      <c r="Z667" s="9"/>
    </row>
    <row r="668" spans="2:26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36"/>
      <c r="R668" s="4"/>
      <c r="T668" s="9"/>
      <c r="U668" s="9"/>
      <c r="Z668" s="9"/>
    </row>
    <row r="669" spans="2:26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36"/>
      <c r="R669" s="4"/>
      <c r="T669" s="9"/>
      <c r="U669" s="9"/>
      <c r="Z669" s="9"/>
    </row>
    <row r="670" spans="2:26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36"/>
      <c r="R670" s="4"/>
      <c r="T670" s="9"/>
      <c r="U670" s="9"/>
      <c r="Z670" s="9"/>
    </row>
    <row r="671" spans="2:26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36"/>
      <c r="R671" s="4"/>
      <c r="T671" s="9"/>
      <c r="U671" s="9"/>
      <c r="Z671" s="9"/>
    </row>
    <row r="672" spans="2:26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36"/>
      <c r="R672" s="4"/>
      <c r="T672" s="9"/>
      <c r="U672" s="9"/>
      <c r="Z672" s="9"/>
    </row>
    <row r="673" spans="2:26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36"/>
      <c r="R673" s="4"/>
      <c r="T673" s="9"/>
      <c r="U673" s="9"/>
      <c r="Z673" s="9"/>
    </row>
    <row r="674" spans="2:26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36"/>
      <c r="R674" s="4"/>
      <c r="T674" s="9"/>
      <c r="U674" s="9"/>
      <c r="Z674" s="9"/>
    </row>
    <row r="675" spans="2:26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36"/>
      <c r="R675" s="4"/>
      <c r="T675" s="9"/>
      <c r="U675" s="9"/>
      <c r="Z675" s="9"/>
    </row>
    <row r="676" spans="2:2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36"/>
      <c r="R676" s="4"/>
      <c r="T676" s="9"/>
      <c r="U676" s="9"/>
      <c r="Z676" s="9"/>
    </row>
    <row r="677" spans="2:26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36"/>
      <c r="R677" s="4"/>
      <c r="T677" s="9"/>
      <c r="U677" s="9"/>
      <c r="Z677" s="9"/>
    </row>
    <row r="678" spans="2:26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36"/>
      <c r="R678" s="4"/>
      <c r="T678" s="9"/>
      <c r="U678" s="9"/>
      <c r="Z678" s="9"/>
    </row>
    <row r="679" spans="2:26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36"/>
      <c r="R679" s="4"/>
      <c r="T679" s="9"/>
      <c r="U679" s="9"/>
      <c r="Z679" s="9"/>
    </row>
    <row r="680" spans="2:26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36"/>
      <c r="R680" s="4"/>
      <c r="T680" s="9"/>
      <c r="U680" s="9"/>
      <c r="Z680" s="9"/>
    </row>
    <row r="681" spans="2:26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36"/>
      <c r="R681" s="4"/>
      <c r="T681" s="9"/>
      <c r="U681" s="9"/>
      <c r="Z681" s="9"/>
    </row>
    <row r="682" spans="2:26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36"/>
      <c r="R682" s="4"/>
      <c r="T682" s="9"/>
      <c r="U682" s="9"/>
      <c r="Z682" s="9"/>
    </row>
    <row r="683" spans="2:26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36"/>
      <c r="R683" s="4"/>
      <c r="T683" s="9"/>
      <c r="U683" s="9"/>
      <c r="Z683" s="9"/>
    </row>
    <row r="684" spans="2:26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36"/>
      <c r="R684" s="4"/>
      <c r="T684" s="9"/>
      <c r="U684" s="9"/>
      <c r="Z684" s="9"/>
    </row>
    <row r="685" spans="2:26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36"/>
      <c r="R685" s="4"/>
      <c r="T685" s="9"/>
      <c r="U685" s="9"/>
      <c r="Z685" s="9"/>
    </row>
    <row r="686" spans="2:2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36"/>
      <c r="R686" s="4"/>
      <c r="T686" s="9"/>
      <c r="U686" s="9"/>
      <c r="Z686" s="9"/>
    </row>
    <row r="687" spans="2:26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36"/>
      <c r="R687" s="4"/>
      <c r="T687" s="9"/>
      <c r="U687" s="9"/>
      <c r="Z687" s="9"/>
    </row>
    <row r="688" spans="2:26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36"/>
      <c r="R688" s="4"/>
      <c r="T688" s="9"/>
      <c r="U688" s="9"/>
      <c r="Z688" s="9"/>
    </row>
    <row r="689" spans="2:26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36"/>
      <c r="R689" s="4"/>
      <c r="T689" s="9"/>
      <c r="U689" s="9"/>
      <c r="Z689" s="9"/>
    </row>
    <row r="690" spans="2:26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36"/>
      <c r="R690" s="4"/>
      <c r="T690" s="9"/>
      <c r="U690" s="9"/>
      <c r="Z690" s="9"/>
    </row>
    <row r="691" spans="2:26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36"/>
      <c r="R691" s="4"/>
      <c r="T691" s="9"/>
      <c r="U691" s="9"/>
      <c r="Z691" s="9"/>
    </row>
    <row r="692" spans="2:26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36"/>
      <c r="R692" s="4"/>
      <c r="T692" s="9"/>
      <c r="U692" s="9"/>
      <c r="Z692" s="9"/>
    </row>
    <row r="693" spans="2:26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36"/>
      <c r="R693" s="4"/>
      <c r="T693" s="9"/>
      <c r="U693" s="9"/>
      <c r="Z693" s="9"/>
    </row>
    <row r="694" spans="2:26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36"/>
      <c r="R694" s="4"/>
      <c r="T694" s="9"/>
      <c r="U694" s="9"/>
      <c r="Z694" s="9"/>
    </row>
    <row r="695" spans="2:26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36"/>
      <c r="R695" s="4"/>
      <c r="T695" s="9"/>
      <c r="U695" s="9"/>
      <c r="Z695" s="9"/>
    </row>
    <row r="696" spans="2:2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36"/>
      <c r="R696" s="4"/>
      <c r="T696" s="9"/>
      <c r="U696" s="9"/>
      <c r="Z696" s="9"/>
    </row>
    <row r="697" spans="2:26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36"/>
      <c r="R697" s="4"/>
      <c r="T697" s="9"/>
      <c r="U697" s="9"/>
      <c r="Z697" s="9"/>
    </row>
    <row r="698" spans="2:26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36"/>
      <c r="R698" s="4"/>
      <c r="T698" s="9"/>
      <c r="U698" s="9"/>
      <c r="Z698" s="9"/>
    </row>
    <row r="699" spans="2:26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36"/>
      <c r="R699" s="4"/>
      <c r="T699" s="9"/>
      <c r="U699" s="9"/>
      <c r="Z699" s="9"/>
    </row>
    <row r="700" spans="2:26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36"/>
      <c r="R700" s="4"/>
      <c r="T700" s="9"/>
      <c r="U700" s="9"/>
      <c r="Z700" s="9"/>
    </row>
    <row r="701" spans="2:26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36"/>
      <c r="R701" s="4"/>
      <c r="T701" s="9"/>
      <c r="U701" s="9"/>
      <c r="Z701" s="9"/>
    </row>
    <row r="702" spans="2:26">
      <c r="B702" s="1"/>
      <c r="C702" s="1"/>
      <c r="D702" s="1"/>
      <c r="E702" s="1"/>
      <c r="F702" s="1" t="str">
        <f>IF(ISERROR(ROUNDUP((Preencher!$B$212*(RESUMO!C127+RESUMO!#REF!+RESUMO!C83+RESUMO!#REF!+RESUMO!#REF!+RESUMO!#REF!))/Preencher!#REF!/D702,0.999)), "-", ROUNDUP((Preencher!$B$212*(RESUMO!C127+RESUMO!#REF!+RESUMO!C83+RESUMO!#REF!+RESUMO!#REF!+RESUMO!#REF!))/D702,0.999))</f>
        <v>-</v>
      </c>
      <c r="G702" s="1"/>
      <c r="H702" s="1"/>
      <c r="I702" s="1"/>
      <c r="J702" s="1"/>
      <c r="K702" s="1"/>
      <c r="L702" s="1"/>
      <c r="M702" s="1"/>
      <c r="N702" s="1"/>
      <c r="O702" s="236"/>
      <c r="R702" s="4"/>
      <c r="T702" s="9"/>
      <c r="U702" s="9"/>
      <c r="Z702" s="9"/>
    </row>
    <row r="703" spans="2:26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36"/>
      <c r="R703" s="4"/>
      <c r="T703" s="9"/>
      <c r="U703" s="9"/>
      <c r="Z703" s="9"/>
    </row>
    <row r="704" spans="2:26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36"/>
      <c r="R704" s="4"/>
      <c r="T704" s="9"/>
      <c r="U704" s="9"/>
      <c r="Z704" s="9"/>
    </row>
    <row r="705" spans="1:26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36"/>
      <c r="R705" s="4"/>
      <c r="T705" s="9"/>
      <c r="U705" s="9"/>
      <c r="Z705" s="9"/>
    </row>
    <row r="706" spans="1:2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36"/>
      <c r="R706" s="4"/>
      <c r="T706" s="9"/>
      <c r="U706" s="9"/>
      <c r="Z706" s="9"/>
    </row>
    <row r="707" spans="1:26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36"/>
      <c r="R707" s="4"/>
      <c r="T707" s="9"/>
      <c r="U707" s="9"/>
      <c r="Z707" s="9"/>
    </row>
    <row r="708" spans="1:26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36"/>
      <c r="R708" s="4"/>
      <c r="T708" s="9"/>
      <c r="U708" s="9"/>
      <c r="Z708" s="9"/>
    </row>
    <row r="709" spans="1:26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36"/>
      <c r="R709" s="4"/>
      <c r="T709" s="9"/>
      <c r="U709" s="9"/>
      <c r="Z709" s="9"/>
    </row>
    <row r="710" spans="1:26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36"/>
      <c r="R710" s="4"/>
      <c r="T710" s="9"/>
      <c r="U710" s="9"/>
      <c r="Z710" s="9"/>
    </row>
    <row r="711" spans="1:26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36"/>
      <c r="R711" s="4"/>
      <c r="T711" s="9"/>
      <c r="U711" s="9"/>
      <c r="Z711" s="9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36"/>
      <c r="R712" s="4"/>
      <c r="T712" s="9"/>
      <c r="U712" s="9"/>
      <c r="Z712" s="9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36"/>
      <c r="R713" s="4"/>
      <c r="T713" s="9"/>
      <c r="U713" s="9"/>
      <c r="Z713" s="9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36"/>
      <c r="R714" s="4"/>
      <c r="T714" s="9"/>
      <c r="U714" s="9"/>
      <c r="Z714" s="9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36"/>
      <c r="R715" s="4"/>
      <c r="T715" s="9"/>
      <c r="U715" s="9"/>
      <c r="Z715" s="9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36"/>
      <c r="R716" s="4"/>
      <c r="T716" s="9"/>
      <c r="U716" s="9"/>
      <c r="Z716" s="9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36"/>
      <c r="R717" s="4"/>
      <c r="T717" s="9"/>
      <c r="U717" s="9"/>
      <c r="Z717" s="9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36"/>
      <c r="R718" s="4"/>
      <c r="T718" s="9"/>
      <c r="U718" s="9"/>
      <c r="Z718" s="9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36"/>
      <c r="R719" s="4"/>
      <c r="T719" s="9"/>
      <c r="U719" s="9"/>
      <c r="Z719" s="9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36"/>
      <c r="R720" s="4"/>
      <c r="T720" s="9"/>
      <c r="U720" s="9"/>
      <c r="Z720" s="9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36"/>
      <c r="R721" s="4"/>
      <c r="T721" s="9"/>
      <c r="U721" s="9"/>
      <c r="Z721" s="9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36"/>
      <c r="R722" s="4"/>
      <c r="T722" s="9"/>
      <c r="U722" s="9"/>
      <c r="Z722" s="9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36"/>
      <c r="R723" s="4"/>
      <c r="T723" s="9"/>
      <c r="U723" s="9"/>
      <c r="Z723" s="9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36"/>
      <c r="R724" s="4"/>
      <c r="T724" s="9"/>
      <c r="U724" s="9"/>
      <c r="Z724" s="9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36"/>
      <c r="R725" s="4"/>
      <c r="T725" s="9"/>
      <c r="U725" s="9"/>
      <c r="Z725" s="9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36"/>
      <c r="R726" s="4"/>
      <c r="T726" s="9"/>
      <c r="U726" s="9"/>
      <c r="Z726" s="9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36"/>
      <c r="R727" s="4"/>
      <c r="T727" s="9"/>
      <c r="U727" s="9"/>
      <c r="Z727" s="9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36"/>
      <c r="R728" s="4"/>
      <c r="T728" s="9"/>
      <c r="U728" s="9"/>
      <c r="Z728" s="9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36"/>
      <c r="R729" s="4"/>
      <c r="T729" s="9"/>
      <c r="U729" s="9"/>
      <c r="Z729" s="9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36"/>
      <c r="R730" s="4"/>
      <c r="T730" s="9"/>
      <c r="U730" s="9"/>
      <c r="Z730" s="9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36"/>
      <c r="R731" s="4"/>
      <c r="T731" s="9"/>
      <c r="U731" s="9"/>
      <c r="Z731" s="9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36"/>
      <c r="R732" s="4"/>
      <c r="T732" s="9"/>
      <c r="U732" s="9"/>
      <c r="Z732" s="9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36"/>
      <c r="R733" s="4"/>
      <c r="T733" s="9"/>
      <c r="U733" s="9"/>
      <c r="Z733" s="9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36"/>
      <c r="R734" s="4"/>
      <c r="T734" s="9"/>
      <c r="U734" s="9"/>
      <c r="Z734" s="9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36"/>
      <c r="R735" s="4"/>
      <c r="T735" s="9"/>
      <c r="U735" s="9"/>
      <c r="Z735" s="9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36"/>
      <c r="R736" s="4"/>
      <c r="T736" s="9"/>
      <c r="U736" s="9"/>
      <c r="Z736" s="9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36"/>
      <c r="R737" s="4"/>
      <c r="T737" s="9"/>
      <c r="U737" s="9"/>
      <c r="Z737" s="9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36"/>
      <c r="R738" s="4"/>
      <c r="T738" s="9"/>
      <c r="U738" s="9"/>
      <c r="Z738" s="9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36"/>
      <c r="R739" s="4"/>
      <c r="T739" s="9"/>
      <c r="U739" s="9"/>
      <c r="Z739" s="9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36"/>
      <c r="R740" s="4"/>
      <c r="T740" s="9"/>
      <c r="U740" s="9"/>
      <c r="Z740" s="9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36"/>
      <c r="R741" s="4"/>
      <c r="T741" s="9"/>
      <c r="U741" s="9"/>
      <c r="Z741" s="9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36"/>
      <c r="R742" s="4"/>
      <c r="T742" s="9"/>
      <c r="U742" s="9"/>
      <c r="Z742" s="9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36"/>
      <c r="R743" s="4"/>
      <c r="T743" s="9"/>
      <c r="U743" s="9"/>
      <c r="Z743" s="9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36"/>
      <c r="R744" s="4"/>
      <c r="T744" s="9"/>
      <c r="U744" s="9"/>
      <c r="Z744" s="9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36"/>
      <c r="R745" s="4"/>
      <c r="T745" s="9"/>
      <c r="U745" s="9"/>
      <c r="Z745" s="9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36"/>
      <c r="R746" s="4"/>
      <c r="T746" s="9"/>
      <c r="U746" s="9"/>
      <c r="Z746" s="9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36"/>
      <c r="R747" s="4"/>
      <c r="T747" s="9"/>
      <c r="U747" s="9"/>
      <c r="Z747" s="9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36"/>
      <c r="R748" s="4"/>
      <c r="T748" s="9"/>
      <c r="U748" s="9"/>
      <c r="Z748" s="9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36"/>
      <c r="R749" s="4"/>
      <c r="T749" s="9"/>
      <c r="U749" s="9"/>
      <c r="Z749" s="9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36"/>
      <c r="R750" s="4"/>
      <c r="T750" s="9"/>
      <c r="U750" s="9"/>
      <c r="Z750" s="9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36"/>
      <c r="R751" s="4"/>
      <c r="T751" s="9"/>
      <c r="U751" s="9"/>
      <c r="Z751" s="9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36"/>
      <c r="R752" s="4"/>
      <c r="T752" s="9"/>
      <c r="U752" s="9"/>
      <c r="Z752" s="9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36"/>
      <c r="R753" s="4"/>
      <c r="T753" s="9"/>
      <c r="U753" s="9"/>
      <c r="Z753" s="9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36"/>
      <c r="R754" s="4"/>
      <c r="T754" s="9"/>
      <c r="U754" s="9"/>
      <c r="Z754" s="9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36"/>
      <c r="R755" s="4"/>
      <c r="T755" s="9"/>
      <c r="U755" s="9"/>
      <c r="Z755" s="9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36"/>
      <c r="R756" s="4"/>
      <c r="T756" s="9"/>
      <c r="U756" s="9"/>
      <c r="Z756" s="9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36"/>
      <c r="R757" s="4"/>
      <c r="T757" s="9"/>
      <c r="U757" s="9"/>
      <c r="Z757" s="9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36"/>
      <c r="R758" s="4"/>
      <c r="T758" s="9"/>
      <c r="U758" s="9"/>
      <c r="Z758" s="9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36"/>
      <c r="R759" s="4"/>
      <c r="T759" s="9"/>
      <c r="U759" s="9"/>
      <c r="Z759" s="9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36"/>
      <c r="R760" s="4"/>
      <c r="T760" s="9"/>
      <c r="U760" s="9"/>
      <c r="Z760" s="9"/>
    </row>
    <row r="761" spans="1:26">
      <c r="O761" s="236"/>
      <c r="R761" s="4"/>
      <c r="T761" s="9"/>
      <c r="U761" s="9"/>
      <c r="Z761" s="9"/>
    </row>
    <row r="762" spans="1:26">
      <c r="O762" s="236"/>
      <c r="R762" s="4"/>
      <c r="T762" s="9"/>
      <c r="U762" s="9"/>
      <c r="Z762" s="9"/>
    </row>
    <row r="763" spans="1:26">
      <c r="O763" s="236"/>
      <c r="R763" s="4"/>
      <c r="T763" s="9"/>
      <c r="U763" s="9"/>
      <c r="Z763" s="9"/>
    </row>
    <row r="764" spans="1:26">
      <c r="O764" s="236"/>
      <c r="R764" s="4"/>
      <c r="T764" s="9"/>
      <c r="U764" s="9"/>
      <c r="Z764" s="9"/>
    </row>
    <row r="765" spans="1:26">
      <c r="O765" s="236"/>
      <c r="R765" s="4"/>
      <c r="T765" s="9"/>
      <c r="U765" s="9"/>
      <c r="Z765" s="9"/>
    </row>
    <row r="766" spans="1:26">
      <c r="O766" s="236"/>
      <c r="R766" s="4"/>
      <c r="T766" s="9"/>
      <c r="U766" s="9"/>
      <c r="Z766" s="9"/>
    </row>
    <row r="767" spans="1:26">
      <c r="O767" s="236"/>
      <c r="R767" s="4"/>
      <c r="T767" s="9"/>
      <c r="U767" s="9"/>
      <c r="Z767" s="9"/>
    </row>
    <row r="768" spans="1:26">
      <c r="O768" s="236"/>
      <c r="R768" s="4"/>
      <c r="T768" s="9"/>
      <c r="U768" s="9"/>
      <c r="Z768" s="9"/>
    </row>
    <row r="769" spans="15:26">
      <c r="O769" s="236"/>
      <c r="R769" s="4"/>
      <c r="T769" s="9"/>
      <c r="U769" s="9"/>
      <c r="Z769" s="9"/>
    </row>
    <row r="770" spans="15:26">
      <c r="O770" s="236"/>
      <c r="R770" s="4"/>
      <c r="T770" s="9"/>
      <c r="U770" s="9"/>
      <c r="Z770" s="9"/>
    </row>
    <row r="771" spans="15:26">
      <c r="O771" s="236"/>
      <c r="R771" s="4"/>
      <c r="T771" s="9"/>
      <c r="U771" s="9"/>
      <c r="Z771" s="9"/>
    </row>
    <row r="772" spans="15:26">
      <c r="O772" s="236"/>
      <c r="R772" s="4"/>
      <c r="T772" s="9"/>
      <c r="U772" s="9"/>
      <c r="Z772" s="9"/>
    </row>
    <row r="773" spans="15:26">
      <c r="O773" s="236"/>
      <c r="R773" s="4"/>
      <c r="T773" s="9"/>
      <c r="U773" s="9"/>
      <c r="Z773" s="9"/>
    </row>
    <row r="774" spans="15:26">
      <c r="O774" s="236"/>
      <c r="R774" s="4"/>
      <c r="T774" s="9"/>
      <c r="U774" s="9"/>
      <c r="Z774" s="9"/>
    </row>
    <row r="775" spans="15:26">
      <c r="O775" s="236"/>
      <c r="R775" s="4"/>
      <c r="T775" s="9"/>
      <c r="U775" s="9"/>
      <c r="Z775" s="9"/>
    </row>
    <row r="776" spans="15:26">
      <c r="O776" s="236"/>
      <c r="R776" s="4"/>
      <c r="T776" s="9"/>
      <c r="U776" s="9"/>
      <c r="Z776" s="9"/>
    </row>
    <row r="777" spans="15:26">
      <c r="O777" s="236"/>
      <c r="R777" s="4"/>
      <c r="T777" s="9"/>
      <c r="U777" s="9"/>
      <c r="Z777" s="9"/>
    </row>
    <row r="778" spans="15:26">
      <c r="O778" s="236"/>
      <c r="R778" s="4"/>
      <c r="T778" s="9"/>
      <c r="U778" s="9"/>
      <c r="Z778" s="9"/>
    </row>
    <row r="779" spans="15:26">
      <c r="O779" s="236"/>
      <c r="R779" s="4"/>
      <c r="T779" s="9"/>
      <c r="U779" s="9"/>
      <c r="Z779" s="9"/>
    </row>
    <row r="780" spans="15:26">
      <c r="O780" s="236"/>
      <c r="R780" s="4"/>
      <c r="T780" s="9"/>
      <c r="U780" s="9"/>
      <c r="Z780" s="9"/>
    </row>
    <row r="781" spans="15:26">
      <c r="O781" s="236"/>
      <c r="R781" s="4"/>
      <c r="T781" s="9"/>
      <c r="U781" s="9"/>
      <c r="Z781" s="9"/>
    </row>
    <row r="782" spans="15:26">
      <c r="O782" s="236"/>
      <c r="R782" s="4"/>
      <c r="T782" s="9"/>
      <c r="U782" s="9"/>
      <c r="Z782" s="9"/>
    </row>
    <row r="783" spans="15:26">
      <c r="O783" s="236"/>
      <c r="R783" s="4"/>
      <c r="T783" s="9"/>
      <c r="U783" s="9"/>
      <c r="Z783" s="9"/>
    </row>
    <row r="784" spans="15:26">
      <c r="O784" s="236"/>
      <c r="R784" s="4"/>
      <c r="T784" s="9"/>
      <c r="U784" s="9"/>
      <c r="Z784" s="9"/>
    </row>
    <row r="785" spans="15:26">
      <c r="O785" s="236"/>
      <c r="R785" s="4"/>
      <c r="T785" s="9"/>
      <c r="U785" s="9"/>
      <c r="Z785" s="9"/>
    </row>
    <row r="786" spans="15:26">
      <c r="O786" s="236"/>
      <c r="R786" s="4"/>
      <c r="T786" s="9"/>
      <c r="U786" s="9"/>
      <c r="Z786" s="9"/>
    </row>
    <row r="787" spans="15:26">
      <c r="O787" s="236"/>
      <c r="R787" s="4"/>
      <c r="T787" s="9"/>
      <c r="U787" s="9"/>
      <c r="Z787" s="9"/>
    </row>
    <row r="788" spans="15:26">
      <c r="O788" s="236"/>
      <c r="R788" s="4"/>
      <c r="T788" s="9"/>
      <c r="U788" s="9"/>
      <c r="Z788" s="9"/>
    </row>
    <row r="789" spans="15:26">
      <c r="O789" s="236"/>
      <c r="R789" s="4"/>
      <c r="T789" s="9"/>
      <c r="U789" s="9"/>
      <c r="Z789" s="9"/>
    </row>
    <row r="790" spans="15:26">
      <c r="O790" s="236"/>
      <c r="R790" s="4"/>
      <c r="T790" s="9"/>
      <c r="U790" s="9"/>
      <c r="Z790" s="9"/>
    </row>
    <row r="791" spans="15:26">
      <c r="O791" s="236"/>
      <c r="R791" s="4"/>
      <c r="T791" s="9"/>
      <c r="U791" s="9"/>
      <c r="Z791" s="9"/>
    </row>
    <row r="792" spans="15:26">
      <c r="O792" s="236"/>
      <c r="R792" s="4"/>
      <c r="T792" s="9"/>
      <c r="U792" s="9"/>
      <c r="Z792" s="9"/>
    </row>
    <row r="793" spans="15:26">
      <c r="O793" s="236"/>
      <c r="R793" s="4"/>
      <c r="T793" s="9"/>
      <c r="U793" s="9"/>
      <c r="Z793" s="9"/>
    </row>
    <row r="794" spans="15:26">
      <c r="O794" s="236"/>
      <c r="R794" s="4"/>
      <c r="T794" s="9"/>
      <c r="U794" s="9"/>
      <c r="Z794" s="9"/>
    </row>
    <row r="795" spans="15:26">
      <c r="O795" s="236"/>
      <c r="R795" s="4"/>
      <c r="T795" s="9"/>
      <c r="U795" s="9"/>
      <c r="Z795" s="9"/>
    </row>
    <row r="796" spans="15:26">
      <c r="O796" s="236"/>
      <c r="R796" s="4"/>
      <c r="T796" s="9"/>
      <c r="U796" s="9"/>
      <c r="Z796" s="9"/>
    </row>
    <row r="797" spans="15:26">
      <c r="O797" s="236"/>
      <c r="R797" s="4"/>
      <c r="T797" s="9"/>
      <c r="U797" s="9"/>
      <c r="Z797" s="9"/>
    </row>
    <row r="798" spans="15:26">
      <c r="O798" s="236"/>
      <c r="R798" s="4"/>
      <c r="T798" s="9"/>
      <c r="U798" s="9"/>
      <c r="Z798" s="9"/>
    </row>
    <row r="799" spans="15:26">
      <c r="O799" s="236"/>
      <c r="R799" s="4"/>
      <c r="T799" s="9"/>
      <c r="U799" s="9"/>
      <c r="Z799" s="9"/>
    </row>
    <row r="800" spans="15:26">
      <c r="O800" s="236"/>
      <c r="R800" s="4"/>
      <c r="T800" s="9"/>
      <c r="U800" s="9"/>
      <c r="Z800" s="9"/>
    </row>
    <row r="801" spans="15:26">
      <c r="O801" s="236"/>
      <c r="R801" s="4"/>
      <c r="T801" s="9"/>
      <c r="U801" s="9"/>
      <c r="Z801" s="9"/>
    </row>
    <row r="802" spans="15:26">
      <c r="O802" s="236"/>
      <c r="R802" s="4"/>
      <c r="T802" s="9"/>
      <c r="U802" s="9"/>
      <c r="Z802" s="9"/>
    </row>
    <row r="803" spans="15:26">
      <c r="O803" s="236"/>
      <c r="R803" s="4"/>
      <c r="T803" s="9"/>
      <c r="U803" s="9"/>
      <c r="Z803" s="9"/>
    </row>
    <row r="804" spans="15:26">
      <c r="O804" s="236"/>
      <c r="R804" s="4"/>
      <c r="T804" s="9"/>
      <c r="U804" s="9"/>
      <c r="Z804" s="9"/>
    </row>
    <row r="805" spans="15:26">
      <c r="O805" s="236"/>
      <c r="R805" s="4"/>
      <c r="T805" s="9"/>
      <c r="U805" s="9"/>
      <c r="Z805" s="9"/>
    </row>
    <row r="806" spans="15:26">
      <c r="O806" s="236"/>
      <c r="R806" s="4"/>
      <c r="T806" s="9"/>
      <c r="U806" s="9"/>
      <c r="Z806" s="9"/>
    </row>
    <row r="807" spans="15:26">
      <c r="O807" s="236"/>
      <c r="R807" s="4"/>
      <c r="T807" s="9"/>
      <c r="U807" s="9"/>
      <c r="Z807" s="9"/>
    </row>
    <row r="808" spans="15:26">
      <c r="O808" s="236"/>
      <c r="R808" s="4"/>
      <c r="T808" s="9"/>
      <c r="U808" s="9"/>
      <c r="Z808" s="9"/>
    </row>
    <row r="809" spans="15:26">
      <c r="O809" s="236"/>
      <c r="R809" s="4"/>
      <c r="T809" s="9"/>
      <c r="U809" s="9"/>
      <c r="Z809" s="9"/>
    </row>
    <row r="810" spans="15:26">
      <c r="O810" s="236"/>
      <c r="R810" s="4"/>
      <c r="T810" s="9"/>
      <c r="U810" s="9"/>
      <c r="Z810" s="9"/>
    </row>
    <row r="811" spans="15:26">
      <c r="O811" s="236"/>
      <c r="R811" s="4"/>
      <c r="T811" s="9"/>
      <c r="U811" s="9"/>
      <c r="Z811" s="9"/>
    </row>
    <row r="812" spans="15:26">
      <c r="O812" s="236"/>
      <c r="R812" s="4"/>
      <c r="T812" s="9"/>
      <c r="U812" s="9"/>
      <c r="Z812" s="9"/>
    </row>
    <row r="813" spans="15:26">
      <c r="O813" s="236"/>
      <c r="R813" s="4"/>
      <c r="T813" s="9"/>
      <c r="U813" s="9"/>
      <c r="Z813" s="9"/>
    </row>
    <row r="814" spans="15:26">
      <c r="O814" s="236"/>
      <c r="R814" s="4"/>
      <c r="T814" s="9"/>
      <c r="U814" s="9"/>
      <c r="Z814" s="9"/>
    </row>
    <row r="815" spans="15:26">
      <c r="O815" s="236"/>
      <c r="R815" s="4"/>
      <c r="T815" s="9"/>
      <c r="U815" s="9"/>
      <c r="Z815" s="9"/>
    </row>
    <row r="816" spans="15:26">
      <c r="O816" s="236"/>
      <c r="R816" s="4"/>
      <c r="T816" s="9"/>
      <c r="U816" s="9"/>
      <c r="Z816" s="9"/>
    </row>
    <row r="817" spans="15:26">
      <c r="O817" s="236"/>
      <c r="R817" s="4"/>
      <c r="T817" s="9"/>
      <c r="U817" s="9"/>
      <c r="Z817" s="9"/>
    </row>
    <row r="818" spans="15:26">
      <c r="O818" s="236"/>
      <c r="R818" s="4"/>
      <c r="T818" s="9"/>
      <c r="U818" s="9"/>
      <c r="Z818" s="9"/>
    </row>
    <row r="819" spans="15:26">
      <c r="O819" s="236"/>
      <c r="R819" s="4"/>
      <c r="T819" s="9"/>
      <c r="U819" s="9"/>
      <c r="Z819" s="9"/>
    </row>
    <row r="820" spans="15:26">
      <c r="O820" s="236"/>
      <c r="R820" s="4"/>
      <c r="T820" s="9"/>
      <c r="U820" s="9"/>
      <c r="Z820" s="9"/>
    </row>
    <row r="821" spans="15:26">
      <c r="O821" s="236"/>
      <c r="R821" s="4"/>
      <c r="T821" s="9"/>
      <c r="U821" s="9"/>
      <c r="Z821" s="9"/>
    </row>
    <row r="822" spans="15:26">
      <c r="O822" s="236"/>
      <c r="R822" s="4"/>
      <c r="T822" s="9"/>
      <c r="U822" s="9"/>
      <c r="Z822" s="9"/>
    </row>
    <row r="823" spans="15:26">
      <c r="O823" s="236"/>
      <c r="R823" s="4"/>
      <c r="T823" s="9"/>
      <c r="U823" s="9"/>
      <c r="Z823" s="9"/>
    </row>
    <row r="824" spans="15:26">
      <c r="O824" s="236"/>
      <c r="R824" s="4"/>
      <c r="T824" s="9"/>
      <c r="U824" s="9"/>
      <c r="Z824" s="9"/>
    </row>
    <row r="825" spans="15:26">
      <c r="O825" s="236"/>
      <c r="R825" s="4"/>
      <c r="T825" s="9"/>
      <c r="U825" s="9"/>
      <c r="Z825" s="9"/>
    </row>
    <row r="826" spans="15:26">
      <c r="O826" s="236"/>
      <c r="R826" s="4"/>
      <c r="T826" s="9"/>
      <c r="U826" s="9"/>
      <c r="Z826" s="9"/>
    </row>
    <row r="827" spans="15:26">
      <c r="O827" s="236"/>
      <c r="R827" s="4"/>
      <c r="T827" s="9"/>
      <c r="U827" s="9"/>
      <c r="Z827" s="9"/>
    </row>
    <row r="828" spans="15:26">
      <c r="O828" s="236"/>
      <c r="R828" s="4"/>
      <c r="T828" s="9"/>
      <c r="U828" s="9"/>
      <c r="Z828" s="9"/>
    </row>
    <row r="829" spans="15:26">
      <c r="O829" s="236"/>
      <c r="R829" s="4"/>
      <c r="T829" s="9"/>
      <c r="U829" s="9"/>
      <c r="Z829" s="9"/>
    </row>
    <row r="830" spans="15:26">
      <c r="O830" s="236"/>
      <c r="R830" s="4"/>
      <c r="T830" s="9"/>
      <c r="U830" s="9"/>
      <c r="Z830" s="9"/>
    </row>
    <row r="831" spans="15:26">
      <c r="O831" s="236"/>
      <c r="R831" s="4"/>
      <c r="T831" s="9"/>
      <c r="U831" s="9"/>
      <c r="Z831" s="9"/>
    </row>
    <row r="832" spans="15:26">
      <c r="O832" s="236"/>
      <c r="R832" s="4"/>
      <c r="T832" s="9"/>
      <c r="U832" s="9"/>
      <c r="Z832" s="9"/>
    </row>
    <row r="833" spans="15:26">
      <c r="O833" s="236"/>
      <c r="R833" s="4"/>
      <c r="T833" s="9"/>
      <c r="U833" s="9"/>
      <c r="Z833" s="9"/>
    </row>
    <row r="834" spans="15:26">
      <c r="O834" s="236"/>
      <c r="R834" s="4"/>
      <c r="T834" s="9"/>
      <c r="U834" s="9"/>
      <c r="Z834" s="9"/>
    </row>
    <row r="835" spans="15:26">
      <c r="O835" s="236"/>
      <c r="R835" s="4"/>
      <c r="T835" s="9"/>
      <c r="U835" s="9"/>
      <c r="Z835" s="9"/>
    </row>
    <row r="836" spans="15:26">
      <c r="O836" s="236"/>
      <c r="R836" s="4"/>
      <c r="T836" s="9"/>
      <c r="U836" s="9"/>
      <c r="Z836" s="9"/>
    </row>
    <row r="837" spans="15:26">
      <c r="O837" s="236"/>
      <c r="R837" s="4"/>
      <c r="T837" s="9"/>
      <c r="U837" s="9"/>
      <c r="Z837" s="9"/>
    </row>
    <row r="838" spans="15:26">
      <c r="O838" s="236"/>
      <c r="R838" s="4"/>
      <c r="T838" s="9"/>
      <c r="U838" s="9"/>
      <c r="Z838" s="9"/>
    </row>
    <row r="839" spans="15:26">
      <c r="O839" s="236"/>
      <c r="R839" s="4"/>
      <c r="T839" s="9"/>
      <c r="U839" s="9"/>
      <c r="Z839" s="9"/>
    </row>
    <row r="840" spans="15:26">
      <c r="O840" s="236"/>
      <c r="R840" s="4"/>
      <c r="T840" s="9"/>
      <c r="U840" s="9"/>
      <c r="Z840" s="9"/>
    </row>
    <row r="841" spans="15:26">
      <c r="O841" s="236"/>
      <c r="R841" s="4"/>
      <c r="T841" s="9"/>
      <c r="U841" s="9"/>
      <c r="Z841" s="9"/>
    </row>
    <row r="842" spans="15:26">
      <c r="O842" s="236"/>
      <c r="R842" s="4"/>
      <c r="T842" s="9"/>
      <c r="U842" s="9"/>
      <c r="Z842" s="9"/>
    </row>
    <row r="843" spans="15:26">
      <c r="O843" s="236"/>
      <c r="R843" s="4"/>
      <c r="T843" s="9"/>
      <c r="U843" s="9"/>
      <c r="Z843" s="9"/>
    </row>
    <row r="844" spans="15:26">
      <c r="O844" s="236"/>
      <c r="R844" s="4"/>
      <c r="T844" s="9"/>
      <c r="U844" s="9"/>
      <c r="Z844" s="9"/>
    </row>
    <row r="845" spans="15:26">
      <c r="O845" s="236"/>
      <c r="R845" s="4"/>
      <c r="T845" s="9"/>
      <c r="U845" s="9"/>
      <c r="Z845" s="9"/>
    </row>
    <row r="846" spans="15:26">
      <c r="O846" s="236"/>
      <c r="R846" s="4"/>
      <c r="T846" s="9"/>
      <c r="U846" s="9"/>
      <c r="Z846" s="9"/>
    </row>
    <row r="847" spans="15:26">
      <c r="O847" s="236"/>
      <c r="R847" s="4"/>
      <c r="T847" s="9"/>
      <c r="U847" s="9"/>
      <c r="Z847" s="9"/>
    </row>
    <row r="848" spans="15:26">
      <c r="O848" s="236"/>
      <c r="R848" s="4"/>
      <c r="T848" s="9"/>
      <c r="U848" s="9"/>
      <c r="Z848" s="9"/>
    </row>
    <row r="849" spans="15:26">
      <c r="O849" s="236"/>
      <c r="R849" s="4"/>
      <c r="T849" s="9"/>
      <c r="U849" s="9"/>
      <c r="Z849" s="9"/>
    </row>
    <row r="850" spans="15:26">
      <c r="O850" s="236"/>
      <c r="R850" s="4"/>
      <c r="T850" s="9"/>
      <c r="U850" s="9"/>
      <c r="Z850" s="9"/>
    </row>
    <row r="851" spans="15:26">
      <c r="O851" s="236"/>
      <c r="R851" s="4"/>
      <c r="T851" s="9"/>
      <c r="U851" s="9"/>
      <c r="Z851" s="9"/>
    </row>
    <row r="852" spans="15:26">
      <c r="O852" s="236"/>
      <c r="R852" s="4"/>
      <c r="T852" s="9"/>
      <c r="U852" s="9"/>
      <c r="Z852" s="9"/>
    </row>
    <row r="853" spans="15:26">
      <c r="O853" s="236"/>
      <c r="R853" s="4"/>
      <c r="T853" s="9"/>
      <c r="U853" s="9"/>
      <c r="Z853" s="9"/>
    </row>
    <row r="854" spans="15:26">
      <c r="O854" s="236"/>
      <c r="R854" s="4"/>
      <c r="T854" s="9"/>
      <c r="U854" s="9"/>
      <c r="Z854" s="9"/>
    </row>
    <row r="855" spans="15:26">
      <c r="O855" s="236"/>
      <c r="R855" s="4"/>
      <c r="T855" s="9"/>
      <c r="U855" s="9"/>
      <c r="Z855" s="9"/>
    </row>
    <row r="856" spans="15:26">
      <c r="O856" s="236"/>
      <c r="R856" s="4"/>
      <c r="T856" s="9"/>
      <c r="U856" s="9"/>
      <c r="Z856" s="9"/>
    </row>
    <row r="857" spans="15:26">
      <c r="O857" s="236"/>
      <c r="R857" s="4"/>
      <c r="T857" s="9"/>
      <c r="U857" s="9"/>
      <c r="Z857" s="9"/>
    </row>
    <row r="858" spans="15:26">
      <c r="O858" s="236"/>
      <c r="R858" s="4"/>
      <c r="T858" s="9"/>
      <c r="U858" s="9"/>
      <c r="Z858" s="9"/>
    </row>
    <row r="859" spans="15:26">
      <c r="O859" s="236"/>
      <c r="R859" s="4"/>
      <c r="T859" s="9"/>
      <c r="U859" s="9"/>
      <c r="Z859" s="9"/>
    </row>
    <row r="860" spans="15:26">
      <c r="O860" s="236"/>
      <c r="R860" s="4"/>
      <c r="T860" s="9"/>
      <c r="U860" s="9"/>
      <c r="Z860" s="9"/>
    </row>
    <row r="861" spans="15:26">
      <c r="O861" s="236"/>
      <c r="R861" s="4"/>
      <c r="T861" s="9"/>
      <c r="U861" s="9"/>
      <c r="Z861" s="9"/>
    </row>
    <row r="862" spans="15:26">
      <c r="O862" s="236"/>
      <c r="R862" s="4"/>
      <c r="T862" s="9"/>
      <c r="U862" s="9"/>
      <c r="Z862" s="9"/>
    </row>
    <row r="863" spans="15:26">
      <c r="O863" s="236"/>
      <c r="R863" s="4"/>
      <c r="T863" s="9"/>
      <c r="U863" s="9"/>
      <c r="Z863" s="9"/>
    </row>
    <row r="864" spans="15:26">
      <c r="O864" s="236"/>
      <c r="R864" s="4"/>
      <c r="T864" s="9"/>
      <c r="U864" s="9"/>
      <c r="Z864" s="9"/>
    </row>
    <row r="865" spans="15:26">
      <c r="O865" s="236"/>
      <c r="R865" s="4"/>
      <c r="T865" s="9"/>
      <c r="U865" s="9"/>
      <c r="Z865" s="9"/>
    </row>
    <row r="866" spans="15:26">
      <c r="O866" s="236"/>
      <c r="R866" s="4"/>
      <c r="T866" s="9"/>
      <c r="U866" s="9"/>
      <c r="Z866" s="9"/>
    </row>
    <row r="867" spans="15:26">
      <c r="O867" s="236"/>
      <c r="R867" s="4"/>
      <c r="T867" s="9"/>
      <c r="U867" s="9"/>
      <c r="Z867" s="9"/>
    </row>
    <row r="868" spans="15:26">
      <c r="O868" s="236"/>
      <c r="R868" s="4"/>
      <c r="T868" s="9"/>
      <c r="U868" s="9"/>
      <c r="Z868" s="9"/>
    </row>
    <row r="869" spans="15:26">
      <c r="O869" s="236"/>
      <c r="R869" s="4"/>
      <c r="T869" s="9"/>
      <c r="U869" s="9"/>
      <c r="Z869" s="9"/>
    </row>
    <row r="870" spans="15:26">
      <c r="O870" s="236"/>
      <c r="R870" s="4"/>
      <c r="T870" s="9"/>
      <c r="U870" s="9"/>
      <c r="Z870" s="9"/>
    </row>
    <row r="871" spans="15:26">
      <c r="O871" s="236"/>
      <c r="R871" s="4"/>
      <c r="T871" s="9"/>
      <c r="U871" s="9"/>
      <c r="Z871" s="9"/>
    </row>
    <row r="872" spans="15:26">
      <c r="O872" s="236"/>
      <c r="R872" s="4"/>
      <c r="T872" s="9"/>
      <c r="U872" s="9"/>
      <c r="Z872" s="9"/>
    </row>
    <row r="873" spans="15:26">
      <c r="O873" s="236"/>
      <c r="R873" s="4"/>
      <c r="T873" s="9"/>
      <c r="U873" s="9"/>
      <c r="Z873" s="9"/>
    </row>
    <row r="874" spans="15:26">
      <c r="O874" s="236"/>
      <c r="R874" s="4"/>
      <c r="T874" s="9"/>
      <c r="U874" s="9"/>
      <c r="Z874" s="9"/>
    </row>
    <row r="875" spans="15:26">
      <c r="O875" s="236"/>
      <c r="R875" s="4"/>
      <c r="T875" s="9"/>
      <c r="U875" s="9"/>
      <c r="Z875" s="9"/>
    </row>
    <row r="876" spans="15:26">
      <c r="O876" s="236"/>
      <c r="R876" s="4"/>
      <c r="T876" s="9"/>
      <c r="U876" s="9"/>
      <c r="Z876" s="9"/>
    </row>
    <row r="877" spans="15:26">
      <c r="O877" s="236"/>
      <c r="R877" s="4"/>
      <c r="T877" s="9"/>
      <c r="U877" s="9"/>
      <c r="Z877" s="9"/>
    </row>
    <row r="878" spans="15:26">
      <c r="O878" s="236"/>
      <c r="R878" s="4"/>
      <c r="T878" s="9"/>
      <c r="U878" s="9"/>
      <c r="Z878" s="9"/>
    </row>
    <row r="879" spans="15:26">
      <c r="O879" s="236"/>
      <c r="R879" s="4"/>
      <c r="T879" s="9"/>
      <c r="U879" s="9"/>
      <c r="Z879" s="9"/>
    </row>
    <row r="880" spans="15:26">
      <c r="O880" s="236"/>
      <c r="R880" s="4"/>
      <c r="T880" s="9"/>
      <c r="U880" s="9"/>
      <c r="Z880" s="9"/>
    </row>
    <row r="881" spans="15:26">
      <c r="O881" s="236"/>
      <c r="R881" s="4"/>
      <c r="T881" s="9"/>
      <c r="U881" s="9"/>
      <c r="Z881" s="9"/>
    </row>
    <row r="882" spans="15:26">
      <c r="O882" s="236"/>
      <c r="R882" s="4"/>
      <c r="T882" s="9"/>
      <c r="U882" s="9"/>
      <c r="Z882" s="9"/>
    </row>
    <row r="883" spans="15:26">
      <c r="O883" s="236"/>
      <c r="R883" s="4"/>
      <c r="T883" s="9"/>
      <c r="U883" s="9"/>
      <c r="Z883" s="9"/>
    </row>
    <row r="884" spans="15:26">
      <c r="O884" s="236"/>
      <c r="R884" s="4"/>
      <c r="T884" s="9"/>
      <c r="U884" s="9"/>
      <c r="Z884" s="9"/>
    </row>
    <row r="885" spans="15:26">
      <c r="O885" s="236"/>
      <c r="R885" s="4"/>
      <c r="T885" s="9"/>
      <c r="U885" s="9"/>
      <c r="Z885" s="9"/>
    </row>
    <row r="886" spans="15:26">
      <c r="O886" s="236"/>
      <c r="R886" s="4"/>
      <c r="T886" s="9"/>
      <c r="U886" s="9"/>
      <c r="Z886" s="9"/>
    </row>
    <row r="887" spans="15:26">
      <c r="O887" s="236"/>
      <c r="R887" s="4"/>
      <c r="T887" s="9"/>
      <c r="U887" s="9"/>
      <c r="Z887" s="9"/>
    </row>
    <row r="888" spans="15:26">
      <c r="O888" s="236"/>
      <c r="R888" s="4"/>
      <c r="T888" s="9"/>
      <c r="U888" s="9"/>
      <c r="Z888" s="9"/>
    </row>
    <row r="889" spans="15:26">
      <c r="O889" s="236"/>
      <c r="R889" s="4"/>
      <c r="T889" s="9"/>
      <c r="U889" s="9"/>
      <c r="Z889" s="9"/>
    </row>
    <row r="890" spans="15:26">
      <c r="O890" s="236"/>
      <c r="R890" s="4"/>
      <c r="T890" s="9"/>
      <c r="U890" s="9"/>
      <c r="Z890" s="9"/>
    </row>
    <row r="891" spans="15:26">
      <c r="O891" s="236"/>
      <c r="R891" s="4"/>
      <c r="T891" s="9"/>
      <c r="U891" s="9"/>
      <c r="Z891" s="9"/>
    </row>
    <row r="892" spans="15:26">
      <c r="O892" s="236"/>
      <c r="R892" s="4"/>
      <c r="T892" s="9"/>
      <c r="U892" s="9"/>
      <c r="Z892" s="9"/>
    </row>
    <row r="893" spans="15:26">
      <c r="O893" s="236"/>
      <c r="R893" s="4"/>
      <c r="T893" s="9"/>
      <c r="U893" s="9"/>
      <c r="Z893" s="9"/>
    </row>
    <row r="894" spans="15:26">
      <c r="O894" s="236"/>
      <c r="R894" s="4"/>
      <c r="T894" s="9"/>
      <c r="U894" s="9"/>
      <c r="Z894" s="9"/>
    </row>
    <row r="895" spans="15:26">
      <c r="O895" s="236"/>
      <c r="R895" s="4"/>
      <c r="T895" s="9"/>
      <c r="U895" s="9"/>
      <c r="Z895" s="9"/>
    </row>
    <row r="896" spans="15:26">
      <c r="O896" s="236"/>
      <c r="R896" s="4"/>
      <c r="T896" s="9"/>
      <c r="U896" s="9"/>
      <c r="Z896" s="9"/>
    </row>
    <row r="897" spans="15:26">
      <c r="O897" s="236"/>
      <c r="R897" s="4"/>
      <c r="T897" s="9"/>
      <c r="U897" s="9"/>
      <c r="Z897" s="9"/>
    </row>
    <row r="898" spans="15:26">
      <c r="O898" s="236"/>
      <c r="R898" s="4"/>
      <c r="T898" s="9"/>
      <c r="U898" s="9"/>
      <c r="Z898" s="9"/>
    </row>
    <row r="899" spans="15:26">
      <c r="O899" s="236"/>
      <c r="R899" s="4"/>
      <c r="T899" s="9"/>
      <c r="U899" s="9"/>
      <c r="Z899" s="9"/>
    </row>
    <row r="900" spans="15:26">
      <c r="O900" s="236"/>
      <c r="R900" s="4"/>
      <c r="T900" s="9"/>
      <c r="U900" s="9"/>
      <c r="Z900" s="9"/>
    </row>
    <row r="901" spans="15:26">
      <c r="O901" s="236"/>
      <c r="R901" s="4"/>
      <c r="T901" s="9"/>
      <c r="U901" s="9"/>
      <c r="Z901" s="9"/>
    </row>
    <row r="902" spans="15:26">
      <c r="O902" s="236"/>
      <c r="R902" s="4"/>
      <c r="T902" s="9"/>
      <c r="U902" s="9"/>
      <c r="Z902" s="9"/>
    </row>
    <row r="903" spans="15:26">
      <c r="O903" s="236"/>
      <c r="R903" s="4"/>
      <c r="T903" s="9"/>
      <c r="U903" s="9"/>
      <c r="Z903" s="9"/>
    </row>
    <row r="904" spans="15:26">
      <c r="O904" s="236"/>
      <c r="R904" s="4"/>
      <c r="T904" s="9"/>
      <c r="U904" s="9"/>
      <c r="Z904" s="9"/>
    </row>
    <row r="905" spans="15:26">
      <c r="O905" s="236"/>
      <c r="R905" s="4"/>
      <c r="T905" s="9"/>
      <c r="U905" s="9"/>
      <c r="Z905" s="9"/>
    </row>
    <row r="906" spans="15:26">
      <c r="O906" s="236"/>
      <c r="R906" s="4"/>
      <c r="T906" s="9"/>
      <c r="U906" s="9"/>
      <c r="Z906" s="9"/>
    </row>
    <row r="907" spans="15:26">
      <c r="O907" s="236"/>
      <c r="R907" s="4"/>
      <c r="T907" s="9"/>
      <c r="U907" s="9"/>
      <c r="Z907" s="9"/>
    </row>
    <row r="908" spans="15:26">
      <c r="O908" s="236"/>
      <c r="R908" s="4"/>
      <c r="T908" s="9"/>
      <c r="U908" s="9"/>
      <c r="Z908" s="9"/>
    </row>
    <row r="909" spans="15:26">
      <c r="O909" s="236"/>
      <c r="R909" s="4"/>
      <c r="T909" s="9"/>
      <c r="U909" s="9"/>
      <c r="Z909" s="9"/>
    </row>
    <row r="910" spans="15:26">
      <c r="O910" s="236"/>
      <c r="R910" s="4"/>
      <c r="T910" s="9"/>
      <c r="U910" s="9"/>
      <c r="Z910" s="9"/>
    </row>
    <row r="911" spans="15:26">
      <c r="O911" s="236"/>
      <c r="R911" s="4"/>
      <c r="T911" s="9"/>
      <c r="U911" s="9"/>
      <c r="Z911" s="9"/>
    </row>
    <row r="912" spans="15:26">
      <c r="O912" s="236"/>
      <c r="R912" s="4"/>
      <c r="T912" s="9"/>
      <c r="U912" s="9"/>
      <c r="Z912" s="9"/>
    </row>
    <row r="913" spans="15:26">
      <c r="O913" s="236"/>
      <c r="R913" s="4"/>
      <c r="T913" s="9"/>
      <c r="U913" s="9"/>
      <c r="Z913" s="9"/>
    </row>
    <row r="914" spans="15:26">
      <c r="O914" s="236"/>
      <c r="R914" s="4"/>
      <c r="T914" s="9"/>
      <c r="U914" s="9"/>
      <c r="Z914" s="9"/>
    </row>
    <row r="915" spans="15:26">
      <c r="O915" s="236"/>
      <c r="R915" s="4"/>
      <c r="T915" s="9"/>
      <c r="U915" s="9"/>
      <c r="Z915" s="9"/>
    </row>
    <row r="916" spans="15:26">
      <c r="O916" s="236"/>
      <c r="R916" s="4"/>
      <c r="T916" s="9"/>
      <c r="U916" s="9"/>
      <c r="Z916" s="9"/>
    </row>
    <row r="917" spans="15:26">
      <c r="O917" s="236"/>
      <c r="R917" s="4"/>
      <c r="T917" s="9"/>
      <c r="U917" s="9"/>
      <c r="Z917" s="9"/>
    </row>
    <row r="918" spans="15:26">
      <c r="O918" s="236"/>
      <c r="R918" s="4"/>
      <c r="T918" s="9"/>
      <c r="U918" s="9"/>
      <c r="Z918" s="9"/>
    </row>
    <row r="919" spans="15:26">
      <c r="O919" s="236"/>
      <c r="R919" s="4"/>
      <c r="T919" s="9"/>
      <c r="U919" s="9"/>
      <c r="Z919" s="9"/>
    </row>
    <row r="920" spans="15:26">
      <c r="O920" s="236"/>
      <c r="R920" s="4"/>
      <c r="T920" s="9"/>
      <c r="U920" s="9"/>
      <c r="Z920" s="9"/>
    </row>
    <row r="921" spans="15:26">
      <c r="O921" s="236"/>
      <c r="R921" s="4"/>
      <c r="T921" s="9"/>
      <c r="U921" s="9"/>
      <c r="Z921" s="9"/>
    </row>
    <row r="922" spans="15:26">
      <c r="O922" s="236"/>
      <c r="R922" s="4"/>
      <c r="T922" s="9"/>
      <c r="U922" s="9"/>
      <c r="Z922" s="9"/>
    </row>
    <row r="923" spans="15:26">
      <c r="O923" s="236"/>
      <c r="R923" s="4"/>
      <c r="T923" s="9"/>
      <c r="U923" s="9"/>
      <c r="Z923" s="9"/>
    </row>
    <row r="924" spans="15:26">
      <c r="O924" s="236"/>
      <c r="R924" s="4"/>
      <c r="T924" s="9"/>
      <c r="U924" s="9"/>
      <c r="Z924" s="9"/>
    </row>
    <row r="925" spans="15:26">
      <c r="O925" s="236"/>
      <c r="R925" s="4"/>
      <c r="T925" s="9"/>
      <c r="U925" s="9"/>
      <c r="Z925" s="9"/>
    </row>
    <row r="926" spans="15:26">
      <c r="O926" s="236"/>
      <c r="R926" s="4"/>
      <c r="T926" s="9"/>
      <c r="U926" s="9"/>
      <c r="Z926" s="9"/>
    </row>
    <row r="927" spans="15:26">
      <c r="O927" s="236"/>
      <c r="R927" s="4"/>
      <c r="T927" s="9"/>
      <c r="U927" s="9"/>
      <c r="Z927" s="9"/>
    </row>
    <row r="928" spans="15:26">
      <c r="O928" s="236"/>
      <c r="R928" s="4"/>
      <c r="T928" s="9"/>
      <c r="U928" s="9"/>
      <c r="Z928" s="9"/>
    </row>
    <row r="929" spans="15:26">
      <c r="O929" s="236"/>
      <c r="R929" s="4"/>
      <c r="T929" s="9"/>
      <c r="U929" s="9"/>
      <c r="Z929" s="9"/>
    </row>
    <row r="930" spans="15:26">
      <c r="O930" s="236"/>
      <c r="R930" s="4"/>
      <c r="T930" s="9"/>
      <c r="U930" s="9"/>
      <c r="Z930" s="9"/>
    </row>
    <row r="931" spans="15:26">
      <c r="O931" s="236"/>
      <c r="R931" s="4"/>
      <c r="T931" s="9"/>
      <c r="U931" s="9"/>
      <c r="Z931" s="9"/>
    </row>
    <row r="932" spans="15:26">
      <c r="O932" s="236"/>
      <c r="R932" s="4"/>
      <c r="T932" s="9"/>
      <c r="U932" s="9"/>
      <c r="Z932" s="9"/>
    </row>
    <row r="933" spans="15:26">
      <c r="O933" s="236"/>
      <c r="R933" s="4"/>
      <c r="T933" s="9"/>
      <c r="U933" s="9"/>
      <c r="Z933" s="9"/>
    </row>
    <row r="934" spans="15:26">
      <c r="O934" s="236"/>
      <c r="R934" s="4"/>
      <c r="T934" s="9"/>
      <c r="U934" s="9"/>
      <c r="Z934" s="9"/>
    </row>
    <row r="935" spans="15:26">
      <c r="O935" s="236"/>
      <c r="R935" s="4"/>
      <c r="T935" s="9"/>
      <c r="U935" s="9"/>
      <c r="Z935" s="9"/>
    </row>
    <row r="936" spans="15:26">
      <c r="O936" s="236"/>
      <c r="R936" s="4"/>
      <c r="T936" s="9"/>
      <c r="U936" s="9"/>
      <c r="Z936" s="9"/>
    </row>
    <row r="937" spans="15:26">
      <c r="O937" s="236"/>
      <c r="R937" s="4"/>
      <c r="T937" s="9"/>
      <c r="U937" s="9"/>
      <c r="Z937" s="9"/>
    </row>
    <row r="938" spans="15:26">
      <c r="O938" s="236"/>
      <c r="R938" s="4"/>
      <c r="T938" s="9"/>
      <c r="U938" s="9"/>
      <c r="Z938" s="9"/>
    </row>
    <row r="939" spans="15:26">
      <c r="O939" s="236"/>
      <c r="R939" s="4"/>
      <c r="T939" s="9"/>
      <c r="U939" s="9"/>
      <c r="Z939" s="9"/>
    </row>
    <row r="940" spans="15:26">
      <c r="O940" s="236"/>
      <c r="R940" s="4"/>
      <c r="T940" s="9"/>
      <c r="U940" s="9"/>
      <c r="Z940" s="9"/>
    </row>
    <row r="941" spans="15:26">
      <c r="O941" s="236"/>
      <c r="R941" s="4"/>
      <c r="T941" s="9"/>
      <c r="U941" s="9"/>
      <c r="Z941" s="9"/>
    </row>
    <row r="942" spans="15:26">
      <c r="O942" s="236"/>
      <c r="R942" s="4"/>
      <c r="T942" s="9"/>
      <c r="U942" s="9"/>
      <c r="Z942" s="9"/>
    </row>
    <row r="943" spans="15:26">
      <c r="O943" s="236"/>
      <c r="R943" s="4"/>
      <c r="T943" s="9"/>
      <c r="U943" s="9"/>
      <c r="Z943" s="9"/>
    </row>
    <row r="944" spans="15:26">
      <c r="O944" s="236"/>
      <c r="R944" s="4"/>
      <c r="T944" s="9"/>
      <c r="U944" s="9"/>
      <c r="Z944" s="9"/>
    </row>
    <row r="945" spans="15:26">
      <c r="O945" s="236"/>
      <c r="R945" s="4"/>
      <c r="T945" s="9"/>
      <c r="U945" s="9"/>
      <c r="Z945" s="9"/>
    </row>
    <row r="946" spans="15:26">
      <c r="O946" s="236"/>
      <c r="R946" s="4"/>
      <c r="T946" s="9"/>
      <c r="U946" s="9"/>
      <c r="Z946" s="9"/>
    </row>
    <row r="947" spans="15:26">
      <c r="O947" s="236"/>
      <c r="R947" s="4"/>
      <c r="T947" s="9"/>
      <c r="U947" s="9"/>
      <c r="Z947" s="9"/>
    </row>
    <row r="948" spans="15:26">
      <c r="O948" s="236"/>
      <c r="R948" s="4"/>
      <c r="T948" s="9"/>
      <c r="U948" s="9"/>
      <c r="Z948" s="9"/>
    </row>
    <row r="949" spans="15:26">
      <c r="O949" s="236"/>
      <c r="R949" s="4"/>
      <c r="T949" s="9"/>
      <c r="U949" s="9"/>
      <c r="Z949" s="9"/>
    </row>
    <row r="950" spans="15:26">
      <c r="O950" s="236"/>
      <c r="R950" s="4"/>
      <c r="T950" s="9"/>
      <c r="U950" s="9"/>
      <c r="Z950" s="9"/>
    </row>
    <row r="951" spans="15:26">
      <c r="O951" s="236"/>
      <c r="R951" s="4"/>
      <c r="T951" s="9"/>
      <c r="U951" s="9"/>
      <c r="Z951" s="9"/>
    </row>
    <row r="952" spans="15:26">
      <c r="O952" s="236"/>
      <c r="R952" s="4"/>
      <c r="T952" s="9"/>
      <c r="U952" s="9"/>
      <c r="Z952" s="9"/>
    </row>
    <row r="953" spans="15:26">
      <c r="O953" s="236"/>
      <c r="R953" s="4"/>
      <c r="T953" s="9"/>
      <c r="U953" s="9"/>
      <c r="Z953" s="9"/>
    </row>
    <row r="954" spans="15:26">
      <c r="O954" s="236"/>
      <c r="R954" s="4"/>
      <c r="T954" s="9"/>
      <c r="U954" s="9"/>
      <c r="Z954" s="9"/>
    </row>
    <row r="955" spans="15:26">
      <c r="O955" s="236"/>
      <c r="R955" s="4"/>
      <c r="T955" s="9"/>
      <c r="U955" s="9"/>
      <c r="Z955" s="9"/>
    </row>
    <row r="956" spans="15:26">
      <c r="O956" s="236"/>
      <c r="R956" s="4"/>
      <c r="T956" s="9"/>
      <c r="U956" s="9"/>
      <c r="Z956" s="9"/>
    </row>
    <row r="957" spans="15:26">
      <c r="O957" s="236"/>
      <c r="R957" s="4"/>
      <c r="T957" s="9"/>
      <c r="U957" s="9"/>
      <c r="Z957" s="9"/>
    </row>
    <row r="958" spans="15:26">
      <c r="O958" s="236"/>
      <c r="R958" s="4"/>
      <c r="T958" s="9"/>
      <c r="U958" s="9"/>
      <c r="Z958" s="9"/>
    </row>
    <row r="959" spans="15:26">
      <c r="O959" s="236"/>
      <c r="R959" s="4"/>
      <c r="T959" s="9"/>
      <c r="U959" s="9"/>
      <c r="Z959" s="9"/>
    </row>
    <row r="960" spans="15:26">
      <c r="O960" s="236"/>
      <c r="R960" s="4"/>
      <c r="T960" s="9"/>
      <c r="U960" s="9"/>
      <c r="Z960" s="9"/>
    </row>
    <row r="961" spans="15:26">
      <c r="O961" s="236"/>
      <c r="R961" s="4"/>
      <c r="T961" s="9"/>
      <c r="U961" s="9"/>
      <c r="Z961" s="9"/>
    </row>
    <row r="962" spans="15:26">
      <c r="O962" s="236"/>
      <c r="R962" s="4"/>
      <c r="T962" s="9"/>
      <c r="U962" s="9"/>
      <c r="Z962" s="9"/>
    </row>
    <row r="963" spans="15:26">
      <c r="O963" s="236"/>
      <c r="R963" s="4"/>
      <c r="T963" s="9"/>
      <c r="U963" s="9"/>
      <c r="Z963" s="9"/>
    </row>
    <row r="964" spans="15:26">
      <c r="O964" s="236"/>
      <c r="R964" s="4"/>
      <c r="T964" s="9"/>
      <c r="U964" s="9"/>
      <c r="Z964" s="9"/>
    </row>
    <row r="965" spans="15:26">
      <c r="O965" s="236"/>
      <c r="R965" s="4"/>
      <c r="T965" s="9"/>
      <c r="U965" s="9"/>
      <c r="Z965" s="9"/>
    </row>
    <row r="966" spans="15:26">
      <c r="O966" s="236"/>
      <c r="R966" s="4"/>
      <c r="T966" s="9"/>
      <c r="U966" s="9"/>
      <c r="Z966" s="9"/>
    </row>
    <row r="967" spans="15:26">
      <c r="O967" s="236"/>
      <c r="R967" s="4"/>
      <c r="T967" s="9"/>
      <c r="U967" s="9"/>
      <c r="Z967" s="9"/>
    </row>
    <row r="968" spans="15:26">
      <c r="O968" s="236"/>
      <c r="R968" s="4"/>
      <c r="T968" s="9"/>
      <c r="U968" s="9"/>
      <c r="Z968" s="9"/>
    </row>
    <row r="969" spans="15:26">
      <c r="O969" s="236"/>
      <c r="R969" s="4"/>
      <c r="T969" s="9"/>
      <c r="U969" s="9"/>
      <c r="Z969" s="9"/>
    </row>
    <row r="970" spans="15:26">
      <c r="O970" s="236"/>
      <c r="R970" s="4"/>
      <c r="T970" s="9"/>
      <c r="U970" s="9"/>
      <c r="Z970" s="9"/>
    </row>
    <row r="971" spans="15:26">
      <c r="O971" s="236"/>
      <c r="R971" s="4"/>
      <c r="T971" s="9"/>
      <c r="U971" s="9"/>
      <c r="Z971" s="9"/>
    </row>
    <row r="972" spans="15:26">
      <c r="O972" s="236"/>
      <c r="R972" s="4"/>
      <c r="T972" s="9"/>
      <c r="U972" s="9"/>
      <c r="Z972" s="9"/>
    </row>
    <row r="973" spans="15:26">
      <c r="O973" s="236"/>
      <c r="R973" s="4"/>
      <c r="T973" s="9"/>
      <c r="U973" s="9"/>
      <c r="Z973" s="9"/>
    </row>
    <row r="974" spans="15:26">
      <c r="O974" s="236"/>
      <c r="R974" s="4"/>
      <c r="T974" s="9"/>
      <c r="U974" s="9"/>
      <c r="Z974" s="9"/>
    </row>
    <row r="975" spans="15:26">
      <c r="O975" s="236"/>
      <c r="R975" s="4"/>
      <c r="T975" s="9"/>
      <c r="U975" s="9"/>
      <c r="Z975" s="9"/>
    </row>
    <row r="976" spans="15:26">
      <c r="O976" s="236"/>
      <c r="R976" s="4"/>
      <c r="T976" s="9"/>
      <c r="U976" s="9"/>
      <c r="Z976" s="9"/>
    </row>
    <row r="977" spans="8:26">
      <c r="O977" s="236"/>
      <c r="R977" s="4"/>
      <c r="T977" s="9"/>
      <c r="U977" s="9"/>
      <c r="Z977" s="9"/>
    </row>
    <row r="978" spans="8:26">
      <c r="H978">
        <f>VLOOKUP(Preencher!A441,Preencher!P442:S456,4,0)</f>
        <v>0</v>
      </c>
      <c r="O978" s="236"/>
      <c r="R978" s="4"/>
      <c r="T978" s="9"/>
      <c r="U978" s="9"/>
      <c r="Z978" s="9"/>
    </row>
    <row r="979" spans="8:26">
      <c r="O979" s="236"/>
      <c r="R979" s="4"/>
      <c r="T979" s="9"/>
      <c r="U979" s="9"/>
      <c r="Z979" s="9"/>
    </row>
    <row r="980" spans="8:26">
      <c r="O980" s="236"/>
      <c r="R980" s="4"/>
      <c r="T980" s="9"/>
      <c r="U980" s="9"/>
      <c r="Z980" s="9"/>
    </row>
    <row r="981" spans="8:26">
      <c r="O981" s="236"/>
      <c r="R981" s="4"/>
      <c r="T981" s="9"/>
      <c r="U981" s="9"/>
      <c r="Z981" s="9"/>
    </row>
    <row r="982" spans="8:26">
      <c r="O982" s="236"/>
      <c r="R982" s="4"/>
      <c r="T982" s="9"/>
      <c r="U982" s="9"/>
      <c r="Z982" s="9"/>
    </row>
    <row r="983" spans="8:26">
      <c r="O983" s="236"/>
      <c r="R983" s="4"/>
      <c r="T983" s="9"/>
      <c r="U983" s="9"/>
      <c r="Z983" s="9"/>
    </row>
    <row r="984" spans="8:26">
      <c r="O984" s="236"/>
      <c r="R984" s="4"/>
      <c r="T984" s="9"/>
      <c r="U984" s="9"/>
      <c r="Z984" s="9"/>
    </row>
    <row r="985" spans="8:26">
      <c r="O985" s="236"/>
      <c r="R985" s="4"/>
      <c r="T985" s="9"/>
      <c r="U985" s="9"/>
      <c r="Z985" s="9"/>
    </row>
    <row r="986" spans="8:26">
      <c r="O986" s="236"/>
      <c r="R986" s="4"/>
      <c r="T986" s="9"/>
      <c r="U986" s="9"/>
      <c r="Z986" s="9"/>
    </row>
    <row r="987" spans="8:26">
      <c r="O987" s="236"/>
      <c r="R987" s="4"/>
      <c r="T987" s="9"/>
      <c r="U987" s="9"/>
      <c r="Z987" s="9"/>
    </row>
    <row r="988" spans="8:26">
      <c r="O988" s="236"/>
      <c r="R988" s="4"/>
      <c r="T988" s="9"/>
      <c r="U988" s="9"/>
      <c r="Z988" s="9"/>
    </row>
    <row r="989" spans="8:26">
      <c r="O989" s="236"/>
      <c r="R989" s="4"/>
      <c r="T989" s="9"/>
      <c r="U989" s="9"/>
      <c r="Z989" s="9"/>
    </row>
    <row r="990" spans="8:26">
      <c r="O990" s="236"/>
      <c r="R990" s="4"/>
      <c r="T990" s="9"/>
      <c r="U990" s="9"/>
      <c r="Z990" s="9"/>
    </row>
    <row r="991" spans="8:26">
      <c r="O991" s="236"/>
      <c r="R991" s="4"/>
      <c r="T991" s="9"/>
      <c r="U991" s="9"/>
      <c r="Z991" s="9"/>
    </row>
    <row r="992" spans="8:26">
      <c r="O992" s="236"/>
      <c r="R992" s="4"/>
      <c r="T992" s="9"/>
      <c r="U992" s="9"/>
      <c r="Z992" s="9"/>
    </row>
    <row r="993" spans="6:26">
      <c r="O993" s="236"/>
      <c r="R993" s="4"/>
      <c r="T993" s="9"/>
      <c r="U993" s="9"/>
      <c r="Z993" s="9"/>
    </row>
    <row r="994" spans="6:26">
      <c r="O994" s="236"/>
      <c r="R994" s="4"/>
      <c r="T994" s="9"/>
      <c r="U994" s="9"/>
      <c r="Z994" s="9"/>
    </row>
    <row r="995" spans="6:26">
      <c r="O995" s="236"/>
      <c r="R995" s="4"/>
      <c r="T995" s="9"/>
      <c r="U995" s="9"/>
      <c r="Z995" s="9"/>
    </row>
    <row r="996" spans="6:26">
      <c r="O996" s="236"/>
      <c r="R996" s="4"/>
      <c r="T996" s="9"/>
      <c r="U996" s="9"/>
      <c r="Z996" s="9"/>
    </row>
    <row r="997" spans="6:26">
      <c r="O997" s="236"/>
      <c r="R997" s="4"/>
      <c r="T997" s="9"/>
      <c r="U997" s="9"/>
      <c r="Z997" s="9"/>
    </row>
    <row r="998" spans="6:26">
      <c r="O998" s="236"/>
      <c r="R998" s="4"/>
      <c r="T998" s="9"/>
      <c r="U998" s="9"/>
      <c r="Z998" s="9"/>
    </row>
    <row r="999" spans="6:26">
      <c r="O999" s="236"/>
      <c r="R999" s="4"/>
      <c r="T999" s="9"/>
      <c r="U999" s="9"/>
      <c r="Z999" s="9"/>
    </row>
    <row r="1000" spans="6:26">
      <c r="O1000" s="236"/>
      <c r="R1000" s="4"/>
      <c r="T1000" s="9"/>
      <c r="U1000" s="9"/>
      <c r="Z1000" s="9"/>
    </row>
    <row r="1001" spans="6:26">
      <c r="F1001" t="e">
        <f ca="1">ROUNDUP(IF(Preenche=Preencher!$R$29,(SUM(F986:F1000)*0.17),IF(Preencher!$A$15=Preencher!$R$30,(SUM(F986:F1000)*0.33),IF(Preencher!$A$15=Preencher!$R$28,0,0))),0)</f>
        <v>#NAME?</v>
      </c>
      <c r="O1001" s="236"/>
      <c r="R1001" s="4"/>
      <c r="T1001" s="9"/>
      <c r="U1001" s="9"/>
      <c r="Z1001" s="9"/>
    </row>
    <row r="1002" spans="6:26">
      <c r="O1002" s="236"/>
      <c r="R1002" s="4"/>
      <c r="T1002" s="9"/>
      <c r="U1002" s="9"/>
      <c r="Z1002" s="9"/>
    </row>
    <row r="1003" spans="6:26">
      <c r="O1003" s="236"/>
      <c r="R1003" s="4"/>
      <c r="T1003" s="9"/>
      <c r="U1003" s="9"/>
      <c r="Z1003" s="9"/>
    </row>
    <row r="1004" spans="6:26">
      <c r="O1004" s="236"/>
      <c r="R1004" s="4"/>
      <c r="T1004" s="9"/>
      <c r="U1004" s="9"/>
      <c r="Z1004" s="9"/>
    </row>
    <row r="1005" spans="6:26">
      <c r="F1005" t="e">
        <f ca="1">(IF(OR(Preencher!A500=Preencher!U494,Preencher!U495,Preencher!U497,Preencher!U498,Preencher!U499,Preencher!U500,Preencher!U501,Preencher!U502),(SUM(F984:F1004)*0.17),IF(OR(Preencher!A500=Preencher!U495,Preencher!U499,Preencher!U500,Preencher!U503,Preencher!U504,Preencher!U505),(SUM(F984:F1004)*0.33))))*IF(Preencher!A500,OR(Preencher!U493,Preencher!U496,0))</f>
        <v>#NAME?</v>
      </c>
      <c r="O1005" s="236"/>
      <c r="R1005" s="4"/>
      <c r="T1005" s="9"/>
      <c r="U1005" s="9"/>
      <c r="Z1005" s="9"/>
    </row>
    <row r="1006" spans="6:26">
      <c r="O1006" s="236"/>
      <c r="R1006" s="4"/>
      <c r="T1006" s="9"/>
      <c r="U1006" s="9"/>
      <c r="Z1006" s="9"/>
    </row>
    <row r="1007" spans="6:26">
      <c r="O1007" s="236"/>
      <c r="R1007" s="4"/>
      <c r="T1007" s="9"/>
      <c r="U1007" s="9"/>
      <c r="Z1007" s="9"/>
    </row>
    <row r="1008" spans="6:26">
      <c r="O1008" s="236"/>
      <c r="R1008" s="4"/>
      <c r="T1008" s="9"/>
      <c r="U1008" s="9"/>
      <c r="Z1008" s="9"/>
    </row>
    <row r="1009" spans="15:26">
      <c r="O1009" s="236"/>
      <c r="R1009" s="4"/>
      <c r="T1009" s="9"/>
      <c r="U1009" s="9"/>
      <c r="Z1009" s="9"/>
    </row>
    <row r="1010" spans="15:26">
      <c r="O1010" s="236"/>
      <c r="R1010" s="4"/>
      <c r="T1010" s="9"/>
      <c r="U1010" s="9"/>
      <c r="Z1010" s="9"/>
    </row>
    <row r="1011" spans="15:26">
      <c r="O1011" s="236"/>
      <c r="R1011" s="4"/>
      <c r="T1011" s="9"/>
      <c r="U1011" s="9"/>
      <c r="Z1011" s="9"/>
    </row>
    <row r="1012" spans="15:26">
      <c r="O1012" s="236"/>
      <c r="R1012" s="4"/>
      <c r="T1012" s="9"/>
      <c r="U1012" s="9"/>
      <c r="Z1012" s="9"/>
    </row>
    <row r="1013" spans="15:26">
      <c r="O1013" s="236"/>
      <c r="R1013" s="4"/>
      <c r="T1013" s="9"/>
      <c r="U1013" s="9"/>
      <c r="Z1013" s="9"/>
    </row>
    <row r="1014" spans="15:26">
      <c r="O1014" s="236"/>
      <c r="R1014" s="4"/>
      <c r="T1014" s="9"/>
      <c r="U1014" s="9"/>
      <c r="Z1014" s="9"/>
    </row>
    <row r="1015" spans="15:26">
      <c r="O1015" s="236"/>
      <c r="R1015" s="4"/>
      <c r="T1015" s="9"/>
      <c r="U1015" s="9"/>
      <c r="Z1015" s="9"/>
    </row>
    <row r="1016" spans="15:26">
      <c r="O1016" s="236"/>
      <c r="R1016" s="4"/>
      <c r="T1016" s="9"/>
      <c r="U1016" s="9"/>
      <c r="Z1016" s="9"/>
    </row>
    <row r="1017" spans="15:26">
      <c r="O1017" s="236"/>
      <c r="R1017" s="4"/>
      <c r="T1017" s="9"/>
      <c r="U1017" s="9"/>
      <c r="Z1017" s="9"/>
    </row>
    <row r="1018" spans="15:26">
      <c r="O1018" s="236"/>
      <c r="R1018" s="4"/>
      <c r="T1018" s="9"/>
      <c r="U1018" s="9"/>
      <c r="Z1018" s="9"/>
    </row>
    <row r="1019" spans="15:26">
      <c r="O1019" s="236"/>
      <c r="R1019" s="4"/>
      <c r="T1019" s="9"/>
      <c r="U1019" s="9"/>
      <c r="Z1019" s="9"/>
    </row>
    <row r="1020" spans="15:26">
      <c r="O1020" s="236"/>
      <c r="R1020" s="4"/>
      <c r="T1020" s="9"/>
      <c r="U1020" s="9"/>
      <c r="Z1020" s="9"/>
    </row>
    <row r="1021" spans="15:26">
      <c r="O1021" s="236"/>
      <c r="R1021" s="4"/>
      <c r="T1021" s="9"/>
      <c r="U1021" s="9"/>
      <c r="Z1021" s="9"/>
    </row>
    <row r="1022" spans="15:26">
      <c r="O1022" s="236"/>
      <c r="R1022" s="4"/>
      <c r="T1022" s="9"/>
      <c r="U1022" s="9"/>
      <c r="Z1022" s="9"/>
    </row>
    <row r="1023" spans="15:26">
      <c r="O1023" s="236"/>
      <c r="R1023" s="4"/>
      <c r="T1023" s="9"/>
      <c r="U1023" s="9"/>
      <c r="Z1023" s="9"/>
    </row>
    <row r="1024" spans="15:26">
      <c r="O1024" s="236"/>
      <c r="R1024" s="4"/>
      <c r="T1024" s="9"/>
      <c r="U1024" s="9"/>
      <c r="Z1024" s="9"/>
    </row>
    <row r="1025" spans="15:26">
      <c r="O1025" s="236"/>
      <c r="R1025" s="4"/>
      <c r="T1025" s="9"/>
      <c r="U1025" s="9"/>
      <c r="Z1025" s="9"/>
    </row>
    <row r="1026" spans="15:26">
      <c r="O1026" s="236"/>
      <c r="R1026" s="4"/>
      <c r="T1026" s="9"/>
      <c r="U1026" s="9"/>
      <c r="Z1026" s="9"/>
    </row>
    <row r="1027" spans="15:26">
      <c r="O1027" s="236"/>
      <c r="R1027" s="4"/>
      <c r="T1027" s="9"/>
      <c r="U1027" s="9"/>
      <c r="Z1027" s="9"/>
    </row>
    <row r="1028" spans="15:26">
      <c r="O1028" s="236"/>
      <c r="R1028" s="4"/>
      <c r="T1028" s="9"/>
      <c r="U1028" s="9"/>
      <c r="Z1028" s="9"/>
    </row>
    <row r="1029" spans="15:26">
      <c r="O1029" s="236"/>
      <c r="R1029" s="4"/>
      <c r="T1029" s="9"/>
      <c r="U1029" s="9"/>
      <c r="Z1029" s="9"/>
    </row>
    <row r="1030" spans="15:26">
      <c r="O1030" s="236"/>
      <c r="R1030" s="4"/>
      <c r="T1030" s="9"/>
      <c r="U1030" s="9"/>
      <c r="Z1030" s="9"/>
    </row>
    <row r="1031" spans="15:26">
      <c r="O1031" s="236"/>
      <c r="R1031" s="4"/>
      <c r="T1031" s="9"/>
      <c r="U1031" s="9"/>
      <c r="Z1031" s="9"/>
    </row>
    <row r="1032" spans="15:26">
      <c r="O1032" s="236"/>
      <c r="R1032" s="4"/>
      <c r="T1032" s="9"/>
      <c r="U1032" s="9"/>
      <c r="Z1032" s="9"/>
    </row>
    <row r="1033" spans="15:26">
      <c r="O1033" s="236"/>
      <c r="R1033" s="4"/>
      <c r="T1033" s="9"/>
      <c r="U1033" s="9"/>
      <c r="Z1033" s="9"/>
    </row>
    <row r="1034" spans="15:26">
      <c r="O1034" s="236"/>
      <c r="R1034" s="4"/>
      <c r="T1034" s="9"/>
      <c r="U1034" s="9"/>
      <c r="Z1034" s="9"/>
    </row>
    <row r="1035" spans="15:26">
      <c r="O1035" s="236"/>
      <c r="R1035" s="4"/>
      <c r="T1035" s="9"/>
      <c r="U1035" s="9"/>
      <c r="Z1035" s="9"/>
    </row>
    <row r="1036" spans="15:26">
      <c r="O1036" s="236"/>
      <c r="R1036" s="4"/>
      <c r="T1036" s="9"/>
      <c r="U1036" s="9"/>
      <c r="Z1036" s="9"/>
    </row>
    <row r="1037" spans="15:26">
      <c r="O1037" s="236"/>
      <c r="R1037" s="4"/>
      <c r="T1037" s="9"/>
      <c r="U1037" s="9"/>
      <c r="Z1037" s="9"/>
    </row>
    <row r="1038" spans="15:26">
      <c r="O1038" s="236"/>
      <c r="R1038" s="4"/>
      <c r="T1038" s="9"/>
      <c r="U1038" s="9"/>
      <c r="Z1038" s="9"/>
    </row>
    <row r="1039" spans="15:26">
      <c r="O1039" s="236"/>
      <c r="R1039" s="4"/>
      <c r="T1039" s="9"/>
      <c r="U1039" s="9"/>
      <c r="Z1039" s="9"/>
    </row>
    <row r="1040" spans="15:26">
      <c r="O1040" s="236"/>
      <c r="R1040" s="4"/>
      <c r="T1040" s="9"/>
      <c r="U1040" s="9"/>
      <c r="Z1040" s="9"/>
    </row>
    <row r="1041" spans="15:26">
      <c r="O1041" s="236"/>
      <c r="R1041" s="4"/>
      <c r="T1041" s="9"/>
      <c r="U1041" s="9"/>
      <c r="Z1041" s="9"/>
    </row>
    <row r="1042" spans="15:26">
      <c r="O1042" s="236"/>
      <c r="R1042" s="4"/>
      <c r="T1042" s="9"/>
      <c r="U1042" s="9"/>
      <c r="Z1042" s="9"/>
    </row>
    <row r="1043" spans="15:26">
      <c r="O1043" s="236"/>
      <c r="R1043" s="4"/>
      <c r="T1043" s="9"/>
      <c r="U1043" s="9"/>
      <c r="Z1043" s="9"/>
    </row>
    <row r="1044" spans="15:26">
      <c r="O1044" s="236"/>
      <c r="R1044" s="4"/>
      <c r="T1044" s="9"/>
      <c r="U1044" s="9"/>
      <c r="Z1044" s="9"/>
    </row>
    <row r="1045" spans="15:26">
      <c r="O1045" s="236"/>
      <c r="R1045" s="4"/>
      <c r="T1045" s="9"/>
      <c r="U1045" s="9"/>
      <c r="Z1045" s="9"/>
    </row>
    <row r="1046" spans="15:26">
      <c r="O1046" s="236"/>
      <c r="R1046" s="4"/>
      <c r="T1046" s="9"/>
      <c r="U1046" s="9"/>
      <c r="Z1046" s="9"/>
    </row>
    <row r="1047" spans="15:26">
      <c r="O1047" s="236"/>
      <c r="R1047" s="4"/>
      <c r="T1047" s="9"/>
      <c r="U1047" s="9"/>
      <c r="Z1047" s="9"/>
    </row>
    <row r="1048" spans="15:26">
      <c r="O1048" s="236"/>
      <c r="R1048" s="4"/>
      <c r="T1048" s="9"/>
      <c r="U1048" s="9"/>
      <c r="Z1048" s="9"/>
    </row>
    <row r="1049" spans="15:26">
      <c r="O1049" s="236"/>
      <c r="R1049" s="4"/>
      <c r="T1049" s="9"/>
      <c r="U1049" s="9"/>
      <c r="Z1049" s="9"/>
    </row>
    <row r="1050" spans="15:26">
      <c r="O1050" s="236"/>
      <c r="R1050" s="4"/>
      <c r="T1050" s="9"/>
      <c r="U1050" s="9"/>
      <c r="Z1050" s="9"/>
    </row>
    <row r="1051" spans="15:26">
      <c r="O1051" s="236"/>
      <c r="R1051" s="4"/>
      <c r="T1051" s="9"/>
      <c r="U1051" s="9"/>
      <c r="Z1051" s="9"/>
    </row>
    <row r="1052" spans="15:26">
      <c r="O1052" s="236"/>
      <c r="R1052" s="4"/>
      <c r="T1052" s="9"/>
      <c r="U1052" s="9"/>
      <c r="Z1052" s="9"/>
    </row>
    <row r="1053" spans="15:26">
      <c r="O1053" s="236"/>
      <c r="R1053" s="4"/>
      <c r="T1053" s="9"/>
      <c r="U1053" s="9"/>
      <c r="Z1053" s="9"/>
    </row>
    <row r="1054" spans="15:26">
      <c r="O1054" s="236"/>
      <c r="R1054" s="4"/>
      <c r="T1054" s="9"/>
      <c r="U1054" s="9"/>
      <c r="Z1054" s="9"/>
    </row>
    <row r="1055" spans="15:26">
      <c r="O1055" s="236"/>
      <c r="R1055" s="4"/>
      <c r="T1055" s="9"/>
      <c r="U1055" s="9"/>
      <c r="Z1055" s="9"/>
    </row>
    <row r="1056" spans="15:26">
      <c r="O1056" s="236"/>
      <c r="R1056" s="4"/>
      <c r="T1056" s="9"/>
      <c r="U1056" s="9"/>
      <c r="Z1056" s="9"/>
    </row>
    <row r="1057" spans="15:26">
      <c r="O1057" s="236"/>
      <c r="R1057" s="4"/>
      <c r="T1057" s="9"/>
      <c r="U1057" s="9"/>
      <c r="Z1057" s="9"/>
    </row>
    <row r="1058" spans="15:26">
      <c r="O1058" s="236"/>
      <c r="R1058" s="4"/>
      <c r="T1058" s="9"/>
      <c r="U1058" s="9"/>
      <c r="Z1058" s="9"/>
    </row>
    <row r="1059" spans="15:26">
      <c r="O1059" s="236"/>
      <c r="R1059" s="4"/>
      <c r="T1059" s="9"/>
      <c r="U1059" s="9"/>
      <c r="Z1059" s="9"/>
    </row>
    <row r="1060" spans="15:26">
      <c r="O1060" s="236"/>
      <c r="R1060" s="4"/>
      <c r="T1060" s="9"/>
      <c r="U1060" s="9"/>
      <c r="Z1060" s="9"/>
    </row>
    <row r="1061" spans="15:26">
      <c r="O1061" s="236"/>
      <c r="R1061" s="4"/>
      <c r="T1061" s="9"/>
      <c r="U1061" s="9"/>
      <c r="Z1061" s="9"/>
    </row>
    <row r="1062" spans="15:26">
      <c r="O1062" s="236"/>
      <c r="R1062" s="4"/>
      <c r="T1062" s="9"/>
      <c r="U1062" s="9"/>
      <c r="Z1062" s="9"/>
    </row>
    <row r="1063" spans="15:26">
      <c r="O1063" s="236"/>
      <c r="R1063" s="4"/>
      <c r="T1063" s="9"/>
      <c r="U1063" s="9"/>
      <c r="Z1063" s="9"/>
    </row>
    <row r="1064" spans="15:26">
      <c r="O1064" s="236"/>
      <c r="R1064" s="4"/>
      <c r="T1064" s="9"/>
      <c r="U1064" s="9"/>
      <c r="Z1064" s="9"/>
    </row>
    <row r="1065" spans="15:26">
      <c r="O1065" s="236"/>
      <c r="R1065" s="4"/>
      <c r="T1065" s="9"/>
      <c r="U1065" s="9"/>
      <c r="Z1065" s="9"/>
    </row>
    <row r="1066" spans="15:26">
      <c r="O1066" s="236"/>
      <c r="R1066" s="4"/>
      <c r="T1066" s="9"/>
      <c r="U1066" s="9"/>
      <c r="Z1066" s="9"/>
    </row>
    <row r="1067" spans="15:26">
      <c r="O1067" s="236"/>
      <c r="R1067" s="4"/>
      <c r="T1067" s="9"/>
      <c r="U1067" s="9"/>
      <c r="Z1067" s="9"/>
    </row>
    <row r="1068" spans="15:26">
      <c r="O1068" s="236"/>
      <c r="R1068" s="4"/>
      <c r="T1068" s="9"/>
      <c r="U1068" s="9"/>
      <c r="Z1068" s="9"/>
    </row>
    <row r="1069" spans="15:26">
      <c r="O1069" s="236"/>
      <c r="R1069" s="4"/>
      <c r="T1069" s="9"/>
      <c r="U1069" s="9"/>
      <c r="Z1069" s="9"/>
    </row>
    <row r="1070" spans="15:26">
      <c r="O1070" s="236"/>
      <c r="R1070" s="4"/>
      <c r="T1070" s="9"/>
      <c r="U1070" s="9"/>
      <c r="Z1070" s="9"/>
    </row>
    <row r="1071" spans="15:26">
      <c r="O1071" s="236"/>
      <c r="R1071" s="4"/>
      <c r="T1071" s="9"/>
      <c r="U1071" s="9"/>
      <c r="Z1071" s="9"/>
    </row>
    <row r="1072" spans="15:26">
      <c r="O1072" s="236"/>
      <c r="R1072" s="4"/>
      <c r="T1072" s="9"/>
      <c r="U1072" s="9"/>
      <c r="Z1072" s="9"/>
    </row>
    <row r="1073" spans="15:26">
      <c r="O1073" s="236"/>
      <c r="R1073" s="4"/>
      <c r="T1073" s="9"/>
      <c r="U1073" s="9"/>
      <c r="Z1073" s="9"/>
    </row>
    <row r="1074" spans="15:26">
      <c r="O1074" s="236"/>
      <c r="R1074" s="4"/>
      <c r="T1074" s="9"/>
      <c r="U1074" s="9"/>
      <c r="Z1074" s="9"/>
    </row>
    <row r="1075" spans="15:26">
      <c r="O1075" s="236"/>
      <c r="R1075" s="4"/>
      <c r="T1075" s="9"/>
      <c r="U1075" s="9"/>
      <c r="Z1075" s="9"/>
    </row>
    <row r="1076" spans="15:26">
      <c r="O1076" s="236"/>
      <c r="R1076" s="4"/>
      <c r="T1076" s="9"/>
      <c r="U1076" s="9"/>
      <c r="Z1076" s="9"/>
    </row>
    <row r="1077" spans="15:26">
      <c r="O1077" s="236"/>
      <c r="R1077" s="4"/>
      <c r="T1077" s="9"/>
      <c r="U1077" s="9"/>
      <c r="Z1077" s="9"/>
    </row>
    <row r="1078" spans="15:26">
      <c r="O1078" s="236"/>
      <c r="R1078" s="4"/>
      <c r="T1078" s="9"/>
      <c r="U1078" s="9"/>
      <c r="Z1078" s="9"/>
    </row>
    <row r="1079" spans="15:26">
      <c r="O1079" s="236"/>
      <c r="R1079" s="4"/>
      <c r="T1079" s="9"/>
      <c r="U1079" s="9"/>
      <c r="Z1079" s="9"/>
    </row>
    <row r="1080" spans="15:26">
      <c r="O1080" s="236"/>
      <c r="R1080" s="4"/>
      <c r="T1080" s="9"/>
      <c r="U1080" s="9"/>
      <c r="Z1080" s="9"/>
    </row>
    <row r="1081" spans="15:26">
      <c r="O1081" s="236"/>
      <c r="R1081" s="4"/>
      <c r="T1081" s="9"/>
      <c r="U1081" s="9"/>
      <c r="Z1081" s="9"/>
    </row>
    <row r="1082" spans="15:26">
      <c r="O1082" s="236"/>
      <c r="R1082" s="4"/>
      <c r="T1082" s="9"/>
      <c r="U1082" s="9"/>
      <c r="Z1082" s="9"/>
    </row>
    <row r="1083" spans="15:26">
      <c r="O1083" s="236"/>
      <c r="R1083" s="4"/>
      <c r="T1083" s="9"/>
      <c r="U1083" s="9"/>
      <c r="Z1083" s="9"/>
    </row>
    <row r="1084" spans="15:26">
      <c r="O1084" s="236"/>
      <c r="R1084" s="4"/>
      <c r="T1084" s="9"/>
      <c r="U1084" s="9"/>
      <c r="Z1084" s="9"/>
    </row>
    <row r="1085" spans="15:26">
      <c r="O1085" s="236"/>
      <c r="R1085" s="4"/>
      <c r="T1085" s="9"/>
      <c r="U1085" s="9"/>
      <c r="Z1085" s="9"/>
    </row>
    <row r="1086" spans="15:26">
      <c r="O1086" s="236"/>
      <c r="R1086" s="4"/>
      <c r="T1086" s="9"/>
      <c r="U1086" s="9"/>
      <c r="Z1086" s="9"/>
    </row>
    <row r="1087" spans="15:26">
      <c r="O1087" s="236"/>
      <c r="R1087" s="4"/>
      <c r="T1087" s="9"/>
      <c r="U1087" s="9"/>
      <c r="Z1087" s="9"/>
    </row>
    <row r="1088" spans="15:26">
      <c r="O1088" s="236"/>
      <c r="R1088" s="4"/>
      <c r="T1088" s="9"/>
      <c r="U1088" s="9"/>
      <c r="Z1088" s="9"/>
    </row>
    <row r="1089" spans="15:26">
      <c r="O1089" s="236"/>
      <c r="R1089" s="4"/>
      <c r="T1089" s="9"/>
      <c r="U1089" s="9"/>
      <c r="Z1089" s="9"/>
    </row>
    <row r="1090" spans="15:26">
      <c r="O1090" s="236"/>
      <c r="R1090" s="4"/>
      <c r="T1090" s="9"/>
      <c r="U1090" s="9"/>
      <c r="Z1090" s="9"/>
    </row>
    <row r="1091" spans="15:26">
      <c r="O1091" s="236"/>
      <c r="R1091" s="4"/>
      <c r="T1091" s="9"/>
      <c r="U1091" s="9"/>
      <c r="Z1091" s="9"/>
    </row>
    <row r="1092" spans="15:26">
      <c r="O1092" s="236"/>
      <c r="R1092" s="4"/>
      <c r="T1092" s="9"/>
      <c r="U1092" s="9"/>
      <c r="Z1092" s="9"/>
    </row>
    <row r="1093" spans="15:26">
      <c r="O1093" s="236"/>
      <c r="R1093" s="4"/>
      <c r="T1093" s="9"/>
      <c r="U1093" s="9"/>
      <c r="Z1093" s="9"/>
    </row>
    <row r="1094" spans="15:26">
      <c r="O1094" s="236"/>
      <c r="R1094" s="4"/>
      <c r="T1094" s="9"/>
      <c r="U1094" s="9"/>
      <c r="Z1094" s="9"/>
    </row>
    <row r="1095" spans="15:26">
      <c r="O1095" s="236"/>
      <c r="R1095" s="4"/>
      <c r="T1095" s="9"/>
      <c r="U1095" s="9"/>
      <c r="Z1095" s="9"/>
    </row>
    <row r="1096" spans="15:26">
      <c r="O1096" s="236"/>
      <c r="R1096" s="4"/>
      <c r="T1096" s="9"/>
      <c r="U1096" s="9"/>
      <c r="Z1096" s="9"/>
    </row>
    <row r="1097" spans="15:26">
      <c r="O1097" s="236"/>
      <c r="R1097" s="4"/>
      <c r="T1097" s="9"/>
      <c r="U1097" s="9"/>
      <c r="Z1097" s="9"/>
    </row>
    <row r="1098" spans="15:26">
      <c r="O1098" s="236"/>
      <c r="R1098" s="4"/>
      <c r="T1098" s="9"/>
      <c r="U1098" s="9"/>
      <c r="Z1098" s="9"/>
    </row>
    <row r="1099" spans="15:26">
      <c r="O1099" s="236"/>
      <c r="R1099" s="4"/>
      <c r="T1099" s="9"/>
      <c r="U1099" s="9"/>
      <c r="Z1099" s="9"/>
    </row>
    <row r="1100" spans="15:26">
      <c r="O1100" s="236"/>
      <c r="R1100" s="4"/>
      <c r="T1100" s="9"/>
      <c r="U1100" s="9"/>
      <c r="Z1100" s="9"/>
    </row>
    <row r="1101" spans="15:26">
      <c r="O1101" s="236"/>
      <c r="R1101" s="4"/>
      <c r="T1101" s="9"/>
      <c r="U1101" s="9"/>
      <c r="Z1101" s="9"/>
    </row>
    <row r="1102" spans="15:26">
      <c r="O1102" s="236"/>
      <c r="R1102" s="4"/>
      <c r="T1102" s="9"/>
      <c r="U1102" s="9"/>
      <c r="Z1102" s="9"/>
    </row>
    <row r="1103" spans="15:26">
      <c r="O1103" s="236"/>
      <c r="R1103" s="4"/>
      <c r="T1103" s="9"/>
      <c r="U1103" s="9"/>
      <c r="Z1103" s="9"/>
    </row>
    <row r="1104" spans="15:26">
      <c r="O1104" s="236"/>
      <c r="R1104" s="4"/>
      <c r="T1104" s="9"/>
      <c r="U1104" s="9"/>
      <c r="Z1104" s="9"/>
    </row>
    <row r="1105" spans="15:26">
      <c r="O1105" s="236"/>
      <c r="R1105" s="4"/>
      <c r="T1105" s="9"/>
      <c r="U1105" s="9"/>
      <c r="Z1105" s="9"/>
    </row>
    <row r="1106" spans="15:26">
      <c r="O1106" s="236"/>
      <c r="R1106" s="4"/>
      <c r="T1106" s="9"/>
      <c r="U1106" s="9"/>
      <c r="Z1106" s="9"/>
    </row>
    <row r="1107" spans="15:26">
      <c r="O1107" s="236"/>
      <c r="R1107" s="4"/>
      <c r="T1107" s="9"/>
      <c r="U1107" s="9"/>
      <c r="Z1107" s="9"/>
    </row>
    <row r="1108" spans="15:26">
      <c r="O1108" s="236"/>
      <c r="R1108" s="4"/>
      <c r="T1108" s="9"/>
      <c r="U1108" s="9"/>
      <c r="Z1108" s="9"/>
    </row>
    <row r="1109" spans="15:26">
      <c r="O1109" s="236"/>
      <c r="R1109" s="4"/>
      <c r="T1109" s="9"/>
      <c r="U1109" s="9"/>
      <c r="Z1109" s="9"/>
    </row>
    <row r="1110" spans="15:26">
      <c r="O1110" s="236"/>
      <c r="R1110" s="4"/>
      <c r="T1110" s="9"/>
      <c r="U1110" s="9"/>
      <c r="Z1110" s="9"/>
    </row>
    <row r="1111" spans="15:26">
      <c r="O1111" s="236"/>
      <c r="R1111" s="4"/>
      <c r="T1111" s="9"/>
      <c r="U1111" s="9"/>
      <c r="Z1111" s="9"/>
    </row>
    <row r="1112" spans="15:26">
      <c r="O1112" s="236"/>
      <c r="R1112" s="4"/>
      <c r="T1112" s="9"/>
      <c r="U1112" s="9"/>
      <c r="Z1112" s="9"/>
    </row>
    <row r="1113" spans="15:26">
      <c r="O1113" s="236"/>
      <c r="R1113" s="4"/>
      <c r="T1113" s="9"/>
      <c r="U1113" s="9"/>
      <c r="Z1113" s="9"/>
    </row>
    <row r="1114" spans="15:26">
      <c r="O1114" s="236"/>
      <c r="R1114" s="4"/>
      <c r="T1114" s="9"/>
      <c r="U1114" s="9"/>
      <c r="Z1114" s="9"/>
    </row>
    <row r="1115" spans="15:26">
      <c r="O1115" s="236"/>
      <c r="R1115" s="4"/>
      <c r="T1115" s="9"/>
      <c r="U1115" s="9"/>
      <c r="Z1115" s="9"/>
    </row>
    <row r="1116" spans="15:26">
      <c r="O1116" s="236"/>
      <c r="R1116" s="4"/>
      <c r="T1116" s="9"/>
      <c r="U1116" s="9"/>
      <c r="Z1116" s="9"/>
    </row>
    <row r="1117" spans="15:26">
      <c r="O1117" s="236"/>
      <c r="R1117" s="4"/>
      <c r="T1117" s="9"/>
      <c r="U1117" s="9"/>
      <c r="Z1117" s="9"/>
    </row>
    <row r="1118" spans="15:26">
      <c r="O1118" s="236"/>
      <c r="R1118" s="4"/>
      <c r="T1118" s="9"/>
      <c r="U1118" s="9"/>
      <c r="Z1118" s="9"/>
    </row>
    <row r="1119" spans="15:26">
      <c r="O1119" s="236"/>
      <c r="R1119" s="4"/>
      <c r="T1119" s="9"/>
      <c r="U1119" s="9"/>
      <c r="Z1119" s="9"/>
    </row>
    <row r="1120" spans="15:26">
      <c r="O1120" s="236"/>
      <c r="R1120" s="4"/>
      <c r="T1120" s="9"/>
      <c r="U1120" s="9"/>
      <c r="Z1120" s="9"/>
    </row>
    <row r="1121" spans="15:26">
      <c r="O1121" s="236"/>
      <c r="R1121" s="4"/>
      <c r="T1121" s="9"/>
      <c r="U1121" s="9"/>
      <c r="Z1121" s="9"/>
    </row>
    <row r="1122" spans="15:26">
      <c r="O1122" s="236"/>
      <c r="R1122" s="4"/>
      <c r="T1122" s="9"/>
      <c r="U1122" s="9"/>
      <c r="Z1122" s="9"/>
    </row>
    <row r="1123" spans="15:26">
      <c r="O1123" s="236"/>
      <c r="R1123" s="4"/>
      <c r="T1123" s="9"/>
      <c r="U1123" s="9"/>
      <c r="Z1123" s="9"/>
    </row>
    <row r="1124" spans="15:26">
      <c r="O1124" s="236"/>
      <c r="R1124" s="4"/>
      <c r="T1124" s="9"/>
      <c r="U1124" s="9"/>
      <c r="Z1124" s="9"/>
    </row>
    <row r="1125" spans="15:26">
      <c r="O1125" s="236"/>
      <c r="R1125" s="4"/>
      <c r="T1125" s="9"/>
      <c r="U1125" s="9"/>
      <c r="Z1125" s="9"/>
    </row>
    <row r="1126" spans="15:26">
      <c r="O1126" s="236"/>
      <c r="R1126" s="4"/>
      <c r="T1126" s="9"/>
      <c r="U1126" s="9"/>
      <c r="Z1126" s="9"/>
    </row>
    <row r="1127" spans="15:26">
      <c r="O1127" s="236"/>
      <c r="R1127" s="4"/>
      <c r="T1127" s="9"/>
      <c r="U1127" s="9"/>
      <c r="Z1127" s="9"/>
    </row>
    <row r="1128" spans="15:26">
      <c r="O1128" s="236"/>
      <c r="R1128" s="4"/>
      <c r="T1128" s="9"/>
      <c r="U1128" s="9"/>
      <c r="Z1128" s="9"/>
    </row>
    <row r="1129" spans="15:26">
      <c r="O1129" s="236"/>
      <c r="R1129" s="4"/>
      <c r="T1129" s="9"/>
      <c r="U1129" s="9"/>
      <c r="Z1129" s="9"/>
    </row>
    <row r="1130" spans="15:26">
      <c r="O1130" s="236"/>
      <c r="R1130" s="4"/>
      <c r="T1130" s="9"/>
      <c r="U1130" s="9"/>
      <c r="Z1130" s="9"/>
    </row>
    <row r="1131" spans="15:26">
      <c r="O1131" s="236"/>
      <c r="R1131" s="4"/>
      <c r="T1131" s="9"/>
      <c r="U1131" s="9"/>
      <c r="Z1131" s="9"/>
    </row>
    <row r="1132" spans="15:26">
      <c r="O1132" s="236"/>
      <c r="R1132" s="4"/>
      <c r="T1132" s="9"/>
      <c r="U1132" s="9"/>
      <c r="Z1132" s="9"/>
    </row>
    <row r="1133" spans="15:26">
      <c r="O1133" s="236"/>
      <c r="R1133" s="4"/>
      <c r="T1133" s="9"/>
      <c r="U1133" s="9"/>
      <c r="Z1133" s="9"/>
    </row>
    <row r="1134" spans="15:26">
      <c r="O1134" s="236"/>
      <c r="R1134" s="4"/>
      <c r="T1134" s="9"/>
      <c r="U1134" s="9"/>
      <c r="Z1134" s="9"/>
    </row>
    <row r="1135" spans="15:26">
      <c r="O1135" s="236"/>
      <c r="R1135" s="4"/>
      <c r="T1135" s="9"/>
      <c r="U1135" s="9"/>
      <c r="Z1135" s="9"/>
    </row>
    <row r="1136" spans="15:26">
      <c r="O1136" s="236"/>
      <c r="R1136" s="4"/>
      <c r="T1136" s="9"/>
      <c r="U1136" s="9"/>
      <c r="Z1136" s="9"/>
    </row>
    <row r="1137" spans="15:26">
      <c r="O1137" s="236"/>
      <c r="R1137" s="4"/>
      <c r="T1137" s="9"/>
      <c r="U1137" s="9"/>
      <c r="Z1137" s="9"/>
    </row>
    <row r="1138" spans="15:26">
      <c r="O1138" s="236"/>
      <c r="R1138" s="4"/>
      <c r="T1138" s="9"/>
      <c r="U1138" s="9"/>
      <c r="Z1138" s="9"/>
    </row>
    <row r="1139" spans="15:26">
      <c r="O1139" s="236"/>
      <c r="R1139" s="4"/>
      <c r="T1139" s="9"/>
      <c r="U1139" s="9"/>
      <c r="Z1139" s="9"/>
    </row>
    <row r="1140" spans="15:26">
      <c r="O1140" s="236"/>
      <c r="R1140" s="4"/>
      <c r="T1140" s="9"/>
      <c r="U1140" s="9"/>
      <c r="Z1140" s="9"/>
    </row>
    <row r="1141" spans="15:26">
      <c r="O1141" s="236"/>
      <c r="R1141" s="4"/>
      <c r="T1141" s="9"/>
      <c r="U1141" s="9"/>
      <c r="Z1141" s="9"/>
    </row>
    <row r="1142" spans="15:26">
      <c r="O1142" s="236"/>
      <c r="R1142" s="4"/>
      <c r="T1142" s="9"/>
      <c r="U1142" s="9"/>
      <c r="Z1142" s="9"/>
    </row>
    <row r="1143" spans="15:26">
      <c r="O1143" s="236"/>
      <c r="R1143" s="4"/>
      <c r="T1143" s="9"/>
      <c r="U1143" s="9"/>
      <c r="Z1143" s="9"/>
    </row>
    <row r="1144" spans="15:26">
      <c r="O1144" s="236"/>
      <c r="R1144" s="4"/>
      <c r="T1144" s="9"/>
      <c r="U1144" s="9"/>
      <c r="Z1144" s="9"/>
    </row>
    <row r="1145" spans="15:26">
      <c r="O1145" s="236"/>
      <c r="R1145" s="4"/>
      <c r="T1145" s="9"/>
      <c r="U1145" s="9"/>
      <c r="Z1145" s="9"/>
    </row>
    <row r="1146" spans="15:26">
      <c r="O1146" s="236"/>
      <c r="R1146" s="4"/>
      <c r="T1146" s="9"/>
      <c r="U1146" s="9"/>
      <c r="Z1146" s="9"/>
    </row>
    <row r="1147" spans="15:26">
      <c r="O1147" s="236"/>
      <c r="R1147" s="4"/>
      <c r="T1147" s="9"/>
      <c r="U1147" s="9"/>
      <c r="Z1147" s="9"/>
    </row>
    <row r="1148" spans="15:26">
      <c r="O1148" s="236"/>
      <c r="R1148" s="4"/>
      <c r="T1148" s="9"/>
      <c r="U1148" s="9"/>
      <c r="Z1148" s="9"/>
    </row>
    <row r="1149" spans="15:26">
      <c r="O1149" s="236"/>
      <c r="R1149" s="4"/>
      <c r="T1149" s="9"/>
      <c r="U1149" s="9"/>
      <c r="Z1149" s="9"/>
    </row>
    <row r="1150" spans="15:26">
      <c r="O1150" s="236"/>
      <c r="R1150" s="4"/>
      <c r="T1150" s="9"/>
      <c r="U1150" s="9"/>
      <c r="Z1150" s="9"/>
    </row>
    <row r="1151" spans="15:26">
      <c r="O1151" s="236"/>
      <c r="R1151" s="4"/>
      <c r="T1151" s="9"/>
      <c r="U1151" s="9"/>
      <c r="Z1151" s="9"/>
    </row>
    <row r="1152" spans="15:26">
      <c r="O1152" s="236"/>
      <c r="R1152" s="4"/>
      <c r="T1152" s="9"/>
      <c r="U1152" s="9"/>
      <c r="Z1152" s="9"/>
    </row>
    <row r="1153" spans="15:26">
      <c r="O1153" s="236"/>
      <c r="R1153" s="4"/>
      <c r="T1153" s="9"/>
      <c r="U1153" s="9"/>
      <c r="Z1153" s="9"/>
    </row>
    <row r="1154" spans="15:26">
      <c r="O1154" s="236"/>
      <c r="R1154" s="4"/>
      <c r="T1154" s="9"/>
      <c r="U1154" s="9"/>
      <c r="Z1154" s="9"/>
    </row>
    <row r="1155" spans="15:26">
      <c r="O1155" s="236"/>
      <c r="R1155" s="4"/>
      <c r="T1155" s="9"/>
      <c r="U1155" s="9"/>
      <c r="Z1155" s="9"/>
    </row>
    <row r="1156" spans="15:26">
      <c r="O1156" s="236"/>
      <c r="R1156" s="4"/>
      <c r="T1156" s="9"/>
      <c r="U1156" s="9"/>
      <c r="Z1156" s="9"/>
    </row>
    <row r="1157" spans="15:26">
      <c r="O1157" s="236"/>
      <c r="R1157" s="4"/>
      <c r="T1157" s="9"/>
      <c r="U1157" s="9"/>
      <c r="Z1157" s="9"/>
    </row>
    <row r="1158" spans="15:26">
      <c r="O1158" s="236"/>
      <c r="R1158" s="4"/>
      <c r="T1158" s="9"/>
      <c r="U1158" s="9"/>
      <c r="Z1158" s="9"/>
    </row>
    <row r="1159" spans="15:26">
      <c r="O1159" s="236"/>
      <c r="R1159" s="4"/>
      <c r="T1159" s="9"/>
      <c r="U1159" s="9"/>
      <c r="Z1159" s="9"/>
    </row>
    <row r="1160" spans="15:26">
      <c r="O1160" s="236"/>
      <c r="R1160" s="4"/>
      <c r="T1160" s="9"/>
      <c r="U1160" s="9"/>
      <c r="Z1160" s="9"/>
    </row>
    <row r="1161" spans="15:26">
      <c r="O1161" s="236"/>
      <c r="R1161" s="4"/>
      <c r="T1161" s="9"/>
      <c r="U1161" s="9"/>
      <c r="Z1161" s="9"/>
    </row>
    <row r="1162" spans="15:26">
      <c r="O1162" s="236"/>
      <c r="R1162" s="4"/>
      <c r="T1162" s="9"/>
      <c r="U1162" s="9"/>
      <c r="Z1162" s="9"/>
    </row>
    <row r="1163" spans="15:26">
      <c r="O1163" s="236"/>
      <c r="R1163" s="4"/>
      <c r="T1163" s="9"/>
      <c r="U1163" s="9"/>
      <c r="Z1163" s="9"/>
    </row>
    <row r="1164" spans="15:26">
      <c r="O1164" s="236"/>
      <c r="R1164" s="4"/>
      <c r="T1164" s="9"/>
      <c r="U1164" s="9"/>
      <c r="Z1164" s="9"/>
    </row>
    <row r="1165" spans="15:26">
      <c r="O1165" s="236"/>
      <c r="R1165" s="4"/>
      <c r="T1165" s="9"/>
      <c r="U1165" s="9"/>
      <c r="Z1165" s="9"/>
    </row>
    <row r="1166" spans="15:26">
      <c r="O1166" s="236"/>
      <c r="R1166" s="4"/>
      <c r="T1166" s="9"/>
      <c r="U1166" s="9"/>
      <c r="Z1166" s="9"/>
    </row>
    <row r="1167" spans="15:26">
      <c r="O1167" s="236"/>
      <c r="R1167" s="4"/>
      <c r="T1167" s="9"/>
      <c r="U1167" s="9"/>
      <c r="Z1167" s="9"/>
    </row>
    <row r="1168" spans="15:26">
      <c r="O1168" s="236"/>
      <c r="R1168" s="4"/>
      <c r="T1168" s="9"/>
      <c r="U1168" s="9"/>
      <c r="Z1168" s="9"/>
    </row>
    <row r="1169" spans="15:26">
      <c r="O1169" s="236"/>
      <c r="R1169" s="4"/>
      <c r="T1169" s="9"/>
      <c r="U1169" s="9"/>
      <c r="Z1169" s="9"/>
    </row>
    <row r="1170" spans="15:26">
      <c r="O1170" s="236"/>
      <c r="R1170" s="4"/>
      <c r="T1170" s="9"/>
      <c r="U1170" s="9"/>
      <c r="Z1170" s="9"/>
    </row>
    <row r="1171" spans="15:26">
      <c r="O1171" s="236"/>
      <c r="R1171" s="4"/>
      <c r="T1171" s="9"/>
      <c r="U1171" s="9"/>
      <c r="Z1171" s="9"/>
    </row>
    <row r="1172" spans="15:26">
      <c r="O1172" s="236"/>
      <c r="R1172" s="4"/>
      <c r="T1172" s="9"/>
      <c r="U1172" s="9"/>
      <c r="Z1172" s="9"/>
    </row>
    <row r="1173" spans="15:26">
      <c r="O1173" s="236"/>
      <c r="R1173" s="4"/>
      <c r="T1173" s="9"/>
      <c r="U1173" s="9"/>
      <c r="Z1173" s="9"/>
    </row>
    <row r="1174" spans="15:26">
      <c r="O1174" s="236"/>
      <c r="R1174" s="4"/>
      <c r="T1174" s="9"/>
      <c r="U1174" s="9"/>
      <c r="Z1174" s="9"/>
    </row>
    <row r="1175" spans="15:26">
      <c r="O1175" s="236"/>
      <c r="R1175" s="4"/>
      <c r="T1175" s="9"/>
      <c r="U1175" s="9"/>
      <c r="Z1175" s="9"/>
    </row>
    <row r="1176" spans="15:26">
      <c r="O1176" s="236"/>
      <c r="R1176" s="4"/>
      <c r="T1176" s="9"/>
      <c r="U1176" s="9"/>
      <c r="Z1176" s="9"/>
    </row>
    <row r="1177" spans="15:26">
      <c r="O1177" s="236"/>
      <c r="R1177" s="4"/>
      <c r="T1177" s="9"/>
      <c r="U1177" s="9"/>
      <c r="Z1177" s="9"/>
    </row>
    <row r="1178" spans="15:26">
      <c r="O1178" s="236"/>
      <c r="R1178" s="4"/>
      <c r="T1178" s="9"/>
      <c r="U1178" s="9"/>
      <c r="Z1178" s="9"/>
    </row>
    <row r="1179" spans="15:26">
      <c r="O1179" s="236"/>
      <c r="R1179" s="4"/>
      <c r="T1179" s="9"/>
      <c r="U1179" s="9"/>
      <c r="Z1179" s="9"/>
    </row>
    <row r="1180" spans="15:26">
      <c r="O1180" s="236"/>
      <c r="R1180" s="4"/>
      <c r="T1180" s="9"/>
      <c r="U1180" s="9"/>
      <c r="Z1180" s="9"/>
    </row>
    <row r="1181" spans="15:26">
      <c r="O1181" s="236"/>
      <c r="R1181" s="4"/>
      <c r="T1181" s="9"/>
      <c r="U1181" s="9"/>
      <c r="Z1181" s="9"/>
    </row>
    <row r="1182" spans="15:26">
      <c r="O1182" s="236"/>
      <c r="R1182" s="4"/>
      <c r="T1182" s="9"/>
      <c r="U1182" s="9"/>
      <c r="Z1182" s="9"/>
    </row>
    <row r="1183" spans="15:26">
      <c r="O1183" s="236"/>
      <c r="R1183" s="4"/>
      <c r="T1183" s="9"/>
      <c r="U1183" s="9"/>
      <c r="Z1183" s="9"/>
    </row>
    <row r="1184" spans="15:26">
      <c r="O1184" s="236"/>
      <c r="R1184" s="4"/>
      <c r="T1184" s="9"/>
      <c r="U1184" s="9"/>
      <c r="Z1184" s="9"/>
    </row>
    <row r="1185" spans="15:26">
      <c r="O1185" s="236"/>
      <c r="R1185" s="4"/>
      <c r="T1185" s="9"/>
      <c r="U1185" s="9"/>
      <c r="Z1185" s="9"/>
    </row>
    <row r="1186" spans="15:26">
      <c r="O1186" s="236"/>
      <c r="R1186" s="4"/>
      <c r="T1186" s="9"/>
      <c r="U1186" s="9"/>
      <c r="Z1186" s="9"/>
    </row>
    <row r="1187" spans="15:26">
      <c r="O1187" s="236"/>
      <c r="R1187" s="4"/>
      <c r="T1187" s="9"/>
      <c r="U1187" s="9"/>
      <c r="Z1187" s="9"/>
    </row>
    <row r="1188" spans="15:26">
      <c r="O1188" s="236"/>
      <c r="R1188" s="4"/>
      <c r="T1188" s="9"/>
      <c r="U1188" s="9"/>
      <c r="Z1188" s="9"/>
    </row>
    <row r="1189" spans="15:26">
      <c r="O1189" s="236"/>
      <c r="R1189" s="4"/>
      <c r="T1189" s="9"/>
      <c r="U1189" s="9"/>
      <c r="Z1189" s="9"/>
    </row>
    <row r="1190" spans="15:26">
      <c r="O1190" s="236"/>
      <c r="R1190" s="4"/>
      <c r="T1190" s="9"/>
      <c r="U1190" s="9"/>
      <c r="Z1190" s="9"/>
    </row>
    <row r="1191" spans="15:26">
      <c r="O1191" s="236"/>
      <c r="R1191" s="4"/>
      <c r="T1191" s="9"/>
      <c r="U1191" s="9"/>
      <c r="Z1191" s="9"/>
    </row>
    <row r="1192" spans="15:26">
      <c r="O1192" s="236"/>
      <c r="R1192" s="4"/>
      <c r="T1192" s="9"/>
      <c r="U1192" s="9"/>
      <c r="Z1192" s="9"/>
    </row>
    <row r="1193" spans="15:26">
      <c r="O1193" s="236"/>
      <c r="R1193" s="4"/>
      <c r="T1193" s="9"/>
      <c r="U1193" s="9"/>
      <c r="Z1193" s="9"/>
    </row>
    <row r="1194" spans="15:26">
      <c r="O1194" s="236"/>
      <c r="R1194" s="4"/>
      <c r="T1194" s="9"/>
      <c r="U1194" s="9"/>
      <c r="Z1194" s="9"/>
    </row>
    <row r="1195" spans="15:26">
      <c r="O1195" s="236"/>
      <c r="R1195" s="4"/>
      <c r="T1195" s="9"/>
      <c r="U1195" s="9"/>
      <c r="Z1195" s="9"/>
    </row>
    <row r="1196" spans="15:26">
      <c r="O1196" s="236"/>
      <c r="R1196" s="4"/>
      <c r="T1196" s="9"/>
      <c r="U1196" s="9"/>
      <c r="Z1196" s="9"/>
    </row>
    <row r="1197" spans="15:26">
      <c r="O1197" s="236"/>
      <c r="R1197" s="4"/>
      <c r="T1197" s="9"/>
      <c r="U1197" s="9"/>
      <c r="Z1197" s="9"/>
    </row>
    <row r="1198" spans="15:26">
      <c r="O1198" s="236"/>
      <c r="R1198" s="4"/>
      <c r="T1198" s="9"/>
      <c r="U1198" s="9"/>
      <c r="Z1198" s="9"/>
    </row>
    <row r="1199" spans="15:26">
      <c r="O1199" s="236"/>
      <c r="R1199" s="4"/>
      <c r="T1199" s="9"/>
      <c r="U1199" s="9"/>
      <c r="Z1199" s="9"/>
    </row>
    <row r="1200" spans="15:26">
      <c r="O1200" s="236"/>
      <c r="R1200" s="4"/>
      <c r="T1200" s="9"/>
      <c r="U1200" s="9"/>
      <c r="Z1200" s="9"/>
    </row>
    <row r="1201" spans="15:26">
      <c r="O1201" s="236"/>
      <c r="R1201" s="4"/>
      <c r="T1201" s="9"/>
      <c r="U1201" s="9"/>
      <c r="Z1201" s="9"/>
    </row>
    <row r="1202" spans="15:26">
      <c r="O1202" s="236"/>
      <c r="R1202" s="4"/>
      <c r="T1202" s="9"/>
      <c r="U1202" s="9"/>
      <c r="Z1202" s="9"/>
    </row>
    <row r="1203" spans="15:26">
      <c r="O1203" s="236"/>
      <c r="R1203" s="4"/>
      <c r="T1203" s="9"/>
      <c r="U1203" s="9"/>
      <c r="Z1203" s="9"/>
    </row>
    <row r="1204" spans="15:26">
      <c r="O1204" s="236"/>
      <c r="R1204" s="4"/>
      <c r="T1204" s="9"/>
      <c r="U1204" s="9"/>
      <c r="Z1204" s="9"/>
    </row>
    <row r="1205" spans="15:26">
      <c r="O1205" s="236"/>
      <c r="R1205" s="4"/>
      <c r="T1205" s="9"/>
      <c r="U1205" s="9"/>
      <c r="Z1205" s="9"/>
    </row>
    <row r="1206" spans="15:26">
      <c r="O1206" s="236"/>
      <c r="R1206" s="4"/>
      <c r="T1206" s="9"/>
      <c r="U1206" s="9"/>
      <c r="Z1206" s="9"/>
    </row>
    <row r="1207" spans="15:26">
      <c r="O1207" s="236"/>
      <c r="R1207" s="4"/>
      <c r="T1207" s="9"/>
      <c r="U1207" s="9"/>
      <c r="Z1207" s="9"/>
    </row>
    <row r="1208" spans="15:26">
      <c r="O1208" s="236"/>
      <c r="R1208" s="4"/>
      <c r="T1208" s="9"/>
      <c r="U1208" s="9"/>
      <c r="Z1208" s="9"/>
    </row>
    <row r="1209" spans="15:26">
      <c r="O1209" s="236"/>
      <c r="R1209" s="4"/>
      <c r="T1209" s="9"/>
      <c r="U1209" s="9"/>
      <c r="Z1209" s="9"/>
    </row>
    <row r="1210" spans="15:26">
      <c r="O1210" s="236"/>
      <c r="R1210" s="4"/>
      <c r="T1210" s="9"/>
      <c r="U1210" s="9"/>
      <c r="Z1210" s="9"/>
    </row>
    <row r="1211" spans="15:26">
      <c r="O1211" s="236"/>
      <c r="R1211" s="4"/>
      <c r="T1211" s="9"/>
      <c r="U1211" s="9"/>
      <c r="Z1211" s="9"/>
    </row>
    <row r="1212" spans="15:26">
      <c r="O1212" s="236"/>
      <c r="R1212" s="4"/>
      <c r="T1212" s="9"/>
      <c r="U1212" s="9"/>
      <c r="Z1212" s="9"/>
    </row>
    <row r="1213" spans="15:26">
      <c r="O1213" s="236"/>
      <c r="R1213" s="4"/>
      <c r="T1213" s="9"/>
      <c r="U1213" s="9"/>
      <c r="Z1213" s="9"/>
    </row>
    <row r="1214" spans="15:26">
      <c r="O1214" s="236"/>
      <c r="R1214" s="4"/>
      <c r="T1214" s="9"/>
      <c r="U1214" s="9"/>
      <c r="Z1214" s="9"/>
    </row>
    <row r="1215" spans="15:26">
      <c r="O1215" s="236"/>
      <c r="R1215" s="4"/>
      <c r="T1215" s="9"/>
      <c r="U1215" s="9"/>
      <c r="Z1215" s="9"/>
    </row>
    <row r="1216" spans="15:26">
      <c r="O1216" s="236"/>
      <c r="R1216" s="4"/>
      <c r="T1216" s="9"/>
      <c r="U1216" s="9"/>
      <c r="Z1216" s="9"/>
    </row>
    <row r="1217" spans="15:26">
      <c r="O1217" s="236"/>
      <c r="R1217" s="4"/>
      <c r="T1217" s="9"/>
      <c r="U1217" s="9"/>
      <c r="Z1217" s="9"/>
    </row>
    <row r="1218" spans="15:26">
      <c r="O1218" s="236"/>
      <c r="R1218" s="4"/>
      <c r="T1218" s="9"/>
      <c r="U1218" s="9"/>
      <c r="Z1218" s="9"/>
    </row>
    <row r="1219" spans="15:26">
      <c r="O1219" s="236"/>
      <c r="R1219" s="4"/>
      <c r="T1219" s="9"/>
      <c r="U1219" s="9"/>
      <c r="Z1219" s="9"/>
    </row>
    <row r="1220" spans="15:26">
      <c r="O1220" s="236"/>
      <c r="R1220" s="4"/>
      <c r="T1220" s="9"/>
      <c r="U1220" s="9"/>
      <c r="Z1220" s="9"/>
    </row>
    <row r="1221" spans="15:26">
      <c r="O1221" s="236"/>
      <c r="R1221" s="4"/>
      <c r="T1221" s="9"/>
      <c r="U1221" s="9"/>
      <c r="Z1221" s="9"/>
    </row>
    <row r="1222" spans="15:26">
      <c r="O1222" s="236"/>
      <c r="R1222" s="4"/>
      <c r="T1222" s="9"/>
      <c r="U1222" s="9"/>
      <c r="Z1222" s="9"/>
    </row>
    <row r="1223" spans="15:26">
      <c r="O1223" s="236"/>
      <c r="R1223" s="4"/>
      <c r="T1223" s="9"/>
      <c r="U1223" s="9"/>
      <c r="Z1223" s="9"/>
    </row>
    <row r="1224" spans="15:26">
      <c r="O1224" s="236"/>
      <c r="R1224" s="4"/>
      <c r="T1224" s="9"/>
      <c r="U1224" s="9"/>
      <c r="Z1224" s="9"/>
    </row>
    <row r="1225" spans="15:26">
      <c r="O1225" s="236"/>
      <c r="R1225" s="4"/>
      <c r="T1225" s="9"/>
      <c r="U1225" s="9"/>
      <c r="Z1225" s="9"/>
    </row>
    <row r="1226" spans="15:26">
      <c r="O1226" s="236"/>
      <c r="R1226" s="4"/>
      <c r="T1226" s="9"/>
      <c r="U1226" s="9"/>
      <c r="Z1226" s="9"/>
    </row>
    <row r="1227" spans="15:26">
      <c r="O1227" s="236"/>
      <c r="R1227" s="4"/>
      <c r="T1227" s="9"/>
      <c r="U1227" s="9"/>
      <c r="Z1227" s="9"/>
    </row>
    <row r="1228" spans="15:26">
      <c r="O1228" s="236"/>
      <c r="R1228" s="4"/>
      <c r="T1228" s="9"/>
      <c r="U1228" s="9"/>
      <c r="Z1228" s="9"/>
    </row>
    <row r="1229" spans="15:26">
      <c r="O1229" s="236"/>
      <c r="R1229" s="4"/>
      <c r="T1229" s="9"/>
      <c r="U1229" s="9"/>
      <c r="Z1229" s="9"/>
    </row>
    <row r="1230" spans="15:26">
      <c r="O1230" s="236"/>
      <c r="R1230" s="4"/>
      <c r="T1230" s="9"/>
      <c r="U1230" s="9"/>
      <c r="Z1230" s="9"/>
    </row>
    <row r="1231" spans="15:26">
      <c r="O1231" s="236"/>
      <c r="R1231" s="4"/>
      <c r="T1231" s="9"/>
      <c r="U1231" s="9"/>
      <c r="Z1231" s="9"/>
    </row>
    <row r="1232" spans="15:26">
      <c r="O1232" s="236"/>
      <c r="R1232" s="4"/>
      <c r="T1232" s="9"/>
      <c r="U1232" s="9"/>
      <c r="Z1232" s="9"/>
    </row>
    <row r="1233" spans="15:26">
      <c r="O1233" s="236"/>
      <c r="R1233" s="4"/>
      <c r="T1233" s="9"/>
      <c r="U1233" s="9"/>
      <c r="Z1233" s="9"/>
    </row>
    <row r="1234" spans="15:26">
      <c r="O1234" s="236"/>
      <c r="R1234" s="4"/>
      <c r="T1234" s="9"/>
      <c r="U1234" s="9"/>
      <c r="Z1234" s="9"/>
    </row>
    <row r="1235" spans="15:26">
      <c r="O1235" s="236"/>
      <c r="R1235" s="4"/>
      <c r="T1235" s="9"/>
      <c r="U1235" s="9"/>
      <c r="Z1235" s="9"/>
    </row>
    <row r="1236" spans="15:26">
      <c r="O1236" s="236"/>
      <c r="R1236" s="4"/>
      <c r="T1236" s="9"/>
      <c r="U1236" s="9"/>
      <c r="Z1236" s="9"/>
    </row>
    <row r="1237" spans="15:26">
      <c r="O1237" s="236"/>
      <c r="R1237" s="4"/>
      <c r="T1237" s="9"/>
      <c r="U1237" s="9"/>
      <c r="Z1237" s="9"/>
    </row>
    <row r="1238" spans="15:26">
      <c r="O1238" s="236"/>
      <c r="R1238" s="4"/>
      <c r="T1238" s="9"/>
      <c r="U1238" s="9"/>
      <c r="Z1238" s="9"/>
    </row>
    <row r="1239" spans="15:26">
      <c r="O1239" s="236"/>
      <c r="R1239" s="4"/>
      <c r="T1239" s="9"/>
      <c r="U1239" s="9"/>
      <c r="Z1239" s="9"/>
    </row>
    <row r="1240" spans="15:26">
      <c r="O1240" s="236"/>
      <c r="R1240" s="4"/>
      <c r="T1240" s="9"/>
      <c r="U1240" s="9"/>
      <c r="Z1240" s="9"/>
    </row>
    <row r="1241" spans="15:26">
      <c r="O1241" s="236"/>
      <c r="R1241" s="4"/>
      <c r="T1241" s="9"/>
      <c r="U1241" s="9"/>
      <c r="Z1241" s="9"/>
    </row>
    <row r="1242" spans="15:26">
      <c r="O1242" s="236"/>
      <c r="R1242" s="4"/>
      <c r="T1242" s="9"/>
      <c r="U1242" s="9"/>
      <c r="Z1242" s="9"/>
    </row>
    <row r="1243" spans="15:26">
      <c r="O1243" s="236"/>
      <c r="R1243" s="4"/>
      <c r="T1243" s="9"/>
      <c r="U1243" s="9"/>
      <c r="Z1243" s="9"/>
    </row>
    <row r="1244" spans="15:26">
      <c r="O1244" s="236"/>
      <c r="R1244" s="4"/>
      <c r="T1244" s="9"/>
      <c r="U1244" s="9"/>
      <c r="Z1244" s="9"/>
    </row>
    <row r="1245" spans="15:26">
      <c r="O1245" s="236"/>
      <c r="R1245" s="4"/>
      <c r="T1245" s="9"/>
      <c r="U1245" s="9"/>
      <c r="Z1245" s="9"/>
    </row>
    <row r="1246" spans="15:26">
      <c r="O1246" s="236"/>
      <c r="R1246" s="4"/>
      <c r="T1246" s="9"/>
      <c r="U1246" s="9"/>
      <c r="Z1246" s="9"/>
    </row>
    <row r="1247" spans="15:26">
      <c r="O1247" s="236"/>
      <c r="R1247" s="4"/>
      <c r="T1247" s="9"/>
      <c r="U1247" s="9"/>
      <c r="Z1247" s="9"/>
    </row>
    <row r="1248" spans="15:26">
      <c r="O1248" s="236"/>
      <c r="R1248" s="4"/>
      <c r="T1248" s="9"/>
      <c r="U1248" s="9"/>
      <c r="Z1248" s="9"/>
    </row>
    <row r="1249" spans="15:26">
      <c r="O1249" s="236"/>
      <c r="R1249" s="4"/>
      <c r="T1249" s="9"/>
      <c r="U1249" s="9"/>
      <c r="Z1249" s="9"/>
    </row>
    <row r="1250" spans="15:26">
      <c r="O1250" s="236"/>
      <c r="R1250" s="4"/>
      <c r="T1250" s="9"/>
      <c r="U1250" s="9"/>
      <c r="Z1250" s="9"/>
    </row>
    <row r="1251" spans="15:26">
      <c r="O1251" s="236"/>
      <c r="R1251" s="4"/>
      <c r="T1251" s="9"/>
      <c r="U1251" s="9"/>
      <c r="Z1251" s="9"/>
    </row>
    <row r="1252" spans="15:26">
      <c r="O1252" s="236"/>
      <c r="R1252" s="4"/>
      <c r="T1252" s="9"/>
      <c r="U1252" s="9"/>
      <c r="Z1252" s="9"/>
    </row>
    <row r="1253" spans="15:26">
      <c r="O1253" s="236"/>
      <c r="R1253" s="4"/>
      <c r="T1253" s="9"/>
      <c r="U1253" s="9"/>
      <c r="Z1253" s="9"/>
    </row>
    <row r="1254" spans="15:26">
      <c r="O1254" s="236"/>
      <c r="R1254" s="4"/>
      <c r="T1254" s="9"/>
      <c r="U1254" s="9"/>
      <c r="Z1254" s="9"/>
    </row>
    <row r="1255" spans="15:26">
      <c r="O1255" s="236"/>
      <c r="R1255" s="4"/>
      <c r="T1255" s="9"/>
      <c r="U1255" s="9"/>
      <c r="Z1255" s="9"/>
    </row>
    <row r="1256" spans="15:26">
      <c r="O1256" s="236"/>
      <c r="R1256" s="4"/>
      <c r="T1256" s="9"/>
      <c r="U1256" s="9"/>
      <c r="Z1256" s="9"/>
    </row>
    <row r="1257" spans="15:26">
      <c r="O1257" s="236"/>
      <c r="R1257" s="4"/>
      <c r="T1257" s="9"/>
      <c r="U1257" s="9"/>
      <c r="Z1257" s="9"/>
    </row>
    <row r="1258" spans="15:26">
      <c r="O1258" s="236"/>
      <c r="R1258" s="4"/>
      <c r="T1258" s="9"/>
      <c r="U1258" s="9"/>
      <c r="Z1258" s="9"/>
    </row>
    <row r="1259" spans="15:26">
      <c r="O1259" s="236"/>
      <c r="R1259" s="4"/>
      <c r="T1259" s="9"/>
      <c r="U1259" s="9"/>
      <c r="Z1259" s="9"/>
    </row>
    <row r="1260" spans="15:26">
      <c r="O1260" s="236"/>
      <c r="R1260" s="4"/>
      <c r="T1260" s="9"/>
      <c r="U1260" s="9"/>
      <c r="Z1260" s="9"/>
    </row>
    <row r="1261" spans="15:26">
      <c r="O1261" s="236"/>
      <c r="R1261" s="4"/>
      <c r="T1261" s="9"/>
      <c r="U1261" s="9"/>
      <c r="Z1261" s="9"/>
    </row>
    <row r="1262" spans="15:26">
      <c r="O1262" s="236"/>
      <c r="R1262" s="4"/>
      <c r="T1262" s="9"/>
      <c r="U1262" s="9"/>
      <c r="Z1262" s="9"/>
    </row>
    <row r="1263" spans="15:26">
      <c r="O1263" s="236"/>
      <c r="R1263" s="4"/>
      <c r="T1263" s="9"/>
      <c r="U1263" s="9"/>
      <c r="Z1263" s="9"/>
    </row>
    <row r="1264" spans="15:26">
      <c r="O1264" s="236"/>
      <c r="R1264" s="4"/>
      <c r="T1264" s="9"/>
      <c r="U1264" s="9"/>
      <c r="Z1264" s="9"/>
    </row>
    <row r="1265" spans="15:26">
      <c r="O1265" s="236"/>
      <c r="R1265" s="4"/>
      <c r="T1265" s="9"/>
      <c r="U1265" s="9"/>
      <c r="Z1265" s="9"/>
    </row>
    <row r="1266" spans="15:26">
      <c r="O1266" s="236"/>
      <c r="R1266" s="4"/>
      <c r="T1266" s="9"/>
      <c r="U1266" s="9"/>
      <c r="Z1266" s="9"/>
    </row>
    <row r="1267" spans="15:26">
      <c r="O1267" s="236"/>
      <c r="R1267" s="4"/>
      <c r="T1267" s="9"/>
      <c r="U1267" s="9"/>
      <c r="Z1267" s="9"/>
    </row>
    <row r="1268" spans="15:26">
      <c r="O1268" s="236"/>
      <c r="R1268" s="4"/>
      <c r="T1268" s="9"/>
      <c r="U1268" s="9"/>
      <c r="Z1268" s="9"/>
    </row>
    <row r="1269" spans="15:26">
      <c r="O1269" s="236"/>
      <c r="R1269" s="4"/>
      <c r="T1269" s="9"/>
      <c r="U1269" s="9"/>
      <c r="Z1269" s="9"/>
    </row>
    <row r="1270" spans="15:26">
      <c r="O1270" s="236"/>
      <c r="R1270" s="4"/>
      <c r="T1270" s="9"/>
      <c r="U1270" s="9"/>
      <c r="Z1270" s="9"/>
    </row>
    <row r="1271" spans="15:26">
      <c r="O1271" s="236"/>
      <c r="R1271" s="4"/>
      <c r="T1271" s="9"/>
      <c r="U1271" s="9"/>
      <c r="Z1271" s="9"/>
    </row>
    <row r="1272" spans="15:26">
      <c r="O1272" s="236"/>
      <c r="R1272" s="4"/>
      <c r="T1272" s="9"/>
      <c r="U1272" s="9"/>
      <c r="Z1272" s="9"/>
    </row>
    <row r="1273" spans="15:26">
      <c r="O1273" s="236"/>
      <c r="R1273" s="4"/>
      <c r="T1273" s="9"/>
      <c r="U1273" s="9"/>
      <c r="Z1273" s="9"/>
    </row>
    <row r="1274" spans="15:26">
      <c r="O1274" s="236"/>
      <c r="R1274" s="4"/>
      <c r="T1274" s="9"/>
      <c r="U1274" s="9"/>
      <c r="Z1274" s="9"/>
    </row>
    <row r="1275" spans="15:26">
      <c r="O1275" s="236"/>
      <c r="R1275" s="4"/>
      <c r="T1275" s="9"/>
      <c r="U1275" s="9"/>
      <c r="Z1275" s="9"/>
    </row>
    <row r="1276" spans="15:26">
      <c r="O1276" s="236"/>
      <c r="R1276" s="4"/>
      <c r="T1276" s="9"/>
      <c r="U1276" s="9"/>
      <c r="Z1276" s="9"/>
    </row>
    <row r="1277" spans="15:26">
      <c r="O1277" s="236"/>
      <c r="R1277" s="4"/>
      <c r="T1277" s="9"/>
      <c r="U1277" s="9"/>
      <c r="Z1277" s="9"/>
    </row>
    <row r="1278" spans="15:26">
      <c r="O1278" s="236"/>
      <c r="R1278" s="4"/>
      <c r="T1278" s="9"/>
      <c r="U1278" s="9"/>
      <c r="Z1278" s="9"/>
    </row>
    <row r="1279" spans="15:26">
      <c r="O1279" s="236"/>
      <c r="R1279" s="4"/>
      <c r="T1279" s="9"/>
      <c r="U1279" s="9"/>
      <c r="Z1279" s="9"/>
    </row>
    <row r="1280" spans="15:26">
      <c r="O1280" s="236"/>
      <c r="R1280" s="4"/>
      <c r="T1280" s="9"/>
      <c r="U1280" s="9"/>
      <c r="Z1280" s="9"/>
    </row>
    <row r="1281" spans="15:26">
      <c r="O1281" s="236"/>
      <c r="R1281" s="4"/>
      <c r="T1281" s="9"/>
      <c r="U1281" s="9"/>
      <c r="Z1281" s="9"/>
    </row>
    <row r="1282" spans="15:26">
      <c r="O1282" s="236"/>
      <c r="R1282" s="4"/>
      <c r="T1282" s="9"/>
      <c r="U1282" s="9"/>
      <c r="Z1282" s="9"/>
    </row>
    <row r="1283" spans="15:26">
      <c r="O1283" s="236"/>
      <c r="R1283" s="4"/>
      <c r="T1283" s="9"/>
      <c r="U1283" s="9"/>
      <c r="Z1283" s="9"/>
    </row>
    <row r="1284" spans="15:26">
      <c r="O1284" s="236"/>
      <c r="R1284" s="4"/>
      <c r="T1284" s="9"/>
      <c r="U1284" s="9"/>
      <c r="Z1284" s="9"/>
    </row>
    <row r="1285" spans="15:26">
      <c r="O1285" s="236"/>
      <c r="R1285" s="4"/>
      <c r="T1285" s="9"/>
      <c r="U1285" s="9"/>
      <c r="Z1285" s="9"/>
    </row>
    <row r="1286" spans="15:26">
      <c r="O1286" s="236"/>
      <c r="R1286" s="4"/>
      <c r="T1286" s="9"/>
      <c r="U1286" s="9"/>
      <c r="Z1286" s="9"/>
    </row>
    <row r="1287" spans="15:26">
      <c r="O1287" s="236"/>
      <c r="R1287" s="4"/>
      <c r="T1287" s="9"/>
      <c r="U1287" s="9"/>
      <c r="Z1287" s="9"/>
    </row>
    <row r="1288" spans="15:26">
      <c r="O1288" s="236"/>
      <c r="R1288" s="4"/>
      <c r="T1288" s="9"/>
      <c r="U1288" s="9"/>
      <c r="Z1288" s="9"/>
    </row>
    <row r="1289" spans="15:26">
      <c r="O1289" s="236"/>
      <c r="R1289" s="4"/>
      <c r="T1289" s="9"/>
      <c r="U1289" s="9"/>
      <c r="Z1289" s="9"/>
    </row>
    <row r="1290" spans="15:26">
      <c r="O1290" s="236"/>
      <c r="R1290" s="4"/>
      <c r="T1290" s="9"/>
      <c r="U1290" s="9"/>
      <c r="Z1290" s="9"/>
    </row>
    <row r="1291" spans="15:26">
      <c r="O1291" s="236"/>
      <c r="R1291" s="4"/>
      <c r="T1291" s="9"/>
      <c r="U1291" s="9"/>
      <c r="Z1291" s="9"/>
    </row>
    <row r="1292" spans="15:26">
      <c r="O1292" s="236"/>
      <c r="R1292" s="4"/>
      <c r="T1292" s="9"/>
      <c r="U1292" s="9"/>
      <c r="Z1292" s="9"/>
    </row>
    <row r="1293" spans="15:26">
      <c r="O1293" s="236"/>
      <c r="R1293" s="4"/>
      <c r="T1293" s="9"/>
      <c r="U1293" s="9"/>
      <c r="Z1293" s="9"/>
    </row>
    <row r="1294" spans="15:26">
      <c r="O1294" s="236"/>
      <c r="R1294" s="4"/>
      <c r="T1294" s="9"/>
      <c r="U1294" s="9"/>
      <c r="Z1294" s="9"/>
    </row>
    <row r="1295" spans="15:26">
      <c r="O1295" s="236"/>
      <c r="R1295" s="4"/>
      <c r="T1295" s="9"/>
      <c r="U1295" s="9"/>
      <c r="Z1295" s="9"/>
    </row>
    <row r="1296" spans="15:26">
      <c r="O1296" s="236"/>
      <c r="R1296" s="4"/>
      <c r="T1296" s="9"/>
      <c r="U1296" s="9"/>
      <c r="Z1296" s="9"/>
    </row>
    <row r="1297" spans="15:26">
      <c r="O1297" s="236"/>
      <c r="R1297" s="4"/>
      <c r="T1297" s="9"/>
      <c r="U1297" s="9"/>
      <c r="Z1297" s="9"/>
    </row>
    <row r="1298" spans="15:26">
      <c r="O1298" s="236"/>
      <c r="R1298" s="4"/>
      <c r="T1298" s="9"/>
      <c r="U1298" s="9"/>
      <c r="Z1298" s="9"/>
    </row>
    <row r="1299" spans="15:26">
      <c r="O1299" s="236"/>
      <c r="R1299" s="4"/>
      <c r="T1299" s="9"/>
      <c r="U1299" s="9"/>
      <c r="Z1299" s="9"/>
    </row>
    <row r="1300" spans="15:26">
      <c r="O1300" s="236"/>
      <c r="R1300" s="4"/>
      <c r="T1300" s="9"/>
      <c r="U1300" s="9"/>
      <c r="Z1300" s="9"/>
    </row>
    <row r="1301" spans="15:26">
      <c r="O1301" s="236"/>
      <c r="R1301" s="4"/>
      <c r="T1301" s="9"/>
      <c r="U1301" s="9"/>
      <c r="Z1301" s="9"/>
    </row>
    <row r="1302" spans="15:26">
      <c r="O1302" s="236"/>
      <c r="R1302" s="4"/>
      <c r="T1302" s="9"/>
      <c r="U1302" s="9"/>
      <c r="Z1302" s="9"/>
    </row>
    <row r="1303" spans="15:26">
      <c r="O1303" s="236"/>
      <c r="R1303" s="4"/>
      <c r="T1303" s="9"/>
      <c r="U1303" s="9"/>
      <c r="Z1303" s="9"/>
    </row>
    <row r="1304" spans="15:26">
      <c r="O1304" s="236"/>
      <c r="R1304" s="4"/>
      <c r="T1304" s="9"/>
      <c r="U1304" s="9"/>
      <c r="Z1304" s="9"/>
    </row>
    <row r="1305" spans="15:26">
      <c r="O1305" s="236"/>
      <c r="R1305" s="4"/>
      <c r="T1305" s="9"/>
      <c r="U1305" s="9"/>
      <c r="Z1305" s="9"/>
    </row>
    <row r="1306" spans="15:26">
      <c r="O1306" s="236"/>
      <c r="R1306" s="4"/>
      <c r="T1306" s="9"/>
      <c r="U1306" s="9"/>
      <c r="Z1306" s="9"/>
    </row>
    <row r="1307" spans="15:26">
      <c r="O1307" s="236"/>
      <c r="R1307" s="4"/>
      <c r="T1307" s="9"/>
      <c r="U1307" s="9"/>
      <c r="Z1307" s="9"/>
    </row>
    <row r="1308" spans="15:26">
      <c r="O1308" s="236"/>
      <c r="R1308" s="4"/>
      <c r="T1308" s="9"/>
      <c r="U1308" s="9"/>
      <c r="Z1308" s="9"/>
    </row>
    <row r="1309" spans="15:26">
      <c r="O1309" s="236"/>
      <c r="R1309" s="4"/>
      <c r="T1309" s="9"/>
      <c r="U1309" s="9"/>
      <c r="Z1309" s="9"/>
    </row>
    <row r="1310" spans="15:26">
      <c r="O1310" s="236"/>
      <c r="R1310" s="4"/>
      <c r="T1310" s="9"/>
      <c r="U1310" s="9"/>
      <c r="Z1310" s="9"/>
    </row>
    <row r="1311" spans="15:26">
      <c r="O1311" s="236"/>
      <c r="R1311" s="4"/>
      <c r="T1311" s="9"/>
      <c r="U1311" s="9"/>
      <c r="Z1311" s="9"/>
    </row>
    <row r="1312" spans="15:26">
      <c r="O1312" s="236"/>
      <c r="R1312" s="4"/>
      <c r="T1312" s="9"/>
      <c r="U1312" s="9"/>
      <c r="Z1312" s="9"/>
    </row>
    <row r="1313" spans="15:26">
      <c r="O1313" s="236"/>
      <c r="R1313" s="4"/>
      <c r="T1313" s="9"/>
      <c r="U1313" s="9"/>
      <c r="Z1313" s="9"/>
    </row>
    <row r="1314" spans="15:26">
      <c r="O1314" s="236"/>
      <c r="R1314" s="4"/>
      <c r="T1314" s="9"/>
      <c r="U1314" s="9"/>
      <c r="Z1314" s="9"/>
    </row>
    <row r="1315" spans="15:26">
      <c r="O1315" s="236"/>
      <c r="R1315" s="4"/>
      <c r="T1315" s="9"/>
      <c r="U1315" s="9"/>
      <c r="Z1315" s="9"/>
    </row>
    <row r="1316" spans="15:26">
      <c r="O1316" s="236"/>
      <c r="R1316" s="4"/>
      <c r="T1316" s="9"/>
      <c r="U1316" s="9"/>
      <c r="Z1316" s="9"/>
    </row>
    <row r="1317" spans="15:26">
      <c r="O1317" s="236"/>
      <c r="R1317" s="4"/>
      <c r="T1317" s="9"/>
      <c r="U1317" s="9"/>
      <c r="Z1317" s="9"/>
    </row>
    <row r="1318" spans="15:26">
      <c r="O1318" s="236"/>
      <c r="R1318" s="4"/>
      <c r="T1318" s="9"/>
      <c r="U1318" s="9"/>
      <c r="Z1318" s="9"/>
    </row>
    <row r="1319" spans="15:26">
      <c r="O1319" s="236"/>
      <c r="R1319" s="4"/>
      <c r="T1319" s="9"/>
      <c r="U1319" s="9"/>
      <c r="Z1319" s="9"/>
    </row>
    <row r="1320" spans="15:26">
      <c r="O1320" s="236"/>
      <c r="R1320" s="4"/>
      <c r="T1320" s="9"/>
      <c r="U1320" s="9"/>
      <c r="Z1320" s="9"/>
    </row>
    <row r="1321" spans="15:26">
      <c r="O1321" s="236"/>
      <c r="R1321" s="4"/>
      <c r="T1321" s="9"/>
      <c r="U1321" s="9"/>
      <c r="Z1321" s="9"/>
    </row>
    <row r="1322" spans="15:26">
      <c r="O1322" s="236"/>
      <c r="R1322" s="4"/>
      <c r="T1322" s="9"/>
      <c r="U1322" s="9"/>
      <c r="Z1322" s="9"/>
    </row>
    <row r="1323" spans="15:26">
      <c r="O1323" s="236"/>
      <c r="R1323" s="4"/>
      <c r="T1323" s="9"/>
      <c r="U1323" s="9"/>
      <c r="Z1323" s="9"/>
    </row>
    <row r="1324" spans="15:26">
      <c r="O1324" s="236"/>
      <c r="R1324" s="4"/>
      <c r="T1324" s="9"/>
      <c r="U1324" s="9"/>
      <c r="Z1324" s="9"/>
    </row>
    <row r="1325" spans="15:26">
      <c r="O1325" s="236"/>
      <c r="R1325" s="4"/>
      <c r="T1325" s="9"/>
      <c r="U1325" s="9"/>
      <c r="Z1325" s="9"/>
    </row>
    <row r="1326" spans="15:26">
      <c r="O1326" s="236"/>
      <c r="R1326" s="4"/>
      <c r="T1326" s="9"/>
      <c r="U1326" s="9"/>
      <c r="Z1326" s="9"/>
    </row>
    <row r="1327" spans="15:26">
      <c r="O1327" s="236"/>
      <c r="R1327" s="4"/>
      <c r="T1327" s="9"/>
      <c r="U1327" s="9"/>
      <c r="Z1327" s="9"/>
    </row>
    <row r="1328" spans="15:26">
      <c r="O1328" s="236"/>
      <c r="R1328" s="4"/>
      <c r="T1328" s="9"/>
      <c r="U1328" s="9"/>
      <c r="Z1328" s="9"/>
    </row>
    <row r="1329" spans="15:26">
      <c r="O1329" s="236"/>
      <c r="R1329" s="4"/>
      <c r="T1329" s="9"/>
      <c r="U1329" s="9"/>
      <c r="Z1329" s="9"/>
    </row>
    <row r="1330" spans="15:26">
      <c r="O1330" s="236"/>
      <c r="R1330" s="4"/>
      <c r="T1330" s="9"/>
      <c r="U1330" s="9"/>
      <c r="Z1330" s="9"/>
    </row>
    <row r="1331" spans="15:26">
      <c r="O1331" s="236"/>
      <c r="R1331" s="4"/>
      <c r="T1331" s="9"/>
      <c r="U1331" s="9"/>
      <c r="Z1331" s="9"/>
    </row>
    <row r="1332" spans="15:26">
      <c r="O1332" s="236"/>
      <c r="R1332" s="4"/>
      <c r="T1332" s="9"/>
      <c r="U1332" s="9"/>
      <c r="Z1332" s="9"/>
    </row>
    <row r="1333" spans="15:26">
      <c r="O1333" s="236"/>
      <c r="R1333" s="4"/>
      <c r="T1333" s="9"/>
      <c r="U1333" s="9"/>
      <c r="Z1333" s="9"/>
    </row>
    <row r="1334" spans="15:26">
      <c r="O1334" s="236"/>
      <c r="R1334" s="4"/>
      <c r="T1334" s="9"/>
      <c r="U1334" s="9"/>
      <c r="Z1334" s="9"/>
    </row>
    <row r="1335" spans="15:26">
      <c r="O1335" s="236"/>
      <c r="R1335" s="4"/>
      <c r="T1335" s="9"/>
      <c r="U1335" s="9"/>
      <c r="Z1335" s="9"/>
    </row>
    <row r="1336" spans="15:26">
      <c r="O1336" s="236"/>
      <c r="R1336" s="4"/>
      <c r="T1336" s="9"/>
      <c r="U1336" s="9"/>
      <c r="Z1336" s="9"/>
    </row>
    <row r="1337" spans="15:26">
      <c r="O1337" s="236"/>
      <c r="R1337" s="4"/>
      <c r="T1337" s="9"/>
      <c r="U1337" s="9"/>
      <c r="Z1337" s="9"/>
    </row>
    <row r="1338" spans="15:26">
      <c r="O1338" s="236"/>
      <c r="R1338" s="4"/>
      <c r="T1338" s="9"/>
      <c r="U1338" s="9"/>
      <c r="Z1338" s="9"/>
    </row>
    <row r="1339" spans="15:26">
      <c r="O1339" s="236"/>
      <c r="R1339" s="4"/>
      <c r="T1339" s="9"/>
      <c r="U1339" s="9"/>
      <c r="Z1339" s="9"/>
    </row>
    <row r="1340" spans="15:26">
      <c r="O1340" s="236"/>
      <c r="R1340" s="4"/>
      <c r="T1340" s="9"/>
      <c r="U1340" s="9"/>
      <c r="Z1340" s="9"/>
    </row>
    <row r="1341" spans="15:26">
      <c r="O1341" s="236"/>
      <c r="R1341" s="4"/>
      <c r="T1341" s="9"/>
      <c r="U1341" s="9"/>
      <c r="Z1341" s="9"/>
    </row>
    <row r="1342" spans="15:26">
      <c r="O1342" s="236"/>
      <c r="R1342" s="4"/>
      <c r="T1342" s="9"/>
      <c r="U1342" s="9"/>
      <c r="Z1342" s="9"/>
    </row>
    <row r="1343" spans="15:26">
      <c r="O1343" s="236"/>
      <c r="R1343" s="4"/>
      <c r="T1343" s="9"/>
      <c r="U1343" s="9"/>
      <c r="Z1343" s="9"/>
    </row>
    <row r="1344" spans="15:26">
      <c r="O1344" s="236"/>
      <c r="R1344" s="4"/>
      <c r="T1344" s="9"/>
      <c r="U1344" s="9"/>
      <c r="Z1344" s="9"/>
    </row>
    <row r="1345" spans="15:26">
      <c r="O1345" s="236"/>
      <c r="R1345" s="4"/>
      <c r="T1345" s="9"/>
      <c r="U1345" s="9"/>
      <c r="Z1345" s="9"/>
    </row>
    <row r="1346" spans="15:26">
      <c r="O1346" s="236"/>
      <c r="R1346" s="4"/>
      <c r="T1346" s="9"/>
      <c r="U1346" s="9"/>
      <c r="Z1346" s="9"/>
    </row>
    <row r="1347" spans="15:26">
      <c r="O1347" s="236"/>
      <c r="R1347" s="4"/>
      <c r="T1347" s="9"/>
      <c r="U1347" s="9"/>
      <c r="Z1347" s="9"/>
    </row>
    <row r="1348" spans="15:26">
      <c r="O1348" s="236"/>
      <c r="R1348" s="4"/>
      <c r="T1348" s="9"/>
      <c r="U1348" s="9"/>
      <c r="Z1348" s="9"/>
    </row>
    <row r="1349" spans="15:26">
      <c r="O1349" s="236"/>
      <c r="R1349" s="4"/>
      <c r="T1349" s="9"/>
      <c r="U1349" s="9"/>
      <c r="Z1349" s="9"/>
    </row>
    <row r="1350" spans="15:26">
      <c r="O1350" s="236"/>
      <c r="R1350" s="4"/>
      <c r="T1350" s="9"/>
      <c r="U1350" s="9"/>
      <c r="Z1350" s="9"/>
    </row>
    <row r="1351" spans="15:26">
      <c r="O1351" s="236"/>
      <c r="R1351" s="4"/>
      <c r="T1351" s="9"/>
      <c r="U1351" s="9"/>
      <c r="Z1351" s="9"/>
    </row>
    <row r="1352" spans="15:26">
      <c r="O1352" s="236"/>
      <c r="R1352" s="4"/>
      <c r="T1352" s="9"/>
      <c r="U1352" s="9"/>
      <c r="Z1352" s="9"/>
    </row>
    <row r="1353" spans="15:26">
      <c r="O1353" s="236"/>
      <c r="R1353" s="4"/>
      <c r="T1353" s="9"/>
      <c r="U1353" s="9"/>
      <c r="Z1353" s="9"/>
    </row>
    <row r="1354" spans="15:26">
      <c r="O1354" s="236"/>
      <c r="R1354" s="4"/>
      <c r="T1354" s="9"/>
      <c r="U1354" s="9"/>
      <c r="Z1354" s="9"/>
    </row>
    <row r="1355" spans="15:26">
      <c r="O1355" s="236"/>
      <c r="R1355" s="4"/>
      <c r="T1355" s="9"/>
      <c r="U1355" s="9"/>
      <c r="Z1355" s="9"/>
    </row>
    <row r="1356" spans="15:26">
      <c r="O1356" s="236"/>
      <c r="R1356" s="4"/>
      <c r="T1356" s="9"/>
      <c r="U1356" s="9"/>
      <c r="Z1356" s="9"/>
    </row>
    <row r="1357" spans="15:26">
      <c r="O1357" s="236"/>
      <c r="R1357" s="4"/>
      <c r="T1357" s="9"/>
      <c r="U1357" s="9"/>
      <c r="Z1357" s="9"/>
    </row>
    <row r="1358" spans="15:26">
      <c r="O1358" s="236"/>
      <c r="R1358" s="4"/>
      <c r="T1358" s="9"/>
      <c r="U1358" s="9"/>
      <c r="Z1358" s="9"/>
    </row>
    <row r="1359" spans="15:26">
      <c r="O1359" s="236"/>
      <c r="R1359" s="4"/>
      <c r="T1359" s="9"/>
      <c r="U1359" s="9"/>
      <c r="Z1359" s="9"/>
    </row>
    <row r="1360" spans="15:26">
      <c r="O1360" s="236"/>
      <c r="R1360" s="4"/>
      <c r="T1360" s="9"/>
      <c r="U1360" s="9"/>
      <c r="Z1360" s="9"/>
    </row>
    <row r="1361" spans="15:26">
      <c r="O1361" s="236"/>
      <c r="R1361" s="4"/>
      <c r="T1361" s="9"/>
      <c r="U1361" s="9"/>
      <c r="Z1361" s="9"/>
    </row>
    <row r="1362" spans="15:26">
      <c r="O1362" s="236"/>
      <c r="R1362" s="4"/>
      <c r="T1362" s="9"/>
      <c r="U1362" s="9"/>
      <c r="Z1362" s="9"/>
    </row>
    <row r="1363" spans="15:26">
      <c r="O1363" s="236"/>
      <c r="R1363" s="4"/>
      <c r="T1363" s="9"/>
      <c r="U1363" s="9"/>
      <c r="Z1363" s="9"/>
    </row>
    <row r="1364" spans="15:26">
      <c r="O1364" s="236"/>
      <c r="R1364" s="4"/>
      <c r="T1364" s="9"/>
      <c r="U1364" s="9"/>
      <c r="Z1364" s="9"/>
    </row>
    <row r="1365" spans="15:26">
      <c r="O1365" s="236"/>
      <c r="R1365" s="4"/>
      <c r="T1365" s="9"/>
      <c r="U1365" s="9"/>
      <c r="Z1365" s="9"/>
    </row>
    <row r="1366" spans="15:26">
      <c r="O1366" s="236"/>
      <c r="R1366" s="4"/>
      <c r="T1366" s="9"/>
      <c r="U1366" s="9"/>
      <c r="Z1366" s="9"/>
    </row>
    <row r="1367" spans="15:26">
      <c r="O1367" s="236"/>
      <c r="R1367" s="4"/>
      <c r="T1367" s="9"/>
      <c r="U1367" s="9"/>
      <c r="Z1367" s="9"/>
    </row>
    <row r="1368" spans="15:26">
      <c r="O1368" s="236"/>
      <c r="R1368" s="4"/>
      <c r="T1368" s="9"/>
      <c r="U1368" s="9"/>
      <c r="Z1368" s="9"/>
    </row>
    <row r="1369" spans="15:26">
      <c r="O1369" s="236"/>
      <c r="R1369" s="4"/>
      <c r="T1369" s="9"/>
      <c r="U1369" s="9"/>
      <c r="Z1369" s="9"/>
    </row>
    <row r="1370" spans="15:26">
      <c r="O1370" s="236"/>
      <c r="R1370" s="4"/>
      <c r="T1370" s="9"/>
      <c r="U1370" s="9"/>
      <c r="Z1370" s="9"/>
    </row>
    <row r="1371" spans="15:26">
      <c r="O1371" s="236"/>
      <c r="R1371" s="4"/>
      <c r="T1371" s="9"/>
      <c r="U1371" s="9"/>
      <c r="Z1371" s="9"/>
    </row>
    <row r="1372" spans="15:26">
      <c r="O1372" s="236"/>
      <c r="R1372" s="4"/>
      <c r="T1372" s="9"/>
      <c r="U1372" s="9"/>
      <c r="Z1372" s="9"/>
    </row>
    <row r="1373" spans="15:26">
      <c r="O1373" s="236"/>
      <c r="R1373" s="4"/>
      <c r="T1373" s="9"/>
      <c r="U1373" s="9"/>
      <c r="Z1373" s="9"/>
    </row>
    <row r="1374" spans="15:26">
      <c r="O1374" s="236"/>
      <c r="R1374" s="4"/>
      <c r="T1374" s="9"/>
      <c r="U1374" s="9"/>
      <c r="Z1374" s="9"/>
    </row>
    <row r="1375" spans="15:26">
      <c r="O1375" s="236"/>
      <c r="R1375" s="4"/>
      <c r="T1375" s="9"/>
      <c r="U1375" s="9"/>
      <c r="Z1375" s="9"/>
    </row>
    <row r="1376" spans="15:26">
      <c r="O1376" s="236"/>
      <c r="R1376" s="4"/>
      <c r="T1376" s="9"/>
      <c r="U1376" s="9"/>
      <c r="Z1376" s="9"/>
    </row>
    <row r="1377" spans="15:26">
      <c r="O1377" s="236"/>
      <c r="R1377" s="4"/>
      <c r="T1377" s="9"/>
      <c r="U1377" s="9"/>
      <c r="Z1377" s="9"/>
    </row>
    <row r="1378" spans="15:26">
      <c r="O1378" s="236"/>
      <c r="R1378" s="4"/>
      <c r="T1378" s="9"/>
      <c r="U1378" s="9"/>
      <c r="Z1378" s="9"/>
    </row>
    <row r="1379" spans="15:26">
      <c r="O1379" s="236"/>
      <c r="R1379" s="4"/>
      <c r="T1379" s="9"/>
      <c r="U1379" s="9"/>
      <c r="Z1379" s="9"/>
    </row>
    <row r="1380" spans="15:26">
      <c r="O1380" s="236"/>
      <c r="R1380" s="4"/>
      <c r="T1380" s="9"/>
      <c r="U1380" s="9"/>
      <c r="Z1380" s="9"/>
    </row>
    <row r="1381" spans="15:26">
      <c r="O1381" s="236"/>
      <c r="R1381" s="4"/>
      <c r="T1381" s="9"/>
      <c r="U1381" s="9"/>
      <c r="Z1381" s="9"/>
    </row>
    <row r="1382" spans="15:26">
      <c r="O1382" s="236"/>
      <c r="R1382" s="4"/>
      <c r="T1382" s="9"/>
      <c r="U1382" s="9"/>
      <c r="Z1382" s="9"/>
    </row>
    <row r="1383" spans="15:26">
      <c r="O1383" s="236"/>
      <c r="R1383" s="4"/>
      <c r="T1383" s="9"/>
      <c r="U1383" s="9"/>
      <c r="Z1383" s="9"/>
    </row>
    <row r="1384" spans="15:26">
      <c r="O1384" s="236"/>
      <c r="R1384" s="4"/>
      <c r="T1384" s="9"/>
      <c r="U1384" s="9"/>
      <c r="Z1384" s="9"/>
    </row>
    <row r="1385" spans="15:26">
      <c r="O1385" s="236"/>
      <c r="R1385" s="4"/>
      <c r="T1385" s="9"/>
      <c r="U1385" s="9"/>
      <c r="Z1385" s="9"/>
    </row>
    <row r="1386" spans="15:26">
      <c r="O1386" s="236"/>
      <c r="R1386" s="4"/>
      <c r="T1386" s="9"/>
      <c r="U1386" s="9"/>
      <c r="Z1386" s="9"/>
    </row>
    <row r="1387" spans="15:26">
      <c r="O1387" s="236"/>
      <c r="R1387" s="4"/>
      <c r="T1387" s="9"/>
      <c r="U1387" s="9"/>
      <c r="Z1387" s="9"/>
    </row>
    <row r="1388" spans="15:26">
      <c r="O1388" s="236"/>
      <c r="R1388" s="4"/>
      <c r="T1388" s="9"/>
      <c r="U1388" s="9"/>
      <c r="Z1388" s="9"/>
    </row>
    <row r="1389" spans="15:26">
      <c r="O1389" s="236"/>
      <c r="R1389" s="4"/>
      <c r="T1389" s="9"/>
      <c r="U1389" s="9"/>
      <c r="Z1389" s="9"/>
    </row>
    <row r="1390" spans="15:26">
      <c r="O1390" s="236"/>
      <c r="R1390" s="4"/>
      <c r="T1390" s="9"/>
      <c r="U1390" s="9"/>
      <c r="Z1390" s="9"/>
    </row>
    <row r="1391" spans="15:26">
      <c r="O1391" s="236"/>
      <c r="R1391" s="4"/>
      <c r="T1391" s="9"/>
      <c r="U1391" s="9"/>
      <c r="Z1391" s="9"/>
    </row>
    <row r="1392" spans="15:26">
      <c r="O1392" s="236"/>
      <c r="R1392" s="4"/>
      <c r="T1392" s="9"/>
      <c r="U1392" s="9"/>
      <c r="Z1392" s="9"/>
    </row>
    <row r="1393" spans="15:26">
      <c r="O1393" s="236"/>
      <c r="R1393" s="4"/>
      <c r="T1393" s="9"/>
      <c r="U1393" s="9"/>
      <c r="Z1393" s="9"/>
    </row>
    <row r="1394" spans="15:26">
      <c r="O1394" s="236"/>
      <c r="R1394" s="4"/>
      <c r="T1394" s="9"/>
      <c r="U1394" s="9"/>
      <c r="Z1394" s="9"/>
    </row>
    <row r="1395" spans="15:26">
      <c r="O1395" s="236"/>
      <c r="R1395" s="4"/>
      <c r="T1395" s="9"/>
      <c r="U1395" s="9"/>
      <c r="Z1395" s="9"/>
    </row>
    <row r="1396" spans="15:26">
      <c r="O1396" s="236"/>
      <c r="R1396" s="4"/>
      <c r="T1396" s="9"/>
      <c r="U1396" s="9"/>
      <c r="Z1396" s="9"/>
    </row>
    <row r="1397" spans="15:26">
      <c r="O1397" s="236"/>
      <c r="R1397" s="4"/>
      <c r="T1397" s="9"/>
      <c r="U1397" s="9"/>
      <c r="Z1397" s="9"/>
    </row>
    <row r="1398" spans="15:26">
      <c r="O1398" s="236"/>
      <c r="R1398" s="4"/>
      <c r="T1398" s="9"/>
      <c r="U1398" s="9"/>
      <c r="Z1398" s="9"/>
    </row>
    <row r="1399" spans="15:26">
      <c r="O1399" s="236"/>
      <c r="R1399" s="4"/>
      <c r="T1399" s="9"/>
      <c r="U1399" s="9"/>
      <c r="Z1399" s="9"/>
    </row>
    <row r="1400" spans="15:26">
      <c r="O1400" s="236"/>
      <c r="R1400" s="4"/>
      <c r="T1400" s="9"/>
      <c r="U1400" s="9"/>
      <c r="Z1400" s="9"/>
    </row>
    <row r="1401" spans="15:26">
      <c r="O1401" s="236"/>
      <c r="R1401" s="4"/>
      <c r="T1401" s="9"/>
      <c r="U1401" s="9"/>
      <c r="Z1401" s="9"/>
    </row>
    <row r="1402" spans="15:26">
      <c r="O1402" s="236"/>
      <c r="R1402" s="4"/>
      <c r="T1402" s="9"/>
      <c r="U1402" s="9"/>
      <c r="Z1402" s="9"/>
    </row>
    <row r="1403" spans="15:26">
      <c r="O1403" s="236"/>
      <c r="R1403" s="4"/>
      <c r="T1403" s="9"/>
      <c r="U1403" s="9"/>
      <c r="Z1403" s="9"/>
    </row>
    <row r="1404" spans="15:26">
      <c r="O1404" s="236"/>
      <c r="R1404" s="4"/>
      <c r="T1404" s="9"/>
      <c r="U1404" s="9"/>
      <c r="Z1404" s="9"/>
    </row>
    <row r="1405" spans="15:26">
      <c r="O1405" s="236"/>
      <c r="R1405" s="4"/>
      <c r="T1405" s="9"/>
      <c r="U1405" s="9"/>
      <c r="Z1405" s="9"/>
    </row>
    <row r="1406" spans="15:26">
      <c r="O1406" s="236"/>
      <c r="R1406" s="4"/>
      <c r="T1406" s="9"/>
      <c r="U1406" s="9"/>
      <c r="Z1406" s="9"/>
    </row>
    <row r="1407" spans="15:26">
      <c r="O1407" s="236"/>
      <c r="R1407" s="4"/>
      <c r="T1407" s="9"/>
      <c r="U1407" s="9"/>
      <c r="Z1407" s="9"/>
    </row>
    <row r="1408" spans="15:26">
      <c r="O1408" s="236"/>
      <c r="R1408" s="4"/>
      <c r="T1408" s="9"/>
      <c r="U1408" s="9"/>
      <c r="Z1408" s="9"/>
    </row>
    <row r="1409" spans="15:26">
      <c r="O1409" s="236"/>
      <c r="R1409" s="4"/>
      <c r="T1409" s="9"/>
      <c r="U1409" s="9"/>
      <c r="Z1409" s="9"/>
    </row>
    <row r="1410" spans="15:26">
      <c r="O1410" s="236"/>
      <c r="R1410" s="4"/>
      <c r="T1410" s="9"/>
      <c r="U1410" s="9"/>
      <c r="Z1410" s="9"/>
    </row>
    <row r="1411" spans="15:26">
      <c r="O1411" s="236"/>
      <c r="R1411" s="4"/>
      <c r="T1411" s="9"/>
      <c r="U1411" s="9"/>
      <c r="Z1411" s="9"/>
    </row>
    <row r="1412" spans="15:26">
      <c r="O1412" s="236"/>
      <c r="R1412" s="4"/>
      <c r="T1412" s="9"/>
      <c r="U1412" s="9"/>
      <c r="Z1412" s="9"/>
    </row>
    <row r="1413" spans="15:26">
      <c r="O1413" s="236"/>
      <c r="R1413" s="4"/>
      <c r="T1413" s="9"/>
      <c r="U1413" s="9"/>
      <c r="Z1413" s="9"/>
    </row>
    <row r="1414" spans="15:26">
      <c r="O1414" s="236"/>
      <c r="R1414" s="4"/>
      <c r="T1414" s="9"/>
      <c r="U1414" s="9"/>
      <c r="Z1414" s="9"/>
    </row>
    <row r="1415" spans="15:26">
      <c r="O1415" s="236"/>
      <c r="R1415" s="4"/>
      <c r="T1415" s="9"/>
      <c r="U1415" s="9"/>
      <c r="Z1415" s="9"/>
    </row>
    <row r="1416" spans="15:26">
      <c r="O1416" s="236"/>
      <c r="R1416" s="4"/>
      <c r="T1416" s="9"/>
      <c r="U1416" s="9"/>
      <c r="Z1416" s="9"/>
    </row>
    <row r="1417" spans="15:26">
      <c r="O1417" s="236"/>
      <c r="R1417" s="4"/>
      <c r="T1417" s="9"/>
      <c r="U1417" s="9"/>
      <c r="Z1417" s="9"/>
    </row>
    <row r="1418" spans="15:26">
      <c r="O1418" s="236"/>
      <c r="R1418" s="4"/>
      <c r="T1418" s="9"/>
      <c r="U1418" s="9"/>
      <c r="Z1418" s="9"/>
    </row>
    <row r="1419" spans="15:26">
      <c r="O1419" s="236"/>
      <c r="R1419" s="4"/>
      <c r="T1419" s="9"/>
      <c r="U1419" s="9"/>
      <c r="Z1419" s="9"/>
    </row>
    <row r="1420" spans="15:26">
      <c r="O1420" s="236"/>
      <c r="R1420" s="4"/>
      <c r="T1420" s="9"/>
      <c r="U1420" s="9"/>
      <c r="Z1420" s="9"/>
    </row>
    <row r="1421" spans="15:26">
      <c r="O1421" s="236"/>
      <c r="R1421" s="4"/>
      <c r="T1421" s="9"/>
      <c r="U1421" s="9"/>
      <c r="Z1421" s="9"/>
    </row>
    <row r="1422" spans="15:26">
      <c r="O1422" s="236"/>
      <c r="R1422" s="4"/>
      <c r="T1422" s="9"/>
      <c r="U1422" s="9"/>
      <c r="Z1422" s="9"/>
    </row>
    <row r="1423" spans="15:26">
      <c r="O1423" s="236"/>
      <c r="R1423" s="4"/>
      <c r="T1423" s="9"/>
      <c r="U1423" s="9"/>
      <c r="Z1423" s="9"/>
    </row>
    <row r="1424" spans="15:26">
      <c r="O1424" s="236"/>
      <c r="R1424" s="4"/>
      <c r="T1424" s="9"/>
      <c r="U1424" s="9"/>
      <c r="Z1424" s="9"/>
    </row>
    <row r="1425" spans="15:26">
      <c r="O1425" s="236"/>
      <c r="R1425" s="4"/>
      <c r="T1425" s="9"/>
      <c r="U1425" s="9"/>
      <c r="Z1425" s="9"/>
    </row>
    <row r="1426" spans="15:26">
      <c r="O1426" s="236"/>
      <c r="R1426" s="4"/>
      <c r="T1426" s="9"/>
      <c r="U1426" s="9"/>
      <c r="Z1426" s="9"/>
    </row>
    <row r="1427" spans="15:26">
      <c r="O1427" s="236"/>
      <c r="R1427" s="4"/>
      <c r="T1427" s="9"/>
      <c r="U1427" s="9"/>
      <c r="Z1427" s="9"/>
    </row>
    <row r="1428" spans="15:26">
      <c r="O1428" s="236"/>
      <c r="R1428" s="4"/>
      <c r="T1428" s="9"/>
      <c r="U1428" s="9"/>
      <c r="Z1428" s="9"/>
    </row>
    <row r="1429" spans="15:26">
      <c r="O1429" s="236"/>
      <c r="R1429" s="4"/>
      <c r="T1429" s="9"/>
      <c r="U1429" s="9"/>
      <c r="Z1429" s="9"/>
    </row>
    <row r="1430" spans="15:26">
      <c r="O1430" s="236"/>
      <c r="R1430" s="4"/>
      <c r="T1430" s="9"/>
      <c r="U1430" s="9"/>
      <c r="Z1430" s="9"/>
    </row>
    <row r="1431" spans="15:26">
      <c r="O1431" s="236"/>
      <c r="R1431" s="4"/>
      <c r="T1431" s="9"/>
      <c r="U1431" s="9"/>
      <c r="Z1431" s="9"/>
    </row>
    <row r="1432" spans="15:26">
      <c r="O1432" s="236"/>
      <c r="R1432" s="4"/>
      <c r="T1432" s="9"/>
      <c r="U1432" s="9"/>
      <c r="Z1432" s="9"/>
    </row>
    <row r="1433" spans="15:26">
      <c r="O1433" s="236"/>
      <c r="R1433" s="4"/>
      <c r="T1433" s="9"/>
      <c r="U1433" s="9"/>
      <c r="Z1433" s="9"/>
    </row>
    <row r="1434" spans="15:26">
      <c r="O1434" s="236"/>
      <c r="R1434" s="4"/>
      <c r="T1434" s="9"/>
      <c r="U1434" s="9"/>
      <c r="Z1434" s="9"/>
    </row>
    <row r="1435" spans="15:26">
      <c r="O1435" s="236"/>
      <c r="R1435" s="4"/>
      <c r="T1435" s="9"/>
      <c r="U1435" s="9"/>
      <c r="Z1435" s="9"/>
    </row>
    <row r="1436" spans="15:26">
      <c r="O1436" s="236"/>
      <c r="R1436" s="4"/>
      <c r="T1436" s="9"/>
      <c r="U1436" s="9"/>
      <c r="Z1436" s="9"/>
    </row>
    <row r="1437" spans="15:26">
      <c r="O1437" s="236"/>
      <c r="R1437" s="4"/>
      <c r="T1437" s="9"/>
      <c r="U1437" s="9"/>
      <c r="Z1437" s="9"/>
    </row>
    <row r="1438" spans="15:26">
      <c r="O1438" s="236"/>
      <c r="R1438" s="4"/>
      <c r="T1438" s="9"/>
      <c r="U1438" s="9"/>
      <c r="Z1438" s="9"/>
    </row>
    <row r="1439" spans="15:26">
      <c r="O1439" s="236"/>
      <c r="R1439" s="4"/>
      <c r="T1439" s="9"/>
      <c r="U1439" s="9"/>
      <c r="Z1439" s="9"/>
    </row>
    <row r="1440" spans="15:26">
      <c r="O1440" s="236"/>
      <c r="R1440" s="4"/>
      <c r="T1440" s="9"/>
      <c r="U1440" s="9"/>
      <c r="Z1440" s="9"/>
    </row>
    <row r="1441" spans="15:26">
      <c r="O1441" s="236"/>
      <c r="R1441" s="4"/>
      <c r="T1441" s="9"/>
      <c r="U1441" s="9"/>
      <c r="Z1441" s="9"/>
    </row>
    <row r="1442" spans="15:26">
      <c r="O1442" s="236"/>
      <c r="R1442" s="4"/>
      <c r="T1442" s="9"/>
      <c r="U1442" s="9"/>
      <c r="Z1442" s="9"/>
    </row>
    <row r="1443" spans="15:26">
      <c r="O1443" s="236"/>
      <c r="R1443" s="4"/>
      <c r="T1443" s="9"/>
      <c r="U1443" s="9"/>
      <c r="Z1443" s="9"/>
    </row>
    <row r="1444" spans="15:26">
      <c r="O1444" s="236"/>
      <c r="R1444" s="4"/>
      <c r="T1444" s="9"/>
      <c r="U1444" s="9"/>
      <c r="Z1444" s="9"/>
    </row>
    <row r="1445" spans="15:26">
      <c r="O1445" s="236"/>
      <c r="R1445" s="4"/>
      <c r="T1445" s="9"/>
      <c r="U1445" s="9"/>
      <c r="Z1445" s="9"/>
    </row>
    <row r="1446" spans="15:26">
      <c r="O1446" s="236"/>
      <c r="R1446" s="4"/>
      <c r="T1446" s="9"/>
      <c r="U1446" s="9"/>
      <c r="Z1446" s="9"/>
    </row>
    <row r="1447" spans="15:26">
      <c r="O1447" s="236"/>
      <c r="R1447" s="4"/>
      <c r="T1447" s="9"/>
      <c r="U1447" s="9"/>
      <c r="Z1447" s="9"/>
    </row>
    <row r="1448" spans="15:26">
      <c r="O1448" s="236"/>
      <c r="R1448" s="4"/>
      <c r="T1448" s="9"/>
      <c r="U1448" s="9"/>
      <c r="Z1448" s="9"/>
    </row>
    <row r="1449" spans="15:26">
      <c r="O1449" s="236"/>
      <c r="R1449" s="4"/>
      <c r="T1449" s="9"/>
      <c r="U1449" s="9"/>
      <c r="Z1449" s="9"/>
    </row>
    <row r="1450" spans="15:26">
      <c r="O1450" s="236"/>
      <c r="R1450" s="4"/>
      <c r="T1450" s="9"/>
      <c r="U1450" s="9"/>
      <c r="Z1450" s="9"/>
    </row>
    <row r="1451" spans="15:26">
      <c r="O1451" s="236"/>
      <c r="R1451" s="4"/>
      <c r="T1451" s="9"/>
      <c r="U1451" s="9"/>
      <c r="Z1451" s="9"/>
    </row>
    <row r="1452" spans="15:26">
      <c r="O1452" s="236"/>
      <c r="R1452" s="4"/>
      <c r="T1452" s="9"/>
      <c r="U1452" s="9"/>
      <c r="Z1452" s="9"/>
    </row>
    <row r="1453" spans="15:26">
      <c r="O1453" s="236"/>
      <c r="R1453" s="4"/>
      <c r="T1453" s="9"/>
      <c r="U1453" s="9"/>
      <c r="Z1453" s="9"/>
    </row>
    <row r="1454" spans="15:26">
      <c r="O1454" s="236"/>
      <c r="R1454" s="4"/>
      <c r="T1454" s="9"/>
      <c r="U1454" s="9"/>
      <c r="Z1454" s="9"/>
    </row>
    <row r="1455" spans="15:26">
      <c r="O1455" s="236"/>
      <c r="R1455" s="4"/>
      <c r="T1455" s="9"/>
      <c r="U1455" s="9"/>
      <c r="Z1455" s="9"/>
    </row>
    <row r="1456" spans="15:26">
      <c r="O1456" s="236"/>
      <c r="R1456" s="4"/>
      <c r="T1456" s="9"/>
      <c r="U1456" s="9"/>
      <c r="Z1456" s="9"/>
    </row>
    <row r="1457" spans="15:26">
      <c r="O1457" s="236"/>
      <c r="R1457" s="4"/>
      <c r="T1457" s="9"/>
      <c r="U1457" s="9"/>
      <c r="Z1457" s="9"/>
    </row>
    <row r="1458" spans="15:26">
      <c r="O1458" s="236"/>
      <c r="R1458" s="4"/>
      <c r="T1458" s="9"/>
      <c r="U1458" s="9"/>
      <c r="Z1458" s="9"/>
    </row>
    <row r="1459" spans="15:26">
      <c r="O1459" s="236"/>
      <c r="R1459" s="4"/>
      <c r="T1459" s="9"/>
      <c r="U1459" s="9"/>
      <c r="Z1459" s="9"/>
    </row>
    <row r="1460" spans="15:26">
      <c r="O1460" s="236"/>
      <c r="R1460" s="4"/>
      <c r="T1460" s="9"/>
      <c r="U1460" s="9"/>
      <c r="Z1460" s="9"/>
    </row>
    <row r="1461" spans="15:26">
      <c r="O1461" s="236"/>
      <c r="R1461" s="4"/>
      <c r="T1461" s="9"/>
      <c r="U1461" s="9"/>
      <c r="Z1461" s="9"/>
    </row>
    <row r="1462" spans="15:26">
      <c r="O1462" s="236"/>
      <c r="R1462" s="4"/>
      <c r="T1462" s="9"/>
      <c r="U1462" s="9"/>
      <c r="Z1462" s="9"/>
    </row>
    <row r="1463" spans="15:26">
      <c r="O1463" s="236"/>
      <c r="R1463" s="4"/>
      <c r="T1463" s="9"/>
      <c r="U1463" s="9"/>
      <c r="Z1463" s="9"/>
    </row>
    <row r="1464" spans="15:26">
      <c r="O1464" s="236"/>
      <c r="R1464" s="4"/>
      <c r="T1464" s="9"/>
      <c r="U1464" s="9"/>
      <c r="Z1464" s="9"/>
    </row>
    <row r="1465" spans="15:26">
      <c r="O1465" s="236"/>
      <c r="R1465" s="4"/>
      <c r="T1465" s="9"/>
      <c r="U1465" s="9"/>
      <c r="Z1465" s="9"/>
    </row>
    <row r="1466" spans="15:26">
      <c r="O1466" s="236"/>
      <c r="R1466" s="4"/>
      <c r="T1466" s="9"/>
      <c r="U1466" s="9"/>
      <c r="Z1466" s="9"/>
    </row>
    <row r="1467" spans="15:26">
      <c r="O1467" s="236"/>
      <c r="R1467" s="4"/>
      <c r="T1467" s="9"/>
      <c r="U1467" s="9"/>
      <c r="Z1467" s="9"/>
    </row>
    <row r="1468" spans="15:26">
      <c r="O1468" s="236"/>
      <c r="R1468" s="4"/>
      <c r="T1468" s="9"/>
      <c r="U1468" s="9"/>
      <c r="Z1468" s="9"/>
    </row>
    <row r="1469" spans="15:26">
      <c r="O1469" s="236"/>
      <c r="R1469" s="4"/>
      <c r="T1469" s="9"/>
      <c r="U1469" s="9"/>
      <c r="Z1469" s="9"/>
    </row>
    <row r="1470" spans="15:26">
      <c r="O1470" s="236"/>
      <c r="R1470" s="4"/>
      <c r="T1470" s="9"/>
      <c r="U1470" s="9"/>
      <c r="Z1470" s="9"/>
    </row>
    <row r="1471" spans="15:26">
      <c r="O1471" s="236"/>
      <c r="R1471" s="4"/>
      <c r="T1471" s="9"/>
      <c r="U1471" s="9"/>
      <c r="Z1471" s="9"/>
    </row>
    <row r="1472" spans="15:26">
      <c r="O1472" s="236"/>
      <c r="R1472" s="4"/>
      <c r="T1472" s="9"/>
      <c r="U1472" s="9"/>
      <c r="Z1472" s="9"/>
    </row>
    <row r="1473" spans="15:26">
      <c r="O1473" s="236"/>
      <c r="R1473" s="4"/>
      <c r="T1473" s="9"/>
      <c r="U1473" s="9"/>
      <c r="Z1473" s="9"/>
    </row>
    <row r="1474" spans="15:26">
      <c r="O1474" s="236"/>
      <c r="R1474" s="4"/>
      <c r="T1474" s="9"/>
      <c r="U1474" s="9"/>
      <c r="Z1474" s="9"/>
    </row>
    <row r="1475" spans="15:26">
      <c r="O1475" s="236"/>
      <c r="R1475" s="4"/>
      <c r="T1475" s="9"/>
      <c r="U1475" s="9"/>
      <c r="Z1475" s="9"/>
    </row>
    <row r="1476" spans="15:26">
      <c r="O1476" s="236"/>
      <c r="R1476" s="4"/>
      <c r="T1476" s="9"/>
      <c r="U1476" s="9"/>
      <c r="Z1476" s="9"/>
    </row>
    <row r="1477" spans="15:26">
      <c r="O1477" s="236"/>
      <c r="R1477" s="4"/>
      <c r="T1477" s="9"/>
      <c r="U1477" s="9"/>
      <c r="Z1477" s="9"/>
    </row>
    <row r="1478" spans="15:26">
      <c r="O1478" s="236"/>
      <c r="R1478" s="4"/>
      <c r="T1478" s="9"/>
      <c r="U1478" s="9"/>
      <c r="Z1478" s="9"/>
    </row>
    <row r="1479" spans="15:26">
      <c r="O1479" s="236"/>
      <c r="R1479" s="4"/>
      <c r="T1479" s="9"/>
      <c r="U1479" s="9"/>
      <c r="Z1479" s="9"/>
    </row>
    <row r="1480" spans="15:26">
      <c r="O1480" s="236"/>
      <c r="R1480" s="4"/>
      <c r="T1480" s="9"/>
      <c r="U1480" s="9"/>
      <c r="Z1480" s="9"/>
    </row>
    <row r="1481" spans="15:26">
      <c r="O1481" s="236"/>
      <c r="R1481" s="4"/>
      <c r="T1481" s="9"/>
      <c r="U1481" s="9"/>
      <c r="Z1481" s="9"/>
    </row>
    <row r="1482" spans="15:26">
      <c r="O1482" s="236"/>
      <c r="R1482" s="4"/>
      <c r="T1482" s="9"/>
      <c r="U1482" s="9"/>
      <c r="Z1482" s="9"/>
    </row>
    <row r="1483" spans="15:26">
      <c r="O1483" s="236"/>
      <c r="R1483" s="4"/>
      <c r="T1483" s="9"/>
      <c r="U1483" s="9"/>
      <c r="Z1483" s="9"/>
    </row>
    <row r="1484" spans="15:26">
      <c r="O1484" s="236"/>
      <c r="R1484" s="4"/>
      <c r="T1484" s="9"/>
      <c r="U1484" s="9"/>
      <c r="Z1484" s="9"/>
    </row>
    <row r="1485" spans="15:26">
      <c r="O1485" s="236"/>
      <c r="R1485" s="4"/>
      <c r="T1485" s="9"/>
      <c r="U1485" s="9"/>
      <c r="Z1485" s="9"/>
    </row>
    <row r="1486" spans="15:26">
      <c r="O1486" s="236"/>
      <c r="R1486" s="4"/>
      <c r="T1486" s="9"/>
      <c r="U1486" s="9"/>
      <c r="Z1486" s="9"/>
    </row>
    <row r="1487" spans="15:26">
      <c r="O1487" s="236"/>
      <c r="R1487" s="4"/>
      <c r="T1487" s="9"/>
      <c r="U1487" s="9"/>
      <c r="Z1487" s="9"/>
    </row>
    <row r="1488" spans="15:26">
      <c r="O1488" s="236"/>
      <c r="R1488" s="4"/>
      <c r="T1488" s="9"/>
      <c r="U1488" s="9"/>
      <c r="Z1488" s="9"/>
    </row>
    <row r="1489" spans="15:26">
      <c r="O1489" s="236"/>
      <c r="R1489" s="4"/>
      <c r="T1489" s="9"/>
      <c r="U1489" s="9"/>
      <c r="Z1489" s="9"/>
    </row>
    <row r="1490" spans="15:26">
      <c r="O1490" s="236"/>
      <c r="R1490" s="4"/>
      <c r="T1490" s="9"/>
      <c r="U1490" s="9"/>
      <c r="Z1490" s="9"/>
    </row>
    <row r="1491" spans="15:26">
      <c r="O1491" s="236"/>
      <c r="R1491" s="4"/>
      <c r="T1491" s="9"/>
      <c r="U1491" s="9"/>
      <c r="Z1491" s="9"/>
    </row>
    <row r="1492" spans="15:26">
      <c r="O1492" s="236"/>
      <c r="R1492" s="4"/>
      <c r="T1492" s="9"/>
      <c r="U1492" s="9"/>
      <c r="Z1492" s="9"/>
    </row>
    <row r="1493" spans="15:26">
      <c r="O1493" s="236"/>
      <c r="R1493" s="4"/>
      <c r="T1493" s="9"/>
      <c r="U1493" s="9"/>
      <c r="Z1493" s="9"/>
    </row>
    <row r="1494" spans="15:26">
      <c r="O1494" s="236"/>
      <c r="R1494" s="4"/>
      <c r="T1494" s="9"/>
      <c r="U1494" s="9"/>
      <c r="Z1494" s="9"/>
    </row>
    <row r="1495" spans="15:26">
      <c r="O1495" s="236"/>
      <c r="R1495" s="4"/>
      <c r="T1495" s="9"/>
      <c r="U1495" s="9"/>
      <c r="Z1495" s="9"/>
    </row>
    <row r="1496" spans="15:26">
      <c r="O1496" s="236"/>
      <c r="R1496" s="4"/>
      <c r="T1496" s="9"/>
      <c r="U1496" s="9"/>
      <c r="Z1496" s="9"/>
    </row>
    <row r="1497" spans="15:26">
      <c r="O1497" s="236"/>
      <c r="R1497" s="4"/>
      <c r="T1497" s="9"/>
      <c r="U1497" s="9"/>
      <c r="Z1497" s="9"/>
    </row>
    <row r="1498" spans="15:26">
      <c r="O1498" s="236"/>
      <c r="R1498" s="4"/>
      <c r="T1498" s="9"/>
      <c r="U1498" s="9"/>
      <c r="Z1498" s="9"/>
    </row>
    <row r="1499" spans="15:26">
      <c r="O1499" s="236"/>
      <c r="R1499" s="4"/>
      <c r="T1499" s="9"/>
      <c r="U1499" s="9"/>
      <c r="Z1499" s="9"/>
    </row>
    <row r="1500" spans="15:26">
      <c r="O1500" s="236"/>
      <c r="R1500" s="4"/>
      <c r="T1500" s="9"/>
      <c r="U1500" s="9"/>
      <c r="Z1500" s="9"/>
    </row>
    <row r="1501" spans="15:26">
      <c r="O1501" s="236"/>
      <c r="R1501" s="4"/>
      <c r="T1501" s="9"/>
      <c r="U1501" s="9"/>
      <c r="Z1501" s="9"/>
    </row>
    <row r="1502" spans="15:26">
      <c r="O1502" s="236"/>
      <c r="R1502" s="4"/>
      <c r="T1502" s="9"/>
      <c r="U1502" s="9"/>
      <c r="Z1502" s="9"/>
    </row>
    <row r="1503" spans="15:26">
      <c r="O1503" s="236"/>
      <c r="R1503" s="4"/>
      <c r="T1503" s="9"/>
      <c r="U1503" s="9"/>
      <c r="Z1503" s="9"/>
    </row>
    <row r="1504" spans="15:26">
      <c r="O1504" s="236"/>
      <c r="R1504" s="4"/>
      <c r="T1504" s="9"/>
      <c r="U1504" s="9"/>
      <c r="Z1504" s="9"/>
    </row>
    <row r="1505" spans="15:26">
      <c r="O1505" s="236"/>
      <c r="R1505" s="4"/>
      <c r="T1505" s="9"/>
      <c r="U1505" s="9"/>
      <c r="Z1505" s="9"/>
    </row>
    <row r="1506" spans="15:26">
      <c r="O1506" s="236"/>
      <c r="R1506" s="4"/>
      <c r="T1506" s="9"/>
      <c r="U1506" s="9"/>
      <c r="Z1506" s="9"/>
    </row>
    <row r="1507" spans="15:26">
      <c r="O1507" s="236"/>
      <c r="R1507" s="4"/>
      <c r="T1507" s="9"/>
      <c r="U1507" s="9"/>
      <c r="Z1507" s="9"/>
    </row>
    <row r="1508" spans="15:26">
      <c r="O1508" s="236"/>
      <c r="R1508" s="4"/>
      <c r="T1508" s="9"/>
      <c r="U1508" s="9"/>
      <c r="Z1508" s="9"/>
    </row>
  </sheetData>
  <dataConsolidate/>
  <mergeCells count="38">
    <mergeCell ref="AF136:AK136"/>
    <mergeCell ref="AB57:AB58"/>
    <mergeCell ref="AC57:AE57"/>
    <mergeCell ref="AB136:AB137"/>
    <mergeCell ref="V136:X136"/>
    <mergeCell ref="Y136:AA136"/>
    <mergeCell ref="AC136:AE136"/>
    <mergeCell ref="V65:X65"/>
    <mergeCell ref="Y65:AA65"/>
    <mergeCell ref="AB65:AB66"/>
    <mergeCell ref="AC65:AE65"/>
    <mergeCell ref="C47:E47"/>
    <mergeCell ref="F47:H47"/>
    <mergeCell ref="I47:K47"/>
    <mergeCell ref="V49:X49"/>
    <mergeCell ref="Y49:AA49"/>
    <mergeCell ref="AF292:AK292"/>
    <mergeCell ref="V214:X214"/>
    <mergeCell ref="Y214:AA214"/>
    <mergeCell ref="AB214:AB215"/>
    <mergeCell ref="AC214:AE214"/>
    <mergeCell ref="AF214:AK214"/>
    <mergeCell ref="AB41:AB42"/>
    <mergeCell ref="AC41:AE41"/>
    <mergeCell ref="V41:X41"/>
    <mergeCell ref="Y41:AA41"/>
    <mergeCell ref="V292:X292"/>
    <mergeCell ref="Y292:AA292"/>
    <mergeCell ref="AB292:AB293"/>
    <mergeCell ref="AC292:AE292"/>
    <mergeCell ref="AB103:AB104"/>
    <mergeCell ref="AC103:AE103"/>
    <mergeCell ref="Y103:AA103"/>
    <mergeCell ref="V103:X103"/>
    <mergeCell ref="AB49:AB50"/>
    <mergeCell ref="AC49:AE49"/>
    <mergeCell ref="V57:X57"/>
    <mergeCell ref="Y57:AA57"/>
  </mergeCells>
  <conditionalFormatting sqref="A177 A285">
    <cfRule type="containsText" dxfId="366" priority="1313" operator="containsText" text="***SOMA DE VOLUMES CERTA***">
      <formula>NOT(ISERROR(SEARCH("***SOMA DE VOLUMES CERTA***",A177)))</formula>
    </cfRule>
    <cfRule type="containsText" dxfId="365" priority="1312" operator="containsText" text="***SOMA DE VOLUMES ERRADA***">
      <formula>NOT(ISERROR(SEARCH("***SOMA DE VOLUMES ERRADA***",A177)))</formula>
    </cfRule>
    <cfRule type="containsText" dxfId="364" priority="1311" operator="containsText" text="***SOMA DE VOLUME ERRADA***">
      <formula>NOT(ISERROR(SEARCH("***SOMA DE VOLUME ERRADA***",A177)))</formula>
    </cfRule>
    <cfRule type="containsText" dxfId="363" priority="1310" operator="containsText" text="***SOMA DE VOLUMES CORRETA***">
      <formula>NOT(ISERROR(SEARCH("***SOMA DE VOLUMES CORRETA***",A177)))</formula>
    </cfRule>
  </conditionalFormatting>
  <conditionalFormatting sqref="A186 A200">
    <cfRule type="containsText" dxfId="362" priority="1317" operator="containsText" text="***SOMA DE VOLUMES CERTA***">
      <formula>NOT(ISERROR(SEARCH("***SOMA DE VOLUMES CERTA***",A186)))</formula>
    </cfRule>
    <cfRule type="containsText" dxfId="361" priority="1316" operator="containsText" text="***SOMA DE VOLUMES ERRADA***">
      <formula>NOT(ISERROR(SEARCH("***SOMA DE VOLUMES ERRADA***",A186)))</formula>
    </cfRule>
    <cfRule type="containsText" dxfId="360" priority="1315" operator="containsText" text="***SOMA DE VOLUME ERRADA***">
      <formula>NOT(ISERROR(SEARCH("***SOMA DE VOLUME ERRADA***",A186)))</formula>
    </cfRule>
    <cfRule type="containsText" dxfId="359" priority="1314" operator="containsText" text="***SOMA DE VOLUMES CORRETA***">
      <formula>NOT(ISERROR(SEARCH("***SOMA DE VOLUMES CORRETA***",A186)))</formula>
    </cfRule>
  </conditionalFormatting>
  <conditionalFormatting sqref="B177 F177 J177:J200 G178:G183 B186">
    <cfRule type="cellIs" dxfId="358" priority="938" operator="greaterThan">
      <formula>1</formula>
    </cfRule>
    <cfRule type="cellIs" dxfId="357" priority="937" operator="lessThan">
      <formula>1</formula>
    </cfRule>
    <cfRule type="cellIs" dxfId="356" priority="936" operator="equal">
      <formula>1</formula>
    </cfRule>
  </conditionalFormatting>
  <conditionalFormatting sqref="B200:E200">
    <cfRule type="cellIs" dxfId="355" priority="16" operator="equal">
      <formula>1</formula>
    </cfRule>
    <cfRule type="cellIs" dxfId="354" priority="17" operator="lessThan">
      <formula>1</formula>
    </cfRule>
    <cfRule type="cellIs" dxfId="353" priority="18" operator="greaterThan">
      <formula>1</formula>
    </cfRule>
  </conditionalFormatting>
  <conditionalFormatting sqref="C173:E175">
    <cfRule type="cellIs" dxfId="352" priority="35" operator="equal">
      <formula>0</formula>
    </cfRule>
    <cfRule type="cellIs" dxfId="351" priority="36" operator="equal">
      <formula>1</formula>
    </cfRule>
    <cfRule type="cellIs" dxfId="350" priority="37" operator="lessThan">
      <formula>1</formula>
    </cfRule>
    <cfRule type="cellIs" dxfId="349" priority="38" operator="greaterThan">
      <formula>1</formula>
    </cfRule>
  </conditionalFormatting>
  <conditionalFormatting sqref="C285:E285">
    <cfRule type="cellIs" dxfId="348" priority="13" operator="equal">
      <formula>1</formula>
    </cfRule>
    <cfRule type="cellIs" dxfId="347" priority="14" operator="lessThan">
      <formula>1</formula>
    </cfRule>
    <cfRule type="cellIs" dxfId="346" priority="15" operator="greaterThan">
      <formula>1</formula>
    </cfRule>
  </conditionalFormatting>
  <conditionalFormatting sqref="D439">
    <cfRule type="containsText" dxfId="345" priority="476" operator="containsText" text="Sobrando Maquina">
      <formula>NOT(ISERROR(SEARCH("Sobrando Maquina",D439)))</formula>
    </cfRule>
    <cfRule type="containsText" dxfId="344" priority="478" operator="containsText" text="Faltando Maquina">
      <formula>NOT(ISERROR(SEARCH("Faltando Maquina",D439)))</formula>
    </cfRule>
    <cfRule type="containsText" dxfId="343" priority="477" operator="containsText" text="Atende a Capacidade">
      <formula>NOT(ISERROR(SEARCH("Atende a Capacidade",D439)))</formula>
    </cfRule>
  </conditionalFormatting>
  <conditionalFormatting sqref="E70">
    <cfRule type="cellIs" dxfId="342" priority="50" operator="between">
      <formula>1</formula>
      <formula>0.5</formula>
    </cfRule>
    <cfRule type="cellIs" dxfId="341" priority="51" operator="lessThan">
      <formula>0.5</formula>
    </cfRule>
    <cfRule type="cellIs" dxfId="340" priority="52" operator="greaterThan">
      <formula>1</formula>
    </cfRule>
  </conditionalFormatting>
  <conditionalFormatting sqref="F70">
    <cfRule type="containsText" dxfId="339" priority="48" operator="containsText" text="Faltando Máquina">
      <formula>NOT(ISERROR(SEARCH("Faltando Máquina",F70)))</formula>
    </cfRule>
    <cfRule type="containsText" dxfId="338" priority="49" operator="containsText" text="Sobrando Máquina">
      <formula>NOT(ISERROR(SEARCH("Sobrando Máquina",F70)))</formula>
    </cfRule>
    <cfRule type="containsText" dxfId="337" priority="47" operator="containsText" text="Atende o Volume">
      <formula>NOT(ISERROR(SEARCH("Atende o Volume",F70)))</formula>
    </cfRule>
  </conditionalFormatting>
  <conditionalFormatting sqref="F94:F95">
    <cfRule type="containsText" dxfId="336" priority="45" operator="containsText" text="Zerar Número de Máquinas">
      <formula>NOT(ISERROR(SEARCH("Zerar Número de Máquinas",F94)))</formula>
    </cfRule>
  </conditionalFormatting>
  <conditionalFormatting sqref="F186:F200">
    <cfRule type="cellIs" dxfId="335" priority="9" operator="greaterThan">
      <formula>1</formula>
    </cfRule>
    <cfRule type="cellIs" dxfId="334" priority="8" operator="lessThan">
      <formula>1</formula>
    </cfRule>
    <cfRule type="cellIs" dxfId="333" priority="7" operator="equal">
      <formula>1</formula>
    </cfRule>
  </conditionalFormatting>
  <conditionalFormatting sqref="G285">
    <cfRule type="cellIs" dxfId="332" priority="12" operator="greaterThan">
      <formula>1</formula>
    </cfRule>
    <cfRule type="cellIs" dxfId="331" priority="11" operator="lessThan">
      <formula>1</formula>
    </cfRule>
    <cfRule type="cellIs" dxfId="330" priority="10" operator="equal">
      <formula>1</formula>
    </cfRule>
  </conditionalFormatting>
  <conditionalFormatting sqref="G439">
    <cfRule type="containsText" dxfId="329" priority="70" operator="containsText" text="Faltando Maquina">
      <formula>NOT(ISERROR(SEARCH("Faltando Maquina",G439)))</formula>
    </cfRule>
    <cfRule type="containsText" dxfId="328" priority="69" operator="containsText" text="Atende a Capacidade">
      <formula>NOT(ISERROR(SEARCH("Atende a Capacidade",G439)))</formula>
    </cfRule>
    <cfRule type="containsText" dxfId="327" priority="68" operator="containsText" text="Sobrando Maquina">
      <formula>NOT(ISERROR(SEARCH("Sobrando Maquina",G439)))</formula>
    </cfRule>
  </conditionalFormatting>
  <conditionalFormatting sqref="J433:J439">
    <cfRule type="containsText" dxfId="326" priority="6" operator="containsText" text="Faltando Maquina">
      <formula>NOT(ISERROR(SEARCH("Faltando Maquina",J433)))</formula>
    </cfRule>
    <cfRule type="containsText" dxfId="325" priority="5" operator="containsText" text="Atende a Capacidade">
      <formula>NOT(ISERROR(SEARCH("Atende a Capacidade",J433)))</formula>
    </cfRule>
    <cfRule type="containsText" dxfId="324" priority="4" operator="containsText" text="Sobrando Maquina">
      <formula>NOT(ISERROR(SEARCH("Sobrando Maquina",J433)))</formula>
    </cfRule>
  </conditionalFormatting>
  <dataValidations count="26">
    <dataValidation type="list" allowBlank="1" showInputMessage="1" showErrorMessage="1" sqref="A235" xr:uid="{00000000-0002-0000-0300-000000000000}">
      <formula1>$O$216:$O$219</formula1>
    </dataValidation>
    <dataValidation type="list" allowBlank="1" showInputMessage="1" showErrorMessage="1" sqref="B92" xr:uid="{00000000-0002-0000-0300-000001000000}">
      <formula1>$O$91:$O$98</formula1>
    </dataValidation>
    <dataValidation type="list" allowBlank="1" showInputMessage="1" showErrorMessage="1" sqref="A310" xr:uid="{00000000-0002-0000-0300-000002000000}">
      <formula1>$V$289:$V$290</formula1>
    </dataValidation>
    <dataValidation type="list" allowBlank="1" showInputMessage="1" showErrorMessage="1" sqref="B136:D136 B29 B64:D64 J136 B43:B45 B33 C179:D179 B20:B21 I30 I38 H360 B11:B14" xr:uid="{00000000-0002-0000-0300-000003000000}">
      <formula1>$Q$10:$Q$12</formula1>
    </dataValidation>
    <dataValidation type="list" allowBlank="1" showInputMessage="1" showErrorMessage="1" sqref="B30" xr:uid="{00000000-0002-0000-0300-000004000000}">
      <formula1>$O$28:$O$32</formula1>
    </dataValidation>
    <dataValidation type="list" allowBlank="1" showInputMessage="1" showErrorMessage="1" sqref="A15" xr:uid="{00000000-0002-0000-0300-000005000000}">
      <formula1>$R$28:$R$30</formula1>
    </dataValidation>
    <dataValidation type="list" allowBlank="1" showInputMessage="1" showErrorMessage="1" sqref="B100" xr:uid="{00000000-0002-0000-0300-000006000000}">
      <formula1>$R$91:$R$93</formula1>
    </dataValidation>
    <dataValidation type="list" allowBlank="1" showInputMessage="1" showErrorMessage="1" sqref="I22" xr:uid="{00000000-0002-0000-0300-000007000000}">
      <formula1>$O$10:$O$13</formula1>
    </dataValidation>
    <dataValidation type="list" allowBlank="1" showInputMessage="1" showErrorMessage="1" sqref="B217 B219" xr:uid="{00000000-0002-0000-0300-000008000000}">
      <formula1>$S$211:$S$213</formula1>
    </dataValidation>
    <dataValidation type="list" allowBlank="1" showInputMessage="1" showErrorMessage="1" sqref="C482:D483 B291:D291 C350:D352 C359:D362 C498:D498" xr:uid="{00000000-0002-0000-0300-000009000000}">
      <formula1>$R$289:$R$290</formula1>
    </dataValidation>
    <dataValidation type="list" allowBlank="1" showInputMessage="1" showErrorMessage="1" sqref="B482" xr:uid="{00000000-0002-0000-0300-00000A000000}">
      <formula1>$O$475:$O$477</formula1>
    </dataValidation>
    <dataValidation type="list" allowBlank="1" showInputMessage="1" showErrorMessage="1" sqref="B483" xr:uid="{00000000-0002-0000-0300-00000B000000}">
      <formula1>$R$475:$R$477</formula1>
    </dataValidation>
    <dataValidation type="list" allowBlank="1" showInputMessage="1" showErrorMessage="1" sqref="A142" xr:uid="{00000000-0002-0000-0300-00000C000000}">
      <formula1>$O$135:$O$138</formula1>
    </dataValidation>
    <dataValidation type="list" allowBlank="1" showInputMessage="1" showErrorMessage="1" sqref="B233 B301:B309 B107:B114 B188:B199 B170:B172 B180:B181 B313:B327 B49:B53 B251:B265 B329:B344 B267:B284 B235:B246 B149:B167" xr:uid="{00000000-0002-0000-0300-00000D000000}">
      <formula1>$O$140:$O$146</formula1>
    </dataValidation>
    <dataValidation type="list" allowBlank="1" showInputMessage="1" showErrorMessage="1" sqref="A233" xr:uid="{00000000-0002-0000-0300-00000E000000}">
      <formula1>$O$223:$O$226</formula1>
    </dataValidation>
    <dataValidation type="list" allowBlank="1" showInputMessage="1" showErrorMessage="1" sqref="B225 B216" xr:uid="{00000000-0002-0000-0300-00000F000000}">
      <formula1>$V$211:$V$212</formula1>
    </dataValidation>
    <dataValidation type="list" allowBlank="1" showInputMessage="1" showErrorMessage="1" sqref="B215" xr:uid="{00000000-0002-0000-0300-000010000000}">
      <formula1>$O$211:$O$214</formula1>
    </dataValidation>
    <dataValidation type="list" allowBlank="1" showInputMessage="1" showErrorMessage="1" sqref="B350:B352 B498 B359:B362" xr:uid="{00000000-0002-0000-0300-000011000000}">
      <formula1>$O$348:$O$350</formula1>
    </dataValidation>
    <dataValidation type="list" allowBlank="1" showInputMessage="1" showErrorMessage="1" sqref="A60" xr:uid="{00000000-0002-0000-0300-000012000000}">
      <formula1>$O$59:$O$60</formula1>
    </dataValidation>
    <dataValidation type="list" allowBlank="1" showInputMessage="1" showErrorMessage="1" sqref="B103:B104" xr:uid="{00000000-0002-0000-0300-000013000000}">
      <formula1>$U$91:$U$93</formula1>
    </dataValidation>
    <dataValidation type="list" allowBlank="1" showInputMessage="1" showErrorMessage="1" sqref="B435:D437" xr:uid="{00000000-0002-0000-0300-000014000000}">
      <formula1>$Y$432:$Y$433</formula1>
    </dataValidation>
    <dataValidation type="list" allowBlank="1" showInputMessage="1" showErrorMessage="1" sqref="B438:D438" xr:uid="{00000000-0002-0000-0300-000015000000}">
      <formula1>$AA$432:$AA$433</formula1>
    </dataValidation>
    <dataValidation type="list" allowBlank="1" showInputMessage="1" showErrorMessage="1" sqref="B499:D499" xr:uid="{00000000-0002-0000-0300-000016000000}">
      <formula1>$R$488:$R$490</formula1>
    </dataValidation>
    <dataValidation type="list" allowBlank="1" showInputMessage="1" showErrorMessage="1" sqref="B495:B497" xr:uid="{00000000-0002-0000-0300-000017000000}">
      <formula1>"0,1,2,"</formula1>
    </dataValidation>
    <dataValidation type="list" allowBlank="1" showInputMessage="1" showErrorMessage="1" sqref="B137:D137" xr:uid="{00000000-0002-0000-0300-000018000000}">
      <formula1>$P$135:$P$137</formula1>
    </dataValidation>
    <dataValidation type="list" allowBlank="1" showInputMessage="1" showErrorMessage="1" sqref="A168:A169" xr:uid="{00000000-0002-0000-0300-000019000000}">
      <formula1>$R$135:$R$136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tabColor rgb="FF0070C0"/>
    <outlinePr summaryBelow="0"/>
    <pageSetUpPr fitToPage="1"/>
  </sheetPr>
  <dimension ref="A1:AK1424"/>
  <sheetViews>
    <sheetView showGridLines="0" topLeftCell="A371" zoomScale="80" zoomScaleNormal="80" workbookViewId="0">
      <selection activeCell="F573" sqref="F573"/>
    </sheetView>
  </sheetViews>
  <sheetFormatPr defaultRowHeight="15" outlineLevelRow="4" outlineLevelCol="1"/>
  <cols>
    <col min="1" max="1" width="9.28125" hidden="1" customWidth="1" outlineLevel="1"/>
    <col min="2" max="4" width="9.28125" style="202" hidden="1" customWidth="1" outlineLevel="1"/>
    <col min="5" max="5" width="48.83203125" style="202" hidden="1" customWidth="1" outlineLevel="1"/>
    <col min="6" max="6" width="32.1484375" style="202" hidden="1" customWidth="1" outlineLevel="1"/>
    <col min="7" max="7" width="56.23046875" customWidth="1" collapsed="1"/>
    <col min="8" max="10" width="9.14453125" customWidth="1"/>
    <col min="11" max="11" width="34.97265625" hidden="1" customWidth="1" outlineLevel="1"/>
    <col min="12" max="12" width="4.16796875" hidden="1" customWidth="1" outlineLevel="1"/>
    <col min="13" max="13" width="9.01171875" customWidth="1" collapsed="1"/>
    <col min="15" max="15" width="29.59375" hidden="1" customWidth="1" outlineLevel="1"/>
    <col min="16" max="16" width="4.16796875" hidden="1" customWidth="1" outlineLevel="1"/>
    <col min="17" max="17" width="9.14453125" collapsed="1"/>
    <col min="18" max="18" width="7.93359375" bestFit="1" customWidth="1"/>
    <col min="19" max="19" width="33.765625" hidden="1" customWidth="1" outlineLevel="1"/>
    <col min="20" max="20" width="3.09375" hidden="1" customWidth="1" outlineLevel="1"/>
    <col min="21" max="21" width="8.7421875" bestFit="1" customWidth="1" collapsed="1"/>
    <col min="22" max="22" width="9.14453125" style="908"/>
    <col min="24" max="24" width="42.640625" style="165" customWidth="1"/>
    <col min="25" max="25" width="9.81640625" style="742" customWidth="1"/>
    <col min="27" max="28" width="9.14453125" hidden="1" customWidth="1" outlineLevel="1"/>
    <col min="29" max="29" width="9.14453125" collapsed="1"/>
    <col min="30" max="31" width="9.14453125" hidden="1" customWidth="1" outlineLevel="1"/>
    <col min="32" max="32" width="9.14453125" collapsed="1"/>
    <col min="33" max="34" width="9.14453125" hidden="1" customWidth="1" outlineLevel="1"/>
    <col min="35" max="35" width="9.14453125" collapsed="1"/>
  </cols>
  <sheetData>
    <row r="1" spans="1:35">
      <c r="H1" s="44" t="s">
        <v>717</v>
      </c>
      <c r="N1" s="4"/>
      <c r="Q1" s="35" t="s">
        <v>2572</v>
      </c>
      <c r="R1" s="589"/>
      <c r="S1" s="589"/>
      <c r="T1" s="65"/>
      <c r="U1" s="217">
        <f>H9</f>
        <v>230</v>
      </c>
      <c r="V1" s="904"/>
      <c r="W1" s="160"/>
    </row>
    <row r="2" spans="1:35">
      <c r="H2" s="45" t="s">
        <v>718</v>
      </c>
      <c r="N2" s="4"/>
      <c r="Q2" s="35" t="s">
        <v>713</v>
      </c>
      <c r="R2" s="589"/>
      <c r="S2" s="589"/>
      <c r="T2" s="65"/>
      <c r="U2" s="217">
        <f>I9</f>
        <v>263</v>
      </c>
      <c r="V2" s="907" t="s">
        <v>5311</v>
      </c>
      <c r="W2" s="7">
        <f>U2-W3</f>
        <v>227</v>
      </c>
      <c r="X2" s="914">
        <f>W2-52</f>
        <v>175</v>
      </c>
      <c r="Z2" s="35" t="s">
        <v>3149</v>
      </c>
      <c r="AC2" s="7">
        <f>U2+Z4</f>
        <v>263</v>
      </c>
    </row>
    <row r="3" spans="1:35">
      <c r="H3" s="638" t="s">
        <v>2285</v>
      </c>
      <c r="I3" s="628" t="str">
        <f>Preencher!B3&amp;" - "&amp;Preencher!B2</f>
        <v>JARINU - JARINU</v>
      </c>
      <c r="J3" s="629"/>
      <c r="K3" s="629"/>
      <c r="L3" s="629"/>
      <c r="M3" s="629"/>
      <c r="N3" s="639"/>
      <c r="O3" s="629"/>
      <c r="P3" s="629"/>
      <c r="Q3" s="35" t="s">
        <v>720</v>
      </c>
      <c r="R3" s="589"/>
      <c r="S3" s="589"/>
      <c r="T3" s="65"/>
      <c r="U3" s="7">
        <f>U2-U1</f>
        <v>33</v>
      </c>
      <c r="V3" s="907" t="s">
        <v>5312</v>
      </c>
      <c r="W3" s="7">
        <f>I99+I830+I802</f>
        <v>36</v>
      </c>
    </row>
    <row r="4" spans="1:35">
      <c r="H4" s="44" t="s">
        <v>719</v>
      </c>
      <c r="N4" s="4"/>
      <c r="Q4" s="35" t="s">
        <v>2573</v>
      </c>
      <c r="R4" s="589"/>
      <c r="S4" s="589"/>
      <c r="T4" s="65"/>
      <c r="U4" s="66">
        <f>IFERROR(H11/H10,0)</f>
        <v>6.9767441860465115E-2</v>
      </c>
      <c r="V4" s="905"/>
      <c r="W4" s="112"/>
      <c r="Z4" s="761">
        <f>Z9+AC9+AF9</f>
        <v>0</v>
      </c>
    </row>
    <row r="5" spans="1:35">
      <c r="H5" s="44" t="s">
        <v>887</v>
      </c>
      <c r="I5" s="640"/>
      <c r="N5" s="4"/>
      <c r="Q5" s="35" t="s">
        <v>874</v>
      </c>
      <c r="R5" s="589"/>
      <c r="S5" s="589"/>
      <c r="T5" s="65"/>
      <c r="U5" s="130">
        <v>7.0000000000000007E-2</v>
      </c>
      <c r="V5" s="906"/>
      <c r="W5" s="148"/>
      <c r="Z5" s="916" t="s">
        <v>3009</v>
      </c>
      <c r="AA5" s="917"/>
      <c r="AB5" s="917"/>
      <c r="AC5" s="917"/>
      <c r="AD5" s="917"/>
      <c r="AE5" s="917"/>
      <c r="AF5" s="917"/>
      <c r="AG5" s="917"/>
      <c r="AH5" s="917"/>
      <c r="AI5" s="918"/>
    </row>
    <row r="6" spans="1:35" ht="7.5" customHeight="1">
      <c r="A6" s="348"/>
      <c r="B6" s="348"/>
      <c r="C6" s="348"/>
      <c r="D6" s="348"/>
      <c r="E6" s="348"/>
      <c r="F6" s="348"/>
    </row>
    <row r="7" spans="1:35">
      <c r="A7" s="348"/>
      <c r="B7" s="348"/>
      <c r="C7" s="348"/>
      <c r="D7" s="348"/>
      <c r="E7" s="348"/>
      <c r="F7" s="348"/>
      <c r="G7" s="4"/>
      <c r="H7" s="4"/>
      <c r="I7" s="4"/>
      <c r="J7" s="915" t="s">
        <v>710</v>
      </c>
      <c r="K7" s="915"/>
      <c r="L7" s="915"/>
      <c r="M7" s="915"/>
      <c r="N7" s="915" t="s">
        <v>711</v>
      </c>
      <c r="O7" s="915"/>
      <c r="P7" s="915"/>
      <c r="Q7" s="915"/>
      <c r="R7" s="915" t="s">
        <v>712</v>
      </c>
      <c r="S7" s="915"/>
      <c r="T7" s="915"/>
      <c r="U7" s="915"/>
      <c r="V7" s="919" t="s">
        <v>3027</v>
      </c>
      <c r="W7" s="920"/>
      <c r="Z7" s="915" t="s">
        <v>710</v>
      </c>
      <c r="AA7" s="915"/>
      <c r="AB7" s="915"/>
      <c r="AC7" s="915" t="s">
        <v>711</v>
      </c>
      <c r="AD7" s="915"/>
      <c r="AE7" s="915"/>
      <c r="AF7" s="915" t="s">
        <v>712</v>
      </c>
      <c r="AG7" s="915"/>
      <c r="AH7" s="915"/>
    </row>
    <row r="8" spans="1:35" ht="37.5">
      <c r="A8" s="763" t="s">
        <v>3023</v>
      </c>
      <c r="B8" s="763" t="s">
        <v>1982</v>
      </c>
      <c r="C8" s="763" t="s">
        <v>3024</v>
      </c>
      <c r="D8" s="763" t="s">
        <v>3025</v>
      </c>
      <c r="E8" s="763" t="s">
        <v>1983</v>
      </c>
      <c r="F8" s="763" t="s">
        <v>1984</v>
      </c>
      <c r="G8" s="769" t="s">
        <v>2192</v>
      </c>
      <c r="H8" s="760" t="s">
        <v>3026</v>
      </c>
      <c r="I8" s="62" t="s">
        <v>713</v>
      </c>
      <c r="J8" s="32" t="s">
        <v>709</v>
      </c>
      <c r="K8" s="32" t="s">
        <v>1994</v>
      </c>
      <c r="L8" s="32" t="s">
        <v>1995</v>
      </c>
      <c r="M8" s="33" t="s">
        <v>273</v>
      </c>
      <c r="N8" s="33" t="s">
        <v>709</v>
      </c>
      <c r="O8" s="33" t="s">
        <v>1994</v>
      </c>
      <c r="P8" s="33" t="s">
        <v>1997</v>
      </c>
      <c r="Q8" s="33" t="s">
        <v>273</v>
      </c>
      <c r="R8" s="33" t="s">
        <v>709</v>
      </c>
      <c r="S8" s="33" t="s">
        <v>1994</v>
      </c>
      <c r="T8" s="33" t="s">
        <v>1999</v>
      </c>
      <c r="U8" s="33" t="s">
        <v>273</v>
      </c>
      <c r="V8" s="762" t="s">
        <v>3028</v>
      </c>
      <c r="W8" s="763" t="s">
        <v>3029</v>
      </c>
      <c r="X8" s="119" t="s">
        <v>716</v>
      </c>
      <c r="Y8" s="743"/>
      <c r="Z8" s="33" t="s">
        <v>3010</v>
      </c>
      <c r="AA8" s="32" t="s">
        <v>1994</v>
      </c>
      <c r="AB8" s="32" t="s">
        <v>1995</v>
      </c>
      <c r="AC8" s="33" t="s">
        <v>3010</v>
      </c>
      <c r="AD8" s="33" t="s">
        <v>1994</v>
      </c>
      <c r="AE8" s="33" t="s">
        <v>1997</v>
      </c>
      <c r="AF8" s="33" t="s">
        <v>3010</v>
      </c>
      <c r="AG8" s="33" t="s">
        <v>1994</v>
      </c>
      <c r="AH8" s="33" t="s">
        <v>1999</v>
      </c>
      <c r="AI8" s="119" t="s">
        <v>716</v>
      </c>
    </row>
    <row r="9" spans="1:35" ht="15" customHeight="1">
      <c r="A9" s="754"/>
      <c r="B9" s="755"/>
      <c r="C9" s="754"/>
      <c r="D9" s="754"/>
      <c r="E9" s="754"/>
      <c r="F9" s="754"/>
      <c r="G9" s="34" t="s">
        <v>715</v>
      </c>
      <c r="H9" s="63">
        <f>H10+H11</f>
        <v>230</v>
      </c>
      <c r="I9" s="63">
        <f>IFERROR((J9+N9+R9),0)</f>
        <v>263</v>
      </c>
      <c r="J9" s="50">
        <f>J10+J11</f>
        <v>262</v>
      </c>
      <c r="K9" s="50"/>
      <c r="L9" s="50"/>
      <c r="M9" s="51"/>
      <c r="N9" s="50">
        <f>N10+N11</f>
        <v>1</v>
      </c>
      <c r="O9" s="50"/>
      <c r="P9" s="50"/>
      <c r="Q9" s="51"/>
      <c r="R9" s="50">
        <f>R10+R11</f>
        <v>0</v>
      </c>
      <c r="S9" s="50"/>
      <c r="T9" s="50"/>
      <c r="U9" s="51"/>
      <c r="V9" s="50">
        <f>V10+V11</f>
        <v>0</v>
      </c>
      <c r="W9" s="50">
        <f>W10+W11</f>
        <v>0</v>
      </c>
      <c r="X9" s="166"/>
      <c r="Y9" s="744"/>
      <c r="Z9" s="50">
        <f>Z10+Z11</f>
        <v>0</v>
      </c>
      <c r="AA9" s="50"/>
      <c r="AB9" s="50"/>
      <c r="AC9" s="50">
        <f>AC10+AC11</f>
        <v>0</v>
      </c>
      <c r="AD9" s="50"/>
      <c r="AE9" s="50"/>
      <c r="AF9" s="50">
        <f>AF10+AF11</f>
        <v>0</v>
      </c>
      <c r="AG9" s="50"/>
      <c r="AH9" s="50"/>
      <c r="AI9" s="166"/>
    </row>
    <row r="10" spans="1:35" ht="15" customHeight="1">
      <c r="A10" s="756"/>
      <c r="B10" s="757"/>
      <c r="C10" s="756"/>
      <c r="D10" s="756"/>
      <c r="E10" s="756"/>
      <c r="F10" s="756"/>
      <c r="G10" s="34" t="s">
        <v>714</v>
      </c>
      <c r="H10" s="63">
        <f>SUMIF($G$12:$G$861,"Total de postos de trabalho",H12:H861)</f>
        <v>215</v>
      </c>
      <c r="I10" s="63">
        <f t="shared" ref="I10:I73" si="0">IFERROR((J10+N10+R10),0)</f>
        <v>247</v>
      </c>
      <c r="J10" s="50">
        <f>SUMIF($G$12:$G$861,"Total de postos de trabalho",J12:J861)</f>
        <v>246</v>
      </c>
      <c r="K10" s="50"/>
      <c r="L10" s="50"/>
      <c r="M10" s="51"/>
      <c r="N10" s="50">
        <f>SUMIF($G$12:$G$861,"Total de postos de trabalho",N12:N861)</f>
        <v>1</v>
      </c>
      <c r="O10" s="50"/>
      <c r="P10" s="50"/>
      <c r="Q10" s="51"/>
      <c r="R10" s="50">
        <f>SUMIF($G$12:$G$861,"Total de postos de trabalho",R12:R861)</f>
        <v>0</v>
      </c>
      <c r="S10" s="50"/>
      <c r="T10" s="50"/>
      <c r="U10" s="51"/>
      <c r="V10" s="50">
        <f>SUMIF($E$12:$E$861,"Total de postos de trabalho",V12:V861)</f>
        <v>0</v>
      </c>
      <c r="W10" s="50">
        <f>SUMIF($E$12:$E$861,"Total de postos de trabalho",W12:W861)</f>
        <v>0</v>
      </c>
      <c r="X10" s="167"/>
      <c r="Y10" s="744"/>
      <c r="Z10" s="50">
        <f>SUMIF($G$12:$G$861,"Total de postos de trabalho",Z12:Z861)</f>
        <v>0</v>
      </c>
      <c r="AA10" s="50"/>
      <c r="AB10" s="50"/>
      <c r="AC10" s="50">
        <f>SUMIF($G$12:$G$861,"Total de postos de trabalho",AC12:AC861)</f>
        <v>0</v>
      </c>
      <c r="AD10" s="50"/>
      <c r="AE10" s="50"/>
      <c r="AF10" s="50">
        <f>SUMIF($G$12:$G$861,"Total de postos de trabalho",AF12:AF861)</f>
        <v>0</v>
      </c>
      <c r="AG10" s="50"/>
      <c r="AH10" s="50"/>
      <c r="AI10" s="167"/>
    </row>
    <row r="11" spans="1:35">
      <c r="A11" s="307"/>
      <c r="B11" s="758"/>
      <c r="C11" s="307"/>
      <c r="D11" s="307"/>
      <c r="E11" s="307"/>
      <c r="F11" s="307"/>
      <c r="G11" s="34" t="s">
        <v>235</v>
      </c>
      <c r="H11" s="63">
        <f>ROUND(SUMIF($G$12:$G$861,"AFF",H12:H861),0)</f>
        <v>15</v>
      </c>
      <c r="I11" s="63">
        <f t="shared" si="0"/>
        <v>16</v>
      </c>
      <c r="J11" s="50">
        <f>ROUND(SUMIF($G$12:$G$861,"AFF",J12:J861),0)</f>
        <v>16</v>
      </c>
      <c r="K11" s="50"/>
      <c r="L11" s="50"/>
      <c r="M11" s="51"/>
      <c r="N11" s="50">
        <f>ROUND(SUMIF($G$12:$G$861,"AFF",N12:N861),0)</f>
        <v>0</v>
      </c>
      <c r="O11" s="50"/>
      <c r="P11" s="50"/>
      <c r="Q11" s="51"/>
      <c r="R11" s="50">
        <f>ROUND(SUMIF($G$12:$G$861,"AFF",R12:R861),0)</f>
        <v>0</v>
      </c>
      <c r="S11" s="50"/>
      <c r="T11" s="50"/>
      <c r="U11" s="51"/>
      <c r="V11" s="50">
        <f>ROUND(SUMIF($E$12:$E$861,"AFF",V12:V861),0)</f>
        <v>0</v>
      </c>
      <c r="W11" s="50">
        <f>ROUND(SUMIF($E$12:$E$861,"AFF",W12:W861),0)</f>
        <v>0</v>
      </c>
      <c r="X11" s="167"/>
      <c r="Y11" s="744"/>
      <c r="Z11" s="50">
        <f>ROUND(SUMIF($G$12:$G$861,"AFF",Z12:Z861),0)</f>
        <v>0</v>
      </c>
      <c r="AA11" s="50"/>
      <c r="AB11" s="50"/>
      <c r="AC11" s="50">
        <f>ROUND(SUMIF($G$12:$G$861,"AFF",AC12:AC861),0)</f>
        <v>0</v>
      </c>
      <c r="AD11" s="50"/>
      <c r="AE11" s="50"/>
      <c r="AF11" s="50">
        <f>ROUND(SUMIF($G$12:$G$861,"AFF",AF12:AF861),0)</f>
        <v>0</v>
      </c>
      <c r="AG11" s="50"/>
      <c r="AH11" s="50"/>
      <c r="AI11" s="167"/>
    </row>
    <row r="12" spans="1:35">
      <c r="A12" s="17"/>
      <c r="B12" s="759"/>
      <c r="C12" s="17"/>
      <c r="D12" s="17"/>
      <c r="E12" s="17"/>
      <c r="F12" s="17"/>
      <c r="G12" s="17" t="s">
        <v>241</v>
      </c>
      <c r="H12" s="76">
        <f>ROUND(SUBTOTAL(9,H13:H98),0)</f>
        <v>32</v>
      </c>
      <c r="I12" s="64">
        <f t="shared" si="0"/>
        <v>35</v>
      </c>
      <c r="J12" s="52">
        <f>ROUND(SUBTOTAL(9,J13:J98),0)</f>
        <v>35</v>
      </c>
      <c r="K12" s="52"/>
      <c r="L12" s="52"/>
      <c r="M12" s="53"/>
      <c r="N12" s="52">
        <f>ROUND(SUBTOTAL(9,N13:N98),0)</f>
        <v>0</v>
      </c>
      <c r="O12" s="52"/>
      <c r="P12" s="52"/>
      <c r="Q12" s="53"/>
      <c r="R12" s="52">
        <f>ROUND(SUBTOTAL(9,R13:R98),0)</f>
        <v>0</v>
      </c>
      <c r="S12" s="52"/>
      <c r="T12" s="52"/>
      <c r="U12" s="53"/>
      <c r="V12" s="864">
        <f>ROUNDDOWN(SUBTOTAL(9,V13:V98),0)</f>
        <v>0</v>
      </c>
      <c r="W12" s="864">
        <f>ROUNDDOWN(SUBTOTAL(9,W13:W98),0)</f>
        <v>0</v>
      </c>
      <c r="X12" s="864"/>
      <c r="Y12" s="745"/>
      <c r="Z12" s="52">
        <f>ROUND(SUBTOTAL(9,Z13:Z98),0)</f>
        <v>0</v>
      </c>
      <c r="AA12" s="52"/>
      <c r="AB12" s="52"/>
      <c r="AC12" s="52">
        <f>ROUND(SUBTOTAL(9,AC13:AC98),0)</f>
        <v>0</v>
      </c>
      <c r="AD12" s="52"/>
      <c r="AE12" s="52"/>
      <c r="AF12" s="52">
        <f>ROUND(SUBTOTAL(9,AF13:AF98),0)</f>
        <v>0</v>
      </c>
      <c r="AG12" s="52"/>
      <c r="AH12" s="52"/>
      <c r="AI12" s="168"/>
    </row>
    <row r="13" spans="1:35" ht="15" customHeight="1" outlineLevel="1" collapsed="1">
      <c r="A13" s="98"/>
      <c r="B13" s="98"/>
      <c r="C13" s="98"/>
      <c r="D13" s="98"/>
      <c r="E13" s="865"/>
      <c r="F13" s="865"/>
      <c r="G13" s="35" t="s">
        <v>3</v>
      </c>
      <c r="H13" s="77">
        <f>SUBTOTAL(9,H14:H42)</f>
        <v>11</v>
      </c>
      <c r="I13" s="67">
        <f t="shared" si="0"/>
        <v>14</v>
      </c>
      <c r="J13" s="54">
        <f>SUBTOTAL(9,J14:J42)</f>
        <v>14</v>
      </c>
      <c r="K13" s="54"/>
      <c r="L13" s="54"/>
      <c r="M13" s="866"/>
      <c r="N13" s="54">
        <f>SUBTOTAL(9,N14:N42)</f>
        <v>0</v>
      </c>
      <c r="O13" s="54"/>
      <c r="P13" s="54"/>
      <c r="Q13" s="866"/>
      <c r="R13" s="54">
        <f>SUBTOTAL(9,R14:R42)</f>
        <v>0</v>
      </c>
      <c r="S13" s="54"/>
      <c r="T13" s="54"/>
      <c r="U13" s="866"/>
      <c r="V13" s="630">
        <f>SUBTOTAL(9,V14:V42)</f>
        <v>0</v>
      </c>
      <c r="W13" s="630">
        <f>SUBTOTAL(9,W14:W42)</f>
        <v>0</v>
      </c>
      <c r="X13" s="630"/>
      <c r="Y13" s="745"/>
      <c r="Z13" s="54">
        <f>SUBTOTAL(9,Z14:Z42)</f>
        <v>0</v>
      </c>
      <c r="AA13" s="54"/>
      <c r="AB13" s="54"/>
      <c r="AC13" s="54">
        <f>SUBTOTAL(9,AC14:AC42)</f>
        <v>0</v>
      </c>
      <c r="AD13" s="54"/>
      <c r="AE13" s="54"/>
      <c r="AF13" s="54">
        <f>SUBTOTAL(9,AF14:AF42)</f>
        <v>0</v>
      </c>
      <c r="AG13" s="54"/>
      <c r="AH13" s="54"/>
      <c r="AI13" s="169"/>
    </row>
    <row r="14" spans="1:35" ht="15" hidden="1" customHeight="1" outlineLevel="2">
      <c r="A14" s="751" t="s">
        <v>3023</v>
      </c>
      <c r="B14" s="752" t="s">
        <v>1982</v>
      </c>
      <c r="C14" s="753" t="s">
        <v>3024</v>
      </c>
      <c r="D14" s="753" t="s">
        <v>3025</v>
      </c>
      <c r="E14" s="753" t="s">
        <v>1983</v>
      </c>
      <c r="F14" s="753" t="s">
        <v>1984</v>
      </c>
      <c r="G14" s="40" t="s">
        <v>714</v>
      </c>
      <c r="H14" s="78">
        <f>SUBTOTAL(9,H15:H38)</f>
        <v>10</v>
      </c>
      <c r="I14" s="68">
        <f t="shared" si="0"/>
        <v>13</v>
      </c>
      <c r="J14" s="55">
        <f>SUBTOTAL(9,J15:J38)</f>
        <v>13</v>
      </c>
      <c r="K14" s="586" t="s">
        <v>1994</v>
      </c>
      <c r="L14" s="55" t="s">
        <v>1995</v>
      </c>
      <c r="M14" s="56"/>
      <c r="N14" s="55">
        <f>SUBTOTAL(9,N15:N38)</f>
        <v>0</v>
      </c>
      <c r="O14" s="586" t="s">
        <v>1994</v>
      </c>
      <c r="P14" s="55" t="s">
        <v>1997</v>
      </c>
      <c r="Q14" s="56"/>
      <c r="R14" s="55">
        <f>SUBTOTAL(9,R15:R38)</f>
        <v>0</v>
      </c>
      <c r="S14" s="586" t="s">
        <v>1994</v>
      </c>
      <c r="T14" s="55" t="s">
        <v>1999</v>
      </c>
      <c r="U14" s="56"/>
      <c r="V14" s="867">
        <f>SUBTOTAL(9,V15:V38)</f>
        <v>0</v>
      </c>
      <c r="W14" s="867">
        <f>SUBTOTAL(9,W15:W38)</f>
        <v>0</v>
      </c>
      <c r="X14" s="867"/>
      <c r="Y14" s="745"/>
      <c r="Z14" s="55">
        <f>SUBTOTAL(9,Z15:Z38)</f>
        <v>0</v>
      </c>
      <c r="AA14" s="586"/>
      <c r="AB14" s="55" t="s">
        <v>1995</v>
      </c>
      <c r="AC14" s="55">
        <f>SUBTOTAL(9,AC15:AC38)</f>
        <v>0</v>
      </c>
      <c r="AD14" s="586"/>
      <c r="AE14" s="55" t="s">
        <v>1997</v>
      </c>
      <c r="AF14" s="55">
        <f>SUBTOTAL(9,AF15:AF38)</f>
        <v>0</v>
      </c>
      <c r="AG14" s="586" t="s">
        <v>1994</v>
      </c>
      <c r="AH14" s="55" t="s">
        <v>1999</v>
      </c>
      <c r="AI14" s="170"/>
    </row>
    <row r="15" spans="1:35" ht="15" hidden="1" customHeight="1" outlineLevel="3">
      <c r="A15" s="93">
        <v>201000</v>
      </c>
      <c r="B15" s="93">
        <v>3481</v>
      </c>
      <c r="C15" s="93"/>
      <c r="D15" s="93"/>
      <c r="E15" s="868" t="s">
        <v>3056</v>
      </c>
      <c r="F15" s="868" t="s">
        <v>5116</v>
      </c>
      <c r="G15" s="37" t="s">
        <v>4</v>
      </c>
      <c r="H15" s="707">
        <f>IFERROR(VLOOKUP(A15,'Colar QL'!A:C,3,0),0)</f>
        <v>1</v>
      </c>
      <c r="I15" s="69">
        <f t="shared" si="0"/>
        <v>1</v>
      </c>
      <c r="J15" s="771">
        <f>'BD Temp'!E15</f>
        <v>1</v>
      </c>
      <c r="K15" s="590" t="str">
        <f t="shared" ref="K15:K38" si="1">F15&amp;L15</f>
        <v>47.0284.1.2.17.00.01.039.01.01.04.1</v>
      </c>
      <c r="L15" s="771" t="s">
        <v>1996</v>
      </c>
      <c r="M15" s="772">
        <f>'BD Temp'!F15</f>
        <v>0.74666666666666681</v>
      </c>
      <c r="N15" s="770">
        <f>'BD Temp'!J15</f>
        <v>0</v>
      </c>
      <c r="O15" s="592" t="str">
        <f t="shared" ref="O15:O38" si="2">F15&amp;P15</f>
        <v>47.0284.1.2.17.00.01.039.01.01.04.2</v>
      </c>
      <c r="P15" s="772" t="s">
        <v>1998</v>
      </c>
      <c r="Q15" s="772" t="str">
        <f>'BD Temp'!K15</f>
        <v>-</v>
      </c>
      <c r="R15" s="770">
        <f>'BD Temp'!O15</f>
        <v>0</v>
      </c>
      <c r="S15" s="592" t="str">
        <f t="shared" ref="S15:S38" si="3">F15&amp;T15</f>
        <v>47.0284.1.2.17.00.01.039.01.01.04.3</v>
      </c>
      <c r="T15" s="772" t="s">
        <v>2000</v>
      </c>
      <c r="U15" s="772" t="str">
        <f>'BD Temp'!P15</f>
        <v>-</v>
      </c>
      <c r="V15" s="869"/>
      <c r="W15" s="869"/>
      <c r="X15" s="869"/>
      <c r="Y15" s="745"/>
      <c r="Z15" s="771">
        <v>0</v>
      </c>
      <c r="AA15" s="592" t="str">
        <f t="shared" ref="AA15:AA38" si="4">F15&amp;AB15</f>
        <v>47.0284.1.2.17.00.01.039.01.01.04.1</v>
      </c>
      <c r="AB15" s="772" t="s">
        <v>1996</v>
      </c>
      <c r="AC15" s="770">
        <v>0</v>
      </c>
      <c r="AD15" s="592" t="str">
        <f t="shared" ref="AD15:AD38" si="5">F15&amp;AE15</f>
        <v>47.0284.1.2.17.00.01.039.01.01.04.2</v>
      </c>
      <c r="AE15" s="772" t="s">
        <v>1998</v>
      </c>
      <c r="AF15" s="770">
        <v>0</v>
      </c>
      <c r="AG15" s="592" t="str">
        <f t="shared" ref="AG15:AG38" si="6">F15&amp;AH15</f>
        <v>47.0284.1.2.17.00.01.039.01.01.04.3</v>
      </c>
      <c r="AH15" s="772" t="s">
        <v>2000</v>
      </c>
      <c r="AI15" s="158"/>
    </row>
    <row r="16" spans="1:35" ht="15" hidden="1" customHeight="1" outlineLevel="3">
      <c r="A16" s="93">
        <v>201005</v>
      </c>
      <c r="B16" s="93">
        <v>3481</v>
      </c>
      <c r="C16" s="93"/>
      <c r="D16" s="93"/>
      <c r="E16" s="868" t="s">
        <v>3056</v>
      </c>
      <c r="F16" s="868" t="s">
        <v>5116</v>
      </c>
      <c r="G16" s="37" t="s">
        <v>5</v>
      </c>
      <c r="H16" s="707">
        <f>IFERROR(VLOOKUP(A16,'Colar QL'!A:C,3,0),0)</f>
        <v>0</v>
      </c>
      <c r="I16" s="69">
        <f t="shared" si="0"/>
        <v>0</v>
      </c>
      <c r="J16" s="771">
        <f>'BD Temp'!E18</f>
        <v>0</v>
      </c>
      <c r="K16" s="590" t="str">
        <f t="shared" si="1"/>
        <v>47.0284.1.2.17.00.01.039.01.01.04.1</v>
      </c>
      <c r="L16" s="771" t="s">
        <v>1996</v>
      </c>
      <c r="M16" s="772" t="str">
        <f>'BD Temp'!F18</f>
        <v>-</v>
      </c>
      <c r="N16" s="770">
        <f>'BD Temp'!J18</f>
        <v>0</v>
      </c>
      <c r="O16" s="592" t="str">
        <f t="shared" si="2"/>
        <v>47.0284.1.2.17.00.01.039.01.01.04.2</v>
      </c>
      <c r="P16" s="772" t="s">
        <v>1998</v>
      </c>
      <c r="Q16" s="772" t="str">
        <f>'BD Temp'!K18</f>
        <v>-</v>
      </c>
      <c r="R16" s="770">
        <f>'BD Temp'!O18</f>
        <v>0</v>
      </c>
      <c r="S16" s="592" t="str">
        <f t="shared" si="3"/>
        <v>47.0284.1.2.17.00.01.039.01.01.04.3</v>
      </c>
      <c r="T16" s="772" t="s">
        <v>2000</v>
      </c>
      <c r="U16" s="772" t="str">
        <f>'BD Temp'!P18</f>
        <v>-</v>
      </c>
      <c r="V16" s="869"/>
      <c r="W16" s="869"/>
      <c r="X16" s="869"/>
      <c r="Y16" s="745"/>
      <c r="Z16" s="771">
        <v>0</v>
      </c>
      <c r="AA16" s="592" t="str">
        <f t="shared" si="4"/>
        <v>47.0284.1.2.17.00.01.039.01.01.04.1</v>
      </c>
      <c r="AB16" s="772" t="s">
        <v>1996</v>
      </c>
      <c r="AC16" s="770">
        <v>0</v>
      </c>
      <c r="AD16" s="592" t="str">
        <f t="shared" si="5"/>
        <v>47.0284.1.2.17.00.01.039.01.01.04.2</v>
      </c>
      <c r="AE16" s="772" t="s">
        <v>1998</v>
      </c>
      <c r="AF16" s="770">
        <v>0</v>
      </c>
      <c r="AG16" s="592" t="str">
        <f t="shared" si="6"/>
        <v>47.0284.1.2.17.00.01.039.01.01.04.3</v>
      </c>
      <c r="AH16" s="772" t="s">
        <v>2000</v>
      </c>
      <c r="AI16" s="158"/>
    </row>
    <row r="17" spans="1:35" ht="15" hidden="1" customHeight="1" outlineLevel="3">
      <c r="A17" s="93">
        <v>201010</v>
      </c>
      <c r="B17" s="93">
        <v>3481</v>
      </c>
      <c r="C17" s="93"/>
      <c r="D17" s="93"/>
      <c r="E17" s="868" t="s">
        <v>3056</v>
      </c>
      <c r="F17" s="868" t="s">
        <v>5116</v>
      </c>
      <c r="G17" s="37" t="s">
        <v>6</v>
      </c>
      <c r="H17" s="707">
        <f>IFERROR(VLOOKUP(A17,'Colar QL'!A:C,3,0),0)</f>
        <v>0</v>
      </c>
      <c r="I17" s="69">
        <f t="shared" si="0"/>
        <v>0</v>
      </c>
      <c r="J17" s="771">
        <f>'BD Temp'!E19</f>
        <v>0</v>
      </c>
      <c r="K17" s="590" t="str">
        <f t="shared" si="1"/>
        <v>47.0284.1.2.17.00.01.039.01.01.04.1</v>
      </c>
      <c r="L17" s="771" t="s">
        <v>1996</v>
      </c>
      <c r="M17" s="772" t="str">
        <f>'BD Temp'!F19</f>
        <v>-</v>
      </c>
      <c r="N17" s="770">
        <f>'BD Temp'!J19</f>
        <v>0</v>
      </c>
      <c r="O17" s="592" t="str">
        <f t="shared" si="2"/>
        <v>47.0284.1.2.17.00.01.039.01.01.04.2</v>
      </c>
      <c r="P17" s="772" t="s">
        <v>1998</v>
      </c>
      <c r="Q17" s="772" t="str">
        <f>'BD Temp'!K19</f>
        <v>-</v>
      </c>
      <c r="R17" s="770">
        <f>'BD Temp'!O19</f>
        <v>0</v>
      </c>
      <c r="S17" s="592" t="str">
        <f t="shared" si="3"/>
        <v>47.0284.1.2.17.00.01.039.01.01.04.3</v>
      </c>
      <c r="T17" s="772" t="s">
        <v>2000</v>
      </c>
      <c r="U17" s="772" t="str">
        <f>'BD Temp'!P19</f>
        <v>-</v>
      </c>
      <c r="V17" s="869"/>
      <c r="W17" s="869"/>
      <c r="X17" s="869"/>
      <c r="Y17" s="745"/>
      <c r="Z17" s="771">
        <v>0</v>
      </c>
      <c r="AA17" s="592" t="str">
        <f t="shared" si="4"/>
        <v>47.0284.1.2.17.00.01.039.01.01.04.1</v>
      </c>
      <c r="AB17" s="772" t="s">
        <v>1996</v>
      </c>
      <c r="AC17" s="770">
        <v>0</v>
      </c>
      <c r="AD17" s="592" t="str">
        <f t="shared" si="5"/>
        <v>47.0284.1.2.17.00.01.039.01.01.04.2</v>
      </c>
      <c r="AE17" s="772" t="s">
        <v>1998</v>
      </c>
      <c r="AF17" s="770">
        <v>0</v>
      </c>
      <c r="AG17" s="592" t="str">
        <f t="shared" si="6"/>
        <v>47.0284.1.2.17.00.01.039.01.01.04.3</v>
      </c>
      <c r="AH17" s="772" t="s">
        <v>2000</v>
      </c>
      <c r="AI17" s="158"/>
    </row>
    <row r="18" spans="1:35" s="26" customFormat="1" ht="15" hidden="1" customHeight="1" outlineLevel="3">
      <c r="A18" s="93">
        <v>201015</v>
      </c>
      <c r="B18" s="93">
        <v>3481</v>
      </c>
      <c r="C18" s="93"/>
      <c r="D18" s="93"/>
      <c r="E18" s="868" t="s">
        <v>3056</v>
      </c>
      <c r="F18" s="868" t="s">
        <v>5116</v>
      </c>
      <c r="G18" s="37" t="s">
        <v>7</v>
      </c>
      <c r="H18" s="707">
        <f>IFERROR(VLOOKUP(A18,'Colar QL'!A:C,3,0),0)</f>
        <v>5</v>
      </c>
      <c r="I18" s="69">
        <f t="shared" si="0"/>
        <v>8</v>
      </c>
      <c r="J18" s="771">
        <f>'BD Temp'!E20+3</f>
        <v>8</v>
      </c>
      <c r="K18" s="590" t="str">
        <f t="shared" si="1"/>
        <v>47.0284.1.2.17.00.01.039.01.01.04.1</v>
      </c>
      <c r="L18" s="771" t="s">
        <v>1996</v>
      </c>
      <c r="M18" s="772">
        <f>'BD Temp'!F20</f>
        <v>0.91199999999999992</v>
      </c>
      <c r="N18" s="770">
        <f>'BD Temp'!J20</f>
        <v>0</v>
      </c>
      <c r="O18" s="592" t="str">
        <f t="shared" si="2"/>
        <v>47.0284.1.2.17.00.01.039.01.01.04.2</v>
      </c>
      <c r="P18" s="772" t="s">
        <v>1998</v>
      </c>
      <c r="Q18" s="772" t="str">
        <f>'BD Temp'!K20</f>
        <v>-</v>
      </c>
      <c r="R18" s="770">
        <f>'BD Temp'!O20</f>
        <v>0</v>
      </c>
      <c r="S18" s="592" t="str">
        <f t="shared" si="3"/>
        <v>47.0284.1.2.17.00.01.039.01.01.04.3</v>
      </c>
      <c r="T18" s="772" t="s">
        <v>2000</v>
      </c>
      <c r="U18" s="772" t="str">
        <f>'BD Temp'!P20</f>
        <v>-</v>
      </c>
      <c r="V18" s="869"/>
      <c r="W18" s="869"/>
      <c r="X18" s="869"/>
      <c r="Y18" s="745"/>
      <c r="Z18" s="771">
        <v>0</v>
      </c>
      <c r="AA18" s="592" t="str">
        <f t="shared" si="4"/>
        <v>47.0284.1.2.17.00.01.039.01.01.04.1</v>
      </c>
      <c r="AB18" s="772" t="s">
        <v>1996</v>
      </c>
      <c r="AC18" s="770">
        <v>0</v>
      </c>
      <c r="AD18" s="592" t="str">
        <f t="shared" si="5"/>
        <v>47.0284.1.2.17.00.01.039.01.01.04.2</v>
      </c>
      <c r="AE18" s="772" t="s">
        <v>1998</v>
      </c>
      <c r="AF18" s="770">
        <v>0</v>
      </c>
      <c r="AG18" s="592" t="str">
        <f t="shared" si="6"/>
        <v>47.0284.1.2.17.00.01.039.01.01.04.3</v>
      </c>
      <c r="AH18" s="772" t="s">
        <v>2000</v>
      </c>
      <c r="AI18" s="375"/>
    </row>
    <row r="19" spans="1:35" s="123" customFormat="1" ht="15" hidden="1" customHeight="1" outlineLevel="3">
      <c r="A19" s="153">
        <v>201020</v>
      </c>
      <c r="B19" s="153">
        <v>3481</v>
      </c>
      <c r="C19" s="153"/>
      <c r="D19" s="153"/>
      <c r="E19" s="868" t="s">
        <v>3056</v>
      </c>
      <c r="F19" s="868" t="s">
        <v>5116</v>
      </c>
      <c r="G19" s="37" t="s">
        <v>8</v>
      </c>
      <c r="H19" s="707">
        <f>IFERROR(VLOOKUP(A19,'Colar QL'!A:C,3,0),0)</f>
        <v>1</v>
      </c>
      <c r="I19" s="69">
        <f t="shared" si="0"/>
        <v>1</v>
      </c>
      <c r="J19" s="771">
        <f>'BD Temp'!E23</f>
        <v>1</v>
      </c>
      <c r="K19" s="590" t="str">
        <f t="shared" si="1"/>
        <v>47.0284.1.2.17.00.01.039.01.01.04.1</v>
      </c>
      <c r="L19" s="771" t="s">
        <v>1996</v>
      </c>
      <c r="M19" s="772">
        <f>'BD Temp'!F23</f>
        <v>0.36000000000000004</v>
      </c>
      <c r="N19" s="770">
        <f>'BD Temp'!J23</f>
        <v>0</v>
      </c>
      <c r="O19" s="592" t="str">
        <f t="shared" si="2"/>
        <v>47.0284.1.2.17.00.01.039.01.01.04.2</v>
      </c>
      <c r="P19" s="772" t="s">
        <v>1998</v>
      </c>
      <c r="Q19" s="772" t="str">
        <f>'BD Temp'!K23</f>
        <v>-</v>
      </c>
      <c r="R19" s="770">
        <f>'BD Temp'!O23</f>
        <v>0</v>
      </c>
      <c r="S19" s="592" t="str">
        <f t="shared" si="3"/>
        <v>47.0284.1.2.17.00.01.039.01.01.04.3</v>
      </c>
      <c r="T19" s="772" t="s">
        <v>2000</v>
      </c>
      <c r="U19" s="772" t="str">
        <f>'BD Temp'!P23</f>
        <v>-</v>
      </c>
      <c r="V19" s="909"/>
      <c r="W19" s="869"/>
      <c r="X19" s="869"/>
      <c r="Y19" s="745"/>
      <c r="Z19" s="771">
        <v>0</v>
      </c>
      <c r="AA19" s="592" t="str">
        <f t="shared" si="4"/>
        <v>47.0284.1.2.17.00.01.039.01.01.04.1</v>
      </c>
      <c r="AB19" s="772" t="s">
        <v>1996</v>
      </c>
      <c r="AC19" s="770">
        <v>0</v>
      </c>
      <c r="AD19" s="592" t="str">
        <f t="shared" si="5"/>
        <v>47.0284.1.2.17.00.01.039.01.01.04.2</v>
      </c>
      <c r="AE19" s="772" t="s">
        <v>1998</v>
      </c>
      <c r="AF19" s="770">
        <v>0</v>
      </c>
      <c r="AG19" s="592" t="str">
        <f t="shared" si="6"/>
        <v>47.0284.1.2.17.00.01.039.01.01.04.3</v>
      </c>
      <c r="AH19" s="772" t="s">
        <v>2000</v>
      </c>
      <c r="AI19" s="375"/>
    </row>
    <row r="20" spans="1:35" s="123" customFormat="1" ht="15" hidden="1" customHeight="1" outlineLevel="3">
      <c r="A20" s="219">
        <v>201025</v>
      </c>
      <c r="B20" s="219">
        <v>3481</v>
      </c>
      <c r="C20" s="219"/>
      <c r="D20" s="219"/>
      <c r="E20" s="870" t="s">
        <v>3056</v>
      </c>
      <c r="F20" s="870" t="s">
        <v>5116</v>
      </c>
      <c r="G20" s="38" t="s">
        <v>584</v>
      </c>
      <c r="H20" s="707">
        <f>IFERROR(VLOOKUP(A20,'Colar QL'!A:C,3,0),0)</f>
        <v>0</v>
      </c>
      <c r="I20" s="69">
        <f t="shared" si="0"/>
        <v>0</v>
      </c>
      <c r="J20" s="771">
        <f>'BD Temp'!E26</f>
        <v>0</v>
      </c>
      <c r="K20" s="590" t="str">
        <f t="shared" si="1"/>
        <v>47.0284.1.2.17.00.01.039.01.01.04.1</v>
      </c>
      <c r="L20" s="771" t="s">
        <v>1996</v>
      </c>
      <c r="M20" s="772" t="str">
        <f>'BD Temp'!F26</f>
        <v>-</v>
      </c>
      <c r="N20" s="770">
        <f>'BD Temp'!J26</f>
        <v>0</v>
      </c>
      <c r="O20" s="592" t="str">
        <f t="shared" si="2"/>
        <v>47.0284.1.2.17.00.01.039.01.01.04.2</v>
      </c>
      <c r="P20" s="772" t="s">
        <v>1998</v>
      </c>
      <c r="Q20" s="772" t="str">
        <f>'BD Temp'!K26</f>
        <v>-</v>
      </c>
      <c r="R20" s="770">
        <f>'BD Temp'!O26</f>
        <v>0</v>
      </c>
      <c r="S20" s="592" t="str">
        <f t="shared" si="3"/>
        <v>47.0284.1.2.17.00.01.039.01.01.04.3</v>
      </c>
      <c r="T20" s="772" t="s">
        <v>2000</v>
      </c>
      <c r="U20" s="772" t="str">
        <f>'BD Temp'!P26</f>
        <v>-</v>
      </c>
      <c r="V20" s="910"/>
      <c r="W20" s="869"/>
      <c r="X20" s="869"/>
      <c r="Y20" s="746"/>
      <c r="Z20" s="771">
        <v>0</v>
      </c>
      <c r="AA20" s="592" t="str">
        <f t="shared" si="4"/>
        <v>47.0284.1.2.17.00.01.039.01.01.04.1</v>
      </c>
      <c r="AB20" s="772" t="s">
        <v>1996</v>
      </c>
      <c r="AC20" s="770">
        <v>0</v>
      </c>
      <c r="AD20" s="592" t="str">
        <f t="shared" si="5"/>
        <v>47.0284.1.2.17.00.01.039.01.01.04.2</v>
      </c>
      <c r="AE20" s="772" t="s">
        <v>1998</v>
      </c>
      <c r="AF20" s="770">
        <v>0</v>
      </c>
      <c r="AG20" s="592" t="str">
        <f t="shared" si="6"/>
        <v>47.0284.1.2.17.00.01.039.01.01.04.3</v>
      </c>
      <c r="AH20" s="772" t="s">
        <v>2000</v>
      </c>
      <c r="AI20" s="220"/>
    </row>
    <row r="21" spans="1:35" s="123" customFormat="1" ht="15" hidden="1" customHeight="1" outlineLevel="3">
      <c r="A21" s="93">
        <v>201030</v>
      </c>
      <c r="B21" s="93">
        <v>3481</v>
      </c>
      <c r="C21" s="93"/>
      <c r="D21" s="93"/>
      <c r="E21" s="868" t="s">
        <v>3056</v>
      </c>
      <c r="F21" s="868" t="s">
        <v>5116</v>
      </c>
      <c r="G21" s="37" t="s">
        <v>9</v>
      </c>
      <c r="H21" s="707">
        <f>IFERROR(VLOOKUP(A21,'Colar QL'!A:C,3,0),0)</f>
        <v>1</v>
      </c>
      <c r="I21" s="69">
        <f t="shared" si="0"/>
        <v>1</v>
      </c>
      <c r="J21" s="771">
        <f>'BD Temp'!E27</f>
        <v>1</v>
      </c>
      <c r="K21" s="590" t="str">
        <f t="shared" si="1"/>
        <v>47.0284.1.2.17.00.01.039.01.01.04.1</v>
      </c>
      <c r="L21" s="771" t="s">
        <v>1996</v>
      </c>
      <c r="M21" s="772">
        <f>'BD Temp'!F27</f>
        <v>0.4</v>
      </c>
      <c r="N21" s="770">
        <f>'BD Temp'!J27</f>
        <v>0</v>
      </c>
      <c r="O21" s="592" t="str">
        <f t="shared" si="2"/>
        <v>47.0284.1.2.17.00.01.039.01.01.04.2</v>
      </c>
      <c r="P21" s="772" t="s">
        <v>1998</v>
      </c>
      <c r="Q21" s="772" t="str">
        <f>'BD Temp'!K27</f>
        <v>-</v>
      </c>
      <c r="R21" s="770">
        <f>'BD Temp'!O27</f>
        <v>0</v>
      </c>
      <c r="S21" s="592" t="str">
        <f t="shared" si="3"/>
        <v>47.0284.1.2.17.00.01.039.01.01.04.3</v>
      </c>
      <c r="T21" s="772" t="s">
        <v>2000</v>
      </c>
      <c r="U21" s="772" t="str">
        <f>'BD Temp'!P27</f>
        <v>-</v>
      </c>
      <c r="V21" s="909"/>
      <c r="W21" s="869"/>
      <c r="X21" s="869"/>
      <c r="Y21" s="745"/>
      <c r="Z21" s="771">
        <v>0</v>
      </c>
      <c r="AA21" s="592" t="str">
        <f t="shared" si="4"/>
        <v>47.0284.1.2.17.00.01.039.01.01.04.1</v>
      </c>
      <c r="AB21" s="772" t="s">
        <v>1996</v>
      </c>
      <c r="AC21" s="770">
        <v>0</v>
      </c>
      <c r="AD21" s="592" t="str">
        <f t="shared" si="5"/>
        <v>47.0284.1.2.17.00.01.039.01.01.04.2</v>
      </c>
      <c r="AE21" s="772" t="s">
        <v>1998</v>
      </c>
      <c r="AF21" s="770">
        <v>0</v>
      </c>
      <c r="AG21" s="592" t="str">
        <f t="shared" si="6"/>
        <v>47.0284.1.2.17.00.01.039.01.01.04.3</v>
      </c>
      <c r="AH21" s="772" t="s">
        <v>2000</v>
      </c>
      <c r="AI21" s="375"/>
    </row>
    <row r="22" spans="1:35" ht="15" hidden="1" customHeight="1" outlineLevel="3">
      <c r="A22" s="93">
        <v>201035</v>
      </c>
      <c r="B22" s="93">
        <v>3481</v>
      </c>
      <c r="C22" s="93"/>
      <c r="D22" s="93"/>
      <c r="E22" s="868" t="s">
        <v>2884</v>
      </c>
      <c r="F22" s="868" t="s">
        <v>5117</v>
      </c>
      <c r="G22" s="37" t="s">
        <v>183</v>
      </c>
      <c r="H22" s="707">
        <f>IFERROR(VLOOKUP(A22,'Colar QL'!A:C,3,0),0)</f>
        <v>1</v>
      </c>
      <c r="I22" s="69">
        <f t="shared" si="0"/>
        <v>1</v>
      </c>
      <c r="J22" s="771">
        <f>'BD Temp'!E30</f>
        <v>1</v>
      </c>
      <c r="K22" s="590" t="str">
        <f t="shared" si="1"/>
        <v>47.0284.1.2.17.00.01.039.01.01.08.1</v>
      </c>
      <c r="L22" s="771" t="s">
        <v>1996</v>
      </c>
      <c r="M22" s="772">
        <f>'BD Temp'!F30</f>
        <v>0.1866666666666667</v>
      </c>
      <c r="N22" s="770">
        <f>'BD Temp'!J30</f>
        <v>0</v>
      </c>
      <c r="O22" s="592" t="str">
        <f t="shared" si="2"/>
        <v>47.0284.1.2.17.00.01.039.01.01.08.2</v>
      </c>
      <c r="P22" s="772" t="s">
        <v>1998</v>
      </c>
      <c r="Q22" s="772" t="str">
        <f>'BD Temp'!K30</f>
        <v>-</v>
      </c>
      <c r="R22" s="770">
        <f>'BD Temp'!O30</f>
        <v>0</v>
      </c>
      <c r="S22" s="592" t="str">
        <f t="shared" si="3"/>
        <v>47.0284.1.2.17.00.01.039.01.01.08.3</v>
      </c>
      <c r="T22" s="772" t="s">
        <v>2000</v>
      </c>
      <c r="U22" s="772" t="str">
        <f>'BD Temp'!P30</f>
        <v>-</v>
      </c>
      <c r="V22" s="869"/>
      <c r="W22" s="869"/>
      <c r="X22" s="869" t="s">
        <v>2983</v>
      </c>
      <c r="Y22" s="745"/>
      <c r="Z22" s="771">
        <v>0</v>
      </c>
      <c r="AA22" s="592" t="str">
        <f t="shared" si="4"/>
        <v>47.0284.1.2.17.00.01.039.01.01.08.1</v>
      </c>
      <c r="AB22" s="772" t="s">
        <v>1996</v>
      </c>
      <c r="AC22" s="770">
        <v>0</v>
      </c>
      <c r="AD22" s="592" t="str">
        <f t="shared" si="5"/>
        <v>47.0284.1.2.17.00.01.039.01.01.08.2</v>
      </c>
      <c r="AE22" s="772" t="s">
        <v>1998</v>
      </c>
      <c r="AF22" s="770">
        <v>0</v>
      </c>
      <c r="AG22" s="592" t="str">
        <f t="shared" si="6"/>
        <v>47.0284.1.2.17.00.01.039.01.01.08.3</v>
      </c>
      <c r="AH22" s="772" t="s">
        <v>2000</v>
      </c>
      <c r="AI22" s="375"/>
    </row>
    <row r="23" spans="1:35" ht="15" hidden="1" customHeight="1" outlineLevel="3">
      <c r="A23" s="93">
        <v>201040</v>
      </c>
      <c r="B23" s="93">
        <v>3481</v>
      </c>
      <c r="C23" s="93"/>
      <c r="D23" s="93"/>
      <c r="E23" s="868" t="s">
        <v>3056</v>
      </c>
      <c r="F23" s="868" t="s">
        <v>5116</v>
      </c>
      <c r="G23" s="37" t="s">
        <v>10</v>
      </c>
      <c r="H23" s="707">
        <f>IFERROR(VLOOKUP(A23,'Colar QL'!A:C,3,0),0)</f>
        <v>0</v>
      </c>
      <c r="I23" s="69">
        <f t="shared" si="0"/>
        <v>0</v>
      </c>
      <c r="J23" s="771">
        <f>'BD Temp'!E31</f>
        <v>0</v>
      </c>
      <c r="K23" s="590" t="str">
        <f t="shared" si="1"/>
        <v>47.0284.1.2.17.00.01.039.01.01.04.1</v>
      </c>
      <c r="L23" s="771" t="s">
        <v>1996</v>
      </c>
      <c r="M23" s="772" t="str">
        <f>'BD Temp'!F31</f>
        <v>-</v>
      </c>
      <c r="N23" s="770">
        <f>'BD Temp'!J31</f>
        <v>0</v>
      </c>
      <c r="O23" s="592" t="str">
        <f t="shared" si="2"/>
        <v>47.0284.1.2.17.00.01.039.01.01.04.2</v>
      </c>
      <c r="P23" s="772" t="s">
        <v>1998</v>
      </c>
      <c r="Q23" s="772" t="str">
        <f>'BD Temp'!K31</f>
        <v>-</v>
      </c>
      <c r="R23" s="770">
        <f>'BD Temp'!O31</f>
        <v>0</v>
      </c>
      <c r="S23" s="592" t="str">
        <f t="shared" si="3"/>
        <v>47.0284.1.2.17.00.01.039.01.01.04.3</v>
      </c>
      <c r="T23" s="772" t="s">
        <v>2000</v>
      </c>
      <c r="U23" s="772" t="str">
        <f>'BD Temp'!P31</f>
        <v>-</v>
      </c>
      <c r="V23" s="869"/>
      <c r="W23" s="869"/>
      <c r="X23" s="869"/>
      <c r="Y23" s="745"/>
      <c r="Z23" s="771">
        <v>0</v>
      </c>
      <c r="AA23" s="592" t="str">
        <f t="shared" si="4"/>
        <v>47.0284.1.2.17.00.01.039.01.01.04.1</v>
      </c>
      <c r="AB23" s="772" t="s">
        <v>1996</v>
      </c>
      <c r="AC23" s="770">
        <v>0</v>
      </c>
      <c r="AD23" s="592" t="str">
        <f t="shared" si="5"/>
        <v>47.0284.1.2.17.00.01.039.01.01.04.2</v>
      </c>
      <c r="AE23" s="772" t="s">
        <v>1998</v>
      </c>
      <c r="AF23" s="770">
        <v>0</v>
      </c>
      <c r="AG23" s="592" t="str">
        <f t="shared" si="6"/>
        <v>47.0284.1.2.17.00.01.039.01.01.04.3</v>
      </c>
      <c r="AH23" s="772" t="s">
        <v>2000</v>
      </c>
      <c r="AI23" s="158"/>
    </row>
    <row r="24" spans="1:35" ht="15" hidden="1" customHeight="1" outlineLevel="3">
      <c r="A24" s="93">
        <v>201045</v>
      </c>
      <c r="B24" s="93">
        <v>3481</v>
      </c>
      <c r="C24" s="93"/>
      <c r="D24" s="93"/>
      <c r="E24" s="868" t="s">
        <v>4830</v>
      </c>
      <c r="F24" s="868" t="s">
        <v>5398</v>
      </c>
      <c r="G24" s="37" t="s">
        <v>11</v>
      </c>
      <c r="H24" s="707">
        <f>IFERROR(VLOOKUP(A24,'Colar QL'!A:C,3,0),0)</f>
        <v>1</v>
      </c>
      <c r="I24" s="69">
        <f t="shared" si="0"/>
        <v>1</v>
      </c>
      <c r="J24" s="771">
        <f>'BD Temp'!E32</f>
        <v>1</v>
      </c>
      <c r="K24" s="590" t="str">
        <f t="shared" si="1"/>
        <v>47.0284.1.2.17.00.01.039.01.01.09.1</v>
      </c>
      <c r="L24" s="771" t="s">
        <v>1996</v>
      </c>
      <c r="M24" s="772">
        <f>'BD Temp'!F32</f>
        <v>0.06</v>
      </c>
      <c r="N24" s="770">
        <f>'BD Temp'!J32</f>
        <v>0</v>
      </c>
      <c r="O24" s="592" t="str">
        <f t="shared" si="2"/>
        <v>47.0284.1.2.17.00.01.039.01.01.09.2</v>
      </c>
      <c r="P24" s="772" t="s">
        <v>1998</v>
      </c>
      <c r="Q24" s="772" t="str">
        <f>'BD Temp'!K32</f>
        <v>-</v>
      </c>
      <c r="R24" s="770">
        <f>'BD Temp'!O32</f>
        <v>0</v>
      </c>
      <c r="S24" s="592" t="str">
        <f t="shared" si="3"/>
        <v>47.0284.1.2.17.00.01.039.01.01.09.3</v>
      </c>
      <c r="T24" s="772" t="s">
        <v>2000</v>
      </c>
      <c r="U24" s="772" t="str">
        <f>'BD Temp'!P32</f>
        <v>-</v>
      </c>
      <c r="V24" s="869"/>
      <c r="W24" s="869"/>
      <c r="X24" s="869"/>
      <c r="Y24" s="745"/>
      <c r="Z24" s="771">
        <v>0</v>
      </c>
      <c r="AA24" s="592" t="str">
        <f t="shared" si="4"/>
        <v>47.0284.1.2.17.00.01.039.01.01.09.1</v>
      </c>
      <c r="AB24" s="772" t="s">
        <v>1996</v>
      </c>
      <c r="AC24" s="770">
        <v>0</v>
      </c>
      <c r="AD24" s="592" t="str">
        <f t="shared" si="5"/>
        <v>47.0284.1.2.17.00.01.039.01.01.09.2</v>
      </c>
      <c r="AE24" s="772" t="s">
        <v>1998</v>
      </c>
      <c r="AF24" s="770">
        <v>0</v>
      </c>
      <c r="AG24" s="592" t="str">
        <f t="shared" si="6"/>
        <v>47.0284.1.2.17.00.01.039.01.01.09.3</v>
      </c>
      <c r="AH24" s="772" t="s">
        <v>2000</v>
      </c>
      <c r="AI24" s="158"/>
    </row>
    <row r="25" spans="1:35" ht="15" hidden="1" customHeight="1" outlineLevel="3">
      <c r="A25" s="93">
        <v>201050</v>
      </c>
      <c r="B25" s="93">
        <v>3481</v>
      </c>
      <c r="C25" s="93"/>
      <c r="D25" s="93"/>
      <c r="E25" s="868" t="s">
        <v>3051</v>
      </c>
      <c r="F25" s="868" t="s">
        <v>5118</v>
      </c>
      <c r="G25" s="37" t="s">
        <v>12</v>
      </c>
      <c r="H25" s="707">
        <f>IFERROR(VLOOKUP(A25,'Colar QL'!A:C,3,0),0)</f>
        <v>0</v>
      </c>
      <c r="I25" s="69">
        <f t="shared" si="0"/>
        <v>0</v>
      </c>
      <c r="J25" s="771">
        <f>'BD Temp'!E35</f>
        <v>0</v>
      </c>
      <c r="K25" s="590" t="str">
        <f t="shared" si="1"/>
        <v>47.0284.1.2.17.00.01.039.01.01.11.1</v>
      </c>
      <c r="L25" s="771" t="s">
        <v>1996</v>
      </c>
      <c r="M25" s="772" t="str">
        <f>'BD Temp'!F35</f>
        <v>-</v>
      </c>
      <c r="N25" s="770">
        <f>'BD Temp'!J35</f>
        <v>0</v>
      </c>
      <c r="O25" s="592" t="str">
        <f t="shared" si="2"/>
        <v>47.0284.1.2.17.00.01.039.01.01.11.2</v>
      </c>
      <c r="P25" s="772" t="s">
        <v>1998</v>
      </c>
      <c r="Q25" s="772" t="str">
        <f>'BD Temp'!K35</f>
        <v>-</v>
      </c>
      <c r="R25" s="770">
        <f>'BD Temp'!O35</f>
        <v>0</v>
      </c>
      <c r="S25" s="592" t="str">
        <f t="shared" si="3"/>
        <v>47.0284.1.2.17.00.01.039.01.01.11.3</v>
      </c>
      <c r="T25" s="772" t="s">
        <v>2000</v>
      </c>
      <c r="U25" s="772" t="str">
        <f>'BD Temp'!P35</f>
        <v>-</v>
      </c>
      <c r="V25" s="869"/>
      <c r="W25" s="869"/>
      <c r="X25" s="869"/>
      <c r="Y25" s="745"/>
      <c r="Z25" s="771">
        <v>0</v>
      </c>
      <c r="AA25" s="592" t="str">
        <f t="shared" si="4"/>
        <v>47.0284.1.2.17.00.01.039.01.01.11.1</v>
      </c>
      <c r="AB25" s="772" t="s">
        <v>1996</v>
      </c>
      <c r="AC25" s="770">
        <v>0</v>
      </c>
      <c r="AD25" s="592" t="str">
        <f t="shared" si="5"/>
        <v>47.0284.1.2.17.00.01.039.01.01.11.2</v>
      </c>
      <c r="AE25" s="772" t="s">
        <v>1998</v>
      </c>
      <c r="AF25" s="770">
        <v>0</v>
      </c>
      <c r="AG25" s="592" t="str">
        <f t="shared" si="6"/>
        <v>47.0284.1.2.17.00.01.039.01.01.11.3</v>
      </c>
      <c r="AH25" s="772" t="s">
        <v>2000</v>
      </c>
      <c r="AI25" s="158"/>
    </row>
    <row r="26" spans="1:35" s="26" customFormat="1" ht="15" hidden="1" customHeight="1" outlineLevel="3">
      <c r="A26" s="93">
        <v>2</v>
      </c>
      <c r="B26" s="93">
        <v>3481</v>
      </c>
      <c r="C26" s="93"/>
      <c r="D26" s="93"/>
      <c r="E26" s="868" t="s">
        <v>3051</v>
      </c>
      <c r="F26" s="868" t="s">
        <v>5118</v>
      </c>
      <c r="G26" s="37" t="s">
        <v>585</v>
      </c>
      <c r="H26" s="707">
        <f>IFERROR(VLOOKUP(A26,'Colar QL'!A:C,3,0),0)</f>
        <v>0</v>
      </c>
      <c r="I26" s="69">
        <f t="shared" si="0"/>
        <v>0</v>
      </c>
      <c r="J26" s="771">
        <f>'BD Temp'!E36</f>
        <v>0</v>
      </c>
      <c r="K26" s="590" t="str">
        <f t="shared" si="1"/>
        <v>47.0284.1.2.17.00.01.039.01.01.11.1</v>
      </c>
      <c r="L26" s="771" t="s">
        <v>1996</v>
      </c>
      <c r="M26" s="772" t="str">
        <f>'BD Temp'!F36</f>
        <v>-</v>
      </c>
      <c r="N26" s="770">
        <f>'BD Temp'!J36</f>
        <v>0</v>
      </c>
      <c r="O26" s="592" t="str">
        <f t="shared" si="2"/>
        <v>47.0284.1.2.17.00.01.039.01.01.11.2</v>
      </c>
      <c r="P26" s="772" t="s">
        <v>1998</v>
      </c>
      <c r="Q26" s="772" t="str">
        <f>'BD Temp'!K36</f>
        <v>-</v>
      </c>
      <c r="R26" s="770">
        <f>'BD Temp'!O36</f>
        <v>0</v>
      </c>
      <c r="S26" s="592" t="str">
        <f t="shared" si="3"/>
        <v>47.0284.1.2.17.00.01.039.01.01.11.3</v>
      </c>
      <c r="T26" s="772" t="s">
        <v>2000</v>
      </c>
      <c r="U26" s="772" t="str">
        <f>'BD Temp'!P36</f>
        <v>-</v>
      </c>
      <c r="V26" s="869"/>
      <c r="W26" s="869"/>
      <c r="X26" s="869"/>
      <c r="Y26" s="745"/>
      <c r="Z26" s="771">
        <v>0</v>
      </c>
      <c r="AA26" s="592" t="str">
        <f t="shared" si="4"/>
        <v>47.0284.1.2.17.00.01.039.01.01.11.1</v>
      </c>
      <c r="AB26" s="772" t="s">
        <v>1996</v>
      </c>
      <c r="AC26" s="770">
        <v>0</v>
      </c>
      <c r="AD26" s="592" t="str">
        <f t="shared" si="5"/>
        <v>47.0284.1.2.17.00.01.039.01.01.11.2</v>
      </c>
      <c r="AE26" s="772" t="s">
        <v>1998</v>
      </c>
      <c r="AF26" s="770">
        <v>0</v>
      </c>
      <c r="AG26" s="592" t="str">
        <f t="shared" si="6"/>
        <v>47.0284.1.2.17.00.01.039.01.01.11.3</v>
      </c>
      <c r="AH26" s="772" t="s">
        <v>2000</v>
      </c>
      <c r="AI26" s="158"/>
    </row>
    <row r="27" spans="1:35" ht="15" hidden="1" customHeight="1" outlineLevel="3">
      <c r="A27" s="93">
        <v>7</v>
      </c>
      <c r="B27" s="93">
        <v>3481</v>
      </c>
      <c r="C27" s="93"/>
      <c r="D27" s="93"/>
      <c r="E27" s="868" t="s">
        <v>3057</v>
      </c>
      <c r="F27" s="868" t="s">
        <v>5119</v>
      </c>
      <c r="G27" s="37" t="s">
        <v>3115</v>
      </c>
      <c r="H27" s="707">
        <f>IFERROR(VLOOKUP(A27,'Colar QL'!A:C,3,0),0)</f>
        <v>0</v>
      </c>
      <c r="I27" s="69">
        <f t="shared" si="0"/>
        <v>0</v>
      </c>
      <c r="J27" s="771">
        <f>'BD Temp'!E37</f>
        <v>0</v>
      </c>
      <c r="K27" s="590" t="str">
        <f t="shared" si="1"/>
        <v>47.0284.1.2.17.00.01.039.01.02.21.1</v>
      </c>
      <c r="L27" s="771" t="s">
        <v>1996</v>
      </c>
      <c r="M27" s="772" t="str">
        <f>'BD Temp'!F37</f>
        <v>-</v>
      </c>
      <c r="N27" s="770">
        <f>'BD Temp'!J37</f>
        <v>0</v>
      </c>
      <c r="O27" s="592" t="str">
        <f t="shared" si="2"/>
        <v>47.0284.1.2.17.00.01.039.01.02.21.2</v>
      </c>
      <c r="P27" s="772" t="s">
        <v>1998</v>
      </c>
      <c r="Q27" s="772" t="str">
        <f>'BD Temp'!K37</f>
        <v>-</v>
      </c>
      <c r="R27" s="770">
        <f>'BD Temp'!O37</f>
        <v>0</v>
      </c>
      <c r="S27" s="592" t="str">
        <f t="shared" si="3"/>
        <v>47.0284.1.2.17.00.01.039.01.02.21.3</v>
      </c>
      <c r="T27" s="772" t="s">
        <v>2000</v>
      </c>
      <c r="U27" s="772" t="str">
        <f>'BD Temp'!P37</f>
        <v>-</v>
      </c>
      <c r="V27" s="869"/>
      <c r="W27" s="869"/>
      <c r="X27" s="869"/>
      <c r="Y27" s="745"/>
      <c r="Z27" s="771">
        <v>0</v>
      </c>
      <c r="AA27" s="592" t="str">
        <f t="shared" si="4"/>
        <v>47.0284.1.2.17.00.01.039.01.02.21.1</v>
      </c>
      <c r="AB27" s="772" t="s">
        <v>1996</v>
      </c>
      <c r="AC27" s="770">
        <v>0</v>
      </c>
      <c r="AD27" s="592" t="str">
        <f t="shared" si="5"/>
        <v>47.0284.1.2.17.00.01.039.01.02.21.2</v>
      </c>
      <c r="AE27" s="772" t="s">
        <v>1998</v>
      </c>
      <c r="AF27" s="770">
        <v>0</v>
      </c>
      <c r="AG27" s="592" t="str">
        <f t="shared" si="6"/>
        <v>47.0284.1.2.17.00.01.039.01.02.21.3</v>
      </c>
      <c r="AH27" s="772" t="s">
        <v>2000</v>
      </c>
      <c r="AI27" s="158"/>
    </row>
    <row r="28" spans="1:35" ht="15" hidden="1" customHeight="1" outlineLevel="3">
      <c r="A28" s="93">
        <v>0</v>
      </c>
      <c r="B28" s="93">
        <v>3481</v>
      </c>
      <c r="C28" s="93"/>
      <c r="D28" s="93"/>
      <c r="E28" s="868" t="s">
        <v>2886</v>
      </c>
      <c r="F28" s="868" t="s">
        <v>5120</v>
      </c>
      <c r="G28" s="37" t="s">
        <v>0</v>
      </c>
      <c r="H28" s="707">
        <f>IFERROR(VLOOKUP(A28,'Colar QL'!A:C,3,0),0)</f>
        <v>0</v>
      </c>
      <c r="I28" s="69">
        <f t="shared" si="0"/>
        <v>0</v>
      </c>
      <c r="J28" s="771">
        <f>'BD Temp'!E38</f>
        <v>0</v>
      </c>
      <c r="K28" s="590" t="str">
        <f t="shared" si="1"/>
        <v>47.0284.1.2.17.00.01.039.01.01.12.1</v>
      </c>
      <c r="L28" s="771" t="s">
        <v>1996</v>
      </c>
      <c r="M28" s="772" t="str">
        <f>'BD Temp'!F38</f>
        <v>-</v>
      </c>
      <c r="N28" s="770">
        <f>'BD Temp'!J38</f>
        <v>0</v>
      </c>
      <c r="O28" s="592" t="str">
        <f t="shared" si="2"/>
        <v>47.0284.1.2.17.00.01.039.01.01.12.2</v>
      </c>
      <c r="P28" s="772" t="s">
        <v>1998</v>
      </c>
      <c r="Q28" s="772" t="str">
        <f>'BD Temp'!K38</f>
        <v>-</v>
      </c>
      <c r="R28" s="770">
        <f>'BD Temp'!O38</f>
        <v>0</v>
      </c>
      <c r="S28" s="592" t="str">
        <f t="shared" si="3"/>
        <v>47.0284.1.2.17.00.01.039.01.01.12.3</v>
      </c>
      <c r="T28" s="772" t="s">
        <v>2000</v>
      </c>
      <c r="U28" s="772" t="str">
        <f>'BD Temp'!P38</f>
        <v>-</v>
      </c>
      <c r="V28" s="869"/>
      <c r="W28" s="869"/>
      <c r="X28" s="869"/>
      <c r="Y28" s="745"/>
      <c r="Z28" s="771">
        <v>0</v>
      </c>
      <c r="AA28" s="592" t="str">
        <f t="shared" si="4"/>
        <v>47.0284.1.2.17.00.01.039.01.01.12.1</v>
      </c>
      <c r="AB28" s="772" t="s">
        <v>1996</v>
      </c>
      <c r="AC28" s="770">
        <v>0</v>
      </c>
      <c r="AD28" s="592" t="str">
        <f t="shared" si="5"/>
        <v>47.0284.1.2.17.00.01.039.01.01.12.2</v>
      </c>
      <c r="AE28" s="772" t="s">
        <v>1998</v>
      </c>
      <c r="AF28" s="770">
        <v>0</v>
      </c>
      <c r="AG28" s="592" t="str">
        <f t="shared" si="6"/>
        <v>47.0284.1.2.17.00.01.039.01.01.12.3</v>
      </c>
      <c r="AH28" s="772" t="s">
        <v>2000</v>
      </c>
      <c r="AI28" s="158"/>
    </row>
    <row r="29" spans="1:35" s="123" customFormat="1" ht="15" hidden="1" customHeight="1" outlineLevel="3">
      <c r="A29" s="153">
        <v>4</v>
      </c>
      <c r="B29" s="153">
        <v>3481</v>
      </c>
      <c r="C29" s="153"/>
      <c r="D29" s="153"/>
      <c r="E29" s="868" t="s">
        <v>3056</v>
      </c>
      <c r="F29" s="868" t="s">
        <v>5116</v>
      </c>
      <c r="G29" s="154" t="s">
        <v>586</v>
      </c>
      <c r="H29" s="707">
        <f>IFERROR(VLOOKUP(A29,'Colar QL'!A:C,3,0),0)</f>
        <v>0</v>
      </c>
      <c r="I29" s="69">
        <f t="shared" si="0"/>
        <v>0</v>
      </c>
      <c r="J29" s="771">
        <f>'BD Temp'!E39</f>
        <v>0</v>
      </c>
      <c r="K29" s="590" t="str">
        <f t="shared" si="1"/>
        <v>47.0284.1.2.17.00.01.039.01.01.04.1</v>
      </c>
      <c r="L29" s="771" t="s">
        <v>1996</v>
      </c>
      <c r="M29" s="772" t="str">
        <f>'BD Temp'!F39</f>
        <v>-</v>
      </c>
      <c r="N29" s="770">
        <f>'BD Temp'!J39</f>
        <v>0</v>
      </c>
      <c r="O29" s="592" t="str">
        <f t="shared" si="2"/>
        <v>47.0284.1.2.17.00.01.039.01.01.04.2</v>
      </c>
      <c r="P29" s="772" t="s">
        <v>1998</v>
      </c>
      <c r="Q29" s="772" t="str">
        <f>'BD Temp'!K39</f>
        <v>-</v>
      </c>
      <c r="R29" s="770">
        <f>'BD Temp'!O39</f>
        <v>0</v>
      </c>
      <c r="S29" s="592" t="str">
        <f t="shared" si="3"/>
        <v>47.0284.1.2.17.00.01.039.01.01.04.3</v>
      </c>
      <c r="T29" s="772" t="s">
        <v>2000</v>
      </c>
      <c r="U29" s="772" t="str">
        <f>'BD Temp'!P39</f>
        <v>-</v>
      </c>
      <c r="V29" s="909"/>
      <c r="W29" s="869"/>
      <c r="X29" s="869" t="s">
        <v>5362</v>
      </c>
      <c r="Y29" s="745"/>
      <c r="Z29" s="771">
        <v>0</v>
      </c>
      <c r="AA29" s="592" t="str">
        <f t="shared" si="4"/>
        <v>47.0284.1.2.17.00.01.039.01.01.04.1</v>
      </c>
      <c r="AB29" s="772" t="s">
        <v>1996</v>
      </c>
      <c r="AC29" s="770">
        <v>0</v>
      </c>
      <c r="AD29" s="592" t="str">
        <f t="shared" si="5"/>
        <v>47.0284.1.2.17.00.01.039.01.01.04.2</v>
      </c>
      <c r="AE29" s="772" t="s">
        <v>1998</v>
      </c>
      <c r="AF29" s="770">
        <v>0</v>
      </c>
      <c r="AG29" s="592" t="str">
        <f t="shared" si="6"/>
        <v>47.0284.1.2.17.00.01.039.01.01.04.3</v>
      </c>
      <c r="AH29" s="772" t="s">
        <v>2000</v>
      </c>
      <c r="AI29" s="375"/>
    </row>
    <row r="30" spans="1:35" ht="15" hidden="1" customHeight="1" outlineLevel="3">
      <c r="A30" s="93">
        <v>5</v>
      </c>
      <c r="B30" s="93">
        <v>3481</v>
      </c>
      <c r="C30" s="93"/>
      <c r="D30" s="93"/>
      <c r="E30" s="868" t="s">
        <v>3056</v>
      </c>
      <c r="F30" s="868" t="s">
        <v>5116</v>
      </c>
      <c r="G30" s="37" t="s">
        <v>184</v>
      </c>
      <c r="H30" s="707">
        <f>IFERROR(VLOOKUP(A30,'Colar QL'!A:C,3,0),0)</f>
        <v>0</v>
      </c>
      <c r="I30" s="69">
        <f t="shared" si="0"/>
        <v>0</v>
      </c>
      <c r="J30" s="771">
        <v>0</v>
      </c>
      <c r="K30" s="590" t="str">
        <f t="shared" si="1"/>
        <v>47.0284.1.2.17.00.01.039.01.01.04.1</v>
      </c>
      <c r="L30" s="771" t="s">
        <v>1996</v>
      </c>
      <c r="M30" s="772" t="str">
        <f>'BD Temp'!F40</f>
        <v>-</v>
      </c>
      <c r="N30" s="770">
        <f>'BD Temp'!J40</f>
        <v>0</v>
      </c>
      <c r="O30" s="592" t="str">
        <f t="shared" si="2"/>
        <v>47.0284.1.2.17.00.01.039.01.01.04.2</v>
      </c>
      <c r="P30" s="772" t="s">
        <v>1998</v>
      </c>
      <c r="Q30" s="772" t="str">
        <f>'BD Temp'!K40</f>
        <v>-</v>
      </c>
      <c r="R30" s="770">
        <f>'BD Temp'!O40</f>
        <v>0</v>
      </c>
      <c r="S30" s="592" t="str">
        <f t="shared" si="3"/>
        <v>47.0284.1.2.17.00.01.039.01.01.04.3</v>
      </c>
      <c r="T30" s="772" t="s">
        <v>2000</v>
      </c>
      <c r="U30" s="772" t="str">
        <f>'BD Temp'!P40</f>
        <v>-</v>
      </c>
      <c r="V30" s="869"/>
      <c r="W30" s="869"/>
      <c r="X30" s="869"/>
      <c r="Y30" s="745"/>
      <c r="Z30" s="771">
        <v>0</v>
      </c>
      <c r="AA30" s="592" t="str">
        <f t="shared" si="4"/>
        <v>47.0284.1.2.17.00.01.039.01.01.04.1</v>
      </c>
      <c r="AB30" s="772" t="s">
        <v>1996</v>
      </c>
      <c r="AC30" s="770">
        <v>0</v>
      </c>
      <c r="AD30" s="592" t="str">
        <f t="shared" si="5"/>
        <v>47.0284.1.2.17.00.01.039.01.01.04.2</v>
      </c>
      <c r="AE30" s="772" t="s">
        <v>1998</v>
      </c>
      <c r="AF30" s="770">
        <v>0</v>
      </c>
      <c r="AG30" s="592" t="str">
        <f t="shared" si="6"/>
        <v>47.0284.1.2.17.00.01.039.01.01.04.3</v>
      </c>
      <c r="AH30" s="772" t="s">
        <v>2000</v>
      </c>
      <c r="AI30" s="158"/>
    </row>
    <row r="31" spans="1:35" ht="15" hidden="1" customHeight="1" outlineLevel="3">
      <c r="A31" s="860"/>
      <c r="B31" s="860" t="s">
        <v>1075</v>
      </c>
      <c r="C31" s="860"/>
      <c r="D31" s="860"/>
      <c r="E31" s="824"/>
      <c r="F31" s="824" t="s">
        <v>1075</v>
      </c>
      <c r="G31" s="13"/>
      <c r="H31" s="81"/>
      <c r="I31" s="71">
        <f t="shared" si="0"/>
        <v>0</v>
      </c>
      <c r="J31" s="771"/>
      <c r="K31" s="590" t="str">
        <f t="shared" si="1"/>
        <v>.1</v>
      </c>
      <c r="L31" s="771" t="s">
        <v>1996</v>
      </c>
      <c r="M31" s="772"/>
      <c r="N31" s="770"/>
      <c r="O31" s="592" t="str">
        <f t="shared" si="2"/>
        <v>.2</v>
      </c>
      <c r="P31" s="772" t="s">
        <v>1998</v>
      </c>
      <c r="Q31" s="772"/>
      <c r="R31" s="770"/>
      <c r="S31" s="592" t="str">
        <f t="shared" si="3"/>
        <v>.3</v>
      </c>
      <c r="T31" s="772" t="s">
        <v>2000</v>
      </c>
      <c r="U31" s="772"/>
      <c r="V31" s="119"/>
      <c r="W31" s="119"/>
      <c r="X31" s="119"/>
      <c r="Y31" s="745"/>
      <c r="Z31" s="771">
        <v>0</v>
      </c>
      <c r="AA31" s="592" t="str">
        <f t="shared" si="4"/>
        <v>.1</v>
      </c>
      <c r="AB31" s="772" t="s">
        <v>1996</v>
      </c>
      <c r="AC31" s="770">
        <v>0</v>
      </c>
      <c r="AD31" s="592" t="str">
        <f t="shared" si="5"/>
        <v>.2</v>
      </c>
      <c r="AE31" s="772" t="s">
        <v>1998</v>
      </c>
      <c r="AF31" s="770">
        <v>0</v>
      </c>
      <c r="AG31" s="592" t="str">
        <f t="shared" si="6"/>
        <v>.3</v>
      </c>
      <c r="AH31" s="772" t="s">
        <v>2000</v>
      </c>
      <c r="AI31" s="171"/>
    </row>
    <row r="32" spans="1:35" ht="15" hidden="1" customHeight="1" outlineLevel="3">
      <c r="A32" s="96"/>
      <c r="B32" s="96" t="s">
        <v>1075</v>
      </c>
      <c r="C32" s="96"/>
      <c r="D32" s="96"/>
      <c r="E32" s="871"/>
      <c r="F32" s="871" t="s">
        <v>1075</v>
      </c>
      <c r="G32" s="36" t="s">
        <v>723</v>
      </c>
      <c r="H32" s="81"/>
      <c r="I32" s="71">
        <f t="shared" si="0"/>
        <v>0</v>
      </c>
      <c r="J32" s="771"/>
      <c r="K32" s="590" t="str">
        <f t="shared" si="1"/>
        <v>.1</v>
      </c>
      <c r="L32" s="771" t="s">
        <v>1996</v>
      </c>
      <c r="M32" s="772"/>
      <c r="N32" s="770"/>
      <c r="O32" s="592" t="str">
        <f t="shared" si="2"/>
        <v>.2</v>
      </c>
      <c r="P32" s="772" t="s">
        <v>1998</v>
      </c>
      <c r="Q32" s="772"/>
      <c r="R32" s="770"/>
      <c r="S32" s="592" t="str">
        <f t="shared" si="3"/>
        <v>.3</v>
      </c>
      <c r="T32" s="772" t="s">
        <v>2000</v>
      </c>
      <c r="U32" s="772"/>
      <c r="V32" s="119"/>
      <c r="W32" s="119"/>
      <c r="X32" s="119"/>
      <c r="Y32" s="745"/>
      <c r="Z32" s="771">
        <v>0</v>
      </c>
      <c r="AA32" s="592" t="str">
        <f t="shared" si="4"/>
        <v>.1</v>
      </c>
      <c r="AB32" s="772" t="s">
        <v>1996</v>
      </c>
      <c r="AC32" s="770">
        <v>0</v>
      </c>
      <c r="AD32" s="592" t="str">
        <f t="shared" si="5"/>
        <v>.2</v>
      </c>
      <c r="AE32" s="772" t="s">
        <v>1998</v>
      </c>
      <c r="AF32" s="770">
        <v>0</v>
      </c>
      <c r="AG32" s="592" t="str">
        <f t="shared" si="6"/>
        <v>.3</v>
      </c>
      <c r="AH32" s="772" t="s">
        <v>2000</v>
      </c>
      <c r="AI32" s="171"/>
    </row>
    <row r="33" spans="1:35" ht="15" hidden="1" customHeight="1" outlineLevel="3">
      <c r="A33" s="860"/>
      <c r="B33" s="860" t="s">
        <v>1075</v>
      </c>
      <c r="C33" s="860"/>
      <c r="D33" s="860"/>
      <c r="E33" s="824"/>
      <c r="F33" s="824" t="s">
        <v>1075</v>
      </c>
      <c r="G33" s="13"/>
      <c r="H33" s="707"/>
      <c r="I33" s="71">
        <f t="shared" si="0"/>
        <v>0</v>
      </c>
      <c r="J33" s="771"/>
      <c r="K33" s="590" t="str">
        <f t="shared" si="1"/>
        <v>.1</v>
      </c>
      <c r="L33" s="771" t="s">
        <v>1996</v>
      </c>
      <c r="M33" s="772"/>
      <c r="N33" s="770"/>
      <c r="O33" s="592" t="str">
        <f t="shared" si="2"/>
        <v>.2</v>
      </c>
      <c r="P33" s="772" t="s">
        <v>1998</v>
      </c>
      <c r="Q33" s="772"/>
      <c r="R33" s="770"/>
      <c r="S33" s="592" t="str">
        <f t="shared" si="3"/>
        <v>.3</v>
      </c>
      <c r="T33" s="772" t="s">
        <v>2000</v>
      </c>
      <c r="U33" s="772"/>
      <c r="V33" s="119"/>
      <c r="W33" s="119"/>
      <c r="X33" s="119"/>
      <c r="Y33" s="745"/>
      <c r="Z33" s="771">
        <v>0</v>
      </c>
      <c r="AA33" s="592" t="str">
        <f t="shared" si="4"/>
        <v>.1</v>
      </c>
      <c r="AB33" s="772" t="s">
        <v>1996</v>
      </c>
      <c r="AC33" s="770">
        <v>0</v>
      </c>
      <c r="AD33" s="592" t="str">
        <f t="shared" si="5"/>
        <v>.2</v>
      </c>
      <c r="AE33" s="772" t="s">
        <v>1998</v>
      </c>
      <c r="AF33" s="770">
        <v>0</v>
      </c>
      <c r="AG33" s="592" t="str">
        <f t="shared" si="6"/>
        <v>.3</v>
      </c>
      <c r="AH33" s="772" t="s">
        <v>2000</v>
      </c>
      <c r="AI33" s="171"/>
    </row>
    <row r="34" spans="1:35" ht="15" hidden="1" customHeight="1" outlineLevel="3">
      <c r="A34" s="860"/>
      <c r="B34" s="860" t="s">
        <v>1075</v>
      </c>
      <c r="C34" s="860"/>
      <c r="D34" s="860"/>
      <c r="E34" s="824"/>
      <c r="F34" s="824" t="s">
        <v>1075</v>
      </c>
      <c r="G34" s="13"/>
      <c r="H34" s="707"/>
      <c r="I34" s="71">
        <f t="shared" si="0"/>
        <v>0</v>
      </c>
      <c r="J34" s="771"/>
      <c r="K34" s="590" t="str">
        <f t="shared" si="1"/>
        <v>.1</v>
      </c>
      <c r="L34" s="771" t="s">
        <v>1996</v>
      </c>
      <c r="M34" s="772"/>
      <c r="N34" s="770"/>
      <c r="O34" s="592" t="str">
        <f t="shared" si="2"/>
        <v>.2</v>
      </c>
      <c r="P34" s="772" t="s">
        <v>1998</v>
      </c>
      <c r="Q34" s="772"/>
      <c r="R34" s="770"/>
      <c r="S34" s="592" t="str">
        <f t="shared" si="3"/>
        <v>.3</v>
      </c>
      <c r="T34" s="772" t="s">
        <v>2000</v>
      </c>
      <c r="U34" s="772"/>
      <c r="V34" s="119"/>
      <c r="W34" s="119"/>
      <c r="X34" s="119"/>
      <c r="Y34" s="745"/>
      <c r="Z34" s="771">
        <v>0</v>
      </c>
      <c r="AA34" s="592" t="str">
        <f t="shared" si="4"/>
        <v>.1</v>
      </c>
      <c r="AB34" s="772" t="s">
        <v>1996</v>
      </c>
      <c r="AC34" s="770">
        <v>0</v>
      </c>
      <c r="AD34" s="592" t="str">
        <f t="shared" si="5"/>
        <v>.2</v>
      </c>
      <c r="AE34" s="772" t="s">
        <v>1998</v>
      </c>
      <c r="AF34" s="770">
        <v>0</v>
      </c>
      <c r="AG34" s="592" t="str">
        <f t="shared" si="6"/>
        <v>.3</v>
      </c>
      <c r="AH34" s="772" t="s">
        <v>2000</v>
      </c>
      <c r="AI34" s="171"/>
    </row>
    <row r="35" spans="1:35" ht="15" hidden="1" customHeight="1" outlineLevel="3">
      <c r="A35" s="860"/>
      <c r="B35" s="860" t="s">
        <v>1075</v>
      </c>
      <c r="C35" s="860"/>
      <c r="D35" s="860"/>
      <c r="E35" s="824"/>
      <c r="F35" s="824" t="s">
        <v>1075</v>
      </c>
      <c r="G35" s="13"/>
      <c r="H35" s="707"/>
      <c r="I35" s="71">
        <f t="shared" si="0"/>
        <v>0</v>
      </c>
      <c r="J35" s="771"/>
      <c r="K35" s="590" t="str">
        <f t="shared" si="1"/>
        <v>.1</v>
      </c>
      <c r="L35" s="771" t="s">
        <v>1996</v>
      </c>
      <c r="M35" s="772"/>
      <c r="N35" s="770"/>
      <c r="O35" s="592" t="str">
        <f t="shared" si="2"/>
        <v>.2</v>
      </c>
      <c r="P35" s="772" t="s">
        <v>1998</v>
      </c>
      <c r="Q35" s="772"/>
      <c r="R35" s="770"/>
      <c r="S35" s="592" t="str">
        <f t="shared" si="3"/>
        <v>.3</v>
      </c>
      <c r="T35" s="772" t="s">
        <v>2000</v>
      </c>
      <c r="U35" s="772"/>
      <c r="V35" s="119"/>
      <c r="W35" s="119"/>
      <c r="X35" s="119"/>
      <c r="Y35" s="745"/>
      <c r="Z35" s="771">
        <v>0</v>
      </c>
      <c r="AA35" s="592" t="str">
        <f t="shared" si="4"/>
        <v>.1</v>
      </c>
      <c r="AB35" s="772" t="s">
        <v>1996</v>
      </c>
      <c r="AC35" s="770">
        <v>0</v>
      </c>
      <c r="AD35" s="592" t="str">
        <f t="shared" si="5"/>
        <v>.2</v>
      </c>
      <c r="AE35" s="772" t="s">
        <v>1998</v>
      </c>
      <c r="AF35" s="770">
        <v>0</v>
      </c>
      <c r="AG35" s="592" t="str">
        <f t="shared" si="6"/>
        <v>.3</v>
      </c>
      <c r="AH35" s="772" t="s">
        <v>2000</v>
      </c>
      <c r="AI35" s="171"/>
    </row>
    <row r="36" spans="1:35" ht="15" hidden="1" customHeight="1" outlineLevel="3">
      <c r="A36" s="860"/>
      <c r="B36" s="860" t="s">
        <v>1075</v>
      </c>
      <c r="C36" s="860"/>
      <c r="D36" s="860"/>
      <c r="E36" s="824"/>
      <c r="F36" s="824" t="s">
        <v>1075</v>
      </c>
      <c r="G36" s="13"/>
      <c r="H36" s="707"/>
      <c r="I36" s="71">
        <f t="shared" si="0"/>
        <v>0</v>
      </c>
      <c r="J36" s="771"/>
      <c r="K36" s="590" t="str">
        <f t="shared" si="1"/>
        <v>.1</v>
      </c>
      <c r="L36" s="771" t="s">
        <v>1996</v>
      </c>
      <c r="M36" s="772"/>
      <c r="N36" s="770"/>
      <c r="O36" s="592" t="str">
        <f t="shared" si="2"/>
        <v>.2</v>
      </c>
      <c r="P36" s="772" t="s">
        <v>1998</v>
      </c>
      <c r="Q36" s="772"/>
      <c r="R36" s="770"/>
      <c r="S36" s="592" t="str">
        <f t="shared" si="3"/>
        <v>.3</v>
      </c>
      <c r="T36" s="772" t="s">
        <v>2000</v>
      </c>
      <c r="U36" s="772"/>
      <c r="V36" s="119"/>
      <c r="W36" s="119"/>
      <c r="X36" s="119"/>
      <c r="Y36" s="745"/>
      <c r="Z36" s="771">
        <v>0</v>
      </c>
      <c r="AA36" s="592" t="str">
        <f t="shared" si="4"/>
        <v>.1</v>
      </c>
      <c r="AB36" s="772" t="s">
        <v>1996</v>
      </c>
      <c r="AC36" s="770">
        <v>0</v>
      </c>
      <c r="AD36" s="592" t="str">
        <f t="shared" si="5"/>
        <v>.2</v>
      </c>
      <c r="AE36" s="772" t="s">
        <v>1998</v>
      </c>
      <c r="AF36" s="770">
        <v>0</v>
      </c>
      <c r="AG36" s="592" t="str">
        <f t="shared" si="6"/>
        <v>.3</v>
      </c>
      <c r="AH36" s="772" t="s">
        <v>2000</v>
      </c>
      <c r="AI36" s="171"/>
    </row>
    <row r="37" spans="1:35" ht="15" hidden="1" customHeight="1" outlineLevel="3">
      <c r="A37" s="860"/>
      <c r="B37" s="860" t="s">
        <v>1075</v>
      </c>
      <c r="C37" s="860"/>
      <c r="D37" s="860"/>
      <c r="E37" s="824"/>
      <c r="F37" s="824" t="s">
        <v>1075</v>
      </c>
      <c r="G37" s="13"/>
      <c r="H37" s="707"/>
      <c r="I37" s="71">
        <f t="shared" si="0"/>
        <v>0</v>
      </c>
      <c r="J37" s="771"/>
      <c r="K37" s="590" t="str">
        <f t="shared" si="1"/>
        <v>.1</v>
      </c>
      <c r="L37" s="771" t="s">
        <v>1996</v>
      </c>
      <c r="M37" s="772"/>
      <c r="N37" s="770"/>
      <c r="O37" s="592" t="str">
        <f t="shared" si="2"/>
        <v>.2</v>
      </c>
      <c r="P37" s="772" t="s">
        <v>1998</v>
      </c>
      <c r="Q37" s="772"/>
      <c r="R37" s="770"/>
      <c r="S37" s="592" t="str">
        <f t="shared" si="3"/>
        <v>.3</v>
      </c>
      <c r="T37" s="772" t="s">
        <v>2000</v>
      </c>
      <c r="U37" s="772"/>
      <c r="V37" s="119"/>
      <c r="W37" s="119"/>
      <c r="X37" s="119"/>
      <c r="Y37" s="745"/>
      <c r="Z37" s="771">
        <v>0</v>
      </c>
      <c r="AA37" s="592" t="str">
        <f t="shared" si="4"/>
        <v>.1</v>
      </c>
      <c r="AB37" s="772" t="s">
        <v>1996</v>
      </c>
      <c r="AC37" s="770">
        <v>0</v>
      </c>
      <c r="AD37" s="592" t="str">
        <f t="shared" si="5"/>
        <v>.2</v>
      </c>
      <c r="AE37" s="772" t="s">
        <v>1998</v>
      </c>
      <c r="AF37" s="770">
        <v>0</v>
      </c>
      <c r="AG37" s="592" t="str">
        <f t="shared" si="6"/>
        <v>.3</v>
      </c>
      <c r="AH37" s="772" t="s">
        <v>2000</v>
      </c>
      <c r="AI37" s="171"/>
    </row>
    <row r="38" spans="1:35" ht="15" hidden="1" customHeight="1" outlineLevel="3">
      <c r="A38" s="860"/>
      <c r="B38" s="860" t="s">
        <v>1075</v>
      </c>
      <c r="C38" s="860"/>
      <c r="D38" s="860"/>
      <c r="E38" s="824"/>
      <c r="F38" s="824" t="s">
        <v>1075</v>
      </c>
      <c r="G38" s="13"/>
      <c r="H38" s="81"/>
      <c r="I38" s="71">
        <f t="shared" si="0"/>
        <v>0</v>
      </c>
      <c r="J38" s="771"/>
      <c r="K38" s="590" t="str">
        <f t="shared" si="1"/>
        <v>.1</v>
      </c>
      <c r="L38" s="771" t="s">
        <v>1996</v>
      </c>
      <c r="M38" s="772"/>
      <c r="N38" s="770"/>
      <c r="O38" s="592" t="str">
        <f t="shared" si="2"/>
        <v>.2</v>
      </c>
      <c r="P38" s="772" t="s">
        <v>1998</v>
      </c>
      <c r="Q38" s="772"/>
      <c r="R38" s="770"/>
      <c r="S38" s="592" t="str">
        <f t="shared" si="3"/>
        <v>.3</v>
      </c>
      <c r="T38" s="772" t="s">
        <v>2000</v>
      </c>
      <c r="U38" s="772"/>
      <c r="V38" s="119"/>
      <c r="W38" s="119"/>
      <c r="X38" s="119"/>
      <c r="Y38" s="745"/>
      <c r="Z38" s="771">
        <v>0</v>
      </c>
      <c r="AA38" s="592" t="str">
        <f t="shared" si="4"/>
        <v>.1</v>
      </c>
      <c r="AB38" s="772" t="s">
        <v>1996</v>
      </c>
      <c r="AC38" s="770">
        <v>0</v>
      </c>
      <c r="AD38" s="592" t="str">
        <f t="shared" si="5"/>
        <v>.2</v>
      </c>
      <c r="AE38" s="772" t="s">
        <v>1998</v>
      </c>
      <c r="AF38" s="770">
        <v>0</v>
      </c>
      <c r="AG38" s="592" t="str">
        <f t="shared" si="6"/>
        <v>.3</v>
      </c>
      <c r="AH38" s="772" t="s">
        <v>2000</v>
      </c>
      <c r="AI38" s="171"/>
    </row>
    <row r="39" spans="1:35" ht="15" hidden="1" customHeight="1" outlineLevel="2">
      <c r="A39" s="97"/>
      <c r="B39" s="97" t="s">
        <v>1075</v>
      </c>
      <c r="C39" s="97"/>
      <c r="D39" s="97"/>
      <c r="E39" s="825"/>
      <c r="F39" s="825" t="s">
        <v>1075</v>
      </c>
      <c r="G39" s="40" t="s">
        <v>235</v>
      </c>
      <c r="H39" s="78">
        <f>SUBTOTAL(9,H40:H41)</f>
        <v>1</v>
      </c>
      <c r="I39" s="68">
        <f t="shared" si="0"/>
        <v>1</v>
      </c>
      <c r="J39" s="55">
        <f>SUBTOTAL(9,J40)</f>
        <v>1</v>
      </c>
      <c r="K39" s="55"/>
      <c r="L39" s="55"/>
      <c r="M39" s="84"/>
      <c r="N39" s="56">
        <f>SUBTOTAL(9,N40)</f>
        <v>0</v>
      </c>
      <c r="O39" s="84"/>
      <c r="P39" s="84"/>
      <c r="Q39" s="84"/>
      <c r="R39" s="56">
        <f>SUBTOTAL(9,R40)</f>
        <v>0</v>
      </c>
      <c r="S39" s="84"/>
      <c r="T39" s="84"/>
      <c r="U39" s="84"/>
      <c r="V39" s="867">
        <f>SUBTOTAL(9,V40)</f>
        <v>0</v>
      </c>
      <c r="W39" s="867">
        <f>SUBTOTAL(9,W40)</f>
        <v>0</v>
      </c>
      <c r="X39" s="867"/>
      <c r="Y39" s="745"/>
      <c r="Z39" s="55">
        <f>SUBTOTAL(9,Z40)</f>
        <v>0</v>
      </c>
      <c r="AA39" s="84"/>
      <c r="AB39" s="84"/>
      <c r="AC39" s="56">
        <f>SUBTOTAL(9,AC40)</f>
        <v>0</v>
      </c>
      <c r="AD39" s="84"/>
      <c r="AE39" s="84"/>
      <c r="AF39" s="56">
        <f>SUBTOTAL(9,AF40)</f>
        <v>0</v>
      </c>
      <c r="AG39" s="84"/>
      <c r="AH39" s="84"/>
      <c r="AI39" s="170"/>
    </row>
    <row r="40" spans="1:35" ht="15" hidden="1" customHeight="1" outlineLevel="3">
      <c r="A40" s="860">
        <v>6</v>
      </c>
      <c r="B40" s="860">
        <v>3481</v>
      </c>
      <c r="C40" s="860"/>
      <c r="D40" s="860"/>
      <c r="E40" s="868" t="s">
        <v>3056</v>
      </c>
      <c r="F40" s="868" t="s">
        <v>5116</v>
      </c>
      <c r="G40" s="13" t="s">
        <v>3030</v>
      </c>
      <c r="H40" s="707">
        <f>IFERROR(VLOOKUP(A40,'Colar QL'!A:C,3,0),0)</f>
        <v>1</v>
      </c>
      <c r="I40" s="69">
        <f t="shared" si="0"/>
        <v>1</v>
      </c>
      <c r="J40" s="771">
        <f>ROUNDUP(J14*$U$5,0)</f>
        <v>1</v>
      </c>
      <c r="K40" s="590" t="str">
        <f>F40&amp;L40</f>
        <v>47.0284.1.2.17.00.01.039.01.01.04.1</v>
      </c>
      <c r="L40" s="771" t="s">
        <v>1996</v>
      </c>
      <c r="M40" s="772"/>
      <c r="N40" s="770">
        <f>ROUNDUP(N14*$U$5,0)</f>
        <v>0</v>
      </c>
      <c r="O40" s="592" t="str">
        <f>F40&amp;P40</f>
        <v>47.0284.1.2.17.00.01.039.01.01.04.2</v>
      </c>
      <c r="P40" s="772" t="s">
        <v>1998</v>
      </c>
      <c r="Q40" s="772"/>
      <c r="R40" s="770">
        <f>ROUNDUP(R14*$U$5,0)</f>
        <v>0</v>
      </c>
      <c r="S40" s="592" t="str">
        <f>F40&amp;T40</f>
        <v>47.0284.1.2.17.00.01.039.01.01.04.3</v>
      </c>
      <c r="T40" s="772" t="s">
        <v>2000</v>
      </c>
      <c r="U40" s="772"/>
      <c r="V40" s="119"/>
      <c r="W40" s="869"/>
      <c r="X40" s="869"/>
      <c r="Y40" s="745"/>
      <c r="Z40" s="770">
        <v>0</v>
      </c>
      <c r="AA40" s="592" t="str">
        <f>F40&amp;AB40</f>
        <v>47.0284.1.2.17.00.01.039.01.01.04.1</v>
      </c>
      <c r="AB40" s="772" t="s">
        <v>1996</v>
      </c>
      <c r="AC40" s="770">
        <v>0</v>
      </c>
      <c r="AD40" s="592" t="str">
        <f>F40&amp;AE40</f>
        <v>47.0284.1.2.17.00.01.039.01.01.04.2</v>
      </c>
      <c r="AE40" s="772" t="s">
        <v>1998</v>
      </c>
      <c r="AF40" s="770">
        <f>ROUNDUP(AF14*$U$5,0)</f>
        <v>0</v>
      </c>
      <c r="AG40" s="592" t="str">
        <f>F40&amp;AH40</f>
        <v>47.0284.1.2.17.00.01.039.01.01.04.3</v>
      </c>
      <c r="AH40" s="772" t="s">
        <v>2000</v>
      </c>
      <c r="AI40" s="171"/>
    </row>
    <row r="41" spans="1:35" ht="15" hidden="1" customHeight="1" outlineLevel="3">
      <c r="A41" s="860"/>
      <c r="B41" s="860" t="s">
        <v>1075</v>
      </c>
      <c r="C41" s="860"/>
      <c r="D41" s="860"/>
      <c r="E41" s="824"/>
      <c r="F41" s="824" t="s">
        <v>1075</v>
      </c>
      <c r="G41" s="13"/>
      <c r="H41" s="707"/>
      <c r="I41" s="71">
        <f t="shared" si="0"/>
        <v>0</v>
      </c>
      <c r="J41" s="771"/>
      <c r="K41" s="590" t="str">
        <f>F41&amp;L41</f>
        <v>.1</v>
      </c>
      <c r="L41" s="771" t="s">
        <v>1996</v>
      </c>
      <c r="M41" s="772"/>
      <c r="N41" s="770"/>
      <c r="O41" s="592" t="str">
        <f>F41&amp;P41</f>
        <v>.2</v>
      </c>
      <c r="P41" s="772" t="s">
        <v>1998</v>
      </c>
      <c r="Q41" s="772"/>
      <c r="R41" s="770"/>
      <c r="S41" s="592" t="str">
        <f>F41&amp;T41</f>
        <v>.3</v>
      </c>
      <c r="T41" s="772" t="s">
        <v>2000</v>
      </c>
      <c r="U41" s="772"/>
      <c r="V41" s="119"/>
      <c r="W41" s="119"/>
      <c r="X41" s="119"/>
      <c r="Y41" s="745"/>
      <c r="Z41" s="771"/>
      <c r="AA41" s="592" t="str">
        <f>F41&amp;AB41</f>
        <v>.1</v>
      </c>
      <c r="AB41" s="772" t="s">
        <v>1996</v>
      </c>
      <c r="AC41" s="770"/>
      <c r="AD41" s="592" t="str">
        <f>F41&amp;AE41</f>
        <v>.2</v>
      </c>
      <c r="AE41" s="772" t="s">
        <v>1998</v>
      </c>
      <c r="AF41" s="770"/>
      <c r="AG41" s="592" t="str">
        <f>F41&amp;AH41</f>
        <v>.3</v>
      </c>
      <c r="AH41" s="772" t="s">
        <v>2000</v>
      </c>
      <c r="AI41" s="171"/>
    </row>
    <row r="42" spans="1:35" ht="15" hidden="1" customHeight="1" outlineLevel="3">
      <c r="A42" s="860"/>
      <c r="B42" s="860" t="s">
        <v>1075</v>
      </c>
      <c r="C42" s="860"/>
      <c r="D42" s="860"/>
      <c r="E42" s="824"/>
      <c r="F42" s="824" t="s">
        <v>1075</v>
      </c>
      <c r="G42" s="13"/>
      <c r="H42" s="81"/>
      <c r="I42" s="71">
        <f t="shared" si="0"/>
        <v>0</v>
      </c>
      <c r="J42" s="771"/>
      <c r="K42" s="771"/>
      <c r="L42" s="771"/>
      <c r="M42" s="772"/>
      <c r="N42" s="770"/>
      <c r="O42" s="772"/>
      <c r="P42" s="772"/>
      <c r="Q42" s="772"/>
      <c r="R42" s="770"/>
      <c r="S42" s="772"/>
      <c r="T42" s="772"/>
      <c r="U42" s="772"/>
      <c r="V42" s="119"/>
      <c r="W42" s="119"/>
      <c r="X42" s="119"/>
      <c r="Y42" s="745"/>
      <c r="Z42" s="771"/>
      <c r="AA42" s="772"/>
      <c r="AB42" s="772"/>
      <c r="AC42" s="770"/>
      <c r="AD42" s="772"/>
      <c r="AE42" s="772"/>
      <c r="AF42" s="770"/>
      <c r="AG42" s="772"/>
      <c r="AH42" s="772"/>
      <c r="AI42" s="171"/>
    </row>
    <row r="43" spans="1:35" ht="15" customHeight="1" outlineLevel="1" collapsed="1">
      <c r="A43" s="98"/>
      <c r="B43" s="98" t="s">
        <v>1075</v>
      </c>
      <c r="C43" s="98"/>
      <c r="D43" s="98"/>
      <c r="E43" s="865"/>
      <c r="F43" s="865" t="s">
        <v>1075</v>
      </c>
      <c r="G43" s="35" t="s">
        <v>721</v>
      </c>
      <c r="H43" s="77">
        <f>SUBTOTAL(9,H44:H98)</f>
        <v>21</v>
      </c>
      <c r="I43" s="67">
        <f t="shared" si="0"/>
        <v>21</v>
      </c>
      <c r="J43" s="54">
        <f>SUBTOTAL(9,J44:J98)</f>
        <v>21</v>
      </c>
      <c r="K43" s="54"/>
      <c r="L43" s="54"/>
      <c r="M43" s="85"/>
      <c r="N43" s="54">
        <f>SUBTOTAL(9,N44:N98)</f>
        <v>0</v>
      </c>
      <c r="O43" s="90"/>
      <c r="P43" s="90"/>
      <c r="Q43" s="85"/>
      <c r="R43" s="54">
        <f>SUBTOTAL(9,R44:R98)</f>
        <v>0</v>
      </c>
      <c r="S43" s="90"/>
      <c r="T43" s="90"/>
      <c r="U43" s="85"/>
      <c r="V43" s="630">
        <f>SUBTOTAL(9,V44:V98)</f>
        <v>0</v>
      </c>
      <c r="W43" s="630">
        <f>SUBTOTAL(9,W44:W98)</f>
        <v>0</v>
      </c>
      <c r="X43" s="630"/>
      <c r="Y43" s="745"/>
      <c r="Z43" s="54">
        <f>SUBTOTAL(9,Z44:Z98)</f>
        <v>0</v>
      </c>
      <c r="AA43" s="90"/>
      <c r="AB43" s="90"/>
      <c r="AC43" s="54">
        <f>SUBTOTAL(9,AC44:AC98)</f>
        <v>0</v>
      </c>
      <c r="AD43" s="90"/>
      <c r="AE43" s="90"/>
      <c r="AF43" s="54">
        <f>SUBTOTAL(9,AF44:AF98)</f>
        <v>0</v>
      </c>
      <c r="AG43" s="90"/>
      <c r="AH43" s="90"/>
      <c r="AI43" s="169"/>
    </row>
    <row r="44" spans="1:35" ht="15" hidden="1" customHeight="1" outlineLevel="2">
      <c r="A44" s="97"/>
      <c r="B44" s="97" t="s">
        <v>1075</v>
      </c>
      <c r="C44" s="97"/>
      <c r="D44" s="97"/>
      <c r="E44" s="825"/>
      <c r="F44" s="825" t="s">
        <v>1075</v>
      </c>
      <c r="G44" s="40" t="s">
        <v>714</v>
      </c>
      <c r="H44" s="78">
        <f>SUBTOTAL(9,H45:H94)</f>
        <v>19</v>
      </c>
      <c r="I44" s="68">
        <f t="shared" si="0"/>
        <v>19</v>
      </c>
      <c r="J44" s="55">
        <f>SUBTOTAL(9,J45:J94)</f>
        <v>19</v>
      </c>
      <c r="K44" s="55"/>
      <c r="L44" s="55"/>
      <c r="M44" s="84"/>
      <c r="N44" s="55">
        <f>SUBTOTAL(9,N45:N94)</f>
        <v>0</v>
      </c>
      <c r="O44" s="91"/>
      <c r="P44" s="91"/>
      <c r="Q44" s="84"/>
      <c r="R44" s="55">
        <f>SUBTOTAL(9,R45:R94)</f>
        <v>0</v>
      </c>
      <c r="S44" s="91"/>
      <c r="T44" s="91"/>
      <c r="U44" s="84"/>
      <c r="V44" s="867">
        <f>SUBTOTAL(9,V45:V94)</f>
        <v>0</v>
      </c>
      <c r="W44" s="867">
        <f>SUBTOTAL(9,W45:W94)</f>
        <v>0</v>
      </c>
      <c r="X44" s="867"/>
      <c r="Y44" s="745"/>
      <c r="Z44" s="55">
        <f>SUBTOTAL(9,Z45:Z94)</f>
        <v>0</v>
      </c>
      <c r="AA44" s="91"/>
      <c r="AB44" s="91"/>
      <c r="AC44" s="55">
        <f>SUBTOTAL(9,AC45:AC94)</f>
        <v>0</v>
      </c>
      <c r="AD44" s="91"/>
      <c r="AE44" s="91"/>
      <c r="AF44" s="55">
        <f>SUBTOTAL(9,AF45:AF94)</f>
        <v>0</v>
      </c>
      <c r="AG44" s="91"/>
      <c r="AH44" s="91"/>
      <c r="AI44" s="170"/>
    </row>
    <row r="45" spans="1:35" ht="15" hidden="1" customHeight="1" outlineLevel="3">
      <c r="A45" s="93">
        <v>201065</v>
      </c>
      <c r="B45" s="93">
        <v>3481</v>
      </c>
      <c r="C45" s="93"/>
      <c r="D45" s="93"/>
      <c r="E45" s="868" t="s">
        <v>3052</v>
      </c>
      <c r="F45" s="868" t="s">
        <v>5121</v>
      </c>
      <c r="G45" s="37" t="s">
        <v>344</v>
      </c>
      <c r="H45" s="707">
        <f>IFERROR(VLOOKUP(A45,'Colar QL'!A:C,3,0),0)</f>
        <v>0</v>
      </c>
      <c r="I45" s="69">
        <f t="shared" si="0"/>
        <v>0</v>
      </c>
      <c r="J45" s="771">
        <f>'BD Temp'!E55</f>
        <v>0</v>
      </c>
      <c r="K45" s="590" t="str">
        <f t="shared" ref="K45:K76" si="7">F45&amp;L45</f>
        <v>47.0284.1.2.17.00.01.039.01.02.25.1</v>
      </c>
      <c r="L45" s="771" t="s">
        <v>1996</v>
      </c>
      <c r="M45" s="772" t="str">
        <f>'BD Temp'!F55</f>
        <v>-</v>
      </c>
      <c r="N45" s="770">
        <f>'BD Temp'!J55</f>
        <v>0</v>
      </c>
      <c r="O45" s="592" t="str">
        <f t="shared" ref="O45:O76" si="8">F45&amp;P45</f>
        <v>47.0284.1.2.17.00.01.039.01.02.25.2</v>
      </c>
      <c r="P45" s="772" t="s">
        <v>1998</v>
      </c>
      <c r="Q45" s="772" t="str">
        <f>'BD Temp'!K55</f>
        <v>-</v>
      </c>
      <c r="R45" s="770">
        <f>'BD Temp'!O55</f>
        <v>0</v>
      </c>
      <c r="S45" s="592" t="str">
        <f t="shared" ref="S45:S76" si="9">F45&amp;T45</f>
        <v>47.0284.1.2.17.00.01.039.01.02.25.3</v>
      </c>
      <c r="T45" s="772" t="s">
        <v>2000</v>
      </c>
      <c r="U45" s="772" t="str">
        <f>'BD Temp'!P55</f>
        <v>-</v>
      </c>
      <c r="V45" s="869"/>
      <c r="W45" s="869"/>
      <c r="X45" s="869"/>
      <c r="Y45" s="745"/>
      <c r="Z45" s="771">
        <v>0</v>
      </c>
      <c r="AA45" s="592" t="str">
        <f t="shared" ref="AA45:AA76" si="10">F45&amp;AB45</f>
        <v>47.0284.1.2.17.00.01.039.01.02.25.1</v>
      </c>
      <c r="AB45" s="772" t="s">
        <v>1996</v>
      </c>
      <c r="AC45" s="770">
        <v>0</v>
      </c>
      <c r="AD45" s="592" t="str">
        <f t="shared" ref="AD45:AD76" si="11">F45&amp;AE45</f>
        <v>47.0284.1.2.17.00.01.039.01.02.25.2</v>
      </c>
      <c r="AE45" s="772" t="s">
        <v>1998</v>
      </c>
      <c r="AF45" s="770">
        <v>0</v>
      </c>
      <c r="AG45" s="592" t="str">
        <f>F45&amp;AH45</f>
        <v>47.0284.1.2.17.00.01.039.01.02.25.3</v>
      </c>
      <c r="AH45" s="772" t="s">
        <v>2000</v>
      </c>
      <c r="AI45" s="158"/>
    </row>
    <row r="46" spans="1:35" ht="15" hidden="1" customHeight="1" outlineLevel="3">
      <c r="A46" s="93">
        <v>201060</v>
      </c>
      <c r="B46" s="93">
        <v>3481</v>
      </c>
      <c r="C46" s="93"/>
      <c r="D46" s="93"/>
      <c r="E46" s="868" t="s">
        <v>3053</v>
      </c>
      <c r="F46" s="868" t="s">
        <v>5122</v>
      </c>
      <c r="G46" s="37" t="s">
        <v>237</v>
      </c>
      <c r="H46" s="707">
        <f>IFERROR(VLOOKUP(A46,'Colar QL'!A:C,3,0),0)</f>
        <v>1</v>
      </c>
      <c r="I46" s="69">
        <f t="shared" si="0"/>
        <v>1</v>
      </c>
      <c r="J46" s="771">
        <f>'BD Temp'!E56</f>
        <v>1</v>
      </c>
      <c r="K46" s="590" t="str">
        <f t="shared" si="7"/>
        <v>47.0284.1.2.17.00.01.039.01.02.01.1</v>
      </c>
      <c r="L46" s="771" t="s">
        <v>1996</v>
      </c>
      <c r="M46" s="772">
        <f>'BD Temp'!F56</f>
        <v>0.72000000000000008</v>
      </c>
      <c r="N46" s="770">
        <f>'BD Temp'!J56</f>
        <v>0</v>
      </c>
      <c r="O46" s="592" t="str">
        <f t="shared" si="8"/>
        <v>47.0284.1.2.17.00.01.039.01.02.01.2</v>
      </c>
      <c r="P46" s="772" t="s">
        <v>1998</v>
      </c>
      <c r="Q46" s="772" t="str">
        <f>'BD Temp'!K56</f>
        <v>-</v>
      </c>
      <c r="R46" s="770">
        <f>'BD Temp'!O56</f>
        <v>0</v>
      </c>
      <c r="S46" s="592" t="str">
        <f t="shared" si="9"/>
        <v>47.0284.1.2.17.00.01.039.01.02.01.3</v>
      </c>
      <c r="T46" s="772" t="s">
        <v>2000</v>
      </c>
      <c r="U46" s="772" t="str">
        <f>'BD Temp'!P56</f>
        <v>-</v>
      </c>
      <c r="V46" s="869"/>
      <c r="W46" s="869"/>
      <c r="X46" s="869"/>
      <c r="Y46" s="745"/>
      <c r="Z46" s="771">
        <v>0</v>
      </c>
      <c r="AA46" s="592" t="str">
        <f t="shared" si="10"/>
        <v>47.0284.1.2.17.00.01.039.01.02.01.1</v>
      </c>
      <c r="AB46" s="772" t="s">
        <v>1996</v>
      </c>
      <c r="AC46" s="770">
        <v>0</v>
      </c>
      <c r="AD46" s="592" t="str">
        <f t="shared" si="11"/>
        <v>47.0284.1.2.17.00.01.039.01.02.01.2</v>
      </c>
      <c r="AE46" s="772" t="s">
        <v>1998</v>
      </c>
      <c r="AF46" s="770">
        <v>0</v>
      </c>
      <c r="AG46" s="592" t="str">
        <f t="shared" ref="AG46:AG76" si="12">F46&amp;AH46</f>
        <v>47.0284.1.2.17.00.01.039.01.02.01.3</v>
      </c>
      <c r="AH46" s="772" t="s">
        <v>2000</v>
      </c>
      <c r="AI46" s="158"/>
    </row>
    <row r="47" spans="1:35" s="123" customFormat="1" ht="15" hidden="1" customHeight="1" outlineLevel="3">
      <c r="A47" s="153">
        <v>201055</v>
      </c>
      <c r="B47" s="153">
        <v>3481</v>
      </c>
      <c r="C47" s="153"/>
      <c r="D47" s="153"/>
      <c r="E47" s="868" t="s">
        <v>3053</v>
      </c>
      <c r="F47" s="868" t="s">
        <v>5122</v>
      </c>
      <c r="G47" s="37" t="s">
        <v>19</v>
      </c>
      <c r="H47" s="707">
        <f>IFERROR(VLOOKUP(A47,'Colar QL'!A:C,3,0),0)</f>
        <v>1</v>
      </c>
      <c r="I47" s="69">
        <f t="shared" si="0"/>
        <v>1</v>
      </c>
      <c r="J47" s="771">
        <f>'BD Temp'!E59</f>
        <v>1</v>
      </c>
      <c r="K47" s="590" t="str">
        <f t="shared" si="7"/>
        <v>47.0284.1.2.17.00.01.039.01.02.01.1</v>
      </c>
      <c r="L47" s="771" t="s">
        <v>1996</v>
      </c>
      <c r="M47" s="772">
        <f>'BD Temp'!F59</f>
        <v>0.2</v>
      </c>
      <c r="N47" s="770">
        <f>'BD Temp'!J59</f>
        <v>0</v>
      </c>
      <c r="O47" s="592" t="str">
        <f t="shared" si="8"/>
        <v>47.0284.1.2.17.00.01.039.01.02.01.2</v>
      </c>
      <c r="P47" s="772" t="s">
        <v>1998</v>
      </c>
      <c r="Q47" s="772" t="str">
        <f>'BD Temp'!K59</f>
        <v>-</v>
      </c>
      <c r="R47" s="770">
        <f>'BD Temp'!O59</f>
        <v>0</v>
      </c>
      <c r="S47" s="592" t="str">
        <f t="shared" si="9"/>
        <v>47.0284.1.2.17.00.01.039.01.02.01.3</v>
      </c>
      <c r="T47" s="772" t="s">
        <v>2000</v>
      </c>
      <c r="U47" s="772" t="str">
        <f>'BD Temp'!P59</f>
        <v>-</v>
      </c>
      <c r="V47" s="909"/>
      <c r="W47" s="869"/>
      <c r="X47" s="869"/>
      <c r="Y47" s="745"/>
      <c r="Z47" s="771">
        <v>0</v>
      </c>
      <c r="AA47" s="592" t="str">
        <f t="shared" si="10"/>
        <v>47.0284.1.2.17.00.01.039.01.02.01.1</v>
      </c>
      <c r="AB47" s="772" t="s">
        <v>1996</v>
      </c>
      <c r="AC47" s="770">
        <v>0</v>
      </c>
      <c r="AD47" s="592" t="str">
        <f t="shared" si="11"/>
        <v>47.0284.1.2.17.00.01.039.01.02.01.2</v>
      </c>
      <c r="AE47" s="772" t="s">
        <v>1998</v>
      </c>
      <c r="AF47" s="770">
        <v>0</v>
      </c>
      <c r="AG47" s="592" t="str">
        <f t="shared" si="12"/>
        <v>47.0284.1.2.17.00.01.039.01.02.01.3</v>
      </c>
      <c r="AH47" s="772" t="s">
        <v>2000</v>
      </c>
      <c r="AI47" s="375"/>
    </row>
    <row r="48" spans="1:35" ht="15" hidden="1" customHeight="1" outlineLevel="3">
      <c r="A48" s="860">
        <v>3</v>
      </c>
      <c r="B48" s="860">
        <v>3481</v>
      </c>
      <c r="C48" s="860"/>
      <c r="D48" s="860"/>
      <c r="E48" s="868" t="s">
        <v>2887</v>
      </c>
      <c r="F48" s="868" t="s">
        <v>5123</v>
      </c>
      <c r="G48" s="37" t="s">
        <v>588</v>
      </c>
      <c r="H48" s="707">
        <f>IFERROR(VLOOKUP(A48,'Colar QL'!A:C,3,0),0)</f>
        <v>1</v>
      </c>
      <c r="I48" s="69">
        <f t="shared" si="0"/>
        <v>1</v>
      </c>
      <c r="J48" s="57">
        <f>'BD Temp'!E60</f>
        <v>1</v>
      </c>
      <c r="K48" s="591" t="str">
        <f t="shared" si="7"/>
        <v>47.0284.1.2.17.00.01.039.01.02.23.1</v>
      </c>
      <c r="L48" s="57" t="s">
        <v>1996</v>
      </c>
      <c r="M48" s="87">
        <f>'BD Temp'!F60</f>
        <v>0.16</v>
      </c>
      <c r="N48" s="58">
        <f>'BD Temp'!J60</f>
        <v>0</v>
      </c>
      <c r="O48" s="593" t="str">
        <f t="shared" si="8"/>
        <v>47.0284.1.2.17.00.01.039.01.02.23.2</v>
      </c>
      <c r="P48" s="87" t="s">
        <v>1998</v>
      </c>
      <c r="Q48" s="87" t="str">
        <f>'BD Temp'!K60</f>
        <v>-</v>
      </c>
      <c r="R48" s="58">
        <f>'BD Temp'!O60</f>
        <v>0</v>
      </c>
      <c r="S48" s="593" t="str">
        <f t="shared" si="9"/>
        <v>47.0284.1.2.17.00.01.039.01.02.23.3</v>
      </c>
      <c r="T48" s="87" t="s">
        <v>2000</v>
      </c>
      <c r="U48" s="87" t="str">
        <f>'BD Temp'!P60</f>
        <v>-</v>
      </c>
      <c r="V48" s="869"/>
      <c r="W48" s="869"/>
      <c r="X48" s="869" t="s">
        <v>5363</v>
      </c>
      <c r="Y48" s="745"/>
      <c r="Z48" s="771">
        <v>0</v>
      </c>
      <c r="AA48" s="592" t="str">
        <f t="shared" si="10"/>
        <v>47.0284.1.2.17.00.01.039.01.02.23.1</v>
      </c>
      <c r="AB48" s="772" t="s">
        <v>1996</v>
      </c>
      <c r="AC48" s="770">
        <v>0</v>
      </c>
      <c r="AD48" s="592" t="str">
        <f t="shared" si="11"/>
        <v>47.0284.1.2.17.00.01.039.01.02.23.2</v>
      </c>
      <c r="AE48" s="772" t="s">
        <v>1998</v>
      </c>
      <c r="AF48" s="770">
        <v>0</v>
      </c>
      <c r="AG48" s="592" t="str">
        <f t="shared" si="12"/>
        <v>47.0284.1.2.17.00.01.039.01.02.23.3</v>
      </c>
      <c r="AH48" s="772" t="s">
        <v>2000</v>
      </c>
      <c r="AI48" s="171"/>
    </row>
    <row r="49" spans="1:35" ht="15" hidden="1" customHeight="1" outlineLevel="3">
      <c r="A49" s="93">
        <v>201070</v>
      </c>
      <c r="B49" s="93">
        <v>3481</v>
      </c>
      <c r="C49" s="93"/>
      <c r="D49" s="93"/>
      <c r="E49" s="868" t="s">
        <v>3748</v>
      </c>
      <c r="F49" s="868" t="s">
        <v>5396</v>
      </c>
      <c r="G49" s="37" t="s">
        <v>20</v>
      </c>
      <c r="H49" s="707">
        <f>IFERROR(VLOOKUP(A49,'Colar QL'!A:C,3,0),0)</f>
        <v>1</v>
      </c>
      <c r="I49" s="69">
        <f t="shared" si="0"/>
        <v>1</v>
      </c>
      <c r="J49" s="771">
        <f>'BD Temp'!E61</f>
        <v>1</v>
      </c>
      <c r="K49" s="590" t="str">
        <f t="shared" si="7"/>
        <v>47.0284.1.2.17.00.01.039.01.02.03.1</v>
      </c>
      <c r="L49" s="771" t="s">
        <v>1996</v>
      </c>
      <c r="M49" s="772">
        <f>'BD Temp'!F61</f>
        <v>0.15866666666666665</v>
      </c>
      <c r="N49" s="770">
        <f>'BD Temp'!J61</f>
        <v>0</v>
      </c>
      <c r="O49" s="592" t="str">
        <f t="shared" si="8"/>
        <v>47.0284.1.2.17.00.01.039.01.02.03.2</v>
      </c>
      <c r="P49" s="772" t="s">
        <v>1998</v>
      </c>
      <c r="Q49" s="772" t="str">
        <f>'BD Temp'!K61</f>
        <v>-</v>
      </c>
      <c r="R49" s="770">
        <f>'BD Temp'!O61</f>
        <v>0</v>
      </c>
      <c r="S49" s="592" t="str">
        <f t="shared" si="9"/>
        <v>47.0284.1.2.17.00.01.039.01.02.03.3</v>
      </c>
      <c r="T49" s="772" t="s">
        <v>2000</v>
      </c>
      <c r="U49" s="772" t="str">
        <f>'BD Temp'!P61</f>
        <v>-</v>
      </c>
      <c r="V49" s="869"/>
      <c r="W49" s="869"/>
      <c r="X49" s="869"/>
      <c r="Y49" s="745"/>
      <c r="Z49" s="771">
        <v>0</v>
      </c>
      <c r="AA49" s="592" t="str">
        <f t="shared" si="10"/>
        <v>47.0284.1.2.17.00.01.039.01.02.03.1</v>
      </c>
      <c r="AB49" s="772" t="s">
        <v>1996</v>
      </c>
      <c r="AC49" s="770">
        <v>0</v>
      </c>
      <c r="AD49" s="592" t="str">
        <f t="shared" si="11"/>
        <v>47.0284.1.2.17.00.01.039.01.02.03.2</v>
      </c>
      <c r="AE49" s="772" t="s">
        <v>1998</v>
      </c>
      <c r="AF49" s="770">
        <v>0</v>
      </c>
      <c r="AG49" s="592" t="str">
        <f t="shared" si="12"/>
        <v>47.0284.1.2.17.00.01.039.01.02.03.3</v>
      </c>
      <c r="AH49" s="772" t="s">
        <v>2000</v>
      </c>
      <c r="AI49" s="158"/>
    </row>
    <row r="50" spans="1:35" ht="15" hidden="1" customHeight="1" outlineLevel="3">
      <c r="A50" s="93">
        <v>201075</v>
      </c>
      <c r="B50" s="93">
        <v>3481</v>
      </c>
      <c r="C50" s="93"/>
      <c r="D50" s="93"/>
      <c r="E50" s="868" t="s">
        <v>3052</v>
      </c>
      <c r="F50" s="868" t="s">
        <v>5124</v>
      </c>
      <c r="G50" s="37" t="s">
        <v>21</v>
      </c>
      <c r="H50" s="707">
        <f>IFERROR(VLOOKUP(A50,'Colar QL'!A:C,3,0),0)</f>
        <v>0</v>
      </c>
      <c r="I50" s="69">
        <f t="shared" si="0"/>
        <v>0</v>
      </c>
      <c r="J50" s="771">
        <f>'BD Temp'!E64</f>
        <v>0</v>
      </c>
      <c r="K50" s="590" t="str">
        <f t="shared" si="7"/>
        <v>47.0284.1.2.17.00.01.039.01.02.26.1</v>
      </c>
      <c r="L50" s="771" t="s">
        <v>1996</v>
      </c>
      <c r="M50" s="772" t="str">
        <f>'BD Temp'!F64</f>
        <v>-</v>
      </c>
      <c r="N50" s="770">
        <f>'BD Temp'!J64</f>
        <v>0</v>
      </c>
      <c r="O50" s="592" t="str">
        <f t="shared" si="8"/>
        <v>47.0284.1.2.17.00.01.039.01.02.26.2</v>
      </c>
      <c r="P50" s="772" t="s">
        <v>1998</v>
      </c>
      <c r="Q50" s="772" t="str">
        <f>'BD Temp'!K64</f>
        <v>-</v>
      </c>
      <c r="R50" s="770">
        <f>'BD Temp'!O64</f>
        <v>0</v>
      </c>
      <c r="S50" s="592" t="str">
        <f t="shared" si="9"/>
        <v>47.0284.1.2.17.00.01.039.01.02.26.3</v>
      </c>
      <c r="T50" s="772" t="s">
        <v>2000</v>
      </c>
      <c r="U50" s="772" t="str">
        <f>'BD Temp'!P64</f>
        <v>-</v>
      </c>
      <c r="V50" s="869"/>
      <c r="W50" s="869"/>
      <c r="X50" s="869"/>
      <c r="Y50" s="745"/>
      <c r="Z50" s="771">
        <v>0</v>
      </c>
      <c r="AA50" s="592" t="str">
        <f t="shared" si="10"/>
        <v>47.0284.1.2.17.00.01.039.01.02.26.1</v>
      </c>
      <c r="AB50" s="772" t="s">
        <v>1996</v>
      </c>
      <c r="AC50" s="770">
        <v>0</v>
      </c>
      <c r="AD50" s="592" t="str">
        <f t="shared" si="11"/>
        <v>47.0284.1.2.17.00.01.039.01.02.26.2</v>
      </c>
      <c r="AE50" s="772" t="s">
        <v>1998</v>
      </c>
      <c r="AF50" s="770">
        <v>0</v>
      </c>
      <c r="AG50" s="592" t="str">
        <f t="shared" si="12"/>
        <v>47.0284.1.2.17.00.01.039.01.02.26.3</v>
      </c>
      <c r="AH50" s="772" t="s">
        <v>2000</v>
      </c>
      <c r="AI50" s="158"/>
    </row>
    <row r="51" spans="1:35" ht="15" hidden="1" customHeight="1" outlineLevel="3">
      <c r="A51" s="93">
        <v>201085</v>
      </c>
      <c r="B51" s="93">
        <v>3481</v>
      </c>
      <c r="C51" s="93"/>
      <c r="D51" s="93"/>
      <c r="E51" s="868" t="s">
        <v>3054</v>
      </c>
      <c r="F51" s="868" t="s">
        <v>5124</v>
      </c>
      <c r="G51" s="37" t="s">
        <v>22</v>
      </c>
      <c r="H51" s="707">
        <f>IFERROR(VLOOKUP(A51,'Colar QL'!A:C,3,0),0)</f>
        <v>0</v>
      </c>
      <c r="I51" s="69">
        <f t="shared" si="0"/>
        <v>0</v>
      </c>
      <c r="J51" s="771">
        <f>'BD Temp'!E65</f>
        <v>0</v>
      </c>
      <c r="K51" s="590" t="str">
        <f t="shared" si="7"/>
        <v>47.0284.1.2.17.00.01.039.01.02.26.1</v>
      </c>
      <c r="L51" s="771" t="s">
        <v>1996</v>
      </c>
      <c r="M51" s="772" t="str">
        <f>'BD Temp'!F65</f>
        <v>-</v>
      </c>
      <c r="N51" s="770">
        <f>'BD Temp'!J65</f>
        <v>0</v>
      </c>
      <c r="O51" s="592" t="str">
        <f t="shared" si="8"/>
        <v>47.0284.1.2.17.00.01.039.01.02.26.2</v>
      </c>
      <c r="P51" s="772" t="s">
        <v>1998</v>
      </c>
      <c r="Q51" s="772" t="str">
        <f>'BD Temp'!K65</f>
        <v>-</v>
      </c>
      <c r="R51" s="770">
        <f>'BD Temp'!O65</f>
        <v>0</v>
      </c>
      <c r="S51" s="592" t="str">
        <f t="shared" si="9"/>
        <v>47.0284.1.2.17.00.01.039.01.02.26.3</v>
      </c>
      <c r="T51" s="772" t="s">
        <v>2000</v>
      </c>
      <c r="U51" s="772" t="str">
        <f>'BD Temp'!P65</f>
        <v>-</v>
      </c>
      <c r="V51" s="869"/>
      <c r="W51" s="869"/>
      <c r="X51" s="869"/>
      <c r="Y51" s="745"/>
      <c r="Z51" s="771">
        <v>0</v>
      </c>
      <c r="AA51" s="592" t="str">
        <f t="shared" si="10"/>
        <v>47.0284.1.2.17.00.01.039.01.02.26.1</v>
      </c>
      <c r="AB51" s="772" t="s">
        <v>1996</v>
      </c>
      <c r="AC51" s="770">
        <v>0</v>
      </c>
      <c r="AD51" s="592" t="str">
        <f t="shared" si="11"/>
        <v>47.0284.1.2.17.00.01.039.01.02.26.2</v>
      </c>
      <c r="AE51" s="772" t="s">
        <v>1998</v>
      </c>
      <c r="AF51" s="770">
        <v>0</v>
      </c>
      <c r="AG51" s="592" t="str">
        <f t="shared" si="12"/>
        <v>47.0284.1.2.17.00.01.039.01.02.26.3</v>
      </c>
      <c r="AH51" s="772" t="s">
        <v>2000</v>
      </c>
      <c r="AI51" s="158"/>
    </row>
    <row r="52" spans="1:35" ht="15" hidden="1" customHeight="1" outlineLevel="3">
      <c r="A52" s="93">
        <v>201080</v>
      </c>
      <c r="B52" s="93">
        <v>3481</v>
      </c>
      <c r="C52" s="93"/>
      <c r="D52" s="93"/>
      <c r="E52" s="868" t="s">
        <v>3054</v>
      </c>
      <c r="F52" s="868" t="s">
        <v>5124</v>
      </c>
      <c r="G52" s="37" t="s">
        <v>23</v>
      </c>
      <c r="H52" s="707">
        <f>IFERROR(VLOOKUP(A52,'Colar QL'!A:C,3,0),0)</f>
        <v>0</v>
      </c>
      <c r="I52" s="69">
        <f t="shared" si="0"/>
        <v>0</v>
      </c>
      <c r="J52" s="771">
        <f>'BD Temp'!E66</f>
        <v>0</v>
      </c>
      <c r="K52" s="590" t="str">
        <f t="shared" si="7"/>
        <v>47.0284.1.2.17.00.01.039.01.02.26.1</v>
      </c>
      <c r="L52" s="771" t="s">
        <v>1996</v>
      </c>
      <c r="M52" s="772" t="str">
        <f>'BD Temp'!F66</f>
        <v>-</v>
      </c>
      <c r="N52" s="770">
        <f>'BD Temp'!J66</f>
        <v>0</v>
      </c>
      <c r="O52" s="592" t="str">
        <f t="shared" si="8"/>
        <v>47.0284.1.2.17.00.01.039.01.02.26.2</v>
      </c>
      <c r="P52" s="772" t="s">
        <v>1998</v>
      </c>
      <c r="Q52" s="772" t="str">
        <f>'BD Temp'!K66</f>
        <v>-</v>
      </c>
      <c r="R52" s="770">
        <f>'BD Temp'!O66</f>
        <v>0</v>
      </c>
      <c r="S52" s="592" t="str">
        <f t="shared" si="9"/>
        <v>47.0284.1.2.17.00.01.039.01.02.26.3</v>
      </c>
      <c r="T52" s="772" t="s">
        <v>2000</v>
      </c>
      <c r="U52" s="772" t="str">
        <f>'BD Temp'!P66</f>
        <v>-</v>
      </c>
      <c r="V52" s="869"/>
      <c r="W52" s="869"/>
      <c r="X52" s="869"/>
      <c r="Y52" s="745"/>
      <c r="Z52" s="771">
        <v>0</v>
      </c>
      <c r="AA52" s="592" t="str">
        <f t="shared" si="10"/>
        <v>47.0284.1.2.17.00.01.039.01.02.26.1</v>
      </c>
      <c r="AB52" s="772" t="s">
        <v>1996</v>
      </c>
      <c r="AC52" s="770">
        <v>0</v>
      </c>
      <c r="AD52" s="592" t="str">
        <f t="shared" si="11"/>
        <v>47.0284.1.2.17.00.01.039.01.02.26.2</v>
      </c>
      <c r="AE52" s="772" t="s">
        <v>1998</v>
      </c>
      <c r="AF52" s="770">
        <v>0</v>
      </c>
      <c r="AG52" s="592" t="str">
        <f t="shared" si="12"/>
        <v>47.0284.1.2.17.00.01.039.01.02.26.3</v>
      </c>
      <c r="AH52" s="772" t="s">
        <v>2000</v>
      </c>
      <c r="AI52" s="158"/>
    </row>
    <row r="53" spans="1:35" ht="15" hidden="1" customHeight="1" outlineLevel="3">
      <c r="A53" s="93">
        <v>201090</v>
      </c>
      <c r="B53" s="93">
        <v>3481</v>
      </c>
      <c r="C53" s="93"/>
      <c r="D53" s="93"/>
      <c r="E53" s="868" t="s">
        <v>3054</v>
      </c>
      <c r="F53" s="868" t="s">
        <v>5124</v>
      </c>
      <c r="G53" s="37" t="s">
        <v>24</v>
      </c>
      <c r="H53" s="707">
        <f>IFERROR(VLOOKUP(A53,'Colar QL'!A:C,3,0),0)</f>
        <v>0</v>
      </c>
      <c r="I53" s="69">
        <f t="shared" si="0"/>
        <v>0</v>
      </c>
      <c r="J53" s="771">
        <f>'BD Temp'!E67</f>
        <v>0</v>
      </c>
      <c r="K53" s="590" t="str">
        <f t="shared" si="7"/>
        <v>47.0284.1.2.17.00.01.039.01.02.26.1</v>
      </c>
      <c r="L53" s="771" t="s">
        <v>1996</v>
      </c>
      <c r="M53" s="772" t="str">
        <f>'BD Temp'!F67</f>
        <v>-</v>
      </c>
      <c r="N53" s="770">
        <f>'BD Temp'!J67</f>
        <v>0</v>
      </c>
      <c r="O53" s="592" t="str">
        <f t="shared" si="8"/>
        <v>47.0284.1.2.17.00.01.039.01.02.26.2</v>
      </c>
      <c r="P53" s="772" t="s">
        <v>1998</v>
      </c>
      <c r="Q53" s="772" t="str">
        <f>'BD Temp'!K67</f>
        <v>-</v>
      </c>
      <c r="R53" s="770">
        <f>'BD Temp'!O67</f>
        <v>0</v>
      </c>
      <c r="S53" s="592" t="str">
        <f t="shared" si="9"/>
        <v>47.0284.1.2.17.00.01.039.01.02.26.3</v>
      </c>
      <c r="T53" s="772" t="s">
        <v>2000</v>
      </c>
      <c r="U53" s="772" t="str">
        <f>'BD Temp'!P67</f>
        <v>-</v>
      </c>
      <c r="V53" s="869"/>
      <c r="W53" s="869"/>
      <c r="X53" s="869"/>
      <c r="Y53" s="745"/>
      <c r="Z53" s="771">
        <v>0</v>
      </c>
      <c r="AA53" s="592" t="str">
        <f t="shared" si="10"/>
        <v>47.0284.1.2.17.00.01.039.01.02.26.1</v>
      </c>
      <c r="AB53" s="772" t="s">
        <v>1996</v>
      </c>
      <c r="AC53" s="770">
        <v>0</v>
      </c>
      <c r="AD53" s="592" t="str">
        <f t="shared" si="11"/>
        <v>47.0284.1.2.17.00.01.039.01.02.26.2</v>
      </c>
      <c r="AE53" s="772" t="s">
        <v>1998</v>
      </c>
      <c r="AF53" s="770">
        <v>0</v>
      </c>
      <c r="AG53" s="592" t="str">
        <f t="shared" si="12"/>
        <v>47.0284.1.2.17.00.01.039.01.02.26.3</v>
      </c>
      <c r="AH53" s="772" t="s">
        <v>2000</v>
      </c>
      <c r="AI53" s="158"/>
    </row>
    <row r="54" spans="1:35" ht="15" hidden="1" customHeight="1" outlineLevel="3">
      <c r="A54" s="93">
        <v>201095</v>
      </c>
      <c r="B54" s="93">
        <v>3481</v>
      </c>
      <c r="C54" s="93"/>
      <c r="D54" s="93"/>
      <c r="E54" s="868" t="s">
        <v>3054</v>
      </c>
      <c r="F54" s="868" t="s">
        <v>5124</v>
      </c>
      <c r="G54" s="37" t="s">
        <v>25</v>
      </c>
      <c r="H54" s="707">
        <f>IFERROR(VLOOKUP(A54,'Colar QL'!A:C,3,0),0)</f>
        <v>0</v>
      </c>
      <c r="I54" s="69">
        <f t="shared" si="0"/>
        <v>0</v>
      </c>
      <c r="J54" s="771">
        <f>'BD Temp'!E68</f>
        <v>0</v>
      </c>
      <c r="K54" s="590" t="str">
        <f t="shared" si="7"/>
        <v>47.0284.1.2.17.00.01.039.01.02.26.1</v>
      </c>
      <c r="L54" s="771" t="s">
        <v>1996</v>
      </c>
      <c r="M54" s="772" t="str">
        <f>'BD Temp'!F68</f>
        <v>-</v>
      </c>
      <c r="N54" s="770">
        <f>'BD Temp'!J68</f>
        <v>0</v>
      </c>
      <c r="O54" s="592" t="str">
        <f t="shared" si="8"/>
        <v>47.0284.1.2.17.00.01.039.01.02.26.2</v>
      </c>
      <c r="P54" s="772" t="s">
        <v>1998</v>
      </c>
      <c r="Q54" s="772" t="str">
        <f>'BD Temp'!K68</f>
        <v>-</v>
      </c>
      <c r="R54" s="770">
        <f>'BD Temp'!O68</f>
        <v>0</v>
      </c>
      <c r="S54" s="592" t="str">
        <f t="shared" si="9"/>
        <v>47.0284.1.2.17.00.01.039.01.02.26.3</v>
      </c>
      <c r="T54" s="772" t="s">
        <v>2000</v>
      </c>
      <c r="U54" s="772" t="str">
        <f>'BD Temp'!P68</f>
        <v>-</v>
      </c>
      <c r="V54" s="869"/>
      <c r="W54" s="869"/>
      <c r="X54" s="869"/>
      <c r="Y54" s="745"/>
      <c r="Z54" s="771">
        <v>0</v>
      </c>
      <c r="AA54" s="592" t="str">
        <f t="shared" si="10"/>
        <v>47.0284.1.2.17.00.01.039.01.02.26.1</v>
      </c>
      <c r="AB54" s="772" t="s">
        <v>1996</v>
      </c>
      <c r="AC54" s="770">
        <v>0</v>
      </c>
      <c r="AD54" s="592" t="str">
        <f t="shared" si="11"/>
        <v>47.0284.1.2.17.00.01.039.01.02.26.2</v>
      </c>
      <c r="AE54" s="772" t="s">
        <v>1998</v>
      </c>
      <c r="AF54" s="770">
        <v>0</v>
      </c>
      <c r="AG54" s="592" t="str">
        <f t="shared" si="12"/>
        <v>47.0284.1.2.17.00.01.039.01.02.26.3</v>
      </c>
      <c r="AH54" s="772" t="s">
        <v>2000</v>
      </c>
      <c r="AI54" s="158"/>
    </row>
    <row r="55" spans="1:35" ht="15" hidden="1" customHeight="1" outlineLevel="3">
      <c r="A55" s="93">
        <v>201100</v>
      </c>
      <c r="B55" s="93">
        <v>3481</v>
      </c>
      <c r="C55" s="93"/>
      <c r="D55" s="93"/>
      <c r="E55" s="868" t="s">
        <v>3054</v>
      </c>
      <c r="F55" s="868" t="s">
        <v>5124</v>
      </c>
      <c r="G55" s="37" t="s">
        <v>26</v>
      </c>
      <c r="H55" s="707">
        <f>IFERROR(VLOOKUP(A55,'Colar QL'!A:C,3,0),0)</f>
        <v>0</v>
      </c>
      <c r="I55" s="69">
        <f t="shared" si="0"/>
        <v>0</v>
      </c>
      <c r="J55" s="771">
        <f>'BD Temp'!E69</f>
        <v>0</v>
      </c>
      <c r="K55" s="590" t="str">
        <f t="shared" si="7"/>
        <v>47.0284.1.2.17.00.01.039.01.02.26.1</v>
      </c>
      <c r="L55" s="771" t="s">
        <v>1996</v>
      </c>
      <c r="M55" s="772" t="str">
        <f>'BD Temp'!F69</f>
        <v>-</v>
      </c>
      <c r="N55" s="770">
        <f>'BD Temp'!J69</f>
        <v>0</v>
      </c>
      <c r="O55" s="592" t="str">
        <f t="shared" si="8"/>
        <v>47.0284.1.2.17.00.01.039.01.02.26.2</v>
      </c>
      <c r="P55" s="772" t="s">
        <v>1998</v>
      </c>
      <c r="Q55" s="772" t="str">
        <f>'BD Temp'!K69</f>
        <v>-</v>
      </c>
      <c r="R55" s="770">
        <f>'BD Temp'!O69</f>
        <v>0</v>
      </c>
      <c r="S55" s="592" t="str">
        <f t="shared" si="9"/>
        <v>47.0284.1.2.17.00.01.039.01.02.26.3</v>
      </c>
      <c r="T55" s="772" t="s">
        <v>2000</v>
      </c>
      <c r="U55" s="772" t="str">
        <f>'BD Temp'!P69</f>
        <v>-</v>
      </c>
      <c r="V55" s="869"/>
      <c r="W55" s="869"/>
      <c r="X55" s="869"/>
      <c r="Y55" s="745"/>
      <c r="Z55" s="771">
        <v>0</v>
      </c>
      <c r="AA55" s="592" t="str">
        <f t="shared" si="10"/>
        <v>47.0284.1.2.17.00.01.039.01.02.26.1</v>
      </c>
      <c r="AB55" s="772" t="s">
        <v>1996</v>
      </c>
      <c r="AC55" s="770">
        <v>0</v>
      </c>
      <c r="AD55" s="592" t="str">
        <f t="shared" si="11"/>
        <v>47.0284.1.2.17.00.01.039.01.02.26.2</v>
      </c>
      <c r="AE55" s="772" t="s">
        <v>1998</v>
      </c>
      <c r="AF55" s="770">
        <v>0</v>
      </c>
      <c r="AG55" s="592" t="str">
        <f t="shared" si="12"/>
        <v>47.0284.1.2.17.00.01.039.01.02.26.3</v>
      </c>
      <c r="AH55" s="772" t="s">
        <v>2000</v>
      </c>
      <c r="AI55" s="158"/>
    </row>
    <row r="56" spans="1:35" ht="15" hidden="1" customHeight="1" outlineLevel="3">
      <c r="A56" s="93">
        <v>201115</v>
      </c>
      <c r="B56" s="93">
        <v>3481</v>
      </c>
      <c r="C56" s="93"/>
      <c r="D56" s="93"/>
      <c r="E56" s="868" t="s">
        <v>3054</v>
      </c>
      <c r="F56" s="868" t="s">
        <v>5124</v>
      </c>
      <c r="G56" s="37" t="s">
        <v>29</v>
      </c>
      <c r="H56" s="707">
        <f>IFERROR(VLOOKUP(A56,'Colar QL'!A:C,3,0),0)</f>
        <v>0</v>
      </c>
      <c r="I56" s="69">
        <f t="shared" si="0"/>
        <v>0</v>
      </c>
      <c r="J56" s="771">
        <f>'BD Temp'!E70</f>
        <v>0</v>
      </c>
      <c r="K56" s="590" t="str">
        <f t="shared" si="7"/>
        <v>47.0284.1.2.17.00.01.039.01.02.26.1</v>
      </c>
      <c r="L56" s="771" t="s">
        <v>1996</v>
      </c>
      <c r="M56" s="772" t="str">
        <f>'BD Temp'!F70</f>
        <v>-</v>
      </c>
      <c r="N56" s="770">
        <f>'BD Temp'!J70</f>
        <v>0</v>
      </c>
      <c r="O56" s="592" t="str">
        <f t="shared" si="8"/>
        <v>47.0284.1.2.17.00.01.039.01.02.26.2</v>
      </c>
      <c r="P56" s="772" t="s">
        <v>1998</v>
      </c>
      <c r="Q56" s="772" t="str">
        <f>'BD Temp'!K70</f>
        <v>-</v>
      </c>
      <c r="R56" s="770">
        <f>'BD Temp'!O70</f>
        <v>0</v>
      </c>
      <c r="S56" s="592" t="str">
        <f t="shared" si="9"/>
        <v>47.0284.1.2.17.00.01.039.01.02.26.3</v>
      </c>
      <c r="T56" s="772" t="s">
        <v>2000</v>
      </c>
      <c r="U56" s="772" t="str">
        <f>'BD Temp'!P70</f>
        <v>-</v>
      </c>
      <c r="V56" s="869"/>
      <c r="W56" s="869"/>
      <c r="X56" s="869"/>
      <c r="Y56" s="745"/>
      <c r="Z56" s="771">
        <v>0</v>
      </c>
      <c r="AA56" s="592" t="str">
        <f t="shared" si="10"/>
        <v>47.0284.1.2.17.00.01.039.01.02.26.1</v>
      </c>
      <c r="AB56" s="772" t="s">
        <v>1996</v>
      </c>
      <c r="AC56" s="770">
        <v>0</v>
      </c>
      <c r="AD56" s="592" t="str">
        <f t="shared" si="11"/>
        <v>47.0284.1.2.17.00.01.039.01.02.26.2</v>
      </c>
      <c r="AE56" s="772" t="s">
        <v>1998</v>
      </c>
      <c r="AF56" s="770">
        <v>0</v>
      </c>
      <c r="AG56" s="592" t="str">
        <f t="shared" si="12"/>
        <v>47.0284.1.2.17.00.01.039.01.02.26.3</v>
      </c>
      <c r="AH56" s="772" t="s">
        <v>2000</v>
      </c>
      <c r="AI56" s="158"/>
    </row>
    <row r="57" spans="1:35" ht="15" hidden="1" customHeight="1" outlineLevel="3">
      <c r="A57" s="93">
        <v>201155</v>
      </c>
      <c r="B57" s="93">
        <v>3481</v>
      </c>
      <c r="C57" s="93"/>
      <c r="D57" s="93"/>
      <c r="E57" s="868" t="s">
        <v>3054</v>
      </c>
      <c r="F57" s="868" t="s">
        <v>5124</v>
      </c>
      <c r="G57" s="37" t="s">
        <v>34</v>
      </c>
      <c r="H57" s="707">
        <f>IFERROR(VLOOKUP(A57,'Colar QL'!A:C,3,0),0)</f>
        <v>0</v>
      </c>
      <c r="I57" s="69">
        <f t="shared" si="0"/>
        <v>0</v>
      </c>
      <c r="J57" s="771">
        <f>'BD Temp'!E71</f>
        <v>0</v>
      </c>
      <c r="K57" s="590" t="str">
        <f t="shared" si="7"/>
        <v>47.0284.1.2.17.00.01.039.01.02.26.1</v>
      </c>
      <c r="L57" s="771" t="s">
        <v>1996</v>
      </c>
      <c r="M57" s="772" t="str">
        <f>'BD Temp'!F71</f>
        <v>-</v>
      </c>
      <c r="N57" s="770">
        <f>'BD Temp'!J71</f>
        <v>0</v>
      </c>
      <c r="O57" s="592" t="str">
        <f t="shared" si="8"/>
        <v>47.0284.1.2.17.00.01.039.01.02.26.2</v>
      </c>
      <c r="P57" s="772" t="s">
        <v>1998</v>
      </c>
      <c r="Q57" s="772" t="str">
        <f>'BD Temp'!K71</f>
        <v>-</v>
      </c>
      <c r="R57" s="770">
        <f>'BD Temp'!O71</f>
        <v>0</v>
      </c>
      <c r="S57" s="592" t="str">
        <f t="shared" si="9"/>
        <v>47.0284.1.2.17.00.01.039.01.02.26.3</v>
      </c>
      <c r="T57" s="772" t="s">
        <v>2000</v>
      </c>
      <c r="U57" s="772" t="str">
        <f>'BD Temp'!P71</f>
        <v>-</v>
      </c>
      <c r="V57" s="869"/>
      <c r="W57" s="869"/>
      <c r="X57" s="869"/>
      <c r="Y57" s="745"/>
      <c r="Z57" s="771">
        <v>0</v>
      </c>
      <c r="AA57" s="592" t="str">
        <f t="shared" si="10"/>
        <v>47.0284.1.2.17.00.01.039.01.02.26.1</v>
      </c>
      <c r="AB57" s="772" t="s">
        <v>1996</v>
      </c>
      <c r="AC57" s="770">
        <v>0</v>
      </c>
      <c r="AD57" s="592" t="str">
        <f t="shared" si="11"/>
        <v>47.0284.1.2.17.00.01.039.01.02.26.2</v>
      </c>
      <c r="AE57" s="772" t="s">
        <v>1998</v>
      </c>
      <c r="AF57" s="770">
        <v>0</v>
      </c>
      <c r="AG57" s="592" t="str">
        <f t="shared" si="12"/>
        <v>47.0284.1.2.17.00.01.039.01.02.26.3</v>
      </c>
      <c r="AH57" s="772" t="s">
        <v>2000</v>
      </c>
      <c r="AI57" s="158"/>
    </row>
    <row r="58" spans="1:35" ht="15" hidden="1" customHeight="1" outlineLevel="3">
      <c r="A58" s="93">
        <v>201160</v>
      </c>
      <c r="B58" s="93">
        <v>3481</v>
      </c>
      <c r="C58" s="93"/>
      <c r="D58" s="93"/>
      <c r="E58" s="868" t="s">
        <v>3054</v>
      </c>
      <c r="F58" s="868" t="s">
        <v>5124</v>
      </c>
      <c r="G58" s="37" t="s">
        <v>35</v>
      </c>
      <c r="H58" s="707">
        <f>IFERROR(VLOOKUP(A58,'Colar QL'!A:C,3,0),0)</f>
        <v>0</v>
      </c>
      <c r="I58" s="69">
        <f t="shared" si="0"/>
        <v>0</v>
      </c>
      <c r="J58" s="771">
        <f>'BD Temp'!E72</f>
        <v>0</v>
      </c>
      <c r="K58" s="590" t="str">
        <f t="shared" si="7"/>
        <v>47.0284.1.2.17.00.01.039.01.02.26.1</v>
      </c>
      <c r="L58" s="771" t="s">
        <v>1996</v>
      </c>
      <c r="M58" s="772" t="str">
        <f>'BD Temp'!F72</f>
        <v>-</v>
      </c>
      <c r="N58" s="770">
        <f>'BD Temp'!J72</f>
        <v>0</v>
      </c>
      <c r="O58" s="592" t="str">
        <f t="shared" si="8"/>
        <v>47.0284.1.2.17.00.01.039.01.02.26.2</v>
      </c>
      <c r="P58" s="772" t="s">
        <v>1998</v>
      </c>
      <c r="Q58" s="772" t="str">
        <f>'BD Temp'!K72</f>
        <v>-</v>
      </c>
      <c r="R58" s="770">
        <f>'BD Temp'!O72</f>
        <v>0</v>
      </c>
      <c r="S58" s="592" t="str">
        <f t="shared" si="9"/>
        <v>47.0284.1.2.17.00.01.039.01.02.26.3</v>
      </c>
      <c r="T58" s="772" t="s">
        <v>2000</v>
      </c>
      <c r="U58" s="772" t="str">
        <f>'BD Temp'!P72</f>
        <v>-</v>
      </c>
      <c r="V58" s="869"/>
      <c r="W58" s="869"/>
      <c r="X58" s="869"/>
      <c r="Y58" s="745"/>
      <c r="Z58" s="771">
        <v>0</v>
      </c>
      <c r="AA58" s="592" t="str">
        <f t="shared" si="10"/>
        <v>47.0284.1.2.17.00.01.039.01.02.26.1</v>
      </c>
      <c r="AB58" s="772" t="s">
        <v>1996</v>
      </c>
      <c r="AC58" s="770">
        <v>0</v>
      </c>
      <c r="AD58" s="592" t="str">
        <f t="shared" si="11"/>
        <v>47.0284.1.2.17.00.01.039.01.02.26.2</v>
      </c>
      <c r="AE58" s="772" t="s">
        <v>1998</v>
      </c>
      <c r="AF58" s="770">
        <v>0</v>
      </c>
      <c r="AG58" s="592" t="str">
        <f t="shared" si="12"/>
        <v>47.0284.1.2.17.00.01.039.01.02.26.3</v>
      </c>
      <c r="AH58" s="772" t="s">
        <v>2000</v>
      </c>
      <c r="AI58" s="158"/>
    </row>
    <row r="59" spans="1:35" ht="15" hidden="1" customHeight="1" outlineLevel="3">
      <c r="A59" s="93">
        <v>201165</v>
      </c>
      <c r="B59" s="93">
        <v>3481</v>
      </c>
      <c r="C59" s="93"/>
      <c r="D59" s="93"/>
      <c r="E59" s="868" t="s">
        <v>3054</v>
      </c>
      <c r="F59" s="868" t="s">
        <v>5124</v>
      </c>
      <c r="G59" s="37" t="s">
        <v>37</v>
      </c>
      <c r="H59" s="707">
        <f>IFERROR(VLOOKUP(A59,'Colar QL'!A:C,3,0),0)</f>
        <v>0</v>
      </c>
      <c r="I59" s="69">
        <f t="shared" si="0"/>
        <v>0</v>
      </c>
      <c r="J59" s="771">
        <f>'BD Temp'!E73</f>
        <v>0</v>
      </c>
      <c r="K59" s="590" t="str">
        <f t="shared" si="7"/>
        <v>47.0284.1.2.17.00.01.039.01.02.26.1</v>
      </c>
      <c r="L59" s="771" t="s">
        <v>1996</v>
      </c>
      <c r="M59" s="772" t="str">
        <f>'BD Temp'!F73</f>
        <v>-</v>
      </c>
      <c r="N59" s="770">
        <f>'BD Temp'!J73</f>
        <v>0</v>
      </c>
      <c r="O59" s="592" t="str">
        <f t="shared" si="8"/>
        <v>47.0284.1.2.17.00.01.039.01.02.26.2</v>
      </c>
      <c r="P59" s="772" t="s">
        <v>1998</v>
      </c>
      <c r="Q59" s="772" t="str">
        <f>'BD Temp'!K73</f>
        <v>-</v>
      </c>
      <c r="R59" s="770">
        <f>'BD Temp'!O73</f>
        <v>0</v>
      </c>
      <c r="S59" s="592" t="str">
        <f t="shared" si="9"/>
        <v>47.0284.1.2.17.00.01.039.01.02.26.3</v>
      </c>
      <c r="T59" s="772" t="s">
        <v>2000</v>
      </c>
      <c r="U59" s="772" t="str">
        <f>'BD Temp'!P73</f>
        <v>-</v>
      </c>
      <c r="V59" s="869"/>
      <c r="W59" s="869"/>
      <c r="X59" s="869"/>
      <c r="Y59" s="745"/>
      <c r="Z59" s="771">
        <v>0</v>
      </c>
      <c r="AA59" s="592" t="str">
        <f t="shared" si="10"/>
        <v>47.0284.1.2.17.00.01.039.01.02.26.1</v>
      </c>
      <c r="AB59" s="772" t="s">
        <v>1996</v>
      </c>
      <c r="AC59" s="770">
        <v>0</v>
      </c>
      <c r="AD59" s="592" t="str">
        <f t="shared" si="11"/>
        <v>47.0284.1.2.17.00.01.039.01.02.26.2</v>
      </c>
      <c r="AE59" s="772" t="s">
        <v>1998</v>
      </c>
      <c r="AF59" s="770">
        <v>0</v>
      </c>
      <c r="AG59" s="592" t="str">
        <f t="shared" si="12"/>
        <v>47.0284.1.2.17.00.01.039.01.02.26.3</v>
      </c>
      <c r="AH59" s="772" t="s">
        <v>2000</v>
      </c>
      <c r="AI59" s="158"/>
    </row>
    <row r="60" spans="1:35" ht="15" hidden="1" customHeight="1" outlineLevel="3">
      <c r="A60" s="93">
        <v>201190</v>
      </c>
      <c r="B60" s="93">
        <v>3481</v>
      </c>
      <c r="C60" s="93"/>
      <c r="D60" s="93"/>
      <c r="E60" s="868" t="s">
        <v>3054</v>
      </c>
      <c r="F60" s="868" t="s">
        <v>5124</v>
      </c>
      <c r="G60" s="37" t="s">
        <v>38</v>
      </c>
      <c r="H60" s="707">
        <f>IFERROR(VLOOKUP(A60,'Colar QL'!A:C,3,0),0)</f>
        <v>0</v>
      </c>
      <c r="I60" s="69">
        <f t="shared" si="0"/>
        <v>0</v>
      </c>
      <c r="J60" s="771">
        <f>'BD Temp'!E74</f>
        <v>0</v>
      </c>
      <c r="K60" s="590" t="str">
        <f t="shared" si="7"/>
        <v>47.0284.1.2.17.00.01.039.01.02.26.1</v>
      </c>
      <c r="L60" s="771" t="s">
        <v>1996</v>
      </c>
      <c r="M60" s="772" t="str">
        <f>'BD Temp'!F74</f>
        <v>-</v>
      </c>
      <c r="N60" s="770">
        <f>'BD Temp'!J74</f>
        <v>0</v>
      </c>
      <c r="O60" s="592" t="str">
        <f t="shared" si="8"/>
        <v>47.0284.1.2.17.00.01.039.01.02.26.2</v>
      </c>
      <c r="P60" s="772" t="s">
        <v>1998</v>
      </c>
      <c r="Q60" s="772" t="str">
        <f>'BD Temp'!K74</f>
        <v>-</v>
      </c>
      <c r="R60" s="770">
        <f>'BD Temp'!O74</f>
        <v>0</v>
      </c>
      <c r="S60" s="592" t="str">
        <f t="shared" si="9"/>
        <v>47.0284.1.2.17.00.01.039.01.02.26.3</v>
      </c>
      <c r="T60" s="772" t="s">
        <v>2000</v>
      </c>
      <c r="U60" s="772" t="str">
        <f>'BD Temp'!P74</f>
        <v>-</v>
      </c>
      <c r="V60" s="869"/>
      <c r="W60" s="869"/>
      <c r="X60" s="869"/>
      <c r="Y60" s="745"/>
      <c r="Z60" s="771">
        <v>0</v>
      </c>
      <c r="AA60" s="592" t="str">
        <f t="shared" si="10"/>
        <v>47.0284.1.2.17.00.01.039.01.02.26.1</v>
      </c>
      <c r="AB60" s="772" t="s">
        <v>1996</v>
      </c>
      <c r="AC60" s="770">
        <v>0</v>
      </c>
      <c r="AD60" s="592" t="str">
        <f t="shared" si="11"/>
        <v>47.0284.1.2.17.00.01.039.01.02.26.2</v>
      </c>
      <c r="AE60" s="772" t="s">
        <v>1998</v>
      </c>
      <c r="AF60" s="770">
        <v>0</v>
      </c>
      <c r="AG60" s="592" t="str">
        <f t="shared" si="12"/>
        <v>47.0284.1.2.17.00.01.039.01.02.26.3</v>
      </c>
      <c r="AH60" s="772" t="s">
        <v>2000</v>
      </c>
      <c r="AI60" s="158"/>
    </row>
    <row r="61" spans="1:35" ht="15" hidden="1" customHeight="1" outlineLevel="3">
      <c r="A61" s="93">
        <v>201125</v>
      </c>
      <c r="B61" s="93">
        <v>3481</v>
      </c>
      <c r="C61" s="93"/>
      <c r="D61" s="93"/>
      <c r="E61" s="868" t="s">
        <v>3054</v>
      </c>
      <c r="F61" s="868" t="s">
        <v>5124</v>
      </c>
      <c r="G61" s="37" t="s">
        <v>30</v>
      </c>
      <c r="H61" s="707">
        <f>IFERROR(VLOOKUP(A61,'Colar QL'!A:C,3,0),0)</f>
        <v>0</v>
      </c>
      <c r="I61" s="69">
        <f t="shared" si="0"/>
        <v>0</v>
      </c>
      <c r="J61" s="57">
        <f>'BD Temp'!E75</f>
        <v>0</v>
      </c>
      <c r="K61" s="591" t="str">
        <f t="shared" si="7"/>
        <v>47.0284.1.2.17.00.01.039.01.02.26.1</v>
      </c>
      <c r="L61" s="57" t="s">
        <v>1996</v>
      </c>
      <c r="M61" s="87" t="str">
        <f>'BD Temp'!F75</f>
        <v>-</v>
      </c>
      <c r="N61" s="58">
        <f>'BD Temp'!J75</f>
        <v>0</v>
      </c>
      <c r="O61" s="593" t="str">
        <f t="shared" si="8"/>
        <v>47.0284.1.2.17.00.01.039.01.02.26.2</v>
      </c>
      <c r="P61" s="87" t="s">
        <v>1998</v>
      </c>
      <c r="Q61" s="87" t="str">
        <f>'BD Temp'!K75</f>
        <v>-</v>
      </c>
      <c r="R61" s="58">
        <f>'BD Temp'!O75</f>
        <v>0</v>
      </c>
      <c r="S61" s="593" t="str">
        <f t="shared" si="9"/>
        <v>47.0284.1.2.17.00.01.039.01.02.26.3</v>
      </c>
      <c r="T61" s="87" t="s">
        <v>2000</v>
      </c>
      <c r="U61" s="87" t="str">
        <f>'BD Temp'!P75</f>
        <v>-</v>
      </c>
      <c r="V61" s="869"/>
      <c r="W61" s="869"/>
      <c r="X61" s="869"/>
      <c r="Y61" s="745"/>
      <c r="Z61" s="771">
        <v>0</v>
      </c>
      <c r="AA61" s="592" t="str">
        <f t="shared" si="10"/>
        <v>47.0284.1.2.17.00.01.039.01.02.26.1</v>
      </c>
      <c r="AB61" s="772" t="s">
        <v>1996</v>
      </c>
      <c r="AC61" s="770">
        <v>0</v>
      </c>
      <c r="AD61" s="592" t="str">
        <f t="shared" si="11"/>
        <v>47.0284.1.2.17.00.01.039.01.02.26.2</v>
      </c>
      <c r="AE61" s="772" t="s">
        <v>1998</v>
      </c>
      <c r="AF61" s="770">
        <v>0</v>
      </c>
      <c r="AG61" s="592" t="str">
        <f t="shared" si="12"/>
        <v>47.0284.1.2.17.00.01.039.01.02.26.3</v>
      </c>
      <c r="AH61" s="772" t="s">
        <v>2000</v>
      </c>
      <c r="AI61" s="158"/>
    </row>
    <row r="62" spans="1:35" ht="15" hidden="1" customHeight="1" outlineLevel="3">
      <c r="A62" s="93">
        <v>201120</v>
      </c>
      <c r="B62" s="93">
        <v>3481</v>
      </c>
      <c r="C62" s="93"/>
      <c r="D62" s="93"/>
      <c r="E62" s="868" t="s">
        <v>3054</v>
      </c>
      <c r="F62" s="868" t="s">
        <v>5124</v>
      </c>
      <c r="G62" s="37" t="s">
        <v>186</v>
      </c>
      <c r="H62" s="707">
        <f>IFERROR(VLOOKUP(A62,'Colar QL'!A:C,3,0),0)</f>
        <v>0</v>
      </c>
      <c r="I62" s="69">
        <f t="shared" si="0"/>
        <v>0</v>
      </c>
      <c r="J62" s="771">
        <f>'BD Temp'!E78</f>
        <v>0</v>
      </c>
      <c r="K62" s="590" t="str">
        <f t="shared" si="7"/>
        <v>47.0284.1.2.17.00.01.039.01.02.26.1</v>
      </c>
      <c r="L62" s="771" t="s">
        <v>1996</v>
      </c>
      <c r="M62" s="772" t="str">
        <f>'BD Temp'!F78</f>
        <v>-</v>
      </c>
      <c r="N62" s="770">
        <f>'BD Temp'!J78</f>
        <v>0</v>
      </c>
      <c r="O62" s="592" t="str">
        <f t="shared" si="8"/>
        <v>47.0284.1.2.17.00.01.039.01.02.26.2</v>
      </c>
      <c r="P62" s="772" t="s">
        <v>1998</v>
      </c>
      <c r="Q62" s="772" t="str">
        <f>'BD Temp'!K78</f>
        <v>-</v>
      </c>
      <c r="R62" s="770">
        <f>'BD Temp'!O78</f>
        <v>0</v>
      </c>
      <c r="S62" s="592" t="str">
        <f t="shared" si="9"/>
        <v>47.0284.1.2.17.00.01.039.01.02.26.3</v>
      </c>
      <c r="T62" s="772" t="s">
        <v>2000</v>
      </c>
      <c r="U62" s="772" t="str">
        <f>'BD Temp'!P78</f>
        <v>-</v>
      </c>
      <c r="V62" s="869"/>
      <c r="W62" s="869"/>
      <c r="X62" s="869"/>
      <c r="Y62" s="745"/>
      <c r="Z62" s="771">
        <v>0</v>
      </c>
      <c r="AA62" s="592" t="str">
        <f t="shared" si="10"/>
        <v>47.0284.1.2.17.00.01.039.01.02.26.1</v>
      </c>
      <c r="AB62" s="772" t="s">
        <v>1996</v>
      </c>
      <c r="AC62" s="770">
        <v>0</v>
      </c>
      <c r="AD62" s="592" t="str">
        <f t="shared" si="11"/>
        <v>47.0284.1.2.17.00.01.039.01.02.26.2</v>
      </c>
      <c r="AE62" s="772" t="s">
        <v>1998</v>
      </c>
      <c r="AF62" s="770">
        <v>0</v>
      </c>
      <c r="AG62" s="592" t="str">
        <f t="shared" si="12"/>
        <v>47.0284.1.2.17.00.01.039.01.02.26.3</v>
      </c>
      <c r="AH62" s="772" t="s">
        <v>2000</v>
      </c>
      <c r="AI62" s="158"/>
    </row>
    <row r="63" spans="1:35" ht="15" hidden="1" customHeight="1" outlineLevel="3">
      <c r="A63" s="93">
        <v>201130</v>
      </c>
      <c r="B63" s="93">
        <v>3481</v>
      </c>
      <c r="C63" s="93"/>
      <c r="D63" s="93"/>
      <c r="E63" s="868" t="s">
        <v>3054</v>
      </c>
      <c r="F63" s="868" t="s">
        <v>5124</v>
      </c>
      <c r="G63" s="37" t="s">
        <v>185</v>
      </c>
      <c r="H63" s="707">
        <f>IFERROR(VLOOKUP(A63,'Colar QL'!A:C,3,0),0)</f>
        <v>4</v>
      </c>
      <c r="I63" s="69">
        <f t="shared" si="0"/>
        <v>4</v>
      </c>
      <c r="J63" s="771">
        <f>'BD Temp'!E79</f>
        <v>4</v>
      </c>
      <c r="K63" s="590" t="str">
        <f t="shared" si="7"/>
        <v>47.0284.1.2.17.00.01.039.01.02.26.1</v>
      </c>
      <c r="L63" s="771" t="s">
        <v>1996</v>
      </c>
      <c r="M63" s="772">
        <f>'BD Temp'!F79</f>
        <v>0.95000000000000007</v>
      </c>
      <c r="N63" s="770">
        <f>'BD Temp'!J79</f>
        <v>0</v>
      </c>
      <c r="O63" s="592" t="str">
        <f t="shared" si="8"/>
        <v>47.0284.1.2.17.00.01.039.01.02.26.2</v>
      </c>
      <c r="P63" s="772" t="s">
        <v>1998</v>
      </c>
      <c r="Q63" s="772" t="str">
        <f>'BD Temp'!K79</f>
        <v>-</v>
      </c>
      <c r="R63" s="770">
        <f>'BD Temp'!O79</f>
        <v>0</v>
      </c>
      <c r="S63" s="592" t="str">
        <f t="shared" si="9"/>
        <v>47.0284.1.2.17.00.01.039.01.02.26.3</v>
      </c>
      <c r="T63" s="772" t="s">
        <v>2000</v>
      </c>
      <c r="U63" s="772" t="str">
        <f>'BD Temp'!P79</f>
        <v>-</v>
      </c>
      <c r="V63" s="869"/>
      <c r="W63" s="869"/>
      <c r="X63" s="869" t="s">
        <v>337</v>
      </c>
      <c r="Y63" s="745"/>
      <c r="Z63" s="771">
        <v>0</v>
      </c>
      <c r="AA63" s="592" t="str">
        <f t="shared" si="10"/>
        <v>47.0284.1.2.17.00.01.039.01.02.26.1</v>
      </c>
      <c r="AB63" s="772" t="s">
        <v>1996</v>
      </c>
      <c r="AC63" s="770">
        <v>0</v>
      </c>
      <c r="AD63" s="592" t="str">
        <f t="shared" si="11"/>
        <v>47.0284.1.2.17.00.01.039.01.02.26.2</v>
      </c>
      <c r="AE63" s="772" t="s">
        <v>1998</v>
      </c>
      <c r="AF63" s="770">
        <v>0</v>
      </c>
      <c r="AG63" s="592" t="str">
        <f t="shared" si="12"/>
        <v>47.0284.1.2.17.00.01.039.01.02.26.3</v>
      </c>
      <c r="AH63" s="772" t="s">
        <v>2000</v>
      </c>
      <c r="AI63" s="158"/>
    </row>
    <row r="64" spans="1:35" ht="15" hidden="1" customHeight="1" outlineLevel="3">
      <c r="A64" s="93">
        <v>201135</v>
      </c>
      <c r="B64" s="93">
        <v>3481</v>
      </c>
      <c r="C64" s="93"/>
      <c r="D64" s="93"/>
      <c r="E64" s="868" t="s">
        <v>3054</v>
      </c>
      <c r="F64" s="868" t="s">
        <v>5124</v>
      </c>
      <c r="G64" s="37" t="s">
        <v>31</v>
      </c>
      <c r="H64" s="707">
        <f>IFERROR(VLOOKUP(A64,'Colar QL'!A:C,3,0),0)</f>
        <v>0</v>
      </c>
      <c r="I64" s="69">
        <f t="shared" si="0"/>
        <v>0</v>
      </c>
      <c r="J64" s="771">
        <f>'BD Temp'!E80</f>
        <v>0</v>
      </c>
      <c r="K64" s="590" t="str">
        <f t="shared" si="7"/>
        <v>47.0284.1.2.17.00.01.039.01.02.26.1</v>
      </c>
      <c r="L64" s="771" t="s">
        <v>1996</v>
      </c>
      <c r="M64" s="772" t="str">
        <f>'BD Temp'!F80</f>
        <v>-</v>
      </c>
      <c r="N64" s="770">
        <f>'BD Temp'!J80</f>
        <v>0</v>
      </c>
      <c r="O64" s="592" t="str">
        <f t="shared" si="8"/>
        <v>47.0284.1.2.17.00.01.039.01.02.26.2</v>
      </c>
      <c r="P64" s="772" t="s">
        <v>1998</v>
      </c>
      <c r="Q64" s="772" t="str">
        <f>'BD Temp'!K80</f>
        <v>-</v>
      </c>
      <c r="R64" s="770">
        <f>'BD Temp'!O80</f>
        <v>0</v>
      </c>
      <c r="S64" s="592" t="str">
        <f t="shared" si="9"/>
        <v>47.0284.1.2.17.00.01.039.01.02.26.3</v>
      </c>
      <c r="T64" s="772" t="s">
        <v>2000</v>
      </c>
      <c r="U64" s="772" t="str">
        <f>'BD Temp'!P80</f>
        <v>-</v>
      </c>
      <c r="V64" s="869"/>
      <c r="W64" s="869"/>
      <c r="X64" s="869"/>
      <c r="Y64" s="745"/>
      <c r="Z64" s="771">
        <v>0</v>
      </c>
      <c r="AA64" s="592" t="str">
        <f t="shared" si="10"/>
        <v>47.0284.1.2.17.00.01.039.01.02.26.1</v>
      </c>
      <c r="AB64" s="772" t="s">
        <v>1996</v>
      </c>
      <c r="AC64" s="770">
        <v>0</v>
      </c>
      <c r="AD64" s="592" t="str">
        <f t="shared" si="11"/>
        <v>47.0284.1.2.17.00.01.039.01.02.26.2</v>
      </c>
      <c r="AE64" s="772" t="s">
        <v>1998</v>
      </c>
      <c r="AF64" s="770">
        <v>0</v>
      </c>
      <c r="AG64" s="592" t="str">
        <f t="shared" si="12"/>
        <v>47.0284.1.2.17.00.01.039.01.02.26.3</v>
      </c>
      <c r="AH64" s="772" t="s">
        <v>2000</v>
      </c>
      <c r="AI64" s="158"/>
    </row>
    <row r="65" spans="1:35" ht="15" hidden="1" customHeight="1" outlineLevel="3">
      <c r="A65" s="93">
        <v>201140</v>
      </c>
      <c r="B65" s="93">
        <v>3481</v>
      </c>
      <c r="C65" s="93"/>
      <c r="D65" s="93"/>
      <c r="E65" s="868" t="s">
        <v>3054</v>
      </c>
      <c r="F65" s="868" t="s">
        <v>5124</v>
      </c>
      <c r="G65" s="37" t="s">
        <v>32</v>
      </c>
      <c r="H65" s="707">
        <f>IFERROR(VLOOKUP(A65,'Colar QL'!A:C,3,0),0)</f>
        <v>0</v>
      </c>
      <c r="I65" s="69">
        <f t="shared" si="0"/>
        <v>0</v>
      </c>
      <c r="J65" s="771">
        <f>'BD Temp'!E83</f>
        <v>0</v>
      </c>
      <c r="K65" s="590" t="str">
        <f t="shared" si="7"/>
        <v>47.0284.1.2.17.00.01.039.01.02.26.1</v>
      </c>
      <c r="L65" s="771" t="s">
        <v>1996</v>
      </c>
      <c r="M65" s="772" t="str">
        <f>'BD Temp'!F83</f>
        <v>-</v>
      </c>
      <c r="N65" s="770">
        <f>'BD Temp'!J83</f>
        <v>0</v>
      </c>
      <c r="O65" s="592" t="str">
        <f t="shared" si="8"/>
        <v>47.0284.1.2.17.00.01.039.01.02.26.2</v>
      </c>
      <c r="P65" s="772" t="s">
        <v>1998</v>
      </c>
      <c r="Q65" s="772" t="str">
        <f>'BD Temp'!K83</f>
        <v>-</v>
      </c>
      <c r="R65" s="770">
        <f>'BD Temp'!O83</f>
        <v>0</v>
      </c>
      <c r="S65" s="592" t="str">
        <f t="shared" si="9"/>
        <v>47.0284.1.2.17.00.01.039.01.02.26.3</v>
      </c>
      <c r="T65" s="772" t="s">
        <v>2000</v>
      </c>
      <c r="U65" s="772" t="str">
        <f>'BD Temp'!P83</f>
        <v>-</v>
      </c>
      <c r="V65" s="869"/>
      <c r="W65" s="869"/>
      <c r="X65" s="869"/>
      <c r="Y65" s="745"/>
      <c r="Z65" s="771">
        <v>0</v>
      </c>
      <c r="AA65" s="592" t="str">
        <f t="shared" si="10"/>
        <v>47.0284.1.2.17.00.01.039.01.02.26.1</v>
      </c>
      <c r="AB65" s="772" t="s">
        <v>1996</v>
      </c>
      <c r="AC65" s="770">
        <v>0</v>
      </c>
      <c r="AD65" s="592" t="str">
        <f t="shared" si="11"/>
        <v>47.0284.1.2.17.00.01.039.01.02.26.2</v>
      </c>
      <c r="AE65" s="772" t="s">
        <v>1998</v>
      </c>
      <c r="AF65" s="770">
        <v>0</v>
      </c>
      <c r="AG65" s="592" t="str">
        <f t="shared" si="12"/>
        <v>47.0284.1.2.17.00.01.039.01.02.26.3</v>
      </c>
      <c r="AH65" s="772" t="s">
        <v>2000</v>
      </c>
      <c r="AI65" s="158"/>
    </row>
    <row r="66" spans="1:35" ht="15" hidden="1" customHeight="1" outlineLevel="3">
      <c r="A66" s="93">
        <v>201150</v>
      </c>
      <c r="B66" s="93">
        <v>3481</v>
      </c>
      <c r="C66" s="93"/>
      <c r="D66" s="93"/>
      <c r="E66" s="868" t="s">
        <v>3054</v>
      </c>
      <c r="F66" s="868" t="s">
        <v>5124</v>
      </c>
      <c r="G66" s="37" t="s">
        <v>33</v>
      </c>
      <c r="H66" s="707">
        <f>IFERROR(VLOOKUP(A66,'Colar QL'!A:C,3,0),0)</f>
        <v>0</v>
      </c>
      <c r="I66" s="69">
        <f t="shared" si="0"/>
        <v>0</v>
      </c>
      <c r="J66" s="771">
        <f>'BD Temp'!E86</f>
        <v>0</v>
      </c>
      <c r="K66" s="590" t="str">
        <f t="shared" si="7"/>
        <v>47.0284.1.2.17.00.01.039.01.02.26.1</v>
      </c>
      <c r="L66" s="771" t="s">
        <v>1996</v>
      </c>
      <c r="M66" s="772" t="str">
        <f>'BD Temp'!F86</f>
        <v>-</v>
      </c>
      <c r="N66" s="770">
        <f>'BD Temp'!J86</f>
        <v>0</v>
      </c>
      <c r="O66" s="592" t="str">
        <f t="shared" si="8"/>
        <v>47.0284.1.2.17.00.01.039.01.02.26.2</v>
      </c>
      <c r="P66" s="772" t="s">
        <v>1998</v>
      </c>
      <c r="Q66" s="772" t="str">
        <f>'BD Temp'!K86</f>
        <v>-</v>
      </c>
      <c r="R66" s="770">
        <f>'BD Temp'!O86</f>
        <v>0</v>
      </c>
      <c r="S66" s="592" t="str">
        <f t="shared" si="9"/>
        <v>47.0284.1.2.17.00.01.039.01.02.26.3</v>
      </c>
      <c r="T66" s="772" t="s">
        <v>2000</v>
      </c>
      <c r="U66" s="772" t="str">
        <f>'BD Temp'!P86</f>
        <v>-</v>
      </c>
      <c r="V66" s="869"/>
      <c r="W66" s="869"/>
      <c r="X66" s="869"/>
      <c r="Y66" s="745"/>
      <c r="Z66" s="771">
        <v>0</v>
      </c>
      <c r="AA66" s="592" t="str">
        <f t="shared" si="10"/>
        <v>47.0284.1.2.17.00.01.039.01.02.26.1</v>
      </c>
      <c r="AB66" s="772" t="s">
        <v>1996</v>
      </c>
      <c r="AC66" s="770">
        <v>0</v>
      </c>
      <c r="AD66" s="592" t="str">
        <f t="shared" si="11"/>
        <v>47.0284.1.2.17.00.01.039.01.02.26.2</v>
      </c>
      <c r="AE66" s="772" t="s">
        <v>1998</v>
      </c>
      <c r="AF66" s="770">
        <v>0</v>
      </c>
      <c r="AG66" s="592" t="str">
        <f t="shared" si="12"/>
        <v>47.0284.1.2.17.00.01.039.01.02.26.3</v>
      </c>
      <c r="AH66" s="772" t="s">
        <v>2000</v>
      </c>
      <c r="AI66" s="158"/>
    </row>
    <row r="67" spans="1:35" s="26" customFormat="1" ht="15" hidden="1" customHeight="1" outlineLevel="3">
      <c r="A67" s="93">
        <v>201145</v>
      </c>
      <c r="B67" s="93">
        <v>3481</v>
      </c>
      <c r="C67" s="93"/>
      <c r="D67" s="93"/>
      <c r="E67" s="868" t="s">
        <v>3054</v>
      </c>
      <c r="F67" s="868" t="s">
        <v>5124</v>
      </c>
      <c r="G67" s="37" t="s">
        <v>36</v>
      </c>
      <c r="H67" s="707">
        <f>IFERROR(VLOOKUP(A67,'Colar QL'!A:C,3,0),0)</f>
        <v>0</v>
      </c>
      <c r="I67" s="69">
        <f t="shared" si="0"/>
        <v>0</v>
      </c>
      <c r="J67" s="57">
        <f>'BD Temp'!E87</f>
        <v>0</v>
      </c>
      <c r="K67" s="591" t="str">
        <f t="shared" si="7"/>
        <v>47.0284.1.2.17.00.01.039.01.02.26.1</v>
      </c>
      <c r="L67" s="57" t="s">
        <v>1996</v>
      </c>
      <c r="M67" s="87" t="str">
        <f>'BD Temp'!F87</f>
        <v>-</v>
      </c>
      <c r="N67" s="58">
        <f>'BD Temp'!J87</f>
        <v>0</v>
      </c>
      <c r="O67" s="593" t="str">
        <f t="shared" si="8"/>
        <v>47.0284.1.2.17.00.01.039.01.02.26.2</v>
      </c>
      <c r="P67" s="87" t="s">
        <v>1998</v>
      </c>
      <c r="Q67" s="87" t="str">
        <f>'BD Temp'!K87</f>
        <v>-</v>
      </c>
      <c r="R67" s="58">
        <f>'BD Temp'!O87</f>
        <v>0</v>
      </c>
      <c r="S67" s="593" t="str">
        <f t="shared" si="9"/>
        <v>47.0284.1.2.17.00.01.039.01.02.26.3</v>
      </c>
      <c r="T67" s="87" t="s">
        <v>2000</v>
      </c>
      <c r="U67" s="87" t="str">
        <f>'BD Temp'!P87</f>
        <v>-</v>
      </c>
      <c r="V67" s="869"/>
      <c r="W67" s="869"/>
      <c r="X67" s="869"/>
      <c r="Y67" s="745"/>
      <c r="Z67" s="771">
        <v>0</v>
      </c>
      <c r="AA67" s="592" t="str">
        <f t="shared" si="10"/>
        <v>47.0284.1.2.17.00.01.039.01.02.26.1</v>
      </c>
      <c r="AB67" s="772" t="s">
        <v>1996</v>
      </c>
      <c r="AC67" s="770">
        <v>0</v>
      </c>
      <c r="AD67" s="592" t="str">
        <f t="shared" si="11"/>
        <v>47.0284.1.2.17.00.01.039.01.02.26.2</v>
      </c>
      <c r="AE67" s="772" t="s">
        <v>1998</v>
      </c>
      <c r="AF67" s="770">
        <v>0</v>
      </c>
      <c r="AG67" s="592" t="str">
        <f t="shared" si="12"/>
        <v>47.0284.1.2.17.00.01.039.01.02.26.3</v>
      </c>
      <c r="AH67" s="772" t="s">
        <v>2000</v>
      </c>
      <c r="AI67" s="158"/>
    </row>
    <row r="68" spans="1:35" ht="15" hidden="1" customHeight="1" outlineLevel="3">
      <c r="A68" s="93">
        <v>201170</v>
      </c>
      <c r="B68" s="93">
        <v>3481</v>
      </c>
      <c r="C68" s="93"/>
      <c r="D68" s="93"/>
      <c r="E68" s="326" t="s">
        <v>3668</v>
      </c>
      <c r="F68" s="326" t="s">
        <v>5395</v>
      </c>
      <c r="G68" s="37" t="s">
        <v>187</v>
      </c>
      <c r="H68" s="707">
        <f>IFERROR(VLOOKUP(A68,'Colar QL'!A:C,3,0),0)</f>
        <v>1</v>
      </c>
      <c r="I68" s="69">
        <f t="shared" si="0"/>
        <v>1</v>
      </c>
      <c r="J68" s="57">
        <f>'BD Temp'!E88</f>
        <v>1</v>
      </c>
      <c r="K68" s="591" t="str">
        <f t="shared" si="7"/>
        <v>47.0284.1.2.17.00.01.039.01.02.19.1</v>
      </c>
      <c r="L68" s="57" t="s">
        <v>1996</v>
      </c>
      <c r="M68" s="87">
        <f>'BD Temp'!F88</f>
        <v>0.27999999999999997</v>
      </c>
      <c r="N68" s="58">
        <f>'BD Temp'!J88</f>
        <v>0</v>
      </c>
      <c r="O68" s="593" t="str">
        <f t="shared" si="8"/>
        <v>47.0284.1.2.17.00.01.039.01.02.19.2</v>
      </c>
      <c r="P68" s="87" t="s">
        <v>1998</v>
      </c>
      <c r="Q68" s="87" t="str">
        <f>'BD Temp'!K88</f>
        <v>-</v>
      </c>
      <c r="R68" s="58">
        <f>'BD Temp'!O88</f>
        <v>0</v>
      </c>
      <c r="S68" s="593" t="str">
        <f t="shared" si="9"/>
        <v>47.0284.1.2.17.00.01.039.01.02.19.3</v>
      </c>
      <c r="T68" s="87" t="s">
        <v>2000</v>
      </c>
      <c r="U68" s="87" t="str">
        <f>'BD Temp'!P88</f>
        <v>-</v>
      </c>
      <c r="V68" s="869"/>
      <c r="W68" s="869"/>
      <c r="X68" s="869"/>
      <c r="Y68" s="745"/>
      <c r="Z68" s="771">
        <v>0</v>
      </c>
      <c r="AA68" s="592" t="str">
        <f t="shared" si="10"/>
        <v>47.0284.1.2.17.00.01.039.01.02.19.1</v>
      </c>
      <c r="AB68" s="772" t="s">
        <v>1996</v>
      </c>
      <c r="AC68" s="770">
        <v>0</v>
      </c>
      <c r="AD68" s="592" t="str">
        <f t="shared" si="11"/>
        <v>47.0284.1.2.17.00.01.039.01.02.19.2</v>
      </c>
      <c r="AE68" s="772" t="s">
        <v>1998</v>
      </c>
      <c r="AF68" s="770">
        <v>0</v>
      </c>
      <c r="AG68" s="592" t="str">
        <f t="shared" si="12"/>
        <v>47.0284.1.2.17.00.01.039.01.02.19.3</v>
      </c>
      <c r="AH68" s="772" t="s">
        <v>2000</v>
      </c>
      <c r="AI68" s="158"/>
    </row>
    <row r="69" spans="1:35" ht="15" hidden="1" customHeight="1" outlineLevel="3">
      <c r="A69" s="93">
        <v>201175</v>
      </c>
      <c r="B69" s="93">
        <v>3481</v>
      </c>
      <c r="C69" s="93"/>
      <c r="D69" s="93"/>
      <c r="E69" s="868" t="s">
        <v>3054</v>
      </c>
      <c r="F69" s="868" t="s">
        <v>5124</v>
      </c>
      <c r="G69" s="37" t="s">
        <v>188</v>
      </c>
      <c r="H69" s="707">
        <f>IFERROR(VLOOKUP(A69,'Colar QL'!A:C,3,0),0)</f>
        <v>0</v>
      </c>
      <c r="I69" s="69">
        <f t="shared" si="0"/>
        <v>0</v>
      </c>
      <c r="J69" s="771">
        <f>'BD Temp'!E89</f>
        <v>0</v>
      </c>
      <c r="K69" s="590" t="str">
        <f t="shared" si="7"/>
        <v>47.0284.1.2.17.00.01.039.01.02.26.1</v>
      </c>
      <c r="L69" s="771" t="s">
        <v>1996</v>
      </c>
      <c r="M69" s="772" t="str">
        <f>'BD Temp'!F89</f>
        <v>-</v>
      </c>
      <c r="N69" s="770">
        <f>'BD Temp'!J89</f>
        <v>0</v>
      </c>
      <c r="O69" s="592" t="str">
        <f t="shared" si="8"/>
        <v>47.0284.1.2.17.00.01.039.01.02.26.2</v>
      </c>
      <c r="P69" s="772" t="s">
        <v>1998</v>
      </c>
      <c r="Q69" s="772" t="str">
        <f>'BD Temp'!K89</f>
        <v>-</v>
      </c>
      <c r="R69" s="770">
        <f>'BD Temp'!O89</f>
        <v>0</v>
      </c>
      <c r="S69" s="592" t="str">
        <f t="shared" si="9"/>
        <v>47.0284.1.2.17.00.01.039.01.02.26.3</v>
      </c>
      <c r="T69" s="772" t="s">
        <v>2000</v>
      </c>
      <c r="U69" s="772" t="str">
        <f>'BD Temp'!P89</f>
        <v>-</v>
      </c>
      <c r="V69" s="869"/>
      <c r="W69" s="869"/>
      <c r="X69" s="869"/>
      <c r="Y69" s="745"/>
      <c r="Z69" s="771">
        <v>0</v>
      </c>
      <c r="AA69" s="592" t="str">
        <f t="shared" si="10"/>
        <v>47.0284.1.2.17.00.01.039.01.02.26.1</v>
      </c>
      <c r="AB69" s="772" t="s">
        <v>1996</v>
      </c>
      <c r="AC69" s="770">
        <v>0</v>
      </c>
      <c r="AD69" s="592" t="str">
        <f t="shared" si="11"/>
        <v>47.0284.1.2.17.00.01.039.01.02.26.2</v>
      </c>
      <c r="AE69" s="772" t="s">
        <v>1998</v>
      </c>
      <c r="AF69" s="770">
        <v>0</v>
      </c>
      <c r="AG69" s="592" t="str">
        <f t="shared" si="12"/>
        <v>47.0284.1.2.17.00.01.039.01.02.26.3</v>
      </c>
      <c r="AH69" s="772" t="s">
        <v>2000</v>
      </c>
      <c r="AI69" s="158"/>
    </row>
    <row r="70" spans="1:35" ht="15" hidden="1" customHeight="1" outlineLevel="3">
      <c r="A70" s="93">
        <v>201180</v>
      </c>
      <c r="B70" s="93">
        <v>3481</v>
      </c>
      <c r="C70" s="93"/>
      <c r="D70" s="93"/>
      <c r="E70" s="868" t="s">
        <v>3054</v>
      </c>
      <c r="F70" s="868" t="s">
        <v>5124</v>
      </c>
      <c r="G70" s="37" t="s">
        <v>189</v>
      </c>
      <c r="H70" s="707">
        <f>IFERROR(VLOOKUP(A70,'Colar QL'!A:C,3,0),0)</f>
        <v>5</v>
      </c>
      <c r="I70" s="69">
        <f t="shared" si="0"/>
        <v>5</v>
      </c>
      <c r="J70" s="57">
        <f>'BD Temp'!E90</f>
        <v>5</v>
      </c>
      <c r="K70" s="591" t="str">
        <f t="shared" si="7"/>
        <v>47.0284.1.2.17.00.01.039.01.02.26.1</v>
      </c>
      <c r="L70" s="57" t="s">
        <v>1996</v>
      </c>
      <c r="M70" s="87" t="str">
        <f>'BD Temp'!F90</f>
        <v>-</v>
      </c>
      <c r="N70" s="58">
        <f>'BD Temp'!J90</f>
        <v>0</v>
      </c>
      <c r="O70" s="593" t="str">
        <f t="shared" si="8"/>
        <v>47.0284.1.2.17.00.01.039.01.02.26.2</v>
      </c>
      <c r="P70" s="87" t="s">
        <v>1998</v>
      </c>
      <c r="Q70" s="87" t="str">
        <f>'BD Temp'!K90</f>
        <v>-</v>
      </c>
      <c r="R70" s="58">
        <f>'BD Temp'!O90</f>
        <v>0</v>
      </c>
      <c r="S70" s="593" t="str">
        <f t="shared" si="9"/>
        <v>47.0284.1.2.17.00.01.039.01.02.26.3</v>
      </c>
      <c r="T70" s="87" t="s">
        <v>2000</v>
      </c>
      <c r="U70" s="87" t="str">
        <f>'BD Temp'!P90</f>
        <v>-</v>
      </c>
      <c r="V70" s="869"/>
      <c r="W70" s="869"/>
      <c r="X70" s="869" t="s">
        <v>5365</v>
      </c>
      <c r="Y70" s="745"/>
      <c r="Z70" s="771">
        <v>0</v>
      </c>
      <c r="AA70" s="592" t="str">
        <f t="shared" si="10"/>
        <v>47.0284.1.2.17.00.01.039.01.02.26.1</v>
      </c>
      <c r="AB70" s="772" t="s">
        <v>1996</v>
      </c>
      <c r="AC70" s="770">
        <v>0</v>
      </c>
      <c r="AD70" s="592" t="str">
        <f t="shared" si="11"/>
        <v>47.0284.1.2.17.00.01.039.01.02.26.2</v>
      </c>
      <c r="AE70" s="772" t="s">
        <v>1998</v>
      </c>
      <c r="AF70" s="770">
        <v>0</v>
      </c>
      <c r="AG70" s="592" t="str">
        <f t="shared" si="12"/>
        <v>47.0284.1.2.17.00.01.039.01.02.26.3</v>
      </c>
      <c r="AH70" s="772" t="s">
        <v>2000</v>
      </c>
      <c r="AI70" s="158"/>
    </row>
    <row r="71" spans="1:35" ht="15" hidden="1" customHeight="1" outlineLevel="3">
      <c r="A71" s="93">
        <v>201185</v>
      </c>
      <c r="B71" s="93">
        <v>3481</v>
      </c>
      <c r="C71" s="93"/>
      <c r="D71" s="93"/>
      <c r="E71" s="868" t="s">
        <v>3054</v>
      </c>
      <c r="F71" s="868" t="s">
        <v>5124</v>
      </c>
      <c r="G71" s="37" t="s">
        <v>587</v>
      </c>
      <c r="H71" s="707">
        <f>IFERROR(VLOOKUP(A71,'Colar QL'!A:C,3,0),0)</f>
        <v>0</v>
      </c>
      <c r="I71" s="69">
        <f t="shared" si="0"/>
        <v>0</v>
      </c>
      <c r="J71" s="771">
        <f>'BD Temp'!E91</f>
        <v>0</v>
      </c>
      <c r="K71" s="590" t="str">
        <f t="shared" si="7"/>
        <v>47.0284.1.2.17.00.01.039.01.02.26.1</v>
      </c>
      <c r="L71" s="771" t="s">
        <v>1996</v>
      </c>
      <c r="M71" s="772">
        <f>'BD Temp'!F91</f>
        <v>0</v>
      </c>
      <c r="N71" s="770">
        <f>'BD Temp'!J91</f>
        <v>0</v>
      </c>
      <c r="O71" s="592" t="str">
        <f t="shared" si="8"/>
        <v>47.0284.1.2.17.00.01.039.01.02.26.2</v>
      </c>
      <c r="P71" s="772" t="s">
        <v>1998</v>
      </c>
      <c r="Q71" s="772">
        <f>'BD Temp'!K91</f>
        <v>0</v>
      </c>
      <c r="R71" s="770">
        <f>'BD Temp'!O91</f>
        <v>0</v>
      </c>
      <c r="S71" s="592" t="str">
        <f t="shared" si="9"/>
        <v>47.0284.1.2.17.00.01.039.01.02.26.3</v>
      </c>
      <c r="T71" s="772" t="s">
        <v>2000</v>
      </c>
      <c r="U71" s="772">
        <f>'BD Temp'!P91</f>
        <v>0</v>
      </c>
      <c r="V71" s="869"/>
      <c r="W71" s="869"/>
      <c r="X71" s="869"/>
      <c r="Y71" s="745"/>
      <c r="Z71" s="771">
        <v>0</v>
      </c>
      <c r="AA71" s="592" t="str">
        <f t="shared" si="10"/>
        <v>47.0284.1.2.17.00.01.039.01.02.26.1</v>
      </c>
      <c r="AB71" s="772" t="s">
        <v>1996</v>
      </c>
      <c r="AC71" s="770">
        <v>0</v>
      </c>
      <c r="AD71" s="592" t="str">
        <f t="shared" si="11"/>
        <v>47.0284.1.2.17.00.01.039.01.02.26.2</v>
      </c>
      <c r="AE71" s="772" t="s">
        <v>1998</v>
      </c>
      <c r="AF71" s="770">
        <v>0</v>
      </c>
      <c r="AG71" s="592" t="str">
        <f t="shared" si="12"/>
        <v>47.0284.1.2.17.00.01.039.01.02.26.3</v>
      </c>
      <c r="AH71" s="772" t="s">
        <v>2000</v>
      </c>
      <c r="AI71" s="158"/>
    </row>
    <row r="72" spans="1:35" ht="15" hidden="1" customHeight="1" outlineLevel="3">
      <c r="A72" s="872">
        <v>201105</v>
      </c>
      <c r="B72" s="872">
        <v>3481</v>
      </c>
      <c r="C72" s="872"/>
      <c r="D72" s="872"/>
      <c r="E72" s="873" t="s">
        <v>3053</v>
      </c>
      <c r="F72" s="873" t="s">
        <v>5122</v>
      </c>
      <c r="G72" s="874" t="s">
        <v>27</v>
      </c>
      <c r="H72" s="875">
        <f>IFERROR(VLOOKUP(A72,'Colar QL'!A:C,3,0),0)</f>
        <v>1</v>
      </c>
      <c r="I72" s="876">
        <f t="shared" si="0"/>
        <v>1</v>
      </c>
      <c r="J72" s="877">
        <f>'BD Temp'!E92</f>
        <v>1</v>
      </c>
      <c r="K72" s="590" t="str">
        <f t="shared" si="7"/>
        <v>47.0284.1.2.17.00.01.039.01.02.01.1</v>
      </c>
      <c r="L72" s="771" t="s">
        <v>1996</v>
      </c>
      <c r="M72" s="878">
        <f>'BD Temp'!F92</f>
        <v>0.29333333333333333</v>
      </c>
      <c r="N72" s="879">
        <f>'BD Temp'!J92</f>
        <v>0</v>
      </c>
      <c r="O72" s="592" t="str">
        <f t="shared" si="8"/>
        <v>47.0284.1.2.17.00.01.039.01.02.01.2</v>
      </c>
      <c r="P72" s="772" t="s">
        <v>1998</v>
      </c>
      <c r="Q72" s="878" t="str">
        <f>'BD Temp'!K92</f>
        <v>-</v>
      </c>
      <c r="R72" s="879">
        <f>'BD Temp'!O92</f>
        <v>0</v>
      </c>
      <c r="S72" s="592" t="str">
        <f t="shared" si="9"/>
        <v>47.0284.1.2.17.00.01.039.01.02.01.3</v>
      </c>
      <c r="T72" s="772" t="s">
        <v>2000</v>
      </c>
      <c r="U72" s="878" t="str">
        <f>'BD Temp'!P92</f>
        <v>-</v>
      </c>
      <c r="V72" s="880"/>
      <c r="W72" s="869"/>
      <c r="X72" s="880"/>
      <c r="Y72" s="745"/>
      <c r="Z72" s="771">
        <v>0</v>
      </c>
      <c r="AA72" s="592" t="str">
        <f t="shared" si="10"/>
        <v>47.0284.1.2.17.00.01.039.01.02.01.1</v>
      </c>
      <c r="AB72" s="772" t="s">
        <v>1996</v>
      </c>
      <c r="AC72" s="770">
        <v>0</v>
      </c>
      <c r="AD72" s="592" t="str">
        <f t="shared" si="11"/>
        <v>47.0284.1.2.17.00.01.039.01.02.01.2</v>
      </c>
      <c r="AE72" s="772" t="s">
        <v>1998</v>
      </c>
      <c r="AF72" s="770">
        <v>0</v>
      </c>
      <c r="AG72" s="592" t="str">
        <f t="shared" si="12"/>
        <v>47.0284.1.2.17.00.01.039.01.02.01.3</v>
      </c>
      <c r="AH72" s="772" t="s">
        <v>2000</v>
      </c>
      <c r="AI72" s="158"/>
    </row>
    <row r="73" spans="1:35" s="26" customFormat="1" hidden="1" outlineLevel="3">
      <c r="A73" s="93">
        <v>201110</v>
      </c>
      <c r="B73" s="93">
        <v>3481</v>
      </c>
      <c r="C73" s="93"/>
      <c r="D73" s="93"/>
      <c r="E73" s="868" t="s">
        <v>3054</v>
      </c>
      <c r="F73" s="868" t="s">
        <v>5124</v>
      </c>
      <c r="G73" s="37" t="s">
        <v>28</v>
      </c>
      <c r="H73" s="707">
        <f>IFERROR(VLOOKUP(A73,'Colar QL'!A:C,3,0),0)</f>
        <v>0</v>
      </c>
      <c r="I73" s="69">
        <f t="shared" si="0"/>
        <v>0</v>
      </c>
      <c r="J73" s="57">
        <f>'BD Temp'!E95</f>
        <v>0</v>
      </c>
      <c r="K73" s="591" t="str">
        <f t="shared" si="7"/>
        <v>47.0284.1.2.17.00.01.039.01.02.26.1</v>
      </c>
      <c r="L73" s="57" t="s">
        <v>1996</v>
      </c>
      <c r="M73" s="87" t="str">
        <f>'BD Temp'!F95</f>
        <v>-</v>
      </c>
      <c r="N73" s="58">
        <f>'BD Temp'!J95</f>
        <v>0</v>
      </c>
      <c r="O73" s="593" t="str">
        <f t="shared" si="8"/>
        <v>47.0284.1.2.17.00.01.039.01.02.26.2</v>
      </c>
      <c r="P73" s="87" t="s">
        <v>1998</v>
      </c>
      <c r="Q73" s="87" t="str">
        <f>'BD Temp'!K95</f>
        <v>-</v>
      </c>
      <c r="R73" s="58">
        <f>'BD Temp'!O95</f>
        <v>0</v>
      </c>
      <c r="S73" s="593" t="str">
        <f t="shared" si="9"/>
        <v>47.0284.1.2.17.00.01.039.01.02.26.3</v>
      </c>
      <c r="T73" s="87" t="s">
        <v>2000</v>
      </c>
      <c r="U73" s="87" t="str">
        <f>'BD Temp'!P95</f>
        <v>-</v>
      </c>
      <c r="V73" s="869"/>
      <c r="W73" s="869"/>
      <c r="X73" s="869"/>
      <c r="Y73" s="745"/>
      <c r="Z73" s="771">
        <v>0</v>
      </c>
      <c r="AA73" s="592" t="str">
        <f t="shared" si="10"/>
        <v>47.0284.1.2.17.00.01.039.01.02.26.1</v>
      </c>
      <c r="AB73" s="772" t="s">
        <v>1996</v>
      </c>
      <c r="AC73" s="770">
        <v>0</v>
      </c>
      <c r="AD73" s="592" t="str">
        <f t="shared" si="11"/>
        <v>47.0284.1.2.17.00.01.039.01.02.26.2</v>
      </c>
      <c r="AE73" s="772" t="s">
        <v>1998</v>
      </c>
      <c r="AF73" s="770">
        <v>0</v>
      </c>
      <c r="AG73" s="592" t="str">
        <f t="shared" si="12"/>
        <v>47.0284.1.2.17.00.01.039.01.02.26.3</v>
      </c>
      <c r="AH73" s="772" t="s">
        <v>2000</v>
      </c>
      <c r="AI73" s="158"/>
    </row>
    <row r="74" spans="1:35" s="883" customFormat="1" ht="19.5" hidden="1" customHeight="1" outlineLevel="3">
      <c r="A74" s="881">
        <v>201195</v>
      </c>
      <c r="B74" s="881">
        <v>3481</v>
      </c>
      <c r="C74" s="881"/>
      <c r="D74" s="881"/>
      <c r="E74" s="326" t="s">
        <v>3668</v>
      </c>
      <c r="F74" s="326" t="s">
        <v>5395</v>
      </c>
      <c r="G74" s="882" t="s">
        <v>190</v>
      </c>
      <c r="H74" s="707">
        <f>IFERROR(VLOOKUP(A74,'Colar QL'!A:C,3,0),0)</f>
        <v>1</v>
      </c>
      <c r="I74" s="707">
        <f t="shared" ref="I74:I148" si="13">IFERROR((J74+N74+R74),0)</f>
        <v>1</v>
      </c>
      <c r="J74" s="57">
        <f>'BD Temp'!E98</f>
        <v>1</v>
      </c>
      <c r="K74" s="591" t="str">
        <f t="shared" si="7"/>
        <v>47.0284.1.2.17.00.01.039.01.02.19.1</v>
      </c>
      <c r="L74" s="57" t="s">
        <v>1996</v>
      </c>
      <c r="M74" s="87" t="str">
        <f>'BD Temp'!F98</f>
        <v>-</v>
      </c>
      <c r="N74" s="58">
        <f>'BD Temp'!J98</f>
        <v>0</v>
      </c>
      <c r="O74" s="593" t="str">
        <f t="shared" si="8"/>
        <v>47.0284.1.2.17.00.01.039.01.02.19.2</v>
      </c>
      <c r="P74" s="87" t="s">
        <v>1998</v>
      </c>
      <c r="Q74" s="87" t="str">
        <f>'BD Temp'!K98</f>
        <v>-</v>
      </c>
      <c r="R74" s="58">
        <f>'BD Temp'!O98</f>
        <v>0</v>
      </c>
      <c r="S74" s="593" t="str">
        <f t="shared" si="9"/>
        <v>47.0284.1.2.17.00.01.039.01.02.19.3</v>
      </c>
      <c r="T74" s="87" t="s">
        <v>2000</v>
      </c>
      <c r="U74" s="87" t="str">
        <f>'BD Temp'!P98</f>
        <v>-</v>
      </c>
      <c r="V74" s="762"/>
      <c r="W74" s="869"/>
      <c r="X74" s="869" t="s">
        <v>5364</v>
      </c>
      <c r="Y74" s="745"/>
      <c r="Z74" s="771">
        <v>0</v>
      </c>
      <c r="AA74" s="592" t="str">
        <f t="shared" si="10"/>
        <v>47.0284.1.2.17.00.01.039.01.02.19.1</v>
      </c>
      <c r="AB74" s="772" t="s">
        <v>1996</v>
      </c>
      <c r="AC74" s="770">
        <v>0</v>
      </c>
      <c r="AD74" s="592" t="str">
        <f t="shared" si="11"/>
        <v>47.0284.1.2.17.00.01.039.01.02.19.2</v>
      </c>
      <c r="AE74" s="772" t="s">
        <v>1998</v>
      </c>
      <c r="AF74" s="770">
        <v>0</v>
      </c>
      <c r="AG74" s="592" t="str">
        <f t="shared" si="12"/>
        <v>47.0284.1.2.17.00.01.039.01.02.19.3</v>
      </c>
      <c r="AH74" s="772" t="s">
        <v>2000</v>
      </c>
      <c r="AI74" s="158"/>
    </row>
    <row r="75" spans="1:35" ht="15" hidden="1" customHeight="1" outlineLevel="3">
      <c r="A75" s="93">
        <v>201200</v>
      </c>
      <c r="B75" s="93">
        <v>3481</v>
      </c>
      <c r="C75" s="93"/>
      <c r="D75" s="93"/>
      <c r="E75" s="326" t="s">
        <v>3054</v>
      </c>
      <c r="F75" s="326" t="s">
        <v>5124</v>
      </c>
      <c r="G75" s="37" t="s">
        <v>39</v>
      </c>
      <c r="H75" s="707">
        <f>IFERROR(VLOOKUP(A75,'Colar QL'!A:C,3,0),0)</f>
        <v>0</v>
      </c>
      <c r="I75" s="69">
        <f t="shared" si="13"/>
        <v>0</v>
      </c>
      <c r="J75" s="57">
        <f>'BD Temp'!E99</f>
        <v>0</v>
      </c>
      <c r="K75" s="591" t="str">
        <f t="shared" si="7"/>
        <v>47.0284.1.2.17.00.01.039.01.02.26.1</v>
      </c>
      <c r="L75" s="57" t="s">
        <v>1996</v>
      </c>
      <c r="M75" s="87" t="str">
        <f>'BD Temp'!F99</f>
        <v>-</v>
      </c>
      <c r="N75" s="58">
        <f>'BD Temp'!J99</f>
        <v>0</v>
      </c>
      <c r="O75" s="593" t="str">
        <f t="shared" si="8"/>
        <v>47.0284.1.2.17.00.01.039.01.02.26.2</v>
      </c>
      <c r="P75" s="87" t="s">
        <v>1998</v>
      </c>
      <c r="Q75" s="87" t="str">
        <f>'BD Temp'!K99</f>
        <v>-</v>
      </c>
      <c r="R75" s="58">
        <f>'BD Temp'!O99</f>
        <v>0</v>
      </c>
      <c r="S75" s="593" t="str">
        <f t="shared" si="9"/>
        <v>47.0284.1.2.17.00.01.039.01.02.26.3</v>
      </c>
      <c r="T75" s="87" t="s">
        <v>2000</v>
      </c>
      <c r="U75" s="87" t="str">
        <f>'BD Temp'!P99</f>
        <v>-</v>
      </c>
      <c r="V75" s="869"/>
      <c r="W75" s="869"/>
      <c r="X75" s="869"/>
      <c r="Y75" s="745"/>
      <c r="Z75" s="771">
        <v>0</v>
      </c>
      <c r="AA75" s="592" t="str">
        <f t="shared" si="10"/>
        <v>47.0284.1.2.17.00.01.039.01.02.26.1</v>
      </c>
      <c r="AB75" s="772" t="s">
        <v>1996</v>
      </c>
      <c r="AC75" s="770">
        <v>0</v>
      </c>
      <c r="AD75" s="592" t="str">
        <f t="shared" si="11"/>
        <v>47.0284.1.2.17.00.01.039.01.02.26.2</v>
      </c>
      <c r="AE75" s="772" t="s">
        <v>1998</v>
      </c>
      <c r="AF75" s="770">
        <v>0</v>
      </c>
      <c r="AG75" s="592" t="str">
        <f t="shared" si="12"/>
        <v>47.0284.1.2.17.00.01.039.01.02.26.3</v>
      </c>
      <c r="AH75" s="772" t="s">
        <v>2000</v>
      </c>
      <c r="AI75" s="158"/>
    </row>
    <row r="76" spans="1:35" ht="15" hidden="1" customHeight="1" outlineLevel="3">
      <c r="A76" s="93">
        <v>201215</v>
      </c>
      <c r="B76" s="93">
        <v>3481</v>
      </c>
      <c r="C76" s="93"/>
      <c r="D76" s="93"/>
      <c r="E76" s="868" t="s">
        <v>3054</v>
      </c>
      <c r="F76" s="868" t="s">
        <v>5124</v>
      </c>
      <c r="G76" s="37" t="s">
        <v>191</v>
      </c>
      <c r="H76" s="707">
        <f>IFERROR(VLOOKUP(A76,'Colar QL'!A:C,3,0),0)</f>
        <v>0</v>
      </c>
      <c r="I76" s="69">
        <f t="shared" si="13"/>
        <v>0</v>
      </c>
      <c r="J76" s="771">
        <f>'BD Temp'!E100</f>
        <v>0</v>
      </c>
      <c r="K76" s="590" t="str">
        <f t="shared" si="7"/>
        <v>47.0284.1.2.17.00.01.039.01.02.26.1</v>
      </c>
      <c r="L76" s="771" t="s">
        <v>1996</v>
      </c>
      <c r="M76" s="772" t="str">
        <f>'BD Temp'!F100</f>
        <v>-</v>
      </c>
      <c r="N76" s="770">
        <f>'BD Temp'!J100</f>
        <v>0</v>
      </c>
      <c r="O76" s="592" t="str">
        <f t="shared" si="8"/>
        <v>47.0284.1.2.17.00.01.039.01.02.26.2</v>
      </c>
      <c r="P76" s="772" t="s">
        <v>1998</v>
      </c>
      <c r="Q76" s="772" t="str">
        <f>'BD Temp'!K100</f>
        <v>-</v>
      </c>
      <c r="R76" s="770">
        <f>'BD Temp'!O100</f>
        <v>0</v>
      </c>
      <c r="S76" s="592" t="str">
        <f t="shared" si="9"/>
        <v>47.0284.1.2.17.00.01.039.01.02.26.3</v>
      </c>
      <c r="T76" s="772" t="s">
        <v>2000</v>
      </c>
      <c r="U76" s="772" t="str">
        <f>'BD Temp'!P100</f>
        <v>-</v>
      </c>
      <c r="V76" s="869"/>
      <c r="W76" s="869"/>
      <c r="X76" s="869"/>
      <c r="Y76" s="745"/>
      <c r="Z76" s="771">
        <v>0</v>
      </c>
      <c r="AA76" s="592" t="str">
        <f t="shared" si="10"/>
        <v>47.0284.1.2.17.00.01.039.01.02.26.1</v>
      </c>
      <c r="AB76" s="772" t="s">
        <v>1996</v>
      </c>
      <c r="AC76" s="770">
        <v>0</v>
      </c>
      <c r="AD76" s="592" t="str">
        <f t="shared" si="11"/>
        <v>47.0284.1.2.17.00.01.039.01.02.26.2</v>
      </c>
      <c r="AE76" s="772" t="s">
        <v>1998</v>
      </c>
      <c r="AF76" s="770">
        <v>0</v>
      </c>
      <c r="AG76" s="592" t="str">
        <f t="shared" si="12"/>
        <v>47.0284.1.2.17.00.01.039.01.02.26.3</v>
      </c>
      <c r="AH76" s="772" t="s">
        <v>2000</v>
      </c>
      <c r="AI76" s="158"/>
    </row>
    <row r="77" spans="1:35" ht="15" hidden="1" customHeight="1" outlineLevel="3">
      <c r="A77" s="93">
        <v>201220</v>
      </c>
      <c r="B77" s="93">
        <v>3481</v>
      </c>
      <c r="C77" s="93"/>
      <c r="D77" s="93"/>
      <c r="E77" s="868" t="s">
        <v>3054</v>
      </c>
      <c r="F77" s="868" t="s">
        <v>5124</v>
      </c>
      <c r="G77" s="37" t="s">
        <v>192</v>
      </c>
      <c r="H77" s="707">
        <f>IFERROR(VLOOKUP(A77,'Colar QL'!A:C,3,0),0)</f>
        <v>0</v>
      </c>
      <c r="I77" s="69">
        <f t="shared" si="13"/>
        <v>0</v>
      </c>
      <c r="J77" s="771">
        <f>'BD Temp'!E101</f>
        <v>0</v>
      </c>
      <c r="K77" s="590" t="str">
        <f t="shared" ref="K77:K94" si="14">F77&amp;L77</f>
        <v>47.0284.1.2.17.00.01.039.01.02.26.1</v>
      </c>
      <c r="L77" s="771" t="s">
        <v>1996</v>
      </c>
      <c r="M77" s="772" t="str">
        <f>'BD Temp'!F101</f>
        <v>-</v>
      </c>
      <c r="N77" s="770">
        <f>'BD Temp'!J101</f>
        <v>0</v>
      </c>
      <c r="O77" s="592" t="str">
        <f t="shared" ref="O77:O94" si="15">F77&amp;P77</f>
        <v>47.0284.1.2.17.00.01.039.01.02.26.2</v>
      </c>
      <c r="P77" s="772" t="s">
        <v>1998</v>
      </c>
      <c r="Q77" s="772" t="str">
        <f>'BD Temp'!K101</f>
        <v>-</v>
      </c>
      <c r="R77" s="770">
        <f>'BD Temp'!O101</f>
        <v>0</v>
      </c>
      <c r="S77" s="592" t="str">
        <f t="shared" ref="S77:S94" si="16">F77&amp;T77</f>
        <v>47.0284.1.2.17.00.01.039.01.02.26.3</v>
      </c>
      <c r="T77" s="772" t="s">
        <v>2000</v>
      </c>
      <c r="U77" s="772" t="str">
        <f>'BD Temp'!P101</f>
        <v>-</v>
      </c>
      <c r="V77" s="869"/>
      <c r="W77" s="869"/>
      <c r="X77" s="869"/>
      <c r="Y77" s="745"/>
      <c r="Z77" s="771">
        <v>0</v>
      </c>
      <c r="AA77" s="592" t="str">
        <f t="shared" ref="AA77:AA94" si="17">F77&amp;AB77</f>
        <v>47.0284.1.2.17.00.01.039.01.02.26.1</v>
      </c>
      <c r="AB77" s="772" t="s">
        <v>1996</v>
      </c>
      <c r="AC77" s="770">
        <v>0</v>
      </c>
      <c r="AD77" s="592" t="str">
        <f t="shared" ref="AD77:AD94" si="18">F77&amp;AE77</f>
        <v>47.0284.1.2.17.00.01.039.01.02.26.2</v>
      </c>
      <c r="AE77" s="772" t="s">
        <v>1998</v>
      </c>
      <c r="AF77" s="770">
        <v>0</v>
      </c>
      <c r="AG77" s="592" t="str">
        <f t="shared" ref="AG77:AG94" si="19">F77&amp;AH77</f>
        <v>47.0284.1.2.17.00.01.039.01.02.26.3</v>
      </c>
      <c r="AH77" s="772" t="s">
        <v>2000</v>
      </c>
      <c r="AI77" s="158"/>
    </row>
    <row r="78" spans="1:35" ht="15" hidden="1" customHeight="1" outlineLevel="3">
      <c r="A78" s="93">
        <v>201210</v>
      </c>
      <c r="B78" s="93">
        <v>3481</v>
      </c>
      <c r="C78" s="93"/>
      <c r="D78" s="93"/>
      <c r="E78" s="326" t="s">
        <v>3054</v>
      </c>
      <c r="F78" s="326" t="s">
        <v>5124</v>
      </c>
      <c r="G78" s="37" t="s">
        <v>41</v>
      </c>
      <c r="H78" s="707">
        <f>IFERROR(VLOOKUP(A78,'Colar QL'!A:C,3,0),0)</f>
        <v>0</v>
      </c>
      <c r="I78" s="69">
        <f t="shared" si="13"/>
        <v>0</v>
      </c>
      <c r="J78" s="771">
        <f>'BD Temp'!E102</f>
        <v>0</v>
      </c>
      <c r="K78" s="590" t="str">
        <f t="shared" si="14"/>
        <v>47.0284.1.2.17.00.01.039.01.02.26.1</v>
      </c>
      <c r="L78" s="771" t="s">
        <v>1996</v>
      </c>
      <c r="M78" s="772" t="str">
        <f>'BD Temp'!F102</f>
        <v>-</v>
      </c>
      <c r="N78" s="770">
        <f>'BD Temp'!J102</f>
        <v>0</v>
      </c>
      <c r="O78" s="592" t="str">
        <f t="shared" si="15"/>
        <v>47.0284.1.2.17.00.01.039.01.02.26.2</v>
      </c>
      <c r="P78" s="772" t="s">
        <v>1998</v>
      </c>
      <c r="Q78" s="772" t="str">
        <f>'BD Temp'!K102</f>
        <v>-</v>
      </c>
      <c r="R78" s="770">
        <f>'BD Temp'!O102</f>
        <v>0</v>
      </c>
      <c r="S78" s="592" t="str">
        <f t="shared" si="16"/>
        <v>47.0284.1.2.17.00.01.039.01.02.26.3</v>
      </c>
      <c r="T78" s="772" t="s">
        <v>2000</v>
      </c>
      <c r="U78" s="772" t="str">
        <f>'BD Temp'!P102</f>
        <v>-</v>
      </c>
      <c r="V78" s="869"/>
      <c r="W78" s="869"/>
      <c r="X78" s="869"/>
      <c r="Y78" s="745"/>
      <c r="Z78" s="771">
        <v>0</v>
      </c>
      <c r="AA78" s="592" t="str">
        <f t="shared" si="17"/>
        <v>47.0284.1.2.17.00.01.039.01.02.26.1</v>
      </c>
      <c r="AB78" s="772" t="s">
        <v>1996</v>
      </c>
      <c r="AC78" s="770">
        <v>0</v>
      </c>
      <c r="AD78" s="592" t="str">
        <f t="shared" si="18"/>
        <v>47.0284.1.2.17.00.01.039.01.02.26.2</v>
      </c>
      <c r="AE78" s="772" t="s">
        <v>1998</v>
      </c>
      <c r="AF78" s="770">
        <v>0</v>
      </c>
      <c r="AG78" s="592" t="str">
        <f t="shared" si="19"/>
        <v>47.0284.1.2.17.00.01.039.01.02.26.3</v>
      </c>
      <c r="AH78" s="772" t="s">
        <v>2000</v>
      </c>
      <c r="AI78" s="158"/>
    </row>
    <row r="79" spans="1:35" ht="15" hidden="1" customHeight="1" outlineLevel="3">
      <c r="A79" s="93">
        <v>9</v>
      </c>
      <c r="B79" s="93">
        <v>3481</v>
      </c>
      <c r="C79" s="93"/>
      <c r="D79" s="93"/>
      <c r="E79" s="868" t="s">
        <v>3054</v>
      </c>
      <c r="F79" s="868" t="s">
        <v>5124</v>
      </c>
      <c r="G79" s="37" t="s">
        <v>42</v>
      </c>
      <c r="H79" s="707">
        <f>IFERROR(VLOOKUP(A79,'Colar QL'!A:C,3,0),0)</f>
        <v>0</v>
      </c>
      <c r="I79" s="69">
        <f t="shared" si="13"/>
        <v>0</v>
      </c>
      <c r="J79" s="771">
        <f>'BD Temp'!E103</f>
        <v>0</v>
      </c>
      <c r="K79" s="590" t="str">
        <f t="shared" si="14"/>
        <v>47.0284.1.2.17.00.01.039.01.02.26.1</v>
      </c>
      <c r="L79" s="771" t="s">
        <v>1996</v>
      </c>
      <c r="M79" s="772" t="str">
        <f>'BD Temp'!F103</f>
        <v>-</v>
      </c>
      <c r="N79" s="770">
        <f>'BD Temp'!J103</f>
        <v>0</v>
      </c>
      <c r="O79" s="592" t="str">
        <f t="shared" si="15"/>
        <v>47.0284.1.2.17.00.01.039.01.02.26.2</v>
      </c>
      <c r="P79" s="772" t="s">
        <v>1998</v>
      </c>
      <c r="Q79" s="772" t="str">
        <f>'BD Temp'!K103</f>
        <v>-</v>
      </c>
      <c r="R79" s="770">
        <f>'BD Temp'!O103</f>
        <v>0</v>
      </c>
      <c r="S79" s="592" t="str">
        <f t="shared" si="16"/>
        <v>47.0284.1.2.17.00.01.039.01.02.26.3</v>
      </c>
      <c r="T79" s="772" t="s">
        <v>2000</v>
      </c>
      <c r="U79" s="772" t="str">
        <f>'BD Temp'!P103</f>
        <v>-</v>
      </c>
      <c r="V79" s="869"/>
      <c r="W79" s="869"/>
      <c r="X79" s="869"/>
      <c r="Y79" s="745"/>
      <c r="Z79" s="771">
        <v>0</v>
      </c>
      <c r="AA79" s="592" t="str">
        <f t="shared" si="17"/>
        <v>47.0284.1.2.17.00.01.039.01.02.26.1</v>
      </c>
      <c r="AB79" s="772" t="s">
        <v>1996</v>
      </c>
      <c r="AC79" s="770">
        <v>0</v>
      </c>
      <c r="AD79" s="592" t="str">
        <f t="shared" si="18"/>
        <v>47.0284.1.2.17.00.01.039.01.02.26.2</v>
      </c>
      <c r="AE79" s="772" t="s">
        <v>1998</v>
      </c>
      <c r="AF79" s="770">
        <v>0</v>
      </c>
      <c r="AG79" s="592" t="str">
        <f t="shared" si="19"/>
        <v>47.0284.1.2.17.00.01.039.01.02.26.3</v>
      </c>
      <c r="AH79" s="772" t="s">
        <v>2000</v>
      </c>
      <c r="AI79" s="158"/>
    </row>
    <row r="80" spans="1:35" s="26" customFormat="1" ht="15" hidden="1" customHeight="1" outlineLevel="3">
      <c r="A80" s="93">
        <v>11</v>
      </c>
      <c r="B80" s="93">
        <v>3481</v>
      </c>
      <c r="C80" s="93"/>
      <c r="D80" s="93"/>
      <c r="E80" s="868" t="s">
        <v>3055</v>
      </c>
      <c r="F80" s="868" t="s">
        <v>5123</v>
      </c>
      <c r="G80" s="37" t="s">
        <v>589</v>
      </c>
      <c r="H80" s="707">
        <f>IFERROR(VLOOKUP(A80,'Colar QL'!A:C,3,0),0)</f>
        <v>1</v>
      </c>
      <c r="I80" s="69">
        <f t="shared" si="13"/>
        <v>1</v>
      </c>
      <c r="J80" s="57">
        <f>'BD Temp'!E104</f>
        <v>1</v>
      </c>
      <c r="K80" s="591" t="str">
        <f t="shared" si="14"/>
        <v>47.0284.1.2.17.00.01.039.01.02.23.1</v>
      </c>
      <c r="L80" s="57" t="s">
        <v>1996</v>
      </c>
      <c r="M80" s="87">
        <f>'BD Temp'!F104</f>
        <v>0.3866666666666666</v>
      </c>
      <c r="N80" s="58">
        <f>'BD Temp'!J104</f>
        <v>0</v>
      </c>
      <c r="O80" s="593" t="str">
        <f t="shared" si="15"/>
        <v>47.0284.1.2.17.00.01.039.01.02.23.2</v>
      </c>
      <c r="P80" s="87" t="s">
        <v>1998</v>
      </c>
      <c r="Q80" s="87" t="str">
        <f>'BD Temp'!K104</f>
        <v>-</v>
      </c>
      <c r="R80" s="58">
        <f>'BD Temp'!O104</f>
        <v>0</v>
      </c>
      <c r="S80" s="593" t="str">
        <f t="shared" si="16"/>
        <v>47.0284.1.2.17.00.01.039.01.02.23.3</v>
      </c>
      <c r="T80" s="87" t="s">
        <v>2000</v>
      </c>
      <c r="U80" s="87" t="str">
        <f>'BD Temp'!P104</f>
        <v>-</v>
      </c>
      <c r="V80" s="869"/>
      <c r="W80" s="869"/>
      <c r="X80" s="869"/>
      <c r="Y80" s="745"/>
      <c r="Z80" s="771">
        <v>0</v>
      </c>
      <c r="AA80" s="592" t="str">
        <f t="shared" si="17"/>
        <v>47.0284.1.2.17.00.01.039.01.02.23.1</v>
      </c>
      <c r="AB80" s="772" t="s">
        <v>1996</v>
      </c>
      <c r="AC80" s="770">
        <v>0</v>
      </c>
      <c r="AD80" s="592" t="str">
        <f t="shared" si="18"/>
        <v>47.0284.1.2.17.00.01.039.01.02.23.2</v>
      </c>
      <c r="AE80" s="772" t="s">
        <v>1998</v>
      </c>
      <c r="AF80" s="770">
        <v>0</v>
      </c>
      <c r="AG80" s="592" t="str">
        <f t="shared" si="19"/>
        <v>47.0284.1.2.17.00.01.039.01.02.23.3</v>
      </c>
      <c r="AH80" s="772" t="s">
        <v>2000</v>
      </c>
      <c r="AI80" s="158"/>
    </row>
    <row r="81" spans="1:35" ht="15" hidden="1" customHeight="1" outlineLevel="3">
      <c r="A81" s="884">
        <v>12</v>
      </c>
      <c r="B81" s="93">
        <v>3481</v>
      </c>
      <c r="C81" s="884"/>
      <c r="D81" s="884"/>
      <c r="E81" s="885" t="s">
        <v>3057</v>
      </c>
      <c r="F81" s="885" t="s">
        <v>5119</v>
      </c>
      <c r="G81" s="885" t="s">
        <v>3134</v>
      </c>
      <c r="H81" s="886">
        <f>IFERROR(VLOOKUP(A81,'Colar QL'!A:C,3,0),0)</f>
        <v>1</v>
      </c>
      <c r="I81" s="887">
        <f t="shared" si="13"/>
        <v>1</v>
      </c>
      <c r="J81" s="888">
        <f>'BD Temp'!E107</f>
        <v>1</v>
      </c>
      <c r="K81" s="590" t="str">
        <f t="shared" si="14"/>
        <v>47.0284.1.2.17.00.01.039.01.02.21.1</v>
      </c>
      <c r="L81" s="771" t="s">
        <v>1996</v>
      </c>
      <c r="M81" s="889">
        <f>'BD Temp'!F107</f>
        <v>0.3866666666666666</v>
      </c>
      <c r="N81" s="890">
        <f>'BD Temp'!J107</f>
        <v>0</v>
      </c>
      <c r="O81" s="592" t="str">
        <f t="shared" si="15"/>
        <v>47.0284.1.2.17.00.01.039.01.02.21.2</v>
      </c>
      <c r="P81" s="772" t="s">
        <v>1998</v>
      </c>
      <c r="Q81" s="889" t="str">
        <f>'BD Temp'!K107</f>
        <v>-</v>
      </c>
      <c r="R81" s="890">
        <f>'BD Temp'!O107</f>
        <v>0</v>
      </c>
      <c r="S81" s="592" t="str">
        <f t="shared" si="16"/>
        <v>47.0284.1.2.17.00.01.039.01.02.21.3</v>
      </c>
      <c r="T81" s="772" t="s">
        <v>2000</v>
      </c>
      <c r="U81" s="889" t="str">
        <f>'BD Temp'!P107</f>
        <v>-</v>
      </c>
      <c r="V81" s="891"/>
      <c r="W81" s="884"/>
      <c r="X81" s="891"/>
      <c r="Y81" s="745"/>
      <c r="Z81" s="771">
        <v>0</v>
      </c>
      <c r="AA81" s="592" t="str">
        <f t="shared" si="17"/>
        <v>47.0284.1.2.17.00.01.039.01.02.21.1</v>
      </c>
      <c r="AB81" s="772" t="s">
        <v>1996</v>
      </c>
      <c r="AC81" s="770">
        <v>0</v>
      </c>
      <c r="AD81" s="592" t="str">
        <f t="shared" si="18"/>
        <v>47.0284.1.2.17.00.01.039.01.02.21.2</v>
      </c>
      <c r="AE81" s="772" t="s">
        <v>1998</v>
      </c>
      <c r="AF81" s="770">
        <v>0</v>
      </c>
      <c r="AG81" s="592" t="str">
        <f t="shared" si="19"/>
        <v>47.0284.1.2.17.00.01.039.01.02.21.3</v>
      </c>
      <c r="AH81" s="772" t="s">
        <v>2000</v>
      </c>
      <c r="AI81" s="158"/>
    </row>
    <row r="82" spans="1:35" ht="15" hidden="1" customHeight="1" outlineLevel="3">
      <c r="A82" s="93">
        <v>13</v>
      </c>
      <c r="B82" s="93">
        <v>3481</v>
      </c>
      <c r="C82" s="93"/>
      <c r="D82" s="93"/>
      <c r="E82" s="868" t="s">
        <v>2889</v>
      </c>
      <c r="F82" s="868" t="s">
        <v>5119</v>
      </c>
      <c r="G82" s="37" t="s">
        <v>0</v>
      </c>
      <c r="H82" s="707">
        <f>IFERROR(VLOOKUP(A82,'Colar QL'!A:C,3,0),0)</f>
        <v>0</v>
      </c>
      <c r="I82" s="69">
        <f t="shared" si="13"/>
        <v>0</v>
      </c>
      <c r="J82" s="771">
        <f>'BD Temp'!E108</f>
        <v>0</v>
      </c>
      <c r="K82" s="590" t="str">
        <f t="shared" si="14"/>
        <v>47.0284.1.2.17.00.01.039.01.02.21.1</v>
      </c>
      <c r="L82" s="771" t="s">
        <v>1996</v>
      </c>
      <c r="M82" s="772" t="str">
        <f>'BD Temp'!F108</f>
        <v>-</v>
      </c>
      <c r="N82" s="770">
        <f>'BD Temp'!J108</f>
        <v>0</v>
      </c>
      <c r="O82" s="592" t="str">
        <f t="shared" si="15"/>
        <v>47.0284.1.2.17.00.01.039.01.02.21.2</v>
      </c>
      <c r="P82" s="772" t="s">
        <v>1998</v>
      </c>
      <c r="Q82" s="772" t="str">
        <f>'BD Temp'!K108</f>
        <v>-</v>
      </c>
      <c r="R82" s="770">
        <f>'BD Temp'!O108</f>
        <v>0</v>
      </c>
      <c r="S82" s="592" t="str">
        <f t="shared" si="16"/>
        <v>47.0284.1.2.17.00.01.039.01.02.21.3</v>
      </c>
      <c r="T82" s="772" t="s">
        <v>2000</v>
      </c>
      <c r="U82" s="772" t="str">
        <f>'BD Temp'!P108</f>
        <v>-</v>
      </c>
      <c r="V82" s="869"/>
      <c r="W82" s="869"/>
      <c r="X82" s="869"/>
      <c r="Y82" s="745"/>
      <c r="Z82" s="771">
        <v>0</v>
      </c>
      <c r="AA82" s="592" t="str">
        <f t="shared" si="17"/>
        <v>47.0284.1.2.17.00.01.039.01.02.21.1</v>
      </c>
      <c r="AB82" s="772" t="s">
        <v>1996</v>
      </c>
      <c r="AC82" s="770">
        <v>0</v>
      </c>
      <c r="AD82" s="592" t="str">
        <f t="shared" si="18"/>
        <v>47.0284.1.2.17.00.01.039.01.02.21.2</v>
      </c>
      <c r="AE82" s="772" t="s">
        <v>1998</v>
      </c>
      <c r="AF82" s="770">
        <v>0</v>
      </c>
      <c r="AG82" s="592" t="str">
        <f t="shared" si="19"/>
        <v>47.0284.1.2.17.00.01.039.01.02.21.3</v>
      </c>
      <c r="AH82" s="772" t="s">
        <v>2000</v>
      </c>
      <c r="AI82" s="158"/>
    </row>
    <row r="83" spans="1:35" ht="15" hidden="1" customHeight="1" outlineLevel="3">
      <c r="A83" s="892">
        <v>14</v>
      </c>
      <c r="B83" s="892">
        <v>3481</v>
      </c>
      <c r="C83" s="892"/>
      <c r="D83" s="892"/>
      <c r="E83" s="893" t="s">
        <v>3107</v>
      </c>
      <c r="F83" s="893" t="s">
        <v>5125</v>
      </c>
      <c r="G83" s="894" t="s">
        <v>590</v>
      </c>
      <c r="H83" s="895">
        <f>IFERROR(VLOOKUP(A83,'Colar QL'!A:C,3,0),0)</f>
        <v>0</v>
      </c>
      <c r="I83" s="896">
        <f t="shared" si="13"/>
        <v>0</v>
      </c>
      <c r="J83" s="897">
        <f>'BD Temp'!E109</f>
        <v>0</v>
      </c>
      <c r="K83" s="590" t="str">
        <f t="shared" si="14"/>
        <v>47.0284.1.2.17.00.01.039.01.34.02.1</v>
      </c>
      <c r="L83" s="771" t="s">
        <v>1996</v>
      </c>
      <c r="M83" s="898" t="str">
        <f>'BD Temp'!F109</f>
        <v>-</v>
      </c>
      <c r="N83" s="899">
        <f>'BD Temp'!J109</f>
        <v>0</v>
      </c>
      <c r="O83" s="592" t="str">
        <f t="shared" si="15"/>
        <v>47.0284.1.2.17.00.01.039.01.34.02.2</v>
      </c>
      <c r="P83" s="772" t="s">
        <v>1998</v>
      </c>
      <c r="Q83" s="898" t="str">
        <f>'BD Temp'!K109</f>
        <v>-</v>
      </c>
      <c r="R83" s="899">
        <f>'BD Temp'!O109</f>
        <v>0</v>
      </c>
      <c r="S83" s="592" t="str">
        <f t="shared" si="16"/>
        <v>47.0284.1.2.17.00.01.039.01.34.02.3</v>
      </c>
      <c r="T83" s="772" t="s">
        <v>2000</v>
      </c>
      <c r="U83" s="898" t="str">
        <f>'BD Temp'!P109</f>
        <v>-</v>
      </c>
      <c r="V83" s="900"/>
      <c r="W83" s="900"/>
      <c r="X83" s="900"/>
      <c r="Y83" s="745"/>
      <c r="Z83" s="771">
        <v>0</v>
      </c>
      <c r="AA83" s="592" t="str">
        <f t="shared" si="17"/>
        <v>47.0284.1.2.17.00.01.039.01.34.02.1</v>
      </c>
      <c r="AB83" s="772" t="s">
        <v>1996</v>
      </c>
      <c r="AC83" s="770">
        <v>0</v>
      </c>
      <c r="AD83" s="592" t="str">
        <f t="shared" si="18"/>
        <v>47.0284.1.2.17.00.01.039.01.34.02.2</v>
      </c>
      <c r="AE83" s="772" t="s">
        <v>1998</v>
      </c>
      <c r="AF83" s="770">
        <v>0</v>
      </c>
      <c r="AG83" s="592" t="str">
        <f t="shared" si="19"/>
        <v>47.0284.1.2.17.00.01.039.01.34.02.3</v>
      </c>
      <c r="AH83" s="772" t="s">
        <v>2000</v>
      </c>
      <c r="AI83" s="158"/>
    </row>
    <row r="84" spans="1:35" ht="15" hidden="1" customHeight="1" outlineLevel="3">
      <c r="A84" s="93">
        <v>16</v>
      </c>
      <c r="B84" s="93">
        <v>3481</v>
      </c>
      <c r="C84" s="93"/>
      <c r="D84" s="93"/>
      <c r="E84" s="868" t="s">
        <v>3054</v>
      </c>
      <c r="F84" s="868" t="s">
        <v>5124</v>
      </c>
      <c r="G84" s="37" t="s">
        <v>16</v>
      </c>
      <c r="H84" s="707">
        <f>IFERROR(VLOOKUP(A84,'Colar QL'!A:C,3,0),0)</f>
        <v>0</v>
      </c>
      <c r="I84" s="69">
        <f t="shared" si="13"/>
        <v>0</v>
      </c>
      <c r="J84" s="771">
        <v>0</v>
      </c>
      <c r="K84" s="590" t="str">
        <f t="shared" si="14"/>
        <v>47.0284.1.2.17.00.01.039.01.02.26.1</v>
      </c>
      <c r="L84" s="771" t="s">
        <v>1996</v>
      </c>
      <c r="M84" s="772" t="str">
        <f>'BD Temp'!F110</f>
        <v>-</v>
      </c>
      <c r="N84" s="770">
        <f>'BD Temp'!J110</f>
        <v>0</v>
      </c>
      <c r="O84" s="592" t="str">
        <f t="shared" si="15"/>
        <v>47.0284.1.2.17.00.01.039.01.02.26.2</v>
      </c>
      <c r="P84" s="772" t="s">
        <v>1998</v>
      </c>
      <c r="Q84" s="772" t="str">
        <f>'BD Temp'!K110</f>
        <v>-</v>
      </c>
      <c r="R84" s="770">
        <f>'BD Temp'!O110</f>
        <v>0</v>
      </c>
      <c r="S84" s="592" t="str">
        <f t="shared" si="16"/>
        <v>47.0284.1.2.17.00.01.039.01.02.26.3</v>
      </c>
      <c r="T84" s="772" t="s">
        <v>2000</v>
      </c>
      <c r="U84" s="772" t="str">
        <f>'BD Temp'!P110</f>
        <v>-</v>
      </c>
      <c r="V84" s="869"/>
      <c r="W84" s="869"/>
      <c r="X84" s="869"/>
      <c r="Y84" s="745"/>
      <c r="Z84" s="771">
        <v>0</v>
      </c>
      <c r="AA84" s="592" t="str">
        <f t="shared" si="17"/>
        <v>47.0284.1.2.17.00.01.039.01.02.26.1</v>
      </c>
      <c r="AB84" s="772" t="s">
        <v>1996</v>
      </c>
      <c r="AC84" s="770">
        <v>0</v>
      </c>
      <c r="AD84" s="592" t="str">
        <f t="shared" si="18"/>
        <v>47.0284.1.2.17.00.01.039.01.02.26.2</v>
      </c>
      <c r="AE84" s="772" t="s">
        <v>1998</v>
      </c>
      <c r="AF84" s="770">
        <v>0</v>
      </c>
      <c r="AG84" s="592" t="str">
        <f t="shared" si="19"/>
        <v>47.0284.1.2.17.00.01.039.01.02.26.3</v>
      </c>
      <c r="AH84" s="772" t="s">
        <v>2000</v>
      </c>
      <c r="AI84" s="158"/>
    </row>
    <row r="85" spans="1:35" ht="15" hidden="1" customHeight="1" outlineLevel="3">
      <c r="A85" s="93">
        <v>201205</v>
      </c>
      <c r="B85" s="93">
        <v>3481</v>
      </c>
      <c r="C85" s="93"/>
      <c r="D85" s="93"/>
      <c r="E85" s="868" t="s">
        <v>2888</v>
      </c>
      <c r="F85" s="868" t="s">
        <v>5126</v>
      </c>
      <c r="G85" s="37" t="s">
        <v>40</v>
      </c>
      <c r="H85" s="707">
        <f>IFERROR(VLOOKUP(A85,'Colar QL'!A:C,3,0),0)</f>
        <v>1</v>
      </c>
      <c r="I85" s="69">
        <f t="shared" si="13"/>
        <v>1</v>
      </c>
      <c r="J85" s="771">
        <f>'BD Temp'!E111</f>
        <v>1</v>
      </c>
      <c r="K85" s="590" t="str">
        <f t="shared" si="14"/>
        <v>47.0284.1.2.17.00.01.039.01.02.20.1</v>
      </c>
      <c r="L85" s="771" t="s">
        <v>1996</v>
      </c>
      <c r="M85" s="772">
        <f>'BD Temp'!F111</f>
        <v>0.3</v>
      </c>
      <c r="N85" s="770">
        <f>'BD Temp'!J111</f>
        <v>0</v>
      </c>
      <c r="O85" s="592" t="str">
        <f t="shared" si="15"/>
        <v>47.0284.1.2.17.00.01.039.01.02.20.2</v>
      </c>
      <c r="P85" s="772" t="s">
        <v>1998</v>
      </c>
      <c r="Q85" s="772" t="str">
        <f>'BD Temp'!K111</f>
        <v>-</v>
      </c>
      <c r="R85" s="770">
        <f>'BD Temp'!O111</f>
        <v>0</v>
      </c>
      <c r="S85" s="592" t="str">
        <f t="shared" si="16"/>
        <v>47.0284.1.2.17.00.01.039.01.02.20.3</v>
      </c>
      <c r="T85" s="772" t="s">
        <v>2000</v>
      </c>
      <c r="U85" s="772" t="str">
        <f>'BD Temp'!P111</f>
        <v>-</v>
      </c>
      <c r="V85" s="869"/>
      <c r="W85" s="869"/>
      <c r="X85" s="869"/>
      <c r="Y85" s="745"/>
      <c r="Z85" s="771">
        <v>0</v>
      </c>
      <c r="AA85" s="592" t="str">
        <f t="shared" si="17"/>
        <v>47.0284.1.2.17.00.01.039.01.02.20.1</v>
      </c>
      <c r="AB85" s="772" t="s">
        <v>1996</v>
      </c>
      <c r="AC85" s="770">
        <v>0</v>
      </c>
      <c r="AD85" s="592" t="str">
        <f t="shared" si="18"/>
        <v>47.0284.1.2.17.00.01.039.01.02.20.2</v>
      </c>
      <c r="AE85" s="772" t="s">
        <v>1998</v>
      </c>
      <c r="AF85" s="770">
        <v>0</v>
      </c>
      <c r="AG85" s="592" t="str">
        <f t="shared" si="19"/>
        <v>47.0284.1.2.17.00.01.039.01.02.20.3</v>
      </c>
      <c r="AH85" s="772" t="s">
        <v>2000</v>
      </c>
      <c r="AI85" s="158"/>
    </row>
    <row r="86" spans="1:35" ht="15" hidden="1" customHeight="1" outlineLevel="3">
      <c r="A86" s="93">
        <v>15</v>
      </c>
      <c r="B86" s="93">
        <v>3481</v>
      </c>
      <c r="C86" s="93"/>
      <c r="D86" s="93"/>
      <c r="E86" s="868" t="s">
        <v>3057</v>
      </c>
      <c r="F86" s="868" t="s">
        <v>5119</v>
      </c>
      <c r="G86" s="37" t="s">
        <v>591</v>
      </c>
      <c r="H86" s="707">
        <f>IFERROR(VLOOKUP(A86,'Colar QL'!A:C,3,0),0)</f>
        <v>0</v>
      </c>
      <c r="I86" s="69">
        <f t="shared" si="13"/>
        <v>0</v>
      </c>
      <c r="J86" s="771">
        <f>'BD Temp'!E114</f>
        <v>0</v>
      </c>
      <c r="K86" s="590" t="str">
        <f t="shared" si="14"/>
        <v>47.0284.1.2.17.00.01.039.01.02.21.1</v>
      </c>
      <c r="L86" s="771" t="s">
        <v>1996</v>
      </c>
      <c r="M86" s="772" t="str">
        <f>'BD Temp'!F114</f>
        <v>-</v>
      </c>
      <c r="N86" s="770">
        <f>'BD Temp'!J114</f>
        <v>0</v>
      </c>
      <c r="O86" s="592" t="str">
        <f t="shared" si="15"/>
        <v>47.0284.1.2.17.00.01.039.01.02.21.2</v>
      </c>
      <c r="P86" s="772" t="s">
        <v>1998</v>
      </c>
      <c r="Q86" s="772" t="str">
        <f>'BD Temp'!K114</f>
        <v>-</v>
      </c>
      <c r="R86" s="770">
        <f>'BD Temp'!O114</f>
        <v>0</v>
      </c>
      <c r="S86" s="592" t="str">
        <f t="shared" si="16"/>
        <v>47.0284.1.2.17.00.01.039.01.02.21.3</v>
      </c>
      <c r="T86" s="772" t="s">
        <v>2000</v>
      </c>
      <c r="U86" s="772" t="str">
        <f>'BD Temp'!P114</f>
        <v>-</v>
      </c>
      <c r="V86" s="869"/>
      <c r="W86" s="869"/>
      <c r="X86" s="869"/>
      <c r="Y86" s="745"/>
      <c r="Z86" s="771">
        <v>0</v>
      </c>
      <c r="AA86" s="592" t="str">
        <f t="shared" si="17"/>
        <v>47.0284.1.2.17.00.01.039.01.02.21.1</v>
      </c>
      <c r="AB86" s="772" t="s">
        <v>1996</v>
      </c>
      <c r="AC86" s="770">
        <v>0</v>
      </c>
      <c r="AD86" s="592" t="str">
        <f t="shared" si="18"/>
        <v>47.0284.1.2.17.00.01.039.01.02.21.2</v>
      </c>
      <c r="AE86" s="772" t="s">
        <v>1998</v>
      </c>
      <c r="AF86" s="770">
        <v>0</v>
      </c>
      <c r="AG86" s="592" t="str">
        <f t="shared" si="19"/>
        <v>47.0284.1.2.17.00.01.039.01.02.21.3</v>
      </c>
      <c r="AH86" s="772" t="s">
        <v>2000</v>
      </c>
      <c r="AI86" s="158"/>
    </row>
    <row r="87" spans="1:35" ht="15" hidden="1" customHeight="1" outlineLevel="3">
      <c r="A87" s="93"/>
      <c r="B87" s="93" t="s">
        <v>1075</v>
      </c>
      <c r="C87" s="93"/>
      <c r="D87" s="93"/>
      <c r="E87" s="868"/>
      <c r="F87" s="868" t="s">
        <v>1075</v>
      </c>
      <c r="G87" s="37"/>
      <c r="H87" s="707"/>
      <c r="I87" s="69">
        <f t="shared" si="13"/>
        <v>0</v>
      </c>
      <c r="J87" s="771"/>
      <c r="K87" s="590" t="str">
        <f t="shared" si="14"/>
        <v>.1</v>
      </c>
      <c r="L87" s="771" t="s">
        <v>1996</v>
      </c>
      <c r="M87" s="772"/>
      <c r="N87" s="770"/>
      <c r="O87" s="592" t="str">
        <f t="shared" si="15"/>
        <v>.2</v>
      </c>
      <c r="P87" s="772" t="s">
        <v>1998</v>
      </c>
      <c r="Q87" s="772"/>
      <c r="R87" s="770"/>
      <c r="S87" s="592" t="str">
        <f t="shared" si="16"/>
        <v>.3</v>
      </c>
      <c r="T87" s="772" t="s">
        <v>2000</v>
      </c>
      <c r="U87" s="772"/>
      <c r="V87" s="869"/>
      <c r="W87" s="869"/>
      <c r="X87" s="869"/>
      <c r="Y87" s="745"/>
      <c r="Z87" s="771">
        <v>0</v>
      </c>
      <c r="AA87" s="592" t="str">
        <f t="shared" si="17"/>
        <v>.1</v>
      </c>
      <c r="AB87" s="772" t="s">
        <v>1996</v>
      </c>
      <c r="AC87" s="770">
        <v>0</v>
      </c>
      <c r="AD87" s="592" t="str">
        <f t="shared" si="18"/>
        <v>.2</v>
      </c>
      <c r="AE87" s="772" t="s">
        <v>1998</v>
      </c>
      <c r="AF87" s="770">
        <v>0</v>
      </c>
      <c r="AG87" s="592" t="str">
        <f t="shared" si="19"/>
        <v>.3</v>
      </c>
      <c r="AH87" s="772" t="s">
        <v>2000</v>
      </c>
      <c r="AI87" s="158"/>
    </row>
    <row r="88" spans="1:35" ht="15" hidden="1" customHeight="1" outlineLevel="3">
      <c r="A88" s="99"/>
      <c r="B88" s="99" t="s">
        <v>1075</v>
      </c>
      <c r="C88" s="99"/>
      <c r="D88" s="99"/>
      <c r="E88" s="901"/>
      <c r="F88" s="901" t="s">
        <v>1075</v>
      </c>
      <c r="G88" s="39" t="s">
        <v>723</v>
      </c>
      <c r="H88" s="707"/>
      <c r="I88" s="69">
        <f t="shared" si="13"/>
        <v>0</v>
      </c>
      <c r="J88" s="771"/>
      <c r="K88" s="590" t="str">
        <f t="shared" si="14"/>
        <v>.1</v>
      </c>
      <c r="L88" s="771" t="s">
        <v>1996</v>
      </c>
      <c r="M88" s="772"/>
      <c r="N88" s="770"/>
      <c r="O88" s="592" t="str">
        <f t="shared" si="15"/>
        <v>.2</v>
      </c>
      <c r="P88" s="772" t="s">
        <v>1998</v>
      </c>
      <c r="Q88" s="772"/>
      <c r="R88" s="770"/>
      <c r="S88" s="592" t="str">
        <f t="shared" si="16"/>
        <v>.3</v>
      </c>
      <c r="T88" s="772" t="s">
        <v>2000</v>
      </c>
      <c r="U88" s="772"/>
      <c r="V88" s="869"/>
      <c r="W88" s="869"/>
      <c r="X88" s="869"/>
      <c r="Y88" s="745"/>
      <c r="Z88" s="771">
        <v>0</v>
      </c>
      <c r="AA88" s="592" t="str">
        <f t="shared" si="17"/>
        <v>.1</v>
      </c>
      <c r="AB88" s="772" t="s">
        <v>1996</v>
      </c>
      <c r="AC88" s="770">
        <v>0</v>
      </c>
      <c r="AD88" s="592" t="str">
        <f t="shared" si="18"/>
        <v>.2</v>
      </c>
      <c r="AE88" s="772" t="s">
        <v>1998</v>
      </c>
      <c r="AF88" s="770">
        <v>0</v>
      </c>
      <c r="AG88" s="592" t="str">
        <f t="shared" si="19"/>
        <v>.3</v>
      </c>
      <c r="AH88" s="772" t="s">
        <v>2000</v>
      </c>
      <c r="AI88" s="158"/>
    </row>
    <row r="89" spans="1:35" ht="15" hidden="1" customHeight="1" outlineLevel="3">
      <c r="A89" s="93"/>
      <c r="B89" s="93" t="s">
        <v>1075</v>
      </c>
      <c r="C89" s="93"/>
      <c r="D89" s="93"/>
      <c r="E89" s="868"/>
      <c r="F89" s="868" t="s">
        <v>1075</v>
      </c>
      <c r="G89" s="37"/>
      <c r="H89" s="707"/>
      <c r="I89" s="69">
        <f t="shared" si="13"/>
        <v>0</v>
      </c>
      <c r="J89" s="771"/>
      <c r="K89" s="590" t="str">
        <f t="shared" si="14"/>
        <v>.1</v>
      </c>
      <c r="L89" s="771" t="s">
        <v>1996</v>
      </c>
      <c r="M89" s="772"/>
      <c r="N89" s="770"/>
      <c r="O89" s="592" t="str">
        <f t="shared" si="15"/>
        <v>.2</v>
      </c>
      <c r="P89" s="772" t="s">
        <v>1998</v>
      </c>
      <c r="Q89" s="772"/>
      <c r="R89" s="770"/>
      <c r="S89" s="592" t="str">
        <f t="shared" si="16"/>
        <v>.3</v>
      </c>
      <c r="T89" s="772" t="s">
        <v>2000</v>
      </c>
      <c r="U89" s="772"/>
      <c r="V89" s="869"/>
      <c r="W89" s="869"/>
      <c r="X89" s="869"/>
      <c r="Y89" s="745"/>
      <c r="Z89" s="771">
        <v>0</v>
      </c>
      <c r="AA89" s="592" t="str">
        <f t="shared" si="17"/>
        <v>.1</v>
      </c>
      <c r="AB89" s="772" t="s">
        <v>1996</v>
      </c>
      <c r="AC89" s="770">
        <v>0</v>
      </c>
      <c r="AD89" s="592" t="str">
        <f t="shared" si="18"/>
        <v>.2</v>
      </c>
      <c r="AE89" s="772" t="s">
        <v>1998</v>
      </c>
      <c r="AF89" s="770">
        <v>0</v>
      </c>
      <c r="AG89" s="592" t="str">
        <f t="shared" si="19"/>
        <v>.3</v>
      </c>
      <c r="AH89" s="772" t="s">
        <v>2000</v>
      </c>
      <c r="AI89" s="158"/>
    </row>
    <row r="90" spans="1:35" ht="15" hidden="1" customHeight="1" outlineLevel="3">
      <c r="A90" s="93"/>
      <c r="B90" s="93" t="s">
        <v>1075</v>
      </c>
      <c r="C90" s="93"/>
      <c r="D90" s="93"/>
      <c r="E90" s="868"/>
      <c r="F90" s="868" t="s">
        <v>1075</v>
      </c>
      <c r="G90" s="37"/>
      <c r="H90" s="707"/>
      <c r="I90" s="69">
        <f t="shared" si="13"/>
        <v>0</v>
      </c>
      <c r="J90" s="771"/>
      <c r="K90" s="590" t="str">
        <f t="shared" si="14"/>
        <v>.1</v>
      </c>
      <c r="L90" s="771" t="s">
        <v>1996</v>
      </c>
      <c r="M90" s="772"/>
      <c r="N90" s="770"/>
      <c r="O90" s="592" t="str">
        <f t="shared" si="15"/>
        <v>.2</v>
      </c>
      <c r="P90" s="772" t="s">
        <v>1998</v>
      </c>
      <c r="Q90" s="772"/>
      <c r="R90" s="770"/>
      <c r="S90" s="592" t="str">
        <f t="shared" si="16"/>
        <v>.3</v>
      </c>
      <c r="T90" s="772" t="s">
        <v>2000</v>
      </c>
      <c r="U90" s="772"/>
      <c r="V90" s="869"/>
      <c r="W90" s="869"/>
      <c r="X90" s="869"/>
      <c r="Y90" s="745"/>
      <c r="Z90" s="771">
        <v>0</v>
      </c>
      <c r="AA90" s="592" t="str">
        <f t="shared" si="17"/>
        <v>.1</v>
      </c>
      <c r="AB90" s="772" t="s">
        <v>1996</v>
      </c>
      <c r="AC90" s="770">
        <v>0</v>
      </c>
      <c r="AD90" s="592" t="str">
        <f t="shared" si="18"/>
        <v>.2</v>
      </c>
      <c r="AE90" s="772" t="s">
        <v>1998</v>
      </c>
      <c r="AF90" s="770">
        <v>0</v>
      </c>
      <c r="AG90" s="592" t="str">
        <f t="shared" si="19"/>
        <v>.3</v>
      </c>
      <c r="AH90" s="772" t="s">
        <v>2000</v>
      </c>
      <c r="AI90" s="158"/>
    </row>
    <row r="91" spans="1:35" ht="15" hidden="1" customHeight="1" outlineLevel="3">
      <c r="A91" s="93"/>
      <c r="B91" s="93" t="s">
        <v>1075</v>
      </c>
      <c r="C91" s="93"/>
      <c r="D91" s="93"/>
      <c r="E91" s="868"/>
      <c r="F91" s="868" t="s">
        <v>1075</v>
      </c>
      <c r="G91" s="37"/>
      <c r="H91" s="707"/>
      <c r="I91" s="69">
        <f t="shared" si="13"/>
        <v>0</v>
      </c>
      <c r="J91" s="771"/>
      <c r="K91" s="590" t="str">
        <f t="shared" si="14"/>
        <v>.1</v>
      </c>
      <c r="L91" s="771" t="s">
        <v>1996</v>
      </c>
      <c r="M91" s="772"/>
      <c r="N91" s="770"/>
      <c r="O91" s="592" t="str">
        <f t="shared" si="15"/>
        <v>.2</v>
      </c>
      <c r="P91" s="772" t="s">
        <v>1998</v>
      </c>
      <c r="Q91" s="772"/>
      <c r="R91" s="770"/>
      <c r="S91" s="592" t="str">
        <f t="shared" si="16"/>
        <v>.3</v>
      </c>
      <c r="T91" s="772" t="s">
        <v>2000</v>
      </c>
      <c r="U91" s="772"/>
      <c r="V91" s="869"/>
      <c r="W91" s="869"/>
      <c r="X91" s="869"/>
      <c r="Y91" s="745"/>
      <c r="Z91" s="771">
        <v>0</v>
      </c>
      <c r="AA91" s="592" t="str">
        <f t="shared" si="17"/>
        <v>.1</v>
      </c>
      <c r="AB91" s="772" t="s">
        <v>1996</v>
      </c>
      <c r="AC91" s="770">
        <v>0</v>
      </c>
      <c r="AD91" s="592" t="str">
        <f t="shared" si="18"/>
        <v>.2</v>
      </c>
      <c r="AE91" s="772" t="s">
        <v>1998</v>
      </c>
      <c r="AF91" s="770">
        <v>0</v>
      </c>
      <c r="AG91" s="592" t="str">
        <f t="shared" si="19"/>
        <v>.3</v>
      </c>
      <c r="AH91" s="772" t="s">
        <v>2000</v>
      </c>
      <c r="AI91" s="158"/>
    </row>
    <row r="92" spans="1:35" ht="15" hidden="1" customHeight="1" outlineLevel="3">
      <c r="A92" s="93"/>
      <c r="B92" s="93" t="s">
        <v>1075</v>
      </c>
      <c r="C92" s="93"/>
      <c r="D92" s="93"/>
      <c r="E92" s="868"/>
      <c r="F92" s="868" t="s">
        <v>1075</v>
      </c>
      <c r="G92" s="37"/>
      <c r="H92" s="707"/>
      <c r="I92" s="69">
        <f t="shared" si="13"/>
        <v>0</v>
      </c>
      <c r="J92" s="771"/>
      <c r="K92" s="590" t="str">
        <f t="shared" si="14"/>
        <v>.1</v>
      </c>
      <c r="L92" s="771" t="s">
        <v>1996</v>
      </c>
      <c r="M92" s="772"/>
      <c r="N92" s="770"/>
      <c r="O92" s="592" t="str">
        <f t="shared" si="15"/>
        <v>.2</v>
      </c>
      <c r="P92" s="772" t="s">
        <v>1998</v>
      </c>
      <c r="Q92" s="772"/>
      <c r="R92" s="770"/>
      <c r="S92" s="592" t="str">
        <f t="shared" si="16"/>
        <v>.3</v>
      </c>
      <c r="T92" s="772" t="s">
        <v>2000</v>
      </c>
      <c r="U92" s="772"/>
      <c r="V92" s="869"/>
      <c r="W92" s="869"/>
      <c r="X92" s="869"/>
      <c r="Y92" s="745"/>
      <c r="Z92" s="771">
        <v>0</v>
      </c>
      <c r="AA92" s="592" t="str">
        <f t="shared" si="17"/>
        <v>.1</v>
      </c>
      <c r="AB92" s="772" t="s">
        <v>1996</v>
      </c>
      <c r="AC92" s="770">
        <v>0</v>
      </c>
      <c r="AD92" s="592" t="str">
        <f t="shared" si="18"/>
        <v>.2</v>
      </c>
      <c r="AE92" s="772" t="s">
        <v>1998</v>
      </c>
      <c r="AF92" s="770">
        <v>0</v>
      </c>
      <c r="AG92" s="592" t="str">
        <f t="shared" si="19"/>
        <v>.3</v>
      </c>
      <c r="AH92" s="772" t="s">
        <v>2000</v>
      </c>
      <c r="AI92" s="158"/>
    </row>
    <row r="93" spans="1:35" ht="15" hidden="1" customHeight="1" outlineLevel="3">
      <c r="A93" s="93"/>
      <c r="B93" s="93" t="s">
        <v>1075</v>
      </c>
      <c r="C93" s="93"/>
      <c r="D93" s="93"/>
      <c r="E93" s="868"/>
      <c r="F93" s="868" t="s">
        <v>1075</v>
      </c>
      <c r="G93" s="37"/>
      <c r="H93" s="707"/>
      <c r="I93" s="69">
        <f t="shared" si="13"/>
        <v>0</v>
      </c>
      <c r="J93" s="771"/>
      <c r="K93" s="590" t="str">
        <f t="shared" si="14"/>
        <v>.1</v>
      </c>
      <c r="L93" s="771" t="s">
        <v>1996</v>
      </c>
      <c r="M93" s="772"/>
      <c r="N93" s="770"/>
      <c r="O93" s="592" t="str">
        <f t="shared" si="15"/>
        <v>.2</v>
      </c>
      <c r="P93" s="772" t="s">
        <v>1998</v>
      </c>
      <c r="Q93" s="772"/>
      <c r="R93" s="770"/>
      <c r="S93" s="592" t="str">
        <f t="shared" si="16"/>
        <v>.3</v>
      </c>
      <c r="T93" s="772" t="s">
        <v>2000</v>
      </c>
      <c r="U93" s="772"/>
      <c r="V93" s="869"/>
      <c r="W93" s="869"/>
      <c r="X93" s="869"/>
      <c r="Y93" s="745"/>
      <c r="Z93" s="771">
        <v>0</v>
      </c>
      <c r="AA93" s="592" t="str">
        <f t="shared" si="17"/>
        <v>.1</v>
      </c>
      <c r="AB93" s="772" t="s">
        <v>1996</v>
      </c>
      <c r="AC93" s="770">
        <v>0</v>
      </c>
      <c r="AD93" s="592" t="str">
        <f t="shared" si="18"/>
        <v>.2</v>
      </c>
      <c r="AE93" s="772" t="s">
        <v>1998</v>
      </c>
      <c r="AF93" s="770">
        <v>0</v>
      </c>
      <c r="AG93" s="592" t="str">
        <f t="shared" si="19"/>
        <v>.3</v>
      </c>
      <c r="AH93" s="772" t="s">
        <v>2000</v>
      </c>
      <c r="AI93" s="158"/>
    </row>
    <row r="94" spans="1:35" ht="15" hidden="1" customHeight="1" outlineLevel="3">
      <c r="A94" s="93"/>
      <c r="B94" s="93" t="s">
        <v>1075</v>
      </c>
      <c r="C94" s="93"/>
      <c r="D94" s="93"/>
      <c r="E94" s="868"/>
      <c r="F94" s="868" t="s">
        <v>1075</v>
      </c>
      <c r="G94" s="37"/>
      <c r="H94" s="707"/>
      <c r="I94" s="69">
        <f t="shared" si="13"/>
        <v>0</v>
      </c>
      <c r="J94" s="771"/>
      <c r="K94" s="590" t="str">
        <f t="shared" si="14"/>
        <v>.1</v>
      </c>
      <c r="L94" s="771" t="s">
        <v>1996</v>
      </c>
      <c r="M94" s="772"/>
      <c r="N94" s="770"/>
      <c r="O94" s="592" t="str">
        <f t="shared" si="15"/>
        <v>.2</v>
      </c>
      <c r="P94" s="772" t="s">
        <v>1998</v>
      </c>
      <c r="Q94" s="772"/>
      <c r="R94" s="770"/>
      <c r="S94" s="592" t="str">
        <f t="shared" si="16"/>
        <v>.3</v>
      </c>
      <c r="T94" s="772" t="s">
        <v>2000</v>
      </c>
      <c r="U94" s="772"/>
      <c r="V94" s="869"/>
      <c r="W94" s="869"/>
      <c r="X94" s="869"/>
      <c r="Y94" s="745"/>
      <c r="Z94" s="771">
        <v>0</v>
      </c>
      <c r="AA94" s="592" t="str">
        <f t="shared" si="17"/>
        <v>.1</v>
      </c>
      <c r="AB94" s="772" t="s">
        <v>1996</v>
      </c>
      <c r="AC94" s="770">
        <v>0</v>
      </c>
      <c r="AD94" s="592" t="str">
        <f t="shared" si="18"/>
        <v>.2</v>
      </c>
      <c r="AE94" s="772" t="s">
        <v>1998</v>
      </c>
      <c r="AF94" s="770">
        <v>0</v>
      </c>
      <c r="AG94" s="592" t="str">
        <f t="shared" si="19"/>
        <v>.3</v>
      </c>
      <c r="AH94" s="772" t="s">
        <v>2000</v>
      </c>
      <c r="AI94" s="158"/>
    </row>
    <row r="95" spans="1:35" ht="15" hidden="1" customHeight="1" outlineLevel="2">
      <c r="A95" s="97"/>
      <c r="B95" s="97" t="s">
        <v>1075</v>
      </c>
      <c r="C95" s="97"/>
      <c r="D95" s="97"/>
      <c r="E95" s="825"/>
      <c r="F95" s="825" t="s">
        <v>1075</v>
      </c>
      <c r="G95" s="40" t="s">
        <v>235</v>
      </c>
      <c r="H95" s="78">
        <f>SUBTOTAL(9,H96:H97)</f>
        <v>2</v>
      </c>
      <c r="I95" s="68">
        <f t="shared" si="13"/>
        <v>2</v>
      </c>
      <c r="J95" s="55">
        <f>SUBTOTAL(9,J96)</f>
        <v>2</v>
      </c>
      <c r="K95" s="55"/>
      <c r="L95" s="55"/>
      <c r="M95" s="84"/>
      <c r="N95" s="56">
        <f>SUBTOTAL(9,N96)</f>
        <v>0</v>
      </c>
      <c r="O95" s="84"/>
      <c r="P95" s="84"/>
      <c r="Q95" s="84"/>
      <c r="R95" s="56">
        <f>SUBTOTAL(9,R96)</f>
        <v>0</v>
      </c>
      <c r="S95" s="84"/>
      <c r="T95" s="84"/>
      <c r="U95" s="84"/>
      <c r="V95" s="867">
        <f>SUBTOTAL(9,V96)</f>
        <v>0</v>
      </c>
      <c r="W95" s="867">
        <f>SUBTOTAL(9,W96)</f>
        <v>0</v>
      </c>
      <c r="X95" s="867"/>
      <c r="Y95" s="745"/>
      <c r="Z95" s="55">
        <f>SUBTOTAL(9,Z96)</f>
        <v>0</v>
      </c>
      <c r="AA95" s="84"/>
      <c r="AB95" s="84"/>
      <c r="AC95" s="56">
        <f>SUBTOTAL(9,AC96)</f>
        <v>0</v>
      </c>
      <c r="AD95" s="84"/>
      <c r="AE95" s="84"/>
      <c r="AF95" s="56">
        <f>SUBTOTAL(9,AF96)</f>
        <v>0</v>
      </c>
      <c r="AG95" s="84"/>
      <c r="AH95" s="84"/>
      <c r="AI95" s="170"/>
    </row>
    <row r="96" spans="1:35" ht="15" hidden="1" customHeight="1" outlineLevel="3">
      <c r="A96" s="860">
        <v>17</v>
      </c>
      <c r="B96" s="860">
        <v>3481</v>
      </c>
      <c r="C96" s="860"/>
      <c r="D96" s="860"/>
      <c r="E96" s="868" t="s">
        <v>3054</v>
      </c>
      <c r="F96" s="868" t="s">
        <v>5124</v>
      </c>
      <c r="G96" s="37" t="s">
        <v>3030</v>
      </c>
      <c r="H96" s="707">
        <f>IFERROR(VLOOKUP(A96,'Colar QL'!A:C,3,0),0)</f>
        <v>2</v>
      </c>
      <c r="I96" s="69">
        <f t="shared" si="13"/>
        <v>2</v>
      </c>
      <c r="J96" s="57">
        <f>ROUNDUP(J44*$U$5,0)</f>
        <v>2</v>
      </c>
      <c r="K96" s="591" t="str">
        <f>F96&amp;L96</f>
        <v>47.0284.1.2.17.00.01.039.01.02.26.1</v>
      </c>
      <c r="L96" s="57" t="s">
        <v>1996</v>
      </c>
      <c r="M96" s="87"/>
      <c r="N96" s="58">
        <f>ROUND(N44*$U$5,0)</f>
        <v>0</v>
      </c>
      <c r="O96" s="593" t="str">
        <f>F96&amp;P96</f>
        <v>47.0284.1.2.17.00.01.039.01.02.26.2</v>
      </c>
      <c r="P96" s="87" t="s">
        <v>1998</v>
      </c>
      <c r="Q96" s="87"/>
      <c r="R96" s="58">
        <f>ROUND(R44*$U$5,0)</f>
        <v>0</v>
      </c>
      <c r="S96" s="593" t="str">
        <f>F96&amp;T96</f>
        <v>47.0284.1.2.17.00.01.039.01.02.26.3</v>
      </c>
      <c r="T96" s="87" t="s">
        <v>2000</v>
      </c>
      <c r="U96" s="87"/>
      <c r="V96" s="869"/>
      <c r="W96" s="869"/>
      <c r="X96" s="869"/>
      <c r="Y96" s="745"/>
      <c r="Z96" s="771">
        <v>0</v>
      </c>
      <c r="AA96" s="592" t="str">
        <f>F96&amp;AB96</f>
        <v>47.0284.1.2.17.00.01.039.01.02.26.1</v>
      </c>
      <c r="AB96" s="772" t="s">
        <v>1996</v>
      </c>
      <c r="AC96" s="770">
        <v>0</v>
      </c>
      <c r="AD96" s="592" t="str">
        <f>F96&amp;AE96</f>
        <v>47.0284.1.2.17.00.01.039.01.02.26.2</v>
      </c>
      <c r="AE96" s="772" t="s">
        <v>1998</v>
      </c>
      <c r="AF96" s="770">
        <f>ROUND(AF44*$U$5,0)</f>
        <v>0</v>
      </c>
      <c r="AG96" s="592" t="str">
        <f>F96&amp;AH96</f>
        <v>47.0284.1.2.17.00.01.039.01.02.26.3</v>
      </c>
      <c r="AH96" s="772" t="s">
        <v>2000</v>
      </c>
      <c r="AI96" s="158"/>
    </row>
    <row r="97" spans="1:35" ht="15" hidden="1" customHeight="1" outlineLevel="3">
      <c r="A97" s="860"/>
      <c r="B97" s="860" t="s">
        <v>1075</v>
      </c>
      <c r="C97" s="860"/>
      <c r="D97" s="860"/>
      <c r="E97" s="824"/>
      <c r="F97" s="824" t="s">
        <v>1075</v>
      </c>
      <c r="G97" s="13"/>
      <c r="H97" s="707"/>
      <c r="I97" s="69">
        <f t="shared" si="13"/>
        <v>0</v>
      </c>
      <c r="J97" s="771"/>
      <c r="K97" s="590" t="str">
        <f>F97&amp;L97</f>
        <v>.1</v>
      </c>
      <c r="L97" s="771" t="s">
        <v>1996</v>
      </c>
      <c r="M97" s="772"/>
      <c r="N97" s="770"/>
      <c r="O97" s="592" t="str">
        <f>F97&amp;P97</f>
        <v>.2</v>
      </c>
      <c r="P97" s="772" t="s">
        <v>1998</v>
      </c>
      <c r="Q97" s="772"/>
      <c r="R97" s="770"/>
      <c r="S97" s="592" t="str">
        <f>F97&amp;T97</f>
        <v>.3</v>
      </c>
      <c r="T97" s="772" t="s">
        <v>2000</v>
      </c>
      <c r="U97" s="772"/>
      <c r="V97" s="869"/>
      <c r="W97" s="869"/>
      <c r="X97" s="869"/>
      <c r="Y97" s="745"/>
      <c r="Z97" s="771"/>
      <c r="AA97" s="592" t="str">
        <f>F97&amp;AB97</f>
        <v>.1</v>
      </c>
      <c r="AB97" s="772" t="s">
        <v>1996</v>
      </c>
      <c r="AC97" s="770"/>
      <c r="AD97" s="592" t="str">
        <f>F97&amp;AE97</f>
        <v>.2</v>
      </c>
      <c r="AE97" s="772" t="s">
        <v>1998</v>
      </c>
      <c r="AF97" s="770"/>
      <c r="AG97" s="592" t="str">
        <f>F97&amp;AH97</f>
        <v>.3</v>
      </c>
      <c r="AH97" s="772" t="s">
        <v>2000</v>
      </c>
      <c r="AI97" s="158"/>
    </row>
    <row r="98" spans="1:35" ht="15" hidden="1" customHeight="1" outlineLevel="3">
      <c r="A98" s="860"/>
      <c r="B98" s="860" t="s">
        <v>1075</v>
      </c>
      <c r="C98" s="860"/>
      <c r="D98" s="860"/>
      <c r="E98" s="824"/>
      <c r="F98" s="824" t="s">
        <v>1075</v>
      </c>
      <c r="G98" s="13"/>
      <c r="H98" s="81"/>
      <c r="I98" s="71">
        <f t="shared" si="13"/>
        <v>0</v>
      </c>
      <c r="J98" s="771"/>
      <c r="K98" s="771"/>
      <c r="L98" s="771"/>
      <c r="M98" s="772"/>
      <c r="N98" s="770"/>
      <c r="O98" s="772"/>
      <c r="P98" s="772"/>
      <c r="Q98" s="772"/>
      <c r="R98" s="770"/>
      <c r="S98" s="772"/>
      <c r="T98" s="772"/>
      <c r="U98" s="772"/>
      <c r="V98" s="119"/>
      <c r="W98" s="119"/>
      <c r="X98" s="119"/>
      <c r="Y98" s="745"/>
      <c r="Z98" s="771"/>
      <c r="AA98" s="772"/>
      <c r="AB98" s="772"/>
      <c r="AC98" s="770"/>
      <c r="AD98" s="772"/>
      <c r="AE98" s="772"/>
      <c r="AF98" s="770"/>
      <c r="AG98" s="772"/>
      <c r="AH98" s="772"/>
      <c r="AI98" s="171"/>
    </row>
    <row r="99" spans="1:35">
      <c r="A99" s="100"/>
      <c r="B99" s="100" t="s">
        <v>1075</v>
      </c>
      <c r="C99" s="100"/>
      <c r="D99" s="100"/>
      <c r="E99" s="902"/>
      <c r="F99" s="902" t="s">
        <v>1075</v>
      </c>
      <c r="G99" s="17" t="s">
        <v>1</v>
      </c>
      <c r="H99" s="76">
        <f>ROUND(SUBTOTAL(9,H100:H123),0)</f>
        <v>9</v>
      </c>
      <c r="I99" s="64">
        <f t="shared" si="13"/>
        <v>9</v>
      </c>
      <c r="J99" s="52">
        <f>ROUND(SUBTOTAL(9,J100:J123),0)</f>
        <v>9</v>
      </c>
      <c r="K99" s="52"/>
      <c r="L99" s="52"/>
      <c r="M99" s="86"/>
      <c r="N99" s="52">
        <f>ROUND(SUBTOTAL(9,N100:N123),0)</f>
        <v>0</v>
      </c>
      <c r="O99" s="587"/>
      <c r="P99" s="587"/>
      <c r="Q99" s="86"/>
      <c r="R99" s="52">
        <f>ROUND(SUBTOTAL(9,R100:R123),0)</f>
        <v>0</v>
      </c>
      <c r="S99" s="587"/>
      <c r="T99" s="587"/>
      <c r="U99" s="86"/>
      <c r="V99" s="864">
        <f>ROUND(SUBTOTAL(9,V100:V123),0)</f>
        <v>0</v>
      </c>
      <c r="W99" s="864">
        <f>ROUND(SUBTOTAL(9,W100:W123),0)</f>
        <v>0</v>
      </c>
      <c r="X99" s="864"/>
      <c r="Y99" s="745"/>
      <c r="Z99" s="52">
        <f>ROUND(SUBTOTAL(9,Z100:Z123),0)</f>
        <v>0</v>
      </c>
      <c r="AA99" s="587"/>
      <c r="AB99" s="587"/>
      <c r="AC99" s="52">
        <f>ROUND(SUBTOTAL(9,AC100:AC123),0)</f>
        <v>0</v>
      </c>
      <c r="AD99" s="587"/>
      <c r="AE99" s="587"/>
      <c r="AF99" s="52">
        <f>ROUND(SUBTOTAL(9,AF100:AF123),0)</f>
        <v>0</v>
      </c>
      <c r="AG99" s="587"/>
      <c r="AH99" s="587"/>
      <c r="AI99" s="168"/>
    </row>
    <row r="100" spans="1:35" ht="15" customHeight="1" outlineLevel="1" collapsed="1">
      <c r="A100" s="98"/>
      <c r="B100" s="98" t="s">
        <v>1075</v>
      </c>
      <c r="C100" s="98"/>
      <c r="D100" s="98"/>
      <c r="E100" s="865"/>
      <c r="F100" s="865" t="s">
        <v>1075</v>
      </c>
      <c r="G100" s="35" t="s">
        <v>1</v>
      </c>
      <c r="H100" s="77">
        <f>SUBTOTAL(9,H101:H123)</f>
        <v>9</v>
      </c>
      <c r="I100" s="67">
        <f t="shared" si="13"/>
        <v>9</v>
      </c>
      <c r="J100" s="54">
        <f>SUBTOTAL(9,J101:J123)</f>
        <v>9</v>
      </c>
      <c r="K100" s="54"/>
      <c r="L100" s="54"/>
      <c r="M100" s="85"/>
      <c r="N100" s="54">
        <f>SUBTOTAL(9,N101:N123)</f>
        <v>0</v>
      </c>
      <c r="O100" s="90"/>
      <c r="P100" s="90"/>
      <c r="Q100" s="85"/>
      <c r="R100" s="54">
        <f>SUBTOTAL(9,R101:R123)</f>
        <v>0</v>
      </c>
      <c r="S100" s="90"/>
      <c r="T100" s="90"/>
      <c r="U100" s="85"/>
      <c r="V100" s="630">
        <f>SUBTOTAL(9,V101:V123)</f>
        <v>0</v>
      </c>
      <c r="W100" s="630">
        <f>SUBTOTAL(9,W101:W123)</f>
        <v>0</v>
      </c>
      <c r="X100" s="630"/>
      <c r="Y100" s="745"/>
      <c r="Z100" s="54">
        <f>SUBTOTAL(9,Z101:Z123)</f>
        <v>0</v>
      </c>
      <c r="AA100" s="90"/>
      <c r="AB100" s="90"/>
      <c r="AC100" s="54">
        <f>SUBTOTAL(9,AC101:AC123)</f>
        <v>0</v>
      </c>
      <c r="AD100" s="90"/>
      <c r="AE100" s="90"/>
      <c r="AF100" s="54">
        <f>SUBTOTAL(9,AF101:AF123)</f>
        <v>0</v>
      </c>
      <c r="AG100" s="90"/>
      <c r="AH100" s="90"/>
      <c r="AI100" s="169"/>
    </row>
    <row r="101" spans="1:35" ht="15" hidden="1" customHeight="1" outlineLevel="2">
      <c r="A101" s="97"/>
      <c r="B101" s="97" t="s">
        <v>1075</v>
      </c>
      <c r="C101" s="97"/>
      <c r="D101" s="97"/>
      <c r="E101" s="825"/>
      <c r="F101" s="825" t="s">
        <v>1075</v>
      </c>
      <c r="G101" s="40" t="s">
        <v>714</v>
      </c>
      <c r="H101" s="78">
        <f>SUBTOTAL(9,H102:H119)</f>
        <v>9</v>
      </c>
      <c r="I101" s="68">
        <f t="shared" si="13"/>
        <v>9</v>
      </c>
      <c r="J101" s="55">
        <f>SUBTOTAL(9,J102:J119)</f>
        <v>9</v>
      </c>
      <c r="K101" s="55"/>
      <c r="L101" s="55"/>
      <c r="M101" s="84"/>
      <c r="N101" s="55">
        <f>SUBTOTAL(9,N102:N119)</f>
        <v>0</v>
      </c>
      <c r="O101" s="91"/>
      <c r="P101" s="91"/>
      <c r="Q101" s="84"/>
      <c r="R101" s="55">
        <f>SUBTOTAL(9,R102:R119)</f>
        <v>0</v>
      </c>
      <c r="S101" s="91"/>
      <c r="T101" s="91"/>
      <c r="U101" s="84"/>
      <c r="V101" s="867">
        <f>SUBTOTAL(9,V102:V119)</f>
        <v>0</v>
      </c>
      <c r="W101" s="867">
        <f>SUBTOTAL(9,W102:W119)</f>
        <v>0</v>
      </c>
      <c r="X101" s="867"/>
      <c r="Y101" s="745"/>
      <c r="Z101" s="55">
        <f>SUBTOTAL(9,Z102:Z119)</f>
        <v>0</v>
      </c>
      <c r="AA101" s="91"/>
      <c r="AB101" s="91"/>
      <c r="AC101" s="55">
        <f>SUBTOTAL(9,AC102:AC119)</f>
        <v>0</v>
      </c>
      <c r="AD101" s="91"/>
      <c r="AE101" s="91"/>
      <c r="AF101" s="55">
        <f>SUBTOTAL(9,AF102:AF119)</f>
        <v>0</v>
      </c>
      <c r="AG101" s="91"/>
      <c r="AH101" s="91"/>
      <c r="AI101" s="170"/>
    </row>
    <row r="102" spans="1:35" ht="15" hidden="1" customHeight="1" outlineLevel="3">
      <c r="A102" s="860">
        <v>301000</v>
      </c>
      <c r="B102" s="860">
        <v>3031</v>
      </c>
      <c r="C102" s="860"/>
      <c r="D102" s="860"/>
      <c r="E102" s="824" t="s">
        <v>3153</v>
      </c>
      <c r="F102" s="824" t="s">
        <v>5127</v>
      </c>
      <c r="G102" s="13" t="s">
        <v>43</v>
      </c>
      <c r="H102" s="707">
        <f>IFERROR(VLOOKUP(A102,'Colar QL'!A:C,3,0),0)</f>
        <v>0</v>
      </c>
      <c r="I102" s="69">
        <f t="shared" ref="I102:I118" si="20">IFERROR((J102+N102+R102),0)</f>
        <v>0</v>
      </c>
      <c r="J102" s="771">
        <f>'BD Temp'!E130-1</f>
        <v>0</v>
      </c>
      <c r="K102" s="590" t="str">
        <f t="shared" ref="K102" si="21">F102&amp;L102</f>
        <v>47.0284.1.2.17.00.01.039.01.03.03.1</v>
      </c>
      <c r="L102" s="771" t="s">
        <v>1996</v>
      </c>
      <c r="M102" s="772">
        <f>'BD Temp'!F130</f>
        <v>0.4</v>
      </c>
      <c r="N102" s="770">
        <f>'BD Temp'!J130</f>
        <v>0</v>
      </c>
      <c r="O102" s="592" t="str">
        <f t="shared" ref="O102" si="22">F102&amp;P102</f>
        <v>47.0284.1.2.17.00.01.039.01.03.03.2</v>
      </c>
      <c r="P102" s="772" t="s">
        <v>1998</v>
      </c>
      <c r="Q102" s="772" t="str">
        <f>'BD Temp'!K130</f>
        <v>-</v>
      </c>
      <c r="R102" s="770">
        <f>'BD Temp'!O130</f>
        <v>0</v>
      </c>
      <c r="S102" s="592" t="str">
        <f t="shared" ref="S102" si="23">F102&amp;T102</f>
        <v>47.0284.1.2.17.00.01.039.01.03.03.3</v>
      </c>
      <c r="T102" s="772" t="s">
        <v>2000</v>
      </c>
      <c r="U102" s="772" t="str">
        <f>'BD Temp'!P130</f>
        <v>-</v>
      </c>
      <c r="V102" s="869"/>
      <c r="W102" s="869"/>
      <c r="X102" s="869"/>
      <c r="Y102" s="745"/>
      <c r="Z102" s="771">
        <v>0</v>
      </c>
      <c r="AA102" s="592" t="str">
        <f t="shared" ref="AA102" si="24">F102&amp;AB102</f>
        <v>47.0284.1.2.17.00.01.039.01.03.03.1</v>
      </c>
      <c r="AB102" s="772" t="s">
        <v>1996</v>
      </c>
      <c r="AC102" s="770">
        <v>0</v>
      </c>
      <c r="AD102" s="592" t="str">
        <f t="shared" ref="AD102" si="25">F102&amp;AE102</f>
        <v>47.0284.1.2.17.00.01.039.01.03.03.2</v>
      </c>
      <c r="AE102" s="772" t="s">
        <v>1998</v>
      </c>
      <c r="AF102" s="770">
        <v>0</v>
      </c>
      <c r="AG102" s="592" t="str">
        <f t="shared" ref="AG102" si="26">F102&amp;AH102</f>
        <v>47.0284.1.2.17.00.01.039.01.03.03.3</v>
      </c>
      <c r="AH102" s="772" t="s">
        <v>2000</v>
      </c>
      <c r="AI102" s="158"/>
    </row>
    <row r="103" spans="1:35" ht="15" hidden="1" customHeight="1" outlineLevel="3">
      <c r="A103" s="860">
        <v>301026</v>
      </c>
      <c r="B103" s="860">
        <v>3031</v>
      </c>
      <c r="C103" s="860"/>
      <c r="D103" s="860"/>
      <c r="E103" s="824" t="s">
        <v>3153</v>
      </c>
      <c r="F103" s="824" t="s">
        <v>5127</v>
      </c>
      <c r="G103" s="13" t="s">
        <v>44</v>
      </c>
      <c r="H103" s="707">
        <f>IFERROR(VLOOKUP(A103,'Colar QL'!A:C,3,0),0)</f>
        <v>1</v>
      </c>
      <c r="I103" s="69">
        <f t="shared" ref="I103:I105" si="27">IFERROR((J103+N103+R103),0)</f>
        <v>1</v>
      </c>
      <c r="J103" s="827">
        <f>'BD Temp'!E131+1</f>
        <v>1</v>
      </c>
      <c r="K103" s="590" t="str">
        <f t="shared" ref="K103:K105" si="28">F103&amp;L103</f>
        <v>47.0284.1.2.17.00.01.039.01.03.03.1</v>
      </c>
      <c r="L103" s="771" t="s">
        <v>1996</v>
      </c>
      <c r="M103" s="772" t="str">
        <f>'BD Temp'!F131</f>
        <v>-</v>
      </c>
      <c r="N103" s="828">
        <f>'BD Temp'!J131</f>
        <v>0</v>
      </c>
      <c r="O103" s="592" t="str">
        <f t="shared" ref="O103:O105" si="29">F103&amp;P103</f>
        <v>47.0284.1.2.17.00.01.039.01.03.03.2</v>
      </c>
      <c r="P103" s="772" t="s">
        <v>1998</v>
      </c>
      <c r="Q103" s="772" t="str">
        <f>'BD Temp'!K131</f>
        <v>-</v>
      </c>
      <c r="R103" s="770">
        <f>'BD Temp'!O131</f>
        <v>0</v>
      </c>
      <c r="S103" s="592" t="str">
        <f t="shared" ref="S103:S105" si="30">F103&amp;T103</f>
        <v>47.0284.1.2.17.00.01.039.01.03.03.3</v>
      </c>
      <c r="T103" s="772" t="s">
        <v>2000</v>
      </c>
      <c r="U103" s="772" t="str">
        <f>'BD Temp'!P131</f>
        <v>-</v>
      </c>
      <c r="V103" s="869"/>
      <c r="W103" s="869"/>
      <c r="X103" s="869"/>
      <c r="Y103" s="745"/>
      <c r="Z103" s="771">
        <v>0</v>
      </c>
      <c r="AA103" s="592" t="str">
        <f t="shared" ref="AA103:AA105" si="31">F103&amp;AB103</f>
        <v>47.0284.1.2.17.00.01.039.01.03.03.1</v>
      </c>
      <c r="AB103" s="772" t="s">
        <v>1996</v>
      </c>
      <c r="AC103" s="770">
        <v>0</v>
      </c>
      <c r="AD103" s="592" t="str">
        <f t="shared" ref="AD103:AD105" si="32">F103&amp;AE103</f>
        <v>47.0284.1.2.17.00.01.039.01.03.03.2</v>
      </c>
      <c r="AE103" s="772" t="s">
        <v>1998</v>
      </c>
      <c r="AF103" s="770">
        <v>0</v>
      </c>
      <c r="AG103" s="592" t="str">
        <f t="shared" ref="AG103:AG105" si="33">F103&amp;AH103</f>
        <v>47.0284.1.2.17.00.01.039.01.03.03.3</v>
      </c>
      <c r="AH103" s="772" t="s">
        <v>2000</v>
      </c>
      <c r="AI103" s="158"/>
    </row>
    <row r="104" spans="1:35" ht="15" hidden="1" customHeight="1" outlineLevel="3">
      <c r="A104" s="860">
        <v>301027</v>
      </c>
      <c r="B104" s="860">
        <v>3031</v>
      </c>
      <c r="C104" s="860"/>
      <c r="D104" s="860"/>
      <c r="E104" s="824" t="s">
        <v>3153</v>
      </c>
      <c r="F104" s="824" t="s">
        <v>5127</v>
      </c>
      <c r="G104" s="13" t="s">
        <v>5234</v>
      </c>
      <c r="H104" s="707">
        <f>IFERROR(VLOOKUP(A104,'Colar QL'!A:C,3,0),0)</f>
        <v>6</v>
      </c>
      <c r="I104" s="69">
        <f t="shared" si="27"/>
        <v>6</v>
      </c>
      <c r="J104" s="827">
        <f>'BD Temp'!E132-3</f>
        <v>6</v>
      </c>
      <c r="K104" s="590" t="str">
        <f t="shared" si="28"/>
        <v>47.0284.1.2.17.00.01.039.01.03.03.1</v>
      </c>
      <c r="L104" s="771" t="s">
        <v>1996</v>
      </c>
      <c r="M104" s="772">
        <f>'BD Temp'!F132</f>
        <v>0.29629629629629628</v>
      </c>
      <c r="N104" s="828">
        <f>'BD Temp'!J132</f>
        <v>0</v>
      </c>
      <c r="O104" s="592" t="str">
        <f t="shared" si="29"/>
        <v>47.0284.1.2.17.00.01.039.01.03.03.2</v>
      </c>
      <c r="P104" s="772" t="s">
        <v>1998</v>
      </c>
      <c r="Q104" s="772" t="str">
        <f>'BD Temp'!K132</f>
        <v>-</v>
      </c>
      <c r="R104" s="770">
        <f>'BD Temp'!O132</f>
        <v>0</v>
      </c>
      <c r="S104" s="592" t="str">
        <f t="shared" si="30"/>
        <v>47.0284.1.2.17.00.01.039.01.03.03.3</v>
      </c>
      <c r="T104" s="772" t="s">
        <v>2000</v>
      </c>
      <c r="U104" s="772" t="str">
        <f>'BD Temp'!P132</f>
        <v>-</v>
      </c>
      <c r="V104" s="869"/>
      <c r="W104" s="869"/>
      <c r="X104" s="869"/>
      <c r="Y104" s="745"/>
      <c r="Z104" s="771">
        <v>0</v>
      </c>
      <c r="AA104" s="592" t="str">
        <f t="shared" si="31"/>
        <v>47.0284.1.2.17.00.01.039.01.03.03.1</v>
      </c>
      <c r="AB104" s="772" t="s">
        <v>1996</v>
      </c>
      <c r="AC104" s="770">
        <v>0</v>
      </c>
      <c r="AD104" s="592" t="str">
        <f t="shared" si="32"/>
        <v>47.0284.1.2.17.00.01.039.01.03.03.2</v>
      </c>
      <c r="AE104" s="772" t="s">
        <v>1998</v>
      </c>
      <c r="AF104" s="770">
        <v>0</v>
      </c>
      <c r="AG104" s="592" t="str">
        <f t="shared" si="33"/>
        <v>47.0284.1.2.17.00.01.039.01.03.03.3</v>
      </c>
      <c r="AH104" s="772" t="s">
        <v>2000</v>
      </c>
      <c r="AI104" s="158"/>
    </row>
    <row r="105" spans="1:35" ht="15" hidden="1" customHeight="1" outlineLevel="3">
      <c r="A105" s="860">
        <v>301028</v>
      </c>
      <c r="B105" s="860">
        <v>3031</v>
      </c>
      <c r="C105" s="860"/>
      <c r="D105" s="860"/>
      <c r="E105" s="824" t="s">
        <v>3153</v>
      </c>
      <c r="F105" s="824" t="s">
        <v>5127</v>
      </c>
      <c r="G105" s="13" t="s">
        <v>5235</v>
      </c>
      <c r="H105" s="707">
        <f>IFERROR(VLOOKUP(A105,'Colar QL'!A:C,3,0),0)</f>
        <v>0</v>
      </c>
      <c r="I105" s="69">
        <f t="shared" si="27"/>
        <v>0</v>
      </c>
      <c r="J105" s="771">
        <f>'BD Temp'!E133</f>
        <v>0</v>
      </c>
      <c r="K105" s="590" t="str">
        <f t="shared" si="28"/>
        <v>47.0284.1.2.17.00.01.039.01.03.03.1</v>
      </c>
      <c r="L105" s="771" t="s">
        <v>1996</v>
      </c>
      <c r="M105" s="772" t="str">
        <f>'BD Temp'!F133</f>
        <v>-</v>
      </c>
      <c r="N105" s="770">
        <f>'BD Temp'!J133</f>
        <v>0</v>
      </c>
      <c r="O105" s="592" t="str">
        <f t="shared" si="29"/>
        <v>47.0284.1.2.17.00.01.039.01.03.03.2</v>
      </c>
      <c r="P105" s="772" t="s">
        <v>1998</v>
      </c>
      <c r="Q105" s="772" t="str">
        <f>'BD Temp'!K133</f>
        <v>-</v>
      </c>
      <c r="R105" s="770">
        <f>'BD Temp'!O133</f>
        <v>0</v>
      </c>
      <c r="S105" s="592" t="str">
        <f t="shared" si="30"/>
        <v>47.0284.1.2.17.00.01.039.01.03.03.3</v>
      </c>
      <c r="T105" s="772" t="s">
        <v>2000</v>
      </c>
      <c r="U105" s="772" t="str">
        <f>'BD Temp'!P133</f>
        <v>-</v>
      </c>
      <c r="V105" s="869"/>
      <c r="W105" s="869"/>
      <c r="X105" s="869"/>
      <c r="Y105" s="745"/>
      <c r="Z105" s="771">
        <v>0</v>
      </c>
      <c r="AA105" s="592" t="str">
        <f t="shared" si="31"/>
        <v>47.0284.1.2.17.00.01.039.01.03.03.1</v>
      </c>
      <c r="AB105" s="772" t="s">
        <v>1996</v>
      </c>
      <c r="AC105" s="770">
        <v>0</v>
      </c>
      <c r="AD105" s="592" t="str">
        <f t="shared" si="32"/>
        <v>47.0284.1.2.17.00.01.039.01.03.03.2</v>
      </c>
      <c r="AE105" s="772" t="s">
        <v>1998</v>
      </c>
      <c r="AF105" s="770">
        <v>0</v>
      </c>
      <c r="AG105" s="592" t="str">
        <f t="shared" si="33"/>
        <v>47.0284.1.2.17.00.01.039.01.03.03.3</v>
      </c>
      <c r="AH105" s="772" t="s">
        <v>2000</v>
      </c>
      <c r="AI105" s="158"/>
    </row>
    <row r="106" spans="1:35" ht="15" hidden="1" customHeight="1" outlineLevel="3">
      <c r="A106" s="860"/>
      <c r="B106" s="860"/>
      <c r="C106" s="860"/>
      <c r="D106" s="860"/>
      <c r="E106" s="824"/>
      <c r="F106" s="824"/>
      <c r="G106" s="13"/>
      <c r="H106" s="707"/>
      <c r="I106" s="69"/>
      <c r="J106" s="771"/>
      <c r="K106" s="590"/>
      <c r="L106" s="771"/>
      <c r="M106" s="772"/>
      <c r="N106" s="770"/>
      <c r="O106" s="592"/>
      <c r="P106" s="772"/>
      <c r="Q106" s="772"/>
      <c r="R106" s="770"/>
      <c r="S106" s="592"/>
      <c r="T106" s="772"/>
      <c r="U106" s="772"/>
      <c r="V106" s="869"/>
      <c r="W106" s="869"/>
      <c r="X106" s="869"/>
      <c r="Y106" s="745"/>
      <c r="Z106" s="771"/>
      <c r="AA106" s="592"/>
      <c r="AB106" s="772"/>
      <c r="AC106" s="770"/>
      <c r="AD106" s="592"/>
      <c r="AE106" s="772"/>
      <c r="AF106" s="770"/>
      <c r="AG106" s="592"/>
      <c r="AH106" s="772"/>
      <c r="AI106" s="158"/>
    </row>
    <row r="107" spans="1:35" ht="15" hidden="1" customHeight="1" outlineLevel="3">
      <c r="A107" s="860"/>
      <c r="B107" s="860"/>
      <c r="C107" s="860"/>
      <c r="D107" s="860"/>
      <c r="E107" s="824"/>
      <c r="F107" s="824"/>
      <c r="G107" s="816" t="s">
        <v>3168</v>
      </c>
      <c r="H107" s="707"/>
      <c r="I107" s="69"/>
      <c r="J107" s="771"/>
      <c r="K107" s="590"/>
      <c r="L107" s="771"/>
      <c r="M107" s="772"/>
      <c r="N107" s="770"/>
      <c r="O107" s="592"/>
      <c r="P107" s="772"/>
      <c r="Q107" s="772"/>
      <c r="R107" s="770"/>
      <c r="S107" s="592"/>
      <c r="T107" s="772"/>
      <c r="U107" s="772"/>
      <c r="V107" s="869"/>
      <c r="W107" s="869"/>
      <c r="X107" s="869"/>
      <c r="Y107" s="745"/>
      <c r="Z107" s="771"/>
      <c r="AA107" s="592"/>
      <c r="AB107" s="772"/>
      <c r="AC107" s="770"/>
      <c r="AD107" s="592"/>
      <c r="AE107" s="772"/>
      <c r="AF107" s="770"/>
      <c r="AG107" s="592"/>
      <c r="AH107" s="772"/>
      <c r="AI107" s="158"/>
    </row>
    <row r="108" spans="1:35" ht="15" hidden="1" customHeight="1" outlineLevel="3">
      <c r="A108" s="860">
        <v>301029</v>
      </c>
      <c r="B108" s="860">
        <v>3031</v>
      </c>
      <c r="C108" s="860"/>
      <c r="D108" s="860"/>
      <c r="E108" s="824" t="s">
        <v>3153</v>
      </c>
      <c r="F108" s="824" t="s">
        <v>5127</v>
      </c>
      <c r="G108" s="13" t="s">
        <v>3169</v>
      </c>
      <c r="H108" s="707">
        <f>IFERROR(VLOOKUP(A108,'Colar QL'!A:C,3,0),0)</f>
        <v>1</v>
      </c>
      <c r="I108" s="69">
        <f t="shared" ref="I108:I112" si="34">IFERROR((J108+N108+R108),0)</f>
        <v>1</v>
      </c>
      <c r="J108" s="771">
        <f>'BD Temp'!E136</f>
        <v>1</v>
      </c>
      <c r="K108" s="590" t="str">
        <f t="shared" ref="K108:K112" si="35">F108&amp;L108</f>
        <v>47.0284.1.2.17.00.01.039.01.03.03.1</v>
      </c>
      <c r="L108" s="771" t="s">
        <v>1996</v>
      </c>
      <c r="M108" s="772">
        <f>'BD Temp'!F136</f>
        <v>0.8</v>
      </c>
      <c r="N108" s="770">
        <f>'BD Temp'!J136</f>
        <v>0</v>
      </c>
      <c r="O108" s="592" t="str">
        <f t="shared" ref="O108:O112" si="36">F108&amp;P108</f>
        <v>47.0284.1.2.17.00.01.039.01.03.03.2</v>
      </c>
      <c r="P108" s="772" t="s">
        <v>1998</v>
      </c>
      <c r="Q108" s="772" t="str">
        <f>'BD Temp'!K136</f>
        <v>-</v>
      </c>
      <c r="R108" s="770">
        <f>'BD Temp'!O136</f>
        <v>0</v>
      </c>
      <c r="S108" s="592" t="str">
        <f t="shared" ref="S108:S112" si="37">F108&amp;T108</f>
        <v>47.0284.1.2.17.00.01.039.01.03.03.3</v>
      </c>
      <c r="T108" s="772" t="s">
        <v>2000</v>
      </c>
      <c r="U108" s="772" t="str">
        <f>'BD Temp'!P136</f>
        <v>-</v>
      </c>
      <c r="V108" s="869"/>
      <c r="W108" s="869"/>
      <c r="X108" s="869"/>
      <c r="Y108" s="745"/>
      <c r="Z108" s="771">
        <v>0</v>
      </c>
      <c r="AA108" s="592" t="str">
        <f t="shared" ref="AA108:AA112" si="38">F108&amp;AB108</f>
        <v>47.0284.1.2.17.00.01.039.01.03.03.1</v>
      </c>
      <c r="AB108" s="772" t="s">
        <v>1996</v>
      </c>
      <c r="AC108" s="770">
        <v>0</v>
      </c>
      <c r="AD108" s="592" t="str">
        <f t="shared" ref="AD108:AD112" si="39">F108&amp;AE108</f>
        <v>47.0284.1.2.17.00.01.039.01.03.03.2</v>
      </c>
      <c r="AE108" s="772" t="s">
        <v>1998</v>
      </c>
      <c r="AF108" s="770">
        <v>0</v>
      </c>
      <c r="AG108" s="592" t="str">
        <f t="shared" ref="AG108:AG112" si="40">F108&amp;AH108</f>
        <v>47.0284.1.2.17.00.01.039.01.03.03.3</v>
      </c>
      <c r="AH108" s="772" t="s">
        <v>2000</v>
      </c>
      <c r="AI108" s="158"/>
    </row>
    <row r="109" spans="1:35" ht="15" hidden="1" customHeight="1" outlineLevel="3">
      <c r="A109" s="860">
        <v>301030</v>
      </c>
      <c r="B109" s="860">
        <v>3031</v>
      </c>
      <c r="C109" s="860"/>
      <c r="D109" s="860"/>
      <c r="E109" s="824" t="s">
        <v>3153</v>
      </c>
      <c r="F109" s="824" t="s">
        <v>5127</v>
      </c>
      <c r="G109" s="13" t="s">
        <v>3170</v>
      </c>
      <c r="H109" s="707">
        <f>IFERROR(VLOOKUP(A109,'Colar QL'!A:C,3,0),0)</f>
        <v>1</v>
      </c>
      <c r="I109" s="69">
        <f t="shared" si="34"/>
        <v>1</v>
      </c>
      <c r="J109" s="827">
        <v>1</v>
      </c>
      <c r="K109" s="590" t="str">
        <f t="shared" si="35"/>
        <v>47.0284.1.2.17.00.01.039.01.03.03.1</v>
      </c>
      <c r="L109" s="771" t="s">
        <v>1996</v>
      </c>
      <c r="M109" s="772">
        <f>'BD Temp'!F137</f>
        <v>0.75</v>
      </c>
      <c r="N109" s="828">
        <f>'BD Temp'!J137</f>
        <v>0</v>
      </c>
      <c r="O109" s="592" t="str">
        <f t="shared" si="36"/>
        <v>47.0284.1.2.17.00.01.039.01.03.03.2</v>
      </c>
      <c r="P109" s="772" t="s">
        <v>1998</v>
      </c>
      <c r="Q109" s="772" t="str">
        <f>'BD Temp'!K137</f>
        <v>-</v>
      </c>
      <c r="R109" s="770">
        <f>'BD Temp'!O137</f>
        <v>0</v>
      </c>
      <c r="S109" s="592" t="str">
        <f t="shared" si="37"/>
        <v>47.0284.1.2.17.00.01.039.01.03.03.3</v>
      </c>
      <c r="T109" s="772" t="s">
        <v>2000</v>
      </c>
      <c r="U109" s="772" t="str">
        <f>'BD Temp'!P137</f>
        <v>-</v>
      </c>
      <c r="V109" s="869"/>
      <c r="W109" s="869"/>
      <c r="X109" s="869"/>
      <c r="Y109" s="745"/>
      <c r="Z109" s="771">
        <v>0</v>
      </c>
      <c r="AA109" s="592" t="str">
        <f t="shared" si="38"/>
        <v>47.0284.1.2.17.00.01.039.01.03.03.1</v>
      </c>
      <c r="AB109" s="772" t="s">
        <v>1996</v>
      </c>
      <c r="AC109" s="770">
        <v>0</v>
      </c>
      <c r="AD109" s="592" t="str">
        <f t="shared" si="39"/>
        <v>47.0284.1.2.17.00.01.039.01.03.03.2</v>
      </c>
      <c r="AE109" s="772" t="s">
        <v>1998</v>
      </c>
      <c r="AF109" s="770">
        <v>0</v>
      </c>
      <c r="AG109" s="592" t="str">
        <f t="shared" si="40"/>
        <v>47.0284.1.2.17.00.01.039.01.03.03.3</v>
      </c>
      <c r="AH109" s="772" t="s">
        <v>2000</v>
      </c>
      <c r="AI109" s="158"/>
    </row>
    <row r="110" spans="1:35" ht="15" hidden="1" customHeight="1" outlineLevel="3">
      <c r="A110" s="860">
        <v>301031</v>
      </c>
      <c r="B110" s="860">
        <v>3031</v>
      </c>
      <c r="C110" s="860"/>
      <c r="D110" s="860"/>
      <c r="E110" s="824" t="s">
        <v>3153</v>
      </c>
      <c r="F110" s="824" t="s">
        <v>5127</v>
      </c>
      <c r="G110" s="13" t="s">
        <v>5236</v>
      </c>
      <c r="H110" s="707">
        <f>IFERROR(VLOOKUP(A110,'Colar QL'!A:C,3,0),0)</f>
        <v>0</v>
      </c>
      <c r="I110" s="69">
        <f t="shared" si="34"/>
        <v>0</v>
      </c>
      <c r="J110" s="771">
        <f>'BD Temp'!E138</f>
        <v>0</v>
      </c>
      <c r="K110" s="590" t="str">
        <f t="shared" si="35"/>
        <v>47.0284.1.2.17.00.01.039.01.03.03.1</v>
      </c>
      <c r="L110" s="771" t="s">
        <v>1996</v>
      </c>
      <c r="M110" s="772" t="str">
        <f>'BD Temp'!F138</f>
        <v>-</v>
      </c>
      <c r="N110" s="770">
        <f>'BD Temp'!J138</f>
        <v>0</v>
      </c>
      <c r="O110" s="592" t="str">
        <f t="shared" si="36"/>
        <v>47.0284.1.2.17.00.01.039.01.03.03.2</v>
      </c>
      <c r="P110" s="772" t="s">
        <v>1998</v>
      </c>
      <c r="Q110" s="772" t="str">
        <f>'BD Temp'!K138</f>
        <v>-</v>
      </c>
      <c r="R110" s="770">
        <f>'BD Temp'!O138</f>
        <v>0</v>
      </c>
      <c r="S110" s="592" t="str">
        <f t="shared" si="37"/>
        <v>47.0284.1.2.17.00.01.039.01.03.03.3</v>
      </c>
      <c r="T110" s="772" t="s">
        <v>2000</v>
      </c>
      <c r="U110" s="772" t="str">
        <f>'BD Temp'!P138</f>
        <v>-</v>
      </c>
      <c r="V110" s="869"/>
      <c r="W110" s="869"/>
      <c r="X110" s="869"/>
      <c r="Y110" s="745"/>
      <c r="Z110" s="771">
        <v>0</v>
      </c>
      <c r="AA110" s="592" t="str">
        <f t="shared" si="38"/>
        <v>47.0284.1.2.17.00.01.039.01.03.03.1</v>
      </c>
      <c r="AB110" s="772" t="s">
        <v>1996</v>
      </c>
      <c r="AC110" s="770">
        <v>0</v>
      </c>
      <c r="AD110" s="592" t="str">
        <f t="shared" si="39"/>
        <v>47.0284.1.2.17.00.01.039.01.03.03.2</v>
      </c>
      <c r="AE110" s="772" t="s">
        <v>1998</v>
      </c>
      <c r="AF110" s="770">
        <v>0</v>
      </c>
      <c r="AG110" s="592" t="str">
        <f t="shared" si="40"/>
        <v>47.0284.1.2.17.00.01.039.01.03.03.3</v>
      </c>
      <c r="AH110" s="772" t="s">
        <v>2000</v>
      </c>
      <c r="AI110" s="158"/>
    </row>
    <row r="111" spans="1:35" ht="15" hidden="1" customHeight="1" outlineLevel="3">
      <c r="A111" s="860">
        <v>301032</v>
      </c>
      <c r="B111" s="860">
        <v>3031</v>
      </c>
      <c r="C111" s="860"/>
      <c r="D111" s="860"/>
      <c r="E111" s="824" t="s">
        <v>3153</v>
      </c>
      <c r="F111" s="824" t="s">
        <v>5127</v>
      </c>
      <c r="G111" s="13" t="s">
        <v>5237</v>
      </c>
      <c r="H111" s="707">
        <f>IFERROR(VLOOKUP(A111,'Colar QL'!A:C,3,0),0)</f>
        <v>0</v>
      </c>
      <c r="I111" s="69">
        <f t="shared" si="34"/>
        <v>0</v>
      </c>
      <c r="J111" s="771">
        <v>0</v>
      </c>
      <c r="K111" s="590" t="str">
        <f t="shared" si="35"/>
        <v>47.0284.1.2.17.00.01.039.01.03.03.1</v>
      </c>
      <c r="L111" s="771" t="s">
        <v>1996</v>
      </c>
      <c r="M111" s="772">
        <f>'BD Temp'!F139</f>
        <v>0.3</v>
      </c>
      <c r="N111" s="770">
        <f>'BD Temp'!J139</f>
        <v>0</v>
      </c>
      <c r="O111" s="592" t="str">
        <f t="shared" si="36"/>
        <v>47.0284.1.2.17.00.01.039.01.03.03.2</v>
      </c>
      <c r="P111" s="772" t="s">
        <v>1998</v>
      </c>
      <c r="Q111" s="772" t="str">
        <f>'BD Temp'!K139</f>
        <v>-</v>
      </c>
      <c r="R111" s="770">
        <f>'BD Temp'!O139</f>
        <v>0</v>
      </c>
      <c r="S111" s="592" t="str">
        <f t="shared" si="37"/>
        <v>47.0284.1.2.17.00.01.039.01.03.03.3</v>
      </c>
      <c r="T111" s="772" t="s">
        <v>2000</v>
      </c>
      <c r="U111" s="772" t="str">
        <f>'BD Temp'!P139</f>
        <v>-</v>
      </c>
      <c r="V111" s="869"/>
      <c r="W111" s="869"/>
      <c r="X111" s="869"/>
      <c r="Y111" s="745"/>
      <c r="Z111" s="771">
        <v>0</v>
      </c>
      <c r="AA111" s="592" t="str">
        <f t="shared" si="38"/>
        <v>47.0284.1.2.17.00.01.039.01.03.03.1</v>
      </c>
      <c r="AB111" s="772" t="s">
        <v>1996</v>
      </c>
      <c r="AC111" s="770">
        <v>0</v>
      </c>
      <c r="AD111" s="592" t="str">
        <f t="shared" si="39"/>
        <v>47.0284.1.2.17.00.01.039.01.03.03.2</v>
      </c>
      <c r="AE111" s="772" t="s">
        <v>1998</v>
      </c>
      <c r="AF111" s="770">
        <v>0</v>
      </c>
      <c r="AG111" s="592" t="str">
        <f t="shared" si="40"/>
        <v>47.0284.1.2.17.00.01.039.01.03.03.3</v>
      </c>
      <c r="AH111" s="772" t="s">
        <v>2000</v>
      </c>
      <c r="AI111" s="158"/>
    </row>
    <row r="112" spans="1:35" ht="15" hidden="1" customHeight="1" outlineLevel="3">
      <c r="A112" s="860">
        <v>301033</v>
      </c>
      <c r="B112" s="860">
        <v>3031</v>
      </c>
      <c r="C112" s="860"/>
      <c r="D112" s="860"/>
      <c r="E112" s="824" t="s">
        <v>3153</v>
      </c>
      <c r="F112" s="824" t="s">
        <v>5127</v>
      </c>
      <c r="G112" s="13" t="s">
        <v>5238</v>
      </c>
      <c r="H112" s="707">
        <f>IFERROR(VLOOKUP(A112,'Colar QL'!A:C,3,0),0)</f>
        <v>0</v>
      </c>
      <c r="I112" s="69">
        <f t="shared" si="34"/>
        <v>0</v>
      </c>
      <c r="J112" s="771">
        <v>0</v>
      </c>
      <c r="K112" s="590" t="str">
        <f t="shared" si="35"/>
        <v>47.0284.1.2.17.00.01.039.01.03.03.1</v>
      </c>
      <c r="L112" s="771" t="s">
        <v>1996</v>
      </c>
      <c r="M112" s="772">
        <f>'BD Temp'!F140</f>
        <v>0.3</v>
      </c>
      <c r="N112" s="770">
        <f>'BD Temp'!J140</f>
        <v>0</v>
      </c>
      <c r="O112" s="592" t="str">
        <f t="shared" si="36"/>
        <v>47.0284.1.2.17.00.01.039.01.03.03.2</v>
      </c>
      <c r="P112" s="772" t="s">
        <v>1998</v>
      </c>
      <c r="Q112" s="772" t="str">
        <f>'BD Temp'!K140</f>
        <v>-</v>
      </c>
      <c r="R112" s="770">
        <f>'BD Temp'!O140</f>
        <v>0</v>
      </c>
      <c r="S112" s="592" t="str">
        <f t="shared" si="37"/>
        <v>47.0284.1.2.17.00.01.039.01.03.03.3</v>
      </c>
      <c r="T112" s="772" t="s">
        <v>2000</v>
      </c>
      <c r="U112" s="772" t="str">
        <f>'BD Temp'!P140</f>
        <v>-</v>
      </c>
      <c r="V112" s="869"/>
      <c r="W112" s="869"/>
      <c r="X112" s="869"/>
      <c r="Y112" s="745"/>
      <c r="Z112" s="771">
        <v>0</v>
      </c>
      <c r="AA112" s="592" t="str">
        <f t="shared" si="38"/>
        <v>47.0284.1.2.17.00.01.039.01.03.03.1</v>
      </c>
      <c r="AB112" s="772" t="s">
        <v>1996</v>
      </c>
      <c r="AC112" s="770">
        <v>0</v>
      </c>
      <c r="AD112" s="592" t="str">
        <f t="shared" si="39"/>
        <v>47.0284.1.2.17.00.01.039.01.03.03.2</v>
      </c>
      <c r="AE112" s="772" t="s">
        <v>1998</v>
      </c>
      <c r="AF112" s="770">
        <v>0</v>
      </c>
      <c r="AG112" s="592" t="str">
        <f t="shared" si="40"/>
        <v>47.0284.1.2.17.00.01.039.01.03.03.3</v>
      </c>
      <c r="AH112" s="772" t="s">
        <v>2000</v>
      </c>
      <c r="AI112" s="158"/>
    </row>
    <row r="113" spans="1:35" ht="15" hidden="1" customHeight="1" outlineLevel="3">
      <c r="A113" s="860"/>
      <c r="B113" s="860"/>
      <c r="C113" s="860"/>
      <c r="D113" s="860"/>
      <c r="E113" s="824"/>
      <c r="F113" s="824"/>
      <c r="G113" s="13"/>
      <c r="H113" s="707"/>
      <c r="I113" s="69"/>
      <c r="J113" s="771"/>
      <c r="K113" s="590"/>
      <c r="L113" s="771"/>
      <c r="M113" s="772"/>
      <c r="N113" s="770"/>
      <c r="O113" s="592"/>
      <c r="P113" s="772"/>
      <c r="Q113" s="772"/>
      <c r="R113" s="770"/>
      <c r="S113" s="592"/>
      <c r="T113" s="772"/>
      <c r="U113" s="772"/>
      <c r="V113" s="869"/>
      <c r="W113" s="869"/>
      <c r="X113" s="869"/>
      <c r="Y113" s="745"/>
      <c r="Z113" s="771"/>
      <c r="AA113" s="592"/>
      <c r="AB113" s="772"/>
      <c r="AC113" s="770"/>
      <c r="AD113" s="592"/>
      <c r="AE113" s="772"/>
      <c r="AF113" s="770"/>
      <c r="AG113" s="592"/>
      <c r="AH113" s="772"/>
      <c r="AI113" s="158"/>
    </row>
    <row r="114" spans="1:35" ht="15" hidden="1" customHeight="1" outlineLevel="3">
      <c r="A114" s="860"/>
      <c r="B114" s="860"/>
      <c r="C114" s="860"/>
      <c r="D114" s="860"/>
      <c r="E114" s="824"/>
      <c r="F114" s="824"/>
      <c r="G114" s="816" t="s">
        <v>234</v>
      </c>
      <c r="H114" s="707"/>
      <c r="I114" s="69"/>
      <c r="J114" s="771"/>
      <c r="K114" s="590"/>
      <c r="L114" s="771"/>
      <c r="M114" s="772"/>
      <c r="N114" s="770"/>
      <c r="O114" s="592"/>
      <c r="P114" s="772"/>
      <c r="Q114" s="772"/>
      <c r="R114" s="770"/>
      <c r="S114" s="592"/>
      <c r="T114" s="772"/>
      <c r="U114" s="772"/>
      <c r="V114" s="869"/>
      <c r="W114" s="869"/>
      <c r="X114" s="869"/>
      <c r="Y114" s="745"/>
      <c r="Z114" s="771"/>
      <c r="AA114" s="592"/>
      <c r="AB114" s="772"/>
      <c r="AC114" s="770"/>
      <c r="AD114" s="592"/>
      <c r="AE114" s="772"/>
      <c r="AF114" s="770"/>
      <c r="AG114" s="592"/>
      <c r="AH114" s="772"/>
      <c r="AI114" s="158"/>
    </row>
    <row r="115" spans="1:35" ht="15" hidden="1" customHeight="1" outlineLevel="3">
      <c r="A115" s="860">
        <v>301010</v>
      </c>
      <c r="B115" s="860">
        <v>3031</v>
      </c>
      <c r="C115" s="860"/>
      <c r="D115" s="860"/>
      <c r="E115" s="824" t="s">
        <v>3154</v>
      </c>
      <c r="F115" s="824" t="s">
        <v>5128</v>
      </c>
      <c r="G115" s="13" t="s">
        <v>3171</v>
      </c>
      <c r="H115" s="707">
        <f>IFERROR(VLOOKUP(A115,'Colar QL'!A:C,3,0),0)</f>
        <v>0</v>
      </c>
      <c r="I115" s="69">
        <f t="shared" si="20"/>
        <v>0</v>
      </c>
      <c r="J115" s="771">
        <v>0</v>
      </c>
      <c r="K115" s="590" t="str">
        <f t="shared" ref="K115:K118" si="41">F115&amp;L115</f>
        <v>47.0284.1.2.17.00.01.039.01.03.04.1</v>
      </c>
      <c r="L115" s="771" t="s">
        <v>1996</v>
      </c>
      <c r="M115" s="772" t="str">
        <f>'BD Temp'!F143</f>
        <v>-</v>
      </c>
      <c r="N115" s="770">
        <f>'BD Temp'!J143</f>
        <v>0</v>
      </c>
      <c r="O115" s="592" t="str">
        <f t="shared" ref="O115:O118" si="42">F115&amp;P115</f>
        <v>47.0284.1.2.17.00.01.039.01.03.04.2</v>
      </c>
      <c r="P115" s="772" t="s">
        <v>1998</v>
      </c>
      <c r="Q115" s="772" t="str">
        <f>'BD Temp'!K143</f>
        <v>-</v>
      </c>
      <c r="R115" s="770">
        <f>'BD Temp'!O143</f>
        <v>0</v>
      </c>
      <c r="S115" s="592" t="str">
        <f t="shared" ref="S115:S118" si="43">F115&amp;T115</f>
        <v>47.0284.1.2.17.00.01.039.01.03.04.3</v>
      </c>
      <c r="T115" s="772" t="s">
        <v>2000</v>
      </c>
      <c r="U115" s="772" t="str">
        <f>'BD Temp'!P143</f>
        <v>-</v>
      </c>
      <c r="V115" s="869"/>
      <c r="W115" s="869"/>
      <c r="X115" s="869"/>
      <c r="Y115" s="745"/>
      <c r="Z115" s="771">
        <v>0</v>
      </c>
      <c r="AA115" s="592" t="str">
        <f t="shared" ref="AA115:AA118" si="44">F115&amp;AB115</f>
        <v>47.0284.1.2.17.00.01.039.01.03.04.1</v>
      </c>
      <c r="AB115" s="772" t="s">
        <v>1996</v>
      </c>
      <c r="AC115" s="770">
        <v>0</v>
      </c>
      <c r="AD115" s="592" t="str">
        <f t="shared" ref="AD115:AD118" si="45">F115&amp;AE115</f>
        <v>47.0284.1.2.17.00.01.039.01.03.04.2</v>
      </c>
      <c r="AE115" s="772" t="s">
        <v>1998</v>
      </c>
      <c r="AF115" s="770">
        <v>0</v>
      </c>
      <c r="AG115" s="592" t="str">
        <f t="shared" ref="AG115:AG118" si="46">F115&amp;AH115</f>
        <v>47.0284.1.2.17.00.01.039.01.03.04.3</v>
      </c>
      <c r="AH115" s="772" t="s">
        <v>2000</v>
      </c>
      <c r="AI115" s="158"/>
    </row>
    <row r="116" spans="1:35" ht="15" hidden="1" customHeight="1" outlineLevel="3">
      <c r="A116" s="860">
        <v>301015</v>
      </c>
      <c r="B116" s="860">
        <v>3031</v>
      </c>
      <c r="C116" s="860"/>
      <c r="D116" s="860"/>
      <c r="E116" s="824" t="s">
        <v>3153</v>
      </c>
      <c r="F116" s="824" t="s">
        <v>5127</v>
      </c>
      <c r="G116" s="13" t="s">
        <v>3172</v>
      </c>
      <c r="H116" s="707">
        <f>IFERROR(VLOOKUP(A116,'Colar QL'!A:C,3,0),0)</f>
        <v>0</v>
      </c>
      <c r="I116" s="69">
        <f t="shared" si="20"/>
        <v>0</v>
      </c>
      <c r="J116" s="771">
        <v>0</v>
      </c>
      <c r="K116" s="590" t="str">
        <f t="shared" si="41"/>
        <v>47.0284.1.2.17.00.01.039.01.03.03.1</v>
      </c>
      <c r="L116" s="771" t="s">
        <v>1996</v>
      </c>
      <c r="M116" s="772" t="str">
        <f>'BD Temp'!F144</f>
        <v>-</v>
      </c>
      <c r="N116" s="828">
        <f>'BD Temp'!J144</f>
        <v>0</v>
      </c>
      <c r="O116" s="592" t="str">
        <f t="shared" si="42"/>
        <v>47.0284.1.2.17.00.01.039.01.03.03.2</v>
      </c>
      <c r="P116" s="772" t="s">
        <v>1998</v>
      </c>
      <c r="Q116" s="772" t="str">
        <f>'BD Temp'!K144</f>
        <v>-</v>
      </c>
      <c r="R116" s="770">
        <f>'BD Temp'!O144</f>
        <v>0</v>
      </c>
      <c r="S116" s="592" t="str">
        <f t="shared" si="43"/>
        <v>47.0284.1.2.17.00.01.039.01.03.03.3</v>
      </c>
      <c r="T116" s="772" t="s">
        <v>2000</v>
      </c>
      <c r="U116" s="772" t="str">
        <f>'BD Temp'!P144</f>
        <v>-</v>
      </c>
      <c r="V116" s="869"/>
      <c r="W116" s="869"/>
      <c r="X116" s="869"/>
      <c r="Y116" s="745"/>
      <c r="Z116" s="771">
        <v>0</v>
      </c>
      <c r="AA116" s="592" t="str">
        <f t="shared" si="44"/>
        <v>47.0284.1.2.17.00.01.039.01.03.03.1</v>
      </c>
      <c r="AB116" s="772" t="s">
        <v>1996</v>
      </c>
      <c r="AC116" s="770">
        <v>0</v>
      </c>
      <c r="AD116" s="592" t="str">
        <f t="shared" si="45"/>
        <v>47.0284.1.2.17.00.01.039.01.03.03.2</v>
      </c>
      <c r="AE116" s="772" t="s">
        <v>1998</v>
      </c>
      <c r="AF116" s="770">
        <v>0</v>
      </c>
      <c r="AG116" s="592" t="str">
        <f t="shared" si="46"/>
        <v>47.0284.1.2.17.00.01.039.01.03.03.3</v>
      </c>
      <c r="AH116" s="772" t="s">
        <v>2000</v>
      </c>
      <c r="AI116" s="158"/>
    </row>
    <row r="117" spans="1:35" ht="15" hidden="1" customHeight="1" outlineLevel="3">
      <c r="A117" s="860">
        <v>301020</v>
      </c>
      <c r="B117" s="860">
        <v>3031</v>
      </c>
      <c r="C117" s="860"/>
      <c r="D117" s="860"/>
      <c r="E117" s="824" t="s">
        <v>3153</v>
      </c>
      <c r="F117" s="824" t="s">
        <v>5127</v>
      </c>
      <c r="G117" s="13" t="s">
        <v>954</v>
      </c>
      <c r="H117" s="707">
        <f>IFERROR(VLOOKUP(A117,'Colar QL'!A:C,3,0),0)</f>
        <v>0</v>
      </c>
      <c r="I117" s="69">
        <f t="shared" si="20"/>
        <v>0</v>
      </c>
      <c r="J117" s="771">
        <f>'BD Temp'!E145</f>
        <v>0</v>
      </c>
      <c r="K117" s="590" t="str">
        <f t="shared" si="41"/>
        <v>47.0284.1.2.17.00.01.039.01.03.03.1</v>
      </c>
      <c r="L117" s="771" t="s">
        <v>1996</v>
      </c>
      <c r="M117" s="772" t="str">
        <f>'BD Temp'!F145</f>
        <v>-</v>
      </c>
      <c r="N117" s="770">
        <f>'BD Temp'!J145</f>
        <v>0</v>
      </c>
      <c r="O117" s="592" t="str">
        <f t="shared" si="42"/>
        <v>47.0284.1.2.17.00.01.039.01.03.03.2</v>
      </c>
      <c r="P117" s="772" t="s">
        <v>1998</v>
      </c>
      <c r="Q117" s="772" t="str">
        <f>'BD Temp'!K145</f>
        <v>-</v>
      </c>
      <c r="R117" s="770">
        <f>'BD Temp'!O145</f>
        <v>0</v>
      </c>
      <c r="S117" s="592" t="str">
        <f t="shared" si="43"/>
        <v>47.0284.1.2.17.00.01.039.01.03.03.3</v>
      </c>
      <c r="T117" s="772" t="s">
        <v>2000</v>
      </c>
      <c r="U117" s="772" t="str">
        <f>'BD Temp'!P145</f>
        <v>-</v>
      </c>
      <c r="V117" s="869"/>
      <c r="W117" s="869"/>
      <c r="X117" s="869"/>
      <c r="Y117" s="745"/>
      <c r="Z117" s="771">
        <v>0</v>
      </c>
      <c r="AA117" s="592" t="str">
        <f t="shared" si="44"/>
        <v>47.0284.1.2.17.00.01.039.01.03.03.1</v>
      </c>
      <c r="AB117" s="772" t="s">
        <v>1996</v>
      </c>
      <c r="AC117" s="770">
        <v>0</v>
      </c>
      <c r="AD117" s="592" t="str">
        <f t="shared" si="45"/>
        <v>47.0284.1.2.17.00.01.039.01.03.03.2</v>
      </c>
      <c r="AE117" s="772" t="s">
        <v>1998</v>
      </c>
      <c r="AF117" s="770">
        <v>0</v>
      </c>
      <c r="AG117" s="592" t="str">
        <f t="shared" si="46"/>
        <v>47.0284.1.2.17.00.01.039.01.03.03.3</v>
      </c>
      <c r="AH117" s="772" t="s">
        <v>2000</v>
      </c>
      <c r="AI117" s="158"/>
    </row>
    <row r="118" spans="1:35" ht="15" hidden="1" customHeight="1" outlineLevel="3">
      <c r="A118" s="860">
        <v>301025</v>
      </c>
      <c r="B118" s="860">
        <v>3031</v>
      </c>
      <c r="C118" s="860"/>
      <c r="D118" s="860"/>
      <c r="E118" s="824" t="s">
        <v>3153</v>
      </c>
      <c r="F118" s="824" t="s">
        <v>5127</v>
      </c>
      <c r="G118" s="13" t="s">
        <v>16</v>
      </c>
      <c r="H118" s="707">
        <f>IFERROR(VLOOKUP(A118,'Colar QL'!A:C,3,0),0)</f>
        <v>0</v>
      </c>
      <c r="I118" s="69">
        <f t="shared" si="20"/>
        <v>0</v>
      </c>
      <c r="J118" s="771">
        <v>0</v>
      </c>
      <c r="K118" s="590" t="str">
        <f t="shared" si="41"/>
        <v>47.0284.1.2.17.00.01.039.01.03.03.1</v>
      </c>
      <c r="L118" s="771" t="s">
        <v>1996</v>
      </c>
      <c r="M118" s="772" t="str">
        <f>'BD Temp'!F146</f>
        <v>-</v>
      </c>
      <c r="N118" s="770">
        <f>'BD Temp'!J146</f>
        <v>0</v>
      </c>
      <c r="O118" s="592" t="str">
        <f t="shared" si="42"/>
        <v>47.0284.1.2.17.00.01.039.01.03.03.2</v>
      </c>
      <c r="P118" s="772" t="s">
        <v>1998</v>
      </c>
      <c r="Q118" s="772" t="str">
        <f ca="1">'BD Temp'!K146</f>
        <v>-</v>
      </c>
      <c r="R118" s="770">
        <f>'BD Temp'!O146</f>
        <v>0</v>
      </c>
      <c r="S118" s="592" t="str">
        <f t="shared" si="43"/>
        <v>47.0284.1.2.17.00.01.039.01.03.03.3</v>
      </c>
      <c r="T118" s="772" t="s">
        <v>2000</v>
      </c>
      <c r="U118" s="772" t="str">
        <f>'BD Temp'!P146</f>
        <v>-</v>
      </c>
      <c r="V118" s="869"/>
      <c r="W118" s="869"/>
      <c r="X118" s="869"/>
      <c r="Y118" s="745"/>
      <c r="Z118" s="771">
        <v>0</v>
      </c>
      <c r="AA118" s="592" t="str">
        <f t="shared" si="44"/>
        <v>47.0284.1.2.17.00.01.039.01.03.03.1</v>
      </c>
      <c r="AB118" s="772" t="s">
        <v>1996</v>
      </c>
      <c r="AC118" s="770">
        <v>0</v>
      </c>
      <c r="AD118" s="592" t="str">
        <f t="shared" si="45"/>
        <v>47.0284.1.2.17.00.01.039.01.03.03.2</v>
      </c>
      <c r="AE118" s="772" t="s">
        <v>1998</v>
      </c>
      <c r="AF118" s="770">
        <v>0</v>
      </c>
      <c r="AG118" s="592" t="str">
        <f t="shared" si="46"/>
        <v>47.0284.1.2.17.00.01.039.01.03.03.3</v>
      </c>
      <c r="AH118" s="772" t="s">
        <v>2000</v>
      </c>
      <c r="AI118" s="158"/>
    </row>
    <row r="119" spans="1:35" ht="15" hidden="1" customHeight="1" outlineLevel="3">
      <c r="A119" s="860"/>
      <c r="B119" s="860"/>
      <c r="C119" s="860"/>
      <c r="D119" s="860"/>
      <c r="E119" s="824"/>
      <c r="F119" s="824" t="s">
        <v>1075</v>
      </c>
      <c r="G119" s="13"/>
      <c r="H119" s="81"/>
      <c r="I119" s="71">
        <f t="shared" si="13"/>
        <v>0</v>
      </c>
      <c r="J119" s="771"/>
      <c r="K119" s="590" t="str">
        <f t="shared" ref="K119" si="47">F119&amp;L119</f>
        <v>.1</v>
      </c>
      <c r="L119" s="771" t="s">
        <v>1996</v>
      </c>
      <c r="M119" s="772"/>
      <c r="N119" s="770"/>
      <c r="O119" s="592" t="str">
        <f t="shared" ref="O119" si="48">F119&amp;P119</f>
        <v>.2</v>
      </c>
      <c r="P119" s="772" t="s">
        <v>1998</v>
      </c>
      <c r="Q119" s="772"/>
      <c r="R119" s="770"/>
      <c r="S119" s="592" t="str">
        <f t="shared" ref="S119" si="49">F119&amp;T119</f>
        <v>.3</v>
      </c>
      <c r="T119" s="772" t="s">
        <v>2000</v>
      </c>
      <c r="U119" s="772"/>
      <c r="V119" s="119"/>
      <c r="W119" s="119"/>
      <c r="X119" s="119"/>
      <c r="Y119" s="745"/>
      <c r="Z119" s="771"/>
      <c r="AA119" s="592" t="str">
        <f t="shared" ref="AA119" si="50">Q119&amp;AB119</f>
        <v>.1</v>
      </c>
      <c r="AB119" s="772" t="s">
        <v>1996</v>
      </c>
      <c r="AC119" s="770"/>
      <c r="AD119" s="592" t="str">
        <f t="shared" ref="AD119" si="51">R119&amp;AE119</f>
        <v>.2</v>
      </c>
      <c r="AE119" s="772" t="s">
        <v>1998</v>
      </c>
      <c r="AF119" s="770"/>
      <c r="AG119" s="592" t="str">
        <f t="shared" ref="AG119" si="52">R119&amp;AH119</f>
        <v>.3</v>
      </c>
      <c r="AH119" s="772" t="s">
        <v>2000</v>
      </c>
      <c r="AI119" s="171"/>
    </row>
    <row r="120" spans="1:35" ht="15" hidden="1" customHeight="1" outlineLevel="2">
      <c r="A120" s="97"/>
      <c r="B120" s="97" t="s">
        <v>1075</v>
      </c>
      <c r="C120" s="97"/>
      <c r="D120" s="97"/>
      <c r="E120" s="825"/>
      <c r="F120" s="825" t="s">
        <v>1075</v>
      </c>
      <c r="G120" s="40" t="s">
        <v>235</v>
      </c>
      <c r="H120" s="78">
        <f>SUBTOTAL(9,H121:H122)</f>
        <v>0</v>
      </c>
      <c r="I120" s="68">
        <f t="shared" si="13"/>
        <v>0</v>
      </c>
      <c r="J120" s="55">
        <f>SUBTOTAL(9,J121)</f>
        <v>0</v>
      </c>
      <c r="K120" s="55"/>
      <c r="L120" s="55"/>
      <c r="M120" s="84"/>
      <c r="N120" s="56">
        <f>SUBTOTAL(9,N121)</f>
        <v>0</v>
      </c>
      <c r="O120" s="84"/>
      <c r="P120" s="84"/>
      <c r="Q120" s="84"/>
      <c r="R120" s="56">
        <f>SUBTOTAL(9,R121)</f>
        <v>0</v>
      </c>
      <c r="S120" s="84"/>
      <c r="T120" s="84"/>
      <c r="U120" s="84"/>
      <c r="V120" s="867">
        <f>SUBTOTAL(9,V121)</f>
        <v>0</v>
      </c>
      <c r="W120" s="867">
        <f>SUBTOTAL(9,W121)</f>
        <v>0</v>
      </c>
      <c r="X120" s="867"/>
      <c r="Y120" s="745"/>
      <c r="Z120" s="55">
        <f>SUBTOTAL(9,Z121)</f>
        <v>0</v>
      </c>
      <c r="AA120" s="84"/>
      <c r="AB120" s="84"/>
      <c r="AC120" s="56">
        <f>SUBTOTAL(9,AC121)</f>
        <v>0</v>
      </c>
      <c r="AD120" s="84"/>
      <c r="AE120" s="84"/>
      <c r="AF120" s="56">
        <f>SUBTOTAL(9,AF121)</f>
        <v>0</v>
      </c>
      <c r="AG120" s="84"/>
      <c r="AH120" s="84"/>
      <c r="AI120" s="170"/>
    </row>
    <row r="121" spans="1:35" ht="15" hidden="1" customHeight="1" outlineLevel="3">
      <c r="A121" s="860">
        <v>301005</v>
      </c>
      <c r="B121" s="860">
        <v>3031</v>
      </c>
      <c r="C121" s="860"/>
      <c r="D121" s="860"/>
      <c r="E121" s="824" t="s">
        <v>3153</v>
      </c>
      <c r="F121" s="824" t="s">
        <v>5127</v>
      </c>
      <c r="G121" s="13" t="s">
        <v>3030</v>
      </c>
      <c r="H121" s="707">
        <f>IFERROR(VLOOKUP(A121,'Colar QL'!A:C,3,0),0)</f>
        <v>0</v>
      </c>
      <c r="I121" s="69">
        <f t="shared" si="13"/>
        <v>0</v>
      </c>
      <c r="J121" s="57">
        <v>0</v>
      </c>
      <c r="K121" s="590" t="str">
        <f t="shared" ref="K121" si="53">F121&amp;L121</f>
        <v>47.0284.1.2.17.00.01.039.01.03.03.1</v>
      </c>
      <c r="L121" s="771" t="s">
        <v>1996</v>
      </c>
      <c r="M121" s="772" t="str">
        <f>'BD Temp'!F175</f>
        <v>-</v>
      </c>
      <c r="N121" s="57">
        <f>ROUND(N101*$U$5,0)</f>
        <v>0</v>
      </c>
      <c r="O121" s="592" t="str">
        <f t="shared" ref="O121" si="54">F121&amp;P121</f>
        <v>47.0284.1.2.17.00.01.039.01.03.03.2</v>
      </c>
      <c r="P121" s="772" t="s">
        <v>1998</v>
      </c>
      <c r="Q121" s="772" t="str">
        <f>'BD Temp'!K175</f>
        <v>-</v>
      </c>
      <c r="R121" s="770">
        <f>ROUND(R101*$U$5,0)</f>
        <v>0</v>
      </c>
      <c r="S121" s="592" t="str">
        <f t="shared" ref="S121" si="55">F121&amp;T121</f>
        <v>47.0284.1.2.17.00.01.039.01.03.03.3</v>
      </c>
      <c r="T121" s="772" t="s">
        <v>2000</v>
      </c>
      <c r="U121" s="772" t="str">
        <f>'BD Temp'!P175</f>
        <v>-</v>
      </c>
      <c r="V121" s="869"/>
      <c r="W121" s="869"/>
      <c r="X121" s="869"/>
      <c r="Y121" s="745"/>
      <c r="Z121" s="771">
        <v>0</v>
      </c>
      <c r="AA121" s="592" t="str">
        <f t="shared" ref="AA121" si="56">F121&amp;AB121</f>
        <v>47.0284.1.2.17.00.01.039.01.03.03.1</v>
      </c>
      <c r="AB121" s="772" t="s">
        <v>1996</v>
      </c>
      <c r="AC121" s="770">
        <v>0</v>
      </c>
      <c r="AD121" s="592" t="str">
        <f t="shared" ref="AD121" si="57">F121&amp;AE121</f>
        <v>47.0284.1.2.17.00.01.039.01.03.03.2</v>
      </c>
      <c r="AE121" s="772" t="s">
        <v>1998</v>
      </c>
      <c r="AF121" s="770">
        <v>0</v>
      </c>
      <c r="AG121" s="592" t="str">
        <f t="shared" ref="AG121" si="58">F121&amp;AH121</f>
        <v>47.0284.1.2.17.00.01.039.01.03.03.3</v>
      </c>
      <c r="AH121" s="772" t="s">
        <v>2000</v>
      </c>
      <c r="AI121" s="158"/>
    </row>
    <row r="122" spans="1:35" ht="15" hidden="1" customHeight="1" outlineLevel="3">
      <c r="A122" s="860"/>
      <c r="B122" s="860"/>
      <c r="C122" s="860"/>
      <c r="D122" s="860"/>
      <c r="E122" s="824"/>
      <c r="F122" s="824" t="s">
        <v>1075</v>
      </c>
      <c r="G122" s="13"/>
      <c r="H122" s="707"/>
      <c r="I122" s="71">
        <f t="shared" si="13"/>
        <v>0</v>
      </c>
      <c r="J122" s="771"/>
      <c r="K122" s="590" t="str">
        <f>F122&amp;L122</f>
        <v>.1</v>
      </c>
      <c r="L122" s="771" t="s">
        <v>1996</v>
      </c>
      <c r="M122" s="772"/>
      <c r="N122" s="770"/>
      <c r="O122" s="592" t="str">
        <f>F122&amp;P122</f>
        <v>.2</v>
      </c>
      <c r="P122" s="772" t="s">
        <v>1998</v>
      </c>
      <c r="Q122" s="772"/>
      <c r="R122" s="770"/>
      <c r="S122" s="592" t="str">
        <f>F122&amp;T122</f>
        <v>.3</v>
      </c>
      <c r="T122" s="772" t="s">
        <v>2000</v>
      </c>
      <c r="U122" s="772"/>
      <c r="V122" s="119"/>
      <c r="W122" s="119"/>
      <c r="X122" s="119"/>
      <c r="Y122" s="745"/>
      <c r="Z122" s="771"/>
      <c r="AA122" s="592" t="str">
        <f>Q122&amp;AB122</f>
        <v>.1</v>
      </c>
      <c r="AB122" s="772" t="s">
        <v>1996</v>
      </c>
      <c r="AC122" s="770"/>
      <c r="AD122" s="592" t="str">
        <f>R122&amp;AE122</f>
        <v>.2</v>
      </c>
      <c r="AE122" s="772" t="s">
        <v>1998</v>
      </c>
      <c r="AF122" s="770"/>
      <c r="AG122" s="592" t="str">
        <f>R122&amp;AH122</f>
        <v>.3</v>
      </c>
      <c r="AH122" s="772" t="s">
        <v>2000</v>
      </c>
      <c r="AI122" s="171"/>
    </row>
    <row r="123" spans="1:35" ht="15" hidden="1" customHeight="1" outlineLevel="3">
      <c r="A123" s="860"/>
      <c r="B123" s="860"/>
      <c r="C123" s="860"/>
      <c r="D123" s="860"/>
      <c r="E123" s="824"/>
      <c r="F123" s="824" t="s">
        <v>1075</v>
      </c>
      <c r="G123" s="13"/>
      <c r="H123" s="81"/>
      <c r="I123" s="71">
        <f t="shared" si="13"/>
        <v>0</v>
      </c>
      <c r="J123" s="771"/>
      <c r="K123" s="771"/>
      <c r="L123" s="771"/>
      <c r="M123" s="772"/>
      <c r="N123" s="770"/>
      <c r="O123" s="772"/>
      <c r="P123" s="772"/>
      <c r="Q123" s="772"/>
      <c r="R123" s="770"/>
      <c r="S123" s="772"/>
      <c r="T123" s="772"/>
      <c r="U123" s="772"/>
      <c r="V123" s="119"/>
      <c r="W123" s="119"/>
      <c r="X123" s="119"/>
      <c r="Y123" s="745"/>
      <c r="Z123" s="771"/>
      <c r="AA123" s="772"/>
      <c r="AB123" s="772"/>
      <c r="AC123" s="770"/>
      <c r="AD123" s="772"/>
      <c r="AE123" s="772"/>
      <c r="AF123" s="770"/>
      <c r="AG123" s="772"/>
      <c r="AH123" s="772"/>
      <c r="AI123" s="171"/>
    </row>
    <row r="124" spans="1:35">
      <c r="A124" s="100"/>
      <c r="B124" s="100" t="s">
        <v>1075</v>
      </c>
      <c r="C124" s="100"/>
      <c r="D124" s="100"/>
      <c r="E124" s="902"/>
      <c r="F124" s="902" t="s">
        <v>1075</v>
      </c>
      <c r="G124" s="17" t="s">
        <v>242</v>
      </c>
      <c r="H124" s="76">
        <f>ROUND(SUBTOTAL(9,H125:H164),0)</f>
        <v>14</v>
      </c>
      <c r="I124" s="64">
        <f t="shared" si="13"/>
        <v>14</v>
      </c>
      <c r="J124" s="52">
        <f>ROUND(SUBTOTAL(9,J125:J164),0)</f>
        <v>14</v>
      </c>
      <c r="K124" s="52"/>
      <c r="L124" s="52"/>
      <c r="M124" s="86"/>
      <c r="N124" s="52">
        <f>ROUND(SUBTOTAL(9,N125:N164),0)</f>
        <v>0</v>
      </c>
      <c r="O124" s="587"/>
      <c r="P124" s="587"/>
      <c r="Q124" s="86"/>
      <c r="R124" s="52">
        <f>ROUND(SUBTOTAL(9,R125:R164),0)</f>
        <v>0</v>
      </c>
      <c r="S124" s="587"/>
      <c r="T124" s="587"/>
      <c r="U124" s="86"/>
      <c r="V124" s="864">
        <f>ROUND(SUBTOTAL(9,V125:V164),0)</f>
        <v>0</v>
      </c>
      <c r="W124" s="864">
        <f>ROUND(SUBTOTAL(9,W125:W164),0)</f>
        <v>0</v>
      </c>
      <c r="X124" s="864"/>
      <c r="Y124" s="745"/>
      <c r="Z124" s="52">
        <f>ROUND(SUBTOTAL(9,Z125:Z164),0)</f>
        <v>0</v>
      </c>
      <c r="AA124" s="587"/>
      <c r="AB124" s="587"/>
      <c r="AC124" s="52">
        <f>ROUND(SUBTOTAL(9,AC125:AC164),0)</f>
        <v>0</v>
      </c>
      <c r="AD124" s="587"/>
      <c r="AE124" s="587"/>
      <c r="AF124" s="52">
        <f>ROUND(SUBTOTAL(9,AF125:AF164),0)</f>
        <v>0</v>
      </c>
      <c r="AG124" s="587"/>
      <c r="AH124" s="587"/>
      <c r="AI124" s="168"/>
    </row>
    <row r="125" spans="1:35" ht="15" customHeight="1" outlineLevel="1" collapsed="1">
      <c r="A125" s="98"/>
      <c r="B125" s="98" t="s">
        <v>1075</v>
      </c>
      <c r="C125" s="98"/>
      <c r="D125" s="98"/>
      <c r="E125" s="865"/>
      <c r="F125" s="865" t="s">
        <v>1075</v>
      </c>
      <c r="G125" s="35" t="s">
        <v>195</v>
      </c>
      <c r="H125" s="77">
        <f>SUBTOTAL(9,H126:H164)</f>
        <v>14</v>
      </c>
      <c r="I125" s="67">
        <f t="shared" si="13"/>
        <v>14</v>
      </c>
      <c r="J125" s="54">
        <f>SUBTOTAL(9,J126:J164)</f>
        <v>14</v>
      </c>
      <c r="K125" s="54"/>
      <c r="L125" s="54"/>
      <c r="M125" s="85"/>
      <c r="N125" s="54">
        <f>SUBTOTAL(9,N126:N164)</f>
        <v>0</v>
      </c>
      <c r="O125" s="90"/>
      <c r="P125" s="90"/>
      <c r="Q125" s="85"/>
      <c r="R125" s="54">
        <f>SUBTOTAL(9,R126:R164)</f>
        <v>0</v>
      </c>
      <c r="S125" s="90"/>
      <c r="T125" s="90"/>
      <c r="U125" s="85"/>
      <c r="V125" s="630">
        <f>SUBTOTAL(9,V126:V164)</f>
        <v>0</v>
      </c>
      <c r="W125" s="630">
        <f>SUBTOTAL(9,W126:W164)</f>
        <v>0</v>
      </c>
      <c r="X125" s="630"/>
      <c r="Y125" s="745"/>
      <c r="Z125" s="54">
        <f>SUBTOTAL(9,Z126:Z164)</f>
        <v>0</v>
      </c>
      <c r="AA125" s="90"/>
      <c r="AB125" s="90"/>
      <c r="AC125" s="54">
        <f>SUBTOTAL(9,AC126:AC164)</f>
        <v>0</v>
      </c>
      <c r="AD125" s="90"/>
      <c r="AE125" s="90"/>
      <c r="AF125" s="54">
        <f>SUBTOTAL(9,AF126:AF164)</f>
        <v>0</v>
      </c>
      <c r="AG125" s="90"/>
      <c r="AH125" s="90"/>
      <c r="AI125" s="169"/>
    </row>
    <row r="126" spans="1:35" ht="15" hidden="1" customHeight="1" outlineLevel="2">
      <c r="A126" s="97"/>
      <c r="B126" s="97" t="s">
        <v>1075</v>
      </c>
      <c r="C126" s="97"/>
      <c r="D126" s="97"/>
      <c r="E126" s="825"/>
      <c r="F126" s="825" t="s">
        <v>1075</v>
      </c>
      <c r="G126" s="40" t="s">
        <v>722</v>
      </c>
      <c r="H126" s="78">
        <f>SUBTOTAL(9,H127:H160)</f>
        <v>13</v>
      </c>
      <c r="I126" s="68">
        <f t="shared" si="13"/>
        <v>13</v>
      </c>
      <c r="J126" s="55">
        <f>SUBTOTAL(9,J127:J160)</f>
        <v>13</v>
      </c>
      <c r="K126" s="55"/>
      <c r="L126" s="55"/>
      <c r="M126" s="84"/>
      <c r="N126" s="55">
        <f>SUBTOTAL(9,N127:N160)</f>
        <v>0</v>
      </c>
      <c r="O126" s="91"/>
      <c r="P126" s="91"/>
      <c r="Q126" s="84"/>
      <c r="R126" s="55">
        <f>SUBTOTAL(9,R127:R160)</f>
        <v>0</v>
      </c>
      <c r="S126" s="91"/>
      <c r="T126" s="91"/>
      <c r="U126" s="84"/>
      <c r="V126" s="867">
        <f>SUBTOTAL(9,V127:V160)</f>
        <v>0</v>
      </c>
      <c r="W126" s="867">
        <f>SUBTOTAL(9,W127:W160)</f>
        <v>0</v>
      </c>
      <c r="X126" s="867"/>
      <c r="Y126" s="745"/>
      <c r="Z126" s="55">
        <f>SUBTOTAL(9,Z127:Z160)</f>
        <v>0</v>
      </c>
      <c r="AA126" s="91"/>
      <c r="AB126" s="91"/>
      <c r="AC126" s="55">
        <f>SUBTOTAL(9,AC127:AC160)</f>
        <v>0</v>
      </c>
      <c r="AD126" s="91"/>
      <c r="AE126" s="91"/>
      <c r="AF126" s="55">
        <f>SUBTOTAL(9,AF127:AF160)</f>
        <v>0</v>
      </c>
      <c r="AG126" s="91"/>
      <c r="AH126" s="91"/>
      <c r="AI126" s="170"/>
    </row>
    <row r="127" spans="1:35" ht="15" hidden="1" customHeight="1" outlineLevel="3">
      <c r="A127" s="93">
        <v>204000</v>
      </c>
      <c r="B127" s="93">
        <v>3491</v>
      </c>
      <c r="C127" s="93"/>
      <c r="D127" s="93"/>
      <c r="E127" s="868" t="s">
        <v>3058</v>
      </c>
      <c r="F127" s="868" t="s">
        <v>5129</v>
      </c>
      <c r="G127" s="37" t="s">
        <v>45</v>
      </c>
      <c r="H127" s="707">
        <f>IFERROR(VLOOKUP(A127,'Colar QL'!A:C,3,0),0)</f>
        <v>1</v>
      </c>
      <c r="I127" s="69">
        <f t="shared" si="13"/>
        <v>1</v>
      </c>
      <c r="J127" s="57">
        <f>'BD Temp'!E156</f>
        <v>1</v>
      </c>
      <c r="K127" s="591" t="str">
        <f t="shared" ref="K127:K160" si="59">F127&amp;L127</f>
        <v>47.0284.1.2.17.00.01.039.01.04.26.1</v>
      </c>
      <c r="L127" s="57" t="s">
        <v>1996</v>
      </c>
      <c r="M127" s="87">
        <f>'BD Temp'!F156</f>
        <v>0.6</v>
      </c>
      <c r="N127" s="58">
        <f>'BD Temp'!J156</f>
        <v>0</v>
      </c>
      <c r="O127" s="593" t="str">
        <f t="shared" ref="O127:O160" si="60">F127&amp;P127</f>
        <v>47.0284.1.2.17.00.01.039.01.04.26.2</v>
      </c>
      <c r="P127" s="87" t="s">
        <v>1998</v>
      </c>
      <c r="Q127" s="87" t="str">
        <f>'BD Temp'!K156</f>
        <v>-</v>
      </c>
      <c r="R127" s="58">
        <f>'BD Temp'!O156</f>
        <v>0</v>
      </c>
      <c r="S127" s="593" t="str">
        <f t="shared" ref="S127:S160" si="61">F127&amp;T127</f>
        <v>47.0284.1.2.17.00.01.039.01.04.26.3</v>
      </c>
      <c r="T127" s="87" t="s">
        <v>2000</v>
      </c>
      <c r="U127" s="87" t="str">
        <f>'BD Temp'!P156</f>
        <v>-</v>
      </c>
      <c r="V127" s="869"/>
      <c r="W127" s="869"/>
      <c r="X127" s="869"/>
      <c r="Y127" s="745"/>
      <c r="Z127" s="771">
        <v>0</v>
      </c>
      <c r="AA127" s="592" t="str">
        <f t="shared" ref="AA127:AA160" si="62">F127&amp;AB127</f>
        <v>47.0284.1.2.17.00.01.039.01.04.26.1</v>
      </c>
      <c r="AB127" s="772" t="s">
        <v>1996</v>
      </c>
      <c r="AC127" s="770">
        <v>0</v>
      </c>
      <c r="AD127" s="592" t="str">
        <f t="shared" ref="AD127:AD160" si="63">F127&amp;AE127</f>
        <v>47.0284.1.2.17.00.01.039.01.04.26.2</v>
      </c>
      <c r="AE127" s="772" t="s">
        <v>1998</v>
      </c>
      <c r="AF127" s="770">
        <v>0</v>
      </c>
      <c r="AG127" s="592" t="str">
        <f t="shared" ref="AG127:AG160" si="64">F127&amp;AH127</f>
        <v>47.0284.1.2.17.00.01.039.01.04.26.3</v>
      </c>
      <c r="AH127" s="772" t="s">
        <v>2000</v>
      </c>
      <c r="AI127" s="158"/>
    </row>
    <row r="128" spans="1:35" s="26" customFormat="1" ht="15" hidden="1" customHeight="1" outlineLevel="3">
      <c r="A128" s="153">
        <v>204005</v>
      </c>
      <c r="B128" s="153">
        <v>3491</v>
      </c>
      <c r="C128" s="153"/>
      <c r="D128" s="153"/>
      <c r="E128" s="903" t="s">
        <v>3058</v>
      </c>
      <c r="F128" s="903" t="s">
        <v>5129</v>
      </c>
      <c r="G128" s="37" t="s">
        <v>46</v>
      </c>
      <c r="H128" s="707">
        <f>IFERROR(VLOOKUP(A128,'Colar QL'!A:C,3,0),0)</f>
        <v>1</v>
      </c>
      <c r="I128" s="69">
        <f t="shared" si="13"/>
        <v>1</v>
      </c>
      <c r="J128" s="771">
        <f>'BD Temp'!E159</f>
        <v>1</v>
      </c>
      <c r="K128" s="590" t="str">
        <f t="shared" si="59"/>
        <v>47.0284.1.2.17.00.01.039.01.04.26.1</v>
      </c>
      <c r="L128" s="771" t="s">
        <v>1996</v>
      </c>
      <c r="M128" s="772">
        <f>'BD Temp'!F159</f>
        <v>0.43451494155310977</v>
      </c>
      <c r="N128" s="770">
        <f>'BD Temp'!J159</f>
        <v>0</v>
      </c>
      <c r="O128" s="592" t="str">
        <f t="shared" si="60"/>
        <v>47.0284.1.2.17.00.01.039.01.04.26.2</v>
      </c>
      <c r="P128" s="772" t="s">
        <v>1998</v>
      </c>
      <c r="Q128" s="772" t="str">
        <f>'BD Temp'!K159</f>
        <v>-</v>
      </c>
      <c r="R128" s="770">
        <f>'BD Temp'!O159</f>
        <v>0</v>
      </c>
      <c r="S128" s="592" t="str">
        <f t="shared" si="61"/>
        <v>47.0284.1.2.17.00.01.039.01.04.26.3</v>
      </c>
      <c r="T128" s="772" t="s">
        <v>2000</v>
      </c>
      <c r="U128" s="772" t="str">
        <f>'BD Temp'!P159</f>
        <v>-</v>
      </c>
      <c r="V128" s="869"/>
      <c r="W128" s="869"/>
      <c r="X128" s="869"/>
      <c r="Y128" s="745"/>
      <c r="Z128" s="771">
        <v>0</v>
      </c>
      <c r="AA128" s="592" t="str">
        <f t="shared" si="62"/>
        <v>47.0284.1.2.17.00.01.039.01.04.26.1</v>
      </c>
      <c r="AB128" s="772" t="s">
        <v>1996</v>
      </c>
      <c r="AC128" s="770">
        <v>0</v>
      </c>
      <c r="AD128" s="592" t="str">
        <f t="shared" si="63"/>
        <v>47.0284.1.2.17.00.01.039.01.04.26.2</v>
      </c>
      <c r="AE128" s="772" t="s">
        <v>1998</v>
      </c>
      <c r="AF128" s="770">
        <v>0</v>
      </c>
      <c r="AG128" s="592" t="str">
        <f t="shared" si="64"/>
        <v>47.0284.1.2.17.00.01.039.01.04.26.3</v>
      </c>
      <c r="AH128" s="772" t="s">
        <v>2000</v>
      </c>
      <c r="AI128" s="158"/>
    </row>
    <row r="129" spans="1:35" ht="15" hidden="1" customHeight="1" outlineLevel="3">
      <c r="A129" s="93">
        <v>204010</v>
      </c>
      <c r="B129" s="93">
        <v>3491</v>
      </c>
      <c r="C129" s="93"/>
      <c r="D129" s="93"/>
      <c r="E129" s="868" t="s">
        <v>3058</v>
      </c>
      <c r="F129" s="868" t="s">
        <v>5129</v>
      </c>
      <c r="G129" s="37" t="s">
        <v>193</v>
      </c>
      <c r="H129" s="707">
        <f>IFERROR(VLOOKUP(A129,'Colar QL'!A:C,3,0),0)</f>
        <v>0</v>
      </c>
      <c r="I129" s="69">
        <f t="shared" si="13"/>
        <v>0</v>
      </c>
      <c r="J129" s="771">
        <f>'BD Temp'!E164</f>
        <v>0</v>
      </c>
      <c r="K129" s="590" t="str">
        <f t="shared" si="59"/>
        <v>47.0284.1.2.17.00.01.039.01.04.26.1</v>
      </c>
      <c r="L129" s="771" t="s">
        <v>1996</v>
      </c>
      <c r="M129" s="772" t="str">
        <f>'BD Temp'!F164</f>
        <v>-</v>
      </c>
      <c r="N129" s="770">
        <f>'BD Temp'!J164</f>
        <v>0</v>
      </c>
      <c r="O129" s="592" t="str">
        <f t="shared" si="60"/>
        <v>47.0284.1.2.17.00.01.039.01.04.26.2</v>
      </c>
      <c r="P129" s="772" t="s">
        <v>1998</v>
      </c>
      <c r="Q129" s="772" t="str">
        <f>'BD Temp'!K164</f>
        <v>-</v>
      </c>
      <c r="R129" s="770">
        <f>'BD Temp'!O164</f>
        <v>0</v>
      </c>
      <c r="S129" s="592" t="str">
        <f t="shared" si="61"/>
        <v>47.0284.1.2.17.00.01.039.01.04.26.3</v>
      </c>
      <c r="T129" s="772" t="s">
        <v>2000</v>
      </c>
      <c r="U129" s="772" t="str">
        <f>'BD Temp'!P164</f>
        <v>-</v>
      </c>
      <c r="V129" s="869"/>
      <c r="W129" s="869"/>
      <c r="X129" s="869"/>
      <c r="Y129" s="745"/>
      <c r="Z129" s="771">
        <v>0</v>
      </c>
      <c r="AA129" s="592" t="str">
        <f t="shared" si="62"/>
        <v>47.0284.1.2.17.00.01.039.01.04.26.1</v>
      </c>
      <c r="AB129" s="772" t="s">
        <v>1996</v>
      </c>
      <c r="AC129" s="770">
        <v>0</v>
      </c>
      <c r="AD129" s="592" t="str">
        <f t="shared" si="63"/>
        <v>47.0284.1.2.17.00.01.039.01.04.26.2</v>
      </c>
      <c r="AE129" s="772" t="s">
        <v>1998</v>
      </c>
      <c r="AF129" s="770">
        <v>0</v>
      </c>
      <c r="AG129" s="592" t="str">
        <f t="shared" si="64"/>
        <v>47.0284.1.2.17.00.01.039.01.04.26.3</v>
      </c>
      <c r="AH129" s="772" t="s">
        <v>2000</v>
      </c>
      <c r="AI129" s="158"/>
    </row>
    <row r="130" spans="1:35" ht="15" hidden="1" customHeight="1" outlineLevel="3">
      <c r="A130" s="93">
        <v>204015</v>
      </c>
      <c r="B130" s="93">
        <v>3491</v>
      </c>
      <c r="C130" s="93"/>
      <c r="D130" s="93"/>
      <c r="E130" s="903" t="s">
        <v>3058</v>
      </c>
      <c r="F130" s="903" t="s">
        <v>5129</v>
      </c>
      <c r="G130" s="37" t="s">
        <v>47</v>
      </c>
      <c r="H130" s="707">
        <f>IFERROR(VLOOKUP(A130,'Colar QL'!A:C,3,0),0)</f>
        <v>1</v>
      </c>
      <c r="I130" s="69">
        <f t="shared" si="13"/>
        <v>1</v>
      </c>
      <c r="J130" s="771">
        <f>'BD Temp'!E165</f>
        <v>1</v>
      </c>
      <c r="K130" s="590" t="str">
        <f t="shared" si="59"/>
        <v>47.0284.1.2.17.00.01.039.01.04.26.1</v>
      </c>
      <c r="L130" s="771" t="s">
        <v>1996</v>
      </c>
      <c r="M130" s="772">
        <f>'BD Temp'!F165</f>
        <v>0.3666666666666667</v>
      </c>
      <c r="N130" s="770">
        <f>'BD Temp'!J165</f>
        <v>0</v>
      </c>
      <c r="O130" s="592" t="str">
        <f t="shared" si="60"/>
        <v>47.0284.1.2.17.00.01.039.01.04.26.2</v>
      </c>
      <c r="P130" s="772" t="s">
        <v>1998</v>
      </c>
      <c r="Q130" s="772" t="str">
        <f>'BD Temp'!K165</f>
        <v>-</v>
      </c>
      <c r="R130" s="770">
        <f>'BD Temp'!O165</f>
        <v>0</v>
      </c>
      <c r="S130" s="592" t="str">
        <f t="shared" si="61"/>
        <v>47.0284.1.2.17.00.01.039.01.04.26.3</v>
      </c>
      <c r="T130" s="772" t="s">
        <v>2000</v>
      </c>
      <c r="U130" s="772" t="str">
        <f>'BD Temp'!P165</f>
        <v>-</v>
      </c>
      <c r="V130" s="869"/>
      <c r="W130" s="869"/>
      <c r="X130" s="869"/>
      <c r="Y130" s="745"/>
      <c r="Z130" s="771">
        <v>0</v>
      </c>
      <c r="AA130" s="592" t="str">
        <f t="shared" si="62"/>
        <v>47.0284.1.2.17.00.01.039.01.04.26.1</v>
      </c>
      <c r="AB130" s="772" t="s">
        <v>1996</v>
      </c>
      <c r="AC130" s="770">
        <v>0</v>
      </c>
      <c r="AD130" s="592" t="str">
        <f t="shared" si="63"/>
        <v>47.0284.1.2.17.00.01.039.01.04.26.2</v>
      </c>
      <c r="AE130" s="772" t="s">
        <v>1998</v>
      </c>
      <c r="AF130" s="770">
        <v>0</v>
      </c>
      <c r="AG130" s="592" t="str">
        <f t="shared" si="64"/>
        <v>47.0284.1.2.17.00.01.039.01.04.26.3</v>
      </c>
      <c r="AH130" s="772" t="s">
        <v>2000</v>
      </c>
      <c r="AI130" s="158"/>
    </row>
    <row r="131" spans="1:35" hidden="1" outlineLevel="3">
      <c r="A131" s="93">
        <v>204020</v>
      </c>
      <c r="B131" s="93">
        <v>3491</v>
      </c>
      <c r="C131" s="93"/>
      <c r="D131" s="93"/>
      <c r="E131" s="868" t="s">
        <v>3058</v>
      </c>
      <c r="F131" s="868" t="s">
        <v>5129</v>
      </c>
      <c r="G131" s="37" t="s">
        <v>48</v>
      </c>
      <c r="H131" s="707">
        <f>IFERROR(VLOOKUP(A131,'Colar QL'!A:C,3,0),0)</f>
        <v>1</v>
      </c>
      <c r="I131" s="69">
        <f t="shared" si="13"/>
        <v>1</v>
      </c>
      <c r="J131" s="57">
        <f>'BD Temp'!E168</f>
        <v>1</v>
      </c>
      <c r="K131" s="591" t="str">
        <f t="shared" si="59"/>
        <v>47.0284.1.2.17.00.01.039.01.04.26.1</v>
      </c>
      <c r="L131" s="57" t="s">
        <v>1996</v>
      </c>
      <c r="M131" s="87">
        <f>'BD Temp'!F168</f>
        <v>0.3666666666666667</v>
      </c>
      <c r="N131" s="58">
        <f>'BD Temp'!J168</f>
        <v>0</v>
      </c>
      <c r="O131" s="593" t="str">
        <f t="shared" si="60"/>
        <v>47.0284.1.2.17.00.01.039.01.04.26.2</v>
      </c>
      <c r="P131" s="87" t="s">
        <v>1998</v>
      </c>
      <c r="Q131" s="87" t="str">
        <f>'BD Temp'!K168</f>
        <v>-</v>
      </c>
      <c r="R131" s="58">
        <f>'BD Temp'!O168</f>
        <v>0</v>
      </c>
      <c r="S131" s="593" t="str">
        <f t="shared" si="61"/>
        <v>47.0284.1.2.17.00.01.039.01.04.26.3</v>
      </c>
      <c r="T131" s="87" t="s">
        <v>2000</v>
      </c>
      <c r="U131" s="87" t="str">
        <f>'BD Temp'!P168</f>
        <v>-</v>
      </c>
      <c r="V131" s="869"/>
      <c r="W131" s="869"/>
      <c r="X131" s="869"/>
      <c r="Y131" s="745"/>
      <c r="Z131" s="771">
        <v>0</v>
      </c>
      <c r="AA131" s="592" t="str">
        <f t="shared" si="62"/>
        <v>47.0284.1.2.17.00.01.039.01.04.26.1</v>
      </c>
      <c r="AB131" s="772" t="s">
        <v>1996</v>
      </c>
      <c r="AC131" s="770">
        <v>0</v>
      </c>
      <c r="AD131" s="592" t="str">
        <f t="shared" si="63"/>
        <v>47.0284.1.2.17.00.01.039.01.04.26.2</v>
      </c>
      <c r="AE131" s="772" t="s">
        <v>1998</v>
      </c>
      <c r="AF131" s="770">
        <v>0</v>
      </c>
      <c r="AG131" s="592" t="str">
        <f t="shared" si="64"/>
        <v>47.0284.1.2.17.00.01.039.01.04.26.3</v>
      </c>
      <c r="AH131" s="772" t="s">
        <v>2000</v>
      </c>
      <c r="AI131" s="158"/>
    </row>
    <row r="132" spans="1:35" s="26" customFormat="1" ht="15" hidden="1" customHeight="1" outlineLevel="3">
      <c r="A132" s="93">
        <v>204025</v>
      </c>
      <c r="B132" s="93">
        <v>3481</v>
      </c>
      <c r="C132" s="93"/>
      <c r="D132" s="93"/>
      <c r="E132" s="868" t="s">
        <v>5346</v>
      </c>
      <c r="F132" s="868" t="s">
        <v>5347</v>
      </c>
      <c r="G132" s="37" t="s">
        <v>49</v>
      </c>
      <c r="H132" s="707">
        <f>IFERROR(VLOOKUP(A132,'Colar QL'!A:C,3,0),0)</f>
        <v>1</v>
      </c>
      <c r="I132" s="69">
        <f t="shared" si="13"/>
        <v>1</v>
      </c>
      <c r="J132" s="57">
        <f>'BD Temp'!E169</f>
        <v>1</v>
      </c>
      <c r="K132" s="591" t="str">
        <f t="shared" si="59"/>
        <v>47.0284.1.2.17.00.01.039.01.04.20.1</v>
      </c>
      <c r="L132" s="57" t="s">
        <v>1996</v>
      </c>
      <c r="M132" s="87">
        <f>'BD Temp'!F169</f>
        <v>0.73333333333333339</v>
      </c>
      <c r="N132" s="58">
        <f>'BD Temp'!J169</f>
        <v>0</v>
      </c>
      <c r="O132" s="593" t="str">
        <f t="shared" si="60"/>
        <v>47.0284.1.2.17.00.01.039.01.04.20.2</v>
      </c>
      <c r="P132" s="87" t="s">
        <v>1998</v>
      </c>
      <c r="Q132" s="87" t="str">
        <f>'BD Temp'!K169</f>
        <v>-</v>
      </c>
      <c r="R132" s="58">
        <f>'BD Temp'!O169</f>
        <v>0</v>
      </c>
      <c r="S132" s="593" t="str">
        <f t="shared" si="61"/>
        <v>47.0284.1.2.17.00.01.039.01.04.20.3</v>
      </c>
      <c r="T132" s="87" t="s">
        <v>2000</v>
      </c>
      <c r="U132" s="87" t="str">
        <f>'BD Temp'!P169</f>
        <v>-</v>
      </c>
      <c r="V132" s="869"/>
      <c r="W132" s="869"/>
      <c r="X132" s="869"/>
      <c r="Y132" s="745"/>
      <c r="Z132" s="771">
        <v>0</v>
      </c>
      <c r="AA132" s="592" t="str">
        <f t="shared" si="62"/>
        <v>47.0284.1.2.17.00.01.039.01.04.20.1</v>
      </c>
      <c r="AB132" s="772" t="s">
        <v>1996</v>
      </c>
      <c r="AC132" s="770">
        <v>0</v>
      </c>
      <c r="AD132" s="592" t="str">
        <f t="shared" si="63"/>
        <v>47.0284.1.2.17.00.01.039.01.04.20.2</v>
      </c>
      <c r="AE132" s="772" t="s">
        <v>1998</v>
      </c>
      <c r="AF132" s="770">
        <v>0</v>
      </c>
      <c r="AG132" s="592" t="str">
        <f t="shared" si="64"/>
        <v>47.0284.1.2.17.00.01.039.01.04.20.3</v>
      </c>
      <c r="AH132" s="772" t="s">
        <v>2000</v>
      </c>
      <c r="AI132" s="158"/>
    </row>
    <row r="133" spans="1:35" ht="15" hidden="1" customHeight="1" outlineLevel="3">
      <c r="A133" s="93">
        <v>204030</v>
      </c>
      <c r="B133" s="93">
        <v>3481</v>
      </c>
      <c r="C133" s="93"/>
      <c r="D133" s="93"/>
      <c r="E133" s="868" t="s">
        <v>3058</v>
      </c>
      <c r="F133" s="868" t="s">
        <v>5129</v>
      </c>
      <c r="G133" s="37" t="s">
        <v>50</v>
      </c>
      <c r="H133" s="707">
        <f>IFERROR(VLOOKUP(A133,'Colar QL'!A:C,3,0),0)</f>
        <v>0</v>
      </c>
      <c r="I133" s="69">
        <f t="shared" si="13"/>
        <v>0</v>
      </c>
      <c r="J133" s="771">
        <f>'BD Temp'!E172</f>
        <v>0</v>
      </c>
      <c r="K133" s="590" t="str">
        <f t="shared" si="59"/>
        <v>47.0284.1.2.17.00.01.039.01.04.26.1</v>
      </c>
      <c r="L133" s="771" t="s">
        <v>1996</v>
      </c>
      <c r="M133" s="772" t="str">
        <f>'BD Temp'!F172</f>
        <v>-</v>
      </c>
      <c r="N133" s="770">
        <f>'BD Temp'!J172</f>
        <v>0</v>
      </c>
      <c r="O133" s="592" t="str">
        <f t="shared" si="60"/>
        <v>47.0284.1.2.17.00.01.039.01.04.26.2</v>
      </c>
      <c r="P133" s="772" t="s">
        <v>1998</v>
      </c>
      <c r="Q133" s="772" t="str">
        <f>'BD Temp'!K172</f>
        <v>-</v>
      </c>
      <c r="R133" s="770">
        <f>'BD Temp'!O172</f>
        <v>0</v>
      </c>
      <c r="S133" s="592" t="str">
        <f t="shared" si="61"/>
        <v>47.0284.1.2.17.00.01.039.01.04.26.3</v>
      </c>
      <c r="T133" s="772" t="s">
        <v>2000</v>
      </c>
      <c r="U133" s="772" t="str">
        <f>'BD Temp'!P172</f>
        <v>-</v>
      </c>
      <c r="V133" s="869"/>
      <c r="W133" s="869"/>
      <c r="X133" s="869"/>
      <c r="Y133" s="745"/>
      <c r="Z133" s="771">
        <v>0</v>
      </c>
      <c r="AA133" s="592" t="str">
        <f t="shared" si="62"/>
        <v>47.0284.1.2.17.00.01.039.01.04.26.1</v>
      </c>
      <c r="AB133" s="772" t="s">
        <v>1996</v>
      </c>
      <c r="AC133" s="770">
        <v>0</v>
      </c>
      <c r="AD133" s="592" t="str">
        <f t="shared" si="63"/>
        <v>47.0284.1.2.17.00.01.039.01.04.26.2</v>
      </c>
      <c r="AE133" s="772" t="s">
        <v>1998</v>
      </c>
      <c r="AF133" s="770">
        <v>0</v>
      </c>
      <c r="AG133" s="592" t="str">
        <f t="shared" si="64"/>
        <v>47.0284.1.2.17.00.01.039.01.04.26.3</v>
      </c>
      <c r="AH133" s="772" t="s">
        <v>2000</v>
      </c>
      <c r="AI133" s="158"/>
    </row>
    <row r="134" spans="1:35" s="26" customFormat="1" ht="15" hidden="1" customHeight="1" outlineLevel="3">
      <c r="A134" s="93">
        <v>204035</v>
      </c>
      <c r="B134" s="93">
        <v>3491</v>
      </c>
      <c r="C134" s="93"/>
      <c r="D134" s="93"/>
      <c r="E134" s="868" t="s">
        <v>3058</v>
      </c>
      <c r="F134" s="868" t="s">
        <v>5129</v>
      </c>
      <c r="G134" s="37" t="s">
        <v>51</v>
      </c>
      <c r="H134" s="707">
        <f>IFERROR(VLOOKUP(A134,'Colar QL'!A:C,3,0),0)</f>
        <v>1</v>
      </c>
      <c r="I134" s="69">
        <f t="shared" si="13"/>
        <v>1</v>
      </c>
      <c r="J134" s="771">
        <f>'BD Temp'!E173</f>
        <v>1</v>
      </c>
      <c r="K134" s="590" t="str">
        <f t="shared" si="59"/>
        <v>47.0284.1.2.17.00.01.039.01.04.26.1</v>
      </c>
      <c r="L134" s="771" t="s">
        <v>1996</v>
      </c>
      <c r="M134" s="772">
        <f>'BD Temp'!F173</f>
        <v>0.18885517821570963</v>
      </c>
      <c r="N134" s="770">
        <f>'BD Temp'!J173</f>
        <v>0</v>
      </c>
      <c r="O134" s="592" t="str">
        <f t="shared" si="60"/>
        <v>47.0284.1.2.17.00.01.039.01.04.26.2</v>
      </c>
      <c r="P134" s="772" t="s">
        <v>1998</v>
      </c>
      <c r="Q134" s="772" t="str">
        <f>'BD Temp'!K173</f>
        <v>-</v>
      </c>
      <c r="R134" s="770">
        <f>'BD Temp'!O173</f>
        <v>0</v>
      </c>
      <c r="S134" s="592" t="str">
        <f t="shared" si="61"/>
        <v>47.0284.1.2.17.00.01.039.01.04.26.3</v>
      </c>
      <c r="T134" s="772" t="s">
        <v>2000</v>
      </c>
      <c r="U134" s="772" t="str">
        <f>'BD Temp'!P173</f>
        <v>-</v>
      </c>
      <c r="V134" s="869"/>
      <c r="W134" s="869"/>
      <c r="X134" s="869"/>
      <c r="Y134" s="745"/>
      <c r="Z134" s="771">
        <v>0</v>
      </c>
      <c r="AA134" s="592" t="str">
        <f t="shared" si="62"/>
        <v>47.0284.1.2.17.00.01.039.01.04.26.1</v>
      </c>
      <c r="AB134" s="772" t="s">
        <v>1996</v>
      </c>
      <c r="AC134" s="770">
        <v>0</v>
      </c>
      <c r="AD134" s="592" t="str">
        <f t="shared" si="63"/>
        <v>47.0284.1.2.17.00.01.039.01.04.26.2</v>
      </c>
      <c r="AE134" s="772" t="s">
        <v>1998</v>
      </c>
      <c r="AF134" s="770">
        <v>0</v>
      </c>
      <c r="AG134" s="592" t="str">
        <f t="shared" si="64"/>
        <v>47.0284.1.2.17.00.01.039.01.04.26.3</v>
      </c>
      <c r="AH134" s="772" t="s">
        <v>2000</v>
      </c>
      <c r="AI134" s="158"/>
    </row>
    <row r="135" spans="1:35" s="26" customFormat="1" ht="15" hidden="1" customHeight="1" outlineLevel="3">
      <c r="A135" s="93">
        <v>204040</v>
      </c>
      <c r="B135" s="93">
        <v>3491</v>
      </c>
      <c r="C135" s="93"/>
      <c r="D135" s="93"/>
      <c r="E135" s="868" t="s">
        <v>3058</v>
      </c>
      <c r="F135" s="868" t="s">
        <v>5129</v>
      </c>
      <c r="G135" s="37" t="s">
        <v>52</v>
      </c>
      <c r="H135" s="707">
        <f>IFERROR(VLOOKUP(A135,'Colar QL'!A:C,3,0),0)</f>
        <v>1</v>
      </c>
      <c r="I135" s="69">
        <f t="shared" si="13"/>
        <v>1</v>
      </c>
      <c r="J135" s="771">
        <f>'BD Temp'!E179</f>
        <v>1</v>
      </c>
      <c r="K135" s="590" t="str">
        <f t="shared" si="59"/>
        <v>47.0284.1.2.17.00.01.039.01.04.26.1</v>
      </c>
      <c r="L135" s="771" t="s">
        <v>1996</v>
      </c>
      <c r="M135" s="772">
        <f>'BD Temp'!F179</f>
        <v>0.55464757049499269</v>
      </c>
      <c r="N135" s="770">
        <v>0</v>
      </c>
      <c r="O135" s="592" t="str">
        <f t="shared" si="60"/>
        <v>47.0284.1.2.17.00.01.039.01.04.26.2</v>
      </c>
      <c r="P135" s="772" t="s">
        <v>1998</v>
      </c>
      <c r="Q135" s="772" t="str">
        <f>'BD Temp'!K179</f>
        <v>-</v>
      </c>
      <c r="R135" s="770">
        <f>'BD Temp'!O179</f>
        <v>0</v>
      </c>
      <c r="S135" s="592" t="str">
        <f t="shared" si="61"/>
        <v>47.0284.1.2.17.00.01.039.01.04.26.3</v>
      </c>
      <c r="T135" s="772" t="s">
        <v>2000</v>
      </c>
      <c r="U135" s="772" t="str">
        <f>'BD Temp'!P179</f>
        <v>-</v>
      </c>
      <c r="V135" s="869"/>
      <c r="W135" s="869"/>
      <c r="X135" s="869"/>
      <c r="Y135" s="745"/>
      <c r="Z135" s="771">
        <v>0</v>
      </c>
      <c r="AA135" s="592" t="str">
        <f t="shared" si="62"/>
        <v>47.0284.1.2.17.00.01.039.01.04.26.1</v>
      </c>
      <c r="AB135" s="772" t="s">
        <v>1996</v>
      </c>
      <c r="AC135" s="770">
        <v>0</v>
      </c>
      <c r="AD135" s="592" t="str">
        <f t="shared" si="63"/>
        <v>47.0284.1.2.17.00.01.039.01.04.26.2</v>
      </c>
      <c r="AE135" s="772" t="s">
        <v>1998</v>
      </c>
      <c r="AF135" s="770">
        <v>0</v>
      </c>
      <c r="AG135" s="592" t="str">
        <f t="shared" si="64"/>
        <v>47.0284.1.2.17.00.01.039.01.04.26.3</v>
      </c>
      <c r="AH135" s="772" t="s">
        <v>2000</v>
      </c>
      <c r="AI135" s="158"/>
    </row>
    <row r="136" spans="1:35" s="26" customFormat="1" ht="15" hidden="1" customHeight="1" outlineLevel="3">
      <c r="A136" s="93">
        <v>204045</v>
      </c>
      <c r="B136" s="93">
        <v>3491</v>
      </c>
      <c r="C136" s="93"/>
      <c r="D136" s="93"/>
      <c r="E136" s="868" t="s">
        <v>3058</v>
      </c>
      <c r="F136" s="868" t="s">
        <v>5129</v>
      </c>
      <c r="G136" s="37" t="s">
        <v>53</v>
      </c>
      <c r="H136" s="707">
        <f>IFERROR(VLOOKUP(A136,'Colar QL'!A:C,3,0),0)</f>
        <v>2</v>
      </c>
      <c r="I136" s="69">
        <f t="shared" si="13"/>
        <v>2</v>
      </c>
      <c r="J136" s="771">
        <f>'BD Temp'!E185</f>
        <v>2</v>
      </c>
      <c r="K136" s="590" t="str">
        <f t="shared" si="59"/>
        <v>47.0284.1.2.17.00.01.039.01.04.26.1</v>
      </c>
      <c r="L136" s="771" t="s">
        <v>1996</v>
      </c>
      <c r="M136" s="772">
        <f>'BD Temp'!F185</f>
        <v>0.51449076783718772</v>
      </c>
      <c r="N136" s="770">
        <f>'BD Temp'!J185</f>
        <v>0</v>
      </c>
      <c r="O136" s="592" t="str">
        <f t="shared" si="60"/>
        <v>47.0284.1.2.17.00.01.039.01.04.26.2</v>
      </c>
      <c r="P136" s="772" t="s">
        <v>1998</v>
      </c>
      <c r="Q136" s="772" t="str">
        <f>'BD Temp'!K185</f>
        <v>-</v>
      </c>
      <c r="R136" s="770">
        <f>'BD Temp'!O185</f>
        <v>0</v>
      </c>
      <c r="S136" s="592" t="str">
        <f t="shared" si="61"/>
        <v>47.0284.1.2.17.00.01.039.01.04.26.3</v>
      </c>
      <c r="T136" s="772" t="s">
        <v>2000</v>
      </c>
      <c r="U136" s="772" t="str">
        <f>'BD Temp'!P185</f>
        <v>-</v>
      </c>
      <c r="V136" s="869"/>
      <c r="W136" s="869"/>
      <c r="X136" s="869"/>
      <c r="Y136" s="745"/>
      <c r="Z136" s="771">
        <v>0</v>
      </c>
      <c r="AA136" s="592" t="str">
        <f t="shared" si="62"/>
        <v>47.0284.1.2.17.00.01.039.01.04.26.1</v>
      </c>
      <c r="AB136" s="772" t="s">
        <v>1996</v>
      </c>
      <c r="AC136" s="770">
        <v>0</v>
      </c>
      <c r="AD136" s="592" t="str">
        <f t="shared" si="63"/>
        <v>47.0284.1.2.17.00.01.039.01.04.26.2</v>
      </c>
      <c r="AE136" s="772" t="s">
        <v>1998</v>
      </c>
      <c r="AF136" s="770">
        <v>0</v>
      </c>
      <c r="AG136" s="592" t="str">
        <f t="shared" si="64"/>
        <v>47.0284.1.2.17.00.01.039.01.04.26.3</v>
      </c>
      <c r="AH136" s="772" t="s">
        <v>2000</v>
      </c>
      <c r="AI136" s="158"/>
    </row>
    <row r="137" spans="1:35" ht="15" hidden="1" customHeight="1" outlineLevel="3">
      <c r="A137" s="93">
        <v>204050</v>
      </c>
      <c r="B137" s="93">
        <v>3491</v>
      </c>
      <c r="C137" s="93"/>
      <c r="D137" s="93"/>
      <c r="E137" s="868" t="s">
        <v>3058</v>
      </c>
      <c r="F137" s="868" t="s">
        <v>5129</v>
      </c>
      <c r="G137" s="37" t="s">
        <v>54</v>
      </c>
      <c r="H137" s="707">
        <f>IFERROR(VLOOKUP(A137,'Colar QL'!A:C,3,0),0)</f>
        <v>1</v>
      </c>
      <c r="I137" s="69">
        <f t="shared" si="13"/>
        <v>1</v>
      </c>
      <c r="J137" s="771">
        <f>'BD Temp'!E191</f>
        <v>1</v>
      </c>
      <c r="K137" s="590" t="str">
        <f t="shared" si="59"/>
        <v>47.0284.1.2.17.00.01.039.01.04.26.1</v>
      </c>
      <c r="L137" s="771" t="s">
        <v>1996</v>
      </c>
      <c r="M137" s="772">
        <f>'BD Temp'!F191</f>
        <v>0.11032518395442677</v>
      </c>
      <c r="N137" s="770">
        <f>'BD Temp'!J191</f>
        <v>0</v>
      </c>
      <c r="O137" s="592" t="str">
        <f t="shared" si="60"/>
        <v>47.0284.1.2.17.00.01.039.01.04.26.2</v>
      </c>
      <c r="P137" s="772" t="s">
        <v>1998</v>
      </c>
      <c r="Q137" s="772" t="str">
        <f>'BD Temp'!K191</f>
        <v>-</v>
      </c>
      <c r="R137" s="770">
        <f>'BD Temp'!O191</f>
        <v>0</v>
      </c>
      <c r="S137" s="592" t="str">
        <f t="shared" si="61"/>
        <v>47.0284.1.2.17.00.01.039.01.04.26.3</v>
      </c>
      <c r="T137" s="772" t="s">
        <v>2000</v>
      </c>
      <c r="U137" s="772" t="str">
        <f>'BD Temp'!P191</f>
        <v>-</v>
      </c>
      <c r="V137" s="869"/>
      <c r="W137" s="869"/>
      <c r="X137" s="869"/>
      <c r="Y137" s="745"/>
      <c r="Z137" s="771">
        <v>0</v>
      </c>
      <c r="AA137" s="592" t="str">
        <f t="shared" si="62"/>
        <v>47.0284.1.2.17.00.01.039.01.04.26.1</v>
      </c>
      <c r="AB137" s="772" t="s">
        <v>1996</v>
      </c>
      <c r="AC137" s="770">
        <v>0</v>
      </c>
      <c r="AD137" s="592" t="str">
        <f t="shared" si="63"/>
        <v>47.0284.1.2.17.00.01.039.01.04.26.2</v>
      </c>
      <c r="AE137" s="772" t="s">
        <v>1998</v>
      </c>
      <c r="AF137" s="770">
        <v>0</v>
      </c>
      <c r="AG137" s="592" t="str">
        <f t="shared" si="64"/>
        <v>47.0284.1.2.17.00.01.039.01.04.26.3</v>
      </c>
      <c r="AH137" s="772" t="s">
        <v>2000</v>
      </c>
      <c r="AI137" s="158"/>
    </row>
    <row r="138" spans="1:35" ht="15" hidden="1" customHeight="1" outlineLevel="3">
      <c r="A138" s="93">
        <v>204055</v>
      </c>
      <c r="B138" s="93">
        <v>3491</v>
      </c>
      <c r="C138" s="93"/>
      <c r="D138" s="93"/>
      <c r="E138" s="868" t="s">
        <v>3058</v>
      </c>
      <c r="F138" s="868" t="s">
        <v>5129</v>
      </c>
      <c r="G138" s="37" t="s">
        <v>55</v>
      </c>
      <c r="H138" s="707">
        <f>IFERROR(VLOOKUP(A138,'Colar QL'!A:C,3,0),0)</f>
        <v>0</v>
      </c>
      <c r="I138" s="69">
        <f t="shared" si="13"/>
        <v>0</v>
      </c>
      <c r="J138" s="771">
        <f>'BD Temp'!E192</f>
        <v>0</v>
      </c>
      <c r="K138" s="590" t="str">
        <f t="shared" si="59"/>
        <v>47.0284.1.2.17.00.01.039.01.04.26.1</v>
      </c>
      <c r="L138" s="771" t="s">
        <v>1996</v>
      </c>
      <c r="M138" s="772" t="str">
        <f>'BD Temp'!F192</f>
        <v>-</v>
      </c>
      <c r="N138" s="770">
        <f>'BD Temp'!J192</f>
        <v>0</v>
      </c>
      <c r="O138" s="592" t="str">
        <f t="shared" si="60"/>
        <v>47.0284.1.2.17.00.01.039.01.04.26.2</v>
      </c>
      <c r="P138" s="772" t="s">
        <v>1998</v>
      </c>
      <c r="Q138" s="772" t="str">
        <f>'BD Temp'!K192</f>
        <v>-</v>
      </c>
      <c r="R138" s="770">
        <f>'BD Temp'!O192</f>
        <v>0</v>
      </c>
      <c r="S138" s="592" t="str">
        <f t="shared" si="61"/>
        <v>47.0284.1.2.17.00.01.039.01.04.26.3</v>
      </c>
      <c r="T138" s="772" t="s">
        <v>2000</v>
      </c>
      <c r="U138" s="772" t="str">
        <f>'BD Temp'!P192</f>
        <v>-</v>
      </c>
      <c r="V138" s="869"/>
      <c r="W138" s="869"/>
      <c r="X138" s="869"/>
      <c r="Y138" s="745"/>
      <c r="Z138" s="771">
        <v>0</v>
      </c>
      <c r="AA138" s="592" t="str">
        <f t="shared" si="62"/>
        <v>47.0284.1.2.17.00.01.039.01.04.26.1</v>
      </c>
      <c r="AB138" s="772" t="s">
        <v>1996</v>
      </c>
      <c r="AC138" s="770">
        <v>0</v>
      </c>
      <c r="AD138" s="592" t="str">
        <f t="shared" si="63"/>
        <v>47.0284.1.2.17.00.01.039.01.04.26.2</v>
      </c>
      <c r="AE138" s="772" t="s">
        <v>1998</v>
      </c>
      <c r="AF138" s="770">
        <v>0</v>
      </c>
      <c r="AG138" s="592" t="str">
        <f t="shared" si="64"/>
        <v>47.0284.1.2.17.00.01.039.01.04.26.3</v>
      </c>
      <c r="AH138" s="772" t="s">
        <v>2000</v>
      </c>
      <c r="AI138" s="158"/>
    </row>
    <row r="139" spans="1:35" ht="15" hidden="1" customHeight="1" outlineLevel="3">
      <c r="A139" s="93">
        <v>204060</v>
      </c>
      <c r="B139" s="93">
        <v>3491</v>
      </c>
      <c r="C139" s="93"/>
      <c r="D139" s="93"/>
      <c r="E139" s="868" t="s">
        <v>3058</v>
      </c>
      <c r="F139" s="868" t="s">
        <v>5129</v>
      </c>
      <c r="G139" s="37" t="s">
        <v>56</v>
      </c>
      <c r="H139" s="707">
        <f>IFERROR(VLOOKUP(A139,'Colar QL'!A:C,3,0),0)</f>
        <v>1</v>
      </c>
      <c r="I139" s="69">
        <f t="shared" si="13"/>
        <v>1</v>
      </c>
      <c r="J139" s="771">
        <f>'BD Temp'!E193</f>
        <v>1</v>
      </c>
      <c r="K139" s="590" t="str">
        <f t="shared" si="59"/>
        <v>47.0284.1.2.17.00.01.039.01.04.26.1</v>
      </c>
      <c r="L139" s="771" t="s">
        <v>1996</v>
      </c>
      <c r="M139" s="772">
        <f>'BD Temp'!F193</f>
        <v>0.59814858770472346</v>
      </c>
      <c r="N139" s="770">
        <f>'BD Temp'!J193</f>
        <v>0</v>
      </c>
      <c r="O139" s="592" t="str">
        <f t="shared" si="60"/>
        <v>47.0284.1.2.17.00.01.039.01.04.26.2</v>
      </c>
      <c r="P139" s="772" t="s">
        <v>1998</v>
      </c>
      <c r="Q139" s="772" t="str">
        <f>'BD Temp'!K193</f>
        <v>-</v>
      </c>
      <c r="R139" s="770">
        <f>'BD Temp'!O193</f>
        <v>0</v>
      </c>
      <c r="S139" s="592" t="str">
        <f t="shared" si="61"/>
        <v>47.0284.1.2.17.00.01.039.01.04.26.3</v>
      </c>
      <c r="T139" s="772" t="s">
        <v>2000</v>
      </c>
      <c r="U139" s="772" t="str">
        <f>'BD Temp'!P193</f>
        <v>-</v>
      </c>
      <c r="V139" s="869"/>
      <c r="W139" s="869"/>
      <c r="X139" s="869"/>
      <c r="Y139" s="745"/>
      <c r="Z139" s="771">
        <v>0</v>
      </c>
      <c r="AA139" s="592" t="str">
        <f t="shared" si="62"/>
        <v>47.0284.1.2.17.00.01.039.01.04.26.1</v>
      </c>
      <c r="AB139" s="772" t="s">
        <v>1996</v>
      </c>
      <c r="AC139" s="770">
        <v>0</v>
      </c>
      <c r="AD139" s="592" t="str">
        <f t="shared" si="63"/>
        <v>47.0284.1.2.17.00.01.039.01.04.26.2</v>
      </c>
      <c r="AE139" s="772" t="s">
        <v>1998</v>
      </c>
      <c r="AF139" s="770">
        <v>0</v>
      </c>
      <c r="AG139" s="592" t="str">
        <f t="shared" si="64"/>
        <v>47.0284.1.2.17.00.01.039.01.04.26.3</v>
      </c>
      <c r="AH139" s="772" t="s">
        <v>2000</v>
      </c>
      <c r="AI139" s="158"/>
    </row>
    <row r="140" spans="1:35" ht="15" hidden="1" customHeight="1" outlineLevel="3">
      <c r="A140" s="93">
        <v>204065</v>
      </c>
      <c r="B140" s="93">
        <v>3491</v>
      </c>
      <c r="C140" s="93"/>
      <c r="D140" s="93"/>
      <c r="E140" s="868" t="s">
        <v>3058</v>
      </c>
      <c r="F140" s="868" t="s">
        <v>5129</v>
      </c>
      <c r="G140" s="37" t="s">
        <v>57</v>
      </c>
      <c r="H140" s="707">
        <f>IFERROR(VLOOKUP(A140,'Colar QL'!A:C,3,0),0)</f>
        <v>0</v>
      </c>
      <c r="I140" s="69">
        <f t="shared" si="13"/>
        <v>0</v>
      </c>
      <c r="J140" s="771">
        <f>'BD Temp'!E196</f>
        <v>0</v>
      </c>
      <c r="K140" s="590" t="str">
        <f t="shared" si="59"/>
        <v>47.0284.1.2.17.00.01.039.01.04.26.1</v>
      </c>
      <c r="L140" s="771" t="s">
        <v>1996</v>
      </c>
      <c r="M140" s="772" t="str">
        <f>'BD Temp'!F196</f>
        <v>-</v>
      </c>
      <c r="N140" s="770">
        <f>'BD Temp'!J196</f>
        <v>0</v>
      </c>
      <c r="O140" s="592" t="str">
        <f t="shared" si="60"/>
        <v>47.0284.1.2.17.00.01.039.01.04.26.2</v>
      </c>
      <c r="P140" s="772" t="s">
        <v>1998</v>
      </c>
      <c r="Q140" s="772" t="str">
        <f>'BD Temp'!K196</f>
        <v>-</v>
      </c>
      <c r="R140" s="770">
        <f>'BD Temp'!O196</f>
        <v>0</v>
      </c>
      <c r="S140" s="592" t="str">
        <f t="shared" si="61"/>
        <v>47.0284.1.2.17.00.01.039.01.04.26.3</v>
      </c>
      <c r="T140" s="772" t="s">
        <v>2000</v>
      </c>
      <c r="U140" s="772" t="str">
        <f>'BD Temp'!P196</f>
        <v>-</v>
      </c>
      <c r="V140" s="869"/>
      <c r="W140" s="869"/>
      <c r="X140" s="869"/>
      <c r="Y140" s="745"/>
      <c r="Z140" s="771">
        <v>0</v>
      </c>
      <c r="AA140" s="592" t="str">
        <f t="shared" si="62"/>
        <v>47.0284.1.2.17.00.01.039.01.04.26.1</v>
      </c>
      <c r="AB140" s="772" t="s">
        <v>1996</v>
      </c>
      <c r="AC140" s="770">
        <v>0</v>
      </c>
      <c r="AD140" s="592" t="str">
        <f t="shared" si="63"/>
        <v>47.0284.1.2.17.00.01.039.01.04.26.2</v>
      </c>
      <c r="AE140" s="772" t="s">
        <v>1998</v>
      </c>
      <c r="AF140" s="770">
        <v>0</v>
      </c>
      <c r="AG140" s="592" t="str">
        <f t="shared" si="64"/>
        <v>47.0284.1.2.17.00.01.039.01.04.26.3</v>
      </c>
      <c r="AH140" s="772" t="s">
        <v>2000</v>
      </c>
      <c r="AI140" s="158"/>
    </row>
    <row r="141" spans="1:35" ht="15" hidden="1" customHeight="1" outlineLevel="3">
      <c r="A141" s="93">
        <v>204070</v>
      </c>
      <c r="B141" s="93">
        <v>3491</v>
      </c>
      <c r="C141" s="93"/>
      <c r="D141" s="93"/>
      <c r="E141" s="868" t="s">
        <v>3058</v>
      </c>
      <c r="F141" s="868" t="s">
        <v>5129</v>
      </c>
      <c r="G141" s="154" t="s">
        <v>194</v>
      </c>
      <c r="H141" s="707">
        <f>IFERROR(VLOOKUP(A141,'Colar QL'!A:C,3,0),0)</f>
        <v>0</v>
      </c>
      <c r="I141" s="69">
        <f t="shared" si="13"/>
        <v>0</v>
      </c>
      <c r="J141" s="771">
        <f>'BD Temp'!E197</f>
        <v>0</v>
      </c>
      <c r="K141" s="590" t="str">
        <f t="shared" si="59"/>
        <v>47.0284.1.2.17.00.01.039.01.04.26.1</v>
      </c>
      <c r="L141" s="771" t="s">
        <v>1996</v>
      </c>
      <c r="M141" s="772" t="str">
        <f>'BD Temp'!F197</f>
        <v>-</v>
      </c>
      <c r="N141" s="770">
        <f>'BD Temp'!J197</f>
        <v>0</v>
      </c>
      <c r="O141" s="592" t="str">
        <f t="shared" si="60"/>
        <v>47.0284.1.2.17.00.01.039.01.04.26.2</v>
      </c>
      <c r="P141" s="772" t="s">
        <v>1998</v>
      </c>
      <c r="Q141" s="772" t="str">
        <f>'BD Temp'!K197</f>
        <v>-</v>
      </c>
      <c r="R141" s="770">
        <f>'BD Temp'!O197</f>
        <v>0</v>
      </c>
      <c r="S141" s="592" t="str">
        <f t="shared" si="61"/>
        <v>47.0284.1.2.17.00.01.039.01.04.26.3</v>
      </c>
      <c r="T141" s="772" t="s">
        <v>2000</v>
      </c>
      <c r="U141" s="772" t="str">
        <f>'BD Temp'!P197</f>
        <v>-</v>
      </c>
      <c r="V141" s="869"/>
      <c r="W141" s="869"/>
      <c r="X141" s="869"/>
      <c r="Y141" s="745"/>
      <c r="Z141" s="771">
        <v>0</v>
      </c>
      <c r="AA141" s="592" t="str">
        <f t="shared" si="62"/>
        <v>47.0284.1.2.17.00.01.039.01.04.26.1</v>
      </c>
      <c r="AB141" s="772" t="s">
        <v>1996</v>
      </c>
      <c r="AC141" s="770">
        <v>0</v>
      </c>
      <c r="AD141" s="592" t="str">
        <f t="shared" si="63"/>
        <v>47.0284.1.2.17.00.01.039.01.04.26.2</v>
      </c>
      <c r="AE141" s="772" t="s">
        <v>1998</v>
      </c>
      <c r="AF141" s="770">
        <v>0</v>
      </c>
      <c r="AG141" s="592" t="str">
        <f t="shared" si="64"/>
        <v>47.0284.1.2.17.00.01.039.01.04.26.3</v>
      </c>
      <c r="AH141" s="772" t="s">
        <v>2000</v>
      </c>
      <c r="AI141" s="158"/>
    </row>
    <row r="142" spans="1:35" s="26" customFormat="1" ht="15" hidden="1" customHeight="1" outlineLevel="3">
      <c r="A142" s="93">
        <v>204075</v>
      </c>
      <c r="B142" s="93">
        <v>3491</v>
      </c>
      <c r="C142" s="93"/>
      <c r="D142" s="93"/>
      <c r="E142" s="868" t="s">
        <v>3058</v>
      </c>
      <c r="F142" s="868" t="s">
        <v>5129</v>
      </c>
      <c r="G142" s="37" t="s">
        <v>58</v>
      </c>
      <c r="H142" s="707">
        <f>IFERROR(VLOOKUP(A142,'Colar QL'!A:C,3,0),0)</f>
        <v>0</v>
      </c>
      <c r="I142" s="69">
        <f t="shared" si="13"/>
        <v>0</v>
      </c>
      <c r="J142" s="771">
        <f>'BD Temp'!E198</f>
        <v>0</v>
      </c>
      <c r="K142" s="590" t="str">
        <f t="shared" si="59"/>
        <v>47.0284.1.2.17.00.01.039.01.04.26.1</v>
      </c>
      <c r="L142" s="771" t="s">
        <v>1996</v>
      </c>
      <c r="M142" s="772" t="str">
        <f>'BD Temp'!F198</f>
        <v>-</v>
      </c>
      <c r="N142" s="770">
        <f>'BD Temp'!J198</f>
        <v>0</v>
      </c>
      <c r="O142" s="592" t="str">
        <f t="shared" si="60"/>
        <v>47.0284.1.2.17.00.01.039.01.04.26.2</v>
      </c>
      <c r="P142" s="772" t="s">
        <v>1998</v>
      </c>
      <c r="Q142" s="772" t="str">
        <f>'BD Temp'!K198</f>
        <v>-</v>
      </c>
      <c r="R142" s="770">
        <f>'BD Temp'!O198</f>
        <v>0</v>
      </c>
      <c r="S142" s="592" t="str">
        <f t="shared" si="61"/>
        <v>47.0284.1.2.17.00.01.039.01.04.26.3</v>
      </c>
      <c r="T142" s="772" t="s">
        <v>2000</v>
      </c>
      <c r="U142" s="772" t="str">
        <f>'BD Temp'!P198</f>
        <v>-</v>
      </c>
      <c r="V142" s="869"/>
      <c r="W142" s="869"/>
      <c r="X142" s="869"/>
      <c r="Y142" s="745"/>
      <c r="Z142" s="771">
        <v>0</v>
      </c>
      <c r="AA142" s="592" t="str">
        <f t="shared" si="62"/>
        <v>47.0284.1.2.17.00.01.039.01.04.26.1</v>
      </c>
      <c r="AB142" s="772" t="s">
        <v>1996</v>
      </c>
      <c r="AC142" s="770">
        <v>0</v>
      </c>
      <c r="AD142" s="592" t="str">
        <f t="shared" si="63"/>
        <v>47.0284.1.2.17.00.01.039.01.04.26.2</v>
      </c>
      <c r="AE142" s="772" t="s">
        <v>1998</v>
      </c>
      <c r="AF142" s="770">
        <v>0</v>
      </c>
      <c r="AG142" s="592" t="str">
        <f t="shared" si="64"/>
        <v>47.0284.1.2.17.00.01.039.01.04.26.3</v>
      </c>
      <c r="AH142" s="772" t="s">
        <v>2000</v>
      </c>
      <c r="AI142" s="158"/>
    </row>
    <row r="143" spans="1:35" ht="15" hidden="1" customHeight="1" outlineLevel="3">
      <c r="A143" s="93">
        <v>204080</v>
      </c>
      <c r="B143" s="93">
        <v>3491</v>
      </c>
      <c r="C143" s="93"/>
      <c r="D143" s="93"/>
      <c r="E143" s="868" t="s">
        <v>3059</v>
      </c>
      <c r="F143" s="868" t="s">
        <v>5130</v>
      </c>
      <c r="G143" s="37" t="s">
        <v>40</v>
      </c>
      <c r="H143" s="707">
        <f>IFERROR(VLOOKUP(A143,'Colar QL'!A:C,3,0),0)</f>
        <v>0</v>
      </c>
      <c r="I143" s="69">
        <f t="shared" si="13"/>
        <v>0</v>
      </c>
      <c r="J143" s="771">
        <f>'BD Temp'!E199</f>
        <v>0</v>
      </c>
      <c r="K143" s="590" t="str">
        <f t="shared" si="59"/>
        <v>47.0284.1.2.17.00.01.039.01.04.21.1</v>
      </c>
      <c r="L143" s="771" t="s">
        <v>1996</v>
      </c>
      <c r="M143" s="772" t="str">
        <f>'BD Temp'!F199</f>
        <v>-</v>
      </c>
      <c r="N143" s="770">
        <f>'BD Temp'!J199</f>
        <v>0</v>
      </c>
      <c r="O143" s="592" t="str">
        <f t="shared" si="60"/>
        <v>47.0284.1.2.17.00.01.039.01.04.21.2</v>
      </c>
      <c r="P143" s="772" t="s">
        <v>1998</v>
      </c>
      <c r="Q143" s="772" t="str">
        <f>'BD Temp'!K199</f>
        <v>-</v>
      </c>
      <c r="R143" s="770">
        <f>'BD Temp'!O199</f>
        <v>0</v>
      </c>
      <c r="S143" s="592" t="str">
        <f t="shared" si="61"/>
        <v>47.0284.1.2.17.00.01.039.01.04.21.3</v>
      </c>
      <c r="T143" s="772" t="s">
        <v>2000</v>
      </c>
      <c r="U143" s="772" t="str">
        <f>'BD Temp'!P199</f>
        <v>-</v>
      </c>
      <c r="V143" s="869"/>
      <c r="W143" s="869"/>
      <c r="X143" s="869"/>
      <c r="Y143" s="745"/>
      <c r="Z143" s="771">
        <v>0</v>
      </c>
      <c r="AA143" s="592" t="str">
        <f t="shared" si="62"/>
        <v>47.0284.1.2.17.00.01.039.01.04.21.1</v>
      </c>
      <c r="AB143" s="772" t="s">
        <v>1996</v>
      </c>
      <c r="AC143" s="770">
        <v>0</v>
      </c>
      <c r="AD143" s="592" t="str">
        <f t="shared" si="63"/>
        <v>47.0284.1.2.17.00.01.039.01.04.21.2</v>
      </c>
      <c r="AE143" s="772" t="s">
        <v>1998</v>
      </c>
      <c r="AF143" s="770">
        <v>0</v>
      </c>
      <c r="AG143" s="592" t="str">
        <f t="shared" si="64"/>
        <v>47.0284.1.2.17.00.01.039.01.04.21.3</v>
      </c>
      <c r="AH143" s="772" t="s">
        <v>2000</v>
      </c>
      <c r="AI143" s="158"/>
    </row>
    <row r="144" spans="1:35" ht="15" hidden="1" customHeight="1" outlineLevel="3">
      <c r="A144" s="93">
        <v>204085</v>
      </c>
      <c r="B144" s="93">
        <v>3491</v>
      </c>
      <c r="C144" s="93"/>
      <c r="D144" s="93"/>
      <c r="E144" s="868" t="s">
        <v>3058</v>
      </c>
      <c r="F144" s="868" t="s">
        <v>5129</v>
      </c>
      <c r="G144" s="37" t="s">
        <v>592</v>
      </c>
      <c r="H144" s="707">
        <f>IFERROR(VLOOKUP(A144,'Colar QL'!A:C,3,0),0)</f>
        <v>0</v>
      </c>
      <c r="I144" s="69">
        <f t="shared" si="13"/>
        <v>0</v>
      </c>
      <c r="J144" s="771">
        <f>'BD Temp'!E200</f>
        <v>0</v>
      </c>
      <c r="K144" s="590" t="str">
        <f t="shared" si="59"/>
        <v>47.0284.1.2.17.00.01.039.01.04.26.1</v>
      </c>
      <c r="L144" s="771" t="s">
        <v>1996</v>
      </c>
      <c r="M144" s="772" t="str">
        <f>'BD Temp'!F200</f>
        <v>-</v>
      </c>
      <c r="N144" s="770">
        <f>'BD Temp'!J200</f>
        <v>0</v>
      </c>
      <c r="O144" s="592" t="str">
        <f t="shared" si="60"/>
        <v>47.0284.1.2.17.00.01.039.01.04.26.2</v>
      </c>
      <c r="P144" s="772" t="s">
        <v>1998</v>
      </c>
      <c r="Q144" s="772" t="str">
        <f>'BD Temp'!K200</f>
        <v>-</v>
      </c>
      <c r="R144" s="770">
        <f>'BD Temp'!O200</f>
        <v>0</v>
      </c>
      <c r="S144" s="592" t="str">
        <f t="shared" si="61"/>
        <v>47.0284.1.2.17.00.01.039.01.04.26.3</v>
      </c>
      <c r="T144" s="772" t="s">
        <v>2000</v>
      </c>
      <c r="U144" s="772" t="str">
        <f>'BD Temp'!P200</f>
        <v>-</v>
      </c>
      <c r="V144" s="869"/>
      <c r="W144" s="869"/>
      <c r="X144" s="869"/>
      <c r="Y144" s="745"/>
      <c r="Z144" s="771">
        <v>0</v>
      </c>
      <c r="AA144" s="592" t="str">
        <f t="shared" si="62"/>
        <v>47.0284.1.2.17.00.01.039.01.04.26.1</v>
      </c>
      <c r="AB144" s="772" t="s">
        <v>1996</v>
      </c>
      <c r="AC144" s="770">
        <v>0</v>
      </c>
      <c r="AD144" s="592" t="str">
        <f t="shared" si="63"/>
        <v>47.0284.1.2.17.00.01.039.01.04.26.2</v>
      </c>
      <c r="AE144" s="772" t="s">
        <v>1998</v>
      </c>
      <c r="AF144" s="770">
        <v>0</v>
      </c>
      <c r="AG144" s="592" t="str">
        <f t="shared" si="64"/>
        <v>47.0284.1.2.17.00.01.039.01.04.26.3</v>
      </c>
      <c r="AH144" s="772" t="s">
        <v>2000</v>
      </c>
      <c r="AI144" s="158"/>
    </row>
    <row r="145" spans="1:35" ht="15" hidden="1" customHeight="1" outlineLevel="3">
      <c r="A145" s="93">
        <v>204090</v>
      </c>
      <c r="B145" s="93">
        <v>3491</v>
      </c>
      <c r="C145" s="93"/>
      <c r="D145" s="93"/>
      <c r="E145" s="868" t="s">
        <v>3058</v>
      </c>
      <c r="F145" s="868" t="s">
        <v>5129</v>
      </c>
      <c r="G145" s="37" t="s">
        <v>59</v>
      </c>
      <c r="H145" s="707">
        <f>IFERROR(VLOOKUP(A145,'Colar QL'!A:C,3,0),0)</f>
        <v>0</v>
      </c>
      <c r="I145" s="69">
        <f t="shared" si="13"/>
        <v>0</v>
      </c>
      <c r="J145" s="771">
        <f>'BD Temp'!E201</f>
        <v>0</v>
      </c>
      <c r="K145" s="590" t="str">
        <f t="shared" si="59"/>
        <v>47.0284.1.2.17.00.01.039.01.04.26.1</v>
      </c>
      <c r="L145" s="771" t="s">
        <v>1996</v>
      </c>
      <c r="M145" s="772" t="str">
        <f>'BD Temp'!F201</f>
        <v>-</v>
      </c>
      <c r="N145" s="770">
        <f>'BD Temp'!J201</f>
        <v>0</v>
      </c>
      <c r="O145" s="592" t="str">
        <f t="shared" si="60"/>
        <v>47.0284.1.2.17.00.01.039.01.04.26.2</v>
      </c>
      <c r="P145" s="772" t="s">
        <v>1998</v>
      </c>
      <c r="Q145" s="772" t="str">
        <f>'BD Temp'!K201</f>
        <v>-</v>
      </c>
      <c r="R145" s="770">
        <f>'BD Temp'!O201</f>
        <v>0</v>
      </c>
      <c r="S145" s="592" t="str">
        <f t="shared" si="61"/>
        <v>47.0284.1.2.17.00.01.039.01.04.26.3</v>
      </c>
      <c r="T145" s="772" t="s">
        <v>2000</v>
      </c>
      <c r="U145" s="772" t="str">
        <f>'BD Temp'!P201</f>
        <v>-</v>
      </c>
      <c r="V145" s="869"/>
      <c r="W145" s="869"/>
      <c r="X145" s="869"/>
      <c r="Y145" s="745"/>
      <c r="Z145" s="771">
        <v>0</v>
      </c>
      <c r="AA145" s="592" t="str">
        <f t="shared" si="62"/>
        <v>47.0284.1.2.17.00.01.039.01.04.26.1</v>
      </c>
      <c r="AB145" s="772" t="s">
        <v>1996</v>
      </c>
      <c r="AC145" s="770">
        <v>0</v>
      </c>
      <c r="AD145" s="592" t="str">
        <f t="shared" si="63"/>
        <v>47.0284.1.2.17.00.01.039.01.04.26.2</v>
      </c>
      <c r="AE145" s="772" t="s">
        <v>1998</v>
      </c>
      <c r="AF145" s="770">
        <v>0</v>
      </c>
      <c r="AG145" s="592" t="str">
        <f t="shared" si="64"/>
        <v>47.0284.1.2.17.00.01.039.01.04.26.3</v>
      </c>
      <c r="AH145" s="772" t="s">
        <v>2000</v>
      </c>
      <c r="AI145" s="158"/>
    </row>
    <row r="146" spans="1:35" ht="15" hidden="1" customHeight="1" outlineLevel="3">
      <c r="A146" s="93">
        <v>204095</v>
      </c>
      <c r="B146" s="93">
        <v>3491</v>
      </c>
      <c r="C146" s="93"/>
      <c r="D146" s="93"/>
      <c r="E146" s="868" t="s">
        <v>3058</v>
      </c>
      <c r="F146" s="868" t="s">
        <v>5129</v>
      </c>
      <c r="G146" s="37" t="s">
        <v>593</v>
      </c>
      <c r="H146" s="707">
        <f>IFERROR(VLOOKUP(A146,'Colar QL'!A:C,3,0),0)</f>
        <v>0</v>
      </c>
      <c r="I146" s="69">
        <f t="shared" si="13"/>
        <v>0</v>
      </c>
      <c r="J146" s="771">
        <f>'BD Temp'!E202</f>
        <v>0</v>
      </c>
      <c r="K146" s="590" t="str">
        <f t="shared" si="59"/>
        <v>47.0284.1.2.17.00.01.039.01.04.26.1</v>
      </c>
      <c r="L146" s="771" t="s">
        <v>1996</v>
      </c>
      <c r="M146" s="772" t="str">
        <f>'BD Temp'!F202</f>
        <v>-</v>
      </c>
      <c r="N146" s="770">
        <f>'BD Temp'!J202</f>
        <v>0</v>
      </c>
      <c r="O146" s="592" t="str">
        <f t="shared" si="60"/>
        <v>47.0284.1.2.17.00.01.039.01.04.26.2</v>
      </c>
      <c r="P146" s="772" t="s">
        <v>1998</v>
      </c>
      <c r="Q146" s="772" t="str">
        <f>'BD Temp'!K202</f>
        <v>-</v>
      </c>
      <c r="R146" s="770">
        <f>'BD Temp'!O202</f>
        <v>0</v>
      </c>
      <c r="S146" s="592" t="str">
        <f t="shared" si="61"/>
        <v>47.0284.1.2.17.00.01.039.01.04.26.3</v>
      </c>
      <c r="T146" s="772" t="s">
        <v>2000</v>
      </c>
      <c r="U146" s="772" t="str">
        <f>'BD Temp'!P202</f>
        <v>-</v>
      </c>
      <c r="V146" s="869"/>
      <c r="W146" s="869"/>
      <c r="X146" s="869"/>
      <c r="Y146" s="745"/>
      <c r="Z146" s="771">
        <v>0</v>
      </c>
      <c r="AA146" s="592" t="str">
        <f t="shared" si="62"/>
        <v>47.0284.1.2.17.00.01.039.01.04.26.1</v>
      </c>
      <c r="AB146" s="772" t="s">
        <v>1996</v>
      </c>
      <c r="AC146" s="770">
        <v>0</v>
      </c>
      <c r="AD146" s="592" t="str">
        <f t="shared" si="63"/>
        <v>47.0284.1.2.17.00.01.039.01.04.26.2</v>
      </c>
      <c r="AE146" s="772" t="s">
        <v>1998</v>
      </c>
      <c r="AF146" s="770">
        <v>0</v>
      </c>
      <c r="AG146" s="592" t="str">
        <f t="shared" si="64"/>
        <v>47.0284.1.2.17.00.01.039.01.04.26.3</v>
      </c>
      <c r="AH146" s="772" t="s">
        <v>2000</v>
      </c>
      <c r="AI146" s="158"/>
    </row>
    <row r="147" spans="1:35" ht="15" hidden="1" customHeight="1" outlineLevel="3">
      <c r="A147" s="93">
        <v>204100</v>
      </c>
      <c r="B147" s="93">
        <v>3491</v>
      </c>
      <c r="C147" s="93"/>
      <c r="D147" s="93"/>
      <c r="E147" s="868" t="s">
        <v>3058</v>
      </c>
      <c r="F147" s="868" t="s">
        <v>5129</v>
      </c>
      <c r="G147" s="37" t="s">
        <v>139</v>
      </c>
      <c r="H147" s="707">
        <f>IFERROR(VLOOKUP(A147,'Colar QL'!A:C,3,0),0)</f>
        <v>0</v>
      </c>
      <c r="I147" s="69">
        <f t="shared" si="13"/>
        <v>0</v>
      </c>
      <c r="J147" s="771">
        <f>'BD Temp'!E203</f>
        <v>0</v>
      </c>
      <c r="K147" s="590" t="str">
        <f t="shared" si="59"/>
        <v>47.0284.1.2.17.00.01.039.01.04.26.1</v>
      </c>
      <c r="L147" s="771" t="s">
        <v>1996</v>
      </c>
      <c r="M147" s="772" t="str">
        <f>'BD Temp'!F203</f>
        <v>-</v>
      </c>
      <c r="N147" s="770">
        <f>'BD Temp'!J203</f>
        <v>0</v>
      </c>
      <c r="O147" s="592" t="str">
        <f t="shared" si="60"/>
        <v>47.0284.1.2.17.00.01.039.01.04.26.2</v>
      </c>
      <c r="P147" s="772" t="s">
        <v>1998</v>
      </c>
      <c r="Q147" s="772" t="str">
        <f>'BD Temp'!K203</f>
        <v>-</v>
      </c>
      <c r="R147" s="770">
        <f>'BD Temp'!O203</f>
        <v>0</v>
      </c>
      <c r="S147" s="592" t="str">
        <f t="shared" si="61"/>
        <v>47.0284.1.2.17.00.01.039.01.04.26.3</v>
      </c>
      <c r="T147" s="772" t="s">
        <v>2000</v>
      </c>
      <c r="U147" s="772" t="str">
        <f>'BD Temp'!P203</f>
        <v>-</v>
      </c>
      <c r="V147" s="869"/>
      <c r="W147" s="869"/>
      <c r="X147" s="869"/>
      <c r="Y147" s="745"/>
      <c r="Z147" s="771">
        <v>0</v>
      </c>
      <c r="AA147" s="592" t="str">
        <f t="shared" si="62"/>
        <v>47.0284.1.2.17.00.01.039.01.04.26.1</v>
      </c>
      <c r="AB147" s="772" t="s">
        <v>1996</v>
      </c>
      <c r="AC147" s="770">
        <v>0</v>
      </c>
      <c r="AD147" s="592" t="str">
        <f t="shared" si="63"/>
        <v>47.0284.1.2.17.00.01.039.01.04.26.2</v>
      </c>
      <c r="AE147" s="772" t="s">
        <v>1998</v>
      </c>
      <c r="AF147" s="770">
        <v>0</v>
      </c>
      <c r="AG147" s="592" t="str">
        <f t="shared" si="64"/>
        <v>47.0284.1.2.17.00.01.039.01.04.26.3</v>
      </c>
      <c r="AH147" s="772" t="s">
        <v>2000</v>
      </c>
      <c r="AI147" s="158"/>
    </row>
    <row r="148" spans="1:35" ht="15" hidden="1" customHeight="1" outlineLevel="3">
      <c r="A148" s="93">
        <v>204105</v>
      </c>
      <c r="B148" s="93">
        <v>3491</v>
      </c>
      <c r="C148" s="93"/>
      <c r="D148" s="93"/>
      <c r="E148" s="868" t="s">
        <v>3059</v>
      </c>
      <c r="F148" s="868" t="s">
        <v>5130</v>
      </c>
      <c r="G148" s="37" t="s">
        <v>594</v>
      </c>
      <c r="H148" s="707">
        <f>IFERROR(VLOOKUP(A148,'Colar QL'!A:C,3,0),0)</f>
        <v>0</v>
      </c>
      <c r="I148" s="69">
        <f t="shared" si="13"/>
        <v>0</v>
      </c>
      <c r="J148" s="771">
        <f>'BD Temp'!E204</f>
        <v>0</v>
      </c>
      <c r="K148" s="590" t="str">
        <f t="shared" si="59"/>
        <v>47.0284.1.2.17.00.01.039.01.04.21.1</v>
      </c>
      <c r="L148" s="771" t="s">
        <v>1996</v>
      </c>
      <c r="M148" s="772" t="str">
        <f>'BD Temp'!F204</f>
        <v>-</v>
      </c>
      <c r="N148" s="770">
        <f>'BD Temp'!J204</f>
        <v>0</v>
      </c>
      <c r="O148" s="592" t="str">
        <f t="shared" si="60"/>
        <v>47.0284.1.2.17.00.01.039.01.04.21.2</v>
      </c>
      <c r="P148" s="772" t="s">
        <v>1998</v>
      </c>
      <c r="Q148" s="772" t="str">
        <f>'BD Temp'!K204</f>
        <v>-</v>
      </c>
      <c r="R148" s="770">
        <f>'BD Temp'!O204</f>
        <v>0</v>
      </c>
      <c r="S148" s="592" t="str">
        <f t="shared" si="61"/>
        <v>47.0284.1.2.17.00.01.039.01.04.21.3</v>
      </c>
      <c r="T148" s="772" t="s">
        <v>2000</v>
      </c>
      <c r="U148" s="772" t="str">
        <f>'BD Temp'!P204</f>
        <v>-</v>
      </c>
      <c r="V148" s="869"/>
      <c r="W148" s="869"/>
      <c r="X148" s="869"/>
      <c r="Y148" s="745"/>
      <c r="Z148" s="771">
        <v>0</v>
      </c>
      <c r="AA148" s="592" t="str">
        <f t="shared" si="62"/>
        <v>47.0284.1.2.17.00.01.039.01.04.21.1</v>
      </c>
      <c r="AB148" s="772" t="s">
        <v>1996</v>
      </c>
      <c r="AC148" s="770">
        <v>0</v>
      </c>
      <c r="AD148" s="592" t="str">
        <f t="shared" si="63"/>
        <v>47.0284.1.2.17.00.01.039.01.04.21.2</v>
      </c>
      <c r="AE148" s="772" t="s">
        <v>1998</v>
      </c>
      <c r="AF148" s="770">
        <v>0</v>
      </c>
      <c r="AG148" s="592" t="str">
        <f t="shared" si="64"/>
        <v>47.0284.1.2.17.00.01.039.01.04.21.3</v>
      </c>
      <c r="AH148" s="772" t="s">
        <v>2000</v>
      </c>
      <c r="AI148" s="158"/>
    </row>
    <row r="149" spans="1:35" ht="15" hidden="1" customHeight="1" outlineLevel="3">
      <c r="A149" s="93">
        <v>20</v>
      </c>
      <c r="B149" s="93">
        <v>3491</v>
      </c>
      <c r="C149" s="93"/>
      <c r="D149" s="93"/>
      <c r="E149" s="868" t="s">
        <v>2890</v>
      </c>
      <c r="F149" s="868" t="s">
        <v>5131</v>
      </c>
      <c r="G149" s="37" t="s">
        <v>13</v>
      </c>
      <c r="H149" s="707">
        <f>IFERROR(VLOOKUP(A149,'Colar QL'!A:C,3,0),0)</f>
        <v>1</v>
      </c>
      <c r="I149" s="69">
        <f t="shared" ref="I149:I212" si="65">IFERROR((J149+N149+R149),0)</f>
        <v>1</v>
      </c>
      <c r="J149" s="771">
        <f>'BD Temp'!E205</f>
        <v>1</v>
      </c>
      <c r="K149" s="590" t="str">
        <f t="shared" si="59"/>
        <v>47.0284.1.2.17.00.01.039.01.04.24.1</v>
      </c>
      <c r="L149" s="771" t="s">
        <v>1996</v>
      </c>
      <c r="M149" s="772">
        <f>'BD Temp'!F205</f>
        <v>0.14666666666666667</v>
      </c>
      <c r="N149" s="770">
        <f>'BD Temp'!J205</f>
        <v>0</v>
      </c>
      <c r="O149" s="592" t="str">
        <f t="shared" si="60"/>
        <v>47.0284.1.2.17.00.01.039.01.04.24.2</v>
      </c>
      <c r="P149" s="772" t="s">
        <v>1998</v>
      </c>
      <c r="Q149" s="772" t="str">
        <f>'BD Temp'!K205</f>
        <v>-</v>
      </c>
      <c r="R149" s="770">
        <f>'BD Temp'!O205</f>
        <v>0</v>
      </c>
      <c r="S149" s="592" t="str">
        <f t="shared" si="61"/>
        <v>47.0284.1.2.17.00.01.039.01.04.24.3</v>
      </c>
      <c r="T149" s="772" t="s">
        <v>2000</v>
      </c>
      <c r="U149" s="772" t="str">
        <f>'BD Temp'!P205</f>
        <v>-</v>
      </c>
      <c r="V149" s="869"/>
      <c r="W149" s="869"/>
      <c r="X149" s="869" t="s">
        <v>5375</v>
      </c>
      <c r="Y149" s="745"/>
      <c r="Z149" s="771">
        <v>0</v>
      </c>
      <c r="AA149" s="592" t="str">
        <f t="shared" si="62"/>
        <v>47.0284.1.2.17.00.01.039.01.04.24.1</v>
      </c>
      <c r="AB149" s="772" t="s">
        <v>1996</v>
      </c>
      <c r="AC149" s="770">
        <v>0</v>
      </c>
      <c r="AD149" s="592" t="str">
        <f t="shared" si="63"/>
        <v>47.0284.1.2.17.00.01.039.01.04.24.2</v>
      </c>
      <c r="AE149" s="772" t="s">
        <v>1998</v>
      </c>
      <c r="AF149" s="770">
        <v>0</v>
      </c>
      <c r="AG149" s="592" t="str">
        <f t="shared" si="64"/>
        <v>47.0284.1.2.17.00.01.039.01.04.24.3</v>
      </c>
      <c r="AH149" s="772" t="s">
        <v>2000</v>
      </c>
      <c r="AI149" s="158"/>
    </row>
    <row r="150" spans="1:35" ht="15" hidden="1" customHeight="1" outlineLevel="3">
      <c r="A150" s="93">
        <v>21</v>
      </c>
      <c r="B150" s="93">
        <v>3491</v>
      </c>
      <c r="C150" s="93"/>
      <c r="D150" s="93"/>
      <c r="E150" s="868" t="s">
        <v>3057</v>
      </c>
      <c r="F150" s="868" t="s">
        <v>5119</v>
      </c>
      <c r="G150" s="37" t="s">
        <v>3116</v>
      </c>
      <c r="H150" s="707">
        <f>IFERROR(VLOOKUP(A150,'Colar QL'!A:C,3,0),0)</f>
        <v>1</v>
      </c>
      <c r="I150" s="69">
        <f t="shared" si="65"/>
        <v>1</v>
      </c>
      <c r="J150" s="771">
        <f>'BD Temp'!E206</f>
        <v>1</v>
      </c>
      <c r="K150" s="590" t="str">
        <f t="shared" si="59"/>
        <v>47.0284.1.2.17.00.01.039.01.02.21.1</v>
      </c>
      <c r="L150" s="771" t="s">
        <v>1996</v>
      </c>
      <c r="M150" s="772">
        <f>'BD Temp'!F206</f>
        <v>0.27999999999999997</v>
      </c>
      <c r="N150" s="770">
        <f>'BD Temp'!J206</f>
        <v>0</v>
      </c>
      <c r="O150" s="592" t="str">
        <f t="shared" si="60"/>
        <v>47.0284.1.2.17.00.01.039.01.02.21.2</v>
      </c>
      <c r="P150" s="772" t="s">
        <v>1998</v>
      </c>
      <c r="Q150" s="772" t="str">
        <f>'BD Temp'!K206</f>
        <v>-</v>
      </c>
      <c r="R150" s="770">
        <f>'BD Temp'!O206</f>
        <v>0</v>
      </c>
      <c r="S150" s="592" t="str">
        <f t="shared" si="61"/>
        <v>47.0284.1.2.17.00.01.039.01.02.21.3</v>
      </c>
      <c r="T150" s="772" t="s">
        <v>2000</v>
      </c>
      <c r="U150" s="772" t="str">
        <f>'BD Temp'!P206</f>
        <v>-</v>
      </c>
      <c r="V150" s="869"/>
      <c r="W150" s="869"/>
      <c r="X150" s="869"/>
      <c r="Y150" s="745"/>
      <c r="Z150" s="771">
        <v>0</v>
      </c>
      <c r="AA150" s="592" t="str">
        <f t="shared" si="62"/>
        <v>47.0284.1.2.17.00.01.039.01.02.21.1</v>
      </c>
      <c r="AB150" s="772" t="s">
        <v>1996</v>
      </c>
      <c r="AC150" s="770">
        <v>0</v>
      </c>
      <c r="AD150" s="592" t="str">
        <f t="shared" si="63"/>
        <v>47.0284.1.2.17.00.01.039.01.02.21.2</v>
      </c>
      <c r="AE150" s="772" t="s">
        <v>1998</v>
      </c>
      <c r="AF150" s="770">
        <v>0</v>
      </c>
      <c r="AG150" s="592" t="str">
        <f t="shared" si="64"/>
        <v>47.0284.1.2.17.00.01.039.01.02.21.3</v>
      </c>
      <c r="AH150" s="772" t="s">
        <v>2000</v>
      </c>
      <c r="AI150" s="158"/>
    </row>
    <row r="151" spans="1:35" ht="15" hidden="1" customHeight="1" outlineLevel="3">
      <c r="A151" s="93">
        <v>22</v>
      </c>
      <c r="B151" s="93">
        <v>3491</v>
      </c>
      <c r="C151" s="93"/>
      <c r="D151" s="93"/>
      <c r="E151" s="868" t="s">
        <v>2891</v>
      </c>
      <c r="F151" s="868" t="s">
        <v>5132</v>
      </c>
      <c r="G151" s="37" t="s">
        <v>16</v>
      </c>
      <c r="H151" s="707">
        <f>IFERROR(VLOOKUP(A151,'Colar QL'!A:C,3,0),0)</f>
        <v>0</v>
      </c>
      <c r="I151" s="69">
        <f t="shared" si="65"/>
        <v>0</v>
      </c>
      <c r="J151" s="771">
        <v>0</v>
      </c>
      <c r="K151" s="590" t="str">
        <f t="shared" si="59"/>
        <v>47.0284.1.2.17.00.01.039.01.04.25.1</v>
      </c>
      <c r="L151" s="771" t="s">
        <v>1996</v>
      </c>
      <c r="M151" s="772" t="str">
        <f>'BD Temp'!F207</f>
        <v>-</v>
      </c>
      <c r="N151" s="770">
        <f>'BD Temp'!J207</f>
        <v>0</v>
      </c>
      <c r="O151" s="592" t="str">
        <f t="shared" si="60"/>
        <v>47.0284.1.2.17.00.01.039.01.04.25.2</v>
      </c>
      <c r="P151" s="772" t="s">
        <v>1998</v>
      </c>
      <c r="Q151" s="772" t="str">
        <f>'BD Temp'!K207</f>
        <v>-</v>
      </c>
      <c r="R151" s="770">
        <f>'BD Temp'!O207</f>
        <v>0</v>
      </c>
      <c r="S151" s="592" t="str">
        <f t="shared" si="61"/>
        <v>47.0284.1.2.17.00.01.039.01.04.25.3</v>
      </c>
      <c r="T151" s="772" t="s">
        <v>2000</v>
      </c>
      <c r="U151" s="772" t="str">
        <f>'BD Temp'!P207</f>
        <v>-</v>
      </c>
      <c r="V151" s="869"/>
      <c r="W151" s="869"/>
      <c r="X151" s="869"/>
      <c r="Y151" s="745"/>
      <c r="Z151" s="771">
        <v>0</v>
      </c>
      <c r="AA151" s="592" t="str">
        <f t="shared" si="62"/>
        <v>47.0284.1.2.17.00.01.039.01.04.25.1</v>
      </c>
      <c r="AB151" s="772" t="s">
        <v>1996</v>
      </c>
      <c r="AC151" s="770">
        <v>0</v>
      </c>
      <c r="AD151" s="592" t="str">
        <f t="shared" si="63"/>
        <v>47.0284.1.2.17.00.01.039.01.04.25.2</v>
      </c>
      <c r="AE151" s="772" t="s">
        <v>1998</v>
      </c>
      <c r="AF151" s="770">
        <v>0</v>
      </c>
      <c r="AG151" s="592" t="str">
        <f t="shared" si="64"/>
        <v>47.0284.1.2.17.00.01.039.01.04.25.3</v>
      </c>
      <c r="AH151" s="772" t="s">
        <v>2000</v>
      </c>
      <c r="AI151" s="158"/>
    </row>
    <row r="152" spans="1:35" ht="15" hidden="1" customHeight="1" outlineLevel="3">
      <c r="A152" s="93">
        <v>23</v>
      </c>
      <c r="B152" s="93">
        <v>3491</v>
      </c>
      <c r="C152" s="93"/>
      <c r="D152" s="93"/>
      <c r="E152" s="868" t="s">
        <v>3058</v>
      </c>
      <c r="F152" s="868" t="s">
        <v>5129</v>
      </c>
      <c r="G152" s="37" t="s">
        <v>15</v>
      </c>
      <c r="H152" s="707">
        <f>IFERROR(VLOOKUP(A152,'Colar QL'!A:C,3,0),0)</f>
        <v>0</v>
      </c>
      <c r="I152" s="69">
        <f t="shared" si="65"/>
        <v>0</v>
      </c>
      <c r="J152" s="771">
        <f>'BD Temp'!E208</f>
        <v>0</v>
      </c>
      <c r="K152" s="590" t="str">
        <f t="shared" si="59"/>
        <v>47.0284.1.2.17.00.01.039.01.04.26.1</v>
      </c>
      <c r="L152" s="771" t="s">
        <v>1996</v>
      </c>
      <c r="M152" s="772" t="str">
        <f>'BD Temp'!F208</f>
        <v>-</v>
      </c>
      <c r="N152" s="770">
        <f>'BD Temp'!J208</f>
        <v>0</v>
      </c>
      <c r="O152" s="592" t="str">
        <f t="shared" si="60"/>
        <v>47.0284.1.2.17.00.01.039.01.04.26.2</v>
      </c>
      <c r="P152" s="772" t="s">
        <v>1998</v>
      </c>
      <c r="Q152" s="772" t="str">
        <f>'BD Temp'!K208</f>
        <v>-</v>
      </c>
      <c r="R152" s="770">
        <f>'BD Temp'!O208</f>
        <v>0</v>
      </c>
      <c r="S152" s="592" t="str">
        <f t="shared" si="61"/>
        <v>47.0284.1.2.17.00.01.039.01.04.26.3</v>
      </c>
      <c r="T152" s="772" t="s">
        <v>2000</v>
      </c>
      <c r="U152" s="772" t="str">
        <f>'BD Temp'!P208</f>
        <v>-</v>
      </c>
      <c r="V152" s="869"/>
      <c r="W152" s="869"/>
      <c r="X152" s="869"/>
      <c r="Y152" s="745"/>
      <c r="Z152" s="771">
        <v>0</v>
      </c>
      <c r="AA152" s="592" t="str">
        <f t="shared" si="62"/>
        <v>47.0284.1.2.17.00.01.039.01.04.26.1</v>
      </c>
      <c r="AB152" s="772" t="s">
        <v>1996</v>
      </c>
      <c r="AC152" s="770">
        <v>0</v>
      </c>
      <c r="AD152" s="592" t="str">
        <f t="shared" si="63"/>
        <v>47.0284.1.2.17.00.01.039.01.04.26.2</v>
      </c>
      <c r="AE152" s="772" t="s">
        <v>1998</v>
      </c>
      <c r="AF152" s="770">
        <v>0</v>
      </c>
      <c r="AG152" s="592" t="str">
        <f t="shared" si="64"/>
        <v>47.0284.1.2.17.00.01.039.01.04.26.3</v>
      </c>
      <c r="AH152" s="772" t="s">
        <v>2000</v>
      </c>
      <c r="AI152" s="158"/>
    </row>
    <row r="153" spans="1:35" ht="15" hidden="1" customHeight="1" outlineLevel="3">
      <c r="A153" s="93"/>
      <c r="B153" s="93" t="s">
        <v>1075</v>
      </c>
      <c r="C153" s="93"/>
      <c r="D153" s="93"/>
      <c r="E153" s="868"/>
      <c r="F153" s="868"/>
      <c r="G153" s="37"/>
      <c r="H153" s="707"/>
      <c r="I153" s="69">
        <f t="shared" si="65"/>
        <v>0</v>
      </c>
      <c r="J153" s="771"/>
      <c r="K153" s="590" t="str">
        <f t="shared" si="59"/>
        <v>.1</v>
      </c>
      <c r="L153" s="771" t="s">
        <v>1996</v>
      </c>
      <c r="M153" s="772"/>
      <c r="N153" s="770"/>
      <c r="O153" s="592" t="str">
        <f t="shared" si="60"/>
        <v>.2</v>
      </c>
      <c r="P153" s="772" t="s">
        <v>1998</v>
      </c>
      <c r="Q153" s="772"/>
      <c r="R153" s="770"/>
      <c r="S153" s="592" t="str">
        <f t="shared" si="61"/>
        <v>.3</v>
      </c>
      <c r="T153" s="772" t="s">
        <v>2000</v>
      </c>
      <c r="U153" s="772"/>
      <c r="V153" s="869"/>
      <c r="W153" s="869"/>
      <c r="X153" s="869"/>
      <c r="Y153" s="745"/>
      <c r="Z153" s="771">
        <v>0</v>
      </c>
      <c r="AA153" s="592" t="str">
        <f t="shared" si="62"/>
        <v>.1</v>
      </c>
      <c r="AB153" s="772" t="s">
        <v>1996</v>
      </c>
      <c r="AC153" s="770">
        <v>0</v>
      </c>
      <c r="AD153" s="592" t="str">
        <f t="shared" si="63"/>
        <v>.2</v>
      </c>
      <c r="AE153" s="772" t="s">
        <v>1998</v>
      </c>
      <c r="AF153" s="770">
        <v>0</v>
      </c>
      <c r="AG153" s="592" t="str">
        <f t="shared" si="64"/>
        <v>.3</v>
      </c>
      <c r="AH153" s="772" t="s">
        <v>2000</v>
      </c>
      <c r="AI153" s="158"/>
    </row>
    <row r="154" spans="1:35" ht="15" hidden="1" customHeight="1" outlineLevel="3">
      <c r="A154" s="99"/>
      <c r="B154" s="99" t="s">
        <v>1075</v>
      </c>
      <c r="C154" s="99"/>
      <c r="D154" s="99"/>
      <c r="E154" s="901"/>
      <c r="F154" s="901"/>
      <c r="G154" s="39" t="s">
        <v>723</v>
      </c>
      <c r="H154" s="707"/>
      <c r="I154" s="69">
        <f t="shared" si="65"/>
        <v>0</v>
      </c>
      <c r="J154" s="771"/>
      <c r="K154" s="590" t="str">
        <f t="shared" si="59"/>
        <v>.1</v>
      </c>
      <c r="L154" s="771" t="s">
        <v>1996</v>
      </c>
      <c r="M154" s="772"/>
      <c r="N154" s="770"/>
      <c r="O154" s="592" t="str">
        <f t="shared" si="60"/>
        <v>.2</v>
      </c>
      <c r="P154" s="772" t="s">
        <v>1998</v>
      </c>
      <c r="Q154" s="772"/>
      <c r="R154" s="770"/>
      <c r="S154" s="592" t="str">
        <f t="shared" si="61"/>
        <v>.3</v>
      </c>
      <c r="T154" s="772" t="s">
        <v>2000</v>
      </c>
      <c r="U154" s="772"/>
      <c r="V154" s="869"/>
      <c r="W154" s="869"/>
      <c r="X154" s="869"/>
      <c r="Y154" s="745"/>
      <c r="Z154" s="771">
        <v>0</v>
      </c>
      <c r="AA154" s="592" t="str">
        <f t="shared" si="62"/>
        <v>.1</v>
      </c>
      <c r="AB154" s="772" t="s">
        <v>1996</v>
      </c>
      <c r="AC154" s="770">
        <v>0</v>
      </c>
      <c r="AD154" s="592" t="str">
        <f t="shared" si="63"/>
        <v>.2</v>
      </c>
      <c r="AE154" s="772" t="s">
        <v>1998</v>
      </c>
      <c r="AF154" s="770">
        <v>0</v>
      </c>
      <c r="AG154" s="592" t="str">
        <f t="shared" si="64"/>
        <v>.3</v>
      </c>
      <c r="AH154" s="772" t="s">
        <v>2000</v>
      </c>
      <c r="AI154" s="158"/>
    </row>
    <row r="155" spans="1:35" ht="15" hidden="1" customHeight="1" outlineLevel="3">
      <c r="A155" s="93"/>
      <c r="B155" s="93" t="s">
        <v>1075</v>
      </c>
      <c r="C155" s="93"/>
      <c r="D155" s="93"/>
      <c r="E155" s="868"/>
      <c r="F155" s="868"/>
      <c r="G155" s="37"/>
      <c r="H155" s="707"/>
      <c r="I155" s="69">
        <f t="shared" si="65"/>
        <v>0</v>
      </c>
      <c r="J155" s="771"/>
      <c r="K155" s="590" t="str">
        <f t="shared" si="59"/>
        <v>.1</v>
      </c>
      <c r="L155" s="771" t="s">
        <v>1996</v>
      </c>
      <c r="M155" s="772"/>
      <c r="N155" s="770"/>
      <c r="O155" s="592" t="str">
        <f t="shared" si="60"/>
        <v>.2</v>
      </c>
      <c r="P155" s="772" t="s">
        <v>1998</v>
      </c>
      <c r="Q155" s="772"/>
      <c r="R155" s="770"/>
      <c r="S155" s="592" t="str">
        <f t="shared" si="61"/>
        <v>.3</v>
      </c>
      <c r="T155" s="772" t="s">
        <v>2000</v>
      </c>
      <c r="U155" s="772"/>
      <c r="V155" s="869"/>
      <c r="W155" s="869"/>
      <c r="X155" s="869"/>
      <c r="Y155" s="745"/>
      <c r="Z155" s="771">
        <v>0</v>
      </c>
      <c r="AA155" s="592" t="str">
        <f t="shared" si="62"/>
        <v>.1</v>
      </c>
      <c r="AB155" s="772" t="s">
        <v>1996</v>
      </c>
      <c r="AC155" s="770">
        <v>0</v>
      </c>
      <c r="AD155" s="592" t="str">
        <f t="shared" si="63"/>
        <v>.2</v>
      </c>
      <c r="AE155" s="772" t="s">
        <v>1998</v>
      </c>
      <c r="AF155" s="770">
        <v>0</v>
      </c>
      <c r="AG155" s="592" t="str">
        <f t="shared" si="64"/>
        <v>.3</v>
      </c>
      <c r="AH155" s="772" t="s">
        <v>2000</v>
      </c>
      <c r="AI155" s="158"/>
    </row>
    <row r="156" spans="1:35" ht="15" hidden="1" customHeight="1" outlineLevel="3">
      <c r="A156" s="93"/>
      <c r="B156" s="93" t="s">
        <v>1075</v>
      </c>
      <c r="C156" s="93"/>
      <c r="D156" s="93"/>
      <c r="E156" s="868"/>
      <c r="F156" s="868"/>
      <c r="G156" s="37"/>
      <c r="H156" s="707"/>
      <c r="I156" s="69">
        <f t="shared" si="65"/>
        <v>0</v>
      </c>
      <c r="J156" s="771"/>
      <c r="K156" s="590" t="str">
        <f t="shared" si="59"/>
        <v>.1</v>
      </c>
      <c r="L156" s="771" t="s">
        <v>1996</v>
      </c>
      <c r="M156" s="772"/>
      <c r="N156" s="770"/>
      <c r="O156" s="592" t="str">
        <f t="shared" si="60"/>
        <v>.2</v>
      </c>
      <c r="P156" s="772" t="s">
        <v>1998</v>
      </c>
      <c r="Q156" s="772"/>
      <c r="R156" s="770"/>
      <c r="S156" s="592" t="str">
        <f t="shared" si="61"/>
        <v>.3</v>
      </c>
      <c r="T156" s="772" t="s">
        <v>2000</v>
      </c>
      <c r="U156" s="772"/>
      <c r="V156" s="869"/>
      <c r="W156" s="869"/>
      <c r="X156" s="869"/>
      <c r="Y156" s="745"/>
      <c r="Z156" s="771">
        <v>0</v>
      </c>
      <c r="AA156" s="592" t="str">
        <f t="shared" si="62"/>
        <v>.1</v>
      </c>
      <c r="AB156" s="772" t="s">
        <v>1996</v>
      </c>
      <c r="AC156" s="770">
        <v>0</v>
      </c>
      <c r="AD156" s="592" t="str">
        <f t="shared" si="63"/>
        <v>.2</v>
      </c>
      <c r="AE156" s="772" t="s">
        <v>1998</v>
      </c>
      <c r="AF156" s="770">
        <v>0</v>
      </c>
      <c r="AG156" s="592" t="str">
        <f t="shared" si="64"/>
        <v>.3</v>
      </c>
      <c r="AH156" s="772" t="s">
        <v>2000</v>
      </c>
      <c r="AI156" s="158"/>
    </row>
    <row r="157" spans="1:35" ht="15" hidden="1" customHeight="1" outlineLevel="3">
      <c r="A157" s="93"/>
      <c r="B157" s="93" t="s">
        <v>1075</v>
      </c>
      <c r="C157" s="93"/>
      <c r="D157" s="93"/>
      <c r="E157" s="868"/>
      <c r="F157" s="868" t="s">
        <v>1075</v>
      </c>
      <c r="G157" s="37"/>
      <c r="H157" s="707"/>
      <c r="I157" s="69">
        <f t="shared" si="65"/>
        <v>0</v>
      </c>
      <c r="J157" s="771"/>
      <c r="K157" s="590" t="str">
        <f t="shared" si="59"/>
        <v>.1</v>
      </c>
      <c r="L157" s="771" t="s">
        <v>1996</v>
      </c>
      <c r="M157" s="772"/>
      <c r="N157" s="770"/>
      <c r="O157" s="592" t="str">
        <f t="shared" si="60"/>
        <v>.2</v>
      </c>
      <c r="P157" s="772" t="s">
        <v>1998</v>
      </c>
      <c r="Q157" s="772"/>
      <c r="R157" s="770"/>
      <c r="S157" s="592" t="str">
        <f t="shared" si="61"/>
        <v>.3</v>
      </c>
      <c r="T157" s="772" t="s">
        <v>2000</v>
      </c>
      <c r="U157" s="772"/>
      <c r="V157" s="869"/>
      <c r="W157" s="869"/>
      <c r="X157" s="869"/>
      <c r="Y157" s="745"/>
      <c r="Z157" s="771">
        <v>0</v>
      </c>
      <c r="AA157" s="592" t="str">
        <f t="shared" si="62"/>
        <v>.1</v>
      </c>
      <c r="AB157" s="772" t="s">
        <v>1996</v>
      </c>
      <c r="AC157" s="770">
        <v>0</v>
      </c>
      <c r="AD157" s="592" t="str">
        <f t="shared" si="63"/>
        <v>.2</v>
      </c>
      <c r="AE157" s="772" t="s">
        <v>1998</v>
      </c>
      <c r="AF157" s="770">
        <v>0</v>
      </c>
      <c r="AG157" s="592" t="str">
        <f t="shared" si="64"/>
        <v>.3</v>
      </c>
      <c r="AH157" s="772" t="s">
        <v>2000</v>
      </c>
      <c r="AI157" s="158"/>
    </row>
    <row r="158" spans="1:35" ht="15" hidden="1" customHeight="1" outlineLevel="3">
      <c r="A158" s="93"/>
      <c r="B158" s="93" t="s">
        <v>1075</v>
      </c>
      <c r="C158" s="93"/>
      <c r="D158" s="93"/>
      <c r="E158" s="868"/>
      <c r="F158" s="868" t="s">
        <v>1075</v>
      </c>
      <c r="G158" s="37"/>
      <c r="H158" s="707"/>
      <c r="I158" s="69">
        <f t="shared" si="65"/>
        <v>0</v>
      </c>
      <c r="J158" s="771"/>
      <c r="K158" s="590" t="str">
        <f t="shared" si="59"/>
        <v>.1</v>
      </c>
      <c r="L158" s="771" t="s">
        <v>1996</v>
      </c>
      <c r="M158" s="772"/>
      <c r="N158" s="770"/>
      <c r="O158" s="592" t="str">
        <f t="shared" si="60"/>
        <v>.2</v>
      </c>
      <c r="P158" s="772" t="s">
        <v>1998</v>
      </c>
      <c r="Q158" s="772"/>
      <c r="R158" s="770"/>
      <c r="S158" s="592" t="str">
        <f t="shared" si="61"/>
        <v>.3</v>
      </c>
      <c r="T158" s="772" t="s">
        <v>2000</v>
      </c>
      <c r="U158" s="772"/>
      <c r="V158" s="869"/>
      <c r="W158" s="869"/>
      <c r="X158" s="869"/>
      <c r="Y158" s="745"/>
      <c r="Z158" s="771">
        <v>0</v>
      </c>
      <c r="AA158" s="592" t="str">
        <f t="shared" si="62"/>
        <v>.1</v>
      </c>
      <c r="AB158" s="772" t="s">
        <v>1996</v>
      </c>
      <c r="AC158" s="770">
        <v>0</v>
      </c>
      <c r="AD158" s="592" t="str">
        <f t="shared" si="63"/>
        <v>.2</v>
      </c>
      <c r="AE158" s="772" t="s">
        <v>1998</v>
      </c>
      <c r="AF158" s="770">
        <v>0</v>
      </c>
      <c r="AG158" s="592" t="str">
        <f t="shared" si="64"/>
        <v>.3</v>
      </c>
      <c r="AH158" s="772" t="s">
        <v>2000</v>
      </c>
      <c r="AI158" s="158"/>
    </row>
    <row r="159" spans="1:35" ht="15" hidden="1" customHeight="1" outlineLevel="3">
      <c r="A159" s="93"/>
      <c r="B159" s="93" t="s">
        <v>1075</v>
      </c>
      <c r="C159" s="93"/>
      <c r="D159" s="93"/>
      <c r="E159" s="868"/>
      <c r="F159" s="868" t="s">
        <v>1075</v>
      </c>
      <c r="G159" s="37"/>
      <c r="H159" s="707"/>
      <c r="I159" s="69">
        <f t="shared" si="65"/>
        <v>0</v>
      </c>
      <c r="J159" s="771"/>
      <c r="K159" s="590" t="str">
        <f t="shared" si="59"/>
        <v>.1</v>
      </c>
      <c r="L159" s="771" t="s">
        <v>1996</v>
      </c>
      <c r="M159" s="772"/>
      <c r="N159" s="770"/>
      <c r="O159" s="592" t="str">
        <f t="shared" si="60"/>
        <v>.2</v>
      </c>
      <c r="P159" s="772" t="s">
        <v>1998</v>
      </c>
      <c r="Q159" s="772"/>
      <c r="R159" s="770"/>
      <c r="S159" s="592" t="str">
        <f t="shared" si="61"/>
        <v>.3</v>
      </c>
      <c r="T159" s="772" t="s">
        <v>2000</v>
      </c>
      <c r="U159" s="772"/>
      <c r="V159" s="869"/>
      <c r="W159" s="869"/>
      <c r="X159" s="869"/>
      <c r="Y159" s="745"/>
      <c r="Z159" s="771">
        <v>0</v>
      </c>
      <c r="AA159" s="592" t="str">
        <f t="shared" si="62"/>
        <v>.1</v>
      </c>
      <c r="AB159" s="772" t="s">
        <v>1996</v>
      </c>
      <c r="AC159" s="770">
        <v>0</v>
      </c>
      <c r="AD159" s="592" t="str">
        <f t="shared" si="63"/>
        <v>.2</v>
      </c>
      <c r="AE159" s="772" t="s">
        <v>1998</v>
      </c>
      <c r="AF159" s="770">
        <v>0</v>
      </c>
      <c r="AG159" s="592" t="str">
        <f t="shared" si="64"/>
        <v>.3</v>
      </c>
      <c r="AH159" s="772" t="s">
        <v>2000</v>
      </c>
      <c r="AI159" s="158"/>
    </row>
    <row r="160" spans="1:35" ht="15" hidden="1" customHeight="1" outlineLevel="3">
      <c r="A160" s="93"/>
      <c r="B160" s="93" t="s">
        <v>1075</v>
      </c>
      <c r="C160" s="93"/>
      <c r="D160" s="93"/>
      <c r="E160" s="868"/>
      <c r="F160" s="868" t="s">
        <v>1075</v>
      </c>
      <c r="G160" s="37"/>
      <c r="H160" s="707"/>
      <c r="I160" s="69">
        <f t="shared" si="65"/>
        <v>0</v>
      </c>
      <c r="J160" s="771"/>
      <c r="K160" s="590" t="str">
        <f t="shared" si="59"/>
        <v>.1</v>
      </c>
      <c r="L160" s="771" t="s">
        <v>1996</v>
      </c>
      <c r="M160" s="772"/>
      <c r="N160" s="770"/>
      <c r="O160" s="592" t="str">
        <f t="shared" si="60"/>
        <v>.2</v>
      </c>
      <c r="P160" s="772" t="s">
        <v>1998</v>
      </c>
      <c r="Q160" s="772"/>
      <c r="R160" s="770"/>
      <c r="S160" s="592" t="str">
        <f t="shared" si="61"/>
        <v>.3</v>
      </c>
      <c r="T160" s="772" t="s">
        <v>2000</v>
      </c>
      <c r="U160" s="772"/>
      <c r="V160" s="869"/>
      <c r="W160" s="869"/>
      <c r="X160" s="869"/>
      <c r="Y160" s="745"/>
      <c r="Z160" s="771">
        <v>0</v>
      </c>
      <c r="AA160" s="592" t="str">
        <f t="shared" si="62"/>
        <v>.1</v>
      </c>
      <c r="AB160" s="772" t="s">
        <v>1996</v>
      </c>
      <c r="AC160" s="770">
        <v>0</v>
      </c>
      <c r="AD160" s="592" t="str">
        <f t="shared" si="63"/>
        <v>.2</v>
      </c>
      <c r="AE160" s="772" t="s">
        <v>1998</v>
      </c>
      <c r="AF160" s="770">
        <v>0</v>
      </c>
      <c r="AG160" s="592" t="str">
        <f t="shared" si="64"/>
        <v>.3</v>
      </c>
      <c r="AH160" s="772" t="s">
        <v>2000</v>
      </c>
      <c r="AI160" s="158"/>
    </row>
    <row r="161" spans="1:35" ht="15" hidden="1" customHeight="1" outlineLevel="2">
      <c r="A161" s="97"/>
      <c r="B161" s="97" t="s">
        <v>1075</v>
      </c>
      <c r="C161" s="97"/>
      <c r="D161" s="97"/>
      <c r="E161" s="825"/>
      <c r="F161" s="825" t="s">
        <v>1075</v>
      </c>
      <c r="G161" s="40" t="s">
        <v>235</v>
      </c>
      <c r="H161" s="78">
        <f>SUBTOTAL(9,H162:H163)</f>
        <v>1</v>
      </c>
      <c r="I161" s="68">
        <f t="shared" si="65"/>
        <v>1</v>
      </c>
      <c r="J161" s="55">
        <f>SUBTOTAL(9,J162)</f>
        <v>1</v>
      </c>
      <c r="K161" s="55"/>
      <c r="L161" s="55"/>
      <c r="M161" s="84"/>
      <c r="N161" s="56">
        <f>SUBTOTAL(9,N162)</f>
        <v>0</v>
      </c>
      <c r="O161" s="84"/>
      <c r="P161" s="84"/>
      <c r="Q161" s="84"/>
      <c r="R161" s="56">
        <f>SUBTOTAL(9,R162)</f>
        <v>0</v>
      </c>
      <c r="S161" s="84"/>
      <c r="T161" s="84"/>
      <c r="U161" s="84"/>
      <c r="V161" s="867">
        <f>SUBTOTAL(9,V162)</f>
        <v>0</v>
      </c>
      <c r="W161" s="867">
        <f>SUBTOTAL(9,W162)</f>
        <v>0</v>
      </c>
      <c r="X161" s="867"/>
      <c r="Y161" s="745"/>
      <c r="Z161" s="55">
        <f>SUBTOTAL(9,Z162)</f>
        <v>0</v>
      </c>
      <c r="AA161" s="84"/>
      <c r="AB161" s="84"/>
      <c r="AC161" s="56">
        <f>SUBTOTAL(9,AC162)</f>
        <v>0</v>
      </c>
      <c r="AD161" s="84"/>
      <c r="AE161" s="84"/>
      <c r="AF161" s="56">
        <f>SUBTOTAL(9,AF162)</f>
        <v>0</v>
      </c>
      <c r="AG161" s="84"/>
      <c r="AH161" s="84"/>
      <c r="AI161" s="170"/>
    </row>
    <row r="162" spans="1:35" ht="15" hidden="1" customHeight="1" outlineLevel="3">
      <c r="A162" s="860">
        <v>24</v>
      </c>
      <c r="B162" s="860">
        <v>3491</v>
      </c>
      <c r="C162" s="860"/>
      <c r="D162" s="860"/>
      <c r="E162" s="868" t="s">
        <v>3058</v>
      </c>
      <c r="F162" s="868" t="s">
        <v>5129</v>
      </c>
      <c r="G162" s="13" t="s">
        <v>3030</v>
      </c>
      <c r="H162" s="707">
        <f>IFERROR(VLOOKUP(A162,'Colar QL'!A:C,3,0),0)</f>
        <v>1</v>
      </c>
      <c r="I162" s="69">
        <f t="shared" si="65"/>
        <v>1</v>
      </c>
      <c r="J162" s="771">
        <f>ROUND(J126*$U$5,0)</f>
        <v>1</v>
      </c>
      <c r="K162" s="590" t="str">
        <f>F162&amp;L162</f>
        <v>47.0284.1.2.17.00.01.039.01.04.26.1</v>
      </c>
      <c r="L162" s="771" t="s">
        <v>1996</v>
      </c>
      <c r="M162" s="772"/>
      <c r="N162" s="770">
        <f>ROUND(N126*$U$5,0)</f>
        <v>0</v>
      </c>
      <c r="O162" s="592" t="str">
        <f>F162&amp;P162</f>
        <v>47.0284.1.2.17.00.01.039.01.04.26.2</v>
      </c>
      <c r="P162" s="772" t="s">
        <v>1998</v>
      </c>
      <c r="Q162" s="772"/>
      <c r="R162" s="770">
        <f>ROUND(R126*$U$5,0)</f>
        <v>0</v>
      </c>
      <c r="S162" s="592" t="str">
        <f>F162&amp;T162</f>
        <v>47.0284.1.2.17.00.01.039.01.04.26.3</v>
      </c>
      <c r="T162" s="772" t="s">
        <v>2000</v>
      </c>
      <c r="U162" s="772"/>
      <c r="V162" s="869"/>
      <c r="W162" s="869"/>
      <c r="X162" s="869"/>
      <c r="Y162" s="745"/>
      <c r="Z162" s="771">
        <f>ROUND(Z126*$U$5,0)</f>
        <v>0</v>
      </c>
      <c r="AA162" s="592" t="str">
        <f>F162&amp;AB162</f>
        <v>47.0284.1.2.17.00.01.039.01.04.26.1</v>
      </c>
      <c r="AB162" s="772" t="s">
        <v>1996</v>
      </c>
      <c r="AC162" s="770">
        <f>ROUND(AC126*$U$5,0)</f>
        <v>0</v>
      </c>
      <c r="AD162" s="592" t="str">
        <f>F162&amp;AE162</f>
        <v>47.0284.1.2.17.00.01.039.01.04.26.2</v>
      </c>
      <c r="AE162" s="772" t="s">
        <v>1998</v>
      </c>
      <c r="AF162" s="770">
        <f>ROUND(AF126*$U$5,0)</f>
        <v>0</v>
      </c>
      <c r="AG162" s="592" t="str">
        <f>F162&amp;AH162</f>
        <v>47.0284.1.2.17.00.01.039.01.04.26.3</v>
      </c>
      <c r="AH162" s="772" t="s">
        <v>2000</v>
      </c>
      <c r="AI162" s="158"/>
    </row>
    <row r="163" spans="1:35" ht="15" hidden="1" customHeight="1" outlineLevel="3">
      <c r="A163" s="860"/>
      <c r="B163" s="860" t="s">
        <v>1075</v>
      </c>
      <c r="C163" s="860"/>
      <c r="D163" s="860"/>
      <c r="E163" s="824"/>
      <c r="F163" s="824" t="s">
        <v>1075</v>
      </c>
      <c r="G163" s="13"/>
      <c r="H163" s="707"/>
      <c r="I163" s="69">
        <f t="shared" si="65"/>
        <v>0</v>
      </c>
      <c r="J163" s="771"/>
      <c r="K163" s="590" t="str">
        <f>F163&amp;L163</f>
        <v>.1</v>
      </c>
      <c r="L163" s="771" t="s">
        <v>1996</v>
      </c>
      <c r="M163" s="772"/>
      <c r="N163" s="770"/>
      <c r="O163" s="592" t="str">
        <f>F163&amp;P163</f>
        <v>.2</v>
      </c>
      <c r="P163" s="772" t="s">
        <v>1998</v>
      </c>
      <c r="Q163" s="772"/>
      <c r="R163" s="770"/>
      <c r="S163" s="592" t="str">
        <f>F163&amp;T163</f>
        <v>.3</v>
      </c>
      <c r="T163" s="772" t="s">
        <v>2000</v>
      </c>
      <c r="U163" s="772"/>
      <c r="V163" s="869"/>
      <c r="W163" s="869"/>
      <c r="X163" s="869"/>
      <c r="Y163" s="745"/>
      <c r="Z163" s="771"/>
      <c r="AA163" s="592" t="str">
        <f>F163&amp;AB163</f>
        <v>.1</v>
      </c>
      <c r="AB163" s="772" t="s">
        <v>1996</v>
      </c>
      <c r="AC163" s="770"/>
      <c r="AD163" s="592" t="str">
        <f>F163&amp;AE163</f>
        <v>.2</v>
      </c>
      <c r="AE163" s="772" t="s">
        <v>1998</v>
      </c>
      <c r="AF163" s="770"/>
      <c r="AG163" s="592" t="str">
        <f>F163&amp;AH163</f>
        <v>.3</v>
      </c>
      <c r="AH163" s="772" t="s">
        <v>2000</v>
      </c>
      <c r="AI163" s="158"/>
    </row>
    <row r="164" spans="1:35" ht="15" hidden="1" customHeight="1" outlineLevel="3">
      <c r="A164" s="860"/>
      <c r="B164" s="860" t="s">
        <v>1075</v>
      </c>
      <c r="C164" s="860"/>
      <c r="D164" s="860"/>
      <c r="E164" s="824"/>
      <c r="F164" s="824" t="s">
        <v>1075</v>
      </c>
      <c r="G164" s="13"/>
      <c r="H164" s="81"/>
      <c r="I164" s="71">
        <f t="shared" si="65"/>
        <v>0</v>
      </c>
      <c r="J164" s="771"/>
      <c r="K164" s="771"/>
      <c r="L164" s="771"/>
      <c r="M164" s="772"/>
      <c r="N164" s="770"/>
      <c r="O164" s="772"/>
      <c r="P164" s="772"/>
      <c r="Q164" s="772"/>
      <c r="R164" s="770"/>
      <c r="S164" s="772"/>
      <c r="T164" s="772"/>
      <c r="U164" s="772"/>
      <c r="V164" s="119"/>
      <c r="W164" s="119"/>
      <c r="X164" s="119"/>
      <c r="Y164" s="745"/>
      <c r="Z164" s="771"/>
      <c r="AA164" s="772"/>
      <c r="AB164" s="772"/>
      <c r="AC164" s="770"/>
      <c r="AD164" s="772"/>
      <c r="AE164" s="772"/>
      <c r="AF164" s="770"/>
      <c r="AG164" s="772"/>
      <c r="AH164" s="772"/>
      <c r="AI164" s="171"/>
    </row>
    <row r="165" spans="1:35">
      <c r="A165" s="100"/>
      <c r="B165" s="100" t="s">
        <v>1075</v>
      </c>
      <c r="C165" s="100"/>
      <c r="D165" s="100"/>
      <c r="E165" s="902"/>
      <c r="F165" s="902" t="s">
        <v>1075</v>
      </c>
      <c r="G165" s="17" t="s">
        <v>243</v>
      </c>
      <c r="H165" s="76">
        <f>ROUND(SUBTOTAL(9,H166:H613),0)</f>
        <v>110</v>
      </c>
      <c r="I165" s="64">
        <f t="shared" si="65"/>
        <v>129</v>
      </c>
      <c r="J165" s="52">
        <f>ROUND(SUBTOTAL(9,J166:J613),0)</f>
        <v>129</v>
      </c>
      <c r="K165" s="52"/>
      <c r="L165" s="52"/>
      <c r="M165" s="86"/>
      <c r="N165" s="52">
        <f>ROUND(SUBTOTAL(9,N166:N613),0)</f>
        <v>0</v>
      </c>
      <c r="O165" s="587"/>
      <c r="P165" s="587"/>
      <c r="Q165" s="86"/>
      <c r="R165" s="52">
        <f>ROUND(SUBTOTAL(9,R166:R613),0)</f>
        <v>0</v>
      </c>
      <c r="S165" s="587"/>
      <c r="T165" s="587"/>
      <c r="U165" s="86"/>
      <c r="V165" s="864">
        <f>ROUND(SUBTOTAL(9,V166:V613),0)</f>
        <v>0</v>
      </c>
      <c r="W165" s="864">
        <f>ROUND(SUBTOTAL(9,W166:W613),0)</f>
        <v>0</v>
      </c>
      <c r="X165" s="864"/>
      <c r="Y165" s="745"/>
      <c r="Z165" s="52">
        <f>ROUND(SUBTOTAL(9,Z166:Z613),0)</f>
        <v>0</v>
      </c>
      <c r="AA165" s="587"/>
      <c r="AB165" s="587"/>
      <c r="AC165" s="52">
        <f>ROUND(SUBTOTAL(9,AC166:AC613),0)</f>
        <v>0</v>
      </c>
      <c r="AD165" s="587"/>
      <c r="AE165" s="587"/>
      <c r="AF165" s="52">
        <f>ROUND(SUBTOTAL(9,AF166:AF613),0)</f>
        <v>0</v>
      </c>
      <c r="AG165" s="587"/>
      <c r="AH165" s="587"/>
      <c r="AI165" s="168"/>
    </row>
    <row r="166" spans="1:35" ht="15" customHeight="1" outlineLevel="1" collapsed="1">
      <c r="A166" s="98"/>
      <c r="B166" s="98" t="s">
        <v>1075</v>
      </c>
      <c r="C166" s="98"/>
      <c r="D166" s="98"/>
      <c r="E166" s="98"/>
      <c r="F166" s="98" t="s">
        <v>1075</v>
      </c>
      <c r="G166" s="35" t="s">
        <v>60</v>
      </c>
      <c r="H166" s="77">
        <f>SUBTOTAL(9,H167:H212)</f>
        <v>0</v>
      </c>
      <c r="I166" s="67">
        <f t="shared" si="65"/>
        <v>0</v>
      </c>
      <c r="J166" s="54">
        <f>SUBTOTAL(9,J167:J212)</f>
        <v>0</v>
      </c>
      <c r="K166" s="54"/>
      <c r="L166" s="54"/>
      <c r="M166" s="85"/>
      <c r="N166" s="54">
        <f>SUBTOTAL(9,N167:N212)</f>
        <v>0</v>
      </c>
      <c r="O166" s="90"/>
      <c r="P166" s="90"/>
      <c r="Q166" s="85"/>
      <c r="R166" s="54">
        <f>SUBTOTAL(9,R167:R212)</f>
        <v>0</v>
      </c>
      <c r="S166" s="90"/>
      <c r="T166" s="90"/>
      <c r="U166" s="85"/>
      <c r="V166" s="54">
        <f>SUBTOTAL(9,V167:V212)</f>
        <v>0</v>
      </c>
      <c r="W166" s="54">
        <f>SUBTOTAL(9,W167:W212)</f>
        <v>0</v>
      </c>
      <c r="X166" s="169"/>
      <c r="Y166" s="745"/>
      <c r="Z166" s="54">
        <f>SUBTOTAL(9,Z167:Z212)</f>
        <v>0</v>
      </c>
      <c r="AA166" s="90"/>
      <c r="AB166" s="90"/>
      <c r="AC166" s="54">
        <f>SUBTOTAL(9,AC167:AC212)</f>
        <v>0</v>
      </c>
      <c r="AD166" s="90"/>
      <c r="AE166" s="90"/>
      <c r="AF166" s="54">
        <f>SUBTOTAL(9,AF167:AF212)</f>
        <v>0</v>
      </c>
      <c r="AG166" s="90"/>
      <c r="AH166" s="90"/>
      <c r="AI166" s="169"/>
    </row>
    <row r="167" spans="1:35" ht="15" hidden="1" customHeight="1" outlineLevel="2">
      <c r="A167" s="97"/>
      <c r="B167" s="97" t="s">
        <v>1075</v>
      </c>
      <c r="C167" s="97"/>
      <c r="D167" s="97"/>
      <c r="E167" s="97"/>
      <c r="F167" s="97" t="s">
        <v>1075</v>
      </c>
      <c r="G167" s="40" t="s">
        <v>714</v>
      </c>
      <c r="H167" s="78">
        <f>SUBTOTAL(9,H168:H208)</f>
        <v>0</v>
      </c>
      <c r="I167" s="68">
        <f t="shared" si="65"/>
        <v>0</v>
      </c>
      <c r="J167" s="55">
        <f>SUBTOTAL(9,J168:J208)</f>
        <v>0</v>
      </c>
      <c r="K167" s="55"/>
      <c r="L167" s="55"/>
      <c r="M167" s="84"/>
      <c r="N167" s="55">
        <f>SUBTOTAL(9,N168:N208)</f>
        <v>0</v>
      </c>
      <c r="O167" s="91"/>
      <c r="P167" s="91"/>
      <c r="Q167" s="84"/>
      <c r="R167" s="55">
        <f>SUBTOTAL(9,R168:R208)</f>
        <v>0</v>
      </c>
      <c r="S167" s="91"/>
      <c r="T167" s="91"/>
      <c r="U167" s="84"/>
      <c r="V167" s="55">
        <f>SUBTOTAL(9,V168:V208)</f>
        <v>0</v>
      </c>
      <c r="W167" s="55">
        <f>SUBTOTAL(9,W168:W208)</f>
        <v>0</v>
      </c>
      <c r="X167" s="170"/>
      <c r="Y167" s="745"/>
      <c r="Z167" s="55">
        <f>SUBTOTAL(9,Z168:Z208)</f>
        <v>0</v>
      </c>
      <c r="AA167" s="91"/>
      <c r="AB167" s="91"/>
      <c r="AC167" s="55">
        <f>SUBTOTAL(9,AC168:AC208)</f>
        <v>0</v>
      </c>
      <c r="AD167" s="91"/>
      <c r="AE167" s="91"/>
      <c r="AF167" s="55">
        <f>SUBTOTAL(9,AF168:AF208)</f>
        <v>0</v>
      </c>
      <c r="AG167" s="91"/>
      <c r="AH167" s="91"/>
      <c r="AI167" s="170"/>
    </row>
    <row r="168" spans="1:35" ht="15" hidden="1" customHeight="1" outlineLevel="3">
      <c r="A168" s="93">
        <v>207000</v>
      </c>
      <c r="B168" s="93">
        <v>3453</v>
      </c>
      <c r="C168" s="93"/>
      <c r="D168" s="93"/>
      <c r="E168" s="93" t="s">
        <v>2892</v>
      </c>
      <c r="F168" s="93" t="s">
        <v>5133</v>
      </c>
      <c r="G168" s="37" t="s">
        <v>738</v>
      </c>
      <c r="H168" s="583">
        <f>IFERROR(VLOOKUP(A168,'Colar QL'!A:C,3,0),0)</f>
        <v>0</v>
      </c>
      <c r="I168" s="69">
        <f t="shared" si="65"/>
        <v>0</v>
      </c>
      <c r="J168" s="258">
        <f>'BD Temp'!E224</f>
        <v>0</v>
      </c>
      <c r="K168" s="590" t="str">
        <f t="shared" ref="K168:K208" si="66">F168&amp;L168</f>
        <v>47.0284.1.2.17.00.01.039.01.05.01.1</v>
      </c>
      <c r="L168" s="579" t="s">
        <v>1996</v>
      </c>
      <c r="M168" s="256" t="str">
        <f>'BD Temp'!F224</f>
        <v>-</v>
      </c>
      <c r="N168" s="255">
        <f>'BD Temp'!J224</f>
        <v>0</v>
      </c>
      <c r="O168" s="592" t="str">
        <f t="shared" ref="O168:O208" si="67">F168&amp;P168</f>
        <v>47.0284.1.2.17.00.01.039.01.05.01.2</v>
      </c>
      <c r="P168" s="578" t="s">
        <v>1998</v>
      </c>
      <c r="Q168" s="256" t="str">
        <f>'BD Temp'!K224</f>
        <v>-</v>
      </c>
      <c r="R168" s="255">
        <f>'BD Temp'!O224</f>
        <v>0</v>
      </c>
      <c r="S168" s="592" t="str">
        <f t="shared" ref="S168:S208" si="68">F168&amp;T168</f>
        <v>47.0284.1.2.17.00.01.039.01.05.01.3</v>
      </c>
      <c r="T168" s="578" t="s">
        <v>2000</v>
      </c>
      <c r="U168" s="256" t="str">
        <f>'BD Temp'!P224</f>
        <v>-</v>
      </c>
      <c r="V168" s="764"/>
      <c r="W168" s="764"/>
      <c r="X168" s="158"/>
      <c r="Y168" s="745"/>
      <c r="Z168" s="741">
        <v>0</v>
      </c>
      <c r="AA168" s="592" t="str">
        <f t="shared" ref="AA168:AA208" si="69">F168&amp;AB168</f>
        <v>47.0284.1.2.17.00.01.039.01.05.01.1</v>
      </c>
      <c r="AB168" s="739" t="s">
        <v>1996</v>
      </c>
      <c r="AC168" s="738">
        <v>0</v>
      </c>
      <c r="AD168" s="592" t="str">
        <f t="shared" ref="AD168:AD208" si="70">F168&amp;AE168</f>
        <v>47.0284.1.2.17.00.01.039.01.05.01.2</v>
      </c>
      <c r="AE168" s="739" t="s">
        <v>1998</v>
      </c>
      <c r="AF168" s="738">
        <v>0</v>
      </c>
      <c r="AG168" s="592" t="str">
        <f t="shared" ref="AG168:AG208" si="71">F168&amp;AH168</f>
        <v>47.0284.1.2.17.00.01.039.01.05.01.3</v>
      </c>
      <c r="AH168" s="739" t="s">
        <v>2000</v>
      </c>
      <c r="AI168" s="158"/>
    </row>
    <row r="169" spans="1:35" s="26" customFormat="1" ht="15" hidden="1" customHeight="1" outlineLevel="3">
      <c r="A169" s="93">
        <v>207005</v>
      </c>
      <c r="B169" s="93">
        <v>3453</v>
      </c>
      <c r="C169" s="93"/>
      <c r="D169" s="93"/>
      <c r="E169" s="93" t="s">
        <v>2893</v>
      </c>
      <c r="F169" s="93" t="s">
        <v>5134</v>
      </c>
      <c r="G169" s="37" t="s">
        <v>61</v>
      </c>
      <c r="H169" s="583">
        <f>IFERROR(VLOOKUP(A169,'Colar QL'!A:C,3,0),0)</f>
        <v>0</v>
      </c>
      <c r="I169" s="69">
        <f t="shared" si="65"/>
        <v>0</v>
      </c>
      <c r="J169" s="258">
        <f>'BD Temp'!E233</f>
        <v>0</v>
      </c>
      <c r="K169" s="590" t="str">
        <f t="shared" si="66"/>
        <v>47.0284.1.2.17.00.01.039.01.05.06.1</v>
      </c>
      <c r="L169" s="579" t="s">
        <v>1996</v>
      </c>
      <c r="M169" s="256">
        <f>'BD Temp'!F233</f>
        <v>0</v>
      </c>
      <c r="N169" s="255">
        <f>'BD Temp'!J233</f>
        <v>0</v>
      </c>
      <c r="O169" s="592" t="str">
        <f t="shared" si="67"/>
        <v>47.0284.1.2.17.00.01.039.01.05.06.2</v>
      </c>
      <c r="P169" s="578" t="s">
        <v>1998</v>
      </c>
      <c r="Q169" s="256">
        <f>'BD Temp'!K233</f>
        <v>0</v>
      </c>
      <c r="R169" s="255">
        <f>'BD Temp'!O233</f>
        <v>0</v>
      </c>
      <c r="S169" s="592" t="str">
        <f t="shared" si="68"/>
        <v>47.0284.1.2.17.00.01.039.01.05.06.3</v>
      </c>
      <c r="T169" s="578" t="s">
        <v>2000</v>
      </c>
      <c r="U169" s="256">
        <f>'BD Temp'!P233</f>
        <v>0</v>
      </c>
      <c r="V169" s="764"/>
      <c r="W169" s="764"/>
      <c r="X169" s="158"/>
      <c r="Y169" s="745"/>
      <c r="Z169" s="741">
        <v>0</v>
      </c>
      <c r="AA169" s="592" t="str">
        <f t="shared" si="69"/>
        <v>47.0284.1.2.17.00.01.039.01.05.06.1</v>
      </c>
      <c r="AB169" s="739" t="s">
        <v>1996</v>
      </c>
      <c r="AC169" s="738">
        <v>0</v>
      </c>
      <c r="AD169" s="592" t="str">
        <f t="shared" si="70"/>
        <v>47.0284.1.2.17.00.01.039.01.05.06.2</v>
      </c>
      <c r="AE169" s="739" t="s">
        <v>1998</v>
      </c>
      <c r="AF169" s="738">
        <v>0</v>
      </c>
      <c r="AG169" s="592" t="str">
        <f t="shared" si="71"/>
        <v>47.0284.1.2.17.00.01.039.01.05.06.3</v>
      </c>
      <c r="AH169" s="739" t="s">
        <v>2000</v>
      </c>
      <c r="AI169" s="158"/>
    </row>
    <row r="170" spans="1:35" s="123" customFormat="1" ht="15" hidden="1" customHeight="1" outlineLevel="3">
      <c r="A170" s="153">
        <v>207010</v>
      </c>
      <c r="B170" s="153">
        <v>3453</v>
      </c>
      <c r="C170" s="153"/>
      <c r="D170" s="153"/>
      <c r="E170" s="153" t="s">
        <v>2894</v>
      </c>
      <c r="F170" s="153" t="s">
        <v>5135</v>
      </c>
      <c r="G170" s="154" t="s">
        <v>62</v>
      </c>
      <c r="H170" s="583">
        <f>IFERROR(VLOOKUP(A170,'Colar QL'!A:C,3,0),0)</f>
        <v>0</v>
      </c>
      <c r="I170" s="69">
        <f t="shared" si="65"/>
        <v>0</v>
      </c>
      <c r="J170" s="258">
        <f>'BD Temp'!E234</f>
        <v>0</v>
      </c>
      <c r="K170" s="590" t="str">
        <f t="shared" si="66"/>
        <v>47.0284.1.2.17.00.01.039.01.05.07.1</v>
      </c>
      <c r="L170" s="579" t="s">
        <v>1996</v>
      </c>
      <c r="M170" s="256" t="str">
        <f>'BD Temp'!F234</f>
        <v>-</v>
      </c>
      <c r="N170" s="255">
        <f>'BD Temp'!J234</f>
        <v>0</v>
      </c>
      <c r="O170" s="592" t="str">
        <f t="shared" si="67"/>
        <v>47.0284.1.2.17.00.01.039.01.05.07.2</v>
      </c>
      <c r="P170" s="578" t="s">
        <v>1998</v>
      </c>
      <c r="Q170" s="256" t="str">
        <f>'BD Temp'!K234</f>
        <v>-</v>
      </c>
      <c r="R170" s="255">
        <f>'BD Temp'!O234</f>
        <v>0</v>
      </c>
      <c r="S170" s="592" t="str">
        <f t="shared" si="68"/>
        <v>47.0284.1.2.17.00.01.039.01.05.07.3</v>
      </c>
      <c r="T170" s="578" t="s">
        <v>2000</v>
      </c>
      <c r="U170" s="256" t="str">
        <f>'BD Temp'!P234</f>
        <v>-</v>
      </c>
      <c r="V170" s="765"/>
      <c r="W170" s="765"/>
      <c r="X170" s="206"/>
      <c r="Y170" s="745"/>
      <c r="Z170" s="741">
        <v>0</v>
      </c>
      <c r="AA170" s="592" t="str">
        <f t="shared" si="69"/>
        <v>47.0284.1.2.17.00.01.039.01.05.07.1</v>
      </c>
      <c r="AB170" s="739" t="s">
        <v>1996</v>
      </c>
      <c r="AC170" s="738">
        <v>0</v>
      </c>
      <c r="AD170" s="592" t="str">
        <f t="shared" si="70"/>
        <v>47.0284.1.2.17.00.01.039.01.05.07.2</v>
      </c>
      <c r="AE170" s="739" t="s">
        <v>1998</v>
      </c>
      <c r="AF170" s="738">
        <v>0</v>
      </c>
      <c r="AG170" s="592" t="str">
        <f t="shared" si="71"/>
        <v>47.0284.1.2.17.00.01.039.01.05.07.3</v>
      </c>
      <c r="AH170" s="739" t="s">
        <v>2000</v>
      </c>
      <c r="AI170" s="375"/>
    </row>
    <row r="171" spans="1:35" ht="15" hidden="1" customHeight="1" outlineLevel="3">
      <c r="A171" s="93">
        <v>207015</v>
      </c>
      <c r="B171" s="93">
        <v>3453</v>
      </c>
      <c r="C171" s="93"/>
      <c r="D171" s="93"/>
      <c r="E171" s="93" t="s">
        <v>2895</v>
      </c>
      <c r="F171" s="93" t="s">
        <v>5136</v>
      </c>
      <c r="G171" s="37" t="s">
        <v>63</v>
      </c>
      <c r="H171" s="583">
        <f>IFERROR(VLOOKUP(A171,'Colar QL'!A:C,3,0),0)</f>
        <v>0</v>
      </c>
      <c r="I171" s="69">
        <f t="shared" si="65"/>
        <v>0</v>
      </c>
      <c r="J171" s="258">
        <f>'BD Temp'!E235</f>
        <v>0</v>
      </c>
      <c r="K171" s="590" t="str">
        <f t="shared" si="66"/>
        <v>47.0284.1.2.17.00.01.039.01.05.02.1</v>
      </c>
      <c r="L171" s="579" t="s">
        <v>1996</v>
      </c>
      <c r="M171" s="256" t="str">
        <f>'BD Temp'!F235</f>
        <v>-</v>
      </c>
      <c r="N171" s="255">
        <f>'BD Temp'!J235</f>
        <v>0</v>
      </c>
      <c r="O171" s="592" t="str">
        <f t="shared" si="67"/>
        <v>47.0284.1.2.17.00.01.039.01.05.02.2</v>
      </c>
      <c r="P171" s="578" t="s">
        <v>1998</v>
      </c>
      <c r="Q171" s="256" t="str">
        <f>'BD Temp'!K235</f>
        <v>-</v>
      </c>
      <c r="R171" s="255">
        <f>'BD Temp'!O235</f>
        <v>0</v>
      </c>
      <c r="S171" s="592" t="str">
        <f t="shared" si="68"/>
        <v>47.0284.1.2.17.00.01.039.01.05.02.3</v>
      </c>
      <c r="T171" s="578" t="s">
        <v>2000</v>
      </c>
      <c r="U171" s="256" t="str">
        <f>'BD Temp'!P235</f>
        <v>-</v>
      </c>
      <c r="V171" s="764"/>
      <c r="W171" s="764"/>
      <c r="X171" s="158"/>
      <c r="Y171" s="745"/>
      <c r="Z171" s="741">
        <v>0</v>
      </c>
      <c r="AA171" s="592" t="str">
        <f t="shared" si="69"/>
        <v>47.0284.1.2.17.00.01.039.01.05.02.1</v>
      </c>
      <c r="AB171" s="739" t="s">
        <v>1996</v>
      </c>
      <c r="AC171" s="738">
        <v>0</v>
      </c>
      <c r="AD171" s="592" t="str">
        <f t="shared" si="70"/>
        <v>47.0284.1.2.17.00.01.039.01.05.02.2</v>
      </c>
      <c r="AE171" s="739" t="s">
        <v>1998</v>
      </c>
      <c r="AF171" s="738">
        <v>0</v>
      </c>
      <c r="AG171" s="592" t="str">
        <f t="shared" si="71"/>
        <v>47.0284.1.2.17.00.01.039.01.05.02.3</v>
      </c>
      <c r="AH171" s="739" t="s">
        <v>2000</v>
      </c>
      <c r="AI171" s="158"/>
    </row>
    <row r="172" spans="1:35" ht="15" hidden="1" customHeight="1" outlineLevel="3">
      <c r="A172" s="93">
        <v>207020</v>
      </c>
      <c r="B172" s="93">
        <v>3453</v>
      </c>
      <c r="C172" s="93"/>
      <c r="D172" s="93"/>
      <c r="E172" s="93" t="s">
        <v>2895</v>
      </c>
      <c r="F172" s="93" t="s">
        <v>5136</v>
      </c>
      <c r="G172" s="37" t="s">
        <v>64</v>
      </c>
      <c r="H172" s="583">
        <f>IFERROR(VLOOKUP(A172,'Colar QL'!A:C,3,0),0)</f>
        <v>0</v>
      </c>
      <c r="I172" s="69">
        <f t="shared" si="65"/>
        <v>0</v>
      </c>
      <c r="J172" s="258">
        <f>'BD Temp'!E244</f>
        <v>0</v>
      </c>
      <c r="K172" s="590" t="str">
        <f t="shared" si="66"/>
        <v>47.0284.1.2.17.00.01.039.01.05.02.1</v>
      </c>
      <c r="L172" s="579" t="s">
        <v>1996</v>
      </c>
      <c r="M172" s="256" t="str">
        <f>'BD Temp'!F244</f>
        <v>-</v>
      </c>
      <c r="N172" s="255">
        <f>'BD Temp'!J244</f>
        <v>0</v>
      </c>
      <c r="O172" s="592" t="str">
        <f t="shared" si="67"/>
        <v>47.0284.1.2.17.00.01.039.01.05.02.2</v>
      </c>
      <c r="P172" s="578" t="s">
        <v>1998</v>
      </c>
      <c r="Q172" s="256" t="str">
        <f>'BD Temp'!K244</f>
        <v>-</v>
      </c>
      <c r="R172" s="255">
        <f>'BD Temp'!O244</f>
        <v>0</v>
      </c>
      <c r="S172" s="592" t="str">
        <f t="shared" si="68"/>
        <v>47.0284.1.2.17.00.01.039.01.05.02.3</v>
      </c>
      <c r="T172" s="578" t="s">
        <v>2000</v>
      </c>
      <c r="U172" s="256" t="str">
        <f>'BD Temp'!P244</f>
        <v>-</v>
      </c>
      <c r="V172" s="764"/>
      <c r="W172" s="764"/>
      <c r="X172" s="158"/>
      <c r="Y172" s="745"/>
      <c r="Z172" s="741">
        <v>0</v>
      </c>
      <c r="AA172" s="592" t="str">
        <f t="shared" si="69"/>
        <v>47.0284.1.2.17.00.01.039.01.05.02.1</v>
      </c>
      <c r="AB172" s="739" t="s">
        <v>1996</v>
      </c>
      <c r="AC172" s="738">
        <v>0</v>
      </c>
      <c r="AD172" s="592" t="str">
        <f t="shared" si="70"/>
        <v>47.0284.1.2.17.00.01.039.01.05.02.2</v>
      </c>
      <c r="AE172" s="739" t="s">
        <v>1998</v>
      </c>
      <c r="AF172" s="738">
        <v>0</v>
      </c>
      <c r="AG172" s="592" t="str">
        <f t="shared" si="71"/>
        <v>47.0284.1.2.17.00.01.039.01.05.02.3</v>
      </c>
      <c r="AH172" s="739" t="s">
        <v>2000</v>
      </c>
      <c r="AI172" s="158"/>
    </row>
    <row r="173" spans="1:35" s="26" customFormat="1" ht="15" hidden="1" customHeight="1" outlineLevel="3">
      <c r="A173" s="93">
        <v>207025</v>
      </c>
      <c r="B173" s="93">
        <v>3453</v>
      </c>
      <c r="C173" s="93"/>
      <c r="D173" s="93"/>
      <c r="E173" s="93" t="s">
        <v>2896</v>
      </c>
      <c r="F173" s="93" t="s">
        <v>5137</v>
      </c>
      <c r="G173" s="37" t="s">
        <v>595</v>
      </c>
      <c r="H173" s="583">
        <f>IFERROR(VLOOKUP(A173,'Colar QL'!A:C,3,0),0)</f>
        <v>0</v>
      </c>
      <c r="I173" s="69">
        <f t="shared" si="65"/>
        <v>0</v>
      </c>
      <c r="J173" s="258">
        <f>'BD Temp'!E253</f>
        <v>0</v>
      </c>
      <c r="K173" s="590" t="str">
        <f t="shared" si="66"/>
        <v>47.0284.1.2.17.00.01.039.01.05.04.1</v>
      </c>
      <c r="L173" s="579" t="s">
        <v>1996</v>
      </c>
      <c r="M173" s="256" t="str">
        <f>'BD Temp'!F253</f>
        <v>-</v>
      </c>
      <c r="N173" s="255">
        <f>'BD Temp'!J253</f>
        <v>0</v>
      </c>
      <c r="O173" s="592" t="str">
        <f t="shared" si="67"/>
        <v>47.0284.1.2.17.00.01.039.01.05.04.2</v>
      </c>
      <c r="P173" s="578" t="s">
        <v>1998</v>
      </c>
      <c r="Q173" s="256" t="str">
        <f>'BD Temp'!K253</f>
        <v>-</v>
      </c>
      <c r="R173" s="255">
        <f>'BD Temp'!O253</f>
        <v>0</v>
      </c>
      <c r="S173" s="592" t="str">
        <f t="shared" si="68"/>
        <v>47.0284.1.2.17.00.01.039.01.05.04.3</v>
      </c>
      <c r="T173" s="578" t="s">
        <v>2000</v>
      </c>
      <c r="U173" s="256" t="str">
        <f>'BD Temp'!P253</f>
        <v>-</v>
      </c>
      <c r="V173" s="764"/>
      <c r="W173" s="764"/>
      <c r="X173" s="158"/>
      <c r="Y173" s="745"/>
      <c r="Z173" s="741">
        <v>0</v>
      </c>
      <c r="AA173" s="592" t="str">
        <f t="shared" si="69"/>
        <v>47.0284.1.2.17.00.01.039.01.05.04.1</v>
      </c>
      <c r="AB173" s="739" t="s">
        <v>1996</v>
      </c>
      <c r="AC173" s="738">
        <v>0</v>
      </c>
      <c r="AD173" s="592" t="str">
        <f t="shared" si="70"/>
        <v>47.0284.1.2.17.00.01.039.01.05.04.2</v>
      </c>
      <c r="AE173" s="739" t="s">
        <v>1998</v>
      </c>
      <c r="AF173" s="738">
        <v>0</v>
      </c>
      <c r="AG173" s="592" t="str">
        <f t="shared" si="71"/>
        <v>47.0284.1.2.17.00.01.039.01.05.04.3</v>
      </c>
      <c r="AH173" s="739" t="s">
        <v>2000</v>
      </c>
      <c r="AI173" s="158"/>
    </row>
    <row r="174" spans="1:35" s="26" customFormat="1" ht="15" hidden="1" customHeight="1" outlineLevel="3">
      <c r="A174" s="93">
        <v>207030</v>
      </c>
      <c r="B174" s="93">
        <v>3453</v>
      </c>
      <c r="C174" s="93"/>
      <c r="D174" s="93"/>
      <c r="E174" s="93" t="s">
        <v>2895</v>
      </c>
      <c r="F174" s="93" t="s">
        <v>5136</v>
      </c>
      <c r="G174" s="37" t="s">
        <v>65</v>
      </c>
      <c r="H174" s="583">
        <f>IFERROR(VLOOKUP(A174,'Colar QL'!A:C,3,0),0)</f>
        <v>0</v>
      </c>
      <c r="I174" s="69">
        <f t="shared" si="65"/>
        <v>0</v>
      </c>
      <c r="J174" s="258">
        <f>'BD Temp'!E254</f>
        <v>0</v>
      </c>
      <c r="K174" s="590" t="str">
        <f t="shared" si="66"/>
        <v>47.0284.1.2.17.00.01.039.01.05.02.1</v>
      </c>
      <c r="L174" s="579" t="s">
        <v>1996</v>
      </c>
      <c r="M174" s="256" t="str">
        <f>'BD Temp'!F254</f>
        <v>-</v>
      </c>
      <c r="N174" s="255">
        <f>'BD Temp'!J254</f>
        <v>0</v>
      </c>
      <c r="O174" s="592" t="str">
        <f t="shared" si="67"/>
        <v>47.0284.1.2.17.00.01.039.01.05.02.2</v>
      </c>
      <c r="P174" s="578" t="s">
        <v>1998</v>
      </c>
      <c r="Q174" s="256" t="str">
        <f>'BD Temp'!K254</f>
        <v>-</v>
      </c>
      <c r="R174" s="255">
        <f>'BD Temp'!O254</f>
        <v>0</v>
      </c>
      <c r="S174" s="592" t="str">
        <f t="shared" si="68"/>
        <v>47.0284.1.2.17.00.01.039.01.05.02.3</v>
      </c>
      <c r="T174" s="578" t="s">
        <v>2000</v>
      </c>
      <c r="U174" s="256" t="str">
        <f>'BD Temp'!P254</f>
        <v>-</v>
      </c>
      <c r="V174" s="764"/>
      <c r="W174" s="764"/>
      <c r="X174" s="158"/>
      <c r="Y174" s="745"/>
      <c r="Z174" s="741">
        <v>0</v>
      </c>
      <c r="AA174" s="592" t="str">
        <f t="shared" si="69"/>
        <v>47.0284.1.2.17.00.01.039.01.05.02.1</v>
      </c>
      <c r="AB174" s="739" t="s">
        <v>1996</v>
      </c>
      <c r="AC174" s="738">
        <v>0</v>
      </c>
      <c r="AD174" s="592" t="str">
        <f t="shared" si="70"/>
        <v>47.0284.1.2.17.00.01.039.01.05.02.2</v>
      </c>
      <c r="AE174" s="739" t="s">
        <v>1998</v>
      </c>
      <c r="AF174" s="738">
        <v>0</v>
      </c>
      <c r="AG174" s="592" t="str">
        <f t="shared" si="71"/>
        <v>47.0284.1.2.17.00.01.039.01.05.02.3</v>
      </c>
      <c r="AH174" s="739" t="s">
        <v>2000</v>
      </c>
      <c r="AI174" s="158"/>
    </row>
    <row r="175" spans="1:35" s="26" customFormat="1" ht="15" hidden="1" customHeight="1" outlineLevel="3">
      <c r="A175" s="585">
        <v>207035</v>
      </c>
      <c r="B175" s="585">
        <v>3453</v>
      </c>
      <c r="C175" s="585"/>
      <c r="D175" s="585"/>
      <c r="E175" s="585" t="s">
        <v>2897</v>
      </c>
      <c r="F175" s="585" t="s">
        <v>5138</v>
      </c>
      <c r="G175" s="37" t="s">
        <v>596</v>
      </c>
      <c r="H175" s="583">
        <f>IFERROR(VLOOKUP(A175,'Colar QL'!A:C,3,0),0)</f>
        <v>0</v>
      </c>
      <c r="I175" s="69">
        <f t="shared" si="65"/>
        <v>0</v>
      </c>
      <c r="J175" s="258">
        <f>'BD Temp'!E263</f>
        <v>0</v>
      </c>
      <c r="K175" s="590" t="str">
        <f t="shared" si="66"/>
        <v>47.0284.1.2.17.00.01.039.01.05.09.1</v>
      </c>
      <c r="L175" s="579" t="s">
        <v>1996</v>
      </c>
      <c r="M175" s="256" t="str">
        <f>'BD Temp'!F263</f>
        <v>-</v>
      </c>
      <c r="N175" s="255">
        <f>'BD Temp'!J263</f>
        <v>0</v>
      </c>
      <c r="O175" s="592" t="str">
        <f t="shared" si="67"/>
        <v>47.0284.1.2.17.00.01.039.01.05.09.2</v>
      </c>
      <c r="P175" s="578" t="s">
        <v>1998</v>
      </c>
      <c r="Q175" s="256" t="str">
        <f>'BD Temp'!K263</f>
        <v>-</v>
      </c>
      <c r="R175" s="255">
        <f>'BD Temp'!O263</f>
        <v>0</v>
      </c>
      <c r="S175" s="592" t="str">
        <f t="shared" si="68"/>
        <v>47.0284.1.2.17.00.01.039.01.05.09.3</v>
      </c>
      <c r="T175" s="578" t="s">
        <v>2000</v>
      </c>
      <c r="U175" s="256" t="str">
        <f>'BD Temp'!P263</f>
        <v>-</v>
      </c>
      <c r="V175" s="764"/>
      <c r="W175" s="764"/>
      <c r="X175" s="158"/>
      <c r="Y175" s="745"/>
      <c r="Z175" s="741">
        <v>0</v>
      </c>
      <c r="AA175" s="592" t="str">
        <f t="shared" si="69"/>
        <v>47.0284.1.2.17.00.01.039.01.05.09.1</v>
      </c>
      <c r="AB175" s="739" t="s">
        <v>1996</v>
      </c>
      <c r="AC175" s="738">
        <v>0</v>
      </c>
      <c r="AD175" s="592" t="str">
        <f t="shared" si="70"/>
        <v>47.0284.1.2.17.00.01.039.01.05.09.2</v>
      </c>
      <c r="AE175" s="739" t="s">
        <v>1998</v>
      </c>
      <c r="AF175" s="738">
        <v>0</v>
      </c>
      <c r="AG175" s="592" t="str">
        <f t="shared" si="71"/>
        <v>47.0284.1.2.17.00.01.039.01.05.09.3</v>
      </c>
      <c r="AH175" s="739" t="s">
        <v>2000</v>
      </c>
      <c r="AI175" s="158"/>
    </row>
    <row r="176" spans="1:35" ht="15" hidden="1" customHeight="1" outlineLevel="3">
      <c r="A176" s="153">
        <v>207040</v>
      </c>
      <c r="B176" s="153">
        <v>3453</v>
      </c>
      <c r="C176" s="153"/>
      <c r="D176" s="153"/>
      <c r="E176" s="153" t="s">
        <v>2898</v>
      </c>
      <c r="F176" s="153" t="s">
        <v>5138</v>
      </c>
      <c r="G176" s="37" t="s">
        <v>597</v>
      </c>
      <c r="H176" s="583">
        <f>IFERROR(VLOOKUP(A176,'Colar QL'!A:C,3,0),0)</f>
        <v>0</v>
      </c>
      <c r="I176" s="69">
        <f t="shared" si="65"/>
        <v>0</v>
      </c>
      <c r="J176" s="258">
        <v>0</v>
      </c>
      <c r="K176" s="590" t="str">
        <f t="shared" si="66"/>
        <v>47.0284.1.2.17.00.01.039.01.05.09.1</v>
      </c>
      <c r="L176" s="579" t="s">
        <v>1996</v>
      </c>
      <c r="M176" s="256" t="str">
        <f>'BD Temp'!F266</f>
        <v>-</v>
      </c>
      <c r="N176" s="255">
        <v>0</v>
      </c>
      <c r="O176" s="592" t="str">
        <f t="shared" si="67"/>
        <v>47.0284.1.2.17.00.01.039.01.05.09.2</v>
      </c>
      <c r="P176" s="578" t="s">
        <v>1998</v>
      </c>
      <c r="Q176" s="256" t="str">
        <f>'BD Temp'!K266</f>
        <v>-</v>
      </c>
      <c r="R176" s="255">
        <f>'BD Temp'!O266</f>
        <v>0</v>
      </c>
      <c r="S176" s="592" t="str">
        <f t="shared" si="68"/>
        <v>47.0284.1.2.17.00.01.039.01.05.09.3</v>
      </c>
      <c r="T176" s="578" t="s">
        <v>2000</v>
      </c>
      <c r="U176" s="256" t="str">
        <f>'BD Temp'!P266</f>
        <v>-</v>
      </c>
      <c r="V176" s="764"/>
      <c r="W176" s="764"/>
      <c r="X176" s="158"/>
      <c r="Y176" s="745"/>
      <c r="Z176" s="741">
        <v>0</v>
      </c>
      <c r="AA176" s="592" t="str">
        <f t="shared" si="69"/>
        <v>47.0284.1.2.17.00.01.039.01.05.09.1</v>
      </c>
      <c r="AB176" s="739" t="s">
        <v>1996</v>
      </c>
      <c r="AC176" s="738">
        <v>0</v>
      </c>
      <c r="AD176" s="592" t="str">
        <f t="shared" si="70"/>
        <v>47.0284.1.2.17.00.01.039.01.05.09.2</v>
      </c>
      <c r="AE176" s="739" t="s">
        <v>1998</v>
      </c>
      <c r="AF176" s="738">
        <v>0</v>
      </c>
      <c r="AG176" s="592" t="str">
        <f t="shared" si="71"/>
        <v>47.0284.1.2.17.00.01.039.01.05.09.3</v>
      </c>
      <c r="AH176" s="739" t="s">
        <v>2000</v>
      </c>
      <c r="AI176" s="158"/>
    </row>
    <row r="177" spans="1:35" ht="15" hidden="1" customHeight="1" outlineLevel="3">
      <c r="A177" s="93">
        <v>207045</v>
      </c>
      <c r="B177" s="93">
        <v>3453</v>
      </c>
      <c r="C177" s="93"/>
      <c r="D177" s="93"/>
      <c r="E177" s="93" t="s">
        <v>2899</v>
      </c>
      <c r="F177" s="93" t="s">
        <v>5139</v>
      </c>
      <c r="G177" s="37" t="s">
        <v>66</v>
      </c>
      <c r="H177" s="583">
        <f>IFERROR(VLOOKUP(A177,'Colar QL'!A:C,3,0),0)</f>
        <v>0</v>
      </c>
      <c r="I177" s="69">
        <f t="shared" si="65"/>
        <v>0</v>
      </c>
      <c r="J177" s="258">
        <v>0</v>
      </c>
      <c r="K177" s="590" t="str">
        <f t="shared" si="66"/>
        <v>47.0284.1.2.17.00.01.039.01.05.10.1</v>
      </c>
      <c r="L177" s="579" t="s">
        <v>1996</v>
      </c>
      <c r="M177" s="256" t="str">
        <f>'BD Temp'!F267</f>
        <v>-</v>
      </c>
      <c r="N177" s="255">
        <v>0</v>
      </c>
      <c r="O177" s="592" t="str">
        <f t="shared" si="67"/>
        <v>47.0284.1.2.17.00.01.039.01.05.10.2</v>
      </c>
      <c r="P177" s="578" t="s">
        <v>1998</v>
      </c>
      <c r="Q177" s="256" t="str">
        <f>'BD Temp'!K267</f>
        <v>-</v>
      </c>
      <c r="R177" s="255">
        <f>'BD Temp'!O267</f>
        <v>0</v>
      </c>
      <c r="S177" s="592" t="str">
        <f t="shared" si="68"/>
        <v>47.0284.1.2.17.00.01.039.01.05.10.3</v>
      </c>
      <c r="T177" s="578" t="s">
        <v>2000</v>
      </c>
      <c r="U177" s="256" t="str">
        <f>'BD Temp'!P267</f>
        <v>-</v>
      </c>
      <c r="V177" s="764"/>
      <c r="W177" s="764"/>
      <c r="X177" s="158"/>
      <c r="Y177" s="745"/>
      <c r="Z177" s="741">
        <v>0</v>
      </c>
      <c r="AA177" s="592" t="str">
        <f t="shared" si="69"/>
        <v>47.0284.1.2.17.00.01.039.01.05.10.1</v>
      </c>
      <c r="AB177" s="739" t="s">
        <v>1996</v>
      </c>
      <c r="AC177" s="738">
        <v>0</v>
      </c>
      <c r="AD177" s="592" t="str">
        <f t="shared" si="70"/>
        <v>47.0284.1.2.17.00.01.039.01.05.10.2</v>
      </c>
      <c r="AE177" s="739" t="s">
        <v>1998</v>
      </c>
      <c r="AF177" s="738">
        <v>0</v>
      </c>
      <c r="AG177" s="592" t="str">
        <f t="shared" si="71"/>
        <v>47.0284.1.2.17.00.01.039.01.05.10.3</v>
      </c>
      <c r="AH177" s="739" t="s">
        <v>2000</v>
      </c>
      <c r="AI177" s="158"/>
    </row>
    <row r="178" spans="1:35" ht="15" hidden="1" customHeight="1" outlineLevel="3">
      <c r="A178" s="93">
        <v>207050</v>
      </c>
      <c r="B178" s="93">
        <v>3453</v>
      </c>
      <c r="C178" s="93"/>
      <c r="D178" s="93"/>
      <c r="E178" s="93" t="s">
        <v>2900</v>
      </c>
      <c r="F178" s="93" t="s">
        <v>5140</v>
      </c>
      <c r="G178" s="37" t="s">
        <v>67</v>
      </c>
      <c r="H178" s="583">
        <f>IFERROR(VLOOKUP(A178,'Colar QL'!A:C,3,0),0)</f>
        <v>0</v>
      </c>
      <c r="I178" s="69">
        <f t="shared" si="65"/>
        <v>0</v>
      </c>
      <c r="J178" s="258">
        <f>'BD Temp'!E268</f>
        <v>0</v>
      </c>
      <c r="K178" s="590" t="str">
        <f t="shared" si="66"/>
        <v>47.0284.1.2.17.00.01.039.01.05.11.1</v>
      </c>
      <c r="L178" s="579" t="s">
        <v>1996</v>
      </c>
      <c r="M178" s="256" t="str">
        <f>'BD Temp'!F268</f>
        <v>-</v>
      </c>
      <c r="N178" s="255">
        <f>'BD Temp'!J268</f>
        <v>0</v>
      </c>
      <c r="O178" s="592" t="str">
        <f t="shared" si="67"/>
        <v>47.0284.1.2.17.00.01.039.01.05.11.2</v>
      </c>
      <c r="P178" s="578" t="s">
        <v>1998</v>
      </c>
      <c r="Q178" s="256" t="str">
        <f>'BD Temp'!K268</f>
        <v>-</v>
      </c>
      <c r="R178" s="255">
        <f>'BD Temp'!O268</f>
        <v>0</v>
      </c>
      <c r="S178" s="592" t="str">
        <f t="shared" si="68"/>
        <v>47.0284.1.2.17.00.01.039.01.05.11.3</v>
      </c>
      <c r="T178" s="578" t="s">
        <v>2000</v>
      </c>
      <c r="U178" s="256" t="str">
        <f>'BD Temp'!P268</f>
        <v>-</v>
      </c>
      <c r="V178" s="764"/>
      <c r="W178" s="764"/>
      <c r="X178" s="158"/>
      <c r="Y178" s="745"/>
      <c r="Z178" s="741">
        <v>0</v>
      </c>
      <c r="AA178" s="592" t="str">
        <f t="shared" si="69"/>
        <v>47.0284.1.2.17.00.01.039.01.05.11.1</v>
      </c>
      <c r="AB178" s="739" t="s">
        <v>1996</v>
      </c>
      <c r="AC178" s="738">
        <v>0</v>
      </c>
      <c r="AD178" s="592" t="str">
        <f t="shared" si="70"/>
        <v>47.0284.1.2.17.00.01.039.01.05.11.2</v>
      </c>
      <c r="AE178" s="739" t="s">
        <v>1998</v>
      </c>
      <c r="AF178" s="738">
        <v>0</v>
      </c>
      <c r="AG178" s="592" t="str">
        <f t="shared" si="71"/>
        <v>47.0284.1.2.17.00.01.039.01.05.11.3</v>
      </c>
      <c r="AH178" s="739" t="s">
        <v>2000</v>
      </c>
      <c r="AI178" s="158"/>
    </row>
    <row r="179" spans="1:35" ht="15" hidden="1" customHeight="1" outlineLevel="3">
      <c r="A179" s="93">
        <v>207110</v>
      </c>
      <c r="B179" s="93">
        <v>3453</v>
      </c>
      <c r="C179" s="93"/>
      <c r="D179" s="93"/>
      <c r="E179" s="93" t="s">
        <v>2901</v>
      </c>
      <c r="F179" s="93" t="s">
        <v>5141</v>
      </c>
      <c r="G179" s="37" t="s">
        <v>58</v>
      </c>
      <c r="H179" s="583">
        <f>IFERROR(VLOOKUP(A179,'Colar QL'!A:C,3,0),0)</f>
        <v>0</v>
      </c>
      <c r="I179" s="69">
        <f t="shared" si="65"/>
        <v>0</v>
      </c>
      <c r="J179" s="258">
        <v>0</v>
      </c>
      <c r="K179" s="590" t="str">
        <f t="shared" si="66"/>
        <v>47.0284.1.2.17.00.01.039.01.05.26.1</v>
      </c>
      <c r="L179" s="579" t="s">
        <v>1996</v>
      </c>
      <c r="M179" s="256" t="str">
        <f>'BD Temp'!F269</f>
        <v>-</v>
      </c>
      <c r="N179" s="255">
        <v>0</v>
      </c>
      <c r="O179" s="592" t="str">
        <f t="shared" si="67"/>
        <v>47.0284.1.2.17.00.01.039.01.05.26.2</v>
      </c>
      <c r="P179" s="578" t="s">
        <v>1998</v>
      </c>
      <c r="Q179" s="256" t="str">
        <f>'BD Temp'!K269</f>
        <v>-</v>
      </c>
      <c r="R179" s="255">
        <f>'BD Temp'!O269</f>
        <v>0</v>
      </c>
      <c r="S179" s="592" t="str">
        <f t="shared" si="68"/>
        <v>47.0284.1.2.17.00.01.039.01.05.26.3</v>
      </c>
      <c r="T179" s="578" t="s">
        <v>2000</v>
      </c>
      <c r="U179" s="256" t="str">
        <f>'BD Temp'!P269</f>
        <v>-</v>
      </c>
      <c r="V179" s="764"/>
      <c r="W179" s="764"/>
      <c r="X179" s="158"/>
      <c r="Y179" s="745"/>
      <c r="Z179" s="741">
        <v>0</v>
      </c>
      <c r="AA179" s="592" t="str">
        <f t="shared" si="69"/>
        <v>47.0284.1.2.17.00.01.039.01.05.26.1</v>
      </c>
      <c r="AB179" s="739" t="s">
        <v>1996</v>
      </c>
      <c r="AC179" s="738">
        <v>0</v>
      </c>
      <c r="AD179" s="592" t="str">
        <f t="shared" si="70"/>
        <v>47.0284.1.2.17.00.01.039.01.05.26.2</v>
      </c>
      <c r="AE179" s="739" t="s">
        <v>1998</v>
      </c>
      <c r="AF179" s="738">
        <v>0</v>
      </c>
      <c r="AG179" s="592" t="str">
        <f t="shared" si="71"/>
        <v>47.0284.1.2.17.00.01.039.01.05.26.3</v>
      </c>
      <c r="AH179" s="739" t="s">
        <v>2000</v>
      </c>
      <c r="AI179" s="158"/>
    </row>
    <row r="180" spans="1:35" ht="15" hidden="1" customHeight="1" outlineLevel="3">
      <c r="A180" s="93">
        <v>207120</v>
      </c>
      <c r="B180" s="93">
        <v>3453</v>
      </c>
      <c r="C180" s="93"/>
      <c r="D180" s="93"/>
      <c r="E180" s="93" t="s">
        <v>2894</v>
      </c>
      <c r="F180" s="93" t="s">
        <v>5135</v>
      </c>
      <c r="G180" s="37" t="s">
        <v>203</v>
      </c>
      <c r="H180" s="583">
        <f>IFERROR(VLOOKUP(A180,'Colar QL'!A:C,3,0),0)</f>
        <v>0</v>
      </c>
      <c r="I180" s="69">
        <f t="shared" si="65"/>
        <v>0</v>
      </c>
      <c r="J180" s="258">
        <f>'BD Temp'!E270</f>
        <v>0</v>
      </c>
      <c r="K180" s="590" t="str">
        <f t="shared" si="66"/>
        <v>47.0284.1.2.17.00.01.039.01.05.07.1</v>
      </c>
      <c r="L180" s="579" t="s">
        <v>1996</v>
      </c>
      <c r="M180" s="256" t="str">
        <f>'BD Temp'!F270</f>
        <v>-</v>
      </c>
      <c r="N180" s="255">
        <f>'BD Temp'!J270</f>
        <v>0</v>
      </c>
      <c r="O180" s="592" t="str">
        <f t="shared" si="67"/>
        <v>47.0284.1.2.17.00.01.039.01.05.07.2</v>
      </c>
      <c r="P180" s="578" t="s">
        <v>1998</v>
      </c>
      <c r="Q180" s="256" t="str">
        <f>'BD Temp'!K270</f>
        <v>-</v>
      </c>
      <c r="R180" s="255">
        <f>'BD Temp'!O270</f>
        <v>0</v>
      </c>
      <c r="S180" s="592" t="str">
        <f t="shared" si="68"/>
        <v>47.0284.1.2.17.00.01.039.01.05.07.3</v>
      </c>
      <c r="T180" s="578" t="s">
        <v>2000</v>
      </c>
      <c r="U180" s="256" t="str">
        <f>'BD Temp'!P270</f>
        <v>-</v>
      </c>
      <c r="V180" s="764"/>
      <c r="W180" s="764"/>
      <c r="X180" s="158"/>
      <c r="Y180" s="745"/>
      <c r="Z180" s="741">
        <v>0</v>
      </c>
      <c r="AA180" s="592" t="str">
        <f t="shared" si="69"/>
        <v>47.0284.1.2.17.00.01.039.01.05.07.1</v>
      </c>
      <c r="AB180" s="739" t="s">
        <v>1996</v>
      </c>
      <c r="AC180" s="738">
        <v>0</v>
      </c>
      <c r="AD180" s="592" t="str">
        <f t="shared" si="70"/>
        <v>47.0284.1.2.17.00.01.039.01.05.07.2</v>
      </c>
      <c r="AE180" s="739" t="s">
        <v>1998</v>
      </c>
      <c r="AF180" s="738">
        <v>0</v>
      </c>
      <c r="AG180" s="592" t="str">
        <f t="shared" si="71"/>
        <v>47.0284.1.2.17.00.01.039.01.05.07.3</v>
      </c>
      <c r="AH180" s="739" t="s">
        <v>2000</v>
      </c>
      <c r="AI180" s="158"/>
    </row>
    <row r="181" spans="1:35" ht="15" hidden="1" customHeight="1" outlineLevel="3">
      <c r="A181" s="93">
        <v>207125</v>
      </c>
      <c r="B181" s="93">
        <v>3453</v>
      </c>
      <c r="C181" s="93"/>
      <c r="D181" s="93"/>
      <c r="E181" s="93" t="s">
        <v>2901</v>
      </c>
      <c r="F181" s="93" t="s">
        <v>5141</v>
      </c>
      <c r="G181" s="37" t="s">
        <v>71</v>
      </c>
      <c r="H181" s="583">
        <f>IFERROR(VLOOKUP(A181,'Colar QL'!A:C,3,0),0)</f>
        <v>0</v>
      </c>
      <c r="I181" s="69">
        <f t="shared" si="65"/>
        <v>0</v>
      </c>
      <c r="J181" s="258">
        <f>'BD Temp'!E281</f>
        <v>0</v>
      </c>
      <c r="K181" s="590" t="str">
        <f t="shared" si="66"/>
        <v>47.0284.1.2.17.00.01.039.01.05.26.1</v>
      </c>
      <c r="L181" s="579" t="s">
        <v>1996</v>
      </c>
      <c r="M181" s="256" t="str">
        <f>'BD Temp'!F281</f>
        <v>-</v>
      </c>
      <c r="N181" s="255">
        <f>'BD Temp'!J281</f>
        <v>0</v>
      </c>
      <c r="O181" s="592" t="str">
        <f t="shared" si="67"/>
        <v>47.0284.1.2.17.00.01.039.01.05.26.2</v>
      </c>
      <c r="P181" s="578" t="s">
        <v>1998</v>
      </c>
      <c r="Q181" s="256" t="str">
        <f>'BD Temp'!K281</f>
        <v>-</v>
      </c>
      <c r="R181" s="255">
        <f>'BD Temp'!O281</f>
        <v>0</v>
      </c>
      <c r="S181" s="592" t="str">
        <f t="shared" si="68"/>
        <v>47.0284.1.2.17.00.01.039.01.05.26.3</v>
      </c>
      <c r="T181" s="578" t="s">
        <v>2000</v>
      </c>
      <c r="U181" s="256" t="str">
        <f>'BD Temp'!P281</f>
        <v>-</v>
      </c>
      <c r="V181" s="764"/>
      <c r="W181" s="764"/>
      <c r="X181" s="158"/>
      <c r="Y181" s="745"/>
      <c r="Z181" s="741">
        <v>0</v>
      </c>
      <c r="AA181" s="592" t="str">
        <f t="shared" si="69"/>
        <v>47.0284.1.2.17.00.01.039.01.05.26.1</v>
      </c>
      <c r="AB181" s="739" t="s">
        <v>1996</v>
      </c>
      <c r="AC181" s="738">
        <v>0</v>
      </c>
      <c r="AD181" s="592" t="str">
        <f t="shared" si="70"/>
        <v>47.0284.1.2.17.00.01.039.01.05.26.2</v>
      </c>
      <c r="AE181" s="739" t="s">
        <v>1998</v>
      </c>
      <c r="AF181" s="738">
        <v>0</v>
      </c>
      <c r="AG181" s="592" t="str">
        <f t="shared" si="71"/>
        <v>47.0284.1.2.17.00.01.039.01.05.26.3</v>
      </c>
      <c r="AH181" s="739" t="s">
        <v>2000</v>
      </c>
      <c r="AI181" s="158"/>
    </row>
    <row r="182" spans="1:35" ht="15" hidden="1" customHeight="1" outlineLevel="3">
      <c r="A182" s="93">
        <v>207130</v>
      </c>
      <c r="B182" s="93">
        <v>3453</v>
      </c>
      <c r="C182" s="93"/>
      <c r="D182" s="93"/>
      <c r="E182" s="93" t="s">
        <v>2901</v>
      </c>
      <c r="F182" s="93" t="s">
        <v>5141</v>
      </c>
      <c r="G182" s="37" t="s">
        <v>72</v>
      </c>
      <c r="H182" s="583">
        <f>IFERROR(VLOOKUP(A182,'Colar QL'!A:C,3,0),0)</f>
        <v>0</v>
      </c>
      <c r="I182" s="69">
        <f t="shared" si="65"/>
        <v>0</v>
      </c>
      <c r="J182" s="258">
        <v>0</v>
      </c>
      <c r="K182" s="590" t="str">
        <f t="shared" si="66"/>
        <v>47.0284.1.2.17.00.01.039.01.05.26.1</v>
      </c>
      <c r="L182" s="579" t="s">
        <v>1996</v>
      </c>
      <c r="M182" s="256" t="str">
        <f>'BD Temp'!F282</f>
        <v>-</v>
      </c>
      <c r="N182" s="255">
        <v>0</v>
      </c>
      <c r="O182" s="592" t="str">
        <f t="shared" si="67"/>
        <v>47.0284.1.2.17.00.01.039.01.05.26.2</v>
      </c>
      <c r="P182" s="578" t="s">
        <v>1998</v>
      </c>
      <c r="Q182" s="256" t="str">
        <f>'BD Temp'!K282</f>
        <v>-</v>
      </c>
      <c r="R182" s="255">
        <f>'BD Temp'!O282</f>
        <v>0</v>
      </c>
      <c r="S182" s="592" t="str">
        <f t="shared" si="68"/>
        <v>47.0284.1.2.17.00.01.039.01.05.26.3</v>
      </c>
      <c r="T182" s="578" t="s">
        <v>2000</v>
      </c>
      <c r="U182" s="256" t="str">
        <f>'BD Temp'!P282</f>
        <v>-</v>
      </c>
      <c r="V182" s="764"/>
      <c r="W182" s="764"/>
      <c r="X182" s="158"/>
      <c r="Y182" s="745"/>
      <c r="Z182" s="741">
        <v>0</v>
      </c>
      <c r="AA182" s="592" t="str">
        <f t="shared" si="69"/>
        <v>47.0284.1.2.17.00.01.039.01.05.26.1</v>
      </c>
      <c r="AB182" s="739" t="s">
        <v>1996</v>
      </c>
      <c r="AC182" s="738">
        <v>0</v>
      </c>
      <c r="AD182" s="592" t="str">
        <f t="shared" si="70"/>
        <v>47.0284.1.2.17.00.01.039.01.05.26.2</v>
      </c>
      <c r="AE182" s="739" t="s">
        <v>1998</v>
      </c>
      <c r="AF182" s="738">
        <v>0</v>
      </c>
      <c r="AG182" s="592" t="str">
        <f t="shared" si="71"/>
        <v>47.0284.1.2.17.00.01.039.01.05.26.3</v>
      </c>
      <c r="AH182" s="739" t="s">
        <v>2000</v>
      </c>
      <c r="AI182" s="158"/>
    </row>
    <row r="183" spans="1:35" ht="15" hidden="1" customHeight="1" outlineLevel="3">
      <c r="A183" s="93">
        <v>26</v>
      </c>
      <c r="B183" s="93">
        <v>3453</v>
      </c>
      <c r="C183" s="93"/>
      <c r="D183" s="93"/>
      <c r="E183" s="93" t="s">
        <v>2902</v>
      </c>
      <c r="F183" s="93" t="s">
        <v>5142</v>
      </c>
      <c r="G183" s="37" t="s">
        <v>599</v>
      </c>
      <c r="H183" s="583">
        <f>IFERROR(VLOOKUP(A183,'Colar QL'!A:C,3,0),0)</f>
        <v>0</v>
      </c>
      <c r="I183" s="69">
        <f t="shared" si="65"/>
        <v>0</v>
      </c>
      <c r="J183" s="258">
        <f>'BD Temp'!E283</f>
        <v>0</v>
      </c>
      <c r="K183" s="590" t="str">
        <f t="shared" si="66"/>
        <v>47.0284.1.2.17.00.01.039.01.05.27.1</v>
      </c>
      <c r="L183" s="579" t="s">
        <v>1996</v>
      </c>
      <c r="M183" s="256" t="str">
        <f>'BD Temp'!F283</f>
        <v>-</v>
      </c>
      <c r="N183" s="255">
        <f>'BD Temp'!J283</f>
        <v>0</v>
      </c>
      <c r="O183" s="592" t="str">
        <f t="shared" si="67"/>
        <v>47.0284.1.2.17.00.01.039.01.05.27.2</v>
      </c>
      <c r="P183" s="578" t="s">
        <v>1998</v>
      </c>
      <c r="Q183" s="256" t="str">
        <f>'BD Temp'!K283</f>
        <v>-</v>
      </c>
      <c r="R183" s="255">
        <f>'BD Temp'!O283</f>
        <v>0</v>
      </c>
      <c r="S183" s="592" t="str">
        <f t="shared" si="68"/>
        <v>47.0284.1.2.17.00.01.039.01.05.27.3</v>
      </c>
      <c r="T183" s="578" t="s">
        <v>2000</v>
      </c>
      <c r="U183" s="256" t="str">
        <f>'BD Temp'!P283</f>
        <v>-</v>
      </c>
      <c r="V183" s="764"/>
      <c r="W183" s="764"/>
      <c r="X183" s="158"/>
      <c r="Y183" s="745"/>
      <c r="Z183" s="741">
        <v>0</v>
      </c>
      <c r="AA183" s="592" t="str">
        <f t="shared" si="69"/>
        <v>47.0284.1.2.17.00.01.039.01.05.27.1</v>
      </c>
      <c r="AB183" s="739" t="s">
        <v>1996</v>
      </c>
      <c r="AC183" s="738">
        <v>0</v>
      </c>
      <c r="AD183" s="592" t="str">
        <f t="shared" si="70"/>
        <v>47.0284.1.2.17.00.01.039.01.05.27.2</v>
      </c>
      <c r="AE183" s="739" t="s">
        <v>1998</v>
      </c>
      <c r="AF183" s="738">
        <v>0</v>
      </c>
      <c r="AG183" s="592" t="str">
        <f t="shared" si="71"/>
        <v>47.0284.1.2.17.00.01.039.01.05.27.3</v>
      </c>
      <c r="AH183" s="739" t="s">
        <v>2000</v>
      </c>
      <c r="AI183" s="158"/>
    </row>
    <row r="184" spans="1:35" ht="15" hidden="1" customHeight="1" outlineLevel="3">
      <c r="A184" s="93">
        <v>27</v>
      </c>
      <c r="B184" s="93" t="s">
        <v>1075</v>
      </c>
      <c r="C184" s="93"/>
      <c r="D184" s="93"/>
      <c r="E184" s="93"/>
      <c r="F184" s="93" t="s">
        <v>1075</v>
      </c>
      <c r="G184" s="37" t="s">
        <v>14</v>
      </c>
      <c r="H184" s="583">
        <f>IFERROR(VLOOKUP(A184,'Colar QL'!A:C,3,0),0)</f>
        <v>0</v>
      </c>
      <c r="I184" s="69">
        <f t="shared" si="65"/>
        <v>0</v>
      </c>
      <c r="J184" s="258">
        <f>'BD Temp'!E284</f>
        <v>0</v>
      </c>
      <c r="K184" s="590" t="str">
        <f t="shared" si="66"/>
        <v>.1</v>
      </c>
      <c r="L184" s="579" t="s">
        <v>1996</v>
      </c>
      <c r="M184" s="256" t="str">
        <f>'BD Temp'!F284</f>
        <v>-</v>
      </c>
      <c r="N184" s="255">
        <f>'BD Temp'!J284</f>
        <v>0</v>
      </c>
      <c r="O184" s="592" t="str">
        <f t="shared" si="67"/>
        <v>.2</v>
      </c>
      <c r="P184" s="578" t="s">
        <v>1998</v>
      </c>
      <c r="Q184" s="256" t="str">
        <f>'BD Temp'!K284</f>
        <v>-</v>
      </c>
      <c r="R184" s="255">
        <f>'BD Temp'!O284</f>
        <v>0</v>
      </c>
      <c r="S184" s="592" t="str">
        <f t="shared" si="68"/>
        <v>.3</v>
      </c>
      <c r="T184" s="578" t="s">
        <v>2000</v>
      </c>
      <c r="U184" s="256" t="str">
        <f>'BD Temp'!P284</f>
        <v>-</v>
      </c>
      <c r="V184" s="764"/>
      <c r="W184" s="764"/>
      <c r="X184" s="158"/>
      <c r="Y184" s="745"/>
      <c r="Z184" s="741">
        <v>0</v>
      </c>
      <c r="AA184" s="592" t="str">
        <f t="shared" si="69"/>
        <v>.1</v>
      </c>
      <c r="AB184" s="739" t="s">
        <v>1996</v>
      </c>
      <c r="AC184" s="738">
        <v>0</v>
      </c>
      <c r="AD184" s="592" t="str">
        <f t="shared" si="70"/>
        <v>.2</v>
      </c>
      <c r="AE184" s="739" t="s">
        <v>1998</v>
      </c>
      <c r="AF184" s="738">
        <v>0</v>
      </c>
      <c r="AG184" s="592" t="str">
        <f t="shared" si="71"/>
        <v>.3</v>
      </c>
      <c r="AH184" s="739" t="s">
        <v>2000</v>
      </c>
      <c r="AI184" s="158"/>
    </row>
    <row r="185" spans="1:35" ht="15" hidden="1" customHeight="1" outlineLevel="3">
      <c r="A185" s="93">
        <v>28</v>
      </c>
      <c r="B185" s="93">
        <v>3453</v>
      </c>
      <c r="C185" s="93"/>
      <c r="D185" s="93"/>
      <c r="E185" s="93" t="s">
        <v>2903</v>
      </c>
      <c r="F185" s="93" t="s">
        <v>5143</v>
      </c>
      <c r="G185" s="37" t="s">
        <v>16</v>
      </c>
      <c r="H185" s="583">
        <f>IFERROR(VLOOKUP(A185,'Colar QL'!A:C,3,0),0)</f>
        <v>0</v>
      </c>
      <c r="I185" s="69">
        <f t="shared" si="65"/>
        <v>0</v>
      </c>
      <c r="J185" s="258">
        <f>'BD Temp'!E285</f>
        <v>0</v>
      </c>
      <c r="K185" s="590" t="str">
        <f t="shared" si="66"/>
        <v>47.0284.1.2.17.00.01.039.01.05.28.1</v>
      </c>
      <c r="L185" s="579" t="s">
        <v>1996</v>
      </c>
      <c r="M185" s="256" t="str">
        <f>'BD Temp'!F285</f>
        <v>-</v>
      </c>
      <c r="N185" s="255">
        <f>'BD Temp'!J285</f>
        <v>0</v>
      </c>
      <c r="O185" s="592" t="str">
        <f t="shared" si="67"/>
        <v>47.0284.1.2.17.00.01.039.01.05.28.2</v>
      </c>
      <c r="P185" s="578" t="s">
        <v>1998</v>
      </c>
      <c r="Q185" s="256" t="str">
        <f>'BD Temp'!K285</f>
        <v>-</v>
      </c>
      <c r="R185" s="255">
        <f>'BD Temp'!O285</f>
        <v>0</v>
      </c>
      <c r="S185" s="592" t="str">
        <f t="shared" si="68"/>
        <v>47.0284.1.2.17.00.01.039.01.05.28.3</v>
      </c>
      <c r="T185" s="578" t="s">
        <v>2000</v>
      </c>
      <c r="U185" s="256" t="str">
        <f>'BD Temp'!P285</f>
        <v>-</v>
      </c>
      <c r="V185" s="764"/>
      <c r="W185" s="764"/>
      <c r="X185" s="158"/>
      <c r="Y185" s="745"/>
      <c r="Z185" s="741">
        <v>0</v>
      </c>
      <c r="AA185" s="592" t="str">
        <f t="shared" si="69"/>
        <v>47.0284.1.2.17.00.01.039.01.05.28.1</v>
      </c>
      <c r="AB185" s="739" t="s">
        <v>1996</v>
      </c>
      <c r="AC185" s="738">
        <v>0</v>
      </c>
      <c r="AD185" s="592" t="str">
        <f t="shared" si="70"/>
        <v>47.0284.1.2.17.00.01.039.01.05.28.2</v>
      </c>
      <c r="AE185" s="739" t="s">
        <v>1998</v>
      </c>
      <c r="AF185" s="738">
        <v>0</v>
      </c>
      <c r="AG185" s="592" t="str">
        <f t="shared" si="71"/>
        <v>47.0284.1.2.17.00.01.039.01.05.28.3</v>
      </c>
      <c r="AH185" s="739" t="s">
        <v>2000</v>
      </c>
      <c r="AI185" s="158"/>
    </row>
    <row r="186" spans="1:35" ht="15" hidden="1" customHeight="1" outlineLevel="3">
      <c r="A186" s="93">
        <v>29</v>
      </c>
      <c r="B186" s="93">
        <v>3453</v>
      </c>
      <c r="C186" s="93"/>
      <c r="D186" s="93"/>
      <c r="E186" s="93" t="s">
        <v>2904</v>
      </c>
      <c r="F186" s="93" t="s">
        <v>5144</v>
      </c>
      <c r="G186" s="37" t="s">
        <v>15</v>
      </c>
      <c r="H186" s="583">
        <f>IFERROR(VLOOKUP(A186,'Colar QL'!A:C,3,0),0)</f>
        <v>0</v>
      </c>
      <c r="I186" s="69">
        <f t="shared" si="65"/>
        <v>0</v>
      </c>
      <c r="J186" s="258">
        <v>0</v>
      </c>
      <c r="K186" s="590" t="str">
        <f t="shared" si="66"/>
        <v>47.0284.1.2.17.00.01.039.01.05.25.1</v>
      </c>
      <c r="L186" s="579" t="s">
        <v>1996</v>
      </c>
      <c r="M186" s="256">
        <f>'BD Temp'!F286</f>
        <v>1.0083333333333334E-5</v>
      </c>
      <c r="N186" s="255">
        <v>0</v>
      </c>
      <c r="O186" s="592" t="str">
        <f t="shared" si="67"/>
        <v>47.0284.1.2.17.00.01.039.01.05.25.2</v>
      </c>
      <c r="P186" s="578" t="s">
        <v>1998</v>
      </c>
      <c r="Q186" s="256" t="str">
        <f>'BD Temp'!K286</f>
        <v>-</v>
      </c>
      <c r="R186" s="255">
        <f>'BD Temp'!O286</f>
        <v>0</v>
      </c>
      <c r="S186" s="592" t="str">
        <f t="shared" si="68"/>
        <v>47.0284.1.2.17.00.01.039.01.05.25.3</v>
      </c>
      <c r="T186" s="578" t="s">
        <v>2000</v>
      </c>
      <c r="U186" s="256" t="str">
        <f>'BD Temp'!P286</f>
        <v>-</v>
      </c>
      <c r="V186" s="764"/>
      <c r="W186" s="764"/>
      <c r="X186" s="158"/>
      <c r="Y186" s="745"/>
      <c r="Z186" s="741">
        <v>0</v>
      </c>
      <c r="AA186" s="592" t="str">
        <f t="shared" si="69"/>
        <v>47.0284.1.2.17.00.01.039.01.05.25.1</v>
      </c>
      <c r="AB186" s="739" t="s">
        <v>1996</v>
      </c>
      <c r="AC186" s="738">
        <v>0</v>
      </c>
      <c r="AD186" s="592" t="str">
        <f t="shared" si="70"/>
        <v>47.0284.1.2.17.00.01.039.01.05.25.2</v>
      </c>
      <c r="AE186" s="739" t="s">
        <v>1998</v>
      </c>
      <c r="AF186" s="738">
        <v>0</v>
      </c>
      <c r="AG186" s="592" t="str">
        <f t="shared" si="71"/>
        <v>47.0284.1.2.17.00.01.039.01.05.25.3</v>
      </c>
      <c r="AH186" s="739" t="s">
        <v>2000</v>
      </c>
      <c r="AI186" s="158"/>
    </row>
    <row r="187" spans="1:35" ht="15" hidden="1" customHeight="1" outlineLevel="3">
      <c r="A187" s="95"/>
      <c r="B187" s="95" t="s">
        <v>1075</v>
      </c>
      <c r="C187" s="95"/>
      <c r="D187" s="95"/>
      <c r="E187" s="774"/>
      <c r="F187" s="774" t="s">
        <v>1075</v>
      </c>
      <c r="G187" s="13"/>
      <c r="H187" s="81"/>
      <c r="I187" s="71">
        <f t="shared" si="65"/>
        <v>0</v>
      </c>
      <c r="J187" s="48"/>
      <c r="K187" s="590" t="str">
        <f t="shared" si="66"/>
        <v>.1</v>
      </c>
      <c r="L187" s="579" t="s">
        <v>1996</v>
      </c>
      <c r="M187" s="74"/>
      <c r="N187" s="49"/>
      <c r="O187" s="592" t="str">
        <f t="shared" si="67"/>
        <v>.2</v>
      </c>
      <c r="P187" s="578" t="s">
        <v>1998</v>
      </c>
      <c r="Q187" s="74"/>
      <c r="R187" s="49"/>
      <c r="S187" s="592" t="str">
        <f t="shared" si="68"/>
        <v>.3</v>
      </c>
      <c r="T187" s="578" t="s">
        <v>2000</v>
      </c>
      <c r="U187" s="74"/>
      <c r="V187" s="766"/>
      <c r="W187" s="766"/>
      <c r="X187" s="171"/>
      <c r="Y187" s="745"/>
      <c r="Z187" s="741">
        <v>0</v>
      </c>
      <c r="AA187" s="592" t="str">
        <f t="shared" si="69"/>
        <v>.1</v>
      </c>
      <c r="AB187" s="739" t="s">
        <v>1996</v>
      </c>
      <c r="AC187" s="738">
        <v>0</v>
      </c>
      <c r="AD187" s="592" t="str">
        <f t="shared" si="70"/>
        <v>.2</v>
      </c>
      <c r="AE187" s="739" t="s">
        <v>1998</v>
      </c>
      <c r="AF187" s="738">
        <v>0</v>
      </c>
      <c r="AG187" s="592" t="str">
        <f t="shared" si="71"/>
        <v>.3</v>
      </c>
      <c r="AH187" s="739" t="s">
        <v>2000</v>
      </c>
      <c r="AI187" s="171"/>
    </row>
    <row r="188" spans="1:35" ht="15" hidden="1" customHeight="1" outlineLevel="3">
      <c r="A188" s="99"/>
      <c r="B188" s="99" t="s">
        <v>1075</v>
      </c>
      <c r="C188" s="99"/>
      <c r="D188" s="99"/>
      <c r="E188" s="99"/>
      <c r="F188" s="99" t="s">
        <v>1075</v>
      </c>
      <c r="G188" s="39" t="s">
        <v>244</v>
      </c>
      <c r="H188" s="79"/>
      <c r="I188" s="69">
        <f t="shared" si="65"/>
        <v>0</v>
      </c>
      <c r="J188" s="57"/>
      <c r="K188" s="590" t="str">
        <f t="shared" si="66"/>
        <v>.1</v>
      </c>
      <c r="L188" s="579" t="s">
        <v>1996</v>
      </c>
      <c r="M188" s="87"/>
      <c r="N188" s="58"/>
      <c r="O188" s="592" t="str">
        <f t="shared" si="67"/>
        <v>.2</v>
      </c>
      <c r="P188" s="578" t="s">
        <v>1998</v>
      </c>
      <c r="Q188" s="87"/>
      <c r="R188" s="58"/>
      <c r="S188" s="592" t="str">
        <f t="shared" si="68"/>
        <v>.3</v>
      </c>
      <c r="T188" s="578" t="s">
        <v>2000</v>
      </c>
      <c r="U188" s="87"/>
      <c r="V188" s="764"/>
      <c r="W188" s="764"/>
      <c r="X188" s="158"/>
      <c r="Y188" s="745"/>
      <c r="Z188" s="741">
        <v>0</v>
      </c>
      <c r="AA188" s="592" t="str">
        <f t="shared" si="69"/>
        <v>.1</v>
      </c>
      <c r="AB188" s="739" t="s">
        <v>1996</v>
      </c>
      <c r="AC188" s="738">
        <v>0</v>
      </c>
      <c r="AD188" s="592" t="str">
        <f t="shared" si="70"/>
        <v>.2</v>
      </c>
      <c r="AE188" s="739" t="s">
        <v>1998</v>
      </c>
      <c r="AF188" s="738">
        <v>0</v>
      </c>
      <c r="AG188" s="592" t="str">
        <f t="shared" si="71"/>
        <v>.3</v>
      </c>
      <c r="AH188" s="739" t="s">
        <v>2000</v>
      </c>
      <c r="AI188" s="158"/>
    </row>
    <row r="189" spans="1:35" ht="15" hidden="1" customHeight="1" outlineLevel="3">
      <c r="A189" s="93">
        <v>207055</v>
      </c>
      <c r="B189" s="93">
        <v>3453</v>
      </c>
      <c r="C189" s="93"/>
      <c r="D189" s="93"/>
      <c r="E189" s="93" t="s">
        <v>2905</v>
      </c>
      <c r="F189" s="93" t="s">
        <v>5145</v>
      </c>
      <c r="G189" s="37" t="s">
        <v>68</v>
      </c>
      <c r="H189" s="583">
        <f>IFERROR(VLOOKUP(A189,'Colar QL'!A:C,3,0),0)</f>
        <v>0</v>
      </c>
      <c r="I189" s="69">
        <f t="shared" si="65"/>
        <v>0</v>
      </c>
      <c r="J189" s="258">
        <f>'BD Temp'!E289</f>
        <v>0</v>
      </c>
      <c r="K189" s="590" t="str">
        <f t="shared" si="66"/>
        <v>47.0284.1.2.17.00.01.039.01.05.12.1</v>
      </c>
      <c r="L189" s="579" t="s">
        <v>1996</v>
      </c>
      <c r="M189" s="256" t="str">
        <f>'BD Temp'!F289</f>
        <v>-</v>
      </c>
      <c r="N189" s="255">
        <f>'BD Temp'!J289</f>
        <v>0</v>
      </c>
      <c r="O189" s="592" t="str">
        <f t="shared" si="67"/>
        <v>47.0284.1.2.17.00.01.039.01.05.12.2</v>
      </c>
      <c r="P189" s="578" t="s">
        <v>1998</v>
      </c>
      <c r="Q189" s="256" t="str">
        <f>'BD Temp'!K289</f>
        <v>-</v>
      </c>
      <c r="R189" s="255">
        <f>'BD Temp'!O289</f>
        <v>0</v>
      </c>
      <c r="S189" s="592" t="str">
        <f t="shared" si="68"/>
        <v>47.0284.1.2.17.00.01.039.01.05.12.3</v>
      </c>
      <c r="T189" s="578" t="s">
        <v>2000</v>
      </c>
      <c r="U189" s="256" t="str">
        <f>'BD Temp'!P289</f>
        <v>-</v>
      </c>
      <c r="V189" s="764"/>
      <c r="W189" s="764"/>
      <c r="X189" s="158"/>
      <c r="Y189" s="745"/>
      <c r="Z189" s="741">
        <v>0</v>
      </c>
      <c r="AA189" s="592" t="str">
        <f t="shared" si="69"/>
        <v>47.0284.1.2.17.00.01.039.01.05.12.1</v>
      </c>
      <c r="AB189" s="739" t="s">
        <v>1996</v>
      </c>
      <c r="AC189" s="738">
        <v>0</v>
      </c>
      <c r="AD189" s="592" t="str">
        <f t="shared" si="70"/>
        <v>47.0284.1.2.17.00.01.039.01.05.12.2</v>
      </c>
      <c r="AE189" s="739" t="s">
        <v>1998</v>
      </c>
      <c r="AF189" s="738">
        <v>0</v>
      </c>
      <c r="AG189" s="592" t="str">
        <f t="shared" si="71"/>
        <v>47.0284.1.2.17.00.01.039.01.05.12.3</v>
      </c>
      <c r="AH189" s="739" t="s">
        <v>2000</v>
      </c>
      <c r="AI189" s="158"/>
    </row>
    <row r="190" spans="1:35" ht="15" hidden="1" customHeight="1" outlineLevel="3">
      <c r="A190" s="93">
        <v>207060</v>
      </c>
      <c r="B190" s="93">
        <v>3453</v>
      </c>
      <c r="C190" s="93"/>
      <c r="D190" s="93"/>
      <c r="E190" s="93" t="s">
        <v>2906</v>
      </c>
      <c r="F190" s="93" t="s">
        <v>5146</v>
      </c>
      <c r="G190" s="37" t="s">
        <v>327</v>
      </c>
      <c r="H190" s="583">
        <f>IFERROR(VLOOKUP(A190,'Colar QL'!A:C,3,0),0)</f>
        <v>0</v>
      </c>
      <c r="I190" s="69">
        <f t="shared" si="65"/>
        <v>0</v>
      </c>
      <c r="J190" s="258">
        <f>'BD Temp'!E290</f>
        <v>0</v>
      </c>
      <c r="K190" s="590" t="str">
        <f t="shared" si="66"/>
        <v>47.0284.1.2.17.00.01.039.01.05.13.1</v>
      </c>
      <c r="L190" s="579" t="s">
        <v>1996</v>
      </c>
      <c r="M190" s="256" t="str">
        <f>'BD Temp'!F290</f>
        <v>-</v>
      </c>
      <c r="N190" s="255">
        <f>'BD Temp'!J290</f>
        <v>0</v>
      </c>
      <c r="O190" s="592" t="str">
        <f t="shared" si="67"/>
        <v>47.0284.1.2.17.00.01.039.01.05.13.2</v>
      </c>
      <c r="P190" s="578" t="s">
        <v>1998</v>
      </c>
      <c r="Q190" s="256" t="str">
        <f>'BD Temp'!K290</f>
        <v>-</v>
      </c>
      <c r="R190" s="255">
        <f>'BD Temp'!O290</f>
        <v>0</v>
      </c>
      <c r="S190" s="592" t="str">
        <f t="shared" si="68"/>
        <v>47.0284.1.2.17.00.01.039.01.05.13.3</v>
      </c>
      <c r="T190" s="578" t="s">
        <v>2000</v>
      </c>
      <c r="U190" s="256" t="str">
        <f>'BD Temp'!P290</f>
        <v>-</v>
      </c>
      <c r="V190" s="764"/>
      <c r="W190" s="764"/>
      <c r="X190" s="158"/>
      <c r="Y190" s="745"/>
      <c r="Z190" s="741">
        <v>0</v>
      </c>
      <c r="AA190" s="592" t="str">
        <f t="shared" si="69"/>
        <v>47.0284.1.2.17.00.01.039.01.05.13.1</v>
      </c>
      <c r="AB190" s="739" t="s">
        <v>1996</v>
      </c>
      <c r="AC190" s="738">
        <v>0</v>
      </c>
      <c r="AD190" s="592" t="str">
        <f t="shared" si="70"/>
        <v>47.0284.1.2.17.00.01.039.01.05.13.2</v>
      </c>
      <c r="AE190" s="739" t="s">
        <v>1998</v>
      </c>
      <c r="AF190" s="738">
        <v>0</v>
      </c>
      <c r="AG190" s="592" t="str">
        <f t="shared" si="71"/>
        <v>47.0284.1.2.17.00.01.039.01.05.13.3</v>
      </c>
      <c r="AH190" s="739" t="s">
        <v>2000</v>
      </c>
      <c r="AI190" s="158"/>
    </row>
    <row r="191" spans="1:35" ht="15" hidden="1" customHeight="1" outlineLevel="3">
      <c r="A191" s="93">
        <v>207065</v>
      </c>
      <c r="B191" s="93">
        <v>3453</v>
      </c>
      <c r="C191" s="93"/>
      <c r="D191" s="93"/>
      <c r="E191" s="93" t="s">
        <v>2907</v>
      </c>
      <c r="F191" s="93" t="s">
        <v>5147</v>
      </c>
      <c r="G191" s="37" t="s">
        <v>196</v>
      </c>
      <c r="H191" s="583">
        <f>IFERROR(VLOOKUP(A191,'Colar QL'!A:C,3,0),0)</f>
        <v>0</v>
      </c>
      <c r="I191" s="69">
        <f t="shared" si="65"/>
        <v>0</v>
      </c>
      <c r="J191" s="258">
        <f>'BD Temp'!E291</f>
        <v>0</v>
      </c>
      <c r="K191" s="590" t="str">
        <f t="shared" si="66"/>
        <v>47.0284.1.2.17.00.01.039.01.05.14.1</v>
      </c>
      <c r="L191" s="579" t="s">
        <v>1996</v>
      </c>
      <c r="M191" s="256" t="str">
        <f>'BD Temp'!F291</f>
        <v>-</v>
      </c>
      <c r="N191" s="255">
        <f>'BD Temp'!J291</f>
        <v>0</v>
      </c>
      <c r="O191" s="592" t="str">
        <f t="shared" si="67"/>
        <v>47.0284.1.2.17.00.01.039.01.05.14.2</v>
      </c>
      <c r="P191" s="578" t="s">
        <v>1998</v>
      </c>
      <c r="Q191" s="256" t="str">
        <f>'BD Temp'!K291</f>
        <v>-</v>
      </c>
      <c r="R191" s="255">
        <f>'BD Temp'!O291</f>
        <v>0</v>
      </c>
      <c r="S191" s="592" t="str">
        <f t="shared" si="68"/>
        <v>47.0284.1.2.17.00.01.039.01.05.14.3</v>
      </c>
      <c r="T191" s="578" t="s">
        <v>2000</v>
      </c>
      <c r="U191" s="256" t="str">
        <f>'BD Temp'!P291</f>
        <v>-</v>
      </c>
      <c r="V191" s="764"/>
      <c r="W191" s="764"/>
      <c r="X191" s="158"/>
      <c r="Y191" s="745"/>
      <c r="Z191" s="741">
        <v>0</v>
      </c>
      <c r="AA191" s="592" t="str">
        <f t="shared" si="69"/>
        <v>47.0284.1.2.17.00.01.039.01.05.14.1</v>
      </c>
      <c r="AB191" s="739" t="s">
        <v>1996</v>
      </c>
      <c r="AC191" s="738">
        <v>0</v>
      </c>
      <c r="AD191" s="592" t="str">
        <f t="shared" si="70"/>
        <v>47.0284.1.2.17.00.01.039.01.05.14.2</v>
      </c>
      <c r="AE191" s="739" t="s">
        <v>1998</v>
      </c>
      <c r="AF191" s="738">
        <v>0</v>
      </c>
      <c r="AG191" s="592" t="str">
        <f t="shared" si="71"/>
        <v>47.0284.1.2.17.00.01.039.01.05.14.3</v>
      </c>
      <c r="AH191" s="739" t="s">
        <v>2000</v>
      </c>
      <c r="AI191" s="158"/>
    </row>
    <row r="192" spans="1:35" ht="15" hidden="1" customHeight="1" outlineLevel="3">
      <c r="A192" s="93">
        <v>207070</v>
      </c>
      <c r="B192" s="93">
        <v>3453</v>
      </c>
      <c r="C192" s="93"/>
      <c r="D192" s="93"/>
      <c r="E192" s="93" t="s">
        <v>2908</v>
      </c>
      <c r="F192" s="93" t="s">
        <v>5148</v>
      </c>
      <c r="G192" s="37" t="s">
        <v>197</v>
      </c>
      <c r="H192" s="583">
        <f>IFERROR(VLOOKUP(A192,'Colar QL'!A:C,3,0),0)</f>
        <v>0</v>
      </c>
      <c r="I192" s="69">
        <f t="shared" si="65"/>
        <v>0</v>
      </c>
      <c r="J192" s="258">
        <f>'BD Temp'!E292</f>
        <v>0</v>
      </c>
      <c r="K192" s="590" t="str">
        <f t="shared" si="66"/>
        <v>47.0284.1.2.17.00.01.039.01.05.15.1</v>
      </c>
      <c r="L192" s="579" t="s">
        <v>1996</v>
      </c>
      <c r="M192" s="256" t="str">
        <f>'BD Temp'!F292</f>
        <v>-</v>
      </c>
      <c r="N192" s="255">
        <f>'BD Temp'!J292</f>
        <v>0</v>
      </c>
      <c r="O192" s="592" t="str">
        <f t="shared" si="67"/>
        <v>47.0284.1.2.17.00.01.039.01.05.15.2</v>
      </c>
      <c r="P192" s="578" t="s">
        <v>1998</v>
      </c>
      <c r="Q192" s="256" t="str">
        <f>'BD Temp'!K292</f>
        <v>-</v>
      </c>
      <c r="R192" s="255">
        <f>'BD Temp'!O292</f>
        <v>0</v>
      </c>
      <c r="S192" s="592" t="str">
        <f t="shared" si="68"/>
        <v>47.0284.1.2.17.00.01.039.01.05.15.3</v>
      </c>
      <c r="T192" s="578" t="s">
        <v>2000</v>
      </c>
      <c r="U192" s="256" t="str">
        <f>'BD Temp'!P292</f>
        <v>-</v>
      </c>
      <c r="V192" s="764"/>
      <c r="W192" s="764"/>
      <c r="X192" s="158"/>
      <c r="Y192" s="745"/>
      <c r="Z192" s="741">
        <v>0</v>
      </c>
      <c r="AA192" s="592" t="str">
        <f t="shared" si="69"/>
        <v>47.0284.1.2.17.00.01.039.01.05.15.1</v>
      </c>
      <c r="AB192" s="739" t="s">
        <v>1996</v>
      </c>
      <c r="AC192" s="738">
        <v>0</v>
      </c>
      <c r="AD192" s="592" t="str">
        <f t="shared" si="70"/>
        <v>47.0284.1.2.17.00.01.039.01.05.15.2</v>
      </c>
      <c r="AE192" s="739" t="s">
        <v>1998</v>
      </c>
      <c r="AF192" s="738">
        <v>0</v>
      </c>
      <c r="AG192" s="592" t="str">
        <f t="shared" si="71"/>
        <v>47.0284.1.2.17.00.01.039.01.05.15.3</v>
      </c>
      <c r="AH192" s="739" t="s">
        <v>2000</v>
      </c>
      <c r="AI192" s="158"/>
    </row>
    <row r="193" spans="1:35" ht="15" hidden="1" customHeight="1" outlineLevel="3">
      <c r="A193" s="93">
        <v>207075</v>
      </c>
      <c r="B193" s="93">
        <v>3453</v>
      </c>
      <c r="C193" s="93"/>
      <c r="D193" s="93"/>
      <c r="E193" s="93" t="s">
        <v>2909</v>
      </c>
      <c r="F193" s="93" t="s">
        <v>5149</v>
      </c>
      <c r="G193" s="37" t="s">
        <v>198</v>
      </c>
      <c r="H193" s="583">
        <f>IFERROR(VLOOKUP(A193,'Colar QL'!A:C,3,0),0)</f>
        <v>0</v>
      </c>
      <c r="I193" s="69">
        <f t="shared" si="65"/>
        <v>0</v>
      </c>
      <c r="J193" s="258">
        <f>'BD Temp'!E293</f>
        <v>0</v>
      </c>
      <c r="K193" s="590" t="str">
        <f t="shared" si="66"/>
        <v>47.0284.1.2.17.00.01.039.01.05.16.1</v>
      </c>
      <c r="L193" s="579" t="s">
        <v>1996</v>
      </c>
      <c r="M193" s="256" t="str">
        <f>'BD Temp'!F293</f>
        <v>-</v>
      </c>
      <c r="N193" s="255">
        <f>'BD Temp'!J293</f>
        <v>0</v>
      </c>
      <c r="O193" s="592" t="str">
        <f t="shared" si="67"/>
        <v>47.0284.1.2.17.00.01.039.01.05.16.2</v>
      </c>
      <c r="P193" s="578" t="s">
        <v>1998</v>
      </c>
      <c r="Q193" s="256" t="str">
        <f>'BD Temp'!K293</f>
        <v>-</v>
      </c>
      <c r="R193" s="255">
        <f>'BD Temp'!O293</f>
        <v>0</v>
      </c>
      <c r="S193" s="592" t="str">
        <f t="shared" si="68"/>
        <v>47.0284.1.2.17.00.01.039.01.05.16.3</v>
      </c>
      <c r="T193" s="578" t="s">
        <v>2000</v>
      </c>
      <c r="U193" s="256" t="str">
        <f>'BD Temp'!P293</f>
        <v>-</v>
      </c>
      <c r="V193" s="764"/>
      <c r="W193" s="764"/>
      <c r="X193" s="158"/>
      <c r="Y193" s="745"/>
      <c r="Z193" s="741">
        <v>0</v>
      </c>
      <c r="AA193" s="592" t="str">
        <f t="shared" si="69"/>
        <v>47.0284.1.2.17.00.01.039.01.05.16.1</v>
      </c>
      <c r="AB193" s="739" t="s">
        <v>1996</v>
      </c>
      <c r="AC193" s="738">
        <v>0</v>
      </c>
      <c r="AD193" s="592" t="str">
        <f t="shared" si="70"/>
        <v>47.0284.1.2.17.00.01.039.01.05.16.2</v>
      </c>
      <c r="AE193" s="739" t="s">
        <v>1998</v>
      </c>
      <c r="AF193" s="738">
        <v>0</v>
      </c>
      <c r="AG193" s="592" t="str">
        <f t="shared" si="71"/>
        <v>47.0284.1.2.17.00.01.039.01.05.16.3</v>
      </c>
      <c r="AH193" s="739" t="s">
        <v>2000</v>
      </c>
      <c r="AI193" s="158"/>
    </row>
    <row r="194" spans="1:35" ht="15" hidden="1" customHeight="1" outlineLevel="3">
      <c r="A194" s="93">
        <v>207080</v>
      </c>
      <c r="B194" s="93">
        <v>3453</v>
      </c>
      <c r="C194" s="93"/>
      <c r="D194" s="93"/>
      <c r="E194" s="93" t="s">
        <v>2910</v>
      </c>
      <c r="F194" s="93" t="s">
        <v>5150</v>
      </c>
      <c r="G194" s="37" t="s">
        <v>199</v>
      </c>
      <c r="H194" s="583">
        <f>IFERROR(VLOOKUP(A194,'Colar QL'!A:C,3,0),0)</f>
        <v>0</v>
      </c>
      <c r="I194" s="69">
        <f t="shared" si="65"/>
        <v>0</v>
      </c>
      <c r="J194" s="258">
        <f>'BD Temp'!E294</f>
        <v>0</v>
      </c>
      <c r="K194" s="590" t="str">
        <f t="shared" si="66"/>
        <v>47.0284.1.2.17.00.01.039.01.05.17.1</v>
      </c>
      <c r="L194" s="579" t="s">
        <v>1996</v>
      </c>
      <c r="M194" s="256" t="str">
        <f>'BD Temp'!F294</f>
        <v>-</v>
      </c>
      <c r="N194" s="255">
        <f>'BD Temp'!J294</f>
        <v>0</v>
      </c>
      <c r="O194" s="592" t="str">
        <f t="shared" si="67"/>
        <v>47.0284.1.2.17.00.01.039.01.05.17.2</v>
      </c>
      <c r="P194" s="578" t="s">
        <v>1998</v>
      </c>
      <c r="Q194" s="256" t="str">
        <f>'BD Temp'!K294</f>
        <v>-</v>
      </c>
      <c r="R194" s="255">
        <f>'BD Temp'!O294</f>
        <v>0</v>
      </c>
      <c r="S194" s="592" t="str">
        <f t="shared" si="68"/>
        <v>47.0284.1.2.17.00.01.039.01.05.17.3</v>
      </c>
      <c r="T194" s="578" t="s">
        <v>2000</v>
      </c>
      <c r="U194" s="256" t="str">
        <f>'BD Temp'!P294</f>
        <v>-</v>
      </c>
      <c r="V194" s="764"/>
      <c r="W194" s="764"/>
      <c r="X194" s="158"/>
      <c r="Y194" s="745"/>
      <c r="Z194" s="741">
        <v>0</v>
      </c>
      <c r="AA194" s="592" t="str">
        <f t="shared" si="69"/>
        <v>47.0284.1.2.17.00.01.039.01.05.17.1</v>
      </c>
      <c r="AB194" s="739" t="s">
        <v>1996</v>
      </c>
      <c r="AC194" s="738">
        <v>0</v>
      </c>
      <c r="AD194" s="592" t="str">
        <f t="shared" si="70"/>
        <v>47.0284.1.2.17.00.01.039.01.05.17.2</v>
      </c>
      <c r="AE194" s="739" t="s">
        <v>1998</v>
      </c>
      <c r="AF194" s="738">
        <v>0</v>
      </c>
      <c r="AG194" s="592" t="str">
        <f t="shared" si="71"/>
        <v>47.0284.1.2.17.00.01.039.01.05.17.3</v>
      </c>
      <c r="AH194" s="739" t="s">
        <v>2000</v>
      </c>
      <c r="AI194" s="158"/>
    </row>
    <row r="195" spans="1:35" ht="15" hidden="1" customHeight="1" outlineLevel="3">
      <c r="A195" s="93">
        <v>207085</v>
      </c>
      <c r="B195" s="93">
        <v>3453</v>
      </c>
      <c r="C195" s="93"/>
      <c r="D195" s="93"/>
      <c r="E195" s="93" t="s">
        <v>2911</v>
      </c>
      <c r="F195" s="93" t="s">
        <v>5151</v>
      </c>
      <c r="G195" s="37" t="s">
        <v>200</v>
      </c>
      <c r="H195" s="583">
        <f>IFERROR(VLOOKUP(A195,'Colar QL'!A:C,3,0),0)</f>
        <v>0</v>
      </c>
      <c r="I195" s="69">
        <f t="shared" si="65"/>
        <v>0</v>
      </c>
      <c r="J195" s="258">
        <f>'BD Temp'!E295</f>
        <v>0</v>
      </c>
      <c r="K195" s="590" t="str">
        <f t="shared" si="66"/>
        <v>47.0284.1.2.17.00.01.039.01.05.18.1</v>
      </c>
      <c r="L195" s="579" t="s">
        <v>1996</v>
      </c>
      <c r="M195" s="256" t="str">
        <f>'BD Temp'!F295</f>
        <v>-</v>
      </c>
      <c r="N195" s="255">
        <f>'BD Temp'!J295</f>
        <v>0</v>
      </c>
      <c r="O195" s="592" t="str">
        <f t="shared" si="67"/>
        <v>47.0284.1.2.17.00.01.039.01.05.18.2</v>
      </c>
      <c r="P195" s="578" t="s">
        <v>1998</v>
      </c>
      <c r="Q195" s="256" t="str">
        <f>'BD Temp'!K295</f>
        <v>-</v>
      </c>
      <c r="R195" s="255">
        <f>'BD Temp'!O295</f>
        <v>0</v>
      </c>
      <c r="S195" s="592" t="str">
        <f t="shared" si="68"/>
        <v>47.0284.1.2.17.00.01.039.01.05.18.3</v>
      </c>
      <c r="T195" s="578" t="s">
        <v>2000</v>
      </c>
      <c r="U195" s="256" t="str">
        <f>'BD Temp'!P295</f>
        <v>-</v>
      </c>
      <c r="V195" s="764"/>
      <c r="W195" s="764"/>
      <c r="X195" s="158"/>
      <c r="Y195" s="745"/>
      <c r="Z195" s="741">
        <v>0</v>
      </c>
      <c r="AA195" s="592" t="str">
        <f t="shared" si="69"/>
        <v>47.0284.1.2.17.00.01.039.01.05.18.1</v>
      </c>
      <c r="AB195" s="739" t="s">
        <v>1996</v>
      </c>
      <c r="AC195" s="738">
        <v>0</v>
      </c>
      <c r="AD195" s="592" t="str">
        <f t="shared" si="70"/>
        <v>47.0284.1.2.17.00.01.039.01.05.18.2</v>
      </c>
      <c r="AE195" s="739" t="s">
        <v>1998</v>
      </c>
      <c r="AF195" s="738">
        <v>0</v>
      </c>
      <c r="AG195" s="592" t="str">
        <f t="shared" si="71"/>
        <v>47.0284.1.2.17.00.01.039.01.05.18.3</v>
      </c>
      <c r="AH195" s="739" t="s">
        <v>2000</v>
      </c>
      <c r="AI195" s="158"/>
    </row>
    <row r="196" spans="1:35" ht="15" hidden="1" customHeight="1" outlineLevel="3">
      <c r="A196" s="93">
        <v>207090</v>
      </c>
      <c r="B196" s="93">
        <v>3453</v>
      </c>
      <c r="C196" s="93"/>
      <c r="D196" s="93"/>
      <c r="E196" s="93" t="s">
        <v>2912</v>
      </c>
      <c r="F196" s="93" t="s">
        <v>5152</v>
      </c>
      <c r="G196" s="37" t="s">
        <v>201</v>
      </c>
      <c r="H196" s="583">
        <f>IFERROR(VLOOKUP(A196,'Colar QL'!A:C,3,0),0)</f>
        <v>0</v>
      </c>
      <c r="I196" s="69">
        <f t="shared" si="65"/>
        <v>0</v>
      </c>
      <c r="J196" s="258">
        <f>'BD Temp'!E296</f>
        <v>0</v>
      </c>
      <c r="K196" s="590" t="str">
        <f t="shared" si="66"/>
        <v>47.0284.1.2.17.00.01.039.01.05.19.1</v>
      </c>
      <c r="L196" s="579" t="s">
        <v>1996</v>
      </c>
      <c r="M196" s="256" t="str">
        <f>'BD Temp'!F296</f>
        <v>-</v>
      </c>
      <c r="N196" s="255">
        <f>'BD Temp'!J296</f>
        <v>0</v>
      </c>
      <c r="O196" s="592" t="str">
        <f t="shared" si="67"/>
        <v>47.0284.1.2.17.00.01.039.01.05.19.2</v>
      </c>
      <c r="P196" s="578" t="s">
        <v>1998</v>
      </c>
      <c r="Q196" s="256" t="str">
        <f>'BD Temp'!K296</f>
        <v>-</v>
      </c>
      <c r="R196" s="255">
        <f>'BD Temp'!O296</f>
        <v>0</v>
      </c>
      <c r="S196" s="592" t="str">
        <f t="shared" si="68"/>
        <v>47.0284.1.2.17.00.01.039.01.05.19.3</v>
      </c>
      <c r="T196" s="578" t="s">
        <v>2000</v>
      </c>
      <c r="U196" s="256" t="str">
        <f>'BD Temp'!P296</f>
        <v>-</v>
      </c>
      <c r="V196" s="764"/>
      <c r="W196" s="764"/>
      <c r="X196" s="158"/>
      <c r="Y196" s="745"/>
      <c r="Z196" s="741">
        <v>0</v>
      </c>
      <c r="AA196" s="592" t="str">
        <f t="shared" si="69"/>
        <v>47.0284.1.2.17.00.01.039.01.05.19.1</v>
      </c>
      <c r="AB196" s="739" t="s">
        <v>1996</v>
      </c>
      <c r="AC196" s="738">
        <v>0</v>
      </c>
      <c r="AD196" s="592" t="str">
        <f t="shared" si="70"/>
        <v>47.0284.1.2.17.00.01.039.01.05.19.2</v>
      </c>
      <c r="AE196" s="739" t="s">
        <v>1998</v>
      </c>
      <c r="AF196" s="738">
        <v>0</v>
      </c>
      <c r="AG196" s="592" t="str">
        <f t="shared" si="71"/>
        <v>47.0284.1.2.17.00.01.039.01.05.19.3</v>
      </c>
      <c r="AH196" s="739" t="s">
        <v>2000</v>
      </c>
      <c r="AI196" s="158"/>
    </row>
    <row r="197" spans="1:35" ht="15" hidden="1" customHeight="1" outlineLevel="3">
      <c r="A197" s="93">
        <v>207095</v>
      </c>
      <c r="B197" s="93">
        <v>3453</v>
      </c>
      <c r="C197" s="93"/>
      <c r="D197" s="93"/>
      <c r="E197" s="93" t="s">
        <v>2913</v>
      </c>
      <c r="F197" s="93" t="s">
        <v>5153</v>
      </c>
      <c r="G197" s="37" t="s">
        <v>202</v>
      </c>
      <c r="H197" s="583">
        <f>IFERROR(VLOOKUP(A197,'Colar QL'!A:C,3,0),0)</f>
        <v>0</v>
      </c>
      <c r="I197" s="69">
        <f t="shared" si="65"/>
        <v>0</v>
      </c>
      <c r="J197" s="258">
        <f>'BD Temp'!E297</f>
        <v>0</v>
      </c>
      <c r="K197" s="590" t="str">
        <f t="shared" si="66"/>
        <v>47.0284.1.2.17.00.01.039.01.05.20.1</v>
      </c>
      <c r="L197" s="579" t="s">
        <v>1996</v>
      </c>
      <c r="M197" s="256" t="str">
        <f>'BD Temp'!F297</f>
        <v>-</v>
      </c>
      <c r="N197" s="255">
        <f>'BD Temp'!J297</f>
        <v>0</v>
      </c>
      <c r="O197" s="592" t="str">
        <f t="shared" si="67"/>
        <v>47.0284.1.2.17.00.01.039.01.05.20.2</v>
      </c>
      <c r="P197" s="578" t="s">
        <v>1998</v>
      </c>
      <c r="Q197" s="256" t="str">
        <f>'BD Temp'!K297</f>
        <v>-</v>
      </c>
      <c r="R197" s="255">
        <f>'BD Temp'!O297</f>
        <v>0</v>
      </c>
      <c r="S197" s="592" t="str">
        <f t="shared" si="68"/>
        <v>47.0284.1.2.17.00.01.039.01.05.20.3</v>
      </c>
      <c r="T197" s="578" t="s">
        <v>2000</v>
      </c>
      <c r="U197" s="256" t="str">
        <f>'BD Temp'!P297</f>
        <v>-</v>
      </c>
      <c r="V197" s="764"/>
      <c r="W197" s="764"/>
      <c r="X197" s="158"/>
      <c r="Y197" s="745"/>
      <c r="Z197" s="741">
        <v>0</v>
      </c>
      <c r="AA197" s="592" t="str">
        <f t="shared" si="69"/>
        <v>47.0284.1.2.17.00.01.039.01.05.20.1</v>
      </c>
      <c r="AB197" s="739" t="s">
        <v>1996</v>
      </c>
      <c r="AC197" s="738">
        <v>0</v>
      </c>
      <c r="AD197" s="592" t="str">
        <f t="shared" si="70"/>
        <v>47.0284.1.2.17.00.01.039.01.05.20.2</v>
      </c>
      <c r="AE197" s="739" t="s">
        <v>1998</v>
      </c>
      <c r="AF197" s="738">
        <v>0</v>
      </c>
      <c r="AG197" s="592" t="str">
        <f t="shared" si="71"/>
        <v>47.0284.1.2.17.00.01.039.01.05.20.3</v>
      </c>
      <c r="AH197" s="739" t="s">
        <v>2000</v>
      </c>
      <c r="AI197" s="158"/>
    </row>
    <row r="198" spans="1:35" ht="15" hidden="1" customHeight="1" outlineLevel="3">
      <c r="A198" s="93">
        <v>207100</v>
      </c>
      <c r="B198" s="93">
        <v>3453</v>
      </c>
      <c r="C198" s="93"/>
      <c r="D198" s="93"/>
      <c r="E198" s="93" t="s">
        <v>2914</v>
      </c>
      <c r="F198" s="93" t="s">
        <v>5154</v>
      </c>
      <c r="G198" s="37" t="s">
        <v>69</v>
      </c>
      <c r="H198" s="583">
        <f>IFERROR(VLOOKUP(A198,'Colar QL'!A:C,3,0),0)</f>
        <v>0</v>
      </c>
      <c r="I198" s="69">
        <f t="shared" si="65"/>
        <v>0</v>
      </c>
      <c r="J198" s="258">
        <f>'BD Temp'!E298</f>
        <v>0</v>
      </c>
      <c r="K198" s="590" t="str">
        <f t="shared" si="66"/>
        <v>47.0284.1.2.17.00.01.039.01.05.21.1</v>
      </c>
      <c r="L198" s="579" t="s">
        <v>1996</v>
      </c>
      <c r="M198" s="256" t="str">
        <f>'BD Temp'!F298</f>
        <v>-</v>
      </c>
      <c r="N198" s="255">
        <f>'BD Temp'!J298</f>
        <v>0</v>
      </c>
      <c r="O198" s="592" t="str">
        <f t="shared" si="67"/>
        <v>47.0284.1.2.17.00.01.039.01.05.21.2</v>
      </c>
      <c r="P198" s="578" t="s">
        <v>1998</v>
      </c>
      <c r="Q198" s="256" t="str">
        <f>'BD Temp'!K298</f>
        <v>-</v>
      </c>
      <c r="R198" s="255">
        <f>'BD Temp'!O298</f>
        <v>0</v>
      </c>
      <c r="S198" s="592" t="str">
        <f t="shared" si="68"/>
        <v>47.0284.1.2.17.00.01.039.01.05.21.3</v>
      </c>
      <c r="T198" s="578" t="s">
        <v>2000</v>
      </c>
      <c r="U198" s="256" t="str">
        <f>'BD Temp'!P298</f>
        <v>-</v>
      </c>
      <c r="V198" s="764"/>
      <c r="W198" s="764"/>
      <c r="X198" s="158"/>
      <c r="Y198" s="745"/>
      <c r="Z198" s="741">
        <v>0</v>
      </c>
      <c r="AA198" s="592" t="str">
        <f t="shared" si="69"/>
        <v>47.0284.1.2.17.00.01.039.01.05.21.1</v>
      </c>
      <c r="AB198" s="739" t="s">
        <v>1996</v>
      </c>
      <c r="AC198" s="738">
        <v>0</v>
      </c>
      <c r="AD198" s="592" t="str">
        <f t="shared" si="70"/>
        <v>47.0284.1.2.17.00.01.039.01.05.21.2</v>
      </c>
      <c r="AE198" s="739" t="s">
        <v>1998</v>
      </c>
      <c r="AF198" s="738">
        <v>0</v>
      </c>
      <c r="AG198" s="592" t="str">
        <f t="shared" si="71"/>
        <v>47.0284.1.2.17.00.01.039.01.05.21.3</v>
      </c>
      <c r="AH198" s="739" t="s">
        <v>2000</v>
      </c>
      <c r="AI198" s="158"/>
    </row>
    <row r="199" spans="1:35" ht="15" hidden="1" customHeight="1" outlineLevel="3">
      <c r="A199" s="93">
        <v>207105</v>
      </c>
      <c r="B199" s="93">
        <v>3453</v>
      </c>
      <c r="C199" s="93"/>
      <c r="D199" s="93"/>
      <c r="E199" s="93" t="s">
        <v>2915</v>
      </c>
      <c r="F199" s="93" t="s">
        <v>5155</v>
      </c>
      <c r="G199" s="37" t="s">
        <v>170</v>
      </c>
      <c r="H199" s="583">
        <f>IFERROR(VLOOKUP(A199,'Colar QL'!A:C,3,0),0)</f>
        <v>0</v>
      </c>
      <c r="I199" s="69">
        <f t="shared" si="65"/>
        <v>0</v>
      </c>
      <c r="J199" s="258">
        <f>'BD Temp'!E299</f>
        <v>0</v>
      </c>
      <c r="K199" s="590" t="str">
        <f t="shared" si="66"/>
        <v>47.0284.1.2.17.00.01.039.01.05.22.1</v>
      </c>
      <c r="L199" s="579" t="s">
        <v>1996</v>
      </c>
      <c r="M199" s="256" t="str">
        <f>'BD Temp'!F299</f>
        <v>-</v>
      </c>
      <c r="N199" s="255">
        <f>'BD Temp'!J299</f>
        <v>0</v>
      </c>
      <c r="O199" s="592" t="str">
        <f t="shared" si="67"/>
        <v>47.0284.1.2.17.00.01.039.01.05.22.2</v>
      </c>
      <c r="P199" s="578" t="s">
        <v>1998</v>
      </c>
      <c r="Q199" s="256" t="str">
        <f>'BD Temp'!K299</f>
        <v>-</v>
      </c>
      <c r="R199" s="255">
        <f>'BD Temp'!O299</f>
        <v>0</v>
      </c>
      <c r="S199" s="592" t="str">
        <f t="shared" si="68"/>
        <v>47.0284.1.2.17.00.01.039.01.05.22.3</v>
      </c>
      <c r="T199" s="578" t="s">
        <v>2000</v>
      </c>
      <c r="U199" s="256" t="str">
        <f>'BD Temp'!P299</f>
        <v>-</v>
      </c>
      <c r="V199" s="764"/>
      <c r="W199" s="764"/>
      <c r="X199" s="158"/>
      <c r="Y199" s="745"/>
      <c r="Z199" s="741">
        <v>0</v>
      </c>
      <c r="AA199" s="592" t="str">
        <f t="shared" si="69"/>
        <v>47.0284.1.2.17.00.01.039.01.05.22.1</v>
      </c>
      <c r="AB199" s="739" t="s">
        <v>1996</v>
      </c>
      <c r="AC199" s="738">
        <v>0</v>
      </c>
      <c r="AD199" s="592" t="str">
        <f t="shared" si="70"/>
        <v>47.0284.1.2.17.00.01.039.01.05.22.2</v>
      </c>
      <c r="AE199" s="739" t="s">
        <v>1998</v>
      </c>
      <c r="AF199" s="738">
        <v>0</v>
      </c>
      <c r="AG199" s="592" t="str">
        <f t="shared" si="71"/>
        <v>47.0284.1.2.17.00.01.039.01.05.22.3</v>
      </c>
      <c r="AH199" s="739" t="s">
        <v>2000</v>
      </c>
      <c r="AI199" s="158"/>
    </row>
    <row r="200" spans="1:35" ht="15" hidden="1" customHeight="1" outlineLevel="3">
      <c r="A200" s="93">
        <v>207115</v>
      </c>
      <c r="B200" s="93">
        <v>3453</v>
      </c>
      <c r="C200" s="93"/>
      <c r="D200" s="93"/>
      <c r="E200" s="93" t="s">
        <v>2916</v>
      </c>
      <c r="F200" s="93" t="s">
        <v>5156</v>
      </c>
      <c r="G200" s="37" t="s">
        <v>598</v>
      </c>
      <c r="H200" s="583">
        <f>IFERROR(VLOOKUP(A200,'Colar QL'!A:C,3,0),0)</f>
        <v>0</v>
      </c>
      <c r="I200" s="69">
        <f t="shared" si="65"/>
        <v>0</v>
      </c>
      <c r="J200" s="258">
        <f>'BD Temp'!E300</f>
        <v>0</v>
      </c>
      <c r="K200" s="590" t="str">
        <f t="shared" si="66"/>
        <v>47.0284.1.2.17.00.01.039.01.05.24.1</v>
      </c>
      <c r="L200" s="579" t="s">
        <v>1996</v>
      </c>
      <c r="M200" s="256" t="str">
        <f>'BD Temp'!F300</f>
        <v>-</v>
      </c>
      <c r="N200" s="255">
        <f>'BD Temp'!J300</f>
        <v>0</v>
      </c>
      <c r="O200" s="592" t="str">
        <f t="shared" si="67"/>
        <v>47.0284.1.2.17.00.01.039.01.05.24.2</v>
      </c>
      <c r="P200" s="578" t="s">
        <v>1998</v>
      </c>
      <c r="Q200" s="256" t="str">
        <f>'BD Temp'!K300</f>
        <v>-</v>
      </c>
      <c r="R200" s="255">
        <f>'BD Temp'!O300</f>
        <v>0</v>
      </c>
      <c r="S200" s="592" t="str">
        <f t="shared" si="68"/>
        <v>47.0284.1.2.17.00.01.039.01.05.24.3</v>
      </c>
      <c r="T200" s="578" t="s">
        <v>2000</v>
      </c>
      <c r="U200" s="256" t="str">
        <f>'BD Temp'!P300</f>
        <v>-</v>
      </c>
      <c r="V200" s="764"/>
      <c r="W200" s="764"/>
      <c r="X200" s="158"/>
      <c r="Y200" s="745"/>
      <c r="Z200" s="741">
        <v>0</v>
      </c>
      <c r="AA200" s="592" t="str">
        <f t="shared" si="69"/>
        <v>47.0284.1.2.17.00.01.039.01.05.24.1</v>
      </c>
      <c r="AB200" s="739" t="s">
        <v>1996</v>
      </c>
      <c r="AC200" s="738">
        <v>0</v>
      </c>
      <c r="AD200" s="592" t="str">
        <f t="shared" si="70"/>
        <v>47.0284.1.2.17.00.01.039.01.05.24.2</v>
      </c>
      <c r="AE200" s="739" t="s">
        <v>1998</v>
      </c>
      <c r="AF200" s="738">
        <v>0</v>
      </c>
      <c r="AG200" s="592" t="str">
        <f t="shared" si="71"/>
        <v>47.0284.1.2.17.00.01.039.01.05.24.3</v>
      </c>
      <c r="AH200" s="739" t="s">
        <v>2000</v>
      </c>
      <c r="AI200" s="158"/>
    </row>
    <row r="201" spans="1:35" ht="15" hidden="1" customHeight="1" outlineLevel="3">
      <c r="A201" s="95"/>
      <c r="B201" s="95" t="s">
        <v>1075</v>
      </c>
      <c r="C201" s="95"/>
      <c r="D201" s="95"/>
      <c r="E201" s="774"/>
      <c r="F201" s="774" t="s">
        <v>1075</v>
      </c>
      <c r="G201" s="13"/>
      <c r="H201" s="81"/>
      <c r="I201" s="71">
        <f t="shared" si="65"/>
        <v>0</v>
      </c>
      <c r="J201" s="48"/>
      <c r="K201" s="590" t="str">
        <f t="shared" si="66"/>
        <v>.1</v>
      </c>
      <c r="L201" s="579" t="s">
        <v>1996</v>
      </c>
      <c r="M201" s="74"/>
      <c r="N201" s="49"/>
      <c r="O201" s="592" t="str">
        <f t="shared" si="67"/>
        <v>.2</v>
      </c>
      <c r="P201" s="578" t="s">
        <v>1998</v>
      </c>
      <c r="Q201" s="74"/>
      <c r="R201" s="49"/>
      <c r="S201" s="592" t="str">
        <f t="shared" si="68"/>
        <v>.3</v>
      </c>
      <c r="T201" s="578" t="s">
        <v>2000</v>
      </c>
      <c r="U201" s="74"/>
      <c r="V201" s="766"/>
      <c r="W201" s="766"/>
      <c r="X201" s="171"/>
      <c r="Y201" s="745"/>
      <c r="Z201" s="741">
        <v>0</v>
      </c>
      <c r="AA201" s="592" t="str">
        <f t="shared" si="69"/>
        <v>.1</v>
      </c>
      <c r="AB201" s="739" t="s">
        <v>1996</v>
      </c>
      <c r="AC201" s="738">
        <v>0</v>
      </c>
      <c r="AD201" s="592" t="str">
        <f t="shared" si="70"/>
        <v>.2</v>
      </c>
      <c r="AE201" s="739" t="s">
        <v>1998</v>
      </c>
      <c r="AF201" s="738">
        <v>0</v>
      </c>
      <c r="AG201" s="592" t="str">
        <f t="shared" si="71"/>
        <v>.3</v>
      </c>
      <c r="AH201" s="739" t="s">
        <v>2000</v>
      </c>
      <c r="AI201" s="171"/>
    </row>
    <row r="202" spans="1:35" ht="15" hidden="1" customHeight="1" outlineLevel="3">
      <c r="A202" s="96"/>
      <c r="B202" s="96" t="s">
        <v>1075</v>
      </c>
      <c r="C202" s="96"/>
      <c r="D202" s="96"/>
      <c r="E202" s="96"/>
      <c r="F202" s="96" t="s">
        <v>1075</v>
      </c>
      <c r="G202" s="36" t="s">
        <v>723</v>
      </c>
      <c r="H202" s="81"/>
      <c r="I202" s="71">
        <f t="shared" si="65"/>
        <v>0</v>
      </c>
      <c r="J202" s="48"/>
      <c r="K202" s="590" t="str">
        <f t="shared" si="66"/>
        <v>.1</v>
      </c>
      <c r="L202" s="579" t="s">
        <v>1996</v>
      </c>
      <c r="M202" s="74"/>
      <c r="N202" s="49"/>
      <c r="O202" s="592" t="str">
        <f t="shared" si="67"/>
        <v>.2</v>
      </c>
      <c r="P202" s="578" t="s">
        <v>1998</v>
      </c>
      <c r="Q202" s="74"/>
      <c r="R202" s="49"/>
      <c r="S202" s="592" t="str">
        <f t="shared" si="68"/>
        <v>.3</v>
      </c>
      <c r="T202" s="578" t="s">
        <v>2000</v>
      </c>
      <c r="U202" s="74"/>
      <c r="V202" s="766"/>
      <c r="W202" s="766"/>
      <c r="X202" s="171"/>
      <c r="Y202" s="745"/>
      <c r="Z202" s="741">
        <v>0</v>
      </c>
      <c r="AA202" s="592" t="str">
        <f t="shared" si="69"/>
        <v>.1</v>
      </c>
      <c r="AB202" s="739" t="s">
        <v>1996</v>
      </c>
      <c r="AC202" s="738">
        <v>0</v>
      </c>
      <c r="AD202" s="592" t="str">
        <f t="shared" si="70"/>
        <v>.2</v>
      </c>
      <c r="AE202" s="739" t="s">
        <v>1998</v>
      </c>
      <c r="AF202" s="738">
        <v>0</v>
      </c>
      <c r="AG202" s="592" t="str">
        <f t="shared" si="71"/>
        <v>.3</v>
      </c>
      <c r="AH202" s="739" t="s">
        <v>2000</v>
      </c>
      <c r="AI202" s="171"/>
    </row>
    <row r="203" spans="1:35" ht="15" hidden="1" customHeight="1" outlineLevel="3">
      <c r="A203" s="95"/>
      <c r="B203" s="95" t="s">
        <v>1075</v>
      </c>
      <c r="C203" s="95"/>
      <c r="D203" s="95"/>
      <c r="E203" s="774"/>
      <c r="F203" s="774" t="s">
        <v>1075</v>
      </c>
      <c r="G203" s="13"/>
      <c r="H203" s="79"/>
      <c r="I203" s="71">
        <f t="shared" si="65"/>
        <v>0</v>
      </c>
      <c r="J203" s="48"/>
      <c r="K203" s="590" t="str">
        <f t="shared" si="66"/>
        <v>.1</v>
      </c>
      <c r="L203" s="579" t="s">
        <v>1996</v>
      </c>
      <c r="M203" s="74"/>
      <c r="N203" s="49"/>
      <c r="O203" s="592" t="str">
        <f t="shared" si="67"/>
        <v>.2</v>
      </c>
      <c r="P203" s="578" t="s">
        <v>1998</v>
      </c>
      <c r="Q203" s="74"/>
      <c r="R203" s="49"/>
      <c r="S203" s="592" t="str">
        <f t="shared" si="68"/>
        <v>.3</v>
      </c>
      <c r="T203" s="578" t="s">
        <v>2000</v>
      </c>
      <c r="U203" s="74"/>
      <c r="V203" s="766"/>
      <c r="W203" s="766"/>
      <c r="X203" s="171"/>
      <c r="Y203" s="745"/>
      <c r="Z203" s="741">
        <v>0</v>
      </c>
      <c r="AA203" s="592" t="str">
        <f t="shared" si="69"/>
        <v>.1</v>
      </c>
      <c r="AB203" s="739" t="s">
        <v>1996</v>
      </c>
      <c r="AC203" s="738">
        <v>0</v>
      </c>
      <c r="AD203" s="592" t="str">
        <f t="shared" si="70"/>
        <v>.2</v>
      </c>
      <c r="AE203" s="739" t="s">
        <v>1998</v>
      </c>
      <c r="AF203" s="738">
        <v>0</v>
      </c>
      <c r="AG203" s="592" t="str">
        <f t="shared" si="71"/>
        <v>.3</v>
      </c>
      <c r="AH203" s="739" t="s">
        <v>2000</v>
      </c>
      <c r="AI203" s="171"/>
    </row>
    <row r="204" spans="1:35" ht="15" hidden="1" customHeight="1" outlineLevel="3">
      <c r="A204" s="95"/>
      <c r="B204" s="95" t="s">
        <v>1075</v>
      </c>
      <c r="C204" s="95"/>
      <c r="D204" s="95"/>
      <c r="E204" s="774"/>
      <c r="F204" s="774" t="s">
        <v>1075</v>
      </c>
      <c r="G204" s="13"/>
      <c r="H204" s="79"/>
      <c r="I204" s="71">
        <f t="shared" si="65"/>
        <v>0</v>
      </c>
      <c r="J204" s="48"/>
      <c r="K204" s="590" t="str">
        <f t="shared" si="66"/>
        <v>.1</v>
      </c>
      <c r="L204" s="579" t="s">
        <v>1996</v>
      </c>
      <c r="M204" s="74"/>
      <c r="N204" s="49"/>
      <c r="O204" s="592" t="str">
        <f t="shared" si="67"/>
        <v>.2</v>
      </c>
      <c r="P204" s="578" t="s">
        <v>1998</v>
      </c>
      <c r="Q204" s="74"/>
      <c r="R204" s="49"/>
      <c r="S204" s="592" t="str">
        <f t="shared" si="68"/>
        <v>.3</v>
      </c>
      <c r="T204" s="578" t="s">
        <v>2000</v>
      </c>
      <c r="U204" s="74"/>
      <c r="V204" s="766"/>
      <c r="W204" s="766"/>
      <c r="X204" s="171"/>
      <c r="Y204" s="745"/>
      <c r="Z204" s="741">
        <v>0</v>
      </c>
      <c r="AA204" s="592" t="str">
        <f t="shared" si="69"/>
        <v>.1</v>
      </c>
      <c r="AB204" s="739" t="s">
        <v>1996</v>
      </c>
      <c r="AC204" s="738">
        <v>0</v>
      </c>
      <c r="AD204" s="592" t="str">
        <f t="shared" si="70"/>
        <v>.2</v>
      </c>
      <c r="AE204" s="739" t="s">
        <v>1998</v>
      </c>
      <c r="AF204" s="738">
        <v>0</v>
      </c>
      <c r="AG204" s="592" t="str">
        <f t="shared" si="71"/>
        <v>.3</v>
      </c>
      <c r="AH204" s="739" t="s">
        <v>2000</v>
      </c>
      <c r="AI204" s="171"/>
    </row>
    <row r="205" spans="1:35" ht="15" hidden="1" customHeight="1" outlineLevel="3">
      <c r="A205" s="95"/>
      <c r="B205" s="95" t="s">
        <v>1075</v>
      </c>
      <c r="C205" s="95"/>
      <c r="D205" s="95"/>
      <c r="E205" s="774"/>
      <c r="F205" s="774" t="s">
        <v>1075</v>
      </c>
      <c r="G205" s="13"/>
      <c r="H205" s="79"/>
      <c r="I205" s="71">
        <f t="shared" si="65"/>
        <v>0</v>
      </c>
      <c r="J205" s="48"/>
      <c r="K205" s="590" t="str">
        <f t="shared" si="66"/>
        <v>.1</v>
      </c>
      <c r="L205" s="579" t="s">
        <v>1996</v>
      </c>
      <c r="M205" s="74"/>
      <c r="N205" s="49"/>
      <c r="O205" s="592" t="str">
        <f t="shared" si="67"/>
        <v>.2</v>
      </c>
      <c r="P205" s="578" t="s">
        <v>1998</v>
      </c>
      <c r="Q205" s="74"/>
      <c r="R205" s="49"/>
      <c r="S205" s="592" t="str">
        <f t="shared" si="68"/>
        <v>.3</v>
      </c>
      <c r="T205" s="578" t="s">
        <v>2000</v>
      </c>
      <c r="U205" s="74"/>
      <c r="V205" s="766"/>
      <c r="W205" s="766"/>
      <c r="X205" s="171"/>
      <c r="Y205" s="745"/>
      <c r="Z205" s="741">
        <v>0</v>
      </c>
      <c r="AA205" s="592" t="str">
        <f t="shared" si="69"/>
        <v>.1</v>
      </c>
      <c r="AB205" s="739" t="s">
        <v>1996</v>
      </c>
      <c r="AC205" s="738">
        <v>0</v>
      </c>
      <c r="AD205" s="592" t="str">
        <f t="shared" si="70"/>
        <v>.2</v>
      </c>
      <c r="AE205" s="739" t="s">
        <v>1998</v>
      </c>
      <c r="AF205" s="738">
        <v>0</v>
      </c>
      <c r="AG205" s="592" t="str">
        <f t="shared" si="71"/>
        <v>.3</v>
      </c>
      <c r="AH205" s="739" t="s">
        <v>2000</v>
      </c>
      <c r="AI205" s="171"/>
    </row>
    <row r="206" spans="1:35" ht="15" hidden="1" customHeight="1" outlineLevel="3">
      <c r="A206" s="95"/>
      <c r="B206" s="95" t="s">
        <v>1075</v>
      </c>
      <c r="C206" s="95"/>
      <c r="D206" s="95"/>
      <c r="E206" s="774"/>
      <c r="F206" s="774" t="s">
        <v>1075</v>
      </c>
      <c r="G206" s="13"/>
      <c r="H206" s="79"/>
      <c r="I206" s="71">
        <f t="shared" si="65"/>
        <v>0</v>
      </c>
      <c r="J206" s="48"/>
      <c r="K206" s="590" t="str">
        <f t="shared" si="66"/>
        <v>.1</v>
      </c>
      <c r="L206" s="579" t="s">
        <v>1996</v>
      </c>
      <c r="M206" s="74"/>
      <c r="N206" s="49"/>
      <c r="O206" s="592" t="str">
        <f t="shared" si="67"/>
        <v>.2</v>
      </c>
      <c r="P206" s="578" t="s">
        <v>1998</v>
      </c>
      <c r="Q206" s="74"/>
      <c r="R206" s="49"/>
      <c r="S206" s="592" t="str">
        <f t="shared" si="68"/>
        <v>.3</v>
      </c>
      <c r="T206" s="578" t="s">
        <v>2000</v>
      </c>
      <c r="U206" s="74"/>
      <c r="V206" s="766"/>
      <c r="W206" s="766"/>
      <c r="X206" s="171"/>
      <c r="Y206" s="745"/>
      <c r="Z206" s="741">
        <v>0</v>
      </c>
      <c r="AA206" s="592" t="str">
        <f t="shared" si="69"/>
        <v>.1</v>
      </c>
      <c r="AB206" s="739" t="s">
        <v>1996</v>
      </c>
      <c r="AC206" s="738">
        <v>0</v>
      </c>
      <c r="AD206" s="592" t="str">
        <f t="shared" si="70"/>
        <v>.2</v>
      </c>
      <c r="AE206" s="739" t="s">
        <v>1998</v>
      </c>
      <c r="AF206" s="738">
        <v>0</v>
      </c>
      <c r="AG206" s="592" t="str">
        <f t="shared" si="71"/>
        <v>.3</v>
      </c>
      <c r="AH206" s="739" t="s">
        <v>2000</v>
      </c>
      <c r="AI206" s="171"/>
    </row>
    <row r="207" spans="1:35" ht="15" hidden="1" customHeight="1" outlineLevel="3">
      <c r="A207" s="95"/>
      <c r="B207" s="95" t="s">
        <v>1075</v>
      </c>
      <c r="C207" s="95"/>
      <c r="D207" s="95"/>
      <c r="E207" s="774"/>
      <c r="F207" s="774" t="s">
        <v>1075</v>
      </c>
      <c r="G207" s="13"/>
      <c r="H207" s="79"/>
      <c r="I207" s="71">
        <f t="shared" si="65"/>
        <v>0</v>
      </c>
      <c r="J207" s="48"/>
      <c r="K207" s="590" t="str">
        <f t="shared" si="66"/>
        <v>.1</v>
      </c>
      <c r="L207" s="579" t="s">
        <v>1996</v>
      </c>
      <c r="M207" s="74"/>
      <c r="N207" s="49"/>
      <c r="O207" s="592" t="str">
        <f t="shared" si="67"/>
        <v>.2</v>
      </c>
      <c r="P207" s="578" t="s">
        <v>1998</v>
      </c>
      <c r="Q207" s="74"/>
      <c r="R207" s="49"/>
      <c r="S207" s="592" t="str">
        <f t="shared" si="68"/>
        <v>.3</v>
      </c>
      <c r="T207" s="578" t="s">
        <v>2000</v>
      </c>
      <c r="U207" s="74"/>
      <c r="V207" s="766"/>
      <c r="W207" s="766"/>
      <c r="X207" s="171"/>
      <c r="Y207" s="745"/>
      <c r="Z207" s="741">
        <v>0</v>
      </c>
      <c r="AA207" s="592" t="str">
        <f t="shared" si="69"/>
        <v>.1</v>
      </c>
      <c r="AB207" s="739" t="s">
        <v>1996</v>
      </c>
      <c r="AC207" s="738">
        <v>0</v>
      </c>
      <c r="AD207" s="592" t="str">
        <f t="shared" si="70"/>
        <v>.2</v>
      </c>
      <c r="AE207" s="739" t="s">
        <v>1998</v>
      </c>
      <c r="AF207" s="738">
        <v>0</v>
      </c>
      <c r="AG207" s="592" t="str">
        <f t="shared" si="71"/>
        <v>.3</v>
      </c>
      <c r="AH207" s="739" t="s">
        <v>2000</v>
      </c>
      <c r="AI207" s="171"/>
    </row>
    <row r="208" spans="1:35" ht="15" hidden="1" customHeight="1" outlineLevel="3">
      <c r="A208" s="95"/>
      <c r="B208" s="95" t="s">
        <v>1075</v>
      </c>
      <c r="C208" s="95"/>
      <c r="D208" s="95"/>
      <c r="E208" s="774"/>
      <c r="F208" s="774" t="s">
        <v>1075</v>
      </c>
      <c r="G208" s="13"/>
      <c r="H208" s="81"/>
      <c r="I208" s="71">
        <f t="shared" si="65"/>
        <v>0</v>
      </c>
      <c r="J208" s="48"/>
      <c r="K208" s="590" t="str">
        <f t="shared" si="66"/>
        <v>.1</v>
      </c>
      <c r="L208" s="579" t="s">
        <v>1996</v>
      </c>
      <c r="M208" s="74"/>
      <c r="N208" s="49"/>
      <c r="O208" s="592" t="str">
        <f t="shared" si="67"/>
        <v>.2</v>
      </c>
      <c r="P208" s="578" t="s">
        <v>1998</v>
      </c>
      <c r="Q208" s="74"/>
      <c r="R208" s="49"/>
      <c r="S208" s="592" t="str">
        <f t="shared" si="68"/>
        <v>.3</v>
      </c>
      <c r="T208" s="578" t="s">
        <v>2000</v>
      </c>
      <c r="U208" s="74"/>
      <c r="V208" s="766"/>
      <c r="W208" s="766"/>
      <c r="X208" s="171"/>
      <c r="Y208" s="745"/>
      <c r="Z208" s="741">
        <v>0</v>
      </c>
      <c r="AA208" s="592" t="str">
        <f t="shared" si="69"/>
        <v>.1</v>
      </c>
      <c r="AB208" s="739" t="s">
        <v>1996</v>
      </c>
      <c r="AC208" s="738">
        <v>0</v>
      </c>
      <c r="AD208" s="592" t="str">
        <f t="shared" si="70"/>
        <v>.2</v>
      </c>
      <c r="AE208" s="739" t="s">
        <v>1998</v>
      </c>
      <c r="AF208" s="738">
        <v>0</v>
      </c>
      <c r="AG208" s="592" t="str">
        <f t="shared" si="71"/>
        <v>.3</v>
      </c>
      <c r="AH208" s="739" t="s">
        <v>2000</v>
      </c>
      <c r="AI208" s="171"/>
    </row>
    <row r="209" spans="1:35" ht="15" hidden="1" customHeight="1" outlineLevel="2">
      <c r="A209" s="97"/>
      <c r="B209" s="97" t="s">
        <v>1075</v>
      </c>
      <c r="C209" s="97"/>
      <c r="D209" s="97"/>
      <c r="E209" s="97"/>
      <c r="F209" s="97" t="s">
        <v>1075</v>
      </c>
      <c r="G209" s="40" t="s">
        <v>235</v>
      </c>
      <c r="H209" s="78">
        <f>SUBTOTAL(9,H210:H211)</f>
        <v>0</v>
      </c>
      <c r="I209" s="68">
        <f t="shared" si="65"/>
        <v>0</v>
      </c>
      <c r="J209" s="55">
        <f>SUBTOTAL(9,J210)</f>
        <v>0</v>
      </c>
      <c r="K209" s="55"/>
      <c r="L209" s="55"/>
      <c r="M209" s="84"/>
      <c r="N209" s="56">
        <f>SUBTOTAL(9,N210)</f>
        <v>0</v>
      </c>
      <c r="O209" s="84"/>
      <c r="P209" s="84"/>
      <c r="Q209" s="84"/>
      <c r="R209" s="56">
        <f>SUBTOTAL(9,R210)</f>
        <v>0</v>
      </c>
      <c r="S209" s="84"/>
      <c r="T209" s="84"/>
      <c r="U209" s="84"/>
      <c r="V209" s="56">
        <f>SUBTOTAL(9,V210)</f>
        <v>0</v>
      </c>
      <c r="W209" s="56">
        <f>SUBTOTAL(9,W210)</f>
        <v>0</v>
      </c>
      <c r="X209" s="170"/>
      <c r="Y209" s="745"/>
      <c r="Z209" s="55">
        <f>SUBTOTAL(9,Z210)</f>
        <v>0</v>
      </c>
      <c r="AA209" s="84"/>
      <c r="AB209" s="84"/>
      <c r="AC209" s="56">
        <f>SUBTOTAL(9,AC210)</f>
        <v>0</v>
      </c>
      <c r="AD209" s="84"/>
      <c r="AE209" s="84"/>
      <c r="AF209" s="56">
        <f>SUBTOTAL(9,AF210)</f>
        <v>0</v>
      </c>
      <c r="AG209" s="84"/>
      <c r="AH209" s="84"/>
      <c r="AI209" s="170"/>
    </row>
    <row r="210" spans="1:35" ht="15" hidden="1" customHeight="1" outlineLevel="3">
      <c r="A210" s="95">
        <v>30</v>
      </c>
      <c r="B210" s="95">
        <v>3453</v>
      </c>
      <c r="C210" s="95"/>
      <c r="D210" s="95"/>
      <c r="E210" s="774" t="s">
        <v>2895</v>
      </c>
      <c r="F210" s="774" t="s">
        <v>5136</v>
      </c>
      <c r="G210" s="13" t="s">
        <v>3030</v>
      </c>
      <c r="H210" s="583">
        <f>IFERROR(VLOOKUP(A210,'Colar QL'!A:C,3,0),0)</f>
        <v>0</v>
      </c>
      <c r="I210" s="69">
        <f t="shared" si="65"/>
        <v>0</v>
      </c>
      <c r="J210" s="771">
        <f>ROUND(J167*$U$5,0)</f>
        <v>0</v>
      </c>
      <c r="K210" s="590" t="str">
        <f>F210&amp;L210</f>
        <v>47.0284.1.2.17.00.01.039.01.05.02.1</v>
      </c>
      <c r="L210" s="771" t="s">
        <v>1996</v>
      </c>
      <c r="M210" s="772"/>
      <c r="N210" s="770">
        <f>ROUND(N167*$U$5,0)</f>
        <v>0</v>
      </c>
      <c r="O210" s="592" t="str">
        <f>F210&amp;P210</f>
        <v>47.0284.1.2.17.00.01.039.01.05.02.2</v>
      </c>
      <c r="P210" s="772" t="s">
        <v>1998</v>
      </c>
      <c r="Q210" s="772"/>
      <c r="R210" s="770">
        <f>ROUND(R167*$U$5,0)</f>
        <v>0</v>
      </c>
      <c r="S210" s="592" t="str">
        <f>F210&amp;T210</f>
        <v>47.0284.1.2.17.00.01.039.01.05.02.3</v>
      </c>
      <c r="T210" s="772" t="s">
        <v>2000</v>
      </c>
      <c r="U210" s="772"/>
      <c r="V210" s="766"/>
      <c r="W210" s="766"/>
      <c r="X210" s="171"/>
      <c r="Y210" s="745"/>
      <c r="Z210" s="771">
        <v>0</v>
      </c>
      <c r="AA210" s="592" t="str">
        <f>F210&amp;AB210</f>
        <v>47.0284.1.2.17.00.01.039.01.05.02.1</v>
      </c>
      <c r="AB210" s="772" t="s">
        <v>1996</v>
      </c>
      <c r="AC210" s="770">
        <f>ROUNDUP(AC167*$U$5,0)</f>
        <v>0</v>
      </c>
      <c r="AD210" s="592" t="str">
        <f>F210&amp;AE210</f>
        <v>47.0284.1.2.17.00.01.039.01.05.02.2</v>
      </c>
      <c r="AE210" s="772" t="s">
        <v>1998</v>
      </c>
      <c r="AF210" s="770">
        <f>ROUNDUP(AF167*$U$5,0)</f>
        <v>0</v>
      </c>
      <c r="AG210" s="592" t="str">
        <f>F210&amp;AH210</f>
        <v>47.0284.1.2.17.00.01.039.01.05.02.3</v>
      </c>
      <c r="AH210" s="772" t="s">
        <v>2000</v>
      </c>
      <c r="AI210" s="171"/>
    </row>
    <row r="211" spans="1:35" ht="15" hidden="1" customHeight="1" outlineLevel="3">
      <c r="A211" s="95">
        <v>31</v>
      </c>
      <c r="B211" s="95" t="s">
        <v>1075</v>
      </c>
      <c r="C211" s="95"/>
      <c r="D211" s="95"/>
      <c r="E211" s="774"/>
      <c r="F211" s="774" t="s">
        <v>1075</v>
      </c>
      <c r="G211" s="13"/>
      <c r="H211" s="583"/>
      <c r="I211" s="71">
        <f t="shared" si="65"/>
        <v>0</v>
      </c>
      <c r="J211" s="771"/>
      <c r="K211" s="590" t="str">
        <f>F211&amp;L211</f>
        <v>.1</v>
      </c>
      <c r="L211" s="771" t="s">
        <v>1996</v>
      </c>
      <c r="M211" s="772"/>
      <c r="N211" s="770"/>
      <c r="O211" s="592" t="str">
        <f>F211&amp;P211</f>
        <v>.2</v>
      </c>
      <c r="P211" s="772" t="s">
        <v>1998</v>
      </c>
      <c r="Q211" s="772"/>
      <c r="R211" s="770"/>
      <c r="S211" s="592" t="str">
        <f>F211&amp;T211</f>
        <v>.3</v>
      </c>
      <c r="T211" s="772" t="s">
        <v>2000</v>
      </c>
      <c r="U211" s="772"/>
      <c r="V211" s="766"/>
      <c r="W211" s="766"/>
      <c r="X211" s="171"/>
      <c r="Y211" s="745"/>
      <c r="Z211" s="771"/>
      <c r="AA211" s="592" t="str">
        <f>F211&amp;AB211</f>
        <v>.1</v>
      </c>
      <c r="AB211" s="772" t="s">
        <v>1996</v>
      </c>
      <c r="AC211" s="770"/>
      <c r="AD211" s="592" t="str">
        <f>F211&amp;AE211</f>
        <v>.2</v>
      </c>
      <c r="AE211" s="772" t="s">
        <v>1998</v>
      </c>
      <c r="AF211" s="770"/>
      <c r="AG211" s="592" t="str">
        <f>F211&amp;AH211</f>
        <v>.3</v>
      </c>
      <c r="AH211" s="772" t="s">
        <v>2000</v>
      </c>
      <c r="AI211" s="171"/>
    </row>
    <row r="212" spans="1:35" ht="15" hidden="1" customHeight="1" outlineLevel="3">
      <c r="A212" s="95"/>
      <c r="B212" s="95" t="s">
        <v>1075</v>
      </c>
      <c r="C212" s="95"/>
      <c r="D212" s="95"/>
      <c r="E212" s="774"/>
      <c r="F212" s="774" t="s">
        <v>1075</v>
      </c>
      <c r="G212" s="13"/>
      <c r="H212" s="81"/>
      <c r="I212" s="71">
        <f t="shared" si="65"/>
        <v>0</v>
      </c>
      <c r="J212" s="48"/>
      <c r="K212" s="579"/>
      <c r="L212" s="579"/>
      <c r="M212" s="74"/>
      <c r="N212" s="49"/>
      <c r="O212" s="578"/>
      <c r="P212" s="578"/>
      <c r="Q212" s="74"/>
      <c r="R212" s="49"/>
      <c r="S212" s="578"/>
      <c r="T212" s="578"/>
      <c r="U212" s="74"/>
      <c r="V212" s="766"/>
      <c r="W212" s="766"/>
      <c r="X212" s="171"/>
      <c r="Y212" s="745"/>
      <c r="Z212" s="741"/>
      <c r="AA212" s="739"/>
      <c r="AB212" s="739"/>
      <c r="AC212" s="738"/>
      <c r="AD212" s="739"/>
      <c r="AE212" s="739"/>
      <c r="AF212" s="738"/>
      <c r="AG212" s="739"/>
      <c r="AH212" s="739"/>
      <c r="AI212" s="171"/>
    </row>
    <row r="213" spans="1:35" ht="15" customHeight="1" outlineLevel="1" collapsed="1">
      <c r="A213" s="98"/>
      <c r="B213" s="98" t="s">
        <v>1075</v>
      </c>
      <c r="C213" s="98"/>
      <c r="D213" s="98"/>
      <c r="E213" s="98"/>
      <c r="F213" s="98" t="s">
        <v>1075</v>
      </c>
      <c r="G213" s="35" t="s">
        <v>328</v>
      </c>
      <c r="H213" s="77">
        <f>SUBTOTAL(9,H214:H335)</f>
        <v>48</v>
      </c>
      <c r="I213" s="67">
        <f t="shared" ref="I213:I276" si="72">IFERROR((J213+N213+R213),0)</f>
        <v>64</v>
      </c>
      <c r="J213" s="54">
        <f>SUBTOTAL(9,J214:J335)</f>
        <v>64</v>
      </c>
      <c r="K213" s="54"/>
      <c r="L213" s="54"/>
      <c r="M213" s="85"/>
      <c r="N213" s="54">
        <f>SUBTOTAL(9,N214:N335)</f>
        <v>0</v>
      </c>
      <c r="O213" s="90"/>
      <c r="P213" s="90"/>
      <c r="Q213" s="85"/>
      <c r="R213" s="54">
        <f>SUBTOTAL(9,R214:R335)</f>
        <v>0</v>
      </c>
      <c r="S213" s="90"/>
      <c r="T213" s="90"/>
      <c r="U213" s="85"/>
      <c r="V213" s="54">
        <f>SUBTOTAL(9,V214:V335)</f>
        <v>0</v>
      </c>
      <c r="W213" s="54">
        <f>SUBTOTAL(9,W214:W335)</f>
        <v>0</v>
      </c>
      <c r="X213" s="169"/>
      <c r="Y213" s="745"/>
      <c r="Z213" s="54">
        <f>SUBTOTAL(9,Z214:Z335)</f>
        <v>0</v>
      </c>
      <c r="AA213" s="90"/>
      <c r="AB213" s="90"/>
      <c r="AC213" s="54">
        <f>SUBTOTAL(9,AC214:AC335)</f>
        <v>0</v>
      </c>
      <c r="AD213" s="90"/>
      <c r="AE213" s="90"/>
      <c r="AF213" s="54">
        <f>SUBTOTAL(9,AF214:AF335)</f>
        <v>0</v>
      </c>
      <c r="AG213" s="90"/>
      <c r="AH213" s="90"/>
      <c r="AI213" s="169"/>
    </row>
    <row r="214" spans="1:35" ht="15" hidden="1" customHeight="1" outlineLevel="2">
      <c r="A214" s="97"/>
      <c r="B214" s="97" t="s">
        <v>1075</v>
      </c>
      <c r="C214" s="97"/>
      <c r="D214" s="97"/>
      <c r="E214" s="97"/>
      <c r="F214" s="97" t="s">
        <v>1075</v>
      </c>
      <c r="G214" s="40" t="s">
        <v>714</v>
      </c>
      <c r="H214" s="78">
        <f>SUBTOTAL(9,H215:H331)</f>
        <v>45</v>
      </c>
      <c r="I214" s="68">
        <f>IFERROR((J214+N214+R214),0)</f>
        <v>60</v>
      </c>
      <c r="J214" s="55">
        <f>SUBTOTAL(9,J215:J331)</f>
        <v>60</v>
      </c>
      <c r="K214" s="55"/>
      <c r="L214" s="55"/>
      <c r="M214" s="84"/>
      <c r="N214" s="55">
        <f>SUBTOTAL(9,N215:N331)</f>
        <v>0</v>
      </c>
      <c r="O214" s="91"/>
      <c r="P214" s="91"/>
      <c r="Q214" s="84"/>
      <c r="R214" s="55">
        <f>SUBTOTAL(9,R215:R331)</f>
        <v>0</v>
      </c>
      <c r="S214" s="91"/>
      <c r="T214" s="91"/>
      <c r="U214" s="84"/>
      <c r="V214" s="55">
        <f>SUBTOTAL(9,V215:V331)</f>
        <v>0</v>
      </c>
      <c r="W214" s="55">
        <f>SUBTOTAL(9,W215:W331)</f>
        <v>0</v>
      </c>
      <c r="X214" s="170"/>
      <c r="Y214" s="745"/>
      <c r="Z214" s="55">
        <f>SUBTOTAL(9,Z215:Z331)</f>
        <v>0</v>
      </c>
      <c r="AA214" s="91"/>
      <c r="AB214" s="91"/>
      <c r="AC214" s="55">
        <f>SUBTOTAL(9,AC215:AC331)</f>
        <v>0</v>
      </c>
      <c r="AD214" s="91"/>
      <c r="AE214" s="91"/>
      <c r="AF214" s="55">
        <f>SUBTOTAL(9,AF215:AF331)</f>
        <v>0</v>
      </c>
      <c r="AG214" s="91"/>
      <c r="AH214" s="91"/>
      <c r="AI214" s="170"/>
    </row>
    <row r="215" spans="1:35" ht="15" hidden="1" customHeight="1" outlineLevel="3" collapsed="1">
      <c r="A215" s="97"/>
      <c r="B215" s="97" t="s">
        <v>1075</v>
      </c>
      <c r="C215" s="97"/>
      <c r="D215" s="97"/>
      <c r="E215" s="97"/>
      <c r="F215" s="97" t="s">
        <v>1075</v>
      </c>
      <c r="G215" s="40" t="s">
        <v>329</v>
      </c>
      <c r="H215" s="78">
        <f>SUBTOTAL(9,H216:H234)</f>
        <v>35</v>
      </c>
      <c r="I215" s="68">
        <f t="shared" si="72"/>
        <v>35</v>
      </c>
      <c r="J215" s="55">
        <f>SUBTOTAL(9,J216:J234)</f>
        <v>35</v>
      </c>
      <c r="K215" s="55"/>
      <c r="L215" s="55"/>
      <c r="M215" s="84"/>
      <c r="N215" s="55">
        <f>SUBTOTAL(9,N216:N234)</f>
        <v>0</v>
      </c>
      <c r="O215" s="91"/>
      <c r="P215" s="91"/>
      <c r="Q215" s="84"/>
      <c r="R215" s="55">
        <f>SUBTOTAL(9,R216:R234)</f>
        <v>0</v>
      </c>
      <c r="S215" s="91"/>
      <c r="T215" s="91"/>
      <c r="U215" s="84"/>
      <c r="V215" s="55">
        <f>SUBTOTAL(9,V216:V234)</f>
        <v>0</v>
      </c>
      <c r="W215" s="55">
        <f>SUBTOTAL(9,W216:W234)</f>
        <v>0</v>
      </c>
      <c r="X215" s="170"/>
      <c r="Y215" s="745"/>
      <c r="Z215" s="55">
        <f>SUBTOTAL(9,Z216:Z234)</f>
        <v>0</v>
      </c>
      <c r="AA215" s="91"/>
      <c r="AB215" s="91"/>
      <c r="AC215" s="55">
        <f>SUBTOTAL(9,AC216:AC234)</f>
        <v>0</v>
      </c>
      <c r="AD215" s="91"/>
      <c r="AE215" s="91"/>
      <c r="AF215" s="55">
        <f>SUBTOTAL(9,AF216:AF234)</f>
        <v>0</v>
      </c>
      <c r="AG215" s="91"/>
      <c r="AH215" s="91"/>
      <c r="AI215" s="170"/>
    </row>
    <row r="216" spans="1:35" ht="15" hidden="1" customHeight="1" outlineLevel="4">
      <c r="A216" s="93">
        <v>213065</v>
      </c>
      <c r="B216" s="93">
        <v>3482</v>
      </c>
      <c r="C216" s="93"/>
      <c r="D216" s="93"/>
      <c r="E216" s="93" t="s">
        <v>3060</v>
      </c>
      <c r="F216" s="93" t="s">
        <v>5157</v>
      </c>
      <c r="G216" s="37" t="s">
        <v>601</v>
      </c>
      <c r="H216" s="583">
        <f>IFERROR(VLOOKUP(A216,'Colar QL'!A:C,3,0),0)</f>
        <v>0</v>
      </c>
      <c r="I216" s="69">
        <f t="shared" si="72"/>
        <v>0</v>
      </c>
      <c r="J216" s="258">
        <f>'BD Temp'!E316</f>
        <v>0</v>
      </c>
      <c r="K216" s="590" t="str">
        <f t="shared" ref="K216:K234" si="73">F216&amp;L216</f>
        <v>47.0284.1.2.17.00.01.039.01.06.29.1</v>
      </c>
      <c r="L216" s="579" t="s">
        <v>1996</v>
      </c>
      <c r="M216" s="256" t="str">
        <f>'BD Temp'!F316</f>
        <v>-</v>
      </c>
      <c r="N216" s="255">
        <f>'BD Temp'!J316</f>
        <v>0</v>
      </c>
      <c r="O216" s="592" t="str">
        <f t="shared" ref="O216:O234" si="74">F216&amp;P216</f>
        <v>47.0284.1.2.17.00.01.039.01.06.29.2</v>
      </c>
      <c r="P216" s="578" t="s">
        <v>1998</v>
      </c>
      <c r="Q216" s="256" t="str">
        <f>'BD Temp'!K316</f>
        <v>-</v>
      </c>
      <c r="R216" s="255">
        <f>'BD Temp'!O316</f>
        <v>0</v>
      </c>
      <c r="S216" s="592" t="str">
        <f t="shared" ref="S216:S234" si="75">F216&amp;T216</f>
        <v>47.0284.1.2.17.00.01.039.01.06.29.3</v>
      </c>
      <c r="T216" s="578" t="s">
        <v>2000</v>
      </c>
      <c r="U216" s="256" t="str">
        <f>'BD Temp'!P316</f>
        <v>-</v>
      </c>
      <c r="V216" s="764"/>
      <c r="W216" s="764"/>
      <c r="X216" s="158"/>
      <c r="Y216" s="745"/>
      <c r="Z216" s="741">
        <v>0</v>
      </c>
      <c r="AA216" s="592" t="str">
        <f t="shared" ref="AA216:AA234" si="76">F216&amp;AB216</f>
        <v>47.0284.1.2.17.00.01.039.01.06.29.1</v>
      </c>
      <c r="AB216" s="739" t="s">
        <v>1996</v>
      </c>
      <c r="AC216" s="738">
        <v>0</v>
      </c>
      <c r="AD216" s="592" t="str">
        <f t="shared" ref="AD216:AD234" si="77">F216&amp;AE216</f>
        <v>47.0284.1.2.17.00.01.039.01.06.29.2</v>
      </c>
      <c r="AE216" s="739" t="s">
        <v>1998</v>
      </c>
      <c r="AF216" s="738">
        <v>0</v>
      </c>
      <c r="AG216" s="592" t="str">
        <f t="shared" ref="AG216:AG234" si="78">F216&amp;AH216</f>
        <v>47.0284.1.2.17.00.01.039.01.06.29.3</v>
      </c>
      <c r="AH216" s="739" t="s">
        <v>2000</v>
      </c>
      <c r="AI216" s="158"/>
    </row>
    <row r="217" spans="1:35" ht="15" hidden="1" customHeight="1" outlineLevel="4">
      <c r="A217" s="93">
        <v>213060</v>
      </c>
      <c r="B217" s="93">
        <v>3482</v>
      </c>
      <c r="C217" s="93"/>
      <c r="D217" s="93"/>
      <c r="E217" s="93" t="s">
        <v>3060</v>
      </c>
      <c r="F217" s="93" t="s">
        <v>5157</v>
      </c>
      <c r="G217" s="37" t="s">
        <v>600</v>
      </c>
      <c r="H217" s="583">
        <f>IFERROR(VLOOKUP(A217,'Colar QL'!A:C,3,0),0)</f>
        <v>2</v>
      </c>
      <c r="I217" s="69">
        <f t="shared" si="72"/>
        <v>2</v>
      </c>
      <c r="J217" s="258">
        <f>'BD Temp'!E317</f>
        <v>2</v>
      </c>
      <c r="K217" s="590" t="str">
        <f t="shared" si="73"/>
        <v>47.0284.1.2.17.00.01.039.01.06.29.1</v>
      </c>
      <c r="L217" s="579" t="s">
        <v>1996</v>
      </c>
      <c r="M217" s="256">
        <f>'BD Temp'!F317</f>
        <v>0.8</v>
      </c>
      <c r="N217" s="706">
        <f>'BD Temp'!J317</f>
        <v>0</v>
      </c>
      <c r="O217" s="592" t="str">
        <f t="shared" si="74"/>
        <v>47.0284.1.2.17.00.01.039.01.06.29.2</v>
      </c>
      <c r="P217" s="578" t="s">
        <v>1998</v>
      </c>
      <c r="Q217" s="705" t="str">
        <f>'BD Temp'!K317</f>
        <v>-</v>
      </c>
      <c r="R217" s="255">
        <f>'BD Temp'!O317</f>
        <v>0</v>
      </c>
      <c r="S217" s="592" t="str">
        <f t="shared" si="75"/>
        <v>47.0284.1.2.17.00.01.039.01.06.29.3</v>
      </c>
      <c r="T217" s="578" t="s">
        <v>2000</v>
      </c>
      <c r="U217" s="256" t="str">
        <f>'BD Temp'!P317</f>
        <v>-</v>
      </c>
      <c r="V217" s="764"/>
      <c r="W217" s="764"/>
      <c r="X217" s="158"/>
      <c r="Y217" s="745"/>
      <c r="Z217" s="771">
        <v>0</v>
      </c>
      <c r="AA217" s="592" t="str">
        <f t="shared" si="76"/>
        <v>47.0284.1.2.17.00.01.039.01.06.29.1</v>
      </c>
      <c r="AB217" s="739" t="s">
        <v>1996</v>
      </c>
      <c r="AC217" s="738">
        <v>0</v>
      </c>
      <c r="AD217" s="592" t="str">
        <f t="shared" si="77"/>
        <v>47.0284.1.2.17.00.01.039.01.06.29.2</v>
      </c>
      <c r="AE217" s="739" t="s">
        <v>1998</v>
      </c>
      <c r="AF217" s="738">
        <v>0</v>
      </c>
      <c r="AG217" s="592" t="str">
        <f t="shared" si="78"/>
        <v>47.0284.1.2.17.00.01.039.01.06.29.3</v>
      </c>
      <c r="AH217" s="739" t="s">
        <v>2000</v>
      </c>
      <c r="AI217" s="158" t="s">
        <v>5366</v>
      </c>
    </row>
    <row r="218" spans="1:35" ht="15" hidden="1" customHeight="1" outlineLevel="4">
      <c r="A218" s="93">
        <v>213070</v>
      </c>
      <c r="B218" s="93">
        <v>3482</v>
      </c>
      <c r="C218" s="93"/>
      <c r="D218" s="93"/>
      <c r="E218" s="93" t="s">
        <v>3060</v>
      </c>
      <c r="F218" s="93" t="s">
        <v>5157</v>
      </c>
      <c r="G218" s="37" t="s">
        <v>602</v>
      </c>
      <c r="H218" s="583">
        <f>IFERROR(VLOOKUP(A218,'Colar QL'!A:C,3,0),0)</f>
        <v>0</v>
      </c>
      <c r="I218" s="69">
        <f t="shared" si="72"/>
        <v>0</v>
      </c>
      <c r="J218" s="258">
        <f>'BD Temp'!E318</f>
        <v>0</v>
      </c>
      <c r="K218" s="590" t="str">
        <f t="shared" si="73"/>
        <v>47.0284.1.2.17.00.01.039.01.06.29.1</v>
      </c>
      <c r="L218" s="579" t="s">
        <v>1996</v>
      </c>
      <c r="M218" s="256" t="str">
        <f>'BD Temp'!F318</f>
        <v>-</v>
      </c>
      <c r="N218" s="706">
        <f>'BD Temp'!J318</f>
        <v>0</v>
      </c>
      <c r="O218" s="592" t="str">
        <f t="shared" si="74"/>
        <v>47.0284.1.2.17.00.01.039.01.06.29.2</v>
      </c>
      <c r="P218" s="578" t="s">
        <v>1998</v>
      </c>
      <c r="Q218" s="705" t="str">
        <f>'BD Temp'!K318</f>
        <v>-</v>
      </c>
      <c r="R218" s="255">
        <f>'BD Temp'!O318</f>
        <v>0</v>
      </c>
      <c r="S218" s="592" t="str">
        <f t="shared" si="75"/>
        <v>47.0284.1.2.17.00.01.039.01.06.29.3</v>
      </c>
      <c r="T218" s="578" t="s">
        <v>2000</v>
      </c>
      <c r="U218" s="256" t="str">
        <f>'BD Temp'!P318</f>
        <v>-</v>
      </c>
      <c r="V218" s="764"/>
      <c r="W218" s="764"/>
      <c r="X218" s="158" t="s">
        <v>3091</v>
      </c>
      <c r="Y218" s="745"/>
      <c r="Z218" s="771">
        <v>0</v>
      </c>
      <c r="AA218" s="592" t="str">
        <f t="shared" si="76"/>
        <v>47.0284.1.2.17.00.01.039.01.06.29.1</v>
      </c>
      <c r="AB218" s="739" t="s">
        <v>1996</v>
      </c>
      <c r="AC218" s="738">
        <v>0</v>
      </c>
      <c r="AD218" s="592" t="str">
        <f t="shared" si="77"/>
        <v>47.0284.1.2.17.00.01.039.01.06.29.2</v>
      </c>
      <c r="AE218" s="739" t="s">
        <v>1998</v>
      </c>
      <c r="AF218" s="738">
        <v>0</v>
      </c>
      <c r="AG218" s="592" t="str">
        <f t="shared" si="78"/>
        <v>47.0284.1.2.17.00.01.039.01.06.29.3</v>
      </c>
      <c r="AH218" s="739" t="s">
        <v>2000</v>
      </c>
      <c r="AI218" s="158"/>
    </row>
    <row r="219" spans="1:35" ht="15" hidden="1" customHeight="1" outlineLevel="4">
      <c r="A219" s="93">
        <v>213075</v>
      </c>
      <c r="B219" s="93">
        <v>3482</v>
      </c>
      <c r="C219" s="93"/>
      <c r="D219" s="93"/>
      <c r="E219" s="93" t="s">
        <v>3060</v>
      </c>
      <c r="F219" s="93" t="s">
        <v>5157</v>
      </c>
      <c r="G219" s="37" t="s">
        <v>603</v>
      </c>
      <c r="H219" s="583">
        <f>IFERROR(VLOOKUP(A219,'Colar QL'!A:C,3,0),0)</f>
        <v>0</v>
      </c>
      <c r="I219" s="69">
        <f t="shared" si="72"/>
        <v>0</v>
      </c>
      <c r="J219" s="258">
        <f>'BD Temp'!E319</f>
        <v>0</v>
      </c>
      <c r="K219" s="590" t="str">
        <f t="shared" si="73"/>
        <v>47.0284.1.2.17.00.01.039.01.06.29.1</v>
      </c>
      <c r="L219" s="579" t="s">
        <v>1996</v>
      </c>
      <c r="M219" s="256" t="str">
        <f>'BD Temp'!F319</f>
        <v>-</v>
      </c>
      <c r="N219" s="706">
        <f>'BD Temp'!J319</f>
        <v>0</v>
      </c>
      <c r="O219" s="592" t="str">
        <f t="shared" si="74"/>
        <v>47.0284.1.2.17.00.01.039.01.06.29.2</v>
      </c>
      <c r="P219" s="578" t="s">
        <v>1998</v>
      </c>
      <c r="Q219" s="705" t="str">
        <f>'BD Temp'!K319</f>
        <v>-</v>
      </c>
      <c r="R219" s="255">
        <f>'BD Temp'!O319</f>
        <v>0</v>
      </c>
      <c r="S219" s="592" t="str">
        <f t="shared" si="75"/>
        <v>47.0284.1.2.17.00.01.039.01.06.29.3</v>
      </c>
      <c r="T219" s="578" t="s">
        <v>2000</v>
      </c>
      <c r="U219" s="256" t="str">
        <f>'BD Temp'!P319</f>
        <v>-</v>
      </c>
      <c r="V219" s="764"/>
      <c r="W219" s="764"/>
      <c r="X219" s="158"/>
      <c r="Y219" s="745"/>
      <c r="Z219" s="771">
        <v>0</v>
      </c>
      <c r="AA219" s="592" t="str">
        <f t="shared" si="76"/>
        <v>47.0284.1.2.17.00.01.039.01.06.29.1</v>
      </c>
      <c r="AB219" s="739" t="s">
        <v>1996</v>
      </c>
      <c r="AC219" s="738">
        <v>0</v>
      </c>
      <c r="AD219" s="592" t="str">
        <f t="shared" si="77"/>
        <v>47.0284.1.2.17.00.01.039.01.06.29.2</v>
      </c>
      <c r="AE219" s="739" t="s">
        <v>1998</v>
      </c>
      <c r="AF219" s="738">
        <v>0</v>
      </c>
      <c r="AG219" s="592" t="str">
        <f t="shared" si="78"/>
        <v>47.0284.1.2.17.00.01.039.01.06.29.3</v>
      </c>
      <c r="AH219" s="739" t="s">
        <v>2000</v>
      </c>
      <c r="AI219" s="158"/>
    </row>
    <row r="220" spans="1:35" s="26" customFormat="1" ht="15" hidden="1" customHeight="1" outlineLevel="4">
      <c r="A220" s="93">
        <v>213080</v>
      </c>
      <c r="B220" s="93">
        <v>3482</v>
      </c>
      <c r="C220" s="93"/>
      <c r="D220" s="93"/>
      <c r="E220" s="93" t="s">
        <v>3060</v>
      </c>
      <c r="F220" s="93" t="s">
        <v>5157</v>
      </c>
      <c r="G220" s="154" t="s">
        <v>604</v>
      </c>
      <c r="H220" s="583">
        <f>IFERROR(VLOOKUP(A220,'Colar QL'!A:C,3,0),0)</f>
        <v>12</v>
      </c>
      <c r="I220" s="69">
        <f t="shared" si="72"/>
        <v>12</v>
      </c>
      <c r="J220" s="258">
        <f>'BD Temp'!E320</f>
        <v>12</v>
      </c>
      <c r="K220" s="590" t="str">
        <f t="shared" si="73"/>
        <v>47.0284.1.2.17.00.01.039.01.06.29.1</v>
      </c>
      <c r="L220" s="579" t="s">
        <v>1996</v>
      </c>
      <c r="M220" s="256">
        <f>'BD Temp'!F320</f>
        <v>0.63777777777777778</v>
      </c>
      <c r="N220" s="706">
        <f>'BD Temp'!J320</f>
        <v>0</v>
      </c>
      <c r="O220" s="592" t="str">
        <f t="shared" si="74"/>
        <v>47.0284.1.2.17.00.01.039.01.06.29.2</v>
      </c>
      <c r="P220" s="578" t="s">
        <v>1998</v>
      </c>
      <c r="Q220" s="705" t="str">
        <f>'BD Temp'!K320</f>
        <v>-</v>
      </c>
      <c r="R220" s="255">
        <f>'BD Temp'!O320</f>
        <v>0</v>
      </c>
      <c r="S220" s="592" t="str">
        <f t="shared" si="75"/>
        <v>47.0284.1.2.17.00.01.039.01.06.29.3</v>
      </c>
      <c r="T220" s="578" t="s">
        <v>2000</v>
      </c>
      <c r="U220" s="256" t="str">
        <f>'BD Temp'!P320</f>
        <v>-</v>
      </c>
      <c r="V220" s="764"/>
      <c r="W220" s="764"/>
      <c r="X220" s="158"/>
      <c r="Y220" s="745"/>
      <c r="Z220" s="771">
        <v>0</v>
      </c>
      <c r="AA220" s="592" t="str">
        <f t="shared" si="76"/>
        <v>47.0284.1.2.17.00.01.039.01.06.29.1</v>
      </c>
      <c r="AB220" s="739" t="s">
        <v>1996</v>
      </c>
      <c r="AC220" s="738">
        <v>0</v>
      </c>
      <c r="AD220" s="592" t="str">
        <f t="shared" si="77"/>
        <v>47.0284.1.2.17.00.01.039.01.06.29.2</v>
      </c>
      <c r="AE220" s="739" t="s">
        <v>1998</v>
      </c>
      <c r="AF220" s="738">
        <v>0</v>
      </c>
      <c r="AG220" s="592" t="str">
        <f t="shared" si="78"/>
        <v>47.0284.1.2.17.00.01.039.01.06.29.3</v>
      </c>
      <c r="AH220" s="739" t="s">
        <v>2000</v>
      </c>
      <c r="AI220" s="158"/>
    </row>
    <row r="221" spans="1:35" s="26" customFormat="1" ht="15" hidden="1" customHeight="1" outlineLevel="4">
      <c r="A221" s="93">
        <v>213085</v>
      </c>
      <c r="B221" s="93">
        <v>3482</v>
      </c>
      <c r="C221" s="93"/>
      <c r="D221" s="93"/>
      <c r="E221" s="93" t="s">
        <v>3060</v>
      </c>
      <c r="F221" s="93" t="s">
        <v>5157</v>
      </c>
      <c r="G221" s="37" t="s">
        <v>605</v>
      </c>
      <c r="H221" s="583">
        <f>IFERROR(VLOOKUP(A221,'Colar QL'!A:C,3,0),0)</f>
        <v>4</v>
      </c>
      <c r="I221" s="69">
        <f t="shared" si="72"/>
        <v>4</v>
      </c>
      <c r="J221" s="771">
        <f>'BD Temp'!E321</f>
        <v>4</v>
      </c>
      <c r="K221" s="590" t="str">
        <f t="shared" si="73"/>
        <v>47.0284.1.2.17.00.01.039.01.06.29.1</v>
      </c>
      <c r="L221" s="579" t="s">
        <v>1996</v>
      </c>
      <c r="M221" s="256">
        <f>'BD Temp'!F321</f>
        <v>0.94666666666666655</v>
      </c>
      <c r="N221" s="706">
        <f>'BD Temp'!J321</f>
        <v>0</v>
      </c>
      <c r="O221" s="592" t="str">
        <f t="shared" si="74"/>
        <v>47.0284.1.2.17.00.01.039.01.06.29.2</v>
      </c>
      <c r="P221" s="578" t="s">
        <v>1998</v>
      </c>
      <c r="Q221" s="705" t="str">
        <f>'BD Temp'!K321</f>
        <v>-</v>
      </c>
      <c r="R221" s="255">
        <f>'BD Temp'!O321</f>
        <v>0</v>
      </c>
      <c r="S221" s="592" t="str">
        <f t="shared" si="75"/>
        <v>47.0284.1.2.17.00.01.039.01.06.29.3</v>
      </c>
      <c r="T221" s="578" t="s">
        <v>2000</v>
      </c>
      <c r="U221" s="256" t="str">
        <f>'BD Temp'!P321</f>
        <v>-</v>
      </c>
      <c r="V221" s="764"/>
      <c r="W221" s="764"/>
      <c r="X221" s="158"/>
      <c r="Y221" s="745"/>
      <c r="Z221" s="771">
        <v>0</v>
      </c>
      <c r="AA221" s="592" t="str">
        <f t="shared" si="76"/>
        <v>47.0284.1.2.17.00.01.039.01.06.29.1</v>
      </c>
      <c r="AB221" s="739" t="s">
        <v>1996</v>
      </c>
      <c r="AC221" s="738">
        <v>0</v>
      </c>
      <c r="AD221" s="592" t="str">
        <f t="shared" si="77"/>
        <v>47.0284.1.2.17.00.01.039.01.06.29.2</v>
      </c>
      <c r="AE221" s="739" t="s">
        <v>1998</v>
      </c>
      <c r="AF221" s="738">
        <v>0</v>
      </c>
      <c r="AG221" s="592" t="str">
        <f t="shared" si="78"/>
        <v>47.0284.1.2.17.00.01.039.01.06.29.3</v>
      </c>
      <c r="AH221" s="739" t="s">
        <v>2000</v>
      </c>
      <c r="AI221" s="158"/>
    </row>
    <row r="222" spans="1:35" ht="15" hidden="1" customHeight="1" outlineLevel="4">
      <c r="A222" s="93">
        <v>213090</v>
      </c>
      <c r="B222" s="93">
        <v>3482</v>
      </c>
      <c r="C222" s="93"/>
      <c r="D222" s="93"/>
      <c r="E222" s="93" t="s">
        <v>3060</v>
      </c>
      <c r="F222" s="93" t="s">
        <v>5157</v>
      </c>
      <c r="G222" s="37" t="s">
        <v>606</v>
      </c>
      <c r="H222" s="583">
        <f>IFERROR(VLOOKUP(A222,'Colar QL'!A:C,3,0),0)</f>
        <v>4</v>
      </c>
      <c r="I222" s="69">
        <f t="shared" si="72"/>
        <v>4</v>
      </c>
      <c r="J222" s="771">
        <f>'BD Temp'!E322</f>
        <v>4</v>
      </c>
      <c r="K222" s="590" t="str">
        <f t="shared" si="73"/>
        <v>47.0284.1.2.17.00.01.039.01.06.29.1</v>
      </c>
      <c r="L222" s="579" t="s">
        <v>1996</v>
      </c>
      <c r="M222" s="256">
        <f>'BD Temp'!F322</f>
        <v>0.84166666666666667</v>
      </c>
      <c r="N222" s="706">
        <f>'BD Temp'!J322</f>
        <v>0</v>
      </c>
      <c r="O222" s="592" t="str">
        <f t="shared" si="74"/>
        <v>47.0284.1.2.17.00.01.039.01.06.29.2</v>
      </c>
      <c r="P222" s="578" t="s">
        <v>1998</v>
      </c>
      <c r="Q222" s="705" t="str">
        <f>'BD Temp'!K322</f>
        <v>-</v>
      </c>
      <c r="R222" s="255">
        <f>'BD Temp'!O322</f>
        <v>0</v>
      </c>
      <c r="S222" s="592" t="str">
        <f t="shared" si="75"/>
        <v>47.0284.1.2.17.00.01.039.01.06.29.3</v>
      </c>
      <c r="T222" s="578" t="s">
        <v>2000</v>
      </c>
      <c r="U222" s="256" t="str">
        <f>'BD Temp'!P322</f>
        <v>-</v>
      </c>
      <c r="V222" s="764"/>
      <c r="W222" s="764"/>
      <c r="X222" s="207"/>
      <c r="Y222" s="747"/>
      <c r="Z222" s="771">
        <v>0</v>
      </c>
      <c r="AA222" s="592" t="str">
        <f t="shared" si="76"/>
        <v>47.0284.1.2.17.00.01.039.01.06.29.1</v>
      </c>
      <c r="AB222" s="739" t="s">
        <v>1996</v>
      </c>
      <c r="AC222" s="738">
        <v>0</v>
      </c>
      <c r="AD222" s="592" t="str">
        <f t="shared" si="77"/>
        <v>47.0284.1.2.17.00.01.039.01.06.29.2</v>
      </c>
      <c r="AE222" s="739" t="s">
        <v>1998</v>
      </c>
      <c r="AF222" s="738">
        <v>0</v>
      </c>
      <c r="AG222" s="592" t="str">
        <f t="shared" si="78"/>
        <v>47.0284.1.2.17.00.01.039.01.06.29.3</v>
      </c>
      <c r="AH222" s="739" t="s">
        <v>2000</v>
      </c>
      <c r="AI222" s="207"/>
    </row>
    <row r="223" spans="1:35" ht="15" hidden="1" customHeight="1" outlineLevel="4">
      <c r="A223" s="93">
        <v>213095</v>
      </c>
      <c r="B223" s="93">
        <v>3482</v>
      </c>
      <c r="C223" s="93"/>
      <c r="D223" s="93"/>
      <c r="E223" s="93" t="s">
        <v>3060</v>
      </c>
      <c r="F223" s="93" t="s">
        <v>5157</v>
      </c>
      <c r="G223" s="37" t="s">
        <v>607</v>
      </c>
      <c r="H223" s="583">
        <f>IFERROR(VLOOKUP(A223,'Colar QL'!A:C,3,0),0)</f>
        <v>4</v>
      </c>
      <c r="I223" s="69">
        <f t="shared" si="72"/>
        <v>4</v>
      </c>
      <c r="J223" s="771">
        <f>'BD Temp'!E323</f>
        <v>4</v>
      </c>
      <c r="K223" s="590" t="str">
        <f t="shared" si="73"/>
        <v>47.0284.1.2.17.00.01.039.01.06.29.1</v>
      </c>
      <c r="L223" s="579" t="s">
        <v>1996</v>
      </c>
      <c r="M223" s="256">
        <f>'BD Temp'!F323</f>
        <v>0.93333333333333324</v>
      </c>
      <c r="N223" s="706">
        <f>'BD Temp'!J323</f>
        <v>0</v>
      </c>
      <c r="O223" s="592" t="str">
        <f t="shared" si="74"/>
        <v>47.0284.1.2.17.00.01.039.01.06.29.2</v>
      </c>
      <c r="P223" s="578" t="s">
        <v>1998</v>
      </c>
      <c r="Q223" s="705" t="str">
        <f>'BD Temp'!K323</f>
        <v>-</v>
      </c>
      <c r="R223" s="255">
        <f>'BD Temp'!O323</f>
        <v>0</v>
      </c>
      <c r="S223" s="592" t="str">
        <f t="shared" si="75"/>
        <v>47.0284.1.2.17.00.01.039.01.06.29.3</v>
      </c>
      <c r="T223" s="578" t="s">
        <v>2000</v>
      </c>
      <c r="U223" s="256" t="str">
        <f>'BD Temp'!P323</f>
        <v>-</v>
      </c>
      <c r="V223" s="764"/>
      <c r="W223" s="764"/>
      <c r="X223" s="207"/>
      <c r="Y223" s="747"/>
      <c r="Z223" s="771">
        <v>0</v>
      </c>
      <c r="AA223" s="592" t="str">
        <f t="shared" si="76"/>
        <v>47.0284.1.2.17.00.01.039.01.06.29.1</v>
      </c>
      <c r="AB223" s="739" t="s">
        <v>1996</v>
      </c>
      <c r="AC223" s="738">
        <v>0</v>
      </c>
      <c r="AD223" s="592" t="str">
        <f t="shared" si="77"/>
        <v>47.0284.1.2.17.00.01.039.01.06.29.2</v>
      </c>
      <c r="AE223" s="739" t="s">
        <v>1998</v>
      </c>
      <c r="AF223" s="738">
        <v>0</v>
      </c>
      <c r="AG223" s="592" t="str">
        <f t="shared" si="78"/>
        <v>47.0284.1.2.17.00.01.039.01.06.29.3</v>
      </c>
      <c r="AH223" s="739" t="s">
        <v>2000</v>
      </c>
      <c r="AI223" s="207"/>
    </row>
    <row r="224" spans="1:35" ht="15" hidden="1" customHeight="1" outlineLevel="4">
      <c r="A224" s="93">
        <v>213100</v>
      </c>
      <c r="B224" s="93">
        <v>3482</v>
      </c>
      <c r="C224" s="93"/>
      <c r="D224" s="93"/>
      <c r="E224" s="93" t="s">
        <v>3060</v>
      </c>
      <c r="F224" s="93" t="s">
        <v>5157</v>
      </c>
      <c r="G224" s="37" t="s">
        <v>608</v>
      </c>
      <c r="H224" s="583">
        <f>IFERROR(VLOOKUP(A224,'Colar QL'!A:C,3,0),0)</f>
        <v>8</v>
      </c>
      <c r="I224" s="69">
        <f t="shared" si="72"/>
        <v>8</v>
      </c>
      <c r="J224" s="258">
        <f>'BD Temp'!E324</f>
        <v>8</v>
      </c>
      <c r="K224" s="590" t="str">
        <f t="shared" si="73"/>
        <v>47.0284.1.2.17.00.01.039.01.06.29.1</v>
      </c>
      <c r="L224" s="579" t="s">
        <v>1996</v>
      </c>
      <c r="M224" s="256">
        <f>'BD Temp'!F324</f>
        <v>0.8666666666666667</v>
      </c>
      <c r="N224" s="706">
        <f>'BD Temp'!J324</f>
        <v>0</v>
      </c>
      <c r="O224" s="592" t="str">
        <f t="shared" si="74"/>
        <v>47.0284.1.2.17.00.01.039.01.06.29.2</v>
      </c>
      <c r="P224" s="578" t="s">
        <v>1998</v>
      </c>
      <c r="Q224" s="705" t="str">
        <f>'BD Temp'!K324</f>
        <v>-</v>
      </c>
      <c r="R224" s="255">
        <f>'BD Temp'!O324</f>
        <v>0</v>
      </c>
      <c r="S224" s="592" t="str">
        <f t="shared" si="75"/>
        <v>47.0284.1.2.17.00.01.039.01.06.29.3</v>
      </c>
      <c r="T224" s="578" t="s">
        <v>2000</v>
      </c>
      <c r="U224" s="256" t="str">
        <f>'BD Temp'!P324</f>
        <v>-</v>
      </c>
      <c r="V224" s="764"/>
      <c r="W224" s="764"/>
      <c r="X224" s="207" t="s">
        <v>5367</v>
      </c>
      <c r="Y224" s="747"/>
      <c r="Z224" s="771">
        <v>0</v>
      </c>
      <c r="AA224" s="592" t="str">
        <f t="shared" si="76"/>
        <v>47.0284.1.2.17.00.01.039.01.06.29.1</v>
      </c>
      <c r="AB224" s="739" t="s">
        <v>1996</v>
      </c>
      <c r="AC224" s="738">
        <v>0</v>
      </c>
      <c r="AD224" s="592" t="str">
        <f t="shared" si="77"/>
        <v>47.0284.1.2.17.00.01.039.01.06.29.2</v>
      </c>
      <c r="AE224" s="739" t="s">
        <v>1998</v>
      </c>
      <c r="AF224" s="738">
        <v>0</v>
      </c>
      <c r="AG224" s="592" t="str">
        <f t="shared" si="78"/>
        <v>47.0284.1.2.17.00.01.039.01.06.29.3</v>
      </c>
      <c r="AH224" s="739" t="s">
        <v>2000</v>
      </c>
      <c r="AI224" s="207"/>
    </row>
    <row r="225" spans="1:35" ht="15" hidden="1" customHeight="1" outlineLevel="4">
      <c r="A225" s="93">
        <v>213105</v>
      </c>
      <c r="B225" s="93">
        <v>3482</v>
      </c>
      <c r="C225" s="93"/>
      <c r="D225" s="93"/>
      <c r="E225" s="93" t="s">
        <v>3060</v>
      </c>
      <c r="F225" s="93" t="s">
        <v>5157</v>
      </c>
      <c r="G225" s="37" t="s">
        <v>609</v>
      </c>
      <c r="H225" s="583">
        <f>IFERROR(VLOOKUP(A225,'Colar QL'!A:C,3,0),0)</f>
        <v>0</v>
      </c>
      <c r="I225" s="69">
        <f t="shared" si="72"/>
        <v>0</v>
      </c>
      <c r="J225" s="258">
        <f>'BD Temp'!E325</f>
        <v>0</v>
      </c>
      <c r="K225" s="590" t="str">
        <f t="shared" si="73"/>
        <v>47.0284.1.2.17.00.01.039.01.06.29.1</v>
      </c>
      <c r="L225" s="579" t="s">
        <v>1996</v>
      </c>
      <c r="M225" s="256" t="str">
        <f>'BD Temp'!F325</f>
        <v>-</v>
      </c>
      <c r="N225" s="706">
        <f>'BD Temp'!J325</f>
        <v>0</v>
      </c>
      <c r="O225" s="592" t="str">
        <f t="shared" si="74"/>
        <v>47.0284.1.2.17.00.01.039.01.06.29.2</v>
      </c>
      <c r="P225" s="578" t="s">
        <v>1998</v>
      </c>
      <c r="Q225" s="705" t="str">
        <f>'BD Temp'!K325</f>
        <v>-</v>
      </c>
      <c r="R225" s="255">
        <f>'BD Temp'!O325</f>
        <v>0</v>
      </c>
      <c r="S225" s="592" t="str">
        <f t="shared" si="75"/>
        <v>47.0284.1.2.17.00.01.039.01.06.29.3</v>
      </c>
      <c r="T225" s="578" t="s">
        <v>2000</v>
      </c>
      <c r="U225" s="256" t="str">
        <f>'BD Temp'!P325</f>
        <v>-</v>
      </c>
      <c r="V225" s="764"/>
      <c r="W225" s="764"/>
      <c r="X225" s="158"/>
      <c r="Y225" s="745"/>
      <c r="Z225" s="741">
        <v>0</v>
      </c>
      <c r="AA225" s="592" t="str">
        <f t="shared" si="76"/>
        <v>47.0284.1.2.17.00.01.039.01.06.29.1</v>
      </c>
      <c r="AB225" s="739" t="s">
        <v>1996</v>
      </c>
      <c r="AC225" s="738">
        <v>0</v>
      </c>
      <c r="AD225" s="592" t="str">
        <f t="shared" si="77"/>
        <v>47.0284.1.2.17.00.01.039.01.06.29.2</v>
      </c>
      <c r="AE225" s="739" t="s">
        <v>1998</v>
      </c>
      <c r="AF225" s="738">
        <v>0</v>
      </c>
      <c r="AG225" s="592" t="str">
        <f t="shared" si="78"/>
        <v>47.0284.1.2.17.00.01.039.01.06.29.3</v>
      </c>
      <c r="AH225" s="739" t="s">
        <v>2000</v>
      </c>
      <c r="AI225" s="158"/>
    </row>
    <row r="226" spans="1:35" ht="15" hidden="1" customHeight="1" outlineLevel="4">
      <c r="A226" s="93">
        <v>213110</v>
      </c>
      <c r="B226" s="93">
        <v>3482</v>
      </c>
      <c r="C226" s="93"/>
      <c r="D226" s="93"/>
      <c r="E226" s="93" t="s">
        <v>3060</v>
      </c>
      <c r="F226" s="93" t="s">
        <v>5157</v>
      </c>
      <c r="G226" s="37" t="s">
        <v>610</v>
      </c>
      <c r="H226" s="583">
        <f>IFERROR(VLOOKUP(A226,'Colar QL'!A:C,3,0),0)</f>
        <v>1</v>
      </c>
      <c r="I226" s="69">
        <f t="shared" si="72"/>
        <v>1</v>
      </c>
      <c r="J226" s="258">
        <f>'BD Temp'!E326+1</f>
        <v>1</v>
      </c>
      <c r="K226" s="590" t="str">
        <f t="shared" si="73"/>
        <v>47.0284.1.2.17.00.01.039.01.06.29.1</v>
      </c>
      <c r="L226" s="579" t="s">
        <v>1996</v>
      </c>
      <c r="M226" s="256" t="str">
        <f>'BD Temp'!F326</f>
        <v>-</v>
      </c>
      <c r="N226" s="706">
        <f>'BD Temp'!J326</f>
        <v>0</v>
      </c>
      <c r="O226" s="592" t="str">
        <f t="shared" si="74"/>
        <v>47.0284.1.2.17.00.01.039.01.06.29.2</v>
      </c>
      <c r="P226" s="578" t="s">
        <v>1998</v>
      </c>
      <c r="Q226" s="705" t="str">
        <f>'BD Temp'!K326</f>
        <v>-</v>
      </c>
      <c r="R226" s="255">
        <f>'BD Temp'!O326</f>
        <v>0</v>
      </c>
      <c r="S226" s="592" t="str">
        <f t="shared" si="75"/>
        <v>47.0284.1.2.17.00.01.039.01.06.29.3</v>
      </c>
      <c r="T226" s="578" t="s">
        <v>2000</v>
      </c>
      <c r="U226" s="256" t="str">
        <f>'BD Temp'!P326</f>
        <v>-</v>
      </c>
      <c r="V226" s="764"/>
      <c r="W226" s="764"/>
      <c r="X226" s="158"/>
      <c r="Y226" s="745"/>
      <c r="Z226" s="741">
        <v>0</v>
      </c>
      <c r="AA226" s="592" t="str">
        <f t="shared" si="76"/>
        <v>47.0284.1.2.17.00.01.039.01.06.29.1</v>
      </c>
      <c r="AB226" s="739" t="s">
        <v>1996</v>
      </c>
      <c r="AC226" s="738">
        <v>0</v>
      </c>
      <c r="AD226" s="592" t="str">
        <f t="shared" si="77"/>
        <v>47.0284.1.2.17.00.01.039.01.06.29.2</v>
      </c>
      <c r="AE226" s="739" t="s">
        <v>1998</v>
      </c>
      <c r="AF226" s="738">
        <v>0</v>
      </c>
      <c r="AG226" s="592" t="str">
        <f t="shared" si="78"/>
        <v>47.0284.1.2.17.00.01.039.01.06.29.3</v>
      </c>
      <c r="AH226" s="739" t="s">
        <v>2000</v>
      </c>
      <c r="AI226" s="158"/>
    </row>
    <row r="227" spans="1:35" ht="15" hidden="1" customHeight="1" outlineLevel="4">
      <c r="A227" s="93"/>
      <c r="B227" s="93" t="s">
        <v>1075</v>
      </c>
      <c r="C227" s="93"/>
      <c r="D227" s="93"/>
      <c r="E227" s="93"/>
      <c r="F227" s="93" t="s">
        <v>1075</v>
      </c>
      <c r="G227" s="37"/>
      <c r="H227" s="79"/>
      <c r="I227" s="69">
        <f t="shared" si="72"/>
        <v>0</v>
      </c>
      <c r="J227" s="48"/>
      <c r="K227" s="590" t="str">
        <f t="shared" si="73"/>
        <v>.1</v>
      </c>
      <c r="L227" s="579" t="s">
        <v>1996</v>
      </c>
      <c r="M227" s="74"/>
      <c r="N227" s="49"/>
      <c r="O227" s="592" t="str">
        <f t="shared" si="74"/>
        <v>.2</v>
      </c>
      <c r="P227" s="578" t="s">
        <v>1998</v>
      </c>
      <c r="Q227" s="74"/>
      <c r="R227" s="49"/>
      <c r="S227" s="592" t="str">
        <f t="shared" si="75"/>
        <v>.3</v>
      </c>
      <c r="T227" s="578" t="s">
        <v>2000</v>
      </c>
      <c r="U227" s="74"/>
      <c r="V227" s="764"/>
      <c r="W227" s="764"/>
      <c r="X227" s="158"/>
      <c r="Y227" s="745"/>
      <c r="Z227" s="741">
        <v>0</v>
      </c>
      <c r="AA227" s="592" t="str">
        <f t="shared" si="76"/>
        <v>.1</v>
      </c>
      <c r="AB227" s="739" t="s">
        <v>1996</v>
      </c>
      <c r="AC227" s="738">
        <v>0</v>
      </c>
      <c r="AD227" s="592" t="str">
        <f t="shared" si="77"/>
        <v>.2</v>
      </c>
      <c r="AE227" s="739" t="s">
        <v>1998</v>
      </c>
      <c r="AF227" s="738">
        <v>0</v>
      </c>
      <c r="AG227" s="592" t="str">
        <f t="shared" si="78"/>
        <v>.3</v>
      </c>
      <c r="AH227" s="739" t="s">
        <v>2000</v>
      </c>
      <c r="AI227" s="158"/>
    </row>
    <row r="228" spans="1:35" ht="15" hidden="1" customHeight="1" outlineLevel="4">
      <c r="A228" s="99"/>
      <c r="B228" s="99" t="s">
        <v>1075</v>
      </c>
      <c r="C228" s="99"/>
      <c r="D228" s="99"/>
      <c r="E228" s="99"/>
      <c r="F228" s="99" t="s">
        <v>1075</v>
      </c>
      <c r="G228" s="39" t="s">
        <v>723</v>
      </c>
      <c r="H228" s="79"/>
      <c r="I228" s="69">
        <f t="shared" si="72"/>
        <v>0</v>
      </c>
      <c r="J228" s="48"/>
      <c r="K228" s="590" t="str">
        <f t="shared" si="73"/>
        <v>.1</v>
      </c>
      <c r="L228" s="579" t="s">
        <v>1996</v>
      </c>
      <c r="M228" s="74"/>
      <c r="N228" s="49"/>
      <c r="O228" s="592" t="str">
        <f t="shared" si="74"/>
        <v>.2</v>
      </c>
      <c r="P228" s="578" t="s">
        <v>1998</v>
      </c>
      <c r="Q228" s="74"/>
      <c r="R228" s="49"/>
      <c r="S228" s="592" t="str">
        <f t="shared" si="75"/>
        <v>.3</v>
      </c>
      <c r="T228" s="578" t="s">
        <v>2000</v>
      </c>
      <c r="U228" s="74"/>
      <c r="V228" s="764"/>
      <c r="W228" s="764"/>
      <c r="X228" s="158"/>
      <c r="Y228" s="745"/>
      <c r="Z228" s="741">
        <v>0</v>
      </c>
      <c r="AA228" s="592" t="str">
        <f t="shared" si="76"/>
        <v>.1</v>
      </c>
      <c r="AB228" s="739" t="s">
        <v>1996</v>
      </c>
      <c r="AC228" s="738">
        <v>0</v>
      </c>
      <c r="AD228" s="592" t="str">
        <f t="shared" si="77"/>
        <v>.2</v>
      </c>
      <c r="AE228" s="739" t="s">
        <v>1998</v>
      </c>
      <c r="AF228" s="738">
        <v>0</v>
      </c>
      <c r="AG228" s="592" t="str">
        <f t="shared" si="78"/>
        <v>.3</v>
      </c>
      <c r="AH228" s="739" t="s">
        <v>2000</v>
      </c>
      <c r="AI228" s="158"/>
    </row>
    <row r="229" spans="1:35" ht="15" hidden="1" customHeight="1" outlineLevel="4">
      <c r="A229" s="93"/>
      <c r="B229" s="93" t="s">
        <v>1075</v>
      </c>
      <c r="C229" s="93"/>
      <c r="D229" s="93"/>
      <c r="E229" s="93"/>
      <c r="F229" s="93" t="s">
        <v>1075</v>
      </c>
      <c r="G229" s="37"/>
      <c r="H229" s="79"/>
      <c r="I229" s="69">
        <f t="shared" si="72"/>
        <v>0</v>
      </c>
      <c r="J229" s="48"/>
      <c r="K229" s="590" t="str">
        <f t="shared" si="73"/>
        <v>.1</v>
      </c>
      <c r="L229" s="579" t="s">
        <v>1996</v>
      </c>
      <c r="M229" s="74"/>
      <c r="N229" s="49"/>
      <c r="O229" s="592" t="str">
        <f t="shared" si="74"/>
        <v>.2</v>
      </c>
      <c r="P229" s="578" t="s">
        <v>1998</v>
      </c>
      <c r="Q229" s="74"/>
      <c r="R229" s="49"/>
      <c r="S229" s="592" t="str">
        <f t="shared" si="75"/>
        <v>.3</v>
      </c>
      <c r="T229" s="578" t="s">
        <v>2000</v>
      </c>
      <c r="U229" s="74"/>
      <c r="V229" s="764"/>
      <c r="W229" s="764"/>
      <c r="X229" s="158"/>
      <c r="Y229" s="745"/>
      <c r="Z229" s="741">
        <v>0</v>
      </c>
      <c r="AA229" s="592" t="str">
        <f t="shared" si="76"/>
        <v>.1</v>
      </c>
      <c r="AB229" s="739" t="s">
        <v>1996</v>
      </c>
      <c r="AC229" s="738">
        <v>0</v>
      </c>
      <c r="AD229" s="592" t="str">
        <f t="shared" si="77"/>
        <v>.2</v>
      </c>
      <c r="AE229" s="739" t="s">
        <v>1998</v>
      </c>
      <c r="AF229" s="738">
        <v>0</v>
      </c>
      <c r="AG229" s="592" t="str">
        <f t="shared" si="78"/>
        <v>.3</v>
      </c>
      <c r="AH229" s="739" t="s">
        <v>2000</v>
      </c>
      <c r="AI229" s="158"/>
    </row>
    <row r="230" spans="1:35" ht="15" hidden="1" customHeight="1" outlineLevel="4">
      <c r="A230" s="93"/>
      <c r="B230" s="93" t="s">
        <v>1075</v>
      </c>
      <c r="C230" s="93"/>
      <c r="D230" s="93"/>
      <c r="E230" s="93"/>
      <c r="F230" s="93" t="s">
        <v>1075</v>
      </c>
      <c r="G230" s="37"/>
      <c r="H230" s="79"/>
      <c r="I230" s="69">
        <f t="shared" si="72"/>
        <v>0</v>
      </c>
      <c r="J230" s="48"/>
      <c r="K230" s="590" t="str">
        <f t="shared" si="73"/>
        <v>.1</v>
      </c>
      <c r="L230" s="579" t="s">
        <v>1996</v>
      </c>
      <c r="M230" s="74"/>
      <c r="N230" s="49"/>
      <c r="O230" s="592" t="str">
        <f t="shared" si="74"/>
        <v>.2</v>
      </c>
      <c r="P230" s="578" t="s">
        <v>1998</v>
      </c>
      <c r="Q230" s="74"/>
      <c r="R230" s="49"/>
      <c r="S230" s="592" t="str">
        <f t="shared" si="75"/>
        <v>.3</v>
      </c>
      <c r="T230" s="578" t="s">
        <v>2000</v>
      </c>
      <c r="U230" s="74"/>
      <c r="V230" s="764"/>
      <c r="W230" s="764"/>
      <c r="X230" s="158"/>
      <c r="Y230" s="745"/>
      <c r="Z230" s="741">
        <v>0</v>
      </c>
      <c r="AA230" s="592" t="str">
        <f t="shared" si="76"/>
        <v>.1</v>
      </c>
      <c r="AB230" s="739" t="s">
        <v>1996</v>
      </c>
      <c r="AC230" s="738">
        <v>0</v>
      </c>
      <c r="AD230" s="592" t="str">
        <f t="shared" si="77"/>
        <v>.2</v>
      </c>
      <c r="AE230" s="739" t="s">
        <v>1998</v>
      </c>
      <c r="AF230" s="738">
        <v>0</v>
      </c>
      <c r="AG230" s="592" t="str">
        <f t="shared" si="78"/>
        <v>.3</v>
      </c>
      <c r="AH230" s="739" t="s">
        <v>2000</v>
      </c>
      <c r="AI230" s="158"/>
    </row>
    <row r="231" spans="1:35" ht="15" hidden="1" customHeight="1" outlineLevel="4">
      <c r="A231" s="93"/>
      <c r="B231" s="93" t="s">
        <v>1075</v>
      </c>
      <c r="C231" s="93"/>
      <c r="D231" s="93"/>
      <c r="E231" s="93"/>
      <c r="F231" s="93" t="s">
        <v>1075</v>
      </c>
      <c r="G231" s="37"/>
      <c r="H231" s="79"/>
      <c r="I231" s="69">
        <f t="shared" si="72"/>
        <v>0</v>
      </c>
      <c r="J231" s="48"/>
      <c r="K231" s="590" t="str">
        <f t="shared" si="73"/>
        <v>.1</v>
      </c>
      <c r="L231" s="579" t="s">
        <v>1996</v>
      </c>
      <c r="M231" s="74"/>
      <c r="N231" s="49"/>
      <c r="O231" s="592" t="str">
        <f t="shared" si="74"/>
        <v>.2</v>
      </c>
      <c r="P231" s="578" t="s">
        <v>1998</v>
      </c>
      <c r="Q231" s="74"/>
      <c r="R231" s="49"/>
      <c r="S231" s="592" t="str">
        <f t="shared" si="75"/>
        <v>.3</v>
      </c>
      <c r="T231" s="578" t="s">
        <v>2000</v>
      </c>
      <c r="U231" s="74"/>
      <c r="V231" s="764"/>
      <c r="W231" s="764"/>
      <c r="X231" s="158"/>
      <c r="Y231" s="745"/>
      <c r="Z231" s="741">
        <v>0</v>
      </c>
      <c r="AA231" s="592" t="str">
        <f t="shared" si="76"/>
        <v>.1</v>
      </c>
      <c r="AB231" s="739" t="s">
        <v>1996</v>
      </c>
      <c r="AC231" s="738">
        <v>0</v>
      </c>
      <c r="AD231" s="592" t="str">
        <f t="shared" si="77"/>
        <v>.2</v>
      </c>
      <c r="AE231" s="739" t="s">
        <v>1998</v>
      </c>
      <c r="AF231" s="738">
        <v>0</v>
      </c>
      <c r="AG231" s="592" t="str">
        <f t="shared" si="78"/>
        <v>.3</v>
      </c>
      <c r="AH231" s="739" t="s">
        <v>2000</v>
      </c>
      <c r="AI231" s="158"/>
    </row>
    <row r="232" spans="1:35" ht="15" hidden="1" customHeight="1" outlineLevel="4">
      <c r="A232" s="93"/>
      <c r="B232" s="93" t="s">
        <v>1075</v>
      </c>
      <c r="C232" s="93"/>
      <c r="D232" s="93"/>
      <c r="E232" s="93"/>
      <c r="F232" s="93" t="s">
        <v>1075</v>
      </c>
      <c r="G232" s="37"/>
      <c r="H232" s="79"/>
      <c r="I232" s="69">
        <f t="shared" si="72"/>
        <v>0</v>
      </c>
      <c r="J232" s="48"/>
      <c r="K232" s="590" t="str">
        <f t="shared" si="73"/>
        <v>.1</v>
      </c>
      <c r="L232" s="579" t="s">
        <v>1996</v>
      </c>
      <c r="M232" s="74"/>
      <c r="N232" s="49"/>
      <c r="O232" s="592" t="str">
        <f t="shared" si="74"/>
        <v>.2</v>
      </c>
      <c r="P232" s="578" t="s">
        <v>1998</v>
      </c>
      <c r="Q232" s="74"/>
      <c r="R232" s="49"/>
      <c r="S232" s="592" t="str">
        <f t="shared" si="75"/>
        <v>.3</v>
      </c>
      <c r="T232" s="578" t="s">
        <v>2000</v>
      </c>
      <c r="U232" s="74"/>
      <c r="V232" s="764"/>
      <c r="W232" s="764"/>
      <c r="X232" s="158"/>
      <c r="Y232" s="745"/>
      <c r="Z232" s="741">
        <v>0</v>
      </c>
      <c r="AA232" s="592" t="str">
        <f t="shared" si="76"/>
        <v>.1</v>
      </c>
      <c r="AB232" s="739" t="s">
        <v>1996</v>
      </c>
      <c r="AC232" s="738">
        <v>0</v>
      </c>
      <c r="AD232" s="592" t="str">
        <f t="shared" si="77"/>
        <v>.2</v>
      </c>
      <c r="AE232" s="739" t="s">
        <v>1998</v>
      </c>
      <c r="AF232" s="738">
        <v>0</v>
      </c>
      <c r="AG232" s="592" t="str">
        <f t="shared" si="78"/>
        <v>.3</v>
      </c>
      <c r="AH232" s="739" t="s">
        <v>2000</v>
      </c>
      <c r="AI232" s="158"/>
    </row>
    <row r="233" spans="1:35" ht="15" hidden="1" customHeight="1" outlineLevel="4">
      <c r="A233" s="93"/>
      <c r="B233" s="93" t="s">
        <v>1075</v>
      </c>
      <c r="C233" s="93"/>
      <c r="D233" s="93"/>
      <c r="E233" s="93"/>
      <c r="F233" s="93" t="s">
        <v>1075</v>
      </c>
      <c r="G233" s="37"/>
      <c r="H233" s="79"/>
      <c r="I233" s="69">
        <f t="shared" si="72"/>
        <v>0</v>
      </c>
      <c r="J233" s="48"/>
      <c r="K233" s="590" t="str">
        <f t="shared" si="73"/>
        <v>.1</v>
      </c>
      <c r="L233" s="579" t="s">
        <v>1996</v>
      </c>
      <c r="M233" s="74"/>
      <c r="N233" s="49"/>
      <c r="O233" s="592" t="str">
        <f t="shared" si="74"/>
        <v>.2</v>
      </c>
      <c r="P233" s="578" t="s">
        <v>1998</v>
      </c>
      <c r="Q233" s="74"/>
      <c r="R233" s="49"/>
      <c r="S233" s="592" t="str">
        <f t="shared" si="75"/>
        <v>.3</v>
      </c>
      <c r="T233" s="578" t="s">
        <v>2000</v>
      </c>
      <c r="U233" s="74"/>
      <c r="V233" s="764"/>
      <c r="W233" s="764"/>
      <c r="X233" s="158"/>
      <c r="Y233" s="745"/>
      <c r="Z233" s="741">
        <v>0</v>
      </c>
      <c r="AA233" s="592" t="str">
        <f t="shared" si="76"/>
        <v>.1</v>
      </c>
      <c r="AB233" s="739" t="s">
        <v>1996</v>
      </c>
      <c r="AC233" s="738">
        <v>0</v>
      </c>
      <c r="AD233" s="592" t="str">
        <f t="shared" si="77"/>
        <v>.2</v>
      </c>
      <c r="AE233" s="739" t="s">
        <v>1998</v>
      </c>
      <c r="AF233" s="738">
        <v>0</v>
      </c>
      <c r="AG233" s="592" t="str">
        <f t="shared" si="78"/>
        <v>.3</v>
      </c>
      <c r="AH233" s="739" t="s">
        <v>2000</v>
      </c>
      <c r="AI233" s="158"/>
    </row>
    <row r="234" spans="1:35" ht="15" hidden="1" customHeight="1" outlineLevel="4">
      <c r="A234" s="95"/>
      <c r="B234" s="95" t="s">
        <v>1075</v>
      </c>
      <c r="C234" s="95"/>
      <c r="D234" s="95"/>
      <c r="E234" s="774"/>
      <c r="F234" s="774" t="s">
        <v>1075</v>
      </c>
      <c r="G234" s="13"/>
      <c r="H234" s="81"/>
      <c r="I234" s="71">
        <f t="shared" si="72"/>
        <v>0</v>
      </c>
      <c r="J234" s="48"/>
      <c r="K234" s="590" t="str">
        <f t="shared" si="73"/>
        <v>.1</v>
      </c>
      <c r="L234" s="579" t="s">
        <v>1996</v>
      </c>
      <c r="M234" s="74"/>
      <c r="N234" s="49"/>
      <c r="O234" s="592" t="str">
        <f t="shared" si="74"/>
        <v>.2</v>
      </c>
      <c r="P234" s="578" t="s">
        <v>1998</v>
      </c>
      <c r="Q234" s="74"/>
      <c r="R234" s="49"/>
      <c r="S234" s="592" t="str">
        <f t="shared" si="75"/>
        <v>.3</v>
      </c>
      <c r="T234" s="578" t="s">
        <v>2000</v>
      </c>
      <c r="U234" s="74"/>
      <c r="V234" s="766"/>
      <c r="W234" s="766"/>
      <c r="X234" s="171"/>
      <c r="Y234" s="745"/>
      <c r="Z234" s="741">
        <v>0</v>
      </c>
      <c r="AA234" s="592" t="str">
        <f t="shared" si="76"/>
        <v>.1</v>
      </c>
      <c r="AB234" s="739" t="s">
        <v>1996</v>
      </c>
      <c r="AC234" s="738">
        <v>0</v>
      </c>
      <c r="AD234" s="592" t="str">
        <f t="shared" si="77"/>
        <v>.2</v>
      </c>
      <c r="AE234" s="739" t="s">
        <v>1998</v>
      </c>
      <c r="AF234" s="738">
        <v>0</v>
      </c>
      <c r="AG234" s="592" t="str">
        <f t="shared" si="78"/>
        <v>.3</v>
      </c>
      <c r="AH234" s="739" t="s">
        <v>2000</v>
      </c>
      <c r="AI234" s="171"/>
    </row>
    <row r="235" spans="1:35" ht="15" hidden="1" customHeight="1" outlineLevel="3" collapsed="1">
      <c r="A235" s="97"/>
      <c r="B235" s="97" t="s">
        <v>1075</v>
      </c>
      <c r="C235" s="97"/>
      <c r="D235" s="97"/>
      <c r="E235" s="97"/>
      <c r="F235" s="97" t="s">
        <v>1075</v>
      </c>
      <c r="G235" s="40" t="s">
        <v>330</v>
      </c>
      <c r="H235" s="78">
        <f>SUBTOTAL(9,H236:H255)</f>
        <v>0</v>
      </c>
      <c r="I235" s="68">
        <f t="shared" si="72"/>
        <v>0</v>
      </c>
      <c r="J235" s="55">
        <f>SUBTOTAL(9,J236:J255)</f>
        <v>0</v>
      </c>
      <c r="K235" s="55"/>
      <c r="L235" s="55"/>
      <c r="M235" s="84"/>
      <c r="N235" s="55">
        <f>SUBTOTAL(9,N236:N255)</f>
        <v>0</v>
      </c>
      <c r="O235" s="91"/>
      <c r="P235" s="91"/>
      <c r="Q235" s="84"/>
      <c r="R235" s="55">
        <f>SUBTOTAL(9,R236:R255)</f>
        <v>0</v>
      </c>
      <c r="S235" s="91"/>
      <c r="T235" s="91"/>
      <c r="U235" s="84"/>
      <c r="V235" s="55">
        <f>SUBTOTAL(9,V236:V255)</f>
        <v>0</v>
      </c>
      <c r="W235" s="55">
        <f>SUBTOTAL(9,W236:W255)</f>
        <v>0</v>
      </c>
      <c r="X235" s="170"/>
      <c r="Y235" s="745"/>
      <c r="Z235" s="55">
        <f>SUBTOTAL(9,Z236:Z255)</f>
        <v>0</v>
      </c>
      <c r="AA235" s="91"/>
      <c r="AB235" s="91"/>
      <c r="AC235" s="55">
        <f>SUBTOTAL(9,AC236:AC255)</f>
        <v>0</v>
      </c>
      <c r="AD235" s="91"/>
      <c r="AE235" s="91"/>
      <c r="AF235" s="55">
        <f>SUBTOTAL(9,AF236:AF255)</f>
        <v>0</v>
      </c>
      <c r="AG235" s="91"/>
      <c r="AH235" s="91"/>
      <c r="AI235" s="170"/>
    </row>
    <row r="236" spans="1:35" ht="15" hidden="1" customHeight="1" outlineLevel="4">
      <c r="A236" s="94">
        <v>213000</v>
      </c>
      <c r="B236" s="94">
        <v>3482</v>
      </c>
      <c r="C236" s="94"/>
      <c r="D236" s="94"/>
      <c r="E236" s="94" t="s">
        <v>3060</v>
      </c>
      <c r="F236" s="94" t="s">
        <v>5157</v>
      </c>
      <c r="G236" s="38" t="s">
        <v>611</v>
      </c>
      <c r="H236" s="254">
        <f>IFERROR(VLOOKUP(A236,'Colar QL'!A:C,3,0),0)</f>
        <v>0</v>
      </c>
      <c r="I236" s="69">
        <f t="shared" si="72"/>
        <v>0</v>
      </c>
      <c r="J236" s="258">
        <f>'BD Temp'!E336</f>
        <v>0</v>
      </c>
      <c r="K236" s="590" t="str">
        <f t="shared" ref="K236:K255" si="79">F236&amp;L236</f>
        <v>47.0284.1.2.17.00.01.039.01.06.29.1</v>
      </c>
      <c r="L236" s="579" t="s">
        <v>1996</v>
      </c>
      <c r="M236" s="256" t="str">
        <f>'BD Temp'!F336</f>
        <v>-</v>
      </c>
      <c r="N236" s="255">
        <f>'BD Temp'!J336</f>
        <v>0</v>
      </c>
      <c r="O236" s="592" t="str">
        <f t="shared" ref="O236:O255" si="80">F236&amp;P236</f>
        <v>47.0284.1.2.17.00.01.039.01.06.29.2</v>
      </c>
      <c r="P236" s="578" t="s">
        <v>1998</v>
      </c>
      <c r="Q236" s="256" t="str">
        <f>'BD Temp'!K336</f>
        <v>-</v>
      </c>
      <c r="R236" s="255">
        <f>'BD Temp'!O336</f>
        <v>0</v>
      </c>
      <c r="S236" s="592" t="str">
        <f t="shared" ref="S236:S255" si="81">F236&amp;T236</f>
        <v>47.0284.1.2.17.00.01.039.01.06.29.3</v>
      </c>
      <c r="T236" s="578" t="s">
        <v>2000</v>
      </c>
      <c r="U236" s="256" t="str">
        <f>'BD Temp'!P336</f>
        <v>-</v>
      </c>
      <c r="V236" s="767"/>
      <c r="W236" s="767"/>
      <c r="X236" s="164"/>
      <c r="Y236" s="746"/>
      <c r="Z236" s="741">
        <v>0</v>
      </c>
      <c r="AA236" s="592" t="str">
        <f t="shared" ref="AA236:AA255" si="82">F236&amp;AB236</f>
        <v>47.0284.1.2.17.00.01.039.01.06.29.1</v>
      </c>
      <c r="AB236" s="739" t="s">
        <v>1996</v>
      </c>
      <c r="AC236" s="738">
        <v>0</v>
      </c>
      <c r="AD236" s="592" t="str">
        <f t="shared" ref="AD236:AD255" si="83">F236&amp;AE236</f>
        <v>47.0284.1.2.17.00.01.039.01.06.29.2</v>
      </c>
      <c r="AE236" s="739" t="s">
        <v>1998</v>
      </c>
      <c r="AF236" s="738">
        <v>0</v>
      </c>
      <c r="AG236" s="592" t="str">
        <f t="shared" ref="AG236:AG255" si="84">F236&amp;AH236</f>
        <v>47.0284.1.2.17.00.01.039.01.06.29.3</v>
      </c>
      <c r="AH236" s="739" t="s">
        <v>2000</v>
      </c>
      <c r="AI236" s="164"/>
    </row>
    <row r="237" spans="1:35" ht="15" hidden="1" customHeight="1" outlineLevel="4">
      <c r="A237" s="94">
        <v>213005</v>
      </c>
      <c r="B237" s="94">
        <v>3482</v>
      </c>
      <c r="C237" s="94"/>
      <c r="D237" s="94"/>
      <c r="E237" s="94" t="s">
        <v>3060</v>
      </c>
      <c r="F237" s="94" t="s">
        <v>5157</v>
      </c>
      <c r="G237" s="38" t="s">
        <v>612</v>
      </c>
      <c r="H237" s="667">
        <f>IFERROR(VLOOKUP(A237,'Colar QL'!A:C,3,0),0)</f>
        <v>0</v>
      </c>
      <c r="I237" s="69">
        <f t="shared" si="72"/>
        <v>0</v>
      </c>
      <c r="J237" s="258">
        <f>'BD Temp'!E337</f>
        <v>0</v>
      </c>
      <c r="K237" s="590" t="str">
        <f t="shared" si="79"/>
        <v>47.0284.1.2.17.00.01.039.01.06.29.1</v>
      </c>
      <c r="L237" s="579" t="s">
        <v>1996</v>
      </c>
      <c r="M237" s="256" t="str">
        <f>'BD Temp'!F337</f>
        <v>-</v>
      </c>
      <c r="N237" s="255">
        <f>'BD Temp'!J337</f>
        <v>0</v>
      </c>
      <c r="O237" s="592" t="str">
        <f t="shared" si="80"/>
        <v>47.0284.1.2.17.00.01.039.01.06.29.2</v>
      </c>
      <c r="P237" s="578" t="s">
        <v>1998</v>
      </c>
      <c r="Q237" s="256" t="str">
        <f>'BD Temp'!K337</f>
        <v>-</v>
      </c>
      <c r="R237" s="255">
        <f>'BD Temp'!O337</f>
        <v>0</v>
      </c>
      <c r="S237" s="592" t="str">
        <f t="shared" si="81"/>
        <v>47.0284.1.2.17.00.01.039.01.06.29.3</v>
      </c>
      <c r="T237" s="578" t="s">
        <v>2000</v>
      </c>
      <c r="U237" s="256" t="str">
        <f>'BD Temp'!P337</f>
        <v>-</v>
      </c>
      <c r="V237" s="767"/>
      <c r="W237" s="767"/>
      <c r="X237" s="164"/>
      <c r="Y237" s="746"/>
      <c r="Z237" s="741">
        <v>0</v>
      </c>
      <c r="AA237" s="592" t="str">
        <f t="shared" si="82"/>
        <v>47.0284.1.2.17.00.01.039.01.06.29.1</v>
      </c>
      <c r="AB237" s="739" t="s">
        <v>1996</v>
      </c>
      <c r="AC237" s="738">
        <v>0</v>
      </c>
      <c r="AD237" s="592" t="str">
        <f t="shared" si="83"/>
        <v>47.0284.1.2.17.00.01.039.01.06.29.2</v>
      </c>
      <c r="AE237" s="739" t="s">
        <v>1998</v>
      </c>
      <c r="AF237" s="738">
        <v>0</v>
      </c>
      <c r="AG237" s="592" t="str">
        <f t="shared" si="84"/>
        <v>47.0284.1.2.17.00.01.039.01.06.29.3</v>
      </c>
      <c r="AH237" s="739" t="s">
        <v>2000</v>
      </c>
      <c r="AI237" s="164"/>
    </row>
    <row r="238" spans="1:35" ht="15" hidden="1" customHeight="1" outlineLevel="4">
      <c r="A238" s="94">
        <v>213010</v>
      </c>
      <c r="B238" s="94">
        <v>3482</v>
      </c>
      <c r="C238" s="94"/>
      <c r="D238" s="94"/>
      <c r="E238" s="94" t="s">
        <v>3060</v>
      </c>
      <c r="F238" s="94" t="s">
        <v>5157</v>
      </c>
      <c r="G238" s="38" t="s">
        <v>613</v>
      </c>
      <c r="H238" s="667">
        <f>IFERROR(VLOOKUP(A238,'Colar QL'!A:C,3,0),0)</f>
        <v>0</v>
      </c>
      <c r="I238" s="69">
        <f t="shared" si="72"/>
        <v>0</v>
      </c>
      <c r="J238" s="258">
        <f>'BD Temp'!E338</f>
        <v>0</v>
      </c>
      <c r="K238" s="590" t="str">
        <f t="shared" si="79"/>
        <v>47.0284.1.2.17.00.01.039.01.06.29.1</v>
      </c>
      <c r="L238" s="579" t="s">
        <v>1996</v>
      </c>
      <c r="M238" s="256" t="str">
        <f>'BD Temp'!F338</f>
        <v>-</v>
      </c>
      <c r="N238" s="255">
        <f>'BD Temp'!J338</f>
        <v>0</v>
      </c>
      <c r="O238" s="592" t="str">
        <f t="shared" si="80"/>
        <v>47.0284.1.2.17.00.01.039.01.06.29.2</v>
      </c>
      <c r="P238" s="578" t="s">
        <v>1998</v>
      </c>
      <c r="Q238" s="256" t="str">
        <f>'BD Temp'!K338</f>
        <v>-</v>
      </c>
      <c r="R238" s="255">
        <f>'BD Temp'!O338</f>
        <v>0</v>
      </c>
      <c r="S238" s="592" t="str">
        <f t="shared" si="81"/>
        <v>47.0284.1.2.17.00.01.039.01.06.29.3</v>
      </c>
      <c r="T238" s="578" t="s">
        <v>2000</v>
      </c>
      <c r="U238" s="256" t="str">
        <f>'BD Temp'!P338</f>
        <v>-</v>
      </c>
      <c r="V238" s="767"/>
      <c r="W238" s="767"/>
      <c r="X238" s="164"/>
      <c r="Y238" s="746"/>
      <c r="Z238" s="741">
        <v>0</v>
      </c>
      <c r="AA238" s="592" t="str">
        <f t="shared" si="82"/>
        <v>47.0284.1.2.17.00.01.039.01.06.29.1</v>
      </c>
      <c r="AB238" s="739" t="s">
        <v>1996</v>
      </c>
      <c r="AC238" s="738">
        <v>0</v>
      </c>
      <c r="AD238" s="592" t="str">
        <f t="shared" si="83"/>
        <v>47.0284.1.2.17.00.01.039.01.06.29.2</v>
      </c>
      <c r="AE238" s="739" t="s">
        <v>1998</v>
      </c>
      <c r="AF238" s="738">
        <v>0</v>
      </c>
      <c r="AG238" s="592" t="str">
        <f t="shared" si="84"/>
        <v>47.0284.1.2.17.00.01.039.01.06.29.3</v>
      </c>
      <c r="AH238" s="739" t="s">
        <v>2000</v>
      </c>
      <c r="AI238" s="164"/>
    </row>
    <row r="239" spans="1:35" ht="15" hidden="1" customHeight="1" outlineLevel="4">
      <c r="A239" s="94">
        <v>213015</v>
      </c>
      <c r="B239" s="94">
        <v>3482</v>
      </c>
      <c r="C239" s="94"/>
      <c r="D239" s="94"/>
      <c r="E239" s="94" t="s">
        <v>3060</v>
      </c>
      <c r="F239" s="94" t="s">
        <v>5157</v>
      </c>
      <c r="G239" s="38" t="s">
        <v>614</v>
      </c>
      <c r="H239" s="667">
        <f>IFERROR(VLOOKUP(A239,'Colar QL'!A:C,3,0),0)</f>
        <v>0</v>
      </c>
      <c r="I239" s="69">
        <f t="shared" si="72"/>
        <v>0</v>
      </c>
      <c r="J239" s="258">
        <f>'BD Temp'!E339</f>
        <v>0</v>
      </c>
      <c r="K239" s="590" t="str">
        <f t="shared" si="79"/>
        <v>47.0284.1.2.17.00.01.039.01.06.29.1</v>
      </c>
      <c r="L239" s="579" t="s">
        <v>1996</v>
      </c>
      <c r="M239" s="256" t="str">
        <f>'BD Temp'!F339</f>
        <v>-</v>
      </c>
      <c r="N239" s="255">
        <f>'BD Temp'!J339</f>
        <v>0</v>
      </c>
      <c r="O239" s="592" t="str">
        <f t="shared" si="80"/>
        <v>47.0284.1.2.17.00.01.039.01.06.29.2</v>
      </c>
      <c r="P239" s="578" t="s">
        <v>1998</v>
      </c>
      <c r="Q239" s="256" t="str">
        <f>'BD Temp'!K339</f>
        <v>-</v>
      </c>
      <c r="R239" s="255">
        <f>'BD Temp'!O339</f>
        <v>0</v>
      </c>
      <c r="S239" s="592" t="str">
        <f t="shared" si="81"/>
        <v>47.0284.1.2.17.00.01.039.01.06.29.3</v>
      </c>
      <c r="T239" s="578" t="s">
        <v>2000</v>
      </c>
      <c r="U239" s="256" t="str">
        <f>'BD Temp'!P339</f>
        <v>-</v>
      </c>
      <c r="V239" s="767"/>
      <c r="W239" s="767"/>
      <c r="X239" s="164"/>
      <c r="Y239" s="746"/>
      <c r="Z239" s="741">
        <v>0</v>
      </c>
      <c r="AA239" s="592" t="str">
        <f t="shared" si="82"/>
        <v>47.0284.1.2.17.00.01.039.01.06.29.1</v>
      </c>
      <c r="AB239" s="739" t="s">
        <v>1996</v>
      </c>
      <c r="AC239" s="738">
        <v>0</v>
      </c>
      <c r="AD239" s="592" t="str">
        <f t="shared" si="83"/>
        <v>47.0284.1.2.17.00.01.039.01.06.29.2</v>
      </c>
      <c r="AE239" s="739" t="s">
        <v>1998</v>
      </c>
      <c r="AF239" s="738">
        <v>0</v>
      </c>
      <c r="AG239" s="592" t="str">
        <f t="shared" si="84"/>
        <v>47.0284.1.2.17.00.01.039.01.06.29.3</v>
      </c>
      <c r="AH239" s="739" t="s">
        <v>2000</v>
      </c>
      <c r="AI239" s="164"/>
    </row>
    <row r="240" spans="1:35" ht="15" hidden="1" customHeight="1" outlineLevel="4">
      <c r="A240" s="94">
        <v>213020</v>
      </c>
      <c r="B240" s="94">
        <v>3482</v>
      </c>
      <c r="C240" s="94"/>
      <c r="D240" s="94"/>
      <c r="E240" s="94" t="s">
        <v>3060</v>
      </c>
      <c r="F240" s="94" t="s">
        <v>5157</v>
      </c>
      <c r="G240" s="38" t="s">
        <v>615</v>
      </c>
      <c r="H240" s="667">
        <f>IFERROR(VLOOKUP(A240,'Colar QL'!A:C,3,0),0)</f>
        <v>0</v>
      </c>
      <c r="I240" s="69">
        <f t="shared" si="72"/>
        <v>0</v>
      </c>
      <c r="J240" s="258">
        <f>'BD Temp'!E340</f>
        <v>0</v>
      </c>
      <c r="K240" s="590" t="str">
        <f t="shared" si="79"/>
        <v>47.0284.1.2.17.00.01.039.01.06.29.1</v>
      </c>
      <c r="L240" s="579" t="s">
        <v>1996</v>
      </c>
      <c r="M240" s="256" t="str">
        <f>'BD Temp'!F340</f>
        <v>-</v>
      </c>
      <c r="N240" s="255">
        <f>'BD Temp'!J340</f>
        <v>0</v>
      </c>
      <c r="O240" s="592" t="str">
        <f t="shared" si="80"/>
        <v>47.0284.1.2.17.00.01.039.01.06.29.2</v>
      </c>
      <c r="P240" s="578" t="s">
        <v>1998</v>
      </c>
      <c r="Q240" s="256" t="str">
        <f>'BD Temp'!K340</f>
        <v>-</v>
      </c>
      <c r="R240" s="255">
        <f>'BD Temp'!O340</f>
        <v>0</v>
      </c>
      <c r="S240" s="592" t="str">
        <f t="shared" si="81"/>
        <v>47.0284.1.2.17.00.01.039.01.06.29.3</v>
      </c>
      <c r="T240" s="578" t="s">
        <v>2000</v>
      </c>
      <c r="U240" s="256" t="str">
        <f>'BD Temp'!P340</f>
        <v>-</v>
      </c>
      <c r="V240" s="767"/>
      <c r="W240" s="767"/>
      <c r="X240" s="164"/>
      <c r="Y240" s="746"/>
      <c r="Z240" s="741">
        <v>0</v>
      </c>
      <c r="AA240" s="592" t="str">
        <f t="shared" si="82"/>
        <v>47.0284.1.2.17.00.01.039.01.06.29.1</v>
      </c>
      <c r="AB240" s="739" t="s">
        <v>1996</v>
      </c>
      <c r="AC240" s="738">
        <v>0</v>
      </c>
      <c r="AD240" s="592" t="str">
        <f t="shared" si="83"/>
        <v>47.0284.1.2.17.00.01.039.01.06.29.2</v>
      </c>
      <c r="AE240" s="739" t="s">
        <v>1998</v>
      </c>
      <c r="AF240" s="738">
        <v>0</v>
      </c>
      <c r="AG240" s="592" t="str">
        <f t="shared" si="84"/>
        <v>47.0284.1.2.17.00.01.039.01.06.29.3</v>
      </c>
      <c r="AH240" s="739" t="s">
        <v>2000</v>
      </c>
      <c r="AI240" s="164"/>
    </row>
    <row r="241" spans="1:35" ht="15" hidden="1" customHeight="1" outlineLevel="4">
      <c r="A241" s="94">
        <v>213025</v>
      </c>
      <c r="B241" s="94">
        <v>3482</v>
      </c>
      <c r="C241" s="94"/>
      <c r="D241" s="94"/>
      <c r="E241" s="94" t="s">
        <v>3060</v>
      </c>
      <c r="F241" s="94" t="s">
        <v>5157</v>
      </c>
      <c r="G241" s="38" t="s">
        <v>616</v>
      </c>
      <c r="H241" s="667">
        <f>IFERROR(VLOOKUP(A241,'Colar QL'!A:C,3,0),0)</f>
        <v>0</v>
      </c>
      <c r="I241" s="69">
        <f t="shared" si="72"/>
        <v>0</v>
      </c>
      <c r="J241" s="258">
        <f>'BD Temp'!E341</f>
        <v>0</v>
      </c>
      <c r="K241" s="590" t="str">
        <f t="shared" si="79"/>
        <v>47.0284.1.2.17.00.01.039.01.06.29.1</v>
      </c>
      <c r="L241" s="579" t="s">
        <v>1996</v>
      </c>
      <c r="M241" s="256" t="str">
        <f>'BD Temp'!F341</f>
        <v>-</v>
      </c>
      <c r="N241" s="255">
        <f>'BD Temp'!J341</f>
        <v>0</v>
      </c>
      <c r="O241" s="592" t="str">
        <f t="shared" si="80"/>
        <v>47.0284.1.2.17.00.01.039.01.06.29.2</v>
      </c>
      <c r="P241" s="578" t="s">
        <v>1998</v>
      </c>
      <c r="Q241" s="256" t="str">
        <f>'BD Temp'!K341</f>
        <v>-</v>
      </c>
      <c r="R241" s="255">
        <f>'BD Temp'!O341</f>
        <v>0</v>
      </c>
      <c r="S241" s="592" t="str">
        <f t="shared" si="81"/>
        <v>47.0284.1.2.17.00.01.039.01.06.29.3</v>
      </c>
      <c r="T241" s="578" t="s">
        <v>2000</v>
      </c>
      <c r="U241" s="256" t="str">
        <f>'BD Temp'!P341</f>
        <v>-</v>
      </c>
      <c r="V241" s="767"/>
      <c r="W241" s="767"/>
      <c r="X241" s="164"/>
      <c r="Y241" s="746"/>
      <c r="Z241" s="741">
        <v>0</v>
      </c>
      <c r="AA241" s="592" t="str">
        <f t="shared" si="82"/>
        <v>47.0284.1.2.17.00.01.039.01.06.29.1</v>
      </c>
      <c r="AB241" s="739" t="s">
        <v>1996</v>
      </c>
      <c r="AC241" s="738">
        <v>0</v>
      </c>
      <c r="AD241" s="592" t="str">
        <f t="shared" si="83"/>
        <v>47.0284.1.2.17.00.01.039.01.06.29.2</v>
      </c>
      <c r="AE241" s="739" t="s">
        <v>1998</v>
      </c>
      <c r="AF241" s="738">
        <v>0</v>
      </c>
      <c r="AG241" s="592" t="str">
        <f t="shared" si="84"/>
        <v>47.0284.1.2.17.00.01.039.01.06.29.3</v>
      </c>
      <c r="AH241" s="739" t="s">
        <v>2000</v>
      </c>
      <c r="AI241" s="164"/>
    </row>
    <row r="242" spans="1:35" ht="15" hidden="1" customHeight="1" outlineLevel="4">
      <c r="A242" s="94">
        <v>213030</v>
      </c>
      <c r="B242" s="94">
        <v>3482</v>
      </c>
      <c r="C242" s="94"/>
      <c r="D242" s="94"/>
      <c r="E242" s="94" t="s">
        <v>3060</v>
      </c>
      <c r="F242" s="94" t="s">
        <v>5157</v>
      </c>
      <c r="G242" s="38" t="s">
        <v>617</v>
      </c>
      <c r="H242" s="667">
        <f>IFERROR(VLOOKUP(A242,'Colar QL'!A:C,3,0),0)</f>
        <v>0</v>
      </c>
      <c r="I242" s="69">
        <f t="shared" si="72"/>
        <v>0</v>
      </c>
      <c r="J242" s="258">
        <f>'BD Temp'!E342</f>
        <v>0</v>
      </c>
      <c r="K242" s="590" t="str">
        <f t="shared" si="79"/>
        <v>47.0284.1.2.17.00.01.039.01.06.29.1</v>
      </c>
      <c r="L242" s="579" t="s">
        <v>1996</v>
      </c>
      <c r="M242" s="256" t="str">
        <f>'BD Temp'!F342</f>
        <v>-</v>
      </c>
      <c r="N242" s="255">
        <f>'BD Temp'!J342</f>
        <v>0</v>
      </c>
      <c r="O242" s="592" t="str">
        <f t="shared" si="80"/>
        <v>47.0284.1.2.17.00.01.039.01.06.29.2</v>
      </c>
      <c r="P242" s="578" t="s">
        <v>1998</v>
      </c>
      <c r="Q242" s="256" t="str">
        <f>'BD Temp'!K342</f>
        <v>-</v>
      </c>
      <c r="R242" s="255">
        <f>'BD Temp'!O342</f>
        <v>0</v>
      </c>
      <c r="S242" s="592" t="str">
        <f t="shared" si="81"/>
        <v>47.0284.1.2.17.00.01.039.01.06.29.3</v>
      </c>
      <c r="T242" s="578" t="s">
        <v>2000</v>
      </c>
      <c r="U242" s="256" t="str">
        <f>'BD Temp'!P342</f>
        <v>-</v>
      </c>
      <c r="V242" s="767"/>
      <c r="W242" s="767"/>
      <c r="X242" s="164"/>
      <c r="Y242" s="746"/>
      <c r="Z242" s="741">
        <v>0</v>
      </c>
      <c r="AA242" s="592" t="str">
        <f t="shared" si="82"/>
        <v>47.0284.1.2.17.00.01.039.01.06.29.1</v>
      </c>
      <c r="AB242" s="739" t="s">
        <v>1996</v>
      </c>
      <c r="AC242" s="738">
        <v>0</v>
      </c>
      <c r="AD242" s="592" t="str">
        <f t="shared" si="83"/>
        <v>47.0284.1.2.17.00.01.039.01.06.29.2</v>
      </c>
      <c r="AE242" s="739" t="s">
        <v>1998</v>
      </c>
      <c r="AF242" s="738">
        <v>0</v>
      </c>
      <c r="AG242" s="592" t="str">
        <f t="shared" si="84"/>
        <v>47.0284.1.2.17.00.01.039.01.06.29.3</v>
      </c>
      <c r="AH242" s="739" t="s">
        <v>2000</v>
      </c>
      <c r="AI242" s="164"/>
    </row>
    <row r="243" spans="1:35" ht="15" hidden="1" customHeight="1" outlineLevel="4">
      <c r="A243" s="94">
        <v>213035</v>
      </c>
      <c r="B243" s="94">
        <v>3482</v>
      </c>
      <c r="C243" s="94"/>
      <c r="D243" s="94"/>
      <c r="E243" s="94" t="s">
        <v>3060</v>
      </c>
      <c r="F243" s="94" t="s">
        <v>5157</v>
      </c>
      <c r="G243" s="38" t="s">
        <v>618</v>
      </c>
      <c r="H243" s="667">
        <f>IFERROR(VLOOKUP(A243,'Colar QL'!A:C,3,0),0)</f>
        <v>0</v>
      </c>
      <c r="I243" s="69">
        <f t="shared" si="72"/>
        <v>0</v>
      </c>
      <c r="J243" s="258">
        <f>'BD Temp'!E343</f>
        <v>0</v>
      </c>
      <c r="K243" s="590" t="str">
        <f t="shared" si="79"/>
        <v>47.0284.1.2.17.00.01.039.01.06.29.1</v>
      </c>
      <c r="L243" s="579" t="s">
        <v>1996</v>
      </c>
      <c r="M243" s="256" t="str">
        <f>'BD Temp'!F343</f>
        <v>-</v>
      </c>
      <c r="N243" s="255">
        <f>'BD Temp'!J343</f>
        <v>0</v>
      </c>
      <c r="O243" s="592" t="str">
        <f t="shared" si="80"/>
        <v>47.0284.1.2.17.00.01.039.01.06.29.2</v>
      </c>
      <c r="P243" s="578" t="s">
        <v>1998</v>
      </c>
      <c r="Q243" s="256" t="str">
        <f>'BD Temp'!K343</f>
        <v>-</v>
      </c>
      <c r="R243" s="255">
        <f>'BD Temp'!O343</f>
        <v>0</v>
      </c>
      <c r="S243" s="592" t="str">
        <f t="shared" si="81"/>
        <v>47.0284.1.2.17.00.01.039.01.06.29.3</v>
      </c>
      <c r="T243" s="578" t="s">
        <v>2000</v>
      </c>
      <c r="U243" s="256" t="str">
        <f>'BD Temp'!P343</f>
        <v>-</v>
      </c>
      <c r="V243" s="767"/>
      <c r="W243" s="767"/>
      <c r="X243" s="164"/>
      <c r="Y243" s="746"/>
      <c r="Z243" s="741">
        <v>0</v>
      </c>
      <c r="AA243" s="592" t="str">
        <f t="shared" si="82"/>
        <v>47.0284.1.2.17.00.01.039.01.06.29.1</v>
      </c>
      <c r="AB243" s="739" t="s">
        <v>1996</v>
      </c>
      <c r="AC243" s="738">
        <v>0</v>
      </c>
      <c r="AD243" s="592" t="str">
        <f t="shared" si="83"/>
        <v>47.0284.1.2.17.00.01.039.01.06.29.2</v>
      </c>
      <c r="AE243" s="739" t="s">
        <v>1998</v>
      </c>
      <c r="AF243" s="738">
        <v>0</v>
      </c>
      <c r="AG243" s="592" t="str">
        <f t="shared" si="84"/>
        <v>47.0284.1.2.17.00.01.039.01.06.29.3</v>
      </c>
      <c r="AH243" s="739" t="s">
        <v>2000</v>
      </c>
      <c r="AI243" s="164"/>
    </row>
    <row r="244" spans="1:35" ht="15" hidden="1" customHeight="1" outlineLevel="4">
      <c r="A244" s="94">
        <v>213040</v>
      </c>
      <c r="B244" s="94">
        <v>3482</v>
      </c>
      <c r="C244" s="94"/>
      <c r="D244" s="94"/>
      <c r="E244" s="94" t="s">
        <v>3060</v>
      </c>
      <c r="F244" s="94" t="s">
        <v>5157</v>
      </c>
      <c r="G244" s="38" t="s">
        <v>619</v>
      </c>
      <c r="H244" s="667">
        <f>IFERROR(VLOOKUP(A244,'Colar QL'!A:C,3,0),0)</f>
        <v>0</v>
      </c>
      <c r="I244" s="69">
        <f t="shared" si="72"/>
        <v>0</v>
      </c>
      <c r="J244" s="258">
        <f>'BD Temp'!E344</f>
        <v>0</v>
      </c>
      <c r="K244" s="590" t="str">
        <f t="shared" si="79"/>
        <v>47.0284.1.2.17.00.01.039.01.06.29.1</v>
      </c>
      <c r="L244" s="579" t="s">
        <v>1996</v>
      </c>
      <c r="M244" s="256" t="str">
        <f>'BD Temp'!F344</f>
        <v>-</v>
      </c>
      <c r="N244" s="255">
        <f>'BD Temp'!J344</f>
        <v>0</v>
      </c>
      <c r="O244" s="592" t="str">
        <f t="shared" si="80"/>
        <v>47.0284.1.2.17.00.01.039.01.06.29.2</v>
      </c>
      <c r="P244" s="578" t="s">
        <v>1998</v>
      </c>
      <c r="Q244" s="256" t="str">
        <f>'BD Temp'!K344</f>
        <v>-</v>
      </c>
      <c r="R244" s="255">
        <f>'BD Temp'!O344</f>
        <v>0</v>
      </c>
      <c r="S244" s="592" t="str">
        <f t="shared" si="81"/>
        <v>47.0284.1.2.17.00.01.039.01.06.29.3</v>
      </c>
      <c r="T244" s="578" t="s">
        <v>2000</v>
      </c>
      <c r="U244" s="256" t="str">
        <f>'BD Temp'!P344</f>
        <v>-</v>
      </c>
      <c r="V244" s="767"/>
      <c r="W244" s="767"/>
      <c r="X244" s="164"/>
      <c r="Y244" s="746"/>
      <c r="Z244" s="741">
        <v>0</v>
      </c>
      <c r="AA244" s="592" t="str">
        <f t="shared" si="82"/>
        <v>47.0284.1.2.17.00.01.039.01.06.29.1</v>
      </c>
      <c r="AB244" s="739" t="s">
        <v>1996</v>
      </c>
      <c r="AC244" s="738">
        <v>0</v>
      </c>
      <c r="AD244" s="592" t="str">
        <f t="shared" si="83"/>
        <v>47.0284.1.2.17.00.01.039.01.06.29.2</v>
      </c>
      <c r="AE244" s="739" t="s">
        <v>1998</v>
      </c>
      <c r="AF244" s="738">
        <v>0</v>
      </c>
      <c r="AG244" s="592" t="str">
        <f t="shared" si="84"/>
        <v>47.0284.1.2.17.00.01.039.01.06.29.3</v>
      </c>
      <c r="AH244" s="739" t="s">
        <v>2000</v>
      </c>
      <c r="AI244" s="164"/>
    </row>
    <row r="245" spans="1:35" ht="15" hidden="1" customHeight="1" outlineLevel="4">
      <c r="A245" s="94">
        <v>213045</v>
      </c>
      <c r="B245" s="94">
        <v>3482</v>
      </c>
      <c r="C245" s="94"/>
      <c r="D245" s="94"/>
      <c r="E245" s="94" t="s">
        <v>3060</v>
      </c>
      <c r="F245" s="94" t="s">
        <v>5157</v>
      </c>
      <c r="G245" s="38" t="s">
        <v>622</v>
      </c>
      <c r="H245" s="667">
        <f>IFERROR(VLOOKUP(A245,'Colar QL'!A:C,3,0),0)</f>
        <v>0</v>
      </c>
      <c r="I245" s="69">
        <f t="shared" si="72"/>
        <v>0</v>
      </c>
      <c r="J245" s="258">
        <f>'BD Temp'!E345</f>
        <v>0</v>
      </c>
      <c r="K245" s="590" t="str">
        <f t="shared" si="79"/>
        <v>47.0284.1.2.17.00.01.039.01.06.29.1</v>
      </c>
      <c r="L245" s="579" t="s">
        <v>1996</v>
      </c>
      <c r="M245" s="256" t="str">
        <f>'BD Temp'!F345</f>
        <v>-</v>
      </c>
      <c r="N245" s="255">
        <f>'BD Temp'!J345</f>
        <v>0</v>
      </c>
      <c r="O245" s="592" t="str">
        <f t="shared" si="80"/>
        <v>47.0284.1.2.17.00.01.039.01.06.29.2</v>
      </c>
      <c r="P245" s="578" t="s">
        <v>1998</v>
      </c>
      <c r="Q245" s="256" t="str">
        <f>'BD Temp'!K345</f>
        <v>-</v>
      </c>
      <c r="R245" s="255">
        <f>'BD Temp'!O345</f>
        <v>0</v>
      </c>
      <c r="S245" s="592" t="str">
        <f t="shared" si="81"/>
        <v>47.0284.1.2.17.00.01.039.01.06.29.3</v>
      </c>
      <c r="T245" s="578" t="s">
        <v>2000</v>
      </c>
      <c r="U245" s="256" t="str">
        <f>'BD Temp'!P345</f>
        <v>-</v>
      </c>
      <c r="V245" s="767"/>
      <c r="W245" s="767"/>
      <c r="X245" s="164"/>
      <c r="Y245" s="746"/>
      <c r="Z245" s="741">
        <v>0</v>
      </c>
      <c r="AA245" s="592" t="str">
        <f t="shared" si="82"/>
        <v>47.0284.1.2.17.00.01.039.01.06.29.1</v>
      </c>
      <c r="AB245" s="739" t="s">
        <v>1996</v>
      </c>
      <c r="AC245" s="738">
        <v>0</v>
      </c>
      <c r="AD245" s="592" t="str">
        <f t="shared" si="83"/>
        <v>47.0284.1.2.17.00.01.039.01.06.29.2</v>
      </c>
      <c r="AE245" s="739" t="s">
        <v>1998</v>
      </c>
      <c r="AF245" s="738">
        <v>0</v>
      </c>
      <c r="AG245" s="592" t="str">
        <f t="shared" si="84"/>
        <v>47.0284.1.2.17.00.01.039.01.06.29.3</v>
      </c>
      <c r="AH245" s="739" t="s">
        <v>2000</v>
      </c>
      <c r="AI245" s="164"/>
    </row>
    <row r="246" spans="1:35" ht="15" hidden="1" customHeight="1" outlineLevel="4">
      <c r="A246" s="93">
        <v>213050</v>
      </c>
      <c r="B246" s="93">
        <v>3482</v>
      </c>
      <c r="C246" s="93"/>
      <c r="D246" s="93"/>
      <c r="E246" s="93" t="s">
        <v>3060</v>
      </c>
      <c r="F246" s="93" t="s">
        <v>5157</v>
      </c>
      <c r="G246" s="37" t="s">
        <v>620</v>
      </c>
      <c r="H246" s="667">
        <f>IFERROR(VLOOKUP(A246,'Colar QL'!A:C,3,0),0)</f>
        <v>0</v>
      </c>
      <c r="I246" s="69">
        <f t="shared" si="72"/>
        <v>0</v>
      </c>
      <c r="J246" s="258">
        <f>'BD Temp'!E346</f>
        <v>0</v>
      </c>
      <c r="K246" s="590" t="str">
        <f t="shared" si="79"/>
        <v>47.0284.1.2.17.00.01.039.01.06.29.1</v>
      </c>
      <c r="L246" s="579" t="s">
        <v>1996</v>
      </c>
      <c r="M246" s="256" t="str">
        <f>'BD Temp'!F346</f>
        <v>-</v>
      </c>
      <c r="N246" s="255">
        <f>'BD Temp'!J346</f>
        <v>0</v>
      </c>
      <c r="O246" s="592" t="str">
        <f t="shared" si="80"/>
        <v>47.0284.1.2.17.00.01.039.01.06.29.2</v>
      </c>
      <c r="P246" s="578" t="s">
        <v>1998</v>
      </c>
      <c r="Q246" s="256" t="str">
        <f>'BD Temp'!K346</f>
        <v>-</v>
      </c>
      <c r="R246" s="255">
        <f>'BD Temp'!O346</f>
        <v>0</v>
      </c>
      <c r="S246" s="592" t="str">
        <f t="shared" si="81"/>
        <v>47.0284.1.2.17.00.01.039.01.06.29.3</v>
      </c>
      <c r="T246" s="578" t="s">
        <v>2000</v>
      </c>
      <c r="U246" s="256" t="str">
        <f>'BD Temp'!P346</f>
        <v>-</v>
      </c>
      <c r="V246" s="764"/>
      <c r="W246" s="764"/>
      <c r="X246" s="158"/>
      <c r="Y246" s="745"/>
      <c r="Z246" s="741">
        <v>0</v>
      </c>
      <c r="AA246" s="592" t="str">
        <f t="shared" si="82"/>
        <v>47.0284.1.2.17.00.01.039.01.06.29.1</v>
      </c>
      <c r="AB246" s="739" t="s">
        <v>1996</v>
      </c>
      <c r="AC246" s="738">
        <v>0</v>
      </c>
      <c r="AD246" s="592" t="str">
        <f t="shared" si="83"/>
        <v>47.0284.1.2.17.00.01.039.01.06.29.2</v>
      </c>
      <c r="AE246" s="739" t="s">
        <v>1998</v>
      </c>
      <c r="AF246" s="738">
        <v>0</v>
      </c>
      <c r="AG246" s="592" t="str">
        <f t="shared" si="84"/>
        <v>47.0284.1.2.17.00.01.039.01.06.29.3</v>
      </c>
      <c r="AH246" s="739" t="s">
        <v>2000</v>
      </c>
      <c r="AI246" s="158"/>
    </row>
    <row r="247" spans="1:35" ht="15" hidden="1" customHeight="1" outlineLevel="4">
      <c r="A247" s="93">
        <v>213055</v>
      </c>
      <c r="B247" s="93">
        <v>3482</v>
      </c>
      <c r="C247" s="93"/>
      <c r="D247" s="93"/>
      <c r="E247" s="93" t="s">
        <v>3060</v>
      </c>
      <c r="F247" s="93" t="s">
        <v>5157</v>
      </c>
      <c r="G247" s="37" t="s">
        <v>621</v>
      </c>
      <c r="H247" s="667">
        <f>IFERROR(VLOOKUP(A247,'Colar QL'!A:C,3,0),0)</f>
        <v>0</v>
      </c>
      <c r="I247" s="69">
        <f t="shared" si="72"/>
        <v>0</v>
      </c>
      <c r="J247" s="258">
        <f>'BD Temp'!E347</f>
        <v>0</v>
      </c>
      <c r="K247" s="590" t="str">
        <f t="shared" si="79"/>
        <v>47.0284.1.2.17.00.01.039.01.06.29.1</v>
      </c>
      <c r="L247" s="579" t="s">
        <v>1996</v>
      </c>
      <c r="M247" s="256" t="str">
        <f>'BD Temp'!F347</f>
        <v>-</v>
      </c>
      <c r="N247" s="255">
        <f>'BD Temp'!J347</f>
        <v>0</v>
      </c>
      <c r="O247" s="592" t="str">
        <f t="shared" si="80"/>
        <v>47.0284.1.2.17.00.01.039.01.06.29.2</v>
      </c>
      <c r="P247" s="578" t="s">
        <v>1998</v>
      </c>
      <c r="Q247" s="256" t="str">
        <f>'BD Temp'!K347</f>
        <v>-</v>
      </c>
      <c r="R247" s="255">
        <f>'BD Temp'!O347</f>
        <v>0</v>
      </c>
      <c r="S247" s="592" t="str">
        <f t="shared" si="81"/>
        <v>47.0284.1.2.17.00.01.039.01.06.29.3</v>
      </c>
      <c r="T247" s="578" t="s">
        <v>2000</v>
      </c>
      <c r="U247" s="256" t="str">
        <f>'BD Temp'!P347</f>
        <v>-</v>
      </c>
      <c r="V247" s="764"/>
      <c r="W247" s="764"/>
      <c r="X247" s="158"/>
      <c r="Y247" s="745"/>
      <c r="Z247" s="741">
        <v>0</v>
      </c>
      <c r="AA247" s="592" t="str">
        <f t="shared" si="82"/>
        <v>47.0284.1.2.17.00.01.039.01.06.29.1</v>
      </c>
      <c r="AB247" s="739" t="s">
        <v>1996</v>
      </c>
      <c r="AC247" s="738">
        <v>0</v>
      </c>
      <c r="AD247" s="592" t="str">
        <f t="shared" si="83"/>
        <v>47.0284.1.2.17.00.01.039.01.06.29.2</v>
      </c>
      <c r="AE247" s="739" t="s">
        <v>1998</v>
      </c>
      <c r="AF247" s="738">
        <v>0</v>
      </c>
      <c r="AG247" s="592" t="str">
        <f t="shared" si="84"/>
        <v>47.0284.1.2.17.00.01.039.01.06.29.3</v>
      </c>
      <c r="AH247" s="739" t="s">
        <v>2000</v>
      </c>
      <c r="AI247" s="158"/>
    </row>
    <row r="248" spans="1:35" ht="15" hidden="1" customHeight="1" outlineLevel="4">
      <c r="A248" s="93"/>
      <c r="B248" s="93" t="s">
        <v>1075</v>
      </c>
      <c r="C248" s="93"/>
      <c r="D248" s="93"/>
      <c r="E248" s="93"/>
      <c r="F248" s="93" t="s">
        <v>1075</v>
      </c>
      <c r="G248" s="37"/>
      <c r="H248" s="79"/>
      <c r="I248" s="69">
        <f t="shared" si="72"/>
        <v>0</v>
      </c>
      <c r="J248" s="48"/>
      <c r="K248" s="590" t="str">
        <f t="shared" si="79"/>
        <v>.1</v>
      </c>
      <c r="L248" s="579" t="s">
        <v>1996</v>
      </c>
      <c r="M248" s="74"/>
      <c r="N248" s="49"/>
      <c r="O248" s="592" t="str">
        <f t="shared" si="80"/>
        <v>.2</v>
      </c>
      <c r="P248" s="578" t="s">
        <v>1998</v>
      </c>
      <c r="Q248" s="74"/>
      <c r="R248" s="49"/>
      <c r="S248" s="592" t="str">
        <f t="shared" si="81"/>
        <v>.3</v>
      </c>
      <c r="T248" s="578" t="s">
        <v>2000</v>
      </c>
      <c r="U248" s="74"/>
      <c r="V248" s="764"/>
      <c r="W248" s="764"/>
      <c r="X248" s="158"/>
      <c r="Y248" s="745"/>
      <c r="Z248" s="741">
        <v>0</v>
      </c>
      <c r="AA248" s="592" t="str">
        <f t="shared" si="82"/>
        <v>.1</v>
      </c>
      <c r="AB248" s="739" t="s">
        <v>1996</v>
      </c>
      <c r="AC248" s="738">
        <v>0</v>
      </c>
      <c r="AD248" s="592" t="str">
        <f t="shared" si="83"/>
        <v>.2</v>
      </c>
      <c r="AE248" s="739" t="s">
        <v>1998</v>
      </c>
      <c r="AF248" s="738">
        <v>0</v>
      </c>
      <c r="AG248" s="592" t="str">
        <f t="shared" si="84"/>
        <v>.3</v>
      </c>
      <c r="AH248" s="739" t="s">
        <v>2000</v>
      </c>
      <c r="AI248" s="158"/>
    </row>
    <row r="249" spans="1:35" ht="15" hidden="1" customHeight="1" outlineLevel="4">
      <c r="A249" s="99"/>
      <c r="B249" s="99" t="s">
        <v>1075</v>
      </c>
      <c r="C249" s="99"/>
      <c r="D249" s="99"/>
      <c r="E249" s="99"/>
      <c r="F249" s="99" t="s">
        <v>1075</v>
      </c>
      <c r="G249" s="39" t="s">
        <v>723</v>
      </c>
      <c r="H249" s="79"/>
      <c r="I249" s="69">
        <f t="shared" si="72"/>
        <v>0</v>
      </c>
      <c r="J249" s="48"/>
      <c r="K249" s="590" t="str">
        <f t="shared" si="79"/>
        <v>.1</v>
      </c>
      <c r="L249" s="579" t="s">
        <v>1996</v>
      </c>
      <c r="M249" s="74"/>
      <c r="N249" s="49"/>
      <c r="O249" s="592" t="str">
        <f t="shared" si="80"/>
        <v>.2</v>
      </c>
      <c r="P249" s="578" t="s">
        <v>1998</v>
      </c>
      <c r="Q249" s="74"/>
      <c r="R249" s="49"/>
      <c r="S249" s="592" t="str">
        <f t="shared" si="81"/>
        <v>.3</v>
      </c>
      <c r="T249" s="578" t="s">
        <v>2000</v>
      </c>
      <c r="U249" s="74"/>
      <c r="V249" s="764"/>
      <c r="W249" s="764"/>
      <c r="X249" s="158"/>
      <c r="Y249" s="745"/>
      <c r="Z249" s="741">
        <v>0</v>
      </c>
      <c r="AA249" s="592" t="str">
        <f t="shared" si="82"/>
        <v>.1</v>
      </c>
      <c r="AB249" s="739" t="s">
        <v>1996</v>
      </c>
      <c r="AC249" s="738">
        <v>0</v>
      </c>
      <c r="AD249" s="592" t="str">
        <f t="shared" si="83"/>
        <v>.2</v>
      </c>
      <c r="AE249" s="739" t="s">
        <v>1998</v>
      </c>
      <c r="AF249" s="738">
        <v>0</v>
      </c>
      <c r="AG249" s="592" t="str">
        <f t="shared" si="84"/>
        <v>.3</v>
      </c>
      <c r="AH249" s="739" t="s">
        <v>2000</v>
      </c>
      <c r="AI249" s="158"/>
    </row>
    <row r="250" spans="1:35" ht="15" hidden="1" customHeight="1" outlineLevel="4">
      <c r="A250" s="94"/>
      <c r="B250" s="94"/>
      <c r="C250" s="94"/>
      <c r="D250" s="94"/>
      <c r="E250" s="94"/>
      <c r="F250" s="94" t="s">
        <v>1075</v>
      </c>
      <c r="G250" s="37"/>
      <c r="H250" s="79"/>
      <c r="I250" s="69">
        <f t="shared" si="72"/>
        <v>0</v>
      </c>
      <c r="J250" s="48"/>
      <c r="K250" s="590" t="str">
        <f t="shared" si="79"/>
        <v>.1</v>
      </c>
      <c r="L250" s="579" t="s">
        <v>1996</v>
      </c>
      <c r="M250" s="74"/>
      <c r="N250" s="49"/>
      <c r="O250" s="592" t="str">
        <f t="shared" si="80"/>
        <v>.2</v>
      </c>
      <c r="P250" s="578" t="s">
        <v>1998</v>
      </c>
      <c r="Q250" s="74"/>
      <c r="R250" s="49"/>
      <c r="S250" s="592" t="str">
        <f t="shared" si="81"/>
        <v>.3</v>
      </c>
      <c r="T250" s="578" t="s">
        <v>2000</v>
      </c>
      <c r="U250" s="74"/>
      <c r="V250" s="764"/>
      <c r="W250" s="764"/>
      <c r="X250" s="158"/>
      <c r="Y250" s="745"/>
      <c r="Z250" s="741">
        <v>0</v>
      </c>
      <c r="AA250" s="592" t="str">
        <f t="shared" si="82"/>
        <v>.1</v>
      </c>
      <c r="AB250" s="739" t="s">
        <v>1996</v>
      </c>
      <c r="AC250" s="738">
        <v>0</v>
      </c>
      <c r="AD250" s="592" t="str">
        <f t="shared" si="83"/>
        <v>.2</v>
      </c>
      <c r="AE250" s="739" t="s">
        <v>1998</v>
      </c>
      <c r="AF250" s="738">
        <v>0</v>
      </c>
      <c r="AG250" s="592" t="str">
        <f t="shared" si="84"/>
        <v>.3</v>
      </c>
      <c r="AH250" s="739" t="s">
        <v>2000</v>
      </c>
      <c r="AI250" s="158"/>
    </row>
    <row r="251" spans="1:35" ht="15" hidden="1" customHeight="1" outlineLevel="4">
      <c r="A251" s="93"/>
      <c r="B251" s="93" t="s">
        <v>1075</v>
      </c>
      <c r="C251" s="93"/>
      <c r="D251" s="93"/>
      <c r="E251" s="93"/>
      <c r="F251" s="93" t="s">
        <v>1075</v>
      </c>
      <c r="G251" s="37"/>
      <c r="H251" s="79"/>
      <c r="I251" s="69">
        <f t="shared" si="72"/>
        <v>0</v>
      </c>
      <c r="J251" s="48"/>
      <c r="K251" s="590" t="str">
        <f t="shared" si="79"/>
        <v>.1</v>
      </c>
      <c r="L251" s="579" t="s">
        <v>1996</v>
      </c>
      <c r="M251" s="74"/>
      <c r="N251" s="49"/>
      <c r="O251" s="592" t="str">
        <f t="shared" si="80"/>
        <v>.2</v>
      </c>
      <c r="P251" s="578" t="s">
        <v>1998</v>
      </c>
      <c r="Q251" s="74"/>
      <c r="R251" s="49"/>
      <c r="S251" s="592" t="str">
        <f t="shared" si="81"/>
        <v>.3</v>
      </c>
      <c r="T251" s="578" t="s">
        <v>2000</v>
      </c>
      <c r="U251" s="74"/>
      <c r="V251" s="764"/>
      <c r="W251" s="764"/>
      <c r="X251" s="158"/>
      <c r="Y251" s="745"/>
      <c r="Z251" s="741">
        <v>0</v>
      </c>
      <c r="AA251" s="592" t="str">
        <f t="shared" si="82"/>
        <v>.1</v>
      </c>
      <c r="AB251" s="739" t="s">
        <v>1996</v>
      </c>
      <c r="AC251" s="738">
        <v>0</v>
      </c>
      <c r="AD251" s="592" t="str">
        <f t="shared" si="83"/>
        <v>.2</v>
      </c>
      <c r="AE251" s="739" t="s">
        <v>1998</v>
      </c>
      <c r="AF251" s="738">
        <v>0</v>
      </c>
      <c r="AG251" s="592" t="str">
        <f t="shared" si="84"/>
        <v>.3</v>
      </c>
      <c r="AH251" s="739" t="s">
        <v>2000</v>
      </c>
      <c r="AI251" s="158"/>
    </row>
    <row r="252" spans="1:35" ht="15" hidden="1" customHeight="1" outlineLevel="4">
      <c r="A252" s="93"/>
      <c r="B252" s="93" t="s">
        <v>1075</v>
      </c>
      <c r="C252" s="93"/>
      <c r="D252" s="93"/>
      <c r="E252" s="93"/>
      <c r="F252" s="93" t="s">
        <v>1075</v>
      </c>
      <c r="G252" s="37"/>
      <c r="H252" s="79"/>
      <c r="I252" s="69">
        <f t="shared" si="72"/>
        <v>0</v>
      </c>
      <c r="J252" s="48"/>
      <c r="K252" s="590" t="str">
        <f t="shared" si="79"/>
        <v>.1</v>
      </c>
      <c r="L252" s="579" t="s">
        <v>1996</v>
      </c>
      <c r="M252" s="74"/>
      <c r="N252" s="49"/>
      <c r="O252" s="592" t="str">
        <f t="shared" si="80"/>
        <v>.2</v>
      </c>
      <c r="P252" s="578" t="s">
        <v>1998</v>
      </c>
      <c r="Q252" s="74"/>
      <c r="R252" s="49"/>
      <c r="S252" s="592" t="str">
        <f t="shared" si="81"/>
        <v>.3</v>
      </c>
      <c r="T252" s="578" t="s">
        <v>2000</v>
      </c>
      <c r="U252" s="74"/>
      <c r="V252" s="764"/>
      <c r="W252" s="764"/>
      <c r="X252" s="158"/>
      <c r="Y252" s="745"/>
      <c r="Z252" s="741">
        <v>0</v>
      </c>
      <c r="AA252" s="592" t="str">
        <f t="shared" si="82"/>
        <v>.1</v>
      </c>
      <c r="AB252" s="739" t="s">
        <v>1996</v>
      </c>
      <c r="AC252" s="738">
        <v>0</v>
      </c>
      <c r="AD252" s="592" t="str">
        <f t="shared" si="83"/>
        <v>.2</v>
      </c>
      <c r="AE252" s="739" t="s">
        <v>1998</v>
      </c>
      <c r="AF252" s="738">
        <v>0</v>
      </c>
      <c r="AG252" s="592" t="str">
        <f t="shared" si="84"/>
        <v>.3</v>
      </c>
      <c r="AH252" s="739" t="s">
        <v>2000</v>
      </c>
      <c r="AI252" s="158"/>
    </row>
    <row r="253" spans="1:35" ht="15" hidden="1" customHeight="1" outlineLevel="4">
      <c r="A253" s="93"/>
      <c r="B253" s="93" t="s">
        <v>1075</v>
      </c>
      <c r="C253" s="93"/>
      <c r="D253" s="93"/>
      <c r="E253" s="93"/>
      <c r="F253" s="93" t="s">
        <v>1075</v>
      </c>
      <c r="G253" s="37"/>
      <c r="H253" s="79"/>
      <c r="I253" s="69">
        <f t="shared" si="72"/>
        <v>0</v>
      </c>
      <c r="J253" s="48"/>
      <c r="K253" s="590" t="str">
        <f t="shared" si="79"/>
        <v>.1</v>
      </c>
      <c r="L253" s="579" t="s">
        <v>1996</v>
      </c>
      <c r="M253" s="74"/>
      <c r="N253" s="49"/>
      <c r="O253" s="592" t="str">
        <f t="shared" si="80"/>
        <v>.2</v>
      </c>
      <c r="P253" s="578" t="s">
        <v>1998</v>
      </c>
      <c r="Q253" s="74"/>
      <c r="R253" s="49"/>
      <c r="S253" s="592" t="str">
        <f t="shared" si="81"/>
        <v>.3</v>
      </c>
      <c r="T253" s="578" t="s">
        <v>2000</v>
      </c>
      <c r="U253" s="74"/>
      <c r="V253" s="764"/>
      <c r="W253" s="764"/>
      <c r="X253" s="158"/>
      <c r="Y253" s="745"/>
      <c r="Z253" s="741">
        <v>0</v>
      </c>
      <c r="AA253" s="592" t="str">
        <f t="shared" si="82"/>
        <v>.1</v>
      </c>
      <c r="AB253" s="739" t="s">
        <v>1996</v>
      </c>
      <c r="AC253" s="738">
        <v>0</v>
      </c>
      <c r="AD253" s="592" t="str">
        <f t="shared" si="83"/>
        <v>.2</v>
      </c>
      <c r="AE253" s="739" t="s">
        <v>1998</v>
      </c>
      <c r="AF253" s="738">
        <v>0</v>
      </c>
      <c r="AG253" s="592" t="str">
        <f t="shared" si="84"/>
        <v>.3</v>
      </c>
      <c r="AH253" s="739" t="s">
        <v>2000</v>
      </c>
      <c r="AI253" s="158"/>
    </row>
    <row r="254" spans="1:35" ht="15" hidden="1" customHeight="1" outlineLevel="4">
      <c r="A254" s="93"/>
      <c r="B254" s="93" t="s">
        <v>1075</v>
      </c>
      <c r="C254" s="93"/>
      <c r="D254" s="93"/>
      <c r="E254" s="93"/>
      <c r="F254" s="93" t="s">
        <v>1075</v>
      </c>
      <c r="G254" s="37"/>
      <c r="H254" s="79"/>
      <c r="I254" s="69">
        <f t="shared" si="72"/>
        <v>0</v>
      </c>
      <c r="J254" s="48"/>
      <c r="K254" s="590" t="str">
        <f t="shared" si="79"/>
        <v>.1</v>
      </c>
      <c r="L254" s="579" t="s">
        <v>1996</v>
      </c>
      <c r="M254" s="74"/>
      <c r="N254" s="49"/>
      <c r="O254" s="592" t="str">
        <f t="shared" si="80"/>
        <v>.2</v>
      </c>
      <c r="P254" s="578" t="s">
        <v>1998</v>
      </c>
      <c r="Q254" s="74"/>
      <c r="R254" s="49"/>
      <c r="S254" s="592" t="str">
        <f t="shared" si="81"/>
        <v>.3</v>
      </c>
      <c r="T254" s="578" t="s">
        <v>2000</v>
      </c>
      <c r="U254" s="74"/>
      <c r="V254" s="764"/>
      <c r="W254" s="764"/>
      <c r="X254" s="158"/>
      <c r="Y254" s="745"/>
      <c r="Z254" s="741">
        <v>0</v>
      </c>
      <c r="AA254" s="592" t="str">
        <f t="shared" si="82"/>
        <v>.1</v>
      </c>
      <c r="AB254" s="739" t="s">
        <v>1996</v>
      </c>
      <c r="AC254" s="738">
        <v>0</v>
      </c>
      <c r="AD254" s="592" t="str">
        <f t="shared" si="83"/>
        <v>.2</v>
      </c>
      <c r="AE254" s="739" t="s">
        <v>1998</v>
      </c>
      <c r="AF254" s="738">
        <v>0</v>
      </c>
      <c r="AG254" s="592" t="str">
        <f t="shared" si="84"/>
        <v>.3</v>
      </c>
      <c r="AH254" s="739" t="s">
        <v>2000</v>
      </c>
      <c r="AI254" s="158"/>
    </row>
    <row r="255" spans="1:35" ht="15" hidden="1" customHeight="1" outlineLevel="4">
      <c r="A255" s="95"/>
      <c r="B255" s="95" t="s">
        <v>1075</v>
      </c>
      <c r="C255" s="95"/>
      <c r="D255" s="95"/>
      <c r="E255" s="774"/>
      <c r="F255" s="774" t="s">
        <v>1075</v>
      </c>
      <c r="G255" s="13"/>
      <c r="H255" s="81"/>
      <c r="I255" s="71">
        <f t="shared" si="72"/>
        <v>0</v>
      </c>
      <c r="J255" s="48"/>
      <c r="K255" s="590" t="str">
        <f t="shared" si="79"/>
        <v>.1</v>
      </c>
      <c r="L255" s="579" t="s">
        <v>1996</v>
      </c>
      <c r="M255" s="74"/>
      <c r="N255" s="49"/>
      <c r="O255" s="592" t="str">
        <f t="shared" si="80"/>
        <v>.2</v>
      </c>
      <c r="P255" s="578" t="s">
        <v>1998</v>
      </c>
      <c r="Q255" s="74"/>
      <c r="R255" s="49"/>
      <c r="S255" s="592" t="str">
        <f t="shared" si="81"/>
        <v>.3</v>
      </c>
      <c r="T255" s="578" t="s">
        <v>2000</v>
      </c>
      <c r="U255" s="74"/>
      <c r="V255" s="766"/>
      <c r="W255" s="766"/>
      <c r="X255" s="171"/>
      <c r="Y255" s="745"/>
      <c r="Z255" s="741">
        <v>0</v>
      </c>
      <c r="AA255" s="592" t="str">
        <f t="shared" si="82"/>
        <v>.1</v>
      </c>
      <c r="AB255" s="739" t="s">
        <v>1996</v>
      </c>
      <c r="AC255" s="738">
        <v>0</v>
      </c>
      <c r="AD255" s="592" t="str">
        <f t="shared" si="83"/>
        <v>.2</v>
      </c>
      <c r="AE255" s="739" t="s">
        <v>1998</v>
      </c>
      <c r="AF255" s="738">
        <v>0</v>
      </c>
      <c r="AG255" s="592" t="str">
        <f t="shared" si="84"/>
        <v>.3</v>
      </c>
      <c r="AH255" s="739" t="s">
        <v>2000</v>
      </c>
      <c r="AI255" s="171"/>
    </row>
    <row r="256" spans="1:35" ht="15" hidden="1" customHeight="1" outlineLevel="3" collapsed="1">
      <c r="A256" s="97"/>
      <c r="B256" s="97" t="s">
        <v>1075</v>
      </c>
      <c r="C256" s="97"/>
      <c r="D256" s="97"/>
      <c r="E256" s="97"/>
      <c r="F256" s="97" t="s">
        <v>1075</v>
      </c>
      <c r="G256" s="40" t="s">
        <v>331</v>
      </c>
      <c r="H256" s="78">
        <f>SUBTOTAL(9,H257:H270)</f>
        <v>5</v>
      </c>
      <c r="I256" s="68">
        <f t="shared" si="72"/>
        <v>5</v>
      </c>
      <c r="J256" s="55">
        <f>SUBTOTAL(9,J257:J270)</f>
        <v>5</v>
      </c>
      <c r="K256" s="55"/>
      <c r="L256" s="55"/>
      <c r="M256" s="84"/>
      <c r="N256" s="55">
        <f>SUBTOTAL(9,N257:N270)</f>
        <v>0</v>
      </c>
      <c r="O256" s="91"/>
      <c r="P256" s="91"/>
      <c r="Q256" s="84"/>
      <c r="R256" s="55">
        <f>SUBTOTAL(9,R257:R270)</f>
        <v>0</v>
      </c>
      <c r="S256" s="91"/>
      <c r="T256" s="91"/>
      <c r="U256" s="84"/>
      <c r="V256" s="55">
        <f>SUBTOTAL(9,V257:V270)</f>
        <v>0</v>
      </c>
      <c r="W256" s="55">
        <f>SUBTOTAL(9,W257:W270)</f>
        <v>0</v>
      </c>
      <c r="X256" s="829" t="s">
        <v>5376</v>
      </c>
      <c r="Y256" s="745"/>
      <c r="Z256" s="55">
        <f>SUBTOTAL(9,Z257:Z270)</f>
        <v>0</v>
      </c>
      <c r="AA256" s="91"/>
      <c r="AB256" s="91"/>
      <c r="AC256" s="55">
        <f>SUBTOTAL(9,AC257:AC270)</f>
        <v>0</v>
      </c>
      <c r="AD256" s="91"/>
      <c r="AE256" s="91"/>
      <c r="AF256" s="55">
        <f>SUBTOTAL(9,AF257:AF270)</f>
        <v>0</v>
      </c>
      <c r="AG256" s="91"/>
      <c r="AH256" s="91"/>
      <c r="AI256" s="170"/>
    </row>
    <row r="257" spans="1:35" s="26" customFormat="1" ht="15" hidden="1" customHeight="1" outlineLevel="4">
      <c r="A257" s="93">
        <v>213180</v>
      </c>
      <c r="B257" s="93">
        <v>3482</v>
      </c>
      <c r="C257" s="93"/>
      <c r="D257" s="93"/>
      <c r="E257" s="94" t="s">
        <v>3588</v>
      </c>
      <c r="F257" s="94" t="s">
        <v>5394</v>
      </c>
      <c r="G257" s="37" t="s">
        <v>75</v>
      </c>
      <c r="H257" s="707">
        <f>IFERROR(VLOOKUP(A257,'Colar QL'!A:C,3,0),0)</f>
        <v>4</v>
      </c>
      <c r="I257" s="69">
        <f t="shared" si="72"/>
        <v>4</v>
      </c>
      <c r="J257" s="57">
        <f>'BD Temp'!E357</f>
        <v>4</v>
      </c>
      <c r="K257" s="591" t="str">
        <f t="shared" ref="K257:K270" si="85">F257&amp;L257</f>
        <v>47.0284.1.2.17.00.01.039.01.06.14.1</v>
      </c>
      <c r="L257" s="57" t="s">
        <v>1996</v>
      </c>
      <c r="M257" s="87">
        <f>'BD Temp'!F357</f>
        <v>0.71666666666666656</v>
      </c>
      <c r="N257" s="58">
        <f>'BD Temp'!J357</f>
        <v>0</v>
      </c>
      <c r="O257" s="593" t="str">
        <f t="shared" ref="O257:O270" si="86">F257&amp;P257</f>
        <v>47.0284.1.2.17.00.01.039.01.06.14.2</v>
      </c>
      <c r="P257" s="87" t="s">
        <v>1998</v>
      </c>
      <c r="Q257" s="87" t="str">
        <f>'BD Temp'!K357</f>
        <v>-</v>
      </c>
      <c r="R257" s="58">
        <f>'BD Temp'!O357</f>
        <v>0</v>
      </c>
      <c r="S257" s="593" t="str">
        <f t="shared" ref="S257:S270" si="87">F257&amp;T257</f>
        <v>47.0284.1.2.17.00.01.039.01.06.14.3</v>
      </c>
      <c r="T257" s="87" t="s">
        <v>2000</v>
      </c>
      <c r="U257" s="87" t="str">
        <f>'BD Temp'!P357</f>
        <v>-</v>
      </c>
      <c r="V257" s="764"/>
      <c r="W257" s="764"/>
      <c r="X257" s="158" t="s">
        <v>5374</v>
      </c>
      <c r="Y257" s="745"/>
      <c r="Z257" s="741">
        <v>0</v>
      </c>
      <c r="AA257" s="592" t="str">
        <f t="shared" ref="AA257:AA270" si="88">F257&amp;AB257</f>
        <v>47.0284.1.2.17.00.01.039.01.06.14.1</v>
      </c>
      <c r="AB257" s="739" t="s">
        <v>1996</v>
      </c>
      <c r="AC257" s="738">
        <v>0</v>
      </c>
      <c r="AD257" s="592" t="str">
        <f t="shared" ref="AD257:AD270" si="89">F257&amp;AE257</f>
        <v>47.0284.1.2.17.00.01.039.01.06.14.2</v>
      </c>
      <c r="AE257" s="739" t="s">
        <v>1998</v>
      </c>
      <c r="AF257" s="738">
        <v>0</v>
      </c>
      <c r="AG257" s="592" t="str">
        <f t="shared" ref="AG257:AG270" si="90">F257&amp;AH257</f>
        <v>47.0284.1.2.17.00.01.039.01.06.14.3</v>
      </c>
      <c r="AH257" s="739" t="s">
        <v>2000</v>
      </c>
      <c r="AI257" s="158"/>
    </row>
    <row r="258" spans="1:35" s="26" customFormat="1" ht="15" hidden="1" customHeight="1" outlineLevel="4">
      <c r="A258" s="93">
        <v>213190</v>
      </c>
      <c r="B258" s="93">
        <v>3482</v>
      </c>
      <c r="C258" s="93"/>
      <c r="D258" s="93"/>
      <c r="E258" s="93" t="s">
        <v>3060</v>
      </c>
      <c r="F258" s="93" t="s">
        <v>5157</v>
      </c>
      <c r="G258" s="37" t="s">
        <v>76</v>
      </c>
      <c r="H258" s="707">
        <f>IFERROR(VLOOKUP(A258,'Colar QL'!A:C,3,0),0)</f>
        <v>0</v>
      </c>
      <c r="I258" s="69">
        <f t="shared" si="72"/>
        <v>0</v>
      </c>
      <c r="J258" s="57">
        <f>'BD Temp'!E358</f>
        <v>0</v>
      </c>
      <c r="K258" s="591" t="str">
        <f t="shared" si="85"/>
        <v>47.0284.1.2.17.00.01.039.01.06.29.1</v>
      </c>
      <c r="L258" s="57" t="s">
        <v>1996</v>
      </c>
      <c r="M258" s="87" t="str">
        <f>'BD Temp'!F358</f>
        <v>-</v>
      </c>
      <c r="N258" s="58">
        <f>'BD Temp'!J358</f>
        <v>0</v>
      </c>
      <c r="O258" s="593" t="str">
        <f t="shared" si="86"/>
        <v>47.0284.1.2.17.00.01.039.01.06.29.2</v>
      </c>
      <c r="P258" s="87" t="s">
        <v>1998</v>
      </c>
      <c r="Q258" s="87" t="str">
        <f>'BD Temp'!K358</f>
        <v>-</v>
      </c>
      <c r="R258" s="58">
        <f>'BD Temp'!O358</f>
        <v>0</v>
      </c>
      <c r="S258" s="593" t="str">
        <f t="shared" si="87"/>
        <v>47.0284.1.2.17.00.01.039.01.06.29.3</v>
      </c>
      <c r="T258" s="87" t="s">
        <v>2000</v>
      </c>
      <c r="U258" s="87" t="str">
        <f>'BD Temp'!P358</f>
        <v>-</v>
      </c>
      <c r="V258" s="764"/>
      <c r="W258" s="764"/>
      <c r="X258" s="158"/>
      <c r="Y258" s="745"/>
      <c r="Z258" s="741">
        <v>0</v>
      </c>
      <c r="AA258" s="592" t="str">
        <f t="shared" si="88"/>
        <v>47.0284.1.2.17.00.01.039.01.06.29.1</v>
      </c>
      <c r="AB258" s="739" t="s">
        <v>1996</v>
      </c>
      <c r="AC258" s="738">
        <v>0</v>
      </c>
      <c r="AD258" s="592" t="str">
        <f t="shared" si="89"/>
        <v>47.0284.1.2.17.00.01.039.01.06.29.2</v>
      </c>
      <c r="AE258" s="739" t="s">
        <v>1998</v>
      </c>
      <c r="AF258" s="738">
        <v>0</v>
      </c>
      <c r="AG258" s="592" t="str">
        <f t="shared" si="90"/>
        <v>47.0284.1.2.17.00.01.039.01.06.29.3</v>
      </c>
      <c r="AH258" s="739" t="s">
        <v>2000</v>
      </c>
      <c r="AI258" s="158"/>
    </row>
    <row r="259" spans="1:35" s="26" customFormat="1" ht="15" hidden="1" customHeight="1" outlineLevel="4">
      <c r="A259" s="93">
        <v>213195</v>
      </c>
      <c r="B259" s="93">
        <v>3482</v>
      </c>
      <c r="C259" s="93"/>
      <c r="D259" s="93"/>
      <c r="E259" s="93" t="s">
        <v>3060</v>
      </c>
      <c r="F259" s="93" t="s">
        <v>5157</v>
      </c>
      <c r="G259" s="37" t="s">
        <v>205</v>
      </c>
      <c r="H259" s="707">
        <f>IFERROR(VLOOKUP(A259,'Colar QL'!A:C,3,0),0)</f>
        <v>0</v>
      </c>
      <c r="I259" s="69">
        <f t="shared" si="72"/>
        <v>0</v>
      </c>
      <c r="J259" s="57">
        <f>'BD Temp'!E359</f>
        <v>0</v>
      </c>
      <c r="K259" s="591" t="str">
        <f t="shared" si="85"/>
        <v>47.0284.1.2.17.00.01.039.01.06.29.1</v>
      </c>
      <c r="L259" s="57" t="s">
        <v>1996</v>
      </c>
      <c r="M259" s="87" t="str">
        <f>'BD Temp'!F359</f>
        <v>-</v>
      </c>
      <c r="N259" s="58">
        <f>'BD Temp'!J359</f>
        <v>0</v>
      </c>
      <c r="O259" s="593" t="str">
        <f t="shared" si="86"/>
        <v>47.0284.1.2.17.00.01.039.01.06.29.2</v>
      </c>
      <c r="P259" s="87" t="s">
        <v>1998</v>
      </c>
      <c r="Q259" s="87" t="str">
        <f>'BD Temp'!K359</f>
        <v>-</v>
      </c>
      <c r="R259" s="58">
        <f>'BD Temp'!O359</f>
        <v>0</v>
      </c>
      <c r="S259" s="593" t="str">
        <f t="shared" si="87"/>
        <v>47.0284.1.2.17.00.01.039.01.06.29.3</v>
      </c>
      <c r="T259" s="87" t="s">
        <v>2000</v>
      </c>
      <c r="U259" s="87" t="str">
        <f>'BD Temp'!P359</f>
        <v>-</v>
      </c>
      <c r="V259" s="764"/>
      <c r="W259" s="764"/>
      <c r="X259" s="158"/>
      <c r="Y259" s="745"/>
      <c r="Z259" s="741">
        <v>0</v>
      </c>
      <c r="AA259" s="592" t="str">
        <f t="shared" si="88"/>
        <v>47.0284.1.2.17.00.01.039.01.06.29.1</v>
      </c>
      <c r="AB259" s="739" t="s">
        <v>1996</v>
      </c>
      <c r="AC259" s="738">
        <v>0</v>
      </c>
      <c r="AD259" s="592" t="str">
        <f t="shared" si="89"/>
        <v>47.0284.1.2.17.00.01.039.01.06.29.2</v>
      </c>
      <c r="AE259" s="739" t="s">
        <v>1998</v>
      </c>
      <c r="AF259" s="738">
        <v>0</v>
      </c>
      <c r="AG259" s="592" t="str">
        <f t="shared" si="90"/>
        <v>47.0284.1.2.17.00.01.039.01.06.29.3</v>
      </c>
      <c r="AH259" s="739" t="s">
        <v>2000</v>
      </c>
      <c r="AI259" s="158"/>
    </row>
    <row r="260" spans="1:35" ht="15" hidden="1" customHeight="1" outlineLevel="4">
      <c r="A260" s="585">
        <v>213210</v>
      </c>
      <c r="B260" s="585">
        <v>3482</v>
      </c>
      <c r="C260" s="585"/>
      <c r="D260" s="585"/>
      <c r="E260" s="585" t="s">
        <v>3060</v>
      </c>
      <c r="F260" s="585" t="s">
        <v>5157</v>
      </c>
      <c r="G260" s="37" t="s">
        <v>77</v>
      </c>
      <c r="H260" s="583">
        <f>IFERROR(VLOOKUP(A260,'Colar QL'!A:C,3,0),0)</f>
        <v>0</v>
      </c>
      <c r="I260" s="69">
        <f t="shared" si="72"/>
        <v>0</v>
      </c>
      <c r="J260" s="258">
        <v>0</v>
      </c>
      <c r="K260" s="590" t="str">
        <f t="shared" si="85"/>
        <v>47.0284.1.2.17.00.01.039.01.06.29.1</v>
      </c>
      <c r="L260" s="579" t="s">
        <v>1996</v>
      </c>
      <c r="M260" s="256">
        <f>'BD Temp'!F363</f>
        <v>0.26666666666666666</v>
      </c>
      <c r="N260" s="255">
        <f>'BD Temp'!J363</f>
        <v>0</v>
      </c>
      <c r="O260" s="592" t="str">
        <f t="shared" si="86"/>
        <v>47.0284.1.2.17.00.01.039.01.06.29.2</v>
      </c>
      <c r="P260" s="578" t="s">
        <v>1998</v>
      </c>
      <c r="Q260" s="256" t="str">
        <f>'BD Temp'!K363</f>
        <v>-</v>
      </c>
      <c r="R260" s="255">
        <f>'BD Temp'!O363</f>
        <v>0</v>
      </c>
      <c r="S260" s="592" t="str">
        <f t="shared" si="87"/>
        <v>47.0284.1.2.17.00.01.039.01.06.29.3</v>
      </c>
      <c r="T260" s="578" t="s">
        <v>2000</v>
      </c>
      <c r="U260" s="256" t="str">
        <f>'BD Temp'!P363</f>
        <v>-</v>
      </c>
      <c r="V260" s="764"/>
      <c r="W260" s="764"/>
      <c r="X260" s="158"/>
      <c r="Y260" s="745"/>
      <c r="Z260" s="741">
        <v>0</v>
      </c>
      <c r="AA260" s="592" t="str">
        <f t="shared" si="88"/>
        <v>47.0284.1.2.17.00.01.039.01.06.29.1</v>
      </c>
      <c r="AB260" s="739" t="s">
        <v>1996</v>
      </c>
      <c r="AC260" s="738">
        <v>0</v>
      </c>
      <c r="AD260" s="592" t="str">
        <f t="shared" si="89"/>
        <v>47.0284.1.2.17.00.01.039.01.06.29.2</v>
      </c>
      <c r="AE260" s="739" t="s">
        <v>1998</v>
      </c>
      <c r="AF260" s="738">
        <v>0</v>
      </c>
      <c r="AG260" s="592" t="str">
        <f t="shared" si="90"/>
        <v>47.0284.1.2.17.00.01.039.01.06.29.3</v>
      </c>
      <c r="AH260" s="739" t="s">
        <v>2000</v>
      </c>
      <c r="AI260" s="158"/>
    </row>
    <row r="261" spans="1:35" ht="15" hidden="1" customHeight="1" outlineLevel="4">
      <c r="A261" s="93">
        <v>213200</v>
      </c>
      <c r="B261" s="93">
        <v>3482</v>
      </c>
      <c r="C261" s="93"/>
      <c r="D261" s="93"/>
      <c r="E261" s="93" t="s">
        <v>2917</v>
      </c>
      <c r="F261" s="93" t="s">
        <v>5158</v>
      </c>
      <c r="G261" s="37" t="s">
        <v>632</v>
      </c>
      <c r="H261" s="583">
        <f>IFERROR(VLOOKUP(A261,'Colar QL'!A:C,3,0),0)</f>
        <v>1</v>
      </c>
      <c r="I261" s="69">
        <f t="shared" si="72"/>
        <v>1</v>
      </c>
      <c r="J261" s="258">
        <f>'BD Temp'!E364</f>
        <v>1</v>
      </c>
      <c r="K261" s="590" t="str">
        <f t="shared" si="85"/>
        <v>47.0284.1.2.17.00.01.039.01.06.17.1</v>
      </c>
      <c r="L261" s="579" t="s">
        <v>1996</v>
      </c>
      <c r="M261" s="256">
        <f>'BD Temp'!F364</f>
        <v>0.95000000000000007</v>
      </c>
      <c r="N261" s="255">
        <f>'BD Temp'!J364</f>
        <v>0</v>
      </c>
      <c r="O261" s="592" t="str">
        <f t="shared" si="86"/>
        <v>47.0284.1.2.17.00.01.039.01.06.17.2</v>
      </c>
      <c r="P261" s="578" t="s">
        <v>1998</v>
      </c>
      <c r="Q261" s="256" t="str">
        <f>'BD Temp'!K364</f>
        <v>-</v>
      </c>
      <c r="R261" s="255">
        <f>'BD Temp'!O364</f>
        <v>0</v>
      </c>
      <c r="S261" s="592" t="str">
        <f t="shared" si="87"/>
        <v>47.0284.1.2.17.00.01.039.01.06.17.3</v>
      </c>
      <c r="T261" s="578" t="s">
        <v>2000</v>
      </c>
      <c r="U261" s="256" t="str">
        <f>'BD Temp'!P364</f>
        <v>-</v>
      </c>
      <c r="V261" s="764"/>
      <c r="W261" s="764"/>
      <c r="X261" s="158" t="s">
        <v>2876</v>
      </c>
      <c r="Y261" s="745"/>
      <c r="Z261" s="741">
        <v>0</v>
      </c>
      <c r="AA261" s="592" t="str">
        <f t="shared" si="88"/>
        <v>47.0284.1.2.17.00.01.039.01.06.17.1</v>
      </c>
      <c r="AB261" s="739" t="s">
        <v>1996</v>
      </c>
      <c r="AC261" s="738">
        <v>0</v>
      </c>
      <c r="AD261" s="592" t="str">
        <f t="shared" si="89"/>
        <v>47.0284.1.2.17.00.01.039.01.06.17.2</v>
      </c>
      <c r="AE261" s="739" t="s">
        <v>1998</v>
      </c>
      <c r="AF261" s="738">
        <v>0</v>
      </c>
      <c r="AG261" s="592" t="str">
        <f t="shared" si="90"/>
        <v>47.0284.1.2.17.00.01.039.01.06.17.3</v>
      </c>
      <c r="AH261" s="739" t="s">
        <v>2000</v>
      </c>
      <c r="AI261" s="158"/>
    </row>
    <row r="262" spans="1:35" ht="15" hidden="1" customHeight="1" outlineLevel="4">
      <c r="A262" s="93">
        <v>213205</v>
      </c>
      <c r="B262" s="93">
        <v>3482</v>
      </c>
      <c r="C262" s="93"/>
      <c r="D262" s="93"/>
      <c r="E262" s="93" t="s">
        <v>2917</v>
      </c>
      <c r="F262" s="93" t="s">
        <v>5158</v>
      </c>
      <c r="G262" s="37" t="s">
        <v>633</v>
      </c>
      <c r="H262" s="583">
        <f>IFERROR(VLOOKUP(A262,'Colar QL'!A:C,3,0),0)</f>
        <v>0</v>
      </c>
      <c r="I262" s="69">
        <f t="shared" si="72"/>
        <v>0</v>
      </c>
      <c r="J262" s="258">
        <f>'BD Temp'!E365</f>
        <v>0</v>
      </c>
      <c r="K262" s="590" t="str">
        <f t="shared" si="85"/>
        <v>47.0284.1.2.17.00.01.039.01.06.17.1</v>
      </c>
      <c r="L262" s="579" t="s">
        <v>1996</v>
      </c>
      <c r="M262" s="256" t="str">
        <f>'BD Temp'!F365</f>
        <v>-</v>
      </c>
      <c r="N262" s="255">
        <f>'BD Temp'!J365</f>
        <v>0</v>
      </c>
      <c r="O262" s="592" t="str">
        <f t="shared" si="86"/>
        <v>47.0284.1.2.17.00.01.039.01.06.17.2</v>
      </c>
      <c r="P262" s="578" t="s">
        <v>1998</v>
      </c>
      <c r="Q262" s="256" t="str">
        <f>'BD Temp'!K365</f>
        <v>-</v>
      </c>
      <c r="R262" s="255">
        <f>'BD Temp'!O365</f>
        <v>0</v>
      </c>
      <c r="S262" s="592" t="str">
        <f t="shared" si="87"/>
        <v>47.0284.1.2.17.00.01.039.01.06.17.3</v>
      </c>
      <c r="T262" s="578" t="s">
        <v>2000</v>
      </c>
      <c r="U262" s="256" t="str">
        <f>'BD Temp'!P365</f>
        <v>-</v>
      </c>
      <c r="V262" s="764"/>
      <c r="W262" s="764"/>
      <c r="X262" s="158"/>
      <c r="Y262" s="745"/>
      <c r="Z262" s="741">
        <v>0</v>
      </c>
      <c r="AA262" s="592" t="str">
        <f t="shared" si="88"/>
        <v>47.0284.1.2.17.00.01.039.01.06.17.1</v>
      </c>
      <c r="AB262" s="739" t="s">
        <v>1996</v>
      </c>
      <c r="AC262" s="738">
        <v>0</v>
      </c>
      <c r="AD262" s="592" t="str">
        <f t="shared" si="89"/>
        <v>47.0284.1.2.17.00.01.039.01.06.17.2</v>
      </c>
      <c r="AE262" s="739" t="s">
        <v>1998</v>
      </c>
      <c r="AF262" s="738">
        <v>0</v>
      </c>
      <c r="AG262" s="592" t="str">
        <f t="shared" si="90"/>
        <v>47.0284.1.2.17.00.01.039.01.06.17.3</v>
      </c>
      <c r="AH262" s="739" t="s">
        <v>2000</v>
      </c>
      <c r="AI262" s="158"/>
    </row>
    <row r="263" spans="1:35" ht="15" hidden="1" customHeight="1" outlineLevel="4">
      <c r="A263" s="93"/>
      <c r="B263" s="93" t="s">
        <v>1075</v>
      </c>
      <c r="C263" s="93"/>
      <c r="D263" s="93"/>
      <c r="E263" s="93"/>
      <c r="F263" s="93" t="s">
        <v>1075</v>
      </c>
      <c r="G263" s="37"/>
      <c r="H263" s="79"/>
      <c r="I263" s="69">
        <f t="shared" si="72"/>
        <v>0</v>
      </c>
      <c r="J263" s="48"/>
      <c r="K263" s="590" t="str">
        <f t="shared" si="85"/>
        <v>.1</v>
      </c>
      <c r="L263" s="579" t="s">
        <v>1996</v>
      </c>
      <c r="M263" s="74"/>
      <c r="N263" s="49"/>
      <c r="O263" s="592" t="str">
        <f t="shared" si="86"/>
        <v>.2</v>
      </c>
      <c r="P263" s="578" t="s">
        <v>1998</v>
      </c>
      <c r="Q263" s="74"/>
      <c r="R263" s="49"/>
      <c r="S263" s="592" t="str">
        <f t="shared" si="87"/>
        <v>.3</v>
      </c>
      <c r="T263" s="578" t="s">
        <v>2000</v>
      </c>
      <c r="U263" s="74"/>
      <c r="V263" s="764"/>
      <c r="W263" s="764"/>
      <c r="X263" s="158"/>
      <c r="Y263" s="745"/>
      <c r="Z263" s="741">
        <v>0</v>
      </c>
      <c r="AA263" s="592" t="str">
        <f t="shared" si="88"/>
        <v>.1</v>
      </c>
      <c r="AB263" s="739" t="s">
        <v>1996</v>
      </c>
      <c r="AC263" s="738">
        <v>0</v>
      </c>
      <c r="AD263" s="592" t="str">
        <f t="shared" si="89"/>
        <v>.2</v>
      </c>
      <c r="AE263" s="739" t="s">
        <v>1998</v>
      </c>
      <c r="AF263" s="738">
        <v>0</v>
      </c>
      <c r="AG263" s="592" t="str">
        <f t="shared" si="90"/>
        <v>.3</v>
      </c>
      <c r="AH263" s="739" t="s">
        <v>2000</v>
      </c>
      <c r="AI263" s="158"/>
    </row>
    <row r="264" spans="1:35" ht="15" hidden="1" customHeight="1" outlineLevel="4">
      <c r="A264" s="99"/>
      <c r="B264" s="99" t="s">
        <v>1075</v>
      </c>
      <c r="C264" s="99"/>
      <c r="D264" s="99"/>
      <c r="E264" s="99"/>
      <c r="F264" s="99" t="s">
        <v>1075</v>
      </c>
      <c r="G264" s="39" t="s">
        <v>723</v>
      </c>
      <c r="H264" s="79"/>
      <c r="I264" s="69">
        <f t="shared" si="72"/>
        <v>0</v>
      </c>
      <c r="J264" s="48"/>
      <c r="K264" s="590" t="str">
        <f t="shared" si="85"/>
        <v>.1</v>
      </c>
      <c r="L264" s="579" t="s">
        <v>1996</v>
      </c>
      <c r="M264" s="74"/>
      <c r="N264" s="49"/>
      <c r="O264" s="592" t="str">
        <f t="shared" si="86"/>
        <v>.2</v>
      </c>
      <c r="P264" s="578" t="s">
        <v>1998</v>
      </c>
      <c r="Q264" s="74"/>
      <c r="R264" s="49"/>
      <c r="S264" s="592" t="str">
        <f t="shared" si="87"/>
        <v>.3</v>
      </c>
      <c r="T264" s="578" t="s">
        <v>2000</v>
      </c>
      <c r="U264" s="74"/>
      <c r="V264" s="764"/>
      <c r="W264" s="764"/>
      <c r="X264" s="158"/>
      <c r="Y264" s="745"/>
      <c r="Z264" s="741">
        <v>0</v>
      </c>
      <c r="AA264" s="592" t="str">
        <f t="shared" si="88"/>
        <v>.1</v>
      </c>
      <c r="AB264" s="739" t="s">
        <v>1996</v>
      </c>
      <c r="AC264" s="738">
        <v>0</v>
      </c>
      <c r="AD264" s="592" t="str">
        <f t="shared" si="89"/>
        <v>.2</v>
      </c>
      <c r="AE264" s="739" t="s">
        <v>1998</v>
      </c>
      <c r="AF264" s="738">
        <v>0</v>
      </c>
      <c r="AG264" s="592" t="str">
        <f t="shared" si="90"/>
        <v>.3</v>
      </c>
      <c r="AH264" s="739" t="s">
        <v>2000</v>
      </c>
      <c r="AI264" s="158"/>
    </row>
    <row r="265" spans="1:35" ht="15" hidden="1" customHeight="1" outlineLevel="4">
      <c r="A265" s="93"/>
      <c r="B265" s="93"/>
      <c r="C265" s="93"/>
      <c r="D265" s="93"/>
      <c r="E265" s="93"/>
      <c r="F265" s="93" t="s">
        <v>1075</v>
      </c>
      <c r="G265" s="37"/>
      <c r="H265" s="79"/>
      <c r="I265" s="69">
        <f t="shared" si="72"/>
        <v>0</v>
      </c>
      <c r="J265" s="48"/>
      <c r="K265" s="590" t="str">
        <f t="shared" si="85"/>
        <v>.1</v>
      </c>
      <c r="L265" s="579" t="s">
        <v>1996</v>
      </c>
      <c r="M265" s="74"/>
      <c r="N265" s="49"/>
      <c r="O265" s="592" t="str">
        <f t="shared" si="86"/>
        <v>.2</v>
      </c>
      <c r="P265" s="578" t="s">
        <v>1998</v>
      </c>
      <c r="Q265" s="74"/>
      <c r="R265" s="49"/>
      <c r="S265" s="592" t="str">
        <f t="shared" si="87"/>
        <v>.3</v>
      </c>
      <c r="T265" s="578" t="s">
        <v>2000</v>
      </c>
      <c r="U265" s="74"/>
      <c r="V265" s="764"/>
      <c r="W265" s="764"/>
      <c r="X265" s="158"/>
      <c r="Y265" s="745"/>
      <c r="Z265" s="741">
        <v>0</v>
      </c>
      <c r="AA265" s="592" t="str">
        <f t="shared" si="88"/>
        <v>.1</v>
      </c>
      <c r="AB265" s="739" t="s">
        <v>1996</v>
      </c>
      <c r="AC265" s="738">
        <v>0</v>
      </c>
      <c r="AD265" s="592" t="str">
        <f t="shared" si="89"/>
        <v>.2</v>
      </c>
      <c r="AE265" s="739" t="s">
        <v>1998</v>
      </c>
      <c r="AF265" s="738">
        <v>0</v>
      </c>
      <c r="AG265" s="592" t="str">
        <f t="shared" si="90"/>
        <v>.3</v>
      </c>
      <c r="AH265" s="739" t="s">
        <v>2000</v>
      </c>
      <c r="AI265" s="158"/>
    </row>
    <row r="266" spans="1:35" ht="15" hidden="1" customHeight="1" outlineLevel="4">
      <c r="A266" s="93"/>
      <c r="B266" s="93" t="s">
        <v>1075</v>
      </c>
      <c r="C266" s="93"/>
      <c r="D266" s="93"/>
      <c r="E266" s="93"/>
      <c r="F266" s="93" t="s">
        <v>1075</v>
      </c>
      <c r="G266" s="37"/>
      <c r="H266" s="79"/>
      <c r="I266" s="69">
        <f t="shared" si="72"/>
        <v>0</v>
      </c>
      <c r="J266" s="48"/>
      <c r="K266" s="590" t="str">
        <f t="shared" si="85"/>
        <v>.1</v>
      </c>
      <c r="L266" s="579" t="s">
        <v>1996</v>
      </c>
      <c r="M266" s="74"/>
      <c r="N266" s="49"/>
      <c r="O266" s="592" t="str">
        <f t="shared" si="86"/>
        <v>.2</v>
      </c>
      <c r="P266" s="578" t="s">
        <v>1998</v>
      </c>
      <c r="Q266" s="74"/>
      <c r="R266" s="49"/>
      <c r="S266" s="592" t="str">
        <f t="shared" si="87"/>
        <v>.3</v>
      </c>
      <c r="T266" s="578" t="s">
        <v>2000</v>
      </c>
      <c r="U266" s="74"/>
      <c r="V266" s="764"/>
      <c r="W266" s="764"/>
      <c r="X266" s="158"/>
      <c r="Y266" s="745"/>
      <c r="Z266" s="741">
        <v>0</v>
      </c>
      <c r="AA266" s="592" t="str">
        <f t="shared" si="88"/>
        <v>.1</v>
      </c>
      <c r="AB266" s="739" t="s">
        <v>1996</v>
      </c>
      <c r="AC266" s="738">
        <v>0</v>
      </c>
      <c r="AD266" s="592" t="str">
        <f t="shared" si="89"/>
        <v>.2</v>
      </c>
      <c r="AE266" s="739" t="s">
        <v>1998</v>
      </c>
      <c r="AF266" s="738">
        <v>0</v>
      </c>
      <c r="AG266" s="592" t="str">
        <f t="shared" si="90"/>
        <v>.3</v>
      </c>
      <c r="AH266" s="739" t="s">
        <v>2000</v>
      </c>
      <c r="AI266" s="158"/>
    </row>
    <row r="267" spans="1:35" ht="15" hidden="1" customHeight="1" outlineLevel="4">
      <c r="A267" s="93"/>
      <c r="B267" s="93" t="s">
        <v>1075</v>
      </c>
      <c r="C267" s="93"/>
      <c r="D267" s="93"/>
      <c r="E267" s="93"/>
      <c r="F267" s="93" t="s">
        <v>1075</v>
      </c>
      <c r="G267" s="37"/>
      <c r="H267" s="79"/>
      <c r="I267" s="69">
        <f t="shared" si="72"/>
        <v>0</v>
      </c>
      <c r="J267" s="48"/>
      <c r="K267" s="590" t="str">
        <f t="shared" si="85"/>
        <v>.1</v>
      </c>
      <c r="L267" s="579" t="s">
        <v>1996</v>
      </c>
      <c r="M267" s="74"/>
      <c r="N267" s="49"/>
      <c r="O267" s="592" t="str">
        <f t="shared" si="86"/>
        <v>.2</v>
      </c>
      <c r="P267" s="578" t="s">
        <v>1998</v>
      </c>
      <c r="Q267" s="74"/>
      <c r="R267" s="49"/>
      <c r="S267" s="592" t="str">
        <f t="shared" si="87"/>
        <v>.3</v>
      </c>
      <c r="T267" s="578" t="s">
        <v>2000</v>
      </c>
      <c r="U267" s="74"/>
      <c r="V267" s="764"/>
      <c r="W267" s="764"/>
      <c r="X267" s="158"/>
      <c r="Y267" s="745"/>
      <c r="Z267" s="741">
        <v>0</v>
      </c>
      <c r="AA267" s="592" t="str">
        <f t="shared" si="88"/>
        <v>.1</v>
      </c>
      <c r="AB267" s="739" t="s">
        <v>1996</v>
      </c>
      <c r="AC267" s="738">
        <v>0</v>
      </c>
      <c r="AD267" s="592" t="str">
        <f t="shared" si="89"/>
        <v>.2</v>
      </c>
      <c r="AE267" s="739" t="s">
        <v>1998</v>
      </c>
      <c r="AF267" s="738">
        <v>0</v>
      </c>
      <c r="AG267" s="592" t="str">
        <f t="shared" si="90"/>
        <v>.3</v>
      </c>
      <c r="AH267" s="739" t="s">
        <v>2000</v>
      </c>
      <c r="AI267" s="158"/>
    </row>
    <row r="268" spans="1:35" ht="15" hidden="1" customHeight="1" outlineLevel="4">
      <c r="A268" s="93"/>
      <c r="B268" s="93" t="s">
        <v>1075</v>
      </c>
      <c r="C268" s="93"/>
      <c r="D268" s="93"/>
      <c r="E268" s="93"/>
      <c r="F268" s="93" t="s">
        <v>1075</v>
      </c>
      <c r="G268" s="37"/>
      <c r="H268" s="79"/>
      <c r="I268" s="69">
        <f t="shared" si="72"/>
        <v>0</v>
      </c>
      <c r="J268" s="48"/>
      <c r="K268" s="590" t="str">
        <f t="shared" si="85"/>
        <v>.1</v>
      </c>
      <c r="L268" s="579" t="s">
        <v>1996</v>
      </c>
      <c r="M268" s="74"/>
      <c r="N268" s="49"/>
      <c r="O268" s="592" t="str">
        <f t="shared" si="86"/>
        <v>.2</v>
      </c>
      <c r="P268" s="578" t="s">
        <v>1998</v>
      </c>
      <c r="Q268" s="74"/>
      <c r="R268" s="49"/>
      <c r="S268" s="592" t="str">
        <f t="shared" si="87"/>
        <v>.3</v>
      </c>
      <c r="T268" s="578" t="s">
        <v>2000</v>
      </c>
      <c r="U268" s="74"/>
      <c r="V268" s="764"/>
      <c r="W268" s="764"/>
      <c r="X268" s="158"/>
      <c r="Y268" s="745"/>
      <c r="Z268" s="741">
        <v>0</v>
      </c>
      <c r="AA268" s="592" t="str">
        <f t="shared" si="88"/>
        <v>.1</v>
      </c>
      <c r="AB268" s="739" t="s">
        <v>1996</v>
      </c>
      <c r="AC268" s="738">
        <v>0</v>
      </c>
      <c r="AD268" s="592" t="str">
        <f t="shared" si="89"/>
        <v>.2</v>
      </c>
      <c r="AE268" s="739" t="s">
        <v>1998</v>
      </c>
      <c r="AF268" s="738">
        <v>0</v>
      </c>
      <c r="AG268" s="592" t="str">
        <f t="shared" si="90"/>
        <v>.3</v>
      </c>
      <c r="AH268" s="739" t="s">
        <v>2000</v>
      </c>
      <c r="AI268" s="158"/>
    </row>
    <row r="269" spans="1:35" ht="15" hidden="1" customHeight="1" outlineLevel="4">
      <c r="A269" s="93"/>
      <c r="B269" s="93" t="s">
        <v>1075</v>
      </c>
      <c r="C269" s="93"/>
      <c r="D269" s="93"/>
      <c r="E269" s="93"/>
      <c r="F269" s="93" t="s">
        <v>1075</v>
      </c>
      <c r="G269" s="37"/>
      <c r="H269" s="79"/>
      <c r="I269" s="69">
        <f t="shared" si="72"/>
        <v>0</v>
      </c>
      <c r="J269" s="48"/>
      <c r="K269" s="590" t="str">
        <f t="shared" si="85"/>
        <v>.1</v>
      </c>
      <c r="L269" s="579" t="s">
        <v>1996</v>
      </c>
      <c r="M269" s="74"/>
      <c r="N269" s="49"/>
      <c r="O269" s="592" t="str">
        <f t="shared" si="86"/>
        <v>.2</v>
      </c>
      <c r="P269" s="578" t="s">
        <v>1998</v>
      </c>
      <c r="Q269" s="74"/>
      <c r="R269" s="49"/>
      <c r="S269" s="592" t="str">
        <f t="shared" si="87"/>
        <v>.3</v>
      </c>
      <c r="T269" s="578" t="s">
        <v>2000</v>
      </c>
      <c r="U269" s="74"/>
      <c r="V269" s="764"/>
      <c r="W269" s="764"/>
      <c r="X269" s="158"/>
      <c r="Y269" s="745"/>
      <c r="Z269" s="741">
        <v>0</v>
      </c>
      <c r="AA269" s="592" t="str">
        <f t="shared" si="88"/>
        <v>.1</v>
      </c>
      <c r="AB269" s="739" t="s">
        <v>1996</v>
      </c>
      <c r="AC269" s="738">
        <v>0</v>
      </c>
      <c r="AD269" s="592" t="str">
        <f t="shared" si="89"/>
        <v>.2</v>
      </c>
      <c r="AE269" s="739" t="s">
        <v>1998</v>
      </c>
      <c r="AF269" s="738">
        <v>0</v>
      </c>
      <c r="AG269" s="592" t="str">
        <f t="shared" si="90"/>
        <v>.3</v>
      </c>
      <c r="AH269" s="739" t="s">
        <v>2000</v>
      </c>
      <c r="AI269" s="158"/>
    </row>
    <row r="270" spans="1:35" ht="15" hidden="1" customHeight="1" outlineLevel="4">
      <c r="A270" s="95"/>
      <c r="B270" s="95" t="s">
        <v>1075</v>
      </c>
      <c r="C270" s="95"/>
      <c r="D270" s="95"/>
      <c r="E270" s="774"/>
      <c r="F270" s="774" t="s">
        <v>1075</v>
      </c>
      <c r="G270" s="13"/>
      <c r="H270" s="81"/>
      <c r="I270" s="71">
        <f t="shared" si="72"/>
        <v>0</v>
      </c>
      <c r="J270" s="48"/>
      <c r="K270" s="590" t="str">
        <f t="shared" si="85"/>
        <v>.1</v>
      </c>
      <c r="L270" s="579" t="s">
        <v>1996</v>
      </c>
      <c r="M270" s="74"/>
      <c r="N270" s="49"/>
      <c r="O270" s="592" t="str">
        <f t="shared" si="86"/>
        <v>.2</v>
      </c>
      <c r="P270" s="578" t="s">
        <v>1998</v>
      </c>
      <c r="Q270" s="74"/>
      <c r="R270" s="49"/>
      <c r="S270" s="592" t="str">
        <f t="shared" si="87"/>
        <v>.3</v>
      </c>
      <c r="T270" s="578" t="s">
        <v>2000</v>
      </c>
      <c r="U270" s="74"/>
      <c r="V270" s="766"/>
      <c r="W270" s="766"/>
      <c r="X270" s="171"/>
      <c r="Y270" s="745"/>
      <c r="Z270" s="741">
        <v>0</v>
      </c>
      <c r="AA270" s="592" t="str">
        <f t="shared" si="88"/>
        <v>.1</v>
      </c>
      <c r="AB270" s="739" t="s">
        <v>1996</v>
      </c>
      <c r="AC270" s="738">
        <v>0</v>
      </c>
      <c r="AD270" s="592" t="str">
        <f t="shared" si="89"/>
        <v>.2</v>
      </c>
      <c r="AE270" s="739" t="s">
        <v>1998</v>
      </c>
      <c r="AF270" s="738">
        <v>0</v>
      </c>
      <c r="AG270" s="592" t="str">
        <f t="shared" si="90"/>
        <v>.3</v>
      </c>
      <c r="AH270" s="739" t="s">
        <v>2000</v>
      </c>
      <c r="AI270" s="171"/>
    </row>
    <row r="271" spans="1:35" ht="15" hidden="1" customHeight="1" outlineLevel="3" collapsed="1">
      <c r="A271" s="97"/>
      <c r="B271" s="97" t="s">
        <v>1075</v>
      </c>
      <c r="C271" s="97"/>
      <c r="D271" s="97"/>
      <c r="E271" s="97"/>
      <c r="F271" s="97" t="s">
        <v>1075</v>
      </c>
      <c r="G271" s="40" t="s">
        <v>234</v>
      </c>
      <c r="H271" s="68">
        <f>SUBTOTAL(9,H272:H292)</f>
        <v>5</v>
      </c>
      <c r="I271" s="68">
        <f t="shared" si="72"/>
        <v>20</v>
      </c>
      <c r="J271" s="55">
        <f>SUBTOTAL(9,J272:J292)</f>
        <v>20</v>
      </c>
      <c r="K271" s="55"/>
      <c r="L271" s="55"/>
      <c r="M271" s="84"/>
      <c r="N271" s="55">
        <f>SUBTOTAL(9,N272:N292)</f>
        <v>0</v>
      </c>
      <c r="O271" s="91"/>
      <c r="P271" s="91"/>
      <c r="Q271" s="84"/>
      <c r="R271" s="55">
        <f>SUBTOTAL(9,R272:R292)</f>
        <v>0</v>
      </c>
      <c r="S271" s="91"/>
      <c r="T271" s="91"/>
      <c r="U271" s="84"/>
      <c r="V271" s="55">
        <f>SUBTOTAL(9,V272:V292)</f>
        <v>0</v>
      </c>
      <c r="W271" s="55">
        <f>SUBTOTAL(9,W272:W292)</f>
        <v>0</v>
      </c>
      <c r="X271" s="170"/>
      <c r="Y271" s="745"/>
      <c r="Z271" s="55">
        <f>SUBTOTAL(9,Z272:Z292)</f>
        <v>0</v>
      </c>
      <c r="AA271" s="91"/>
      <c r="AB271" s="91"/>
      <c r="AC271" s="55">
        <f>SUBTOTAL(9,AC272:AC292)</f>
        <v>0</v>
      </c>
      <c r="AD271" s="91"/>
      <c r="AE271" s="91"/>
      <c r="AF271" s="55">
        <f>SUBTOTAL(9,AF272:AF292)</f>
        <v>0</v>
      </c>
      <c r="AG271" s="91"/>
      <c r="AH271" s="91"/>
      <c r="AI271" s="170"/>
    </row>
    <row r="272" spans="1:35" s="26" customFormat="1" ht="15" hidden="1" customHeight="1" outlineLevel="4">
      <c r="A272" s="93">
        <v>213215</v>
      </c>
      <c r="B272" s="93">
        <v>3482</v>
      </c>
      <c r="C272" s="93"/>
      <c r="D272" s="93"/>
      <c r="E272" s="93" t="s">
        <v>3060</v>
      </c>
      <c r="F272" s="93" t="s">
        <v>5157</v>
      </c>
      <c r="G272" s="37" t="s">
        <v>206</v>
      </c>
      <c r="H272" s="583">
        <f>IFERROR(VLOOKUP(A272,'Colar QL'!A:C,3,0),0)</f>
        <v>0</v>
      </c>
      <c r="I272" s="69">
        <f t="shared" si="72"/>
        <v>0</v>
      </c>
      <c r="J272" s="258">
        <f>'BD Temp'!E375</f>
        <v>0</v>
      </c>
      <c r="K272" s="590" t="str">
        <f t="shared" ref="K272:K292" si="91">F272&amp;L272</f>
        <v>47.0284.1.2.17.00.01.039.01.06.29.1</v>
      </c>
      <c r="L272" s="579" t="s">
        <v>1996</v>
      </c>
      <c r="M272" s="256" t="str">
        <f>'BD Temp'!F375</f>
        <v>-</v>
      </c>
      <c r="N272" s="255">
        <v>0</v>
      </c>
      <c r="O272" s="592" t="str">
        <f t="shared" ref="O272:O292" si="92">F272&amp;P272</f>
        <v>47.0284.1.2.17.00.01.039.01.06.29.2</v>
      </c>
      <c r="P272" s="578" t="s">
        <v>1998</v>
      </c>
      <c r="Q272" s="256" t="str">
        <f>'BD Temp'!K375</f>
        <v>-</v>
      </c>
      <c r="R272" s="255">
        <f>'BD Temp'!O375</f>
        <v>0</v>
      </c>
      <c r="S272" s="592" t="str">
        <f t="shared" ref="S272:S292" si="93">F272&amp;T272</f>
        <v>47.0284.1.2.17.00.01.039.01.06.29.3</v>
      </c>
      <c r="T272" s="578" t="s">
        <v>2000</v>
      </c>
      <c r="U272" s="256" t="str">
        <f>'BD Temp'!P375</f>
        <v>-</v>
      </c>
      <c r="V272" s="764"/>
      <c r="W272" s="764"/>
      <c r="X272" s="158"/>
      <c r="Y272" s="745"/>
      <c r="Z272" s="741">
        <v>0</v>
      </c>
      <c r="AA272" s="592" t="str">
        <f t="shared" ref="AA272:AA292" si="94">F272&amp;AB272</f>
        <v>47.0284.1.2.17.00.01.039.01.06.29.1</v>
      </c>
      <c r="AB272" s="739" t="s">
        <v>1996</v>
      </c>
      <c r="AC272" s="738">
        <v>0</v>
      </c>
      <c r="AD272" s="592" t="str">
        <f t="shared" ref="AD272:AD292" si="95">F272&amp;AE272</f>
        <v>47.0284.1.2.17.00.01.039.01.06.29.2</v>
      </c>
      <c r="AE272" s="739" t="s">
        <v>1998</v>
      </c>
      <c r="AF272" s="738">
        <v>0</v>
      </c>
      <c r="AG272" s="592" t="str">
        <f t="shared" ref="AG272:AG292" si="96">F272&amp;AH272</f>
        <v>47.0284.1.2.17.00.01.039.01.06.29.3</v>
      </c>
      <c r="AH272" s="739" t="s">
        <v>2000</v>
      </c>
      <c r="AI272" s="158"/>
    </row>
    <row r="273" spans="1:35" ht="15" hidden="1" customHeight="1" outlineLevel="4">
      <c r="A273" s="93">
        <v>213220</v>
      </c>
      <c r="B273" s="93">
        <v>3482</v>
      </c>
      <c r="C273" s="93"/>
      <c r="D273" s="93"/>
      <c r="E273" s="93" t="s">
        <v>3060</v>
      </c>
      <c r="F273" s="93" t="s">
        <v>5157</v>
      </c>
      <c r="G273" s="154" t="s">
        <v>207</v>
      </c>
      <c r="H273" s="583">
        <f>IFERROR(VLOOKUP(A273,'Colar QL'!A:C,3,0),0)</f>
        <v>0</v>
      </c>
      <c r="I273" s="69">
        <f t="shared" si="72"/>
        <v>0</v>
      </c>
      <c r="J273" s="258">
        <f>'BD Temp'!E378</f>
        <v>0</v>
      </c>
      <c r="K273" s="590" t="str">
        <f t="shared" si="91"/>
        <v>47.0284.1.2.17.00.01.039.01.06.29.1</v>
      </c>
      <c r="L273" s="579" t="s">
        <v>1996</v>
      </c>
      <c r="M273" s="256" t="str">
        <f>'BD Temp'!F378</f>
        <v>-</v>
      </c>
      <c r="N273" s="255">
        <f>'BD Temp'!J378</f>
        <v>0</v>
      </c>
      <c r="O273" s="592" t="str">
        <f t="shared" si="92"/>
        <v>47.0284.1.2.17.00.01.039.01.06.29.2</v>
      </c>
      <c r="P273" s="578" t="s">
        <v>1998</v>
      </c>
      <c r="Q273" s="256" t="str">
        <f>'BD Temp'!K378</f>
        <v>-</v>
      </c>
      <c r="R273" s="255">
        <f>'BD Temp'!O378</f>
        <v>0</v>
      </c>
      <c r="S273" s="592" t="str">
        <f t="shared" si="93"/>
        <v>47.0284.1.2.17.00.01.039.01.06.29.3</v>
      </c>
      <c r="T273" s="578" t="s">
        <v>2000</v>
      </c>
      <c r="U273" s="256" t="str">
        <f>'BD Temp'!P378</f>
        <v>-</v>
      </c>
      <c r="V273" s="764"/>
      <c r="W273" s="764"/>
      <c r="X273" s="158"/>
      <c r="Y273" s="745"/>
      <c r="Z273" s="741">
        <v>0</v>
      </c>
      <c r="AA273" s="592" t="str">
        <f t="shared" si="94"/>
        <v>47.0284.1.2.17.00.01.039.01.06.29.1</v>
      </c>
      <c r="AB273" s="739" t="s">
        <v>1996</v>
      </c>
      <c r="AC273" s="738">
        <v>0</v>
      </c>
      <c r="AD273" s="592" t="str">
        <f t="shared" si="95"/>
        <v>47.0284.1.2.17.00.01.039.01.06.29.2</v>
      </c>
      <c r="AE273" s="739" t="s">
        <v>1998</v>
      </c>
      <c r="AF273" s="738">
        <v>0</v>
      </c>
      <c r="AG273" s="592" t="str">
        <f t="shared" si="96"/>
        <v>47.0284.1.2.17.00.01.039.01.06.29.3</v>
      </c>
      <c r="AH273" s="739" t="s">
        <v>2000</v>
      </c>
      <c r="AI273" s="158"/>
    </row>
    <row r="274" spans="1:35" ht="15" hidden="1" customHeight="1" outlineLevel="4">
      <c r="A274" s="93">
        <v>213250</v>
      </c>
      <c r="B274" s="93">
        <v>3482</v>
      </c>
      <c r="C274" s="93"/>
      <c r="D274" s="93"/>
      <c r="E274" s="93" t="s">
        <v>3060</v>
      </c>
      <c r="F274" s="93" t="s">
        <v>5157</v>
      </c>
      <c r="G274" s="154" t="s">
        <v>211</v>
      </c>
      <c r="H274" s="583">
        <f>IFERROR(VLOOKUP(A274,'Colar QL'!A:C,3,0),0)</f>
        <v>0</v>
      </c>
      <c r="I274" s="69">
        <f t="shared" si="72"/>
        <v>0</v>
      </c>
      <c r="J274" s="258">
        <f>'BD Temp'!E379</f>
        <v>0</v>
      </c>
      <c r="K274" s="590" t="str">
        <f t="shared" si="91"/>
        <v>47.0284.1.2.17.00.01.039.01.06.29.1</v>
      </c>
      <c r="L274" s="579" t="s">
        <v>1996</v>
      </c>
      <c r="M274" s="256" t="str">
        <f>'BD Temp'!F379</f>
        <v>-</v>
      </c>
      <c r="N274" s="255">
        <f>'BD Temp'!J379</f>
        <v>0</v>
      </c>
      <c r="O274" s="592" t="str">
        <f t="shared" si="92"/>
        <v>47.0284.1.2.17.00.01.039.01.06.29.2</v>
      </c>
      <c r="P274" s="578" t="s">
        <v>1998</v>
      </c>
      <c r="Q274" s="256" t="str">
        <f>'BD Temp'!K379</f>
        <v>-</v>
      </c>
      <c r="R274" s="255">
        <f>'BD Temp'!O379</f>
        <v>0</v>
      </c>
      <c r="S274" s="592" t="str">
        <f t="shared" si="93"/>
        <v>47.0284.1.2.17.00.01.039.01.06.29.3</v>
      </c>
      <c r="T274" s="578" t="s">
        <v>2000</v>
      </c>
      <c r="U274" s="256" t="str">
        <f>'BD Temp'!P379</f>
        <v>-</v>
      </c>
      <c r="V274" s="764"/>
      <c r="W274" s="764"/>
      <c r="X274" s="158"/>
      <c r="Y274" s="745"/>
      <c r="Z274" s="741">
        <v>0</v>
      </c>
      <c r="AA274" s="592" t="str">
        <f t="shared" si="94"/>
        <v>47.0284.1.2.17.00.01.039.01.06.29.1</v>
      </c>
      <c r="AB274" s="739" t="s">
        <v>1996</v>
      </c>
      <c r="AC274" s="738">
        <v>0</v>
      </c>
      <c r="AD274" s="592" t="str">
        <f t="shared" si="95"/>
        <v>47.0284.1.2.17.00.01.039.01.06.29.2</v>
      </c>
      <c r="AE274" s="739" t="s">
        <v>1998</v>
      </c>
      <c r="AF274" s="738">
        <v>0</v>
      </c>
      <c r="AG274" s="592" t="str">
        <f t="shared" si="96"/>
        <v>47.0284.1.2.17.00.01.039.01.06.29.3</v>
      </c>
      <c r="AH274" s="739" t="s">
        <v>2000</v>
      </c>
      <c r="AI274" s="158"/>
    </row>
    <row r="275" spans="1:35" s="26" customFormat="1" ht="15" hidden="1" customHeight="1" outlineLevel="4">
      <c r="A275" s="93">
        <v>213245</v>
      </c>
      <c r="B275" s="93">
        <v>3482</v>
      </c>
      <c r="C275" s="93"/>
      <c r="D275" s="93"/>
      <c r="E275" s="93" t="s">
        <v>3060</v>
      </c>
      <c r="F275" s="93" t="s">
        <v>5157</v>
      </c>
      <c r="G275" s="154" t="s">
        <v>58</v>
      </c>
      <c r="H275" s="583">
        <f>IFERROR(VLOOKUP(A275,'Colar QL'!A:C,3,0),0)</f>
        <v>0</v>
      </c>
      <c r="I275" s="69">
        <f t="shared" si="72"/>
        <v>0</v>
      </c>
      <c r="J275" s="258">
        <f>'BD Temp'!E380</f>
        <v>0</v>
      </c>
      <c r="K275" s="590" t="str">
        <f t="shared" si="91"/>
        <v>47.0284.1.2.17.00.01.039.01.06.29.1</v>
      </c>
      <c r="L275" s="579" t="s">
        <v>1996</v>
      </c>
      <c r="M275" s="256" t="str">
        <f>'BD Temp'!F380</f>
        <v>-</v>
      </c>
      <c r="N275" s="255">
        <f>'BD Temp'!J380</f>
        <v>0</v>
      </c>
      <c r="O275" s="592" t="str">
        <f t="shared" si="92"/>
        <v>47.0284.1.2.17.00.01.039.01.06.29.2</v>
      </c>
      <c r="P275" s="578" t="s">
        <v>1998</v>
      </c>
      <c r="Q275" s="256" t="str">
        <f>'BD Temp'!K380</f>
        <v>-</v>
      </c>
      <c r="R275" s="255">
        <f>'BD Temp'!O380</f>
        <v>0</v>
      </c>
      <c r="S275" s="592" t="str">
        <f t="shared" si="93"/>
        <v>47.0284.1.2.17.00.01.039.01.06.29.3</v>
      </c>
      <c r="T275" s="578" t="s">
        <v>2000</v>
      </c>
      <c r="U275" s="256" t="str">
        <f>'BD Temp'!P380</f>
        <v>-</v>
      </c>
      <c r="V275" s="764"/>
      <c r="W275" s="764"/>
      <c r="X275" s="158"/>
      <c r="Y275" s="745"/>
      <c r="Z275" s="741">
        <v>0</v>
      </c>
      <c r="AA275" s="592" t="str">
        <f t="shared" si="94"/>
        <v>47.0284.1.2.17.00.01.039.01.06.29.1</v>
      </c>
      <c r="AB275" s="739" t="s">
        <v>1996</v>
      </c>
      <c r="AC275" s="738">
        <v>0</v>
      </c>
      <c r="AD275" s="592" t="str">
        <f t="shared" si="95"/>
        <v>47.0284.1.2.17.00.01.039.01.06.29.2</v>
      </c>
      <c r="AE275" s="739" t="s">
        <v>1998</v>
      </c>
      <c r="AF275" s="738">
        <v>0</v>
      </c>
      <c r="AG275" s="592" t="str">
        <f t="shared" si="96"/>
        <v>47.0284.1.2.17.00.01.039.01.06.29.3</v>
      </c>
      <c r="AH275" s="739" t="s">
        <v>2000</v>
      </c>
      <c r="AI275" s="158"/>
    </row>
    <row r="276" spans="1:35" s="26" customFormat="1" ht="15" hidden="1" customHeight="1" outlineLevel="4">
      <c r="A276" s="153">
        <v>213255</v>
      </c>
      <c r="B276" s="153">
        <v>3482</v>
      </c>
      <c r="C276" s="153"/>
      <c r="D276" s="153"/>
      <c r="E276" s="153" t="s">
        <v>3060</v>
      </c>
      <c r="F276" s="153" t="s">
        <v>5157</v>
      </c>
      <c r="G276" s="37" t="s">
        <v>164</v>
      </c>
      <c r="H276" s="583">
        <f>IFERROR(VLOOKUP(A276,'Colar QL'!A:C,3,0),0)</f>
        <v>0</v>
      </c>
      <c r="I276" s="69">
        <f t="shared" si="72"/>
        <v>0</v>
      </c>
      <c r="J276" s="258">
        <f>'BD Temp'!E381</f>
        <v>0</v>
      </c>
      <c r="K276" s="590" t="str">
        <f t="shared" si="91"/>
        <v>47.0284.1.2.17.00.01.039.01.06.29.1</v>
      </c>
      <c r="L276" s="579" t="s">
        <v>1996</v>
      </c>
      <c r="M276" s="256" t="str">
        <f>'BD Temp'!F381</f>
        <v>-</v>
      </c>
      <c r="N276" s="255">
        <f>'BD Temp'!J381</f>
        <v>0</v>
      </c>
      <c r="O276" s="592" t="str">
        <f t="shared" si="92"/>
        <v>47.0284.1.2.17.00.01.039.01.06.29.2</v>
      </c>
      <c r="P276" s="578" t="s">
        <v>1998</v>
      </c>
      <c r="Q276" s="256" t="str">
        <f>'BD Temp'!K381</f>
        <v>-</v>
      </c>
      <c r="R276" s="255">
        <f>'BD Temp'!O381</f>
        <v>0</v>
      </c>
      <c r="S276" s="592" t="str">
        <f t="shared" si="93"/>
        <v>47.0284.1.2.17.00.01.039.01.06.29.3</v>
      </c>
      <c r="T276" s="578" t="s">
        <v>2000</v>
      </c>
      <c r="U276" s="256" t="str">
        <f>'BD Temp'!P381</f>
        <v>-</v>
      </c>
      <c r="V276" s="764"/>
      <c r="W276" s="764"/>
      <c r="X276" s="158"/>
      <c r="Y276" s="745"/>
      <c r="Z276" s="741">
        <v>0</v>
      </c>
      <c r="AA276" s="592" t="str">
        <f t="shared" si="94"/>
        <v>47.0284.1.2.17.00.01.039.01.06.29.1</v>
      </c>
      <c r="AB276" s="739" t="s">
        <v>1996</v>
      </c>
      <c r="AC276" s="738">
        <v>0</v>
      </c>
      <c r="AD276" s="592" t="str">
        <f t="shared" si="95"/>
        <v>47.0284.1.2.17.00.01.039.01.06.29.2</v>
      </c>
      <c r="AE276" s="739" t="s">
        <v>1998</v>
      </c>
      <c r="AF276" s="738">
        <v>0</v>
      </c>
      <c r="AG276" s="592" t="str">
        <f t="shared" si="96"/>
        <v>47.0284.1.2.17.00.01.039.01.06.29.3</v>
      </c>
      <c r="AH276" s="739" t="s">
        <v>2000</v>
      </c>
      <c r="AI276" s="158"/>
    </row>
    <row r="277" spans="1:35" s="26" customFormat="1" ht="15" hidden="1" customHeight="1" outlineLevel="4">
      <c r="A277" s="93">
        <v>213185</v>
      </c>
      <c r="B277" s="93">
        <v>3482</v>
      </c>
      <c r="C277" s="93"/>
      <c r="D277" s="93"/>
      <c r="E277" s="93" t="s">
        <v>3060</v>
      </c>
      <c r="F277" s="93" t="s">
        <v>5157</v>
      </c>
      <c r="G277" s="37" t="s">
        <v>36</v>
      </c>
      <c r="H277" s="583">
        <f>IFERROR(VLOOKUP(A277,'Colar QL'!A:C,3,0),0)</f>
        <v>0</v>
      </c>
      <c r="I277" s="69">
        <f t="shared" ref="I277:I340" si="97">IFERROR((J277+N277+R277),0)</f>
        <v>0</v>
      </c>
      <c r="J277" s="258">
        <f>'BD Temp'!E382</f>
        <v>0</v>
      </c>
      <c r="K277" s="590" t="str">
        <f t="shared" si="91"/>
        <v>47.0284.1.2.17.00.01.039.01.06.29.1</v>
      </c>
      <c r="L277" s="579" t="s">
        <v>1996</v>
      </c>
      <c r="M277" s="256" t="str">
        <f>'BD Temp'!F382</f>
        <v>-</v>
      </c>
      <c r="N277" s="255">
        <f>'BD Temp'!J382</f>
        <v>0</v>
      </c>
      <c r="O277" s="592" t="str">
        <f t="shared" si="92"/>
        <v>47.0284.1.2.17.00.01.039.01.06.29.2</v>
      </c>
      <c r="P277" s="578" t="s">
        <v>1998</v>
      </c>
      <c r="Q277" s="256" t="str">
        <f>'BD Temp'!K382</f>
        <v>-</v>
      </c>
      <c r="R277" s="255">
        <f>'BD Temp'!O382</f>
        <v>0</v>
      </c>
      <c r="S277" s="592" t="str">
        <f t="shared" si="93"/>
        <v>47.0284.1.2.17.00.01.039.01.06.29.3</v>
      </c>
      <c r="T277" s="578" t="s">
        <v>2000</v>
      </c>
      <c r="U277" s="256" t="str">
        <f>'BD Temp'!P382</f>
        <v>-</v>
      </c>
      <c r="V277" s="764"/>
      <c r="W277" s="764"/>
      <c r="X277" s="158"/>
      <c r="Y277" s="745"/>
      <c r="Z277" s="741">
        <v>0</v>
      </c>
      <c r="AA277" s="592" t="str">
        <f t="shared" si="94"/>
        <v>47.0284.1.2.17.00.01.039.01.06.29.1</v>
      </c>
      <c r="AB277" s="739" t="s">
        <v>1996</v>
      </c>
      <c r="AC277" s="738">
        <v>0</v>
      </c>
      <c r="AD277" s="592" t="str">
        <f t="shared" si="95"/>
        <v>47.0284.1.2.17.00.01.039.01.06.29.2</v>
      </c>
      <c r="AE277" s="739" t="s">
        <v>1998</v>
      </c>
      <c r="AF277" s="738">
        <v>0</v>
      </c>
      <c r="AG277" s="592" t="str">
        <f t="shared" si="96"/>
        <v>47.0284.1.2.17.00.01.039.01.06.29.3</v>
      </c>
      <c r="AH277" s="739" t="s">
        <v>2000</v>
      </c>
      <c r="AI277" s="158"/>
    </row>
    <row r="278" spans="1:35" ht="15" hidden="1" customHeight="1" outlineLevel="4">
      <c r="A278" s="93">
        <v>213260</v>
      </c>
      <c r="B278" s="93">
        <v>3482</v>
      </c>
      <c r="C278" s="93"/>
      <c r="D278" s="93"/>
      <c r="E278" s="93" t="s">
        <v>3060</v>
      </c>
      <c r="F278" s="93" t="s">
        <v>5157</v>
      </c>
      <c r="G278" s="37" t="s">
        <v>212</v>
      </c>
      <c r="H278" s="583">
        <f>IFERROR(VLOOKUP(A278,'Colar QL'!A:C,3,0),0)</f>
        <v>0</v>
      </c>
      <c r="I278" s="69">
        <f t="shared" si="97"/>
        <v>0</v>
      </c>
      <c r="J278" s="258">
        <f>'BD Temp'!E383</f>
        <v>0</v>
      </c>
      <c r="K278" s="590" t="str">
        <f t="shared" si="91"/>
        <v>47.0284.1.2.17.00.01.039.01.06.29.1</v>
      </c>
      <c r="L278" s="579" t="s">
        <v>1996</v>
      </c>
      <c r="M278" s="256" t="str">
        <f>'BD Temp'!F383</f>
        <v>-</v>
      </c>
      <c r="N278" s="255">
        <f>'BD Temp'!J383</f>
        <v>0</v>
      </c>
      <c r="O278" s="592" t="str">
        <f t="shared" si="92"/>
        <v>47.0284.1.2.17.00.01.039.01.06.29.2</v>
      </c>
      <c r="P278" s="578" t="s">
        <v>1998</v>
      </c>
      <c r="Q278" s="256" t="str">
        <f>'BD Temp'!K383</f>
        <v>-</v>
      </c>
      <c r="R278" s="255">
        <f>'BD Temp'!O383</f>
        <v>0</v>
      </c>
      <c r="S278" s="592" t="str">
        <f t="shared" si="93"/>
        <v>47.0284.1.2.17.00.01.039.01.06.29.3</v>
      </c>
      <c r="T278" s="578" t="s">
        <v>2000</v>
      </c>
      <c r="U278" s="256" t="str">
        <f>'BD Temp'!P383</f>
        <v>-</v>
      </c>
      <c r="V278" s="764"/>
      <c r="W278" s="764"/>
      <c r="X278" s="158"/>
      <c r="Y278" s="745"/>
      <c r="Z278" s="741">
        <v>0</v>
      </c>
      <c r="AA278" s="592" t="str">
        <f t="shared" si="94"/>
        <v>47.0284.1.2.17.00.01.039.01.06.29.1</v>
      </c>
      <c r="AB278" s="739" t="s">
        <v>1996</v>
      </c>
      <c r="AC278" s="738">
        <v>0</v>
      </c>
      <c r="AD278" s="592" t="str">
        <f t="shared" si="95"/>
        <v>47.0284.1.2.17.00.01.039.01.06.29.2</v>
      </c>
      <c r="AE278" s="739" t="s">
        <v>1998</v>
      </c>
      <c r="AF278" s="738">
        <v>0</v>
      </c>
      <c r="AG278" s="592" t="str">
        <f t="shared" si="96"/>
        <v>47.0284.1.2.17.00.01.039.01.06.29.3</v>
      </c>
      <c r="AH278" s="739" t="s">
        <v>2000</v>
      </c>
      <c r="AI278" s="158"/>
    </row>
    <row r="279" spans="1:35" ht="15" hidden="1" customHeight="1" outlineLevel="4">
      <c r="A279" s="93">
        <v>33</v>
      </c>
      <c r="B279" s="93">
        <v>3451</v>
      </c>
      <c r="C279" s="93"/>
      <c r="D279" s="93"/>
      <c r="E279" s="93" t="s">
        <v>2918</v>
      </c>
      <c r="F279" s="93" t="s">
        <v>5159</v>
      </c>
      <c r="G279" s="37" t="s">
        <v>213</v>
      </c>
      <c r="H279" s="707">
        <f>IFERROR(VLOOKUP(A279,'Colar QL'!A:C,3,0),0)</f>
        <v>1</v>
      </c>
      <c r="I279" s="69">
        <f t="shared" si="97"/>
        <v>1</v>
      </c>
      <c r="J279" s="771">
        <f>'BD Temp'!E384</f>
        <v>1</v>
      </c>
      <c r="K279" s="590" t="str">
        <f t="shared" si="91"/>
        <v>47.0284.1.2.17.00.01.039.01.07.45.1</v>
      </c>
      <c r="L279" s="771" t="s">
        <v>1996</v>
      </c>
      <c r="M279" s="772">
        <f>'BD Temp'!F384</f>
        <v>0.34400000000000003</v>
      </c>
      <c r="N279" s="770">
        <f>'BD Temp'!J384</f>
        <v>0</v>
      </c>
      <c r="O279" s="592" t="str">
        <f t="shared" si="92"/>
        <v>47.0284.1.2.17.00.01.039.01.07.45.2</v>
      </c>
      <c r="P279" s="772" t="s">
        <v>1998</v>
      </c>
      <c r="Q279" s="772" t="str">
        <f>'BD Temp'!K384</f>
        <v>-</v>
      </c>
      <c r="R279" s="770">
        <f>'BD Temp'!O384</f>
        <v>0</v>
      </c>
      <c r="S279" s="592" t="str">
        <f t="shared" si="93"/>
        <v>47.0284.1.2.17.00.01.039.01.07.45.3</v>
      </c>
      <c r="T279" s="772" t="s">
        <v>2000</v>
      </c>
      <c r="U279" s="772" t="str">
        <f>'BD Temp'!P384</f>
        <v>-</v>
      </c>
      <c r="V279" s="764"/>
      <c r="W279" s="764"/>
      <c r="X279" s="158" t="s">
        <v>2877</v>
      </c>
      <c r="Y279" s="745"/>
      <c r="Z279" s="771">
        <v>0</v>
      </c>
      <c r="AA279" s="592" t="str">
        <f t="shared" si="94"/>
        <v>47.0284.1.2.17.00.01.039.01.07.45.1</v>
      </c>
      <c r="AB279" s="772" t="s">
        <v>1996</v>
      </c>
      <c r="AC279" s="770">
        <v>0</v>
      </c>
      <c r="AD279" s="592" t="str">
        <f t="shared" si="95"/>
        <v>47.0284.1.2.17.00.01.039.01.07.45.2</v>
      </c>
      <c r="AE279" s="772" t="s">
        <v>1998</v>
      </c>
      <c r="AF279" s="770">
        <v>0</v>
      </c>
      <c r="AG279" s="592" t="str">
        <f t="shared" si="96"/>
        <v>47.0284.1.2.17.00.01.039.01.07.45.3</v>
      </c>
      <c r="AH279" s="772" t="s">
        <v>2000</v>
      </c>
      <c r="AI279" s="158"/>
    </row>
    <row r="280" spans="1:35" ht="15" hidden="1" customHeight="1" outlineLevel="4">
      <c r="A280" s="93">
        <v>34</v>
      </c>
      <c r="B280" s="93">
        <v>3451</v>
      </c>
      <c r="C280" s="93"/>
      <c r="D280" s="93"/>
      <c r="E280" s="93" t="s">
        <v>2919</v>
      </c>
      <c r="F280" s="93" t="s">
        <v>5160</v>
      </c>
      <c r="G280" s="37" t="s">
        <v>214</v>
      </c>
      <c r="H280" s="707">
        <f>IFERROR(VLOOKUP(A280,'Colar QL'!A:C,3,0),0)</f>
        <v>2</v>
      </c>
      <c r="I280" s="69">
        <f t="shared" si="97"/>
        <v>2</v>
      </c>
      <c r="J280" s="771">
        <f>'BD Temp'!E385</f>
        <v>2</v>
      </c>
      <c r="K280" s="590" t="str">
        <f t="shared" si="91"/>
        <v>47.0284.1.2.17.00.01.039.01.07.47.1</v>
      </c>
      <c r="L280" s="771" t="s">
        <v>1996</v>
      </c>
      <c r="M280" s="772">
        <f>'BD Temp'!F385</f>
        <v>0.71066666666666656</v>
      </c>
      <c r="N280" s="770">
        <f>'BD Temp'!J385</f>
        <v>0</v>
      </c>
      <c r="O280" s="592" t="str">
        <f t="shared" si="92"/>
        <v>47.0284.1.2.17.00.01.039.01.07.47.2</v>
      </c>
      <c r="P280" s="772" t="s">
        <v>1998</v>
      </c>
      <c r="Q280" s="772" t="str">
        <f>'BD Temp'!K385</f>
        <v>-</v>
      </c>
      <c r="R280" s="770">
        <f>'BD Temp'!O385</f>
        <v>0</v>
      </c>
      <c r="S280" s="592" t="str">
        <f t="shared" si="93"/>
        <v>47.0284.1.2.17.00.01.039.01.07.47.3</v>
      </c>
      <c r="T280" s="772" t="s">
        <v>2000</v>
      </c>
      <c r="U280" s="772" t="str">
        <f>'BD Temp'!P385</f>
        <v>-</v>
      </c>
      <c r="V280" s="764"/>
      <c r="W280" s="764"/>
      <c r="X280" s="158" t="s">
        <v>5368</v>
      </c>
      <c r="Y280" s="745"/>
      <c r="Z280" s="771">
        <v>0</v>
      </c>
      <c r="AA280" s="592" t="str">
        <f t="shared" si="94"/>
        <v>47.0284.1.2.17.00.01.039.01.07.47.1</v>
      </c>
      <c r="AB280" s="772" t="s">
        <v>1996</v>
      </c>
      <c r="AC280" s="770">
        <v>0</v>
      </c>
      <c r="AD280" s="592" t="str">
        <f t="shared" si="95"/>
        <v>47.0284.1.2.17.00.01.039.01.07.47.2</v>
      </c>
      <c r="AE280" s="772" t="s">
        <v>1998</v>
      </c>
      <c r="AF280" s="770">
        <v>0</v>
      </c>
      <c r="AG280" s="592" t="str">
        <f t="shared" si="96"/>
        <v>47.0284.1.2.17.00.01.039.01.07.47.3</v>
      </c>
      <c r="AH280" s="772" t="s">
        <v>2000</v>
      </c>
      <c r="AI280" s="158"/>
    </row>
    <row r="281" spans="1:35" ht="15" hidden="1" customHeight="1" outlineLevel="4">
      <c r="A281" s="93">
        <v>35</v>
      </c>
      <c r="B281" s="93">
        <v>3482</v>
      </c>
      <c r="C281" s="93"/>
      <c r="D281" s="93"/>
      <c r="E281" s="93" t="s">
        <v>2920</v>
      </c>
      <c r="F281" s="93" t="s">
        <v>5161</v>
      </c>
      <c r="G281" s="37" t="s">
        <v>781</v>
      </c>
      <c r="H281" s="707">
        <f>IFERROR(VLOOKUP(A281,'Colar QL'!A:C,3,0),0)</f>
        <v>1</v>
      </c>
      <c r="I281" s="69">
        <f t="shared" si="97"/>
        <v>1</v>
      </c>
      <c r="J281" s="771">
        <f>'BD Temp'!E386</f>
        <v>1</v>
      </c>
      <c r="K281" s="590" t="str">
        <f t="shared" si="91"/>
        <v>47.0284.1.2.17.00.01.039.01.06.26.1</v>
      </c>
      <c r="L281" s="771" t="s">
        <v>1996</v>
      </c>
      <c r="M281" s="772">
        <f>'BD Temp'!F386</f>
        <v>0.67466666666666664</v>
      </c>
      <c r="N281" s="770">
        <f>'BD Temp'!J386</f>
        <v>0</v>
      </c>
      <c r="O281" s="592" t="str">
        <f t="shared" si="92"/>
        <v>47.0284.1.2.17.00.01.039.01.06.26.2</v>
      </c>
      <c r="P281" s="772" t="s">
        <v>1998</v>
      </c>
      <c r="Q281" s="772" t="str">
        <f>'BD Temp'!K386</f>
        <v>-</v>
      </c>
      <c r="R281" s="770">
        <f>'BD Temp'!O386</f>
        <v>0</v>
      </c>
      <c r="S281" s="592" t="str">
        <f t="shared" si="93"/>
        <v>47.0284.1.2.17.00.01.039.01.06.26.3</v>
      </c>
      <c r="T281" s="772" t="s">
        <v>2000</v>
      </c>
      <c r="U281" s="772" t="str">
        <f>'BD Temp'!P386</f>
        <v>-</v>
      </c>
      <c r="V281" s="764"/>
      <c r="W281" s="764"/>
      <c r="X281" s="158" t="s">
        <v>5377</v>
      </c>
      <c r="Y281" s="745"/>
      <c r="Z281" s="771">
        <v>0</v>
      </c>
      <c r="AA281" s="592" t="str">
        <f t="shared" si="94"/>
        <v>47.0284.1.2.17.00.01.039.01.06.26.1</v>
      </c>
      <c r="AB281" s="772" t="s">
        <v>1996</v>
      </c>
      <c r="AC281" s="770">
        <v>0</v>
      </c>
      <c r="AD281" s="592" t="str">
        <f t="shared" si="95"/>
        <v>47.0284.1.2.17.00.01.039.01.06.26.2</v>
      </c>
      <c r="AE281" s="772" t="s">
        <v>1998</v>
      </c>
      <c r="AF281" s="770">
        <v>0</v>
      </c>
      <c r="AG281" s="592" t="str">
        <f t="shared" si="96"/>
        <v>47.0284.1.2.17.00.01.039.01.06.26.3</v>
      </c>
      <c r="AH281" s="772" t="s">
        <v>2000</v>
      </c>
      <c r="AI281" s="158"/>
    </row>
    <row r="282" spans="1:35" ht="15" hidden="1" customHeight="1" outlineLevel="4">
      <c r="A282" s="93">
        <v>36</v>
      </c>
      <c r="B282" s="93">
        <v>3482</v>
      </c>
      <c r="C282" s="93"/>
      <c r="D282" s="93"/>
      <c r="E282" s="93" t="s">
        <v>2921</v>
      </c>
      <c r="F282" s="93" t="s">
        <v>5162</v>
      </c>
      <c r="G282" s="37" t="s">
        <v>3117</v>
      </c>
      <c r="H282" s="707">
        <f>IFERROR(VLOOKUP(A282,'Colar QL'!A:C,3,0),0)</f>
        <v>1</v>
      </c>
      <c r="I282" s="69">
        <f t="shared" si="97"/>
        <v>1</v>
      </c>
      <c r="J282" s="771">
        <f>'BD Temp'!E387</f>
        <v>1</v>
      </c>
      <c r="K282" s="590" t="str">
        <f t="shared" si="91"/>
        <v>47.0284.1.2.17.00.01.039.01.06.24.1</v>
      </c>
      <c r="L282" s="771" t="s">
        <v>1996</v>
      </c>
      <c r="M282" s="772">
        <f>'BD Temp'!F387</f>
        <v>0.27466666666666667</v>
      </c>
      <c r="N282" s="770">
        <f>'BD Temp'!J387</f>
        <v>0</v>
      </c>
      <c r="O282" s="592" t="str">
        <f t="shared" si="92"/>
        <v>47.0284.1.2.17.00.01.039.01.06.24.2</v>
      </c>
      <c r="P282" s="772" t="s">
        <v>1998</v>
      </c>
      <c r="Q282" s="772" t="str">
        <f>'BD Temp'!K387</f>
        <v>-</v>
      </c>
      <c r="R282" s="770">
        <f>'BD Temp'!O387</f>
        <v>0</v>
      </c>
      <c r="S282" s="592" t="str">
        <f t="shared" si="93"/>
        <v>47.0284.1.2.17.00.01.039.01.06.24.3</v>
      </c>
      <c r="T282" s="772" t="s">
        <v>2000</v>
      </c>
      <c r="U282" s="772" t="str">
        <f>'BD Temp'!P387</f>
        <v>-</v>
      </c>
      <c r="V282" s="764"/>
      <c r="W282" s="764"/>
      <c r="X282" s="158"/>
      <c r="Y282" s="745"/>
      <c r="Z282" s="771">
        <v>0</v>
      </c>
      <c r="AA282" s="592" t="str">
        <f t="shared" si="94"/>
        <v>47.0284.1.2.17.00.01.039.01.06.24.1</v>
      </c>
      <c r="AB282" s="772" t="s">
        <v>1996</v>
      </c>
      <c r="AC282" s="770">
        <v>0</v>
      </c>
      <c r="AD282" s="592" t="str">
        <f t="shared" si="95"/>
        <v>47.0284.1.2.17.00.01.039.01.06.24.2</v>
      </c>
      <c r="AE282" s="772" t="s">
        <v>1998</v>
      </c>
      <c r="AF282" s="770">
        <v>0</v>
      </c>
      <c r="AG282" s="592" t="str">
        <f t="shared" si="96"/>
        <v>47.0284.1.2.17.00.01.039.01.06.24.3</v>
      </c>
      <c r="AH282" s="772" t="s">
        <v>2000</v>
      </c>
      <c r="AI282" s="158"/>
    </row>
    <row r="283" spans="1:35" ht="15" hidden="1" customHeight="1" outlineLevel="4">
      <c r="A283" s="93">
        <v>37</v>
      </c>
      <c r="B283" s="93">
        <v>3482</v>
      </c>
      <c r="C283" s="93"/>
      <c r="D283" s="93"/>
      <c r="E283" s="153" t="s">
        <v>3060</v>
      </c>
      <c r="F283" s="153" t="s">
        <v>5157</v>
      </c>
      <c r="G283" s="37" t="s">
        <v>5393</v>
      </c>
      <c r="H283" s="583">
        <f>IFERROR(VLOOKUP(A283,'Colar QL'!A:C,3,0),0)</f>
        <v>0</v>
      </c>
      <c r="I283" s="69">
        <f t="shared" si="97"/>
        <v>15</v>
      </c>
      <c r="J283" s="258">
        <f>'BD Temp'!E388</f>
        <v>15</v>
      </c>
      <c r="K283" s="590" t="str">
        <f t="shared" si="91"/>
        <v>47.0284.1.2.17.00.01.039.01.06.29.1</v>
      </c>
      <c r="L283" s="579" t="s">
        <v>1996</v>
      </c>
      <c r="M283" s="256" t="str">
        <f>'BD Temp'!F388</f>
        <v>-</v>
      </c>
      <c r="N283" s="255">
        <f>'BD Temp'!J388</f>
        <v>0</v>
      </c>
      <c r="O283" s="592" t="str">
        <f t="shared" si="92"/>
        <v>47.0284.1.2.17.00.01.039.01.06.29.2</v>
      </c>
      <c r="P283" s="578" t="s">
        <v>1998</v>
      </c>
      <c r="Q283" s="256" t="str">
        <f>'BD Temp'!K388</f>
        <v>-</v>
      </c>
      <c r="R283" s="255">
        <f>'BD Temp'!O388</f>
        <v>0</v>
      </c>
      <c r="S283" s="592" t="str">
        <f t="shared" si="93"/>
        <v>47.0284.1.2.17.00.01.039.01.06.29.3</v>
      </c>
      <c r="T283" s="578" t="s">
        <v>2000</v>
      </c>
      <c r="U283" s="256" t="str">
        <f>'BD Temp'!P388</f>
        <v>-</v>
      </c>
      <c r="V283" s="764"/>
      <c r="W283" s="764"/>
      <c r="X283" s="158"/>
      <c r="Y283" s="745"/>
      <c r="Z283" s="771">
        <v>0</v>
      </c>
      <c r="AA283" s="592" t="str">
        <f t="shared" si="94"/>
        <v>47.0284.1.2.17.00.01.039.01.06.29.1</v>
      </c>
      <c r="AB283" s="772" t="s">
        <v>1996</v>
      </c>
      <c r="AC283" s="770">
        <v>0</v>
      </c>
      <c r="AD283" s="592" t="str">
        <f t="shared" si="95"/>
        <v>47.0284.1.2.17.00.01.039.01.06.29.2</v>
      </c>
      <c r="AE283" s="772" t="s">
        <v>1998</v>
      </c>
      <c r="AF283" s="770">
        <v>0</v>
      </c>
      <c r="AG283" s="592" t="str">
        <f t="shared" si="96"/>
        <v>47.0284.1.2.17.00.01.039.01.06.29.3</v>
      </c>
      <c r="AH283" s="772" t="s">
        <v>2000</v>
      </c>
      <c r="AI283" s="158"/>
    </row>
    <row r="284" spans="1:35" ht="15" hidden="1" customHeight="1" outlineLevel="4">
      <c r="A284" s="93">
        <v>38</v>
      </c>
      <c r="B284" s="93">
        <v>3482</v>
      </c>
      <c r="C284" s="93"/>
      <c r="D284" s="93"/>
      <c r="E284" s="93" t="s">
        <v>3118</v>
      </c>
      <c r="F284" s="93" t="s">
        <v>5163</v>
      </c>
      <c r="G284" s="37" t="s">
        <v>15</v>
      </c>
      <c r="H284" s="583">
        <f>IFERROR(VLOOKUP(A284,'Colar QL'!A:C,3,0),0)</f>
        <v>0</v>
      </c>
      <c r="I284" s="69">
        <f t="shared" si="97"/>
        <v>0</v>
      </c>
      <c r="J284" s="258">
        <f>'BD Temp'!E389</f>
        <v>0</v>
      </c>
      <c r="K284" s="590" t="str">
        <f t="shared" si="91"/>
        <v>47.0284.1.2.17.00.01.039.01.35.02.1</v>
      </c>
      <c r="L284" s="579" t="s">
        <v>1996</v>
      </c>
      <c r="M284" s="256" t="str">
        <f>'BD Temp'!F389</f>
        <v>-</v>
      </c>
      <c r="N284" s="255">
        <f>'BD Temp'!J389</f>
        <v>0</v>
      </c>
      <c r="O284" s="592" t="str">
        <f t="shared" si="92"/>
        <v>47.0284.1.2.17.00.01.039.01.35.02.2</v>
      </c>
      <c r="P284" s="578" t="s">
        <v>1998</v>
      </c>
      <c r="Q284" s="256" t="str">
        <f>'BD Temp'!K389</f>
        <v>-</v>
      </c>
      <c r="R284" s="255">
        <f>'BD Temp'!O389</f>
        <v>0</v>
      </c>
      <c r="S284" s="592" t="str">
        <f t="shared" si="93"/>
        <v>47.0284.1.2.17.00.01.039.01.35.02.3</v>
      </c>
      <c r="T284" s="578" t="s">
        <v>2000</v>
      </c>
      <c r="U284" s="256" t="str">
        <f>'BD Temp'!P389</f>
        <v>-</v>
      </c>
      <c r="V284" s="764"/>
      <c r="W284" s="764"/>
      <c r="X284" s="158"/>
      <c r="Y284" s="745"/>
      <c r="Z284" s="741">
        <v>0</v>
      </c>
      <c r="AA284" s="592" t="str">
        <f t="shared" si="94"/>
        <v>47.0284.1.2.17.00.01.039.01.35.02.1</v>
      </c>
      <c r="AB284" s="739" t="s">
        <v>1996</v>
      </c>
      <c r="AC284" s="738">
        <v>0</v>
      </c>
      <c r="AD284" s="592" t="str">
        <f t="shared" si="95"/>
        <v>47.0284.1.2.17.00.01.039.01.35.02.2</v>
      </c>
      <c r="AE284" s="739" t="s">
        <v>1998</v>
      </c>
      <c r="AF284" s="738">
        <v>0</v>
      </c>
      <c r="AG284" s="592" t="str">
        <f t="shared" si="96"/>
        <v>47.0284.1.2.17.00.01.039.01.35.02.3</v>
      </c>
      <c r="AH284" s="739" t="s">
        <v>2000</v>
      </c>
      <c r="AI284" s="158"/>
    </row>
    <row r="285" spans="1:35" ht="15" hidden="1" customHeight="1" outlineLevel="4">
      <c r="A285" s="93"/>
      <c r="B285" s="93" t="s">
        <v>1075</v>
      </c>
      <c r="C285" s="93"/>
      <c r="D285" s="93"/>
      <c r="E285" s="93"/>
      <c r="F285" s="93" t="s">
        <v>1075</v>
      </c>
      <c r="G285" s="37"/>
      <c r="H285" s="79"/>
      <c r="I285" s="69">
        <f t="shared" si="97"/>
        <v>0</v>
      </c>
      <c r="J285" s="48"/>
      <c r="K285" s="590" t="str">
        <f t="shared" si="91"/>
        <v>.1</v>
      </c>
      <c r="L285" s="579" t="s">
        <v>1996</v>
      </c>
      <c r="M285" s="74"/>
      <c r="N285" s="49"/>
      <c r="O285" s="592" t="str">
        <f t="shared" si="92"/>
        <v>.2</v>
      </c>
      <c r="P285" s="578" t="s">
        <v>1998</v>
      </c>
      <c r="Q285" s="74"/>
      <c r="R285" s="49"/>
      <c r="S285" s="592" t="str">
        <f t="shared" si="93"/>
        <v>.3</v>
      </c>
      <c r="T285" s="578" t="s">
        <v>2000</v>
      </c>
      <c r="U285" s="74"/>
      <c r="V285" s="764"/>
      <c r="W285" s="764"/>
      <c r="X285" s="158"/>
      <c r="Y285" s="745"/>
      <c r="Z285" s="741">
        <v>0</v>
      </c>
      <c r="AA285" s="592" t="str">
        <f t="shared" si="94"/>
        <v>.1</v>
      </c>
      <c r="AB285" s="739" t="s">
        <v>1996</v>
      </c>
      <c r="AC285" s="738">
        <v>0</v>
      </c>
      <c r="AD285" s="592" t="str">
        <f t="shared" si="95"/>
        <v>.2</v>
      </c>
      <c r="AE285" s="739" t="s">
        <v>1998</v>
      </c>
      <c r="AF285" s="738">
        <v>0</v>
      </c>
      <c r="AG285" s="592" t="str">
        <f t="shared" si="96"/>
        <v>.3</v>
      </c>
      <c r="AH285" s="739" t="s">
        <v>2000</v>
      </c>
      <c r="AI285" s="158"/>
    </row>
    <row r="286" spans="1:35" ht="15" hidden="1" customHeight="1" outlineLevel="4">
      <c r="A286" s="99"/>
      <c r="B286" s="99" t="s">
        <v>1075</v>
      </c>
      <c r="C286" s="99"/>
      <c r="D286" s="99"/>
      <c r="E286" s="99"/>
      <c r="F286" s="99" t="s">
        <v>1075</v>
      </c>
      <c r="G286" s="39" t="s">
        <v>723</v>
      </c>
      <c r="H286" s="79"/>
      <c r="I286" s="69">
        <f t="shared" si="97"/>
        <v>0</v>
      </c>
      <c r="J286" s="48"/>
      <c r="K286" s="590" t="str">
        <f t="shared" si="91"/>
        <v>.1</v>
      </c>
      <c r="L286" s="579" t="s">
        <v>1996</v>
      </c>
      <c r="M286" s="74"/>
      <c r="N286" s="49"/>
      <c r="O286" s="592" t="str">
        <f t="shared" si="92"/>
        <v>.2</v>
      </c>
      <c r="P286" s="578" t="s">
        <v>1998</v>
      </c>
      <c r="Q286" s="74"/>
      <c r="R286" s="49"/>
      <c r="S286" s="592" t="str">
        <f t="shared" si="93"/>
        <v>.3</v>
      </c>
      <c r="T286" s="578" t="s">
        <v>2000</v>
      </c>
      <c r="U286" s="74"/>
      <c r="V286" s="764"/>
      <c r="W286" s="764"/>
      <c r="X286" s="158"/>
      <c r="Y286" s="745"/>
      <c r="Z286" s="741">
        <v>0</v>
      </c>
      <c r="AA286" s="592" t="str">
        <f t="shared" si="94"/>
        <v>.1</v>
      </c>
      <c r="AB286" s="739" t="s">
        <v>1996</v>
      </c>
      <c r="AC286" s="738">
        <v>0</v>
      </c>
      <c r="AD286" s="592" t="str">
        <f t="shared" si="95"/>
        <v>.2</v>
      </c>
      <c r="AE286" s="739" t="s">
        <v>1998</v>
      </c>
      <c r="AF286" s="738">
        <v>0</v>
      </c>
      <c r="AG286" s="592" t="str">
        <f t="shared" si="96"/>
        <v>.3</v>
      </c>
      <c r="AH286" s="739" t="s">
        <v>2000</v>
      </c>
      <c r="AI286" s="158"/>
    </row>
    <row r="287" spans="1:35" ht="15" hidden="1" customHeight="1" outlineLevel="4">
      <c r="A287" s="93"/>
      <c r="B287" s="93" t="s">
        <v>1075</v>
      </c>
      <c r="C287" s="93"/>
      <c r="D287" s="93"/>
      <c r="E287" s="93"/>
      <c r="F287" s="93" t="s">
        <v>1075</v>
      </c>
      <c r="G287" s="37"/>
      <c r="H287" s="79"/>
      <c r="I287" s="69">
        <f t="shared" si="97"/>
        <v>0</v>
      </c>
      <c r="J287" s="48"/>
      <c r="K287" s="590" t="str">
        <f t="shared" si="91"/>
        <v>.1</v>
      </c>
      <c r="L287" s="579" t="s">
        <v>1996</v>
      </c>
      <c r="M287" s="74"/>
      <c r="N287" s="49"/>
      <c r="O287" s="592" t="str">
        <f t="shared" si="92"/>
        <v>.2</v>
      </c>
      <c r="P287" s="578" t="s">
        <v>1998</v>
      </c>
      <c r="Q287" s="74"/>
      <c r="R287" s="49"/>
      <c r="S287" s="592" t="str">
        <f t="shared" si="93"/>
        <v>.3</v>
      </c>
      <c r="T287" s="578" t="s">
        <v>2000</v>
      </c>
      <c r="U287" s="74"/>
      <c r="V287" s="764"/>
      <c r="W287" s="764"/>
      <c r="X287" s="158"/>
      <c r="Y287" s="745"/>
      <c r="Z287" s="741">
        <v>0</v>
      </c>
      <c r="AA287" s="592" t="str">
        <f t="shared" si="94"/>
        <v>.1</v>
      </c>
      <c r="AB287" s="739" t="s">
        <v>1996</v>
      </c>
      <c r="AC287" s="738">
        <v>0</v>
      </c>
      <c r="AD287" s="592" t="str">
        <f t="shared" si="95"/>
        <v>.2</v>
      </c>
      <c r="AE287" s="739" t="s">
        <v>1998</v>
      </c>
      <c r="AF287" s="738">
        <v>0</v>
      </c>
      <c r="AG287" s="592" t="str">
        <f t="shared" si="96"/>
        <v>.3</v>
      </c>
      <c r="AH287" s="739" t="s">
        <v>2000</v>
      </c>
      <c r="AI287" s="158"/>
    </row>
    <row r="288" spans="1:35" ht="15" hidden="1" customHeight="1" outlineLevel="4">
      <c r="A288" s="93"/>
      <c r="B288" s="93" t="s">
        <v>1075</v>
      </c>
      <c r="C288" s="93"/>
      <c r="D288" s="93"/>
      <c r="E288" s="93"/>
      <c r="F288" s="93" t="s">
        <v>1075</v>
      </c>
      <c r="G288" s="37"/>
      <c r="H288" s="79"/>
      <c r="I288" s="69">
        <f t="shared" si="97"/>
        <v>0</v>
      </c>
      <c r="J288" s="48"/>
      <c r="K288" s="590" t="str">
        <f t="shared" si="91"/>
        <v>.1</v>
      </c>
      <c r="L288" s="579" t="s">
        <v>1996</v>
      </c>
      <c r="M288" s="74"/>
      <c r="N288" s="49"/>
      <c r="O288" s="592" t="str">
        <f t="shared" si="92"/>
        <v>.2</v>
      </c>
      <c r="P288" s="578" t="s">
        <v>1998</v>
      </c>
      <c r="Q288" s="74"/>
      <c r="R288" s="49"/>
      <c r="S288" s="592" t="str">
        <f t="shared" si="93"/>
        <v>.3</v>
      </c>
      <c r="T288" s="578" t="s">
        <v>2000</v>
      </c>
      <c r="U288" s="74"/>
      <c r="V288" s="764"/>
      <c r="W288" s="764"/>
      <c r="X288" s="158"/>
      <c r="Y288" s="745"/>
      <c r="Z288" s="741">
        <v>0</v>
      </c>
      <c r="AA288" s="592" t="str">
        <f t="shared" si="94"/>
        <v>.1</v>
      </c>
      <c r="AB288" s="739" t="s">
        <v>1996</v>
      </c>
      <c r="AC288" s="738">
        <v>0</v>
      </c>
      <c r="AD288" s="592" t="str">
        <f t="shared" si="95"/>
        <v>.2</v>
      </c>
      <c r="AE288" s="739" t="s">
        <v>1998</v>
      </c>
      <c r="AF288" s="738">
        <v>0</v>
      </c>
      <c r="AG288" s="592" t="str">
        <f t="shared" si="96"/>
        <v>.3</v>
      </c>
      <c r="AH288" s="739" t="s">
        <v>2000</v>
      </c>
      <c r="AI288" s="158"/>
    </row>
    <row r="289" spans="1:35" ht="15" hidden="1" customHeight="1" outlineLevel="4">
      <c r="A289" s="93"/>
      <c r="B289" s="93" t="s">
        <v>1075</v>
      </c>
      <c r="C289" s="93"/>
      <c r="D289" s="93"/>
      <c r="E289" s="93"/>
      <c r="F289" s="93" t="s">
        <v>1075</v>
      </c>
      <c r="G289" s="37"/>
      <c r="H289" s="79"/>
      <c r="I289" s="69">
        <f t="shared" si="97"/>
        <v>0</v>
      </c>
      <c r="J289" s="48"/>
      <c r="K289" s="590" t="str">
        <f t="shared" si="91"/>
        <v>.1</v>
      </c>
      <c r="L289" s="579" t="s">
        <v>1996</v>
      </c>
      <c r="M289" s="74"/>
      <c r="N289" s="49"/>
      <c r="O289" s="592" t="str">
        <f t="shared" si="92"/>
        <v>.2</v>
      </c>
      <c r="P289" s="578" t="s">
        <v>1998</v>
      </c>
      <c r="Q289" s="74"/>
      <c r="R289" s="49"/>
      <c r="S289" s="592" t="str">
        <f t="shared" si="93"/>
        <v>.3</v>
      </c>
      <c r="T289" s="578" t="s">
        <v>2000</v>
      </c>
      <c r="U289" s="74"/>
      <c r="V289" s="764"/>
      <c r="W289" s="764"/>
      <c r="X289" s="158"/>
      <c r="Y289" s="745"/>
      <c r="Z289" s="741">
        <v>0</v>
      </c>
      <c r="AA289" s="592" t="str">
        <f t="shared" si="94"/>
        <v>.1</v>
      </c>
      <c r="AB289" s="739" t="s">
        <v>1996</v>
      </c>
      <c r="AC289" s="738">
        <v>0</v>
      </c>
      <c r="AD289" s="592" t="str">
        <f t="shared" si="95"/>
        <v>.2</v>
      </c>
      <c r="AE289" s="739" t="s">
        <v>1998</v>
      </c>
      <c r="AF289" s="738">
        <v>0</v>
      </c>
      <c r="AG289" s="592" t="str">
        <f t="shared" si="96"/>
        <v>.3</v>
      </c>
      <c r="AH289" s="739" t="s">
        <v>2000</v>
      </c>
      <c r="AI289" s="158"/>
    </row>
    <row r="290" spans="1:35" ht="15" hidden="1" customHeight="1" outlineLevel="4">
      <c r="A290" s="93"/>
      <c r="B290" s="93" t="s">
        <v>1075</v>
      </c>
      <c r="C290" s="93"/>
      <c r="D290" s="93"/>
      <c r="E290" s="93"/>
      <c r="F290" s="93" t="s">
        <v>1075</v>
      </c>
      <c r="G290" s="37"/>
      <c r="H290" s="79"/>
      <c r="I290" s="69">
        <f t="shared" si="97"/>
        <v>0</v>
      </c>
      <c r="J290" s="48"/>
      <c r="K290" s="590" t="str">
        <f t="shared" si="91"/>
        <v>.1</v>
      </c>
      <c r="L290" s="579" t="s">
        <v>1996</v>
      </c>
      <c r="M290" s="74"/>
      <c r="N290" s="49"/>
      <c r="O290" s="592" t="str">
        <f t="shared" si="92"/>
        <v>.2</v>
      </c>
      <c r="P290" s="578" t="s">
        <v>1998</v>
      </c>
      <c r="Q290" s="74"/>
      <c r="R290" s="49"/>
      <c r="S290" s="592" t="str">
        <f t="shared" si="93"/>
        <v>.3</v>
      </c>
      <c r="T290" s="578" t="s">
        <v>2000</v>
      </c>
      <c r="U290" s="74"/>
      <c r="V290" s="764"/>
      <c r="W290" s="764"/>
      <c r="X290" s="158"/>
      <c r="Y290" s="745"/>
      <c r="Z290" s="741">
        <v>0</v>
      </c>
      <c r="AA290" s="592" t="str">
        <f t="shared" si="94"/>
        <v>.1</v>
      </c>
      <c r="AB290" s="739" t="s">
        <v>1996</v>
      </c>
      <c r="AC290" s="738">
        <v>0</v>
      </c>
      <c r="AD290" s="592" t="str">
        <f t="shared" si="95"/>
        <v>.2</v>
      </c>
      <c r="AE290" s="739" t="s">
        <v>1998</v>
      </c>
      <c r="AF290" s="738">
        <v>0</v>
      </c>
      <c r="AG290" s="592" t="str">
        <f t="shared" si="96"/>
        <v>.3</v>
      </c>
      <c r="AH290" s="739" t="s">
        <v>2000</v>
      </c>
      <c r="AI290" s="158"/>
    </row>
    <row r="291" spans="1:35" ht="15" hidden="1" customHeight="1" outlineLevel="4">
      <c r="A291" s="93"/>
      <c r="B291" s="93" t="s">
        <v>1075</v>
      </c>
      <c r="C291" s="93"/>
      <c r="D291" s="93"/>
      <c r="E291" s="93"/>
      <c r="F291" s="93" t="s">
        <v>1075</v>
      </c>
      <c r="G291" s="37"/>
      <c r="H291" s="79"/>
      <c r="I291" s="69">
        <f t="shared" si="97"/>
        <v>0</v>
      </c>
      <c r="J291" s="48"/>
      <c r="K291" s="590" t="str">
        <f t="shared" si="91"/>
        <v>.1</v>
      </c>
      <c r="L291" s="579" t="s">
        <v>1996</v>
      </c>
      <c r="M291" s="74"/>
      <c r="N291" s="49"/>
      <c r="O291" s="592" t="str">
        <f t="shared" si="92"/>
        <v>.2</v>
      </c>
      <c r="P291" s="578" t="s">
        <v>1998</v>
      </c>
      <c r="Q291" s="74"/>
      <c r="R291" s="49"/>
      <c r="S291" s="592" t="str">
        <f t="shared" si="93"/>
        <v>.3</v>
      </c>
      <c r="T291" s="578" t="s">
        <v>2000</v>
      </c>
      <c r="U291" s="74"/>
      <c r="V291" s="764"/>
      <c r="W291" s="764"/>
      <c r="X291" s="158"/>
      <c r="Y291" s="745"/>
      <c r="Z291" s="741">
        <v>0</v>
      </c>
      <c r="AA291" s="592" t="str">
        <f t="shared" si="94"/>
        <v>.1</v>
      </c>
      <c r="AB291" s="739" t="s">
        <v>1996</v>
      </c>
      <c r="AC291" s="738">
        <v>0</v>
      </c>
      <c r="AD291" s="592" t="str">
        <f t="shared" si="95"/>
        <v>.2</v>
      </c>
      <c r="AE291" s="739" t="s">
        <v>1998</v>
      </c>
      <c r="AF291" s="738">
        <v>0</v>
      </c>
      <c r="AG291" s="592" t="str">
        <f t="shared" si="96"/>
        <v>.3</v>
      </c>
      <c r="AH291" s="739" t="s">
        <v>2000</v>
      </c>
      <c r="AI291" s="158"/>
    </row>
    <row r="292" spans="1:35" ht="15" hidden="1" customHeight="1" outlineLevel="4">
      <c r="A292" s="95"/>
      <c r="B292" s="95" t="s">
        <v>1075</v>
      </c>
      <c r="C292" s="95"/>
      <c r="D292" s="95"/>
      <c r="E292" s="774"/>
      <c r="F292" s="774" t="s">
        <v>1075</v>
      </c>
      <c r="G292" s="13"/>
      <c r="H292" s="81"/>
      <c r="I292" s="71">
        <f t="shared" si="97"/>
        <v>0</v>
      </c>
      <c r="J292" s="48"/>
      <c r="K292" s="590" t="str">
        <f t="shared" si="91"/>
        <v>.1</v>
      </c>
      <c r="L292" s="579" t="s">
        <v>1996</v>
      </c>
      <c r="M292" s="74"/>
      <c r="N292" s="49"/>
      <c r="O292" s="592" t="str">
        <f t="shared" si="92"/>
        <v>.2</v>
      </c>
      <c r="P292" s="578" t="s">
        <v>1998</v>
      </c>
      <c r="Q292" s="74"/>
      <c r="R292" s="49"/>
      <c r="S292" s="592" t="str">
        <f t="shared" si="93"/>
        <v>.3</v>
      </c>
      <c r="T292" s="578" t="s">
        <v>2000</v>
      </c>
      <c r="U292" s="74"/>
      <c r="V292" s="766"/>
      <c r="W292" s="766"/>
      <c r="X292" s="171"/>
      <c r="Y292" s="745"/>
      <c r="Z292" s="741">
        <v>0</v>
      </c>
      <c r="AA292" s="592" t="str">
        <f t="shared" si="94"/>
        <v>.1</v>
      </c>
      <c r="AB292" s="739" t="s">
        <v>1996</v>
      </c>
      <c r="AC292" s="738">
        <v>0</v>
      </c>
      <c r="AD292" s="592" t="str">
        <f t="shared" si="95"/>
        <v>.2</v>
      </c>
      <c r="AE292" s="739" t="s">
        <v>1998</v>
      </c>
      <c r="AF292" s="738">
        <v>0</v>
      </c>
      <c r="AG292" s="592" t="str">
        <f t="shared" si="96"/>
        <v>.3</v>
      </c>
      <c r="AH292" s="739" t="s">
        <v>2000</v>
      </c>
      <c r="AI292" s="171"/>
    </row>
    <row r="293" spans="1:35" ht="15" hidden="1" customHeight="1" outlineLevel="3" collapsed="1">
      <c r="A293" s="97"/>
      <c r="B293" s="97" t="s">
        <v>1075</v>
      </c>
      <c r="C293" s="97"/>
      <c r="D293" s="97"/>
      <c r="E293" s="97"/>
      <c r="F293" s="97" t="s">
        <v>1075</v>
      </c>
      <c r="G293" s="40" t="s">
        <v>238</v>
      </c>
      <c r="H293" s="78">
        <f>SUBTOTAL(9,H294:H314)</f>
        <v>0</v>
      </c>
      <c r="I293" s="68">
        <f t="shared" si="97"/>
        <v>0</v>
      </c>
      <c r="J293" s="55">
        <f>SUBTOTAL(9,J294:J314)</f>
        <v>0</v>
      </c>
      <c r="K293" s="55"/>
      <c r="L293" s="55"/>
      <c r="M293" s="84"/>
      <c r="N293" s="55">
        <f>SUBTOTAL(9,N294:N314)</f>
        <v>0</v>
      </c>
      <c r="O293" s="91"/>
      <c r="P293" s="91"/>
      <c r="Q293" s="84"/>
      <c r="R293" s="55">
        <f>SUBTOTAL(9,R294:R314)</f>
        <v>0</v>
      </c>
      <c r="S293" s="91"/>
      <c r="T293" s="91"/>
      <c r="U293" s="84"/>
      <c r="V293" s="55">
        <f>SUBTOTAL(9,V294:V314)</f>
        <v>0</v>
      </c>
      <c r="W293" s="55">
        <f>SUBTOTAL(9,W294:W314)</f>
        <v>0</v>
      </c>
      <c r="X293" s="784"/>
      <c r="Y293" s="745"/>
      <c r="Z293" s="55">
        <f>SUBTOTAL(9,Z294:Z314)</f>
        <v>0</v>
      </c>
      <c r="AA293" s="91"/>
      <c r="AB293" s="91"/>
      <c r="AC293" s="55">
        <f>SUBTOTAL(9,AC294:AC314)</f>
        <v>0</v>
      </c>
      <c r="AD293" s="91"/>
      <c r="AE293" s="91"/>
      <c r="AF293" s="55">
        <f>SUBTOTAL(9,AF294:AF314)</f>
        <v>0</v>
      </c>
      <c r="AG293" s="91"/>
      <c r="AH293" s="91"/>
      <c r="AI293" s="170"/>
    </row>
    <row r="294" spans="1:35" s="26" customFormat="1" ht="15" hidden="1" customHeight="1" outlineLevel="4">
      <c r="A294" s="94">
        <v>213115</v>
      </c>
      <c r="B294" s="94">
        <v>3482</v>
      </c>
      <c r="C294" s="94"/>
      <c r="D294" s="94"/>
      <c r="E294" s="94" t="s">
        <v>3060</v>
      </c>
      <c r="F294" s="94" t="s">
        <v>5157</v>
      </c>
      <c r="G294" s="38" t="s">
        <v>623</v>
      </c>
      <c r="H294" s="583">
        <f>IFERROR(VLOOKUP(A294,'Colar QL'!A:C,3,0),0)</f>
        <v>0</v>
      </c>
      <c r="I294" s="69">
        <f t="shared" si="97"/>
        <v>0</v>
      </c>
      <c r="J294" s="258">
        <f>'BD Temp'!E399</f>
        <v>0</v>
      </c>
      <c r="K294" s="590" t="str">
        <f t="shared" ref="K294:K314" si="98">F294&amp;L294</f>
        <v>47.0284.1.2.17.00.01.039.01.06.29.1</v>
      </c>
      <c r="L294" s="579" t="s">
        <v>1996</v>
      </c>
      <c r="M294" s="256" t="str">
        <f>'BD Temp'!F399</f>
        <v>-</v>
      </c>
      <c r="N294" s="255">
        <f>'BD Temp'!J399</f>
        <v>0</v>
      </c>
      <c r="O294" s="592" t="str">
        <f t="shared" ref="O294:O314" si="99">F294&amp;P294</f>
        <v>47.0284.1.2.17.00.01.039.01.06.29.2</v>
      </c>
      <c r="P294" s="578" t="s">
        <v>1998</v>
      </c>
      <c r="Q294" s="256" t="str">
        <f>'BD Temp'!K399</f>
        <v>-</v>
      </c>
      <c r="R294" s="255">
        <f>'BD Temp'!O399</f>
        <v>0</v>
      </c>
      <c r="S294" s="592" t="str">
        <f t="shared" ref="S294:S314" si="100">F294&amp;T294</f>
        <v>47.0284.1.2.17.00.01.039.01.06.29.3</v>
      </c>
      <c r="T294" s="578" t="s">
        <v>2000</v>
      </c>
      <c r="U294" s="256" t="str">
        <f>'BD Temp'!P399</f>
        <v>-</v>
      </c>
      <c r="V294" s="767"/>
      <c r="W294" s="767"/>
      <c r="X294" s="164"/>
      <c r="Y294" s="746"/>
      <c r="Z294" s="741">
        <v>0</v>
      </c>
      <c r="AA294" s="592" t="str">
        <f t="shared" ref="AA294:AA314" si="101">F294&amp;AB294</f>
        <v>47.0284.1.2.17.00.01.039.01.06.29.1</v>
      </c>
      <c r="AB294" s="739" t="s">
        <v>1996</v>
      </c>
      <c r="AC294" s="738">
        <v>0</v>
      </c>
      <c r="AD294" s="592" t="str">
        <f t="shared" ref="AD294:AD314" si="102">F294&amp;AE294</f>
        <v>47.0284.1.2.17.00.01.039.01.06.29.2</v>
      </c>
      <c r="AE294" s="739" t="s">
        <v>1998</v>
      </c>
      <c r="AF294" s="738">
        <v>0</v>
      </c>
      <c r="AG294" s="592" t="str">
        <f t="shared" ref="AG294:AG314" si="103">F294&amp;AH294</f>
        <v>47.0284.1.2.17.00.01.039.01.06.29.3</v>
      </c>
      <c r="AH294" s="739" t="s">
        <v>2000</v>
      </c>
      <c r="AI294" s="164"/>
    </row>
    <row r="295" spans="1:35" ht="15" hidden="1" customHeight="1" outlineLevel="4">
      <c r="A295" s="94">
        <v>213120</v>
      </c>
      <c r="B295" s="94">
        <v>3482</v>
      </c>
      <c r="C295" s="94"/>
      <c r="D295" s="94"/>
      <c r="E295" s="94" t="s">
        <v>3060</v>
      </c>
      <c r="F295" s="94" t="s">
        <v>5157</v>
      </c>
      <c r="G295" s="38" t="s">
        <v>1985</v>
      </c>
      <c r="H295" s="583">
        <f>IFERROR(VLOOKUP(A295,'Colar QL'!A:C,3,0),0)</f>
        <v>0</v>
      </c>
      <c r="I295" s="69">
        <f t="shared" si="97"/>
        <v>0</v>
      </c>
      <c r="J295" s="258">
        <f>'BD Temp'!E400</f>
        <v>0</v>
      </c>
      <c r="K295" s="590" t="str">
        <f t="shared" si="98"/>
        <v>47.0284.1.2.17.00.01.039.01.06.29.1</v>
      </c>
      <c r="L295" s="579" t="s">
        <v>1996</v>
      </c>
      <c r="M295" s="256" t="str">
        <f>'BD Temp'!F400</f>
        <v>-</v>
      </c>
      <c r="N295" s="255">
        <f>'BD Temp'!J400</f>
        <v>0</v>
      </c>
      <c r="O295" s="592" t="str">
        <f t="shared" si="99"/>
        <v>47.0284.1.2.17.00.01.039.01.06.29.2</v>
      </c>
      <c r="P295" s="578" t="s">
        <v>1998</v>
      </c>
      <c r="Q295" s="256" t="str">
        <f>'BD Temp'!K400</f>
        <v>-</v>
      </c>
      <c r="R295" s="255">
        <f>'BD Temp'!O400</f>
        <v>0</v>
      </c>
      <c r="S295" s="592" t="str">
        <f t="shared" si="100"/>
        <v>47.0284.1.2.17.00.01.039.01.06.29.3</v>
      </c>
      <c r="T295" s="578" t="s">
        <v>2000</v>
      </c>
      <c r="U295" s="256" t="str">
        <f>'BD Temp'!P400</f>
        <v>-</v>
      </c>
      <c r="V295" s="767"/>
      <c r="W295" s="767"/>
      <c r="X295" s="164"/>
      <c r="Y295" s="746"/>
      <c r="Z295" s="741">
        <v>0</v>
      </c>
      <c r="AA295" s="592" t="str">
        <f t="shared" si="101"/>
        <v>47.0284.1.2.17.00.01.039.01.06.29.1</v>
      </c>
      <c r="AB295" s="739" t="s">
        <v>1996</v>
      </c>
      <c r="AC295" s="738">
        <v>0</v>
      </c>
      <c r="AD295" s="592" t="str">
        <f t="shared" si="102"/>
        <v>47.0284.1.2.17.00.01.039.01.06.29.2</v>
      </c>
      <c r="AE295" s="739" t="s">
        <v>1998</v>
      </c>
      <c r="AF295" s="738">
        <v>0</v>
      </c>
      <c r="AG295" s="592" t="str">
        <f t="shared" si="103"/>
        <v>47.0284.1.2.17.00.01.039.01.06.29.3</v>
      </c>
      <c r="AH295" s="739" t="s">
        <v>2000</v>
      </c>
      <c r="AI295" s="164"/>
    </row>
    <row r="296" spans="1:35" ht="15" hidden="1" customHeight="1" outlineLevel="4">
      <c r="A296" s="94">
        <v>213125</v>
      </c>
      <c r="B296" s="94">
        <v>3482</v>
      </c>
      <c r="C296" s="94"/>
      <c r="D296" s="94"/>
      <c r="E296" s="94" t="s">
        <v>3060</v>
      </c>
      <c r="F296" s="94" t="s">
        <v>5157</v>
      </c>
      <c r="G296" s="38" t="s">
        <v>991</v>
      </c>
      <c r="H296" s="583">
        <f>IFERROR(VLOOKUP(A296,'Colar QL'!A:C,3,0),0)</f>
        <v>0</v>
      </c>
      <c r="I296" s="69">
        <f t="shared" si="97"/>
        <v>0</v>
      </c>
      <c r="J296" s="258">
        <f>'BD Temp'!E403</f>
        <v>0</v>
      </c>
      <c r="K296" s="590" t="str">
        <f t="shared" si="98"/>
        <v>47.0284.1.2.17.00.01.039.01.06.29.1</v>
      </c>
      <c r="L296" s="579" t="s">
        <v>1996</v>
      </c>
      <c r="M296" s="256" t="str">
        <f>'BD Temp'!F403</f>
        <v>-</v>
      </c>
      <c r="N296" s="255">
        <f>'BD Temp'!J403</f>
        <v>0</v>
      </c>
      <c r="O296" s="592" t="str">
        <f t="shared" si="99"/>
        <v>47.0284.1.2.17.00.01.039.01.06.29.2</v>
      </c>
      <c r="P296" s="578" t="s">
        <v>1998</v>
      </c>
      <c r="Q296" s="256" t="str">
        <f>'BD Temp'!K403</f>
        <v>-</v>
      </c>
      <c r="R296" s="255">
        <f>'BD Temp'!O403</f>
        <v>0</v>
      </c>
      <c r="S296" s="592" t="str">
        <f t="shared" si="100"/>
        <v>47.0284.1.2.17.00.01.039.01.06.29.3</v>
      </c>
      <c r="T296" s="578" t="s">
        <v>2000</v>
      </c>
      <c r="U296" s="256" t="str">
        <f>'BD Temp'!P403</f>
        <v>-</v>
      </c>
      <c r="V296" s="767"/>
      <c r="W296" s="767"/>
      <c r="X296" s="164"/>
      <c r="Y296" s="746"/>
      <c r="Z296" s="741">
        <v>0</v>
      </c>
      <c r="AA296" s="592" t="str">
        <f t="shared" si="101"/>
        <v>47.0284.1.2.17.00.01.039.01.06.29.1</v>
      </c>
      <c r="AB296" s="739" t="s">
        <v>1996</v>
      </c>
      <c r="AC296" s="738">
        <v>0</v>
      </c>
      <c r="AD296" s="592" t="str">
        <f t="shared" si="102"/>
        <v>47.0284.1.2.17.00.01.039.01.06.29.2</v>
      </c>
      <c r="AE296" s="739" t="s">
        <v>1998</v>
      </c>
      <c r="AF296" s="738">
        <v>0</v>
      </c>
      <c r="AG296" s="592" t="str">
        <f t="shared" si="103"/>
        <v>47.0284.1.2.17.00.01.039.01.06.29.3</v>
      </c>
      <c r="AH296" s="739" t="s">
        <v>2000</v>
      </c>
      <c r="AI296" s="164"/>
    </row>
    <row r="297" spans="1:35" ht="15" hidden="1" customHeight="1" outlineLevel="4">
      <c r="A297" s="94">
        <v>213130</v>
      </c>
      <c r="B297" s="94">
        <v>3482</v>
      </c>
      <c r="C297" s="94"/>
      <c r="D297" s="94"/>
      <c r="E297" s="94" t="s">
        <v>3060</v>
      </c>
      <c r="F297" s="94" t="s">
        <v>5157</v>
      </c>
      <c r="G297" s="38" t="s">
        <v>624</v>
      </c>
      <c r="H297" s="583">
        <f>IFERROR(VLOOKUP(A297,'Colar QL'!A:C,3,0),0)</f>
        <v>0</v>
      </c>
      <c r="I297" s="69">
        <f t="shared" si="97"/>
        <v>0</v>
      </c>
      <c r="J297" s="258">
        <f>'BD Temp'!E404</f>
        <v>0</v>
      </c>
      <c r="K297" s="590" t="str">
        <f t="shared" si="98"/>
        <v>47.0284.1.2.17.00.01.039.01.06.29.1</v>
      </c>
      <c r="L297" s="579" t="s">
        <v>1996</v>
      </c>
      <c r="M297" s="256" t="str">
        <f>'BD Temp'!F404</f>
        <v>-</v>
      </c>
      <c r="N297" s="255">
        <f>'BD Temp'!J404</f>
        <v>0</v>
      </c>
      <c r="O297" s="592" t="str">
        <f t="shared" si="99"/>
        <v>47.0284.1.2.17.00.01.039.01.06.29.2</v>
      </c>
      <c r="P297" s="578" t="s">
        <v>1998</v>
      </c>
      <c r="Q297" s="256" t="str">
        <f>'BD Temp'!K404</f>
        <v>-</v>
      </c>
      <c r="R297" s="255">
        <f>'BD Temp'!O404</f>
        <v>0</v>
      </c>
      <c r="S297" s="592" t="str">
        <f t="shared" si="100"/>
        <v>47.0284.1.2.17.00.01.039.01.06.29.3</v>
      </c>
      <c r="T297" s="578" t="s">
        <v>2000</v>
      </c>
      <c r="U297" s="256" t="str">
        <f>'BD Temp'!P404</f>
        <v>-</v>
      </c>
      <c r="V297" s="767"/>
      <c r="W297" s="767"/>
      <c r="X297" s="164"/>
      <c r="Y297" s="746"/>
      <c r="Z297" s="741">
        <v>0</v>
      </c>
      <c r="AA297" s="592" t="str">
        <f t="shared" si="101"/>
        <v>47.0284.1.2.17.00.01.039.01.06.29.1</v>
      </c>
      <c r="AB297" s="739" t="s">
        <v>1996</v>
      </c>
      <c r="AC297" s="738">
        <v>0</v>
      </c>
      <c r="AD297" s="592" t="str">
        <f t="shared" si="102"/>
        <v>47.0284.1.2.17.00.01.039.01.06.29.2</v>
      </c>
      <c r="AE297" s="739" t="s">
        <v>1998</v>
      </c>
      <c r="AF297" s="738">
        <v>0</v>
      </c>
      <c r="AG297" s="592" t="str">
        <f t="shared" si="103"/>
        <v>47.0284.1.2.17.00.01.039.01.06.29.3</v>
      </c>
      <c r="AH297" s="739" t="s">
        <v>2000</v>
      </c>
      <c r="AI297" s="164"/>
    </row>
    <row r="298" spans="1:35" ht="15" hidden="1" customHeight="1" outlineLevel="4">
      <c r="A298" s="94">
        <v>213135</v>
      </c>
      <c r="B298" s="94">
        <v>3482</v>
      </c>
      <c r="C298" s="94"/>
      <c r="D298" s="94"/>
      <c r="E298" s="94" t="s">
        <v>3060</v>
      </c>
      <c r="F298" s="94" t="s">
        <v>5157</v>
      </c>
      <c r="G298" s="38" t="s">
        <v>625</v>
      </c>
      <c r="H298" s="583">
        <f>IFERROR(VLOOKUP(A298,'Colar QL'!A:C,3,0),0)</f>
        <v>0</v>
      </c>
      <c r="I298" s="69">
        <f t="shared" si="97"/>
        <v>0</v>
      </c>
      <c r="J298" s="258">
        <f>'BD Temp'!E405</f>
        <v>0</v>
      </c>
      <c r="K298" s="590" t="str">
        <f t="shared" si="98"/>
        <v>47.0284.1.2.17.00.01.039.01.06.29.1</v>
      </c>
      <c r="L298" s="579" t="s">
        <v>1996</v>
      </c>
      <c r="M298" s="256" t="str">
        <f>'BD Temp'!F405</f>
        <v>-</v>
      </c>
      <c r="N298" s="255">
        <f>'BD Temp'!J405</f>
        <v>0</v>
      </c>
      <c r="O298" s="592" t="str">
        <f t="shared" si="99"/>
        <v>47.0284.1.2.17.00.01.039.01.06.29.2</v>
      </c>
      <c r="P298" s="578" t="s">
        <v>1998</v>
      </c>
      <c r="Q298" s="256" t="str">
        <f>'BD Temp'!K405</f>
        <v>-</v>
      </c>
      <c r="R298" s="255">
        <f>'BD Temp'!O405</f>
        <v>0</v>
      </c>
      <c r="S298" s="592" t="str">
        <f t="shared" si="100"/>
        <v>47.0284.1.2.17.00.01.039.01.06.29.3</v>
      </c>
      <c r="T298" s="578" t="s">
        <v>2000</v>
      </c>
      <c r="U298" s="256" t="str">
        <f>'BD Temp'!P405</f>
        <v>-</v>
      </c>
      <c r="V298" s="767"/>
      <c r="W298" s="767"/>
      <c r="X298" s="164"/>
      <c r="Y298" s="746"/>
      <c r="Z298" s="741">
        <v>0</v>
      </c>
      <c r="AA298" s="592" t="str">
        <f t="shared" si="101"/>
        <v>47.0284.1.2.17.00.01.039.01.06.29.1</v>
      </c>
      <c r="AB298" s="739" t="s">
        <v>1996</v>
      </c>
      <c r="AC298" s="738">
        <v>0</v>
      </c>
      <c r="AD298" s="592" t="str">
        <f t="shared" si="102"/>
        <v>47.0284.1.2.17.00.01.039.01.06.29.2</v>
      </c>
      <c r="AE298" s="739" t="s">
        <v>1998</v>
      </c>
      <c r="AF298" s="738">
        <v>0</v>
      </c>
      <c r="AG298" s="592" t="str">
        <f t="shared" si="103"/>
        <v>47.0284.1.2.17.00.01.039.01.06.29.3</v>
      </c>
      <c r="AH298" s="739" t="s">
        <v>2000</v>
      </c>
      <c r="AI298" s="164"/>
    </row>
    <row r="299" spans="1:35" ht="15" hidden="1" customHeight="1" outlineLevel="4">
      <c r="A299" s="94">
        <v>213140</v>
      </c>
      <c r="B299" s="94">
        <v>3482</v>
      </c>
      <c r="C299" s="94"/>
      <c r="D299" s="94"/>
      <c r="E299" s="94" t="s">
        <v>3060</v>
      </c>
      <c r="F299" s="94" t="s">
        <v>5157</v>
      </c>
      <c r="G299" s="38" t="s">
        <v>992</v>
      </c>
      <c r="H299" s="583">
        <f>IFERROR(VLOOKUP(A299,'Colar QL'!A:C,3,0),0)</f>
        <v>0</v>
      </c>
      <c r="I299" s="69">
        <f t="shared" si="97"/>
        <v>0</v>
      </c>
      <c r="J299" s="258">
        <f>'BD Temp'!E408</f>
        <v>0</v>
      </c>
      <c r="K299" s="590" t="str">
        <f t="shared" si="98"/>
        <v>47.0284.1.2.17.00.01.039.01.06.29.1</v>
      </c>
      <c r="L299" s="579" t="s">
        <v>1996</v>
      </c>
      <c r="M299" s="256" t="str">
        <f>'BD Temp'!F408</f>
        <v>-</v>
      </c>
      <c r="N299" s="255">
        <f>'BD Temp'!J408</f>
        <v>0</v>
      </c>
      <c r="O299" s="592" t="str">
        <f t="shared" si="99"/>
        <v>47.0284.1.2.17.00.01.039.01.06.29.2</v>
      </c>
      <c r="P299" s="578" t="s">
        <v>1998</v>
      </c>
      <c r="Q299" s="256" t="str">
        <f>'BD Temp'!K408</f>
        <v>-</v>
      </c>
      <c r="R299" s="255">
        <f>'BD Temp'!O408</f>
        <v>0</v>
      </c>
      <c r="S299" s="592" t="str">
        <f t="shared" si="100"/>
        <v>47.0284.1.2.17.00.01.039.01.06.29.3</v>
      </c>
      <c r="T299" s="578" t="s">
        <v>2000</v>
      </c>
      <c r="U299" s="256" t="str">
        <f>'BD Temp'!P408</f>
        <v>-</v>
      </c>
      <c r="V299" s="767"/>
      <c r="W299" s="767"/>
      <c r="X299" s="164"/>
      <c r="Y299" s="746"/>
      <c r="Z299" s="741">
        <v>0</v>
      </c>
      <c r="AA299" s="592" t="str">
        <f t="shared" si="101"/>
        <v>47.0284.1.2.17.00.01.039.01.06.29.1</v>
      </c>
      <c r="AB299" s="739" t="s">
        <v>1996</v>
      </c>
      <c r="AC299" s="738">
        <v>0</v>
      </c>
      <c r="AD299" s="592" t="str">
        <f t="shared" si="102"/>
        <v>47.0284.1.2.17.00.01.039.01.06.29.2</v>
      </c>
      <c r="AE299" s="739" t="s">
        <v>1998</v>
      </c>
      <c r="AF299" s="738">
        <v>0</v>
      </c>
      <c r="AG299" s="592" t="str">
        <f t="shared" si="103"/>
        <v>47.0284.1.2.17.00.01.039.01.06.29.3</v>
      </c>
      <c r="AH299" s="739" t="s">
        <v>2000</v>
      </c>
      <c r="AI299" s="164"/>
    </row>
    <row r="300" spans="1:35" ht="15" hidden="1" customHeight="1" outlineLevel="4">
      <c r="A300" s="94">
        <v>213145</v>
      </c>
      <c r="B300" s="94">
        <v>3450</v>
      </c>
      <c r="C300" s="94"/>
      <c r="D300" s="94"/>
      <c r="E300" s="94" t="s">
        <v>3060</v>
      </c>
      <c r="F300" s="94" t="s">
        <v>5157</v>
      </c>
      <c r="G300" s="38" t="s">
        <v>626</v>
      </c>
      <c r="H300" s="583">
        <f>IFERROR(VLOOKUP(A300,'Colar QL'!A:C,3,0),0)</f>
        <v>0</v>
      </c>
      <c r="I300" s="69">
        <f t="shared" si="97"/>
        <v>0</v>
      </c>
      <c r="J300" s="258">
        <f>'BD Temp'!E411</f>
        <v>0</v>
      </c>
      <c r="K300" s="590" t="str">
        <f t="shared" si="98"/>
        <v>47.0284.1.2.17.00.01.039.01.06.29.1</v>
      </c>
      <c r="L300" s="579" t="s">
        <v>1996</v>
      </c>
      <c r="M300" s="256" t="str">
        <f>'BD Temp'!F411</f>
        <v>-</v>
      </c>
      <c r="N300" s="255">
        <f>'BD Temp'!J411</f>
        <v>0</v>
      </c>
      <c r="O300" s="592" t="str">
        <f t="shared" si="99"/>
        <v>47.0284.1.2.17.00.01.039.01.06.29.2</v>
      </c>
      <c r="P300" s="578" t="s">
        <v>1998</v>
      </c>
      <c r="Q300" s="256" t="str">
        <f>'BD Temp'!K411</f>
        <v>-</v>
      </c>
      <c r="R300" s="255">
        <f>'BD Temp'!O411</f>
        <v>0</v>
      </c>
      <c r="S300" s="592" t="str">
        <f t="shared" si="100"/>
        <v>47.0284.1.2.17.00.01.039.01.06.29.3</v>
      </c>
      <c r="T300" s="578" t="s">
        <v>2000</v>
      </c>
      <c r="U300" s="256" t="str">
        <f>'BD Temp'!P411</f>
        <v>-</v>
      </c>
      <c r="V300" s="767"/>
      <c r="W300" s="767"/>
      <c r="X300" s="164"/>
      <c r="Y300" s="746"/>
      <c r="Z300" s="741">
        <v>0</v>
      </c>
      <c r="AA300" s="592" t="str">
        <f t="shared" si="101"/>
        <v>47.0284.1.2.17.00.01.039.01.06.29.1</v>
      </c>
      <c r="AB300" s="739" t="s">
        <v>1996</v>
      </c>
      <c r="AC300" s="738">
        <v>0</v>
      </c>
      <c r="AD300" s="592" t="str">
        <f t="shared" si="102"/>
        <v>47.0284.1.2.17.00.01.039.01.06.29.2</v>
      </c>
      <c r="AE300" s="739" t="s">
        <v>1998</v>
      </c>
      <c r="AF300" s="738">
        <v>0</v>
      </c>
      <c r="AG300" s="592" t="str">
        <f t="shared" si="103"/>
        <v>47.0284.1.2.17.00.01.039.01.06.29.3</v>
      </c>
      <c r="AH300" s="739" t="s">
        <v>2000</v>
      </c>
      <c r="AI300" s="164"/>
    </row>
    <row r="301" spans="1:35" ht="15" hidden="1" customHeight="1" outlineLevel="4">
      <c r="A301" s="94">
        <v>213150</v>
      </c>
      <c r="B301" s="94">
        <v>3482</v>
      </c>
      <c r="C301" s="94"/>
      <c r="D301" s="94"/>
      <c r="E301" s="94" t="s">
        <v>3060</v>
      </c>
      <c r="F301" s="94" t="s">
        <v>5157</v>
      </c>
      <c r="G301" s="38" t="s">
        <v>1986</v>
      </c>
      <c r="H301" s="583">
        <f>IFERROR(VLOOKUP(A301,'Colar QL'!A:C,3,0),0)</f>
        <v>0</v>
      </c>
      <c r="I301" s="69">
        <f t="shared" si="97"/>
        <v>0</v>
      </c>
      <c r="J301" s="258">
        <f>'BD Temp'!E412</f>
        <v>0</v>
      </c>
      <c r="K301" s="590" t="str">
        <f t="shared" si="98"/>
        <v>47.0284.1.2.17.00.01.039.01.06.29.1</v>
      </c>
      <c r="L301" s="579" t="s">
        <v>1996</v>
      </c>
      <c r="M301" s="256" t="str">
        <f>'BD Temp'!F412</f>
        <v>-</v>
      </c>
      <c r="N301" s="255">
        <f>'BD Temp'!J412</f>
        <v>0</v>
      </c>
      <c r="O301" s="592" t="str">
        <f t="shared" si="99"/>
        <v>47.0284.1.2.17.00.01.039.01.06.29.2</v>
      </c>
      <c r="P301" s="578" t="s">
        <v>1998</v>
      </c>
      <c r="Q301" s="256" t="str">
        <f>'BD Temp'!K412</f>
        <v>-</v>
      </c>
      <c r="R301" s="255">
        <f>'BD Temp'!O412</f>
        <v>0</v>
      </c>
      <c r="S301" s="592" t="str">
        <f t="shared" si="100"/>
        <v>47.0284.1.2.17.00.01.039.01.06.29.3</v>
      </c>
      <c r="T301" s="578" t="s">
        <v>2000</v>
      </c>
      <c r="U301" s="256" t="str">
        <f>'BD Temp'!P412</f>
        <v>-</v>
      </c>
      <c r="V301" s="767"/>
      <c r="W301" s="767"/>
      <c r="X301" s="164"/>
      <c r="Y301" s="746"/>
      <c r="Z301" s="741">
        <v>0</v>
      </c>
      <c r="AA301" s="592" t="str">
        <f t="shared" si="101"/>
        <v>47.0284.1.2.17.00.01.039.01.06.29.1</v>
      </c>
      <c r="AB301" s="739" t="s">
        <v>1996</v>
      </c>
      <c r="AC301" s="738">
        <v>0</v>
      </c>
      <c r="AD301" s="592" t="str">
        <f t="shared" si="102"/>
        <v>47.0284.1.2.17.00.01.039.01.06.29.2</v>
      </c>
      <c r="AE301" s="739" t="s">
        <v>1998</v>
      </c>
      <c r="AF301" s="738">
        <v>0</v>
      </c>
      <c r="AG301" s="592" t="str">
        <f t="shared" si="103"/>
        <v>47.0284.1.2.17.00.01.039.01.06.29.3</v>
      </c>
      <c r="AH301" s="739" t="s">
        <v>2000</v>
      </c>
      <c r="AI301" s="164"/>
    </row>
    <row r="302" spans="1:35" ht="15" hidden="1" customHeight="1" outlineLevel="4">
      <c r="A302" s="94">
        <v>213155</v>
      </c>
      <c r="B302" s="94">
        <v>3482</v>
      </c>
      <c r="C302" s="94"/>
      <c r="D302" s="94"/>
      <c r="E302" s="94" t="s">
        <v>3060</v>
      </c>
      <c r="F302" s="94" t="s">
        <v>5157</v>
      </c>
      <c r="G302" s="38" t="s">
        <v>627</v>
      </c>
      <c r="H302" s="583">
        <f>IFERROR(VLOOKUP(A302,'Colar QL'!A:C,3,0),0)</f>
        <v>0</v>
      </c>
      <c r="I302" s="69">
        <f t="shared" si="97"/>
        <v>0</v>
      </c>
      <c r="J302" s="258">
        <f>'BD Temp'!E413</f>
        <v>0</v>
      </c>
      <c r="K302" s="590" t="str">
        <f t="shared" si="98"/>
        <v>47.0284.1.2.17.00.01.039.01.06.29.1</v>
      </c>
      <c r="L302" s="579" t="s">
        <v>1996</v>
      </c>
      <c r="M302" s="256" t="str">
        <f>'BD Temp'!F413</f>
        <v>-</v>
      </c>
      <c r="N302" s="255">
        <f>'BD Temp'!J413</f>
        <v>0</v>
      </c>
      <c r="O302" s="592" t="str">
        <f t="shared" si="99"/>
        <v>47.0284.1.2.17.00.01.039.01.06.29.2</v>
      </c>
      <c r="P302" s="578" t="s">
        <v>1998</v>
      </c>
      <c r="Q302" s="256" t="str">
        <f>'BD Temp'!K413</f>
        <v>-</v>
      </c>
      <c r="R302" s="255">
        <f>'BD Temp'!O413</f>
        <v>0</v>
      </c>
      <c r="S302" s="592" t="str">
        <f t="shared" si="100"/>
        <v>47.0284.1.2.17.00.01.039.01.06.29.3</v>
      </c>
      <c r="T302" s="578" t="s">
        <v>2000</v>
      </c>
      <c r="U302" s="256" t="str">
        <f>'BD Temp'!P413</f>
        <v>-</v>
      </c>
      <c r="V302" s="767"/>
      <c r="W302" s="767"/>
      <c r="X302" s="164"/>
      <c r="Y302" s="746"/>
      <c r="Z302" s="741">
        <v>0</v>
      </c>
      <c r="AA302" s="592" t="str">
        <f t="shared" si="101"/>
        <v>47.0284.1.2.17.00.01.039.01.06.29.1</v>
      </c>
      <c r="AB302" s="739" t="s">
        <v>1996</v>
      </c>
      <c r="AC302" s="738">
        <v>0</v>
      </c>
      <c r="AD302" s="592" t="str">
        <f t="shared" si="102"/>
        <v>47.0284.1.2.17.00.01.039.01.06.29.2</v>
      </c>
      <c r="AE302" s="739" t="s">
        <v>1998</v>
      </c>
      <c r="AF302" s="738">
        <v>0</v>
      </c>
      <c r="AG302" s="592" t="str">
        <f t="shared" si="103"/>
        <v>47.0284.1.2.17.00.01.039.01.06.29.3</v>
      </c>
      <c r="AH302" s="739" t="s">
        <v>2000</v>
      </c>
      <c r="AI302" s="164"/>
    </row>
    <row r="303" spans="1:35" ht="15" hidden="1" customHeight="1" outlineLevel="4">
      <c r="A303" s="94">
        <v>213160</v>
      </c>
      <c r="B303" s="94">
        <v>3450</v>
      </c>
      <c r="C303" s="94"/>
      <c r="D303" s="94"/>
      <c r="E303" s="94" t="s">
        <v>3061</v>
      </c>
      <c r="F303" s="94" t="s">
        <v>5164</v>
      </c>
      <c r="G303" s="38" t="s">
        <v>628</v>
      </c>
      <c r="H303" s="583">
        <f>IFERROR(VLOOKUP(A303,'Colar QL'!A:C,3,0),0)</f>
        <v>0</v>
      </c>
      <c r="I303" s="69">
        <f t="shared" si="97"/>
        <v>0</v>
      </c>
      <c r="J303" s="258">
        <f>'BD Temp'!E414</f>
        <v>0</v>
      </c>
      <c r="K303" s="590" t="str">
        <f t="shared" si="98"/>
        <v>47.0284.1.2.17.00.01.039.01.08.05.1</v>
      </c>
      <c r="L303" s="579" t="s">
        <v>1996</v>
      </c>
      <c r="M303" s="256" t="str">
        <f>'BD Temp'!F414</f>
        <v>-</v>
      </c>
      <c r="N303" s="255">
        <f>'BD Temp'!J414</f>
        <v>0</v>
      </c>
      <c r="O303" s="592" t="str">
        <f t="shared" si="99"/>
        <v>47.0284.1.2.17.00.01.039.01.08.05.2</v>
      </c>
      <c r="P303" s="578" t="s">
        <v>1998</v>
      </c>
      <c r="Q303" s="256" t="str">
        <f>'BD Temp'!K414</f>
        <v>-</v>
      </c>
      <c r="R303" s="255">
        <f>'BD Temp'!O414</f>
        <v>0</v>
      </c>
      <c r="S303" s="592" t="str">
        <f t="shared" si="100"/>
        <v>47.0284.1.2.17.00.01.039.01.08.05.3</v>
      </c>
      <c r="T303" s="578" t="s">
        <v>2000</v>
      </c>
      <c r="U303" s="256" t="str">
        <f>'BD Temp'!P414</f>
        <v>-</v>
      </c>
      <c r="V303" s="767"/>
      <c r="W303" s="767"/>
      <c r="X303" s="164"/>
      <c r="Y303" s="746"/>
      <c r="Z303" s="741">
        <v>0</v>
      </c>
      <c r="AA303" s="592" t="str">
        <f t="shared" si="101"/>
        <v>47.0284.1.2.17.00.01.039.01.08.05.1</v>
      </c>
      <c r="AB303" s="739" t="s">
        <v>1996</v>
      </c>
      <c r="AC303" s="738">
        <v>0</v>
      </c>
      <c r="AD303" s="592" t="str">
        <f t="shared" si="102"/>
        <v>47.0284.1.2.17.00.01.039.01.08.05.2</v>
      </c>
      <c r="AE303" s="739" t="s">
        <v>1998</v>
      </c>
      <c r="AF303" s="738">
        <v>0</v>
      </c>
      <c r="AG303" s="592" t="str">
        <f t="shared" si="103"/>
        <v>47.0284.1.2.17.00.01.039.01.08.05.3</v>
      </c>
      <c r="AH303" s="739" t="s">
        <v>2000</v>
      </c>
      <c r="AI303" s="164"/>
    </row>
    <row r="304" spans="1:35" ht="15" hidden="1" customHeight="1" outlineLevel="4">
      <c r="A304" s="94">
        <v>213165</v>
      </c>
      <c r="B304" s="94">
        <v>3450</v>
      </c>
      <c r="C304" s="94"/>
      <c r="D304" s="94"/>
      <c r="E304" s="94" t="s">
        <v>3138</v>
      </c>
      <c r="F304" s="94" t="s">
        <v>5165</v>
      </c>
      <c r="G304" s="38" t="s">
        <v>629</v>
      </c>
      <c r="H304" s="583">
        <f>IFERROR(VLOOKUP(A304,'Colar QL'!A:C,3,0),0)</f>
        <v>0</v>
      </c>
      <c r="I304" s="69">
        <f t="shared" si="97"/>
        <v>0</v>
      </c>
      <c r="J304" s="258">
        <f>'BD Temp'!E415</f>
        <v>0</v>
      </c>
      <c r="K304" s="590" t="str">
        <f t="shared" si="98"/>
        <v>47.0284.1.2.17.00.01.039.01.06.50.1</v>
      </c>
      <c r="L304" s="579" t="s">
        <v>1996</v>
      </c>
      <c r="M304" s="256" t="str">
        <f>'BD Temp'!F415</f>
        <v>-</v>
      </c>
      <c r="N304" s="255">
        <f>'BD Temp'!J415</f>
        <v>0</v>
      </c>
      <c r="O304" s="592" t="str">
        <f t="shared" si="99"/>
        <v>47.0284.1.2.17.00.01.039.01.06.50.2</v>
      </c>
      <c r="P304" s="578" t="s">
        <v>1998</v>
      </c>
      <c r="Q304" s="256" t="str">
        <f>'BD Temp'!K415</f>
        <v>-</v>
      </c>
      <c r="R304" s="255">
        <f>'BD Temp'!O415</f>
        <v>0</v>
      </c>
      <c r="S304" s="592" t="str">
        <f t="shared" si="100"/>
        <v>47.0284.1.2.17.00.01.039.01.06.50.3</v>
      </c>
      <c r="T304" s="578" t="s">
        <v>2000</v>
      </c>
      <c r="U304" s="256" t="str">
        <f>'BD Temp'!P415</f>
        <v>-</v>
      </c>
      <c r="V304" s="767"/>
      <c r="W304" s="767"/>
      <c r="X304" s="164"/>
      <c r="Y304" s="746"/>
      <c r="Z304" s="741">
        <v>0</v>
      </c>
      <c r="AA304" s="592" t="str">
        <f t="shared" si="101"/>
        <v>47.0284.1.2.17.00.01.039.01.06.50.1</v>
      </c>
      <c r="AB304" s="739" t="s">
        <v>1996</v>
      </c>
      <c r="AC304" s="738">
        <v>0</v>
      </c>
      <c r="AD304" s="592" t="str">
        <f t="shared" si="102"/>
        <v>47.0284.1.2.17.00.01.039.01.06.50.2</v>
      </c>
      <c r="AE304" s="739" t="s">
        <v>1998</v>
      </c>
      <c r="AF304" s="738">
        <v>0</v>
      </c>
      <c r="AG304" s="592" t="str">
        <f t="shared" si="103"/>
        <v>47.0284.1.2.17.00.01.039.01.06.50.3</v>
      </c>
      <c r="AH304" s="739" t="s">
        <v>2000</v>
      </c>
      <c r="AI304" s="164"/>
    </row>
    <row r="305" spans="1:35" ht="15" hidden="1" customHeight="1" outlineLevel="4">
      <c r="A305" s="94">
        <v>213170</v>
      </c>
      <c r="B305" s="94">
        <v>3450</v>
      </c>
      <c r="C305" s="94"/>
      <c r="D305" s="94"/>
      <c r="E305" s="94" t="s">
        <v>3061</v>
      </c>
      <c r="F305" s="94" t="s">
        <v>5164</v>
      </c>
      <c r="G305" s="38" t="s">
        <v>780</v>
      </c>
      <c r="H305" s="583">
        <f>IFERROR(VLOOKUP(A305,'Colar QL'!A:C,3,0),0)</f>
        <v>0</v>
      </c>
      <c r="I305" s="69">
        <f t="shared" si="97"/>
        <v>0</v>
      </c>
      <c r="J305" s="258">
        <f>'BD Temp'!E416</f>
        <v>0</v>
      </c>
      <c r="K305" s="590" t="str">
        <f t="shared" si="98"/>
        <v>47.0284.1.2.17.00.01.039.01.08.05.1</v>
      </c>
      <c r="L305" s="579" t="s">
        <v>1996</v>
      </c>
      <c r="M305" s="256" t="str">
        <f>'BD Temp'!F416</f>
        <v>-</v>
      </c>
      <c r="N305" s="255">
        <f>'BD Temp'!J416</f>
        <v>0</v>
      </c>
      <c r="O305" s="592" t="str">
        <f t="shared" si="99"/>
        <v>47.0284.1.2.17.00.01.039.01.08.05.2</v>
      </c>
      <c r="P305" s="578" t="s">
        <v>1998</v>
      </c>
      <c r="Q305" s="256" t="str">
        <f>'BD Temp'!K416</f>
        <v>-</v>
      </c>
      <c r="R305" s="255">
        <f>'BD Temp'!O416</f>
        <v>0</v>
      </c>
      <c r="S305" s="592" t="str">
        <f t="shared" si="100"/>
        <v>47.0284.1.2.17.00.01.039.01.08.05.3</v>
      </c>
      <c r="T305" s="578" t="s">
        <v>2000</v>
      </c>
      <c r="U305" s="256" t="str">
        <f>'BD Temp'!P416</f>
        <v>-</v>
      </c>
      <c r="V305" s="767"/>
      <c r="W305" s="767"/>
      <c r="X305" s="164"/>
      <c r="Y305" s="746"/>
      <c r="Z305" s="741">
        <v>0</v>
      </c>
      <c r="AA305" s="592" t="str">
        <f t="shared" si="101"/>
        <v>47.0284.1.2.17.00.01.039.01.08.05.1</v>
      </c>
      <c r="AB305" s="739" t="s">
        <v>1996</v>
      </c>
      <c r="AC305" s="738">
        <v>0</v>
      </c>
      <c r="AD305" s="592" t="str">
        <f t="shared" si="102"/>
        <v>47.0284.1.2.17.00.01.039.01.08.05.2</v>
      </c>
      <c r="AE305" s="739" t="s">
        <v>1998</v>
      </c>
      <c r="AF305" s="738">
        <v>0</v>
      </c>
      <c r="AG305" s="592" t="str">
        <f t="shared" si="103"/>
        <v>47.0284.1.2.17.00.01.039.01.08.05.3</v>
      </c>
      <c r="AH305" s="739" t="s">
        <v>2000</v>
      </c>
      <c r="AI305" s="164"/>
    </row>
    <row r="306" spans="1:35" ht="15" hidden="1" customHeight="1" outlineLevel="4">
      <c r="A306" s="94">
        <v>213175</v>
      </c>
      <c r="B306" s="94">
        <v>3450</v>
      </c>
      <c r="C306" s="94"/>
      <c r="D306" s="94"/>
      <c r="E306" s="94" t="s">
        <v>3062</v>
      </c>
      <c r="F306" s="94" t="s">
        <v>5166</v>
      </c>
      <c r="G306" s="38" t="s">
        <v>631</v>
      </c>
      <c r="H306" s="583">
        <f>IFERROR(VLOOKUP(A306,'Colar QL'!A:C,3,0),0)</f>
        <v>0</v>
      </c>
      <c r="I306" s="69">
        <f t="shared" si="97"/>
        <v>0</v>
      </c>
      <c r="J306" s="258">
        <f>'BD Temp'!E417</f>
        <v>0</v>
      </c>
      <c r="K306" s="590" t="str">
        <f t="shared" si="98"/>
        <v>47.0284.1.2.17.00.01.039.01.08.08.1</v>
      </c>
      <c r="L306" s="579" t="s">
        <v>1996</v>
      </c>
      <c r="M306" s="256" t="str">
        <f>'BD Temp'!F417</f>
        <v>-</v>
      </c>
      <c r="N306" s="255">
        <f>'BD Temp'!J417</f>
        <v>0</v>
      </c>
      <c r="O306" s="592" t="str">
        <f t="shared" si="99"/>
        <v>47.0284.1.2.17.00.01.039.01.08.08.2</v>
      </c>
      <c r="P306" s="578" t="s">
        <v>1998</v>
      </c>
      <c r="Q306" s="256" t="str">
        <f>'BD Temp'!K417</f>
        <v>-</v>
      </c>
      <c r="R306" s="255">
        <f>'BD Temp'!O417</f>
        <v>0</v>
      </c>
      <c r="S306" s="592" t="str">
        <f t="shared" si="100"/>
        <v>47.0284.1.2.17.00.01.039.01.08.08.3</v>
      </c>
      <c r="T306" s="578" t="s">
        <v>2000</v>
      </c>
      <c r="U306" s="256" t="str">
        <f>'BD Temp'!P417</f>
        <v>-</v>
      </c>
      <c r="V306" s="767"/>
      <c r="W306" s="767"/>
      <c r="X306" s="164"/>
      <c r="Y306" s="746"/>
      <c r="Z306" s="741">
        <v>0</v>
      </c>
      <c r="AA306" s="592" t="str">
        <f t="shared" si="101"/>
        <v>47.0284.1.2.17.00.01.039.01.08.08.1</v>
      </c>
      <c r="AB306" s="739" t="s">
        <v>1996</v>
      </c>
      <c r="AC306" s="738">
        <v>0</v>
      </c>
      <c r="AD306" s="592" t="str">
        <f t="shared" si="102"/>
        <v>47.0284.1.2.17.00.01.039.01.08.08.2</v>
      </c>
      <c r="AE306" s="739" t="s">
        <v>1998</v>
      </c>
      <c r="AF306" s="738">
        <v>0</v>
      </c>
      <c r="AG306" s="592" t="str">
        <f t="shared" si="103"/>
        <v>47.0284.1.2.17.00.01.039.01.08.08.3</v>
      </c>
      <c r="AH306" s="739" t="s">
        <v>2000</v>
      </c>
      <c r="AI306" s="164"/>
    </row>
    <row r="307" spans="1:35" ht="15" hidden="1" customHeight="1" outlineLevel="4">
      <c r="A307" s="94"/>
      <c r="B307" s="94" t="s">
        <v>1075</v>
      </c>
      <c r="C307" s="94"/>
      <c r="D307" s="94"/>
      <c r="E307" s="94"/>
      <c r="F307" s="94" t="s">
        <v>1075</v>
      </c>
      <c r="G307" s="38"/>
      <c r="H307" s="204"/>
      <c r="I307" s="70">
        <f t="shared" si="97"/>
        <v>0</v>
      </c>
      <c r="J307" s="258"/>
      <c r="K307" s="590" t="str">
        <f t="shared" si="98"/>
        <v>.1</v>
      </c>
      <c r="L307" s="579" t="s">
        <v>1996</v>
      </c>
      <c r="M307" s="256"/>
      <c r="N307" s="255"/>
      <c r="O307" s="592" t="str">
        <f t="shared" si="99"/>
        <v>.2</v>
      </c>
      <c r="P307" s="578" t="s">
        <v>1998</v>
      </c>
      <c r="Q307" s="256"/>
      <c r="R307" s="255"/>
      <c r="S307" s="592" t="str">
        <f t="shared" si="100"/>
        <v>.3</v>
      </c>
      <c r="T307" s="578" t="s">
        <v>2000</v>
      </c>
      <c r="U307" s="256"/>
      <c r="V307" s="767"/>
      <c r="W307" s="767"/>
      <c r="X307" s="164"/>
      <c r="Y307" s="746"/>
      <c r="Z307" s="741">
        <v>0</v>
      </c>
      <c r="AA307" s="592" t="str">
        <f t="shared" si="101"/>
        <v>.1</v>
      </c>
      <c r="AB307" s="739" t="s">
        <v>1996</v>
      </c>
      <c r="AC307" s="738">
        <v>0</v>
      </c>
      <c r="AD307" s="592" t="str">
        <f t="shared" si="102"/>
        <v>.2</v>
      </c>
      <c r="AE307" s="739" t="s">
        <v>1998</v>
      </c>
      <c r="AF307" s="738">
        <v>0</v>
      </c>
      <c r="AG307" s="592" t="str">
        <f t="shared" si="103"/>
        <v>.3</v>
      </c>
      <c r="AH307" s="739" t="s">
        <v>2000</v>
      </c>
      <c r="AI307" s="164"/>
    </row>
    <row r="308" spans="1:35" ht="15" hidden="1" customHeight="1" outlineLevel="4">
      <c r="A308" s="101"/>
      <c r="B308" s="101" t="s">
        <v>1075</v>
      </c>
      <c r="C308" s="101"/>
      <c r="D308" s="101"/>
      <c r="E308" s="101"/>
      <c r="F308" s="101" t="s">
        <v>1075</v>
      </c>
      <c r="G308" s="46" t="s">
        <v>723</v>
      </c>
      <c r="H308" s="80"/>
      <c r="I308" s="70">
        <f t="shared" si="97"/>
        <v>0</v>
      </c>
      <c r="J308" s="48"/>
      <c r="K308" s="590" t="str">
        <f t="shared" si="98"/>
        <v>.1</v>
      </c>
      <c r="L308" s="579" t="s">
        <v>1996</v>
      </c>
      <c r="M308" s="74"/>
      <c r="N308" s="49"/>
      <c r="O308" s="592" t="str">
        <f t="shared" si="99"/>
        <v>.2</v>
      </c>
      <c r="P308" s="578" t="s">
        <v>1998</v>
      </c>
      <c r="Q308" s="74"/>
      <c r="R308" s="49"/>
      <c r="S308" s="592" t="str">
        <f t="shared" si="100"/>
        <v>.3</v>
      </c>
      <c r="T308" s="578" t="s">
        <v>2000</v>
      </c>
      <c r="U308" s="74"/>
      <c r="V308" s="767"/>
      <c r="W308" s="767"/>
      <c r="X308" s="164"/>
      <c r="Y308" s="746"/>
      <c r="Z308" s="741">
        <v>0</v>
      </c>
      <c r="AA308" s="592" t="str">
        <f t="shared" si="101"/>
        <v>.1</v>
      </c>
      <c r="AB308" s="739" t="s">
        <v>1996</v>
      </c>
      <c r="AC308" s="738">
        <v>0</v>
      </c>
      <c r="AD308" s="592" t="str">
        <f t="shared" si="102"/>
        <v>.2</v>
      </c>
      <c r="AE308" s="739" t="s">
        <v>1998</v>
      </c>
      <c r="AF308" s="738">
        <v>0</v>
      </c>
      <c r="AG308" s="592" t="str">
        <f t="shared" si="103"/>
        <v>.3</v>
      </c>
      <c r="AH308" s="739" t="s">
        <v>2000</v>
      </c>
      <c r="AI308" s="164"/>
    </row>
    <row r="309" spans="1:35" ht="15" hidden="1" customHeight="1" outlineLevel="4">
      <c r="A309" s="94">
        <v>40</v>
      </c>
      <c r="B309" s="94">
        <v>3450</v>
      </c>
      <c r="C309" s="94"/>
      <c r="D309" s="94"/>
      <c r="E309" s="94" t="s">
        <v>3062</v>
      </c>
      <c r="F309" s="94" t="s">
        <v>5166</v>
      </c>
      <c r="G309" s="37" t="s">
        <v>3165</v>
      </c>
      <c r="H309" s="707">
        <f>IFERROR(VLOOKUP(A309,'Colar QL'!A:C,3,0),0)</f>
        <v>0</v>
      </c>
      <c r="I309" s="69">
        <f t="shared" ref="I309:I311" si="104">IFERROR((J309+N309+R309),0)</f>
        <v>0</v>
      </c>
      <c r="J309" s="771">
        <f>'BD Temp'!E423</f>
        <v>0</v>
      </c>
      <c r="K309" s="590" t="str">
        <f t="shared" ref="K309" si="105">F309&amp;L309</f>
        <v>47.0284.1.2.17.00.01.039.01.08.08.1</v>
      </c>
      <c r="L309" s="771" t="s">
        <v>1996</v>
      </c>
      <c r="M309" s="772" t="str">
        <f>'BD Temp'!F423</f>
        <v>-</v>
      </c>
      <c r="N309" s="770">
        <f>'BD Temp'!J423</f>
        <v>0</v>
      </c>
      <c r="O309" s="592" t="str">
        <f t="shared" ref="O309" si="106">F309&amp;P309</f>
        <v>47.0284.1.2.17.00.01.039.01.08.08.2</v>
      </c>
      <c r="P309" s="772" t="s">
        <v>1998</v>
      </c>
      <c r="Q309" s="772" t="str">
        <f>'BD Temp'!K423</f>
        <v>-</v>
      </c>
      <c r="R309" s="770">
        <f>'BD Temp'!O423</f>
        <v>0</v>
      </c>
      <c r="S309" s="592" t="str">
        <f t="shared" ref="S309" si="107">F309&amp;T309</f>
        <v>47.0284.1.2.17.00.01.039.01.08.08.3</v>
      </c>
      <c r="T309" s="772" t="s">
        <v>2000</v>
      </c>
      <c r="U309" s="772" t="str">
        <f>'BD Temp'!P423</f>
        <v>-</v>
      </c>
      <c r="V309" s="767"/>
      <c r="W309" s="767"/>
      <c r="X309" s="164"/>
      <c r="Y309" s="746"/>
      <c r="Z309" s="771">
        <f t="shared" ref="Z309:Z311" si="108">5-5</f>
        <v>0</v>
      </c>
      <c r="AA309" s="592" t="str">
        <f t="shared" ref="AA309:AA311" si="109">F309&amp;AB309</f>
        <v>47.0284.1.2.17.00.01.039.01.08.08.1</v>
      </c>
      <c r="AB309" s="772" t="s">
        <v>1996</v>
      </c>
      <c r="AC309" s="770">
        <f t="shared" ref="AC309:AC311" si="110">-5+5</f>
        <v>0</v>
      </c>
      <c r="AD309" s="592" t="str">
        <f t="shared" ref="AD309:AD311" si="111">F309&amp;AE309</f>
        <v>47.0284.1.2.17.00.01.039.01.08.08.2</v>
      </c>
      <c r="AE309" s="772" t="s">
        <v>1998</v>
      </c>
      <c r="AF309" s="770">
        <v>0</v>
      </c>
      <c r="AG309" s="592" t="str">
        <f t="shared" ref="AG309:AG311" si="112">F309&amp;AH309</f>
        <v>47.0284.1.2.17.00.01.039.01.08.08.3</v>
      </c>
      <c r="AH309" s="772" t="s">
        <v>2000</v>
      </c>
      <c r="AI309" s="164"/>
    </row>
    <row r="310" spans="1:35" ht="15" hidden="1" customHeight="1" outlineLevel="4">
      <c r="A310" s="94">
        <v>18</v>
      </c>
      <c r="B310" s="94">
        <v>3450</v>
      </c>
      <c r="C310" s="94"/>
      <c r="D310" s="94"/>
      <c r="E310" s="94" t="s">
        <v>3062</v>
      </c>
      <c r="F310" s="94" t="s">
        <v>5166</v>
      </c>
      <c r="G310" s="37" t="s">
        <v>3166</v>
      </c>
      <c r="H310" s="707">
        <f>IFERROR(VLOOKUP(A310,'Colar QL'!A:C,3,0),0)</f>
        <v>0</v>
      </c>
      <c r="I310" s="69">
        <f t="shared" si="104"/>
        <v>0</v>
      </c>
      <c r="J310" s="771">
        <f>'BD Temp'!E424</f>
        <v>0</v>
      </c>
      <c r="K310" s="590" t="str">
        <f t="shared" ref="K310:K311" si="113">F310&amp;L310</f>
        <v>47.0284.1.2.17.00.01.039.01.08.08.1</v>
      </c>
      <c r="L310" s="771" t="s">
        <v>1996</v>
      </c>
      <c r="M310" s="772" t="str">
        <f>'BD Temp'!F424</f>
        <v>-</v>
      </c>
      <c r="N310" s="770">
        <f>'BD Temp'!J424</f>
        <v>0</v>
      </c>
      <c r="O310" s="592" t="str">
        <f t="shared" ref="O310:O311" si="114">F310&amp;P310</f>
        <v>47.0284.1.2.17.00.01.039.01.08.08.2</v>
      </c>
      <c r="P310" s="772" t="s">
        <v>1998</v>
      </c>
      <c r="Q310" s="772" t="str">
        <f>'BD Temp'!K424</f>
        <v>-</v>
      </c>
      <c r="R310" s="770">
        <f>'BD Temp'!O424</f>
        <v>0</v>
      </c>
      <c r="S310" s="592" t="str">
        <f t="shared" ref="S310:S311" si="115">F310&amp;T310</f>
        <v>47.0284.1.2.17.00.01.039.01.08.08.3</v>
      </c>
      <c r="T310" s="772" t="s">
        <v>2000</v>
      </c>
      <c r="U310" s="772" t="str">
        <f>'BD Temp'!P424</f>
        <v>-</v>
      </c>
      <c r="V310" s="767"/>
      <c r="W310" s="767"/>
      <c r="X310" s="164"/>
      <c r="Y310" s="746"/>
      <c r="Z310" s="771">
        <f t="shared" si="108"/>
        <v>0</v>
      </c>
      <c r="AA310" s="592" t="str">
        <f t="shared" si="109"/>
        <v>47.0284.1.2.17.00.01.039.01.08.08.1</v>
      </c>
      <c r="AB310" s="772" t="s">
        <v>1996</v>
      </c>
      <c r="AC310" s="770">
        <f t="shared" si="110"/>
        <v>0</v>
      </c>
      <c r="AD310" s="592" t="str">
        <f t="shared" si="111"/>
        <v>47.0284.1.2.17.00.01.039.01.08.08.2</v>
      </c>
      <c r="AE310" s="772" t="s">
        <v>1998</v>
      </c>
      <c r="AF310" s="770">
        <v>0</v>
      </c>
      <c r="AG310" s="592" t="str">
        <f t="shared" si="112"/>
        <v>47.0284.1.2.17.00.01.039.01.08.08.3</v>
      </c>
      <c r="AH310" s="772" t="s">
        <v>2000</v>
      </c>
      <c r="AI310" s="164"/>
    </row>
    <row r="311" spans="1:35" ht="15" hidden="1" customHeight="1" outlineLevel="4">
      <c r="A311" s="94">
        <v>25</v>
      </c>
      <c r="B311" s="93">
        <v>3482</v>
      </c>
      <c r="C311" s="93"/>
      <c r="D311" s="93"/>
      <c r="E311" s="93" t="s">
        <v>2917</v>
      </c>
      <c r="F311" s="93" t="s">
        <v>5158</v>
      </c>
      <c r="G311" s="37" t="s">
        <v>3167</v>
      </c>
      <c r="H311" s="707">
        <f>IFERROR(VLOOKUP(A311,'Colar QL'!A:C,3,0),0)</f>
        <v>0</v>
      </c>
      <c r="I311" s="69">
        <f t="shared" si="104"/>
        <v>0</v>
      </c>
      <c r="J311" s="771">
        <v>0</v>
      </c>
      <c r="K311" s="590" t="str">
        <f t="shared" si="113"/>
        <v>47.0284.1.2.17.00.01.039.01.06.17.1</v>
      </c>
      <c r="L311" s="771" t="s">
        <v>1996</v>
      </c>
      <c r="M311" s="772">
        <f>'BD Temp'!F425</f>
        <v>0.47500000000000003</v>
      </c>
      <c r="N311" s="770">
        <v>0</v>
      </c>
      <c r="O311" s="592" t="str">
        <f t="shared" si="114"/>
        <v>47.0284.1.2.17.00.01.039.01.06.17.2</v>
      </c>
      <c r="P311" s="772" t="s">
        <v>1998</v>
      </c>
      <c r="Q311" s="772" t="str">
        <f>'BD Temp'!K425</f>
        <v>-</v>
      </c>
      <c r="R311" s="770">
        <f>'BD Temp'!O425</f>
        <v>0</v>
      </c>
      <c r="S311" s="592" t="str">
        <f t="shared" si="115"/>
        <v>47.0284.1.2.17.00.01.039.01.06.17.3</v>
      </c>
      <c r="T311" s="772" t="s">
        <v>2000</v>
      </c>
      <c r="U311" s="772" t="str">
        <f>'BD Temp'!P425</f>
        <v>-</v>
      </c>
      <c r="V311" s="767"/>
      <c r="W311" s="767"/>
      <c r="X311" s="164"/>
      <c r="Y311" s="746"/>
      <c r="Z311" s="771">
        <f t="shared" si="108"/>
        <v>0</v>
      </c>
      <c r="AA311" s="592" t="str">
        <f t="shared" si="109"/>
        <v>47.0284.1.2.17.00.01.039.01.06.17.1</v>
      </c>
      <c r="AB311" s="772" t="s">
        <v>1996</v>
      </c>
      <c r="AC311" s="770">
        <f t="shared" si="110"/>
        <v>0</v>
      </c>
      <c r="AD311" s="592" t="str">
        <f t="shared" si="111"/>
        <v>47.0284.1.2.17.00.01.039.01.06.17.2</v>
      </c>
      <c r="AE311" s="772" t="s">
        <v>1998</v>
      </c>
      <c r="AF311" s="770">
        <v>0</v>
      </c>
      <c r="AG311" s="592" t="str">
        <f t="shared" si="112"/>
        <v>47.0284.1.2.17.00.01.039.01.06.17.3</v>
      </c>
      <c r="AH311" s="772" t="s">
        <v>2000</v>
      </c>
      <c r="AI311" s="164"/>
    </row>
    <row r="312" spans="1:35" ht="15" hidden="1" customHeight="1" outlineLevel="4">
      <c r="A312" s="94"/>
      <c r="B312" s="94" t="s">
        <v>1075</v>
      </c>
      <c r="C312" s="94"/>
      <c r="D312" s="94"/>
      <c r="E312" s="94"/>
      <c r="F312" s="94" t="s">
        <v>1075</v>
      </c>
      <c r="G312" s="38"/>
      <c r="H312" s="79"/>
      <c r="I312" s="70">
        <f t="shared" si="97"/>
        <v>0</v>
      </c>
      <c r="J312" s="48"/>
      <c r="K312" s="590" t="str">
        <f t="shared" si="98"/>
        <v>.1</v>
      </c>
      <c r="L312" s="579" t="s">
        <v>1996</v>
      </c>
      <c r="M312" s="74"/>
      <c r="N312" s="49"/>
      <c r="O312" s="592" t="str">
        <f t="shared" si="99"/>
        <v>.2</v>
      </c>
      <c r="P312" s="578" t="s">
        <v>1998</v>
      </c>
      <c r="Q312" s="74"/>
      <c r="R312" s="49"/>
      <c r="S312" s="592" t="str">
        <f t="shared" si="100"/>
        <v>.3</v>
      </c>
      <c r="T312" s="578" t="s">
        <v>2000</v>
      </c>
      <c r="U312" s="74"/>
      <c r="V312" s="767"/>
      <c r="W312" s="767"/>
      <c r="X312" s="164"/>
      <c r="Y312" s="746"/>
      <c r="Z312" s="741">
        <v>0</v>
      </c>
      <c r="AA312" s="592" t="str">
        <f t="shared" si="101"/>
        <v>.1</v>
      </c>
      <c r="AB312" s="739" t="s">
        <v>1996</v>
      </c>
      <c r="AC312" s="738">
        <v>0</v>
      </c>
      <c r="AD312" s="592" t="str">
        <f t="shared" si="102"/>
        <v>.2</v>
      </c>
      <c r="AE312" s="739" t="s">
        <v>1998</v>
      </c>
      <c r="AF312" s="738">
        <v>0</v>
      </c>
      <c r="AG312" s="592" t="str">
        <f t="shared" si="103"/>
        <v>.3</v>
      </c>
      <c r="AH312" s="739" t="s">
        <v>2000</v>
      </c>
      <c r="AI312" s="164"/>
    </row>
    <row r="313" spans="1:35" ht="15" hidden="1" customHeight="1" outlineLevel="4">
      <c r="A313" s="94"/>
      <c r="B313" s="94" t="s">
        <v>1075</v>
      </c>
      <c r="C313" s="94"/>
      <c r="D313" s="94"/>
      <c r="E313" s="94"/>
      <c r="F313" s="94" t="s">
        <v>1075</v>
      </c>
      <c r="G313" s="38"/>
      <c r="H313" s="79"/>
      <c r="I313" s="70">
        <f t="shared" si="97"/>
        <v>0</v>
      </c>
      <c r="J313" s="48"/>
      <c r="K313" s="590" t="str">
        <f t="shared" si="98"/>
        <v>.1</v>
      </c>
      <c r="L313" s="579" t="s">
        <v>1996</v>
      </c>
      <c r="M313" s="74"/>
      <c r="N313" s="49"/>
      <c r="O313" s="592" t="str">
        <f t="shared" si="99"/>
        <v>.2</v>
      </c>
      <c r="P313" s="578" t="s">
        <v>1998</v>
      </c>
      <c r="Q313" s="74"/>
      <c r="R313" s="49"/>
      <c r="S313" s="592" t="str">
        <f t="shared" si="100"/>
        <v>.3</v>
      </c>
      <c r="T313" s="578" t="s">
        <v>2000</v>
      </c>
      <c r="U313" s="74"/>
      <c r="V313" s="767"/>
      <c r="W313" s="767"/>
      <c r="X313" s="164"/>
      <c r="Y313" s="746"/>
      <c r="Z313" s="741">
        <v>0</v>
      </c>
      <c r="AA313" s="592" t="str">
        <f t="shared" si="101"/>
        <v>.1</v>
      </c>
      <c r="AB313" s="739" t="s">
        <v>1996</v>
      </c>
      <c r="AC313" s="738">
        <v>0</v>
      </c>
      <c r="AD313" s="592" t="str">
        <f t="shared" si="102"/>
        <v>.2</v>
      </c>
      <c r="AE313" s="739" t="s">
        <v>1998</v>
      </c>
      <c r="AF313" s="738">
        <v>0</v>
      </c>
      <c r="AG313" s="592" t="str">
        <f t="shared" si="103"/>
        <v>.3</v>
      </c>
      <c r="AH313" s="739" t="s">
        <v>2000</v>
      </c>
      <c r="AI313" s="164"/>
    </row>
    <row r="314" spans="1:35" ht="15" hidden="1" customHeight="1" outlineLevel="4">
      <c r="A314" s="95"/>
      <c r="B314" s="95" t="s">
        <v>1075</v>
      </c>
      <c r="C314" s="95"/>
      <c r="D314" s="95"/>
      <c r="E314" s="774"/>
      <c r="F314" s="774" t="s">
        <v>1075</v>
      </c>
      <c r="G314" s="13"/>
      <c r="H314" s="81"/>
      <c r="I314" s="71">
        <f t="shared" si="97"/>
        <v>0</v>
      </c>
      <c r="J314" s="48"/>
      <c r="K314" s="590" t="str">
        <f t="shared" si="98"/>
        <v>.1</v>
      </c>
      <c r="L314" s="579" t="s">
        <v>1996</v>
      </c>
      <c r="M314" s="74"/>
      <c r="N314" s="49"/>
      <c r="O314" s="592" t="str">
        <f t="shared" si="99"/>
        <v>.2</v>
      </c>
      <c r="P314" s="578" t="s">
        <v>1998</v>
      </c>
      <c r="Q314" s="74"/>
      <c r="R314" s="49"/>
      <c r="S314" s="592" t="str">
        <f t="shared" si="100"/>
        <v>.3</v>
      </c>
      <c r="T314" s="578" t="s">
        <v>2000</v>
      </c>
      <c r="U314" s="74"/>
      <c r="V314" s="766"/>
      <c r="W314" s="766"/>
      <c r="X314" s="171"/>
      <c r="Y314" s="745"/>
      <c r="Z314" s="741">
        <v>0</v>
      </c>
      <c r="AA314" s="592" t="str">
        <f t="shared" si="101"/>
        <v>.1</v>
      </c>
      <c r="AB314" s="739" t="s">
        <v>1996</v>
      </c>
      <c r="AC314" s="738">
        <v>0</v>
      </c>
      <c r="AD314" s="592" t="str">
        <f t="shared" si="102"/>
        <v>.2</v>
      </c>
      <c r="AE314" s="739" t="s">
        <v>1998</v>
      </c>
      <c r="AF314" s="738">
        <v>0</v>
      </c>
      <c r="AG314" s="592" t="str">
        <f t="shared" si="103"/>
        <v>.3</v>
      </c>
      <c r="AH314" s="739" t="s">
        <v>2000</v>
      </c>
      <c r="AI314" s="171"/>
    </row>
    <row r="315" spans="1:35" ht="15" hidden="1" customHeight="1" outlineLevel="3" collapsed="1">
      <c r="A315" s="97"/>
      <c r="B315" s="97" t="s">
        <v>1075</v>
      </c>
      <c r="C315" s="97"/>
      <c r="D315" s="97"/>
      <c r="E315" s="97"/>
      <c r="F315" s="97" t="s">
        <v>1075</v>
      </c>
      <c r="G315" s="40" t="s">
        <v>701</v>
      </c>
      <c r="H315" s="78">
        <f>SUBTOTAL(9,H316:H331)</f>
        <v>0</v>
      </c>
      <c r="I315" s="68">
        <f t="shared" si="97"/>
        <v>0</v>
      </c>
      <c r="J315" s="55">
        <f>SUBTOTAL(9,J316:J331)</f>
        <v>0</v>
      </c>
      <c r="K315" s="55"/>
      <c r="L315" s="55"/>
      <c r="M315" s="84"/>
      <c r="N315" s="55">
        <f>SUBTOTAL(9,N316:N331)</f>
        <v>0</v>
      </c>
      <c r="O315" s="91"/>
      <c r="P315" s="91"/>
      <c r="Q315" s="84"/>
      <c r="R315" s="55">
        <f>SUBTOTAL(9,R316:R331)</f>
        <v>0</v>
      </c>
      <c r="S315" s="91"/>
      <c r="T315" s="91"/>
      <c r="U315" s="84"/>
      <c r="V315" s="55">
        <f>SUBTOTAL(9,V316:V331)</f>
        <v>0</v>
      </c>
      <c r="W315" s="55">
        <f>SUBTOTAL(9,W316:W331)</f>
        <v>0</v>
      </c>
      <c r="X315" s="170"/>
      <c r="Y315" s="745"/>
      <c r="Z315" s="55">
        <f>SUBTOTAL(9,Z316:Z331)</f>
        <v>0</v>
      </c>
      <c r="AA315" s="91"/>
      <c r="AB315" s="91"/>
      <c r="AC315" s="55">
        <f>SUBTOTAL(9,AC316:AC331)</f>
        <v>0</v>
      </c>
      <c r="AD315" s="91"/>
      <c r="AE315" s="91"/>
      <c r="AF315" s="55">
        <f>SUBTOTAL(9,AF316:AF331)</f>
        <v>0</v>
      </c>
      <c r="AG315" s="91"/>
      <c r="AH315" s="91"/>
      <c r="AI315" s="170"/>
    </row>
    <row r="316" spans="1:35" ht="15" hidden="1" customHeight="1" outlineLevel="4">
      <c r="A316" s="93">
        <v>213265</v>
      </c>
      <c r="B316" s="93">
        <v>3482</v>
      </c>
      <c r="C316" s="93"/>
      <c r="D316" s="93"/>
      <c r="E316" s="93" t="s">
        <v>2923</v>
      </c>
      <c r="F316" s="93" t="s">
        <v>5167</v>
      </c>
      <c r="G316" s="37" t="s">
        <v>203</v>
      </c>
      <c r="H316" s="583">
        <f>IFERROR(VLOOKUP(A316,'Colar QL'!A:C,3,0),0)</f>
        <v>0</v>
      </c>
      <c r="I316" s="69">
        <f t="shared" si="97"/>
        <v>0</v>
      </c>
      <c r="J316" s="258">
        <f>'BD Temp'!E430</f>
        <v>0</v>
      </c>
      <c r="K316" s="590" t="str">
        <f t="shared" ref="K316:K331" si="116">F316&amp;L316</f>
        <v>47.0284.1.2.17.00.01.039.01.06.28.1</v>
      </c>
      <c r="L316" s="579" t="s">
        <v>1996</v>
      </c>
      <c r="M316" s="256" t="str">
        <f>'BD Temp'!F430</f>
        <v>-</v>
      </c>
      <c r="N316" s="255">
        <f>'BD Temp'!J430</f>
        <v>0</v>
      </c>
      <c r="O316" s="592" t="str">
        <f t="shared" ref="O316:O331" si="117">F316&amp;P316</f>
        <v>47.0284.1.2.17.00.01.039.01.06.28.2</v>
      </c>
      <c r="P316" s="578" t="s">
        <v>1998</v>
      </c>
      <c r="Q316" s="256" t="str">
        <f>'BD Temp'!K430</f>
        <v>-</v>
      </c>
      <c r="R316" s="255">
        <f>'BD Temp'!O430</f>
        <v>0</v>
      </c>
      <c r="S316" s="592" t="str">
        <f t="shared" ref="S316:S331" si="118">F316&amp;T316</f>
        <v>47.0284.1.2.17.00.01.039.01.06.28.3</v>
      </c>
      <c r="T316" s="578" t="s">
        <v>2000</v>
      </c>
      <c r="U316" s="256" t="str">
        <f>'BD Temp'!P430</f>
        <v>-</v>
      </c>
      <c r="V316" s="764"/>
      <c r="W316" s="764"/>
      <c r="X316" s="158"/>
      <c r="Y316" s="745"/>
      <c r="Z316" s="741">
        <v>0</v>
      </c>
      <c r="AA316" s="592" t="str">
        <f t="shared" ref="AA316:AA331" si="119">F316&amp;AB316</f>
        <v>47.0284.1.2.17.00.01.039.01.06.28.1</v>
      </c>
      <c r="AB316" s="739" t="s">
        <v>1996</v>
      </c>
      <c r="AC316" s="738">
        <v>0</v>
      </c>
      <c r="AD316" s="592" t="str">
        <f t="shared" ref="AD316:AD331" si="120">F316&amp;AE316</f>
        <v>47.0284.1.2.17.00.01.039.01.06.28.2</v>
      </c>
      <c r="AE316" s="739" t="s">
        <v>1998</v>
      </c>
      <c r="AF316" s="738">
        <v>0</v>
      </c>
      <c r="AG316" s="592" t="str">
        <f t="shared" ref="AG316:AG331" si="121">F316&amp;AH316</f>
        <v>47.0284.1.2.17.00.01.039.01.06.28.3</v>
      </c>
      <c r="AH316" s="739" t="s">
        <v>2000</v>
      </c>
      <c r="AI316" s="158"/>
    </row>
    <row r="317" spans="1:35" ht="15" hidden="1" customHeight="1" outlineLevel="4">
      <c r="A317" s="93">
        <v>213270</v>
      </c>
      <c r="B317" s="93">
        <v>3482</v>
      </c>
      <c r="C317" s="93"/>
      <c r="D317" s="93"/>
      <c r="E317" s="93" t="s">
        <v>2923</v>
      </c>
      <c r="F317" s="93" t="s">
        <v>5167</v>
      </c>
      <c r="G317" s="37" t="s">
        <v>73</v>
      </c>
      <c r="H317" s="583">
        <f>IFERROR(VLOOKUP(A317,'Colar QL'!A:C,3,0),0)</f>
        <v>0</v>
      </c>
      <c r="I317" s="69">
        <f t="shared" si="97"/>
        <v>0</v>
      </c>
      <c r="J317" s="258">
        <f>'BD Temp'!E431</f>
        <v>0</v>
      </c>
      <c r="K317" s="590" t="str">
        <f t="shared" si="116"/>
        <v>47.0284.1.2.17.00.01.039.01.06.28.1</v>
      </c>
      <c r="L317" s="579" t="s">
        <v>1996</v>
      </c>
      <c r="M317" s="256" t="str">
        <f>'BD Temp'!F431</f>
        <v>-</v>
      </c>
      <c r="N317" s="255">
        <f>'BD Temp'!J431</f>
        <v>0</v>
      </c>
      <c r="O317" s="592" t="str">
        <f t="shared" si="117"/>
        <v>47.0284.1.2.17.00.01.039.01.06.28.2</v>
      </c>
      <c r="P317" s="578" t="s">
        <v>1998</v>
      </c>
      <c r="Q317" s="256" t="str">
        <f>'BD Temp'!K431</f>
        <v>-</v>
      </c>
      <c r="R317" s="255">
        <f>'BD Temp'!O431</f>
        <v>0</v>
      </c>
      <c r="S317" s="592" t="str">
        <f t="shared" si="118"/>
        <v>47.0284.1.2.17.00.01.039.01.06.28.3</v>
      </c>
      <c r="T317" s="578" t="s">
        <v>2000</v>
      </c>
      <c r="U317" s="256" t="str">
        <f>'BD Temp'!P431</f>
        <v>-</v>
      </c>
      <c r="V317" s="764"/>
      <c r="W317" s="764"/>
      <c r="X317" s="158"/>
      <c r="Y317" s="745"/>
      <c r="Z317" s="741">
        <v>0</v>
      </c>
      <c r="AA317" s="592" t="str">
        <f t="shared" si="119"/>
        <v>47.0284.1.2.17.00.01.039.01.06.28.1</v>
      </c>
      <c r="AB317" s="739" t="s">
        <v>1996</v>
      </c>
      <c r="AC317" s="738">
        <v>0</v>
      </c>
      <c r="AD317" s="592" t="str">
        <f t="shared" si="120"/>
        <v>47.0284.1.2.17.00.01.039.01.06.28.2</v>
      </c>
      <c r="AE317" s="739" t="s">
        <v>1998</v>
      </c>
      <c r="AF317" s="738">
        <v>0</v>
      </c>
      <c r="AG317" s="592" t="str">
        <f t="shared" si="121"/>
        <v>47.0284.1.2.17.00.01.039.01.06.28.3</v>
      </c>
      <c r="AH317" s="739" t="s">
        <v>2000</v>
      </c>
      <c r="AI317" s="158"/>
    </row>
    <row r="318" spans="1:35" ht="15" hidden="1" customHeight="1" outlineLevel="4">
      <c r="A318" s="93">
        <v>213275</v>
      </c>
      <c r="B318" s="93">
        <v>3482</v>
      </c>
      <c r="C318" s="93"/>
      <c r="D318" s="93"/>
      <c r="E318" s="93" t="s">
        <v>2923</v>
      </c>
      <c r="F318" s="93" t="s">
        <v>5167</v>
      </c>
      <c r="G318" s="37" t="s">
        <v>74</v>
      </c>
      <c r="H318" s="583">
        <f>IFERROR(VLOOKUP(A318,'Colar QL'!A:C,3,0),0)</f>
        <v>0</v>
      </c>
      <c r="I318" s="69">
        <f t="shared" si="97"/>
        <v>0</v>
      </c>
      <c r="J318" s="258">
        <f>'BD Temp'!E432</f>
        <v>0</v>
      </c>
      <c r="K318" s="590" t="str">
        <f t="shared" si="116"/>
        <v>47.0284.1.2.17.00.01.039.01.06.28.1</v>
      </c>
      <c r="L318" s="579" t="s">
        <v>1996</v>
      </c>
      <c r="M318" s="256" t="str">
        <f>'BD Temp'!F432</f>
        <v>-</v>
      </c>
      <c r="N318" s="255">
        <f>'BD Temp'!J432</f>
        <v>0</v>
      </c>
      <c r="O318" s="592" t="str">
        <f t="shared" si="117"/>
        <v>47.0284.1.2.17.00.01.039.01.06.28.2</v>
      </c>
      <c r="P318" s="578" t="s">
        <v>1998</v>
      </c>
      <c r="Q318" s="256" t="str">
        <f>'BD Temp'!K432</f>
        <v>-</v>
      </c>
      <c r="R318" s="255">
        <f>'BD Temp'!O432</f>
        <v>0</v>
      </c>
      <c r="S318" s="592" t="str">
        <f t="shared" si="118"/>
        <v>47.0284.1.2.17.00.01.039.01.06.28.3</v>
      </c>
      <c r="T318" s="578" t="s">
        <v>2000</v>
      </c>
      <c r="U318" s="256" t="str">
        <f>'BD Temp'!P432</f>
        <v>-</v>
      </c>
      <c r="V318" s="764"/>
      <c r="W318" s="764"/>
      <c r="X318" s="158"/>
      <c r="Y318" s="745"/>
      <c r="Z318" s="741">
        <v>0</v>
      </c>
      <c r="AA318" s="592" t="str">
        <f t="shared" si="119"/>
        <v>47.0284.1.2.17.00.01.039.01.06.28.1</v>
      </c>
      <c r="AB318" s="739" t="s">
        <v>1996</v>
      </c>
      <c r="AC318" s="738">
        <v>0</v>
      </c>
      <c r="AD318" s="592" t="str">
        <f t="shared" si="120"/>
        <v>47.0284.1.2.17.00.01.039.01.06.28.2</v>
      </c>
      <c r="AE318" s="739" t="s">
        <v>1998</v>
      </c>
      <c r="AF318" s="738">
        <v>0</v>
      </c>
      <c r="AG318" s="592" t="str">
        <f t="shared" si="121"/>
        <v>47.0284.1.2.17.00.01.039.01.06.28.3</v>
      </c>
      <c r="AH318" s="739" t="s">
        <v>2000</v>
      </c>
      <c r="AI318" s="158"/>
    </row>
    <row r="319" spans="1:35" ht="15" hidden="1" customHeight="1" outlineLevel="4">
      <c r="A319" s="93">
        <v>213280</v>
      </c>
      <c r="B319" s="93">
        <v>3482</v>
      </c>
      <c r="C319" s="93"/>
      <c r="D319" s="93"/>
      <c r="E319" s="93" t="s">
        <v>2923</v>
      </c>
      <c r="F319" s="93" t="s">
        <v>5167</v>
      </c>
      <c r="G319" s="37" t="s">
        <v>204</v>
      </c>
      <c r="H319" s="583">
        <f>IFERROR(VLOOKUP(A319,'Colar QL'!A:C,3,0),0)</f>
        <v>0</v>
      </c>
      <c r="I319" s="69">
        <f t="shared" si="97"/>
        <v>0</v>
      </c>
      <c r="J319" s="258">
        <f>'BD Temp'!E433</f>
        <v>0</v>
      </c>
      <c r="K319" s="590" t="str">
        <f t="shared" si="116"/>
        <v>47.0284.1.2.17.00.01.039.01.06.28.1</v>
      </c>
      <c r="L319" s="579" t="s">
        <v>1996</v>
      </c>
      <c r="M319" s="256" t="str">
        <f>'BD Temp'!F433</f>
        <v>-</v>
      </c>
      <c r="N319" s="255">
        <f>'BD Temp'!J433</f>
        <v>0</v>
      </c>
      <c r="O319" s="592" t="str">
        <f t="shared" si="117"/>
        <v>47.0284.1.2.17.00.01.039.01.06.28.2</v>
      </c>
      <c r="P319" s="578" t="s">
        <v>1998</v>
      </c>
      <c r="Q319" s="256" t="str">
        <f>'BD Temp'!K433</f>
        <v>-</v>
      </c>
      <c r="R319" s="255">
        <f>'BD Temp'!O433</f>
        <v>0</v>
      </c>
      <c r="S319" s="592" t="str">
        <f t="shared" si="118"/>
        <v>47.0284.1.2.17.00.01.039.01.06.28.3</v>
      </c>
      <c r="T319" s="578" t="s">
        <v>2000</v>
      </c>
      <c r="U319" s="256" t="str">
        <f>'BD Temp'!P433</f>
        <v>-</v>
      </c>
      <c r="V319" s="764"/>
      <c r="W319" s="764"/>
      <c r="X319" s="158"/>
      <c r="Y319" s="745"/>
      <c r="Z319" s="741">
        <v>0</v>
      </c>
      <c r="AA319" s="592" t="str">
        <f t="shared" si="119"/>
        <v>47.0284.1.2.17.00.01.039.01.06.28.1</v>
      </c>
      <c r="AB319" s="739" t="s">
        <v>1996</v>
      </c>
      <c r="AC319" s="738">
        <v>0</v>
      </c>
      <c r="AD319" s="592" t="str">
        <f t="shared" si="120"/>
        <v>47.0284.1.2.17.00.01.039.01.06.28.2</v>
      </c>
      <c r="AE319" s="739" t="s">
        <v>1998</v>
      </c>
      <c r="AF319" s="738">
        <v>0</v>
      </c>
      <c r="AG319" s="592" t="str">
        <f t="shared" si="121"/>
        <v>47.0284.1.2.17.00.01.039.01.06.28.3</v>
      </c>
      <c r="AH319" s="739" t="s">
        <v>2000</v>
      </c>
      <c r="AI319" s="158"/>
    </row>
    <row r="320" spans="1:35" ht="15" hidden="1" customHeight="1" outlineLevel="4">
      <c r="A320" s="93">
        <v>213225</v>
      </c>
      <c r="B320" s="93">
        <v>3483</v>
      </c>
      <c r="C320" s="93"/>
      <c r="D320" s="93"/>
      <c r="E320" s="93" t="s">
        <v>3073</v>
      </c>
      <c r="F320" s="93" t="s">
        <v>5168</v>
      </c>
      <c r="G320" s="37" t="s">
        <v>208</v>
      </c>
      <c r="H320" s="583">
        <f>IFERROR(VLOOKUP(A320,'Colar QL'!A:C,3,0),0)</f>
        <v>0</v>
      </c>
      <c r="I320" s="69">
        <f t="shared" si="97"/>
        <v>0</v>
      </c>
      <c r="J320" s="258">
        <f>'BD Temp'!E434</f>
        <v>0</v>
      </c>
      <c r="K320" s="590" t="str">
        <f t="shared" si="116"/>
        <v>47.0284.1.2.17.00.01.039.01.06.31.1</v>
      </c>
      <c r="L320" s="579" t="s">
        <v>1996</v>
      </c>
      <c r="M320" s="256" t="str">
        <f>'BD Temp'!F434</f>
        <v>-</v>
      </c>
      <c r="N320" s="255">
        <f>'BD Temp'!J434</f>
        <v>0</v>
      </c>
      <c r="O320" s="592" t="str">
        <f t="shared" si="117"/>
        <v>47.0284.1.2.17.00.01.039.01.06.31.2</v>
      </c>
      <c r="P320" s="578" t="s">
        <v>1998</v>
      </c>
      <c r="Q320" s="256" t="str">
        <f>'BD Temp'!K434</f>
        <v>-</v>
      </c>
      <c r="R320" s="255">
        <f>'BD Temp'!O434</f>
        <v>0</v>
      </c>
      <c r="S320" s="592" t="str">
        <f t="shared" si="118"/>
        <v>47.0284.1.2.17.00.01.039.01.06.31.3</v>
      </c>
      <c r="T320" s="578" t="s">
        <v>2000</v>
      </c>
      <c r="U320" s="256" t="str">
        <f>'BD Temp'!P434</f>
        <v>-</v>
      </c>
      <c r="V320" s="764"/>
      <c r="W320" s="764"/>
      <c r="X320" s="158"/>
      <c r="Y320" s="745"/>
      <c r="Z320" s="741">
        <v>0</v>
      </c>
      <c r="AA320" s="592" t="str">
        <f t="shared" si="119"/>
        <v>47.0284.1.2.17.00.01.039.01.06.31.1</v>
      </c>
      <c r="AB320" s="739" t="s">
        <v>1996</v>
      </c>
      <c r="AC320" s="738">
        <v>0</v>
      </c>
      <c r="AD320" s="592" t="str">
        <f t="shared" si="120"/>
        <v>47.0284.1.2.17.00.01.039.01.06.31.2</v>
      </c>
      <c r="AE320" s="739" t="s">
        <v>1998</v>
      </c>
      <c r="AF320" s="738">
        <v>0</v>
      </c>
      <c r="AG320" s="592" t="str">
        <f t="shared" si="121"/>
        <v>47.0284.1.2.17.00.01.039.01.06.31.3</v>
      </c>
      <c r="AH320" s="739" t="s">
        <v>2000</v>
      </c>
      <c r="AI320" s="158"/>
    </row>
    <row r="321" spans="1:35" ht="15" hidden="1" customHeight="1" outlineLevel="4">
      <c r="A321" s="93">
        <v>213230</v>
      </c>
      <c r="B321" s="93">
        <v>3483</v>
      </c>
      <c r="C321" s="93"/>
      <c r="D321" s="93"/>
      <c r="E321" s="93" t="s">
        <v>3073</v>
      </c>
      <c r="F321" s="93" t="s">
        <v>5168</v>
      </c>
      <c r="G321" s="37" t="s">
        <v>209</v>
      </c>
      <c r="H321" s="583">
        <f>IFERROR(VLOOKUP(A321,'Colar QL'!A:C,3,0),0)</f>
        <v>0</v>
      </c>
      <c r="I321" s="69">
        <f t="shared" si="97"/>
        <v>0</v>
      </c>
      <c r="J321" s="258">
        <f>'BD Temp'!E435</f>
        <v>0</v>
      </c>
      <c r="K321" s="590" t="str">
        <f t="shared" si="116"/>
        <v>47.0284.1.2.17.00.01.039.01.06.31.1</v>
      </c>
      <c r="L321" s="579" t="s">
        <v>1996</v>
      </c>
      <c r="M321" s="256" t="str">
        <f>'BD Temp'!F435</f>
        <v>-</v>
      </c>
      <c r="N321" s="255">
        <f>'BD Temp'!J435</f>
        <v>0</v>
      </c>
      <c r="O321" s="592" t="str">
        <f t="shared" si="117"/>
        <v>47.0284.1.2.17.00.01.039.01.06.31.2</v>
      </c>
      <c r="P321" s="578" t="s">
        <v>1998</v>
      </c>
      <c r="Q321" s="256" t="str">
        <f>'BD Temp'!K435</f>
        <v>-</v>
      </c>
      <c r="R321" s="255">
        <f>'BD Temp'!O435</f>
        <v>0</v>
      </c>
      <c r="S321" s="592" t="str">
        <f t="shared" si="118"/>
        <v>47.0284.1.2.17.00.01.039.01.06.31.3</v>
      </c>
      <c r="T321" s="578" t="s">
        <v>2000</v>
      </c>
      <c r="U321" s="256" t="str">
        <f>'BD Temp'!P435</f>
        <v>-</v>
      </c>
      <c r="V321" s="764"/>
      <c r="W321" s="764"/>
      <c r="X321" s="158"/>
      <c r="Y321" s="745"/>
      <c r="Z321" s="741">
        <v>0</v>
      </c>
      <c r="AA321" s="592" t="str">
        <f t="shared" si="119"/>
        <v>47.0284.1.2.17.00.01.039.01.06.31.1</v>
      </c>
      <c r="AB321" s="739" t="s">
        <v>1996</v>
      </c>
      <c r="AC321" s="738">
        <v>0</v>
      </c>
      <c r="AD321" s="592" t="str">
        <f t="shared" si="120"/>
        <v>47.0284.1.2.17.00.01.039.01.06.31.2</v>
      </c>
      <c r="AE321" s="739" t="s">
        <v>1998</v>
      </c>
      <c r="AF321" s="738">
        <v>0</v>
      </c>
      <c r="AG321" s="592" t="str">
        <f t="shared" si="121"/>
        <v>47.0284.1.2.17.00.01.039.01.06.31.3</v>
      </c>
      <c r="AH321" s="739" t="s">
        <v>2000</v>
      </c>
      <c r="AI321" s="158"/>
    </row>
    <row r="322" spans="1:35" ht="15" hidden="1" customHeight="1" outlineLevel="4">
      <c r="A322" s="93">
        <v>213235</v>
      </c>
      <c r="B322" s="93">
        <v>3483</v>
      </c>
      <c r="C322" s="93"/>
      <c r="D322" s="93"/>
      <c r="E322" s="93" t="s">
        <v>3073</v>
      </c>
      <c r="F322" s="93" t="s">
        <v>5168</v>
      </c>
      <c r="G322" s="37" t="s">
        <v>210</v>
      </c>
      <c r="H322" s="583">
        <f>IFERROR(VLOOKUP(A322,'Colar QL'!A:C,3,0),0)</f>
        <v>0</v>
      </c>
      <c r="I322" s="69">
        <f t="shared" si="97"/>
        <v>0</v>
      </c>
      <c r="J322" s="258">
        <f>'BD Temp'!E436</f>
        <v>0</v>
      </c>
      <c r="K322" s="590" t="str">
        <f t="shared" si="116"/>
        <v>47.0284.1.2.17.00.01.039.01.06.31.1</v>
      </c>
      <c r="L322" s="579" t="s">
        <v>1996</v>
      </c>
      <c r="M322" s="256" t="str">
        <f>'BD Temp'!F436</f>
        <v>-</v>
      </c>
      <c r="N322" s="255">
        <f>'BD Temp'!J436</f>
        <v>0</v>
      </c>
      <c r="O322" s="592" t="str">
        <f t="shared" si="117"/>
        <v>47.0284.1.2.17.00.01.039.01.06.31.2</v>
      </c>
      <c r="P322" s="578" t="s">
        <v>1998</v>
      </c>
      <c r="Q322" s="256" t="str">
        <f>'BD Temp'!K436</f>
        <v>-</v>
      </c>
      <c r="R322" s="255">
        <f>'BD Temp'!O436</f>
        <v>0</v>
      </c>
      <c r="S322" s="592" t="str">
        <f t="shared" si="118"/>
        <v>47.0284.1.2.17.00.01.039.01.06.31.3</v>
      </c>
      <c r="T322" s="578" t="s">
        <v>2000</v>
      </c>
      <c r="U322" s="256" t="str">
        <f>'BD Temp'!P436</f>
        <v>-</v>
      </c>
      <c r="V322" s="764"/>
      <c r="W322" s="764"/>
      <c r="X322" s="158"/>
      <c r="Y322" s="745"/>
      <c r="Z322" s="741">
        <v>0</v>
      </c>
      <c r="AA322" s="592" t="str">
        <f t="shared" si="119"/>
        <v>47.0284.1.2.17.00.01.039.01.06.31.1</v>
      </c>
      <c r="AB322" s="739" t="s">
        <v>1996</v>
      </c>
      <c r="AC322" s="738">
        <v>0</v>
      </c>
      <c r="AD322" s="592" t="str">
        <f t="shared" si="120"/>
        <v>47.0284.1.2.17.00.01.039.01.06.31.2</v>
      </c>
      <c r="AE322" s="739" t="s">
        <v>1998</v>
      </c>
      <c r="AF322" s="738">
        <v>0</v>
      </c>
      <c r="AG322" s="592" t="str">
        <f t="shared" si="121"/>
        <v>47.0284.1.2.17.00.01.039.01.06.31.3</v>
      </c>
      <c r="AH322" s="739" t="s">
        <v>2000</v>
      </c>
      <c r="AI322" s="158"/>
    </row>
    <row r="323" spans="1:35" ht="15" hidden="1" customHeight="1" outlineLevel="4">
      <c r="A323" s="93">
        <v>213240</v>
      </c>
      <c r="B323" s="93">
        <v>3483</v>
      </c>
      <c r="C323" s="93"/>
      <c r="D323" s="93"/>
      <c r="E323" s="93" t="s">
        <v>3073</v>
      </c>
      <c r="F323" s="93" t="s">
        <v>5168</v>
      </c>
      <c r="G323" s="37" t="s">
        <v>239</v>
      </c>
      <c r="H323" s="583">
        <f>IFERROR(VLOOKUP(A323,'Colar QL'!A:C,3,0),0)</f>
        <v>0</v>
      </c>
      <c r="I323" s="69">
        <f t="shared" si="97"/>
        <v>0</v>
      </c>
      <c r="J323" s="258">
        <f>'BD Temp'!E437</f>
        <v>0</v>
      </c>
      <c r="K323" s="590" t="str">
        <f t="shared" si="116"/>
        <v>47.0284.1.2.17.00.01.039.01.06.31.1</v>
      </c>
      <c r="L323" s="579" t="s">
        <v>1996</v>
      </c>
      <c r="M323" s="256" t="str">
        <f>'BD Temp'!F437</f>
        <v>-</v>
      </c>
      <c r="N323" s="255">
        <f>'BD Temp'!J437</f>
        <v>0</v>
      </c>
      <c r="O323" s="592" t="str">
        <f t="shared" si="117"/>
        <v>47.0284.1.2.17.00.01.039.01.06.31.2</v>
      </c>
      <c r="P323" s="578" t="s">
        <v>1998</v>
      </c>
      <c r="Q323" s="256" t="str">
        <f>'BD Temp'!K437</f>
        <v>-</v>
      </c>
      <c r="R323" s="255">
        <f>'BD Temp'!O437</f>
        <v>0</v>
      </c>
      <c r="S323" s="592" t="str">
        <f t="shared" si="118"/>
        <v>47.0284.1.2.17.00.01.039.01.06.31.3</v>
      </c>
      <c r="T323" s="578" t="s">
        <v>2000</v>
      </c>
      <c r="U323" s="256" t="str">
        <f>'BD Temp'!P437</f>
        <v>-</v>
      </c>
      <c r="V323" s="764"/>
      <c r="W323" s="764"/>
      <c r="X323" s="158"/>
      <c r="Y323" s="745"/>
      <c r="Z323" s="741">
        <v>0</v>
      </c>
      <c r="AA323" s="592" t="str">
        <f t="shared" si="119"/>
        <v>47.0284.1.2.17.00.01.039.01.06.31.1</v>
      </c>
      <c r="AB323" s="739" t="s">
        <v>1996</v>
      </c>
      <c r="AC323" s="738">
        <v>0</v>
      </c>
      <c r="AD323" s="592" t="str">
        <f t="shared" si="120"/>
        <v>47.0284.1.2.17.00.01.039.01.06.31.2</v>
      </c>
      <c r="AE323" s="739" t="s">
        <v>1998</v>
      </c>
      <c r="AF323" s="738">
        <v>0</v>
      </c>
      <c r="AG323" s="592" t="str">
        <f t="shared" si="121"/>
        <v>47.0284.1.2.17.00.01.039.01.06.31.3</v>
      </c>
      <c r="AH323" s="739" t="s">
        <v>2000</v>
      </c>
      <c r="AI323" s="158"/>
    </row>
    <row r="324" spans="1:35" ht="15" hidden="1" customHeight="1" outlineLevel="4">
      <c r="A324" s="93"/>
      <c r="B324" s="93" t="s">
        <v>1075</v>
      </c>
      <c r="C324" s="93"/>
      <c r="D324" s="93"/>
      <c r="E324" s="93"/>
      <c r="F324" s="93" t="s">
        <v>1075</v>
      </c>
      <c r="G324" s="37"/>
      <c r="H324" s="79"/>
      <c r="I324" s="69">
        <f t="shared" si="97"/>
        <v>0</v>
      </c>
      <c r="J324" s="48"/>
      <c r="K324" s="590" t="str">
        <f t="shared" si="116"/>
        <v>.1</v>
      </c>
      <c r="L324" s="579" t="s">
        <v>1996</v>
      </c>
      <c r="M324" s="74"/>
      <c r="N324" s="49"/>
      <c r="O324" s="592" t="str">
        <f t="shared" si="117"/>
        <v>.2</v>
      </c>
      <c r="P324" s="578" t="s">
        <v>1998</v>
      </c>
      <c r="Q324" s="74"/>
      <c r="R324" s="49"/>
      <c r="S324" s="592" t="str">
        <f t="shared" si="118"/>
        <v>.3</v>
      </c>
      <c r="T324" s="578" t="s">
        <v>2000</v>
      </c>
      <c r="U324" s="74"/>
      <c r="V324" s="764"/>
      <c r="W324" s="764"/>
      <c r="X324" s="158"/>
      <c r="Y324" s="745"/>
      <c r="Z324" s="741">
        <v>0</v>
      </c>
      <c r="AA324" s="592" t="str">
        <f t="shared" si="119"/>
        <v>.1</v>
      </c>
      <c r="AB324" s="739" t="s">
        <v>1996</v>
      </c>
      <c r="AC324" s="738">
        <v>0</v>
      </c>
      <c r="AD324" s="592" t="str">
        <f t="shared" si="120"/>
        <v>.2</v>
      </c>
      <c r="AE324" s="739" t="s">
        <v>1998</v>
      </c>
      <c r="AF324" s="738">
        <v>0</v>
      </c>
      <c r="AG324" s="592" t="str">
        <f t="shared" si="121"/>
        <v>.3</v>
      </c>
      <c r="AH324" s="739" t="s">
        <v>2000</v>
      </c>
      <c r="AI324" s="158"/>
    </row>
    <row r="325" spans="1:35" ht="15" hidden="1" customHeight="1" outlineLevel="4">
      <c r="A325" s="99"/>
      <c r="B325" s="99" t="s">
        <v>1075</v>
      </c>
      <c r="C325" s="99"/>
      <c r="D325" s="99"/>
      <c r="E325" s="99"/>
      <c r="F325" s="99" t="s">
        <v>1075</v>
      </c>
      <c r="G325" s="39" t="s">
        <v>723</v>
      </c>
      <c r="H325" s="79"/>
      <c r="I325" s="69">
        <f t="shared" si="97"/>
        <v>0</v>
      </c>
      <c r="J325" s="48"/>
      <c r="K325" s="590" t="str">
        <f t="shared" si="116"/>
        <v>.1</v>
      </c>
      <c r="L325" s="579" t="s">
        <v>1996</v>
      </c>
      <c r="M325" s="74"/>
      <c r="N325" s="49"/>
      <c r="O325" s="592" t="str">
        <f t="shared" si="117"/>
        <v>.2</v>
      </c>
      <c r="P325" s="578" t="s">
        <v>1998</v>
      </c>
      <c r="Q325" s="74"/>
      <c r="R325" s="49"/>
      <c r="S325" s="592" t="str">
        <f t="shared" si="118"/>
        <v>.3</v>
      </c>
      <c r="T325" s="578" t="s">
        <v>2000</v>
      </c>
      <c r="U325" s="74"/>
      <c r="V325" s="764"/>
      <c r="W325" s="764"/>
      <c r="X325" s="158"/>
      <c r="Y325" s="745"/>
      <c r="Z325" s="741">
        <v>0</v>
      </c>
      <c r="AA325" s="592" t="str">
        <f t="shared" si="119"/>
        <v>.1</v>
      </c>
      <c r="AB325" s="739" t="s">
        <v>1996</v>
      </c>
      <c r="AC325" s="738">
        <v>0</v>
      </c>
      <c r="AD325" s="592" t="str">
        <f t="shared" si="120"/>
        <v>.2</v>
      </c>
      <c r="AE325" s="739" t="s">
        <v>1998</v>
      </c>
      <c r="AF325" s="738">
        <v>0</v>
      </c>
      <c r="AG325" s="592" t="str">
        <f t="shared" si="121"/>
        <v>.3</v>
      </c>
      <c r="AH325" s="739" t="s">
        <v>2000</v>
      </c>
      <c r="AI325" s="158"/>
    </row>
    <row r="326" spans="1:35" ht="15" hidden="1" customHeight="1" outlineLevel="4">
      <c r="A326" s="93"/>
      <c r="B326" s="93" t="s">
        <v>1075</v>
      </c>
      <c r="C326" s="93"/>
      <c r="D326" s="93"/>
      <c r="E326" s="93"/>
      <c r="F326" s="93" t="s">
        <v>1075</v>
      </c>
      <c r="G326" s="37"/>
      <c r="H326" s="79"/>
      <c r="I326" s="69">
        <f t="shared" si="97"/>
        <v>0</v>
      </c>
      <c r="J326" s="48"/>
      <c r="K326" s="590" t="str">
        <f t="shared" si="116"/>
        <v>.1</v>
      </c>
      <c r="L326" s="579" t="s">
        <v>1996</v>
      </c>
      <c r="M326" s="74"/>
      <c r="N326" s="49"/>
      <c r="O326" s="592" t="str">
        <f t="shared" si="117"/>
        <v>.2</v>
      </c>
      <c r="P326" s="578" t="s">
        <v>1998</v>
      </c>
      <c r="Q326" s="74"/>
      <c r="R326" s="49"/>
      <c r="S326" s="592" t="str">
        <f t="shared" si="118"/>
        <v>.3</v>
      </c>
      <c r="T326" s="578" t="s">
        <v>2000</v>
      </c>
      <c r="U326" s="74"/>
      <c r="V326" s="764"/>
      <c r="W326" s="764"/>
      <c r="X326" s="158"/>
      <c r="Y326" s="745"/>
      <c r="Z326" s="741">
        <v>0</v>
      </c>
      <c r="AA326" s="592" t="str">
        <f t="shared" si="119"/>
        <v>.1</v>
      </c>
      <c r="AB326" s="739" t="s">
        <v>1996</v>
      </c>
      <c r="AC326" s="738">
        <v>0</v>
      </c>
      <c r="AD326" s="592" t="str">
        <f t="shared" si="120"/>
        <v>.2</v>
      </c>
      <c r="AE326" s="739" t="s">
        <v>1998</v>
      </c>
      <c r="AF326" s="738">
        <v>0</v>
      </c>
      <c r="AG326" s="592" t="str">
        <f t="shared" si="121"/>
        <v>.3</v>
      </c>
      <c r="AH326" s="739" t="s">
        <v>2000</v>
      </c>
      <c r="AI326" s="158"/>
    </row>
    <row r="327" spans="1:35" ht="15" hidden="1" customHeight="1" outlineLevel="4">
      <c r="A327" s="93"/>
      <c r="B327" s="93" t="s">
        <v>1075</v>
      </c>
      <c r="C327" s="93"/>
      <c r="D327" s="93"/>
      <c r="E327" s="93"/>
      <c r="F327" s="93" t="s">
        <v>1075</v>
      </c>
      <c r="G327" s="37"/>
      <c r="H327" s="79"/>
      <c r="I327" s="69">
        <f t="shared" si="97"/>
        <v>0</v>
      </c>
      <c r="J327" s="48"/>
      <c r="K327" s="590" t="str">
        <f t="shared" si="116"/>
        <v>.1</v>
      </c>
      <c r="L327" s="579" t="s">
        <v>1996</v>
      </c>
      <c r="M327" s="74"/>
      <c r="N327" s="49"/>
      <c r="O327" s="592" t="str">
        <f t="shared" si="117"/>
        <v>.2</v>
      </c>
      <c r="P327" s="578" t="s">
        <v>1998</v>
      </c>
      <c r="Q327" s="74"/>
      <c r="R327" s="49"/>
      <c r="S327" s="592" t="str">
        <f t="shared" si="118"/>
        <v>.3</v>
      </c>
      <c r="T327" s="578" t="s">
        <v>2000</v>
      </c>
      <c r="U327" s="74"/>
      <c r="V327" s="764"/>
      <c r="W327" s="764"/>
      <c r="X327" s="158"/>
      <c r="Y327" s="745"/>
      <c r="Z327" s="741">
        <v>0</v>
      </c>
      <c r="AA327" s="592" t="str">
        <f t="shared" si="119"/>
        <v>.1</v>
      </c>
      <c r="AB327" s="739" t="s">
        <v>1996</v>
      </c>
      <c r="AC327" s="738">
        <v>0</v>
      </c>
      <c r="AD327" s="592" t="str">
        <f t="shared" si="120"/>
        <v>.2</v>
      </c>
      <c r="AE327" s="739" t="s">
        <v>1998</v>
      </c>
      <c r="AF327" s="738">
        <v>0</v>
      </c>
      <c r="AG327" s="592" t="str">
        <f t="shared" si="121"/>
        <v>.3</v>
      </c>
      <c r="AH327" s="739" t="s">
        <v>2000</v>
      </c>
      <c r="AI327" s="158"/>
    </row>
    <row r="328" spans="1:35" ht="15" hidden="1" customHeight="1" outlineLevel="4">
      <c r="A328" s="93"/>
      <c r="B328" s="93" t="s">
        <v>1075</v>
      </c>
      <c r="C328" s="93"/>
      <c r="D328" s="93"/>
      <c r="E328" s="93"/>
      <c r="F328" s="93" t="s">
        <v>1075</v>
      </c>
      <c r="G328" s="37"/>
      <c r="H328" s="79"/>
      <c r="I328" s="69">
        <f t="shared" si="97"/>
        <v>0</v>
      </c>
      <c r="J328" s="48"/>
      <c r="K328" s="590" t="str">
        <f t="shared" si="116"/>
        <v>.1</v>
      </c>
      <c r="L328" s="579" t="s">
        <v>1996</v>
      </c>
      <c r="M328" s="74"/>
      <c r="N328" s="49"/>
      <c r="O328" s="592" t="str">
        <f t="shared" si="117"/>
        <v>.2</v>
      </c>
      <c r="P328" s="578" t="s">
        <v>1998</v>
      </c>
      <c r="Q328" s="74"/>
      <c r="R328" s="49"/>
      <c r="S328" s="592" t="str">
        <f t="shared" si="118"/>
        <v>.3</v>
      </c>
      <c r="T328" s="578" t="s">
        <v>2000</v>
      </c>
      <c r="U328" s="74"/>
      <c r="V328" s="764"/>
      <c r="W328" s="764"/>
      <c r="X328" s="158"/>
      <c r="Y328" s="745"/>
      <c r="Z328" s="741">
        <v>0</v>
      </c>
      <c r="AA328" s="592" t="str">
        <f t="shared" si="119"/>
        <v>.1</v>
      </c>
      <c r="AB328" s="739" t="s">
        <v>1996</v>
      </c>
      <c r="AC328" s="738">
        <v>0</v>
      </c>
      <c r="AD328" s="592" t="str">
        <f t="shared" si="120"/>
        <v>.2</v>
      </c>
      <c r="AE328" s="739" t="s">
        <v>1998</v>
      </c>
      <c r="AF328" s="738">
        <v>0</v>
      </c>
      <c r="AG328" s="592" t="str">
        <f t="shared" si="121"/>
        <v>.3</v>
      </c>
      <c r="AH328" s="739" t="s">
        <v>2000</v>
      </c>
      <c r="AI328" s="158"/>
    </row>
    <row r="329" spans="1:35" ht="15" hidden="1" customHeight="1" outlineLevel="4">
      <c r="A329" s="93"/>
      <c r="B329" s="93" t="s">
        <v>1075</v>
      </c>
      <c r="C329" s="93"/>
      <c r="D329" s="93"/>
      <c r="E329" s="93"/>
      <c r="F329" s="93" t="s">
        <v>1075</v>
      </c>
      <c r="G329" s="37"/>
      <c r="H329" s="79"/>
      <c r="I329" s="69">
        <f t="shared" si="97"/>
        <v>0</v>
      </c>
      <c r="J329" s="48"/>
      <c r="K329" s="590" t="str">
        <f t="shared" si="116"/>
        <v>.1</v>
      </c>
      <c r="L329" s="579" t="s">
        <v>1996</v>
      </c>
      <c r="M329" s="74"/>
      <c r="N329" s="49"/>
      <c r="O329" s="592" t="str">
        <f t="shared" si="117"/>
        <v>.2</v>
      </c>
      <c r="P329" s="578" t="s">
        <v>1998</v>
      </c>
      <c r="Q329" s="74"/>
      <c r="R329" s="49"/>
      <c r="S329" s="592" t="str">
        <f t="shared" si="118"/>
        <v>.3</v>
      </c>
      <c r="T329" s="578" t="s">
        <v>2000</v>
      </c>
      <c r="U329" s="74"/>
      <c r="V329" s="764"/>
      <c r="W329" s="764"/>
      <c r="X329" s="158"/>
      <c r="Y329" s="745"/>
      <c r="Z329" s="741">
        <v>0</v>
      </c>
      <c r="AA329" s="592" t="str">
        <f t="shared" si="119"/>
        <v>.1</v>
      </c>
      <c r="AB329" s="739" t="s">
        <v>1996</v>
      </c>
      <c r="AC329" s="738">
        <v>0</v>
      </c>
      <c r="AD329" s="592" t="str">
        <f t="shared" si="120"/>
        <v>.2</v>
      </c>
      <c r="AE329" s="739" t="s">
        <v>1998</v>
      </c>
      <c r="AF329" s="738">
        <v>0</v>
      </c>
      <c r="AG329" s="592" t="str">
        <f t="shared" si="121"/>
        <v>.3</v>
      </c>
      <c r="AH329" s="739" t="s">
        <v>2000</v>
      </c>
      <c r="AI329" s="158"/>
    </row>
    <row r="330" spans="1:35" ht="15" hidden="1" customHeight="1" outlineLevel="4">
      <c r="A330" s="93"/>
      <c r="B330" s="93" t="s">
        <v>1075</v>
      </c>
      <c r="C330" s="93"/>
      <c r="D330" s="93"/>
      <c r="E330" s="93"/>
      <c r="F330" s="93" t="s">
        <v>1075</v>
      </c>
      <c r="G330" s="37"/>
      <c r="H330" s="79"/>
      <c r="I330" s="69">
        <f t="shared" si="97"/>
        <v>0</v>
      </c>
      <c r="J330" s="48"/>
      <c r="K330" s="590" t="str">
        <f t="shared" si="116"/>
        <v>.1</v>
      </c>
      <c r="L330" s="579" t="s">
        <v>1996</v>
      </c>
      <c r="M330" s="74"/>
      <c r="N330" s="49"/>
      <c r="O330" s="592" t="str">
        <f t="shared" si="117"/>
        <v>.2</v>
      </c>
      <c r="P330" s="578" t="s">
        <v>1998</v>
      </c>
      <c r="Q330" s="74"/>
      <c r="R330" s="49"/>
      <c r="S330" s="592" t="str">
        <f t="shared" si="118"/>
        <v>.3</v>
      </c>
      <c r="T330" s="578" t="s">
        <v>2000</v>
      </c>
      <c r="U330" s="74"/>
      <c r="V330" s="764"/>
      <c r="W330" s="764"/>
      <c r="X330" s="158"/>
      <c r="Y330" s="745"/>
      <c r="Z330" s="741">
        <v>0</v>
      </c>
      <c r="AA330" s="592" t="str">
        <f t="shared" si="119"/>
        <v>.1</v>
      </c>
      <c r="AB330" s="739" t="s">
        <v>1996</v>
      </c>
      <c r="AC330" s="738">
        <v>0</v>
      </c>
      <c r="AD330" s="592" t="str">
        <f t="shared" si="120"/>
        <v>.2</v>
      </c>
      <c r="AE330" s="739" t="s">
        <v>1998</v>
      </c>
      <c r="AF330" s="738">
        <v>0</v>
      </c>
      <c r="AG330" s="592" t="str">
        <f t="shared" si="121"/>
        <v>.3</v>
      </c>
      <c r="AH330" s="739" t="s">
        <v>2000</v>
      </c>
      <c r="AI330" s="158"/>
    </row>
    <row r="331" spans="1:35" ht="15" hidden="1" customHeight="1" outlineLevel="4">
      <c r="A331" s="93"/>
      <c r="B331" s="93" t="s">
        <v>1075</v>
      </c>
      <c r="C331" s="93"/>
      <c r="D331" s="93"/>
      <c r="E331" s="93"/>
      <c r="F331" s="93" t="s">
        <v>1075</v>
      </c>
      <c r="G331" s="37"/>
      <c r="H331" s="79"/>
      <c r="I331" s="69">
        <f t="shared" si="97"/>
        <v>0</v>
      </c>
      <c r="J331" s="48"/>
      <c r="K331" s="590" t="str">
        <f t="shared" si="116"/>
        <v>.1</v>
      </c>
      <c r="L331" s="579" t="s">
        <v>1996</v>
      </c>
      <c r="M331" s="74"/>
      <c r="N331" s="49"/>
      <c r="O331" s="592" t="str">
        <f t="shared" si="117"/>
        <v>.2</v>
      </c>
      <c r="P331" s="578" t="s">
        <v>1998</v>
      </c>
      <c r="Q331" s="74"/>
      <c r="R331" s="49"/>
      <c r="S331" s="592" t="str">
        <f t="shared" si="118"/>
        <v>.3</v>
      </c>
      <c r="T331" s="578" t="s">
        <v>2000</v>
      </c>
      <c r="U331" s="74"/>
      <c r="V331" s="764"/>
      <c r="W331" s="764"/>
      <c r="X331" s="158"/>
      <c r="Y331" s="745"/>
      <c r="Z331" s="741">
        <v>0</v>
      </c>
      <c r="AA331" s="592" t="str">
        <f t="shared" si="119"/>
        <v>.1</v>
      </c>
      <c r="AB331" s="739" t="s">
        <v>1996</v>
      </c>
      <c r="AC331" s="738">
        <v>0</v>
      </c>
      <c r="AD331" s="592" t="str">
        <f t="shared" si="120"/>
        <v>.2</v>
      </c>
      <c r="AE331" s="739" t="s">
        <v>1998</v>
      </c>
      <c r="AF331" s="738">
        <v>0</v>
      </c>
      <c r="AG331" s="592" t="str">
        <f t="shared" si="121"/>
        <v>.3</v>
      </c>
      <c r="AH331" s="739" t="s">
        <v>2000</v>
      </c>
      <c r="AI331" s="158"/>
    </row>
    <row r="332" spans="1:35" ht="15" hidden="1" customHeight="1" outlineLevel="2">
      <c r="A332" s="97"/>
      <c r="B332" s="97" t="s">
        <v>1075</v>
      </c>
      <c r="C332" s="97"/>
      <c r="D332" s="97"/>
      <c r="E332" s="97"/>
      <c r="F332" s="97" t="s">
        <v>1075</v>
      </c>
      <c r="G332" s="40" t="s">
        <v>235</v>
      </c>
      <c r="H332" s="78">
        <f>SUBTOTAL(9,H333:H334)</f>
        <v>3</v>
      </c>
      <c r="I332" s="68">
        <f t="shared" si="97"/>
        <v>4</v>
      </c>
      <c r="J332" s="55">
        <f>SUBTOTAL(9,J333)</f>
        <v>4</v>
      </c>
      <c r="K332" s="55"/>
      <c r="L332" s="55"/>
      <c r="M332" s="84"/>
      <c r="N332" s="56">
        <f>SUBTOTAL(9,N333)</f>
        <v>0</v>
      </c>
      <c r="O332" s="84"/>
      <c r="P332" s="84"/>
      <c r="Q332" s="84"/>
      <c r="R332" s="56">
        <f>SUBTOTAL(9,R333)</f>
        <v>0</v>
      </c>
      <c r="S332" s="84"/>
      <c r="T332" s="84"/>
      <c r="U332" s="84"/>
      <c r="V332" s="56">
        <f>SUBTOTAL(9,V333)</f>
        <v>0</v>
      </c>
      <c r="W332" s="56">
        <f>SUBTOTAL(9,W333)</f>
        <v>0</v>
      </c>
      <c r="X332" s="170"/>
      <c r="Y332" s="745"/>
      <c r="Z332" s="55">
        <f>SUBTOTAL(9,Z333)</f>
        <v>0</v>
      </c>
      <c r="AA332" s="84"/>
      <c r="AB332" s="84"/>
      <c r="AC332" s="56">
        <f>SUBTOTAL(9,AC333)</f>
        <v>0</v>
      </c>
      <c r="AD332" s="84"/>
      <c r="AE332" s="84"/>
      <c r="AF332" s="56">
        <f>SUBTOTAL(9,AF333)</f>
        <v>0</v>
      </c>
      <c r="AG332" s="84"/>
      <c r="AH332" s="84"/>
      <c r="AI332" s="170"/>
    </row>
    <row r="333" spans="1:35" ht="15" hidden="1" customHeight="1" outlineLevel="3">
      <c r="A333" s="95">
        <v>39</v>
      </c>
      <c r="B333" s="95">
        <v>3482</v>
      </c>
      <c r="C333" s="95"/>
      <c r="D333" s="95"/>
      <c r="E333" s="774" t="s">
        <v>3060</v>
      </c>
      <c r="F333" s="774" t="s">
        <v>5157</v>
      </c>
      <c r="G333" s="13" t="s">
        <v>3030</v>
      </c>
      <c r="H333" s="583">
        <f>IFERROR(VLOOKUP(A333,'Colar QL'!A:C,3,0),0)</f>
        <v>3</v>
      </c>
      <c r="I333" s="69">
        <f t="shared" si="97"/>
        <v>4</v>
      </c>
      <c r="J333" s="771">
        <f>ROUND(J214*$U$5,0)</f>
        <v>4</v>
      </c>
      <c r="K333" s="590" t="str">
        <f>F333&amp;L333</f>
        <v>47.0284.1.2.17.00.01.039.01.06.29.1</v>
      </c>
      <c r="L333" s="771" t="s">
        <v>1996</v>
      </c>
      <c r="M333" s="772"/>
      <c r="N333" s="770">
        <f>ROUND(N214*$U$5,0)</f>
        <v>0</v>
      </c>
      <c r="O333" s="592" t="str">
        <f>F333&amp;P333</f>
        <v>47.0284.1.2.17.00.01.039.01.06.29.2</v>
      </c>
      <c r="P333" s="772" t="s">
        <v>1998</v>
      </c>
      <c r="Q333" s="772"/>
      <c r="R333" s="770">
        <f>ROUND(R214*$U$5,0)</f>
        <v>0</v>
      </c>
      <c r="S333" s="592" t="str">
        <f>F333&amp;T333</f>
        <v>47.0284.1.2.17.00.01.039.01.06.29.3</v>
      </c>
      <c r="T333" s="772" t="s">
        <v>2000</v>
      </c>
      <c r="U333" s="772"/>
      <c r="V333" s="764"/>
      <c r="W333" s="764"/>
      <c r="X333" s="158"/>
      <c r="Y333" s="745"/>
      <c r="Z333" s="771">
        <v>0</v>
      </c>
      <c r="AA333" s="592" t="str">
        <f>F333&amp;AB333</f>
        <v>47.0284.1.2.17.00.01.039.01.06.29.1</v>
      </c>
      <c r="AB333" s="772" t="s">
        <v>1996</v>
      </c>
      <c r="AC333" s="770">
        <v>0</v>
      </c>
      <c r="AD333" s="592" t="str">
        <f>F333&amp;AE333</f>
        <v>47.0284.1.2.17.00.01.039.01.06.29.2</v>
      </c>
      <c r="AE333" s="772" t="s">
        <v>1998</v>
      </c>
      <c r="AF333" s="770">
        <f>ROUNDDOWN(AF214*$U$5,0)</f>
        <v>0</v>
      </c>
      <c r="AG333" s="592" t="str">
        <f>F333&amp;AH333</f>
        <v>47.0284.1.2.17.00.01.039.01.06.29.3</v>
      </c>
      <c r="AH333" s="772" t="s">
        <v>2000</v>
      </c>
      <c r="AI333" s="158"/>
    </row>
    <row r="334" spans="1:35" ht="15" hidden="1" customHeight="1" outlineLevel="3">
      <c r="A334" s="95"/>
      <c r="B334" s="95" t="s">
        <v>1075</v>
      </c>
      <c r="C334" s="95"/>
      <c r="D334" s="95"/>
      <c r="E334" s="774"/>
      <c r="F334" s="774" t="s">
        <v>1075</v>
      </c>
      <c r="G334" s="13"/>
      <c r="H334" s="583"/>
      <c r="I334" s="69">
        <f t="shared" si="97"/>
        <v>0</v>
      </c>
      <c r="J334" s="771"/>
      <c r="K334" s="590" t="str">
        <f>F334&amp;L334</f>
        <v>.1</v>
      </c>
      <c r="L334" s="771" t="s">
        <v>1996</v>
      </c>
      <c r="M334" s="772"/>
      <c r="N334" s="770"/>
      <c r="O334" s="592" t="str">
        <f>F334&amp;P334</f>
        <v>.2</v>
      </c>
      <c r="P334" s="772" t="s">
        <v>1998</v>
      </c>
      <c r="Q334" s="772"/>
      <c r="R334" s="770"/>
      <c r="S334" s="592" t="str">
        <f>F334&amp;T334</f>
        <v>.3</v>
      </c>
      <c r="T334" s="772" t="s">
        <v>2000</v>
      </c>
      <c r="U334" s="772"/>
      <c r="V334" s="764"/>
      <c r="W334" s="764"/>
      <c r="X334" s="158"/>
      <c r="Y334" s="745"/>
      <c r="Z334" s="771"/>
      <c r="AA334" s="592" t="str">
        <f>F334&amp;AB334</f>
        <v>.1</v>
      </c>
      <c r="AB334" s="772" t="s">
        <v>1996</v>
      </c>
      <c r="AC334" s="770"/>
      <c r="AD334" s="592" t="str">
        <f>F334&amp;AE334</f>
        <v>.2</v>
      </c>
      <c r="AE334" s="772" t="s">
        <v>1998</v>
      </c>
      <c r="AF334" s="770"/>
      <c r="AG334" s="592" t="str">
        <f>F334&amp;AH334</f>
        <v>.3</v>
      </c>
      <c r="AH334" s="772" t="s">
        <v>2000</v>
      </c>
      <c r="AI334" s="158"/>
    </row>
    <row r="335" spans="1:35" ht="15" hidden="1" customHeight="1" outlineLevel="3">
      <c r="A335" s="95"/>
      <c r="B335" s="95" t="s">
        <v>1075</v>
      </c>
      <c r="C335" s="95"/>
      <c r="D335" s="95"/>
      <c r="E335" s="774"/>
      <c r="F335" s="774" t="s">
        <v>1075</v>
      </c>
      <c r="G335" s="13"/>
      <c r="H335" s="81"/>
      <c r="I335" s="71">
        <f t="shared" si="97"/>
        <v>0</v>
      </c>
      <c r="J335" s="48"/>
      <c r="K335" s="579"/>
      <c r="L335" s="579"/>
      <c r="M335" s="74"/>
      <c r="N335" s="49"/>
      <c r="O335" s="578"/>
      <c r="P335" s="578"/>
      <c r="Q335" s="74"/>
      <c r="R335" s="49"/>
      <c r="S335" s="578"/>
      <c r="T335" s="578"/>
      <c r="U335" s="74"/>
      <c r="V335" s="766"/>
      <c r="W335" s="766"/>
      <c r="X335" s="171"/>
      <c r="Y335" s="745"/>
      <c r="Z335" s="741"/>
      <c r="AA335" s="739"/>
      <c r="AB335" s="739"/>
      <c r="AC335" s="738"/>
      <c r="AD335" s="739"/>
      <c r="AE335" s="739"/>
      <c r="AF335" s="738"/>
      <c r="AG335" s="739"/>
      <c r="AH335" s="739"/>
      <c r="AI335" s="171"/>
    </row>
    <row r="336" spans="1:35" ht="15" customHeight="1" outlineLevel="1">
      <c r="A336" s="98"/>
      <c r="B336" s="98" t="s">
        <v>1075</v>
      </c>
      <c r="C336" s="98"/>
      <c r="D336" s="98"/>
      <c r="E336" s="98"/>
      <c r="F336" s="98" t="s">
        <v>1075</v>
      </c>
      <c r="G336" s="35" t="s">
        <v>78</v>
      </c>
      <c r="H336" s="77">
        <f>SUBTOTAL(9,H337:H470)</f>
        <v>38</v>
      </c>
      <c r="I336" s="67">
        <f t="shared" si="97"/>
        <v>40</v>
      </c>
      <c r="J336" s="54">
        <f>SUBTOTAL(9,J337:J470)</f>
        <v>40</v>
      </c>
      <c r="K336" s="54"/>
      <c r="L336" s="54"/>
      <c r="M336" s="85"/>
      <c r="N336" s="54">
        <f>SUBTOTAL(9,N337:N470)</f>
        <v>0</v>
      </c>
      <c r="O336" s="90"/>
      <c r="P336" s="90"/>
      <c r="Q336" s="85"/>
      <c r="R336" s="54">
        <f>SUBTOTAL(9,R337:R470)</f>
        <v>0</v>
      </c>
      <c r="S336" s="90"/>
      <c r="T336" s="90"/>
      <c r="U336" s="85"/>
      <c r="V336" s="54">
        <f>SUBTOTAL(9,V337:V470)</f>
        <v>0</v>
      </c>
      <c r="W336" s="54">
        <f>SUBTOTAL(9,W337:W470)</f>
        <v>0</v>
      </c>
      <c r="X336" s="169"/>
      <c r="Y336" s="745"/>
      <c r="Z336" s="54">
        <f>SUBTOTAL(9,Z337:Z470)</f>
        <v>0</v>
      </c>
      <c r="AA336" s="90"/>
      <c r="AB336" s="90"/>
      <c r="AC336" s="54">
        <f>SUBTOTAL(9,AC337:AC470)</f>
        <v>0</v>
      </c>
      <c r="AD336" s="90"/>
      <c r="AE336" s="90"/>
      <c r="AF336" s="54">
        <f>SUBTOTAL(9,AF337:AF470)</f>
        <v>0</v>
      </c>
      <c r="AG336" s="90"/>
      <c r="AH336" s="90"/>
      <c r="AI336" s="169"/>
    </row>
    <row r="337" spans="1:35" ht="15" customHeight="1" outlineLevel="2">
      <c r="A337" s="97"/>
      <c r="B337" s="97" t="s">
        <v>1075</v>
      </c>
      <c r="C337" s="97"/>
      <c r="D337" s="97"/>
      <c r="E337" s="97"/>
      <c r="F337" s="97" t="s">
        <v>1075</v>
      </c>
      <c r="G337" s="40" t="s">
        <v>714</v>
      </c>
      <c r="H337" s="78">
        <f>SUBTOTAL(9,H338:H466)</f>
        <v>35</v>
      </c>
      <c r="I337" s="68">
        <f t="shared" si="97"/>
        <v>37</v>
      </c>
      <c r="J337" s="55">
        <f>SUBTOTAL(9,J338:J466)</f>
        <v>37</v>
      </c>
      <c r="K337" s="55"/>
      <c r="L337" s="55"/>
      <c r="M337" s="84"/>
      <c r="N337" s="55">
        <f>SUBTOTAL(9,N338:N466)</f>
        <v>0</v>
      </c>
      <c r="O337" s="91"/>
      <c r="P337" s="91"/>
      <c r="Q337" s="84"/>
      <c r="R337" s="55">
        <f>SUBTOTAL(9,R338:R466)</f>
        <v>0</v>
      </c>
      <c r="S337" s="91"/>
      <c r="T337" s="91"/>
      <c r="U337" s="84"/>
      <c r="V337" s="55">
        <f>SUBTOTAL(9,V338:V466)</f>
        <v>0</v>
      </c>
      <c r="W337" s="55">
        <f>SUBTOTAL(9,W338:W466)</f>
        <v>0</v>
      </c>
      <c r="X337" s="170"/>
      <c r="Y337" s="745"/>
      <c r="Z337" s="55">
        <f>SUBTOTAL(9,Z338:Z466)</f>
        <v>0</v>
      </c>
      <c r="AA337" s="91"/>
      <c r="AB337" s="91"/>
      <c r="AC337" s="55">
        <f>SUBTOTAL(9,AC338:AC466)</f>
        <v>0</v>
      </c>
      <c r="AD337" s="91"/>
      <c r="AE337" s="91"/>
      <c r="AF337" s="55">
        <f>SUBTOTAL(9,AF338:AF466)</f>
        <v>0</v>
      </c>
      <c r="AG337" s="91"/>
      <c r="AH337" s="91"/>
      <c r="AI337" s="170"/>
    </row>
    <row r="338" spans="1:35" ht="15" customHeight="1" outlineLevel="3">
      <c r="A338" s="97"/>
      <c r="B338" s="97" t="s">
        <v>1075</v>
      </c>
      <c r="C338" s="97"/>
      <c r="D338" s="97"/>
      <c r="E338" s="97"/>
      <c r="F338" s="97" t="s">
        <v>1075</v>
      </c>
      <c r="G338" s="40" t="s">
        <v>246</v>
      </c>
      <c r="H338" s="78">
        <f>SUBTOTAL(9,H339:H378)</f>
        <v>31</v>
      </c>
      <c r="I338" s="68">
        <f t="shared" si="97"/>
        <v>33</v>
      </c>
      <c r="J338" s="55">
        <f>SUBTOTAL(9,J339:J378)</f>
        <v>33</v>
      </c>
      <c r="K338" s="55"/>
      <c r="L338" s="55"/>
      <c r="M338" s="84"/>
      <c r="N338" s="55">
        <f>SUBTOTAL(9,N339:N378)</f>
        <v>0</v>
      </c>
      <c r="O338" s="91"/>
      <c r="P338" s="91"/>
      <c r="Q338" s="84"/>
      <c r="R338" s="55">
        <f>SUBTOTAL(9,R339:R378)</f>
        <v>0</v>
      </c>
      <c r="S338" s="91"/>
      <c r="T338" s="91"/>
      <c r="U338" s="84"/>
      <c r="V338" s="55">
        <f>SUBTOTAL(9,V339:V378)</f>
        <v>0</v>
      </c>
      <c r="W338" s="55">
        <f>SUBTOTAL(9,W339:W378)</f>
        <v>0</v>
      </c>
      <c r="X338" s="170"/>
      <c r="Y338" s="745"/>
      <c r="Z338" s="55">
        <f>SUBTOTAL(9,Z339:Z378)</f>
        <v>0</v>
      </c>
      <c r="AA338" s="91"/>
      <c r="AB338" s="91"/>
      <c r="AC338" s="55">
        <f>SUBTOTAL(9,AC339:AC378)</f>
        <v>0</v>
      </c>
      <c r="AD338" s="91"/>
      <c r="AE338" s="91"/>
      <c r="AF338" s="55">
        <f>SUBTOTAL(9,AF339:AF378)</f>
        <v>0</v>
      </c>
      <c r="AG338" s="91"/>
      <c r="AH338" s="91"/>
      <c r="AI338" s="170"/>
    </row>
    <row r="339" spans="1:35" ht="15" customHeight="1" outlineLevel="4">
      <c r="A339" s="93">
        <v>206000</v>
      </c>
      <c r="B339" s="93">
        <v>3451</v>
      </c>
      <c r="C339" s="93"/>
      <c r="D339" s="93"/>
      <c r="E339" s="93" t="s">
        <v>3063</v>
      </c>
      <c r="F339" s="93" t="s">
        <v>5114</v>
      </c>
      <c r="G339" s="37" t="s">
        <v>215</v>
      </c>
      <c r="H339" s="583">
        <f>IFERROR(VLOOKUP(A339,'Colar QL'!A:C,3,0),0)</f>
        <v>0</v>
      </c>
      <c r="I339" s="69">
        <f t="shared" si="97"/>
        <v>0</v>
      </c>
      <c r="J339" s="258">
        <f>'BD Temp'!E457</f>
        <v>0</v>
      </c>
      <c r="K339" s="590" t="str">
        <f t="shared" ref="K339:K378" si="122">F339&amp;L339</f>
        <v>47.0284.1.2.17.00.01.280.01.07.04.1</v>
      </c>
      <c r="L339" s="579" t="s">
        <v>1996</v>
      </c>
      <c r="M339" s="256" t="str">
        <f>'BD Temp'!F457</f>
        <v>-</v>
      </c>
      <c r="N339" s="255">
        <f>'BD Temp'!J457</f>
        <v>0</v>
      </c>
      <c r="O339" s="592" t="str">
        <f t="shared" ref="O339:O378" si="123">F339&amp;P339</f>
        <v>47.0284.1.2.17.00.01.280.01.07.04.2</v>
      </c>
      <c r="P339" s="578" t="s">
        <v>1998</v>
      </c>
      <c r="Q339" s="256" t="str">
        <f>'BD Temp'!K457</f>
        <v>-</v>
      </c>
      <c r="R339" s="255">
        <f>'BD Temp'!O457</f>
        <v>0</v>
      </c>
      <c r="S339" s="592" t="str">
        <f t="shared" ref="S339:S378" si="124">F339&amp;T339</f>
        <v>47.0284.1.2.17.00.01.280.01.07.04.3</v>
      </c>
      <c r="T339" s="578" t="s">
        <v>2000</v>
      </c>
      <c r="U339" s="256" t="str">
        <f>'BD Temp'!P457</f>
        <v>-</v>
      </c>
      <c r="V339" s="764"/>
      <c r="W339" s="764"/>
      <c r="X339" s="158"/>
      <c r="Y339" s="745"/>
      <c r="Z339" s="741">
        <v>0</v>
      </c>
      <c r="AA339" s="592" t="str">
        <f t="shared" ref="AA339:AA378" si="125">F339&amp;AB339</f>
        <v>47.0284.1.2.17.00.01.280.01.07.04.1</v>
      </c>
      <c r="AB339" s="739" t="s">
        <v>1996</v>
      </c>
      <c r="AC339" s="738">
        <v>0</v>
      </c>
      <c r="AD339" s="592" t="str">
        <f t="shared" ref="AD339:AD378" si="126">F339&amp;AE339</f>
        <v>47.0284.1.2.17.00.01.280.01.07.04.2</v>
      </c>
      <c r="AE339" s="739" t="s">
        <v>1998</v>
      </c>
      <c r="AF339" s="738">
        <v>0</v>
      </c>
      <c r="AG339" s="592" t="str">
        <f t="shared" ref="AG339:AG378" si="127">F339&amp;AH339</f>
        <v>47.0284.1.2.17.00.01.280.01.07.04.3</v>
      </c>
      <c r="AH339" s="739" t="s">
        <v>2000</v>
      </c>
      <c r="AI339" s="158"/>
    </row>
    <row r="340" spans="1:35" ht="15" customHeight="1" outlineLevel="4">
      <c r="A340" s="93">
        <v>206005</v>
      </c>
      <c r="B340" s="93">
        <v>3451</v>
      </c>
      <c r="C340" s="93"/>
      <c r="D340" s="93"/>
      <c r="E340" s="93" t="s">
        <v>3063</v>
      </c>
      <c r="F340" s="93" t="s">
        <v>5114</v>
      </c>
      <c r="G340" s="37" t="s">
        <v>79</v>
      </c>
      <c r="H340" s="583">
        <f>IFERROR(VLOOKUP(A340,'Colar QL'!A:C,3,0),0)</f>
        <v>0</v>
      </c>
      <c r="I340" s="69">
        <f t="shared" si="97"/>
        <v>0</v>
      </c>
      <c r="J340" s="258">
        <f>'BD Temp'!E458</f>
        <v>0</v>
      </c>
      <c r="K340" s="590" t="str">
        <f t="shared" si="122"/>
        <v>47.0284.1.2.17.00.01.280.01.07.04.1</v>
      </c>
      <c r="L340" s="579" t="s">
        <v>1996</v>
      </c>
      <c r="M340" s="256" t="str">
        <f>'BD Temp'!F458</f>
        <v>-</v>
      </c>
      <c r="N340" s="255">
        <f>'BD Temp'!J458</f>
        <v>0</v>
      </c>
      <c r="O340" s="592" t="str">
        <f t="shared" si="123"/>
        <v>47.0284.1.2.17.00.01.280.01.07.04.2</v>
      </c>
      <c r="P340" s="578" t="s">
        <v>1998</v>
      </c>
      <c r="Q340" s="256" t="str">
        <f>'BD Temp'!K458</f>
        <v>-</v>
      </c>
      <c r="R340" s="255">
        <f>'BD Temp'!O458</f>
        <v>0</v>
      </c>
      <c r="S340" s="592" t="str">
        <f t="shared" si="124"/>
        <v>47.0284.1.2.17.00.01.280.01.07.04.3</v>
      </c>
      <c r="T340" s="578" t="s">
        <v>2000</v>
      </c>
      <c r="U340" s="256" t="str">
        <f>'BD Temp'!P458</f>
        <v>-</v>
      </c>
      <c r="V340" s="764"/>
      <c r="W340" s="764"/>
      <c r="X340" s="158"/>
      <c r="Y340" s="745"/>
      <c r="Z340" s="741">
        <v>0</v>
      </c>
      <c r="AA340" s="592" t="str">
        <f t="shared" si="125"/>
        <v>47.0284.1.2.17.00.01.280.01.07.04.1</v>
      </c>
      <c r="AB340" s="739" t="s">
        <v>1996</v>
      </c>
      <c r="AC340" s="738">
        <v>0</v>
      </c>
      <c r="AD340" s="592" t="str">
        <f t="shared" si="126"/>
        <v>47.0284.1.2.17.00.01.280.01.07.04.2</v>
      </c>
      <c r="AE340" s="739" t="s">
        <v>1998</v>
      </c>
      <c r="AF340" s="738">
        <v>0</v>
      </c>
      <c r="AG340" s="592" t="str">
        <f t="shared" si="127"/>
        <v>47.0284.1.2.17.00.01.280.01.07.04.3</v>
      </c>
      <c r="AH340" s="739" t="s">
        <v>2000</v>
      </c>
      <c r="AI340" s="158"/>
    </row>
    <row r="341" spans="1:35" ht="15" customHeight="1" outlineLevel="4">
      <c r="A341" s="93">
        <v>206010</v>
      </c>
      <c r="B341" s="93">
        <v>3451</v>
      </c>
      <c r="C341" s="93"/>
      <c r="D341" s="93"/>
      <c r="E341" s="93" t="s">
        <v>3063</v>
      </c>
      <c r="F341" s="93" t="s">
        <v>5114</v>
      </c>
      <c r="G341" s="37" t="s">
        <v>80</v>
      </c>
      <c r="H341" s="583">
        <f>IFERROR(VLOOKUP(A341,'Colar QL'!A:C,3,0),0)</f>
        <v>0</v>
      </c>
      <c r="I341" s="69">
        <f t="shared" ref="I341:I404" si="128">IFERROR((J341+N341+R341),0)</f>
        <v>0</v>
      </c>
      <c r="J341" s="258">
        <f>'BD Temp'!E459</f>
        <v>0</v>
      </c>
      <c r="K341" s="590" t="str">
        <f t="shared" si="122"/>
        <v>47.0284.1.2.17.00.01.280.01.07.04.1</v>
      </c>
      <c r="L341" s="579" t="s">
        <v>1996</v>
      </c>
      <c r="M341" s="256" t="str">
        <f>'BD Temp'!F459</f>
        <v>-</v>
      </c>
      <c r="N341" s="255">
        <f>'BD Temp'!J459</f>
        <v>0</v>
      </c>
      <c r="O341" s="592" t="str">
        <f t="shared" si="123"/>
        <v>47.0284.1.2.17.00.01.280.01.07.04.2</v>
      </c>
      <c r="P341" s="578" t="s">
        <v>1998</v>
      </c>
      <c r="Q341" s="256" t="str">
        <f>'BD Temp'!K459</f>
        <v>-</v>
      </c>
      <c r="R341" s="255">
        <f>'BD Temp'!O459</f>
        <v>0</v>
      </c>
      <c r="S341" s="592" t="str">
        <f t="shared" si="124"/>
        <v>47.0284.1.2.17.00.01.280.01.07.04.3</v>
      </c>
      <c r="T341" s="578" t="s">
        <v>2000</v>
      </c>
      <c r="U341" s="256" t="str">
        <f>'BD Temp'!P459</f>
        <v>-</v>
      </c>
      <c r="V341" s="764"/>
      <c r="W341" s="764"/>
      <c r="X341" s="158"/>
      <c r="Y341" s="745"/>
      <c r="Z341" s="741">
        <v>0</v>
      </c>
      <c r="AA341" s="592" t="str">
        <f t="shared" si="125"/>
        <v>47.0284.1.2.17.00.01.280.01.07.04.1</v>
      </c>
      <c r="AB341" s="739" t="s">
        <v>1996</v>
      </c>
      <c r="AC341" s="738">
        <v>0</v>
      </c>
      <c r="AD341" s="592" t="str">
        <f t="shared" si="126"/>
        <v>47.0284.1.2.17.00.01.280.01.07.04.2</v>
      </c>
      <c r="AE341" s="739" t="s">
        <v>1998</v>
      </c>
      <c r="AF341" s="738">
        <v>0</v>
      </c>
      <c r="AG341" s="592" t="str">
        <f t="shared" si="127"/>
        <v>47.0284.1.2.17.00.01.280.01.07.04.3</v>
      </c>
      <c r="AH341" s="739" t="s">
        <v>2000</v>
      </c>
      <c r="AI341" s="158"/>
    </row>
    <row r="342" spans="1:35" s="26" customFormat="1" ht="15" customHeight="1" outlineLevel="4">
      <c r="A342" s="93">
        <v>206015</v>
      </c>
      <c r="B342" s="93">
        <v>3451</v>
      </c>
      <c r="C342" s="93"/>
      <c r="D342" s="93"/>
      <c r="E342" s="93" t="s">
        <v>2924</v>
      </c>
      <c r="F342" s="93" t="s">
        <v>5169</v>
      </c>
      <c r="G342" s="37" t="s">
        <v>81</v>
      </c>
      <c r="H342" s="707">
        <f>IFERROR(VLOOKUP(A342,'Colar QL'!A:C,3,0),0)</f>
        <v>14</v>
      </c>
      <c r="I342" s="69">
        <f t="shared" si="128"/>
        <v>14</v>
      </c>
      <c r="J342" s="771">
        <f>'BD Temp'!E460</f>
        <v>14</v>
      </c>
      <c r="K342" s="591" t="str">
        <f t="shared" si="122"/>
        <v>47.0284.1.2.17.00.01.039.01.07.03.1</v>
      </c>
      <c r="L342" s="57" t="s">
        <v>1996</v>
      </c>
      <c r="M342" s="87">
        <f>'BD Temp'!F460</f>
        <v>0.43338095238095242</v>
      </c>
      <c r="N342" s="58">
        <f>'BD Temp'!J460</f>
        <v>0</v>
      </c>
      <c r="O342" s="593" t="str">
        <f t="shared" si="123"/>
        <v>47.0284.1.2.17.00.01.039.01.07.03.2</v>
      </c>
      <c r="P342" s="87" t="s">
        <v>1998</v>
      </c>
      <c r="Q342" s="87" t="str">
        <f>'BD Temp'!K460</f>
        <v>-</v>
      </c>
      <c r="R342" s="58">
        <f>'BD Temp'!O460</f>
        <v>0</v>
      </c>
      <c r="S342" s="593" t="str">
        <f t="shared" si="124"/>
        <v>47.0284.1.2.17.00.01.039.01.07.03.3</v>
      </c>
      <c r="T342" s="87" t="s">
        <v>2000</v>
      </c>
      <c r="U342" s="87" t="str">
        <f>'BD Temp'!P460</f>
        <v>-</v>
      </c>
      <c r="V342" s="764"/>
      <c r="W342" s="764"/>
      <c r="X342" s="158"/>
      <c r="Y342" s="748"/>
      <c r="Z342" s="771">
        <v>0</v>
      </c>
      <c r="AA342" s="592" t="str">
        <f t="shared" si="125"/>
        <v>47.0284.1.2.17.00.01.039.01.07.03.1</v>
      </c>
      <c r="AB342" s="739" t="s">
        <v>1996</v>
      </c>
      <c r="AC342" s="738">
        <v>0</v>
      </c>
      <c r="AD342" s="592" t="str">
        <f t="shared" si="126"/>
        <v>47.0284.1.2.17.00.01.039.01.07.03.2</v>
      </c>
      <c r="AE342" s="739" t="s">
        <v>1998</v>
      </c>
      <c r="AF342" s="738">
        <v>0</v>
      </c>
      <c r="AG342" s="592" t="str">
        <f t="shared" si="127"/>
        <v>47.0284.1.2.17.00.01.039.01.07.03.3</v>
      </c>
      <c r="AH342" s="739" t="s">
        <v>2000</v>
      </c>
      <c r="AI342" s="158"/>
    </row>
    <row r="343" spans="1:35" ht="15" customHeight="1" outlineLevel="4">
      <c r="A343" s="93">
        <v>206020</v>
      </c>
      <c r="B343" s="93">
        <v>3451</v>
      </c>
      <c r="C343" s="93"/>
      <c r="D343" s="93"/>
      <c r="E343" s="93" t="s">
        <v>2925</v>
      </c>
      <c r="F343" s="93" t="s">
        <v>5170</v>
      </c>
      <c r="G343" s="37" t="s">
        <v>82</v>
      </c>
      <c r="H343" s="583">
        <f>IFERROR(VLOOKUP(A343,'Colar QL'!A:C,3,0),0)</f>
        <v>3</v>
      </c>
      <c r="I343" s="69">
        <f t="shared" si="128"/>
        <v>3</v>
      </c>
      <c r="J343" s="771">
        <f>'BD Temp'!E464</f>
        <v>3</v>
      </c>
      <c r="K343" s="590" t="str">
        <f t="shared" si="122"/>
        <v>47.0284.1.2.17.00.01.039.01.07.04.1</v>
      </c>
      <c r="L343" s="579" t="s">
        <v>1996</v>
      </c>
      <c r="M343" s="256">
        <f>'BD Temp'!F464</f>
        <v>0.75555555555555554</v>
      </c>
      <c r="N343" s="255">
        <f>'BD Temp'!J464</f>
        <v>0</v>
      </c>
      <c r="O343" s="592" t="str">
        <f t="shared" si="123"/>
        <v>47.0284.1.2.17.00.01.039.01.07.04.2</v>
      </c>
      <c r="P343" s="578" t="s">
        <v>1998</v>
      </c>
      <c r="Q343" s="256" t="str">
        <f>'BD Temp'!K464</f>
        <v>-</v>
      </c>
      <c r="R343" s="255">
        <f>'BD Temp'!O464</f>
        <v>0</v>
      </c>
      <c r="S343" s="592" t="str">
        <f t="shared" si="124"/>
        <v>47.0284.1.2.17.00.01.039.01.07.04.3</v>
      </c>
      <c r="T343" s="578" t="s">
        <v>2000</v>
      </c>
      <c r="U343" s="256" t="str">
        <f>'BD Temp'!P464</f>
        <v>-</v>
      </c>
      <c r="V343" s="764"/>
      <c r="W343" s="764"/>
      <c r="X343" s="158"/>
      <c r="Y343" s="745"/>
      <c r="Z343" s="741">
        <v>0</v>
      </c>
      <c r="AA343" s="592" t="str">
        <f t="shared" si="125"/>
        <v>47.0284.1.2.17.00.01.039.01.07.04.1</v>
      </c>
      <c r="AB343" s="739" t="s">
        <v>1996</v>
      </c>
      <c r="AC343" s="738">
        <v>0</v>
      </c>
      <c r="AD343" s="592" t="str">
        <f t="shared" si="126"/>
        <v>47.0284.1.2.17.00.01.039.01.07.04.2</v>
      </c>
      <c r="AE343" s="739" t="s">
        <v>1998</v>
      </c>
      <c r="AF343" s="738">
        <v>0</v>
      </c>
      <c r="AG343" s="592" t="str">
        <f t="shared" si="127"/>
        <v>47.0284.1.2.17.00.01.039.01.07.04.3</v>
      </c>
      <c r="AH343" s="739" t="s">
        <v>2000</v>
      </c>
      <c r="AI343" s="158"/>
    </row>
    <row r="344" spans="1:35" ht="15" customHeight="1" outlineLevel="4">
      <c r="A344" s="93">
        <v>206025</v>
      </c>
      <c r="B344" s="93">
        <v>3451</v>
      </c>
      <c r="C344" s="93"/>
      <c r="D344" s="93"/>
      <c r="E344" s="93" t="s">
        <v>2925</v>
      </c>
      <c r="F344" s="93" t="s">
        <v>5170</v>
      </c>
      <c r="G344" s="37" t="s">
        <v>83</v>
      </c>
      <c r="H344" s="583">
        <f>IFERROR(VLOOKUP(A344,'Colar QL'!A:C,3,0),0)</f>
        <v>0</v>
      </c>
      <c r="I344" s="69">
        <f t="shared" si="128"/>
        <v>0</v>
      </c>
      <c r="J344" s="258">
        <f>'BD Temp'!E465</f>
        <v>0</v>
      </c>
      <c r="K344" s="590" t="str">
        <f t="shared" si="122"/>
        <v>47.0284.1.2.17.00.01.039.01.07.04.1</v>
      </c>
      <c r="L344" s="579" t="s">
        <v>1996</v>
      </c>
      <c r="M344" s="256" t="str">
        <f>'BD Temp'!F465</f>
        <v>-</v>
      </c>
      <c r="N344" s="255">
        <f>'BD Temp'!J465</f>
        <v>0</v>
      </c>
      <c r="O344" s="592" t="str">
        <f t="shared" si="123"/>
        <v>47.0284.1.2.17.00.01.039.01.07.04.2</v>
      </c>
      <c r="P344" s="578" t="s">
        <v>1998</v>
      </c>
      <c r="Q344" s="256" t="str">
        <f>'BD Temp'!K465</f>
        <v>-</v>
      </c>
      <c r="R344" s="255">
        <f>'BD Temp'!O465</f>
        <v>0</v>
      </c>
      <c r="S344" s="592" t="str">
        <f t="shared" si="124"/>
        <v>47.0284.1.2.17.00.01.039.01.07.04.3</v>
      </c>
      <c r="T344" s="578" t="s">
        <v>2000</v>
      </c>
      <c r="U344" s="256" t="str">
        <f>'BD Temp'!P465</f>
        <v>-</v>
      </c>
      <c r="V344" s="764"/>
      <c r="W344" s="764"/>
      <c r="X344" s="158"/>
      <c r="Y344" s="745"/>
      <c r="Z344" s="741">
        <v>0</v>
      </c>
      <c r="AA344" s="592" t="str">
        <f t="shared" si="125"/>
        <v>47.0284.1.2.17.00.01.039.01.07.04.1</v>
      </c>
      <c r="AB344" s="739" t="s">
        <v>1996</v>
      </c>
      <c r="AC344" s="738">
        <v>0</v>
      </c>
      <c r="AD344" s="592" t="str">
        <f t="shared" si="126"/>
        <v>47.0284.1.2.17.00.01.039.01.07.04.2</v>
      </c>
      <c r="AE344" s="739" t="s">
        <v>1998</v>
      </c>
      <c r="AF344" s="738">
        <v>0</v>
      </c>
      <c r="AG344" s="592" t="str">
        <f t="shared" si="127"/>
        <v>47.0284.1.2.17.00.01.039.01.07.04.3</v>
      </c>
      <c r="AH344" s="739" t="s">
        <v>2000</v>
      </c>
      <c r="AI344" s="158"/>
    </row>
    <row r="345" spans="1:35" ht="15" customHeight="1" outlineLevel="4">
      <c r="A345" s="93">
        <v>206030</v>
      </c>
      <c r="B345" s="93">
        <v>3451</v>
      </c>
      <c r="C345" s="93"/>
      <c r="D345" s="93"/>
      <c r="E345" s="93" t="s">
        <v>2925</v>
      </c>
      <c r="F345" s="93" t="s">
        <v>5170</v>
      </c>
      <c r="G345" s="37" t="s">
        <v>84</v>
      </c>
      <c r="H345" s="583">
        <f>IFERROR(VLOOKUP(A345,'Colar QL'!A:C,3,0),0)</f>
        <v>0</v>
      </c>
      <c r="I345" s="69">
        <f t="shared" si="128"/>
        <v>0</v>
      </c>
      <c r="J345" s="258">
        <f>'BD Temp'!E466</f>
        <v>0</v>
      </c>
      <c r="K345" s="590" t="str">
        <f t="shared" si="122"/>
        <v>47.0284.1.2.17.00.01.039.01.07.04.1</v>
      </c>
      <c r="L345" s="579" t="s">
        <v>1996</v>
      </c>
      <c r="M345" s="256" t="str">
        <f>'BD Temp'!F466</f>
        <v>-</v>
      </c>
      <c r="N345" s="255">
        <f>'BD Temp'!J466</f>
        <v>0</v>
      </c>
      <c r="O345" s="592" t="str">
        <f t="shared" si="123"/>
        <v>47.0284.1.2.17.00.01.039.01.07.04.2</v>
      </c>
      <c r="P345" s="578" t="s">
        <v>1998</v>
      </c>
      <c r="Q345" s="256" t="str">
        <f>'BD Temp'!K466</f>
        <v>-</v>
      </c>
      <c r="R345" s="255">
        <f>'BD Temp'!O466</f>
        <v>0</v>
      </c>
      <c r="S345" s="592" t="str">
        <f t="shared" si="124"/>
        <v>47.0284.1.2.17.00.01.039.01.07.04.3</v>
      </c>
      <c r="T345" s="578" t="s">
        <v>2000</v>
      </c>
      <c r="U345" s="256" t="str">
        <f>'BD Temp'!P466</f>
        <v>-</v>
      </c>
      <c r="V345" s="764"/>
      <c r="W345" s="764"/>
      <c r="X345" s="158"/>
      <c r="Y345" s="745"/>
      <c r="Z345" s="741">
        <v>0</v>
      </c>
      <c r="AA345" s="592" t="str">
        <f t="shared" si="125"/>
        <v>47.0284.1.2.17.00.01.039.01.07.04.1</v>
      </c>
      <c r="AB345" s="739" t="s">
        <v>1996</v>
      </c>
      <c r="AC345" s="738">
        <v>0</v>
      </c>
      <c r="AD345" s="592" t="str">
        <f t="shared" si="126"/>
        <v>47.0284.1.2.17.00.01.039.01.07.04.2</v>
      </c>
      <c r="AE345" s="739" t="s">
        <v>1998</v>
      </c>
      <c r="AF345" s="738">
        <v>0</v>
      </c>
      <c r="AG345" s="592" t="str">
        <f t="shared" si="127"/>
        <v>47.0284.1.2.17.00.01.039.01.07.04.3</v>
      </c>
      <c r="AH345" s="739" t="s">
        <v>2000</v>
      </c>
      <c r="AI345" s="158"/>
    </row>
    <row r="346" spans="1:35" ht="15" customHeight="1" outlineLevel="4">
      <c r="A346" s="93">
        <v>206035</v>
      </c>
      <c r="B346" s="93">
        <v>3451</v>
      </c>
      <c r="C346" s="93"/>
      <c r="D346" s="93"/>
      <c r="E346" s="93" t="s">
        <v>2926</v>
      </c>
      <c r="F346" s="93" t="s">
        <v>5171</v>
      </c>
      <c r="G346" s="37" t="s">
        <v>634</v>
      </c>
      <c r="H346" s="583">
        <f>IFERROR(VLOOKUP(A346,'Colar QL'!A:C,3,0),0)</f>
        <v>0</v>
      </c>
      <c r="I346" s="69">
        <f t="shared" si="128"/>
        <v>0</v>
      </c>
      <c r="J346" s="258">
        <f>'BD Temp'!E467</f>
        <v>0</v>
      </c>
      <c r="K346" s="590" t="str">
        <f t="shared" si="122"/>
        <v>47.0284.1.2.17.00.01.039.01.07.59.1</v>
      </c>
      <c r="L346" s="579" t="s">
        <v>1996</v>
      </c>
      <c r="M346" s="256" t="str">
        <f>'BD Temp'!F467</f>
        <v>-</v>
      </c>
      <c r="N346" s="255">
        <f>'BD Temp'!J467</f>
        <v>0</v>
      </c>
      <c r="O346" s="592" t="str">
        <f t="shared" si="123"/>
        <v>47.0284.1.2.17.00.01.039.01.07.59.2</v>
      </c>
      <c r="P346" s="578" t="s">
        <v>1998</v>
      </c>
      <c r="Q346" s="256" t="str">
        <f>'BD Temp'!K467</f>
        <v>-</v>
      </c>
      <c r="R346" s="255">
        <f>'BD Temp'!O467</f>
        <v>0</v>
      </c>
      <c r="S346" s="592" t="str">
        <f t="shared" si="124"/>
        <v>47.0284.1.2.17.00.01.039.01.07.59.3</v>
      </c>
      <c r="T346" s="578" t="s">
        <v>2000</v>
      </c>
      <c r="U346" s="256" t="str">
        <f>'BD Temp'!P467</f>
        <v>-</v>
      </c>
      <c r="V346" s="764"/>
      <c r="W346" s="764"/>
      <c r="X346" s="158"/>
      <c r="Y346" s="745"/>
      <c r="Z346" s="741">
        <v>0</v>
      </c>
      <c r="AA346" s="592" t="str">
        <f t="shared" si="125"/>
        <v>47.0284.1.2.17.00.01.039.01.07.59.1</v>
      </c>
      <c r="AB346" s="739" t="s">
        <v>1996</v>
      </c>
      <c r="AC346" s="738">
        <v>0</v>
      </c>
      <c r="AD346" s="592" t="str">
        <f t="shared" si="126"/>
        <v>47.0284.1.2.17.00.01.039.01.07.59.2</v>
      </c>
      <c r="AE346" s="739" t="s">
        <v>1998</v>
      </c>
      <c r="AF346" s="738">
        <v>0</v>
      </c>
      <c r="AG346" s="592" t="str">
        <f t="shared" si="127"/>
        <v>47.0284.1.2.17.00.01.039.01.07.59.3</v>
      </c>
      <c r="AH346" s="739" t="s">
        <v>2000</v>
      </c>
      <c r="AI346" s="158"/>
    </row>
    <row r="347" spans="1:35" ht="15" customHeight="1" outlineLevel="4">
      <c r="A347" s="93">
        <v>206040</v>
      </c>
      <c r="B347" s="93">
        <v>3451</v>
      </c>
      <c r="C347" s="93"/>
      <c r="D347" s="93"/>
      <c r="E347" s="93" t="s">
        <v>3064</v>
      </c>
      <c r="F347" s="93" t="s">
        <v>5172</v>
      </c>
      <c r="G347" s="37" t="s">
        <v>85</v>
      </c>
      <c r="H347" s="583">
        <f>IFERROR(VLOOKUP(A347,'Colar QL'!A:C,3,0),0)</f>
        <v>5</v>
      </c>
      <c r="I347" s="69">
        <f t="shared" si="128"/>
        <v>5</v>
      </c>
      <c r="J347" s="258">
        <f>'BD Temp'!E468</f>
        <v>5</v>
      </c>
      <c r="K347" s="590" t="str">
        <f t="shared" si="122"/>
        <v>47.0284.1.2.17.00.01.039.01.07.58.1</v>
      </c>
      <c r="L347" s="579" t="s">
        <v>1996</v>
      </c>
      <c r="M347" s="256">
        <f>'BD Temp'!F468</f>
        <v>0.48095494896748159</v>
      </c>
      <c r="N347" s="255">
        <f>'BD Temp'!J468</f>
        <v>0</v>
      </c>
      <c r="O347" s="592" t="str">
        <f t="shared" si="123"/>
        <v>47.0284.1.2.17.00.01.039.01.07.58.2</v>
      </c>
      <c r="P347" s="578" t="s">
        <v>1998</v>
      </c>
      <c r="Q347" s="256" t="str">
        <f>'BD Temp'!K468</f>
        <v>-</v>
      </c>
      <c r="R347" s="255">
        <f>'BD Temp'!O468</f>
        <v>0</v>
      </c>
      <c r="S347" s="592" t="str">
        <f t="shared" si="124"/>
        <v>47.0284.1.2.17.00.01.039.01.07.58.3</v>
      </c>
      <c r="T347" s="578" t="s">
        <v>2000</v>
      </c>
      <c r="U347" s="256" t="str">
        <f>'BD Temp'!P468</f>
        <v>-</v>
      </c>
      <c r="V347" s="764"/>
      <c r="W347" s="764"/>
      <c r="X347" s="158"/>
      <c r="Y347" s="745"/>
      <c r="Z347" s="741">
        <v>0</v>
      </c>
      <c r="AA347" s="592" t="str">
        <f t="shared" si="125"/>
        <v>47.0284.1.2.17.00.01.039.01.07.58.1</v>
      </c>
      <c r="AB347" s="739" t="s">
        <v>1996</v>
      </c>
      <c r="AC347" s="738">
        <v>0</v>
      </c>
      <c r="AD347" s="592" t="str">
        <f t="shared" si="126"/>
        <v>47.0284.1.2.17.00.01.039.01.07.58.2</v>
      </c>
      <c r="AE347" s="739" t="s">
        <v>1998</v>
      </c>
      <c r="AF347" s="738">
        <v>0</v>
      </c>
      <c r="AG347" s="592" t="str">
        <f t="shared" si="127"/>
        <v>47.0284.1.2.17.00.01.039.01.07.58.3</v>
      </c>
      <c r="AH347" s="739" t="s">
        <v>2000</v>
      </c>
      <c r="AI347" s="158"/>
    </row>
    <row r="348" spans="1:35" ht="15" customHeight="1" outlineLevel="4">
      <c r="A348" s="93">
        <v>206045</v>
      </c>
      <c r="B348" s="93">
        <v>3451</v>
      </c>
      <c r="C348" s="93"/>
      <c r="D348" s="93"/>
      <c r="E348" s="93" t="s">
        <v>3064</v>
      </c>
      <c r="F348" s="93" t="s">
        <v>5172</v>
      </c>
      <c r="G348" s="37" t="s">
        <v>86</v>
      </c>
      <c r="H348" s="583">
        <f>IFERROR(VLOOKUP(A348,'Colar QL'!A:C,3,0),0)</f>
        <v>0</v>
      </c>
      <c r="I348" s="69">
        <f t="shared" si="128"/>
        <v>0</v>
      </c>
      <c r="J348" s="258">
        <f>'BD Temp'!E477</f>
        <v>0</v>
      </c>
      <c r="K348" s="590" t="str">
        <f t="shared" si="122"/>
        <v>47.0284.1.2.17.00.01.039.01.07.58.1</v>
      </c>
      <c r="L348" s="579" t="s">
        <v>1996</v>
      </c>
      <c r="M348" s="256">
        <f>'BD Temp'!F477</f>
        <v>0</v>
      </c>
      <c r="N348" s="255">
        <f>'BD Temp'!J477</f>
        <v>0</v>
      </c>
      <c r="O348" s="592" t="str">
        <f t="shared" si="123"/>
        <v>47.0284.1.2.17.00.01.039.01.07.58.2</v>
      </c>
      <c r="P348" s="578" t="s">
        <v>1998</v>
      </c>
      <c r="Q348" s="256">
        <f>'BD Temp'!K477</f>
        <v>0</v>
      </c>
      <c r="R348" s="255">
        <f>'BD Temp'!O477</f>
        <v>0</v>
      </c>
      <c r="S348" s="592" t="str">
        <f t="shared" si="124"/>
        <v>47.0284.1.2.17.00.01.039.01.07.58.3</v>
      </c>
      <c r="T348" s="578" t="s">
        <v>2000</v>
      </c>
      <c r="U348" s="256">
        <f>'BD Temp'!P477</f>
        <v>0</v>
      </c>
      <c r="V348" s="764"/>
      <c r="W348" s="764"/>
      <c r="X348" s="158"/>
      <c r="Y348" s="745"/>
      <c r="Z348" s="741">
        <v>0</v>
      </c>
      <c r="AA348" s="592" t="str">
        <f t="shared" si="125"/>
        <v>47.0284.1.2.17.00.01.039.01.07.58.1</v>
      </c>
      <c r="AB348" s="739" t="s">
        <v>1996</v>
      </c>
      <c r="AC348" s="738">
        <v>0</v>
      </c>
      <c r="AD348" s="592" t="str">
        <f t="shared" si="126"/>
        <v>47.0284.1.2.17.00.01.039.01.07.58.2</v>
      </c>
      <c r="AE348" s="739" t="s">
        <v>1998</v>
      </c>
      <c r="AF348" s="738">
        <v>0</v>
      </c>
      <c r="AG348" s="592" t="str">
        <f t="shared" si="127"/>
        <v>47.0284.1.2.17.00.01.039.01.07.58.3</v>
      </c>
      <c r="AH348" s="739" t="s">
        <v>2000</v>
      </c>
      <c r="AI348" s="158"/>
    </row>
    <row r="349" spans="1:35" ht="15" customHeight="1" outlineLevel="4">
      <c r="A349" s="93">
        <v>206050</v>
      </c>
      <c r="B349" s="93">
        <v>3451</v>
      </c>
      <c r="C349" s="93"/>
      <c r="D349" s="93"/>
      <c r="E349" s="93" t="s">
        <v>3064</v>
      </c>
      <c r="F349" s="93" t="s">
        <v>5172</v>
      </c>
      <c r="G349" s="37" t="s">
        <v>87</v>
      </c>
      <c r="H349" s="583">
        <f>IFERROR(VLOOKUP(A349,'Colar QL'!A:C,3,0),0)</f>
        <v>0</v>
      </c>
      <c r="I349" s="69">
        <f t="shared" si="128"/>
        <v>0</v>
      </c>
      <c r="J349" s="258">
        <f>'BD Temp'!E480</f>
        <v>0</v>
      </c>
      <c r="K349" s="590" t="str">
        <f t="shared" si="122"/>
        <v>47.0284.1.2.17.00.01.039.01.07.58.1</v>
      </c>
      <c r="L349" s="579" t="s">
        <v>1996</v>
      </c>
      <c r="M349" s="256" t="str">
        <f>'BD Temp'!F480</f>
        <v>-</v>
      </c>
      <c r="N349" s="255">
        <f>'BD Temp'!J480</f>
        <v>0</v>
      </c>
      <c r="O349" s="592" t="str">
        <f t="shared" si="123"/>
        <v>47.0284.1.2.17.00.01.039.01.07.58.2</v>
      </c>
      <c r="P349" s="578" t="s">
        <v>1998</v>
      </c>
      <c r="Q349" s="256" t="str">
        <f>'BD Temp'!K480</f>
        <v>-</v>
      </c>
      <c r="R349" s="255">
        <f>'BD Temp'!O480</f>
        <v>0</v>
      </c>
      <c r="S349" s="592" t="str">
        <f t="shared" si="124"/>
        <v>47.0284.1.2.17.00.01.039.01.07.58.3</v>
      </c>
      <c r="T349" s="578" t="s">
        <v>2000</v>
      </c>
      <c r="U349" s="256" t="str">
        <f>'BD Temp'!P480</f>
        <v>-</v>
      </c>
      <c r="V349" s="764"/>
      <c r="W349" s="764"/>
      <c r="X349" s="158"/>
      <c r="Y349" s="745"/>
      <c r="Z349" s="741">
        <v>0</v>
      </c>
      <c r="AA349" s="592" t="str">
        <f t="shared" si="125"/>
        <v>47.0284.1.2.17.00.01.039.01.07.58.1</v>
      </c>
      <c r="AB349" s="739" t="s">
        <v>1996</v>
      </c>
      <c r="AC349" s="738">
        <v>0</v>
      </c>
      <c r="AD349" s="592" t="str">
        <f t="shared" si="126"/>
        <v>47.0284.1.2.17.00.01.039.01.07.58.2</v>
      </c>
      <c r="AE349" s="739" t="s">
        <v>1998</v>
      </c>
      <c r="AF349" s="738">
        <v>0</v>
      </c>
      <c r="AG349" s="592" t="str">
        <f t="shared" si="127"/>
        <v>47.0284.1.2.17.00.01.039.01.07.58.3</v>
      </c>
      <c r="AH349" s="739" t="s">
        <v>2000</v>
      </c>
      <c r="AI349" s="158"/>
    </row>
    <row r="350" spans="1:35" ht="15" customHeight="1" outlineLevel="4">
      <c r="A350" s="93">
        <v>206055</v>
      </c>
      <c r="B350" s="93">
        <v>3451</v>
      </c>
      <c r="C350" s="93"/>
      <c r="D350" s="93"/>
      <c r="E350" s="93" t="s">
        <v>3064</v>
      </c>
      <c r="F350" s="93" t="s">
        <v>5172</v>
      </c>
      <c r="G350" s="37" t="s">
        <v>88</v>
      </c>
      <c r="H350" s="583">
        <f>IFERROR(VLOOKUP(A350,'Colar QL'!A:C,3,0),0)</f>
        <v>0</v>
      </c>
      <c r="I350" s="69">
        <f t="shared" si="128"/>
        <v>0</v>
      </c>
      <c r="J350" s="258">
        <f>'BD Temp'!E484</f>
        <v>0</v>
      </c>
      <c r="K350" s="590" t="str">
        <f t="shared" si="122"/>
        <v>47.0284.1.2.17.00.01.039.01.07.58.1</v>
      </c>
      <c r="L350" s="579" t="s">
        <v>1996</v>
      </c>
      <c r="M350" s="256" t="str">
        <f>'BD Temp'!F484</f>
        <v>-</v>
      </c>
      <c r="N350" s="255">
        <f>'BD Temp'!J484</f>
        <v>0</v>
      </c>
      <c r="O350" s="592" t="str">
        <f t="shared" si="123"/>
        <v>47.0284.1.2.17.00.01.039.01.07.58.2</v>
      </c>
      <c r="P350" s="578" t="s">
        <v>1998</v>
      </c>
      <c r="Q350" s="256" t="str">
        <f>'BD Temp'!K484</f>
        <v>-</v>
      </c>
      <c r="R350" s="255">
        <f>'BD Temp'!O484</f>
        <v>0</v>
      </c>
      <c r="S350" s="592" t="str">
        <f t="shared" si="124"/>
        <v>47.0284.1.2.17.00.01.039.01.07.58.3</v>
      </c>
      <c r="T350" s="578" t="s">
        <v>2000</v>
      </c>
      <c r="U350" s="256" t="str">
        <f>'BD Temp'!P484</f>
        <v>-</v>
      </c>
      <c r="V350" s="764"/>
      <c r="W350" s="764"/>
      <c r="X350" s="172"/>
      <c r="Y350" s="745"/>
      <c r="Z350" s="741">
        <v>0</v>
      </c>
      <c r="AA350" s="592" t="str">
        <f t="shared" si="125"/>
        <v>47.0284.1.2.17.00.01.039.01.07.58.1</v>
      </c>
      <c r="AB350" s="739" t="s">
        <v>1996</v>
      </c>
      <c r="AC350" s="738">
        <v>0</v>
      </c>
      <c r="AD350" s="592" t="str">
        <f t="shared" si="126"/>
        <v>47.0284.1.2.17.00.01.039.01.07.58.2</v>
      </c>
      <c r="AE350" s="739" t="s">
        <v>1998</v>
      </c>
      <c r="AF350" s="738">
        <v>0</v>
      </c>
      <c r="AG350" s="592" t="str">
        <f t="shared" si="127"/>
        <v>47.0284.1.2.17.00.01.039.01.07.58.3</v>
      </c>
      <c r="AH350" s="739" t="s">
        <v>2000</v>
      </c>
      <c r="AI350" s="158"/>
    </row>
    <row r="351" spans="1:35" ht="15" customHeight="1" outlineLevel="4">
      <c r="A351" s="93">
        <v>206060</v>
      </c>
      <c r="B351" s="93">
        <v>3451</v>
      </c>
      <c r="C351" s="93"/>
      <c r="D351" s="93"/>
      <c r="E351" s="93" t="s">
        <v>3064</v>
      </c>
      <c r="F351" s="93" t="s">
        <v>5172</v>
      </c>
      <c r="G351" s="37" t="s">
        <v>89</v>
      </c>
      <c r="H351" s="583">
        <f>IFERROR(VLOOKUP(A351,'Colar QL'!A:C,3,0),0)</f>
        <v>0</v>
      </c>
      <c r="I351" s="69">
        <f t="shared" si="128"/>
        <v>0</v>
      </c>
      <c r="J351" s="258">
        <f>'BD Temp'!E485</f>
        <v>0</v>
      </c>
      <c r="K351" s="590" t="str">
        <f t="shared" si="122"/>
        <v>47.0284.1.2.17.00.01.039.01.07.58.1</v>
      </c>
      <c r="L351" s="579" t="s">
        <v>1996</v>
      </c>
      <c r="M351" s="256" t="str">
        <f>'BD Temp'!F485</f>
        <v>-</v>
      </c>
      <c r="N351" s="255">
        <f>'BD Temp'!J485</f>
        <v>0</v>
      </c>
      <c r="O351" s="592" t="str">
        <f t="shared" si="123"/>
        <v>47.0284.1.2.17.00.01.039.01.07.58.2</v>
      </c>
      <c r="P351" s="578" t="s">
        <v>1998</v>
      </c>
      <c r="Q351" s="256" t="str">
        <f>'BD Temp'!K485</f>
        <v>-</v>
      </c>
      <c r="R351" s="255">
        <f>'BD Temp'!O485</f>
        <v>0</v>
      </c>
      <c r="S351" s="592" t="str">
        <f t="shared" si="124"/>
        <v>47.0284.1.2.17.00.01.039.01.07.58.3</v>
      </c>
      <c r="T351" s="578" t="s">
        <v>2000</v>
      </c>
      <c r="U351" s="256" t="str">
        <f>'BD Temp'!P485</f>
        <v>-</v>
      </c>
      <c r="V351" s="764"/>
      <c r="W351" s="764"/>
      <c r="X351" s="158"/>
      <c r="Y351" s="745"/>
      <c r="Z351" s="741">
        <v>0</v>
      </c>
      <c r="AA351" s="592" t="str">
        <f t="shared" si="125"/>
        <v>47.0284.1.2.17.00.01.039.01.07.58.1</v>
      </c>
      <c r="AB351" s="739" t="s">
        <v>1996</v>
      </c>
      <c r="AC351" s="738">
        <v>0</v>
      </c>
      <c r="AD351" s="592" t="str">
        <f t="shared" si="126"/>
        <v>47.0284.1.2.17.00.01.039.01.07.58.2</v>
      </c>
      <c r="AE351" s="739" t="s">
        <v>1998</v>
      </c>
      <c r="AF351" s="738">
        <v>0</v>
      </c>
      <c r="AG351" s="592" t="str">
        <f t="shared" si="127"/>
        <v>47.0284.1.2.17.00.01.039.01.07.58.3</v>
      </c>
      <c r="AH351" s="739" t="s">
        <v>2000</v>
      </c>
      <c r="AI351" s="158"/>
    </row>
    <row r="352" spans="1:35" ht="15" customHeight="1" outlineLevel="4">
      <c r="A352" s="102">
        <v>206065</v>
      </c>
      <c r="B352" s="102">
        <v>3451</v>
      </c>
      <c r="C352" s="102"/>
      <c r="D352" s="102"/>
      <c r="E352" s="102" t="s">
        <v>3064</v>
      </c>
      <c r="F352" s="102" t="s">
        <v>5172</v>
      </c>
      <c r="G352" s="38" t="s">
        <v>681</v>
      </c>
      <c r="H352" s="583">
        <f>IFERROR(VLOOKUP(A352,'Colar QL'!A:C,3,0),0)</f>
        <v>1</v>
      </c>
      <c r="I352" s="69">
        <f t="shared" si="128"/>
        <v>2</v>
      </c>
      <c r="J352" s="258">
        <f>'BD Temp'!E486</f>
        <v>2</v>
      </c>
      <c r="K352" s="590" t="str">
        <f t="shared" si="122"/>
        <v>47.0284.1.2.17.00.01.039.01.07.58.1</v>
      </c>
      <c r="L352" s="579" t="s">
        <v>1996</v>
      </c>
      <c r="M352" s="256">
        <f>'BD Temp'!F486</f>
        <v>0.28125455494896751</v>
      </c>
      <c r="N352" s="706">
        <f>'BD Temp'!J486</f>
        <v>0</v>
      </c>
      <c r="O352" s="592" t="str">
        <f t="shared" si="123"/>
        <v>47.0284.1.2.17.00.01.039.01.07.58.2</v>
      </c>
      <c r="P352" s="578" t="s">
        <v>1998</v>
      </c>
      <c r="Q352" s="256" t="str">
        <f>'BD Temp'!K486</f>
        <v>-</v>
      </c>
      <c r="R352" s="255">
        <f>'BD Temp'!O486</f>
        <v>0</v>
      </c>
      <c r="S352" s="592" t="str">
        <f t="shared" si="124"/>
        <v>47.0284.1.2.17.00.01.039.01.07.58.3</v>
      </c>
      <c r="T352" s="578" t="s">
        <v>2000</v>
      </c>
      <c r="U352" s="256" t="str">
        <f>'BD Temp'!P486</f>
        <v>-</v>
      </c>
      <c r="V352" s="768"/>
      <c r="W352" s="768"/>
      <c r="X352" s="172"/>
      <c r="Y352" s="746"/>
      <c r="Z352" s="741">
        <v>0</v>
      </c>
      <c r="AA352" s="592" t="str">
        <f t="shared" si="125"/>
        <v>47.0284.1.2.17.00.01.039.01.07.58.1</v>
      </c>
      <c r="AB352" s="739" t="s">
        <v>1996</v>
      </c>
      <c r="AC352" s="738">
        <v>0</v>
      </c>
      <c r="AD352" s="592" t="str">
        <f t="shared" si="126"/>
        <v>47.0284.1.2.17.00.01.039.01.07.58.2</v>
      </c>
      <c r="AE352" s="739" t="s">
        <v>1998</v>
      </c>
      <c r="AF352" s="738">
        <v>0</v>
      </c>
      <c r="AG352" s="592" t="str">
        <f t="shared" si="127"/>
        <v>47.0284.1.2.17.00.01.039.01.07.58.3</v>
      </c>
      <c r="AH352" s="739" t="s">
        <v>2000</v>
      </c>
      <c r="AI352" s="172"/>
    </row>
    <row r="353" spans="1:35" s="26" customFormat="1" ht="15" customHeight="1" outlineLevel="4">
      <c r="A353" s="93">
        <v>206125</v>
      </c>
      <c r="B353" s="93">
        <v>3451</v>
      </c>
      <c r="C353" s="93"/>
      <c r="D353" s="93"/>
      <c r="E353" s="93" t="s">
        <v>3072</v>
      </c>
      <c r="F353" s="93" t="s">
        <v>5171</v>
      </c>
      <c r="G353" s="37" t="s">
        <v>635</v>
      </c>
      <c r="H353" s="583">
        <f>IFERROR(VLOOKUP(A353,'Colar QL'!A:C,3,0),0)</f>
        <v>1</v>
      </c>
      <c r="I353" s="69">
        <f t="shared" si="128"/>
        <v>1</v>
      </c>
      <c r="J353" s="258">
        <f>'BD Temp'!E493</f>
        <v>1</v>
      </c>
      <c r="K353" s="590" t="str">
        <f t="shared" si="122"/>
        <v>47.0284.1.2.17.00.01.039.01.07.59.1</v>
      </c>
      <c r="L353" s="579" t="s">
        <v>1996</v>
      </c>
      <c r="M353" s="256">
        <f>'BD Temp'!F493</f>
        <v>0.4</v>
      </c>
      <c r="N353" s="255">
        <f>'BD Temp'!J493</f>
        <v>0</v>
      </c>
      <c r="O353" s="592" t="str">
        <f t="shared" si="123"/>
        <v>47.0284.1.2.17.00.01.039.01.07.59.2</v>
      </c>
      <c r="P353" s="578" t="s">
        <v>1998</v>
      </c>
      <c r="Q353" s="256" t="str">
        <f>'BD Temp'!K493</f>
        <v>-</v>
      </c>
      <c r="R353" s="255">
        <f>'BD Temp'!O493</f>
        <v>0</v>
      </c>
      <c r="S353" s="592" t="str">
        <f t="shared" si="124"/>
        <v>47.0284.1.2.17.00.01.039.01.07.59.3</v>
      </c>
      <c r="T353" s="578" t="s">
        <v>2000</v>
      </c>
      <c r="U353" s="256" t="str">
        <f>'BD Temp'!P493</f>
        <v>-</v>
      </c>
      <c r="V353" s="764"/>
      <c r="W353" s="764"/>
      <c r="X353" s="158" t="s">
        <v>3078</v>
      </c>
      <c r="Y353" s="745"/>
      <c r="Z353" s="741">
        <v>0</v>
      </c>
      <c r="AA353" s="592" t="str">
        <f t="shared" si="125"/>
        <v>47.0284.1.2.17.00.01.039.01.07.59.1</v>
      </c>
      <c r="AB353" s="739" t="s">
        <v>1996</v>
      </c>
      <c r="AC353" s="738">
        <v>0</v>
      </c>
      <c r="AD353" s="592" t="str">
        <f t="shared" si="126"/>
        <v>47.0284.1.2.17.00.01.039.01.07.59.2</v>
      </c>
      <c r="AE353" s="739" t="s">
        <v>1998</v>
      </c>
      <c r="AF353" s="738">
        <v>0</v>
      </c>
      <c r="AG353" s="592" t="str">
        <f t="shared" si="127"/>
        <v>47.0284.1.2.17.00.01.039.01.07.59.3</v>
      </c>
      <c r="AH353" s="739" t="s">
        <v>2000</v>
      </c>
      <c r="AI353" s="158"/>
    </row>
    <row r="354" spans="1:35" s="26" customFormat="1" ht="15" customHeight="1" outlineLevel="4">
      <c r="A354" s="93">
        <v>206175</v>
      </c>
      <c r="B354" s="93">
        <v>3451</v>
      </c>
      <c r="C354" s="93"/>
      <c r="D354" s="93"/>
      <c r="E354" s="93" t="s">
        <v>3064</v>
      </c>
      <c r="F354" s="93" t="s">
        <v>5172</v>
      </c>
      <c r="G354" s="37" t="s">
        <v>217</v>
      </c>
      <c r="H354" s="583">
        <f>IFERROR(VLOOKUP(A354,'Colar QL'!A:C,3,0),0)</f>
        <v>0</v>
      </c>
      <c r="I354" s="69">
        <f t="shared" si="128"/>
        <v>0</v>
      </c>
      <c r="J354" s="771">
        <f>'BD Temp'!E494</f>
        <v>0</v>
      </c>
      <c r="K354" s="590" t="str">
        <f t="shared" si="122"/>
        <v>47.0284.1.2.17.00.01.039.01.07.58.1</v>
      </c>
      <c r="L354" s="579" t="s">
        <v>1996</v>
      </c>
      <c r="M354" s="256" t="str">
        <f>'BD Temp'!F494</f>
        <v>-</v>
      </c>
      <c r="N354" s="255">
        <f>'BD Temp'!J494</f>
        <v>0</v>
      </c>
      <c r="O354" s="592" t="str">
        <f t="shared" si="123"/>
        <v>47.0284.1.2.17.00.01.039.01.07.58.2</v>
      </c>
      <c r="P354" s="578" t="s">
        <v>1998</v>
      </c>
      <c r="Q354" s="256" t="str">
        <f>'BD Temp'!K494</f>
        <v>-</v>
      </c>
      <c r="R354" s="255">
        <f>'BD Temp'!O494</f>
        <v>0</v>
      </c>
      <c r="S354" s="592" t="str">
        <f t="shared" si="124"/>
        <v>47.0284.1.2.17.00.01.039.01.07.58.3</v>
      </c>
      <c r="T354" s="578" t="s">
        <v>2000</v>
      </c>
      <c r="U354" s="256" t="str">
        <f>'BD Temp'!P494</f>
        <v>-</v>
      </c>
      <c r="V354" s="764"/>
      <c r="W354" s="764"/>
      <c r="X354" s="158"/>
      <c r="Y354" s="745"/>
      <c r="Z354" s="741">
        <v>0</v>
      </c>
      <c r="AA354" s="592" t="str">
        <f t="shared" si="125"/>
        <v>47.0284.1.2.17.00.01.039.01.07.58.1</v>
      </c>
      <c r="AB354" s="739" t="s">
        <v>1996</v>
      </c>
      <c r="AC354" s="738">
        <v>0</v>
      </c>
      <c r="AD354" s="592" t="str">
        <f t="shared" si="126"/>
        <v>47.0284.1.2.17.00.01.039.01.07.58.2</v>
      </c>
      <c r="AE354" s="739" t="s">
        <v>1998</v>
      </c>
      <c r="AF354" s="738">
        <v>0</v>
      </c>
      <c r="AG354" s="592" t="str">
        <f t="shared" si="127"/>
        <v>47.0284.1.2.17.00.01.039.01.07.58.3</v>
      </c>
      <c r="AH354" s="739" t="s">
        <v>2000</v>
      </c>
      <c r="AI354" s="158"/>
    </row>
    <row r="355" spans="1:35" ht="15" customHeight="1" outlineLevel="4">
      <c r="A355" s="93">
        <v>206180</v>
      </c>
      <c r="B355" s="93">
        <v>3451</v>
      </c>
      <c r="C355" s="93"/>
      <c r="D355" s="93"/>
      <c r="E355" s="93" t="s">
        <v>2924</v>
      </c>
      <c r="F355" s="93" t="s">
        <v>5169</v>
      </c>
      <c r="G355" s="37" t="s">
        <v>104</v>
      </c>
      <c r="H355" s="583">
        <f>IFERROR(VLOOKUP(A355,'Colar QL'!A:C,3,0),0)</f>
        <v>0</v>
      </c>
      <c r="I355" s="69">
        <f t="shared" si="128"/>
        <v>0</v>
      </c>
      <c r="J355" s="771">
        <f>'BD Temp'!E495</f>
        <v>0</v>
      </c>
      <c r="K355" s="590" t="str">
        <f t="shared" si="122"/>
        <v>47.0284.1.2.17.00.01.039.01.07.03.1</v>
      </c>
      <c r="L355" s="579" t="s">
        <v>1996</v>
      </c>
      <c r="M355" s="256" t="str">
        <f>'BD Temp'!F495</f>
        <v>-</v>
      </c>
      <c r="N355" s="255">
        <f>'BD Temp'!J495</f>
        <v>0</v>
      </c>
      <c r="O355" s="592" t="str">
        <f t="shared" si="123"/>
        <v>47.0284.1.2.17.00.01.039.01.07.03.2</v>
      </c>
      <c r="P355" s="578" t="s">
        <v>1998</v>
      </c>
      <c r="Q355" s="256" t="str">
        <f>'BD Temp'!K495</f>
        <v>-</v>
      </c>
      <c r="R355" s="255">
        <f>'BD Temp'!O495</f>
        <v>0</v>
      </c>
      <c r="S355" s="592" t="str">
        <f t="shared" si="124"/>
        <v>47.0284.1.2.17.00.01.039.01.07.03.3</v>
      </c>
      <c r="T355" s="578" t="s">
        <v>2000</v>
      </c>
      <c r="U355" s="256" t="str">
        <f>'BD Temp'!P495</f>
        <v>-</v>
      </c>
      <c r="V355" s="764"/>
      <c r="W355" s="764"/>
      <c r="X355" s="158"/>
      <c r="Y355" s="745"/>
      <c r="Z355" s="741">
        <v>0</v>
      </c>
      <c r="AA355" s="592" t="str">
        <f t="shared" si="125"/>
        <v>47.0284.1.2.17.00.01.039.01.07.03.1</v>
      </c>
      <c r="AB355" s="739" t="s">
        <v>1996</v>
      </c>
      <c r="AC355" s="738">
        <v>0</v>
      </c>
      <c r="AD355" s="592" t="str">
        <f t="shared" si="126"/>
        <v>47.0284.1.2.17.00.01.039.01.07.03.2</v>
      </c>
      <c r="AE355" s="739" t="s">
        <v>1998</v>
      </c>
      <c r="AF355" s="738">
        <v>0</v>
      </c>
      <c r="AG355" s="592" t="str">
        <f t="shared" si="127"/>
        <v>47.0284.1.2.17.00.01.039.01.07.03.3</v>
      </c>
      <c r="AH355" s="739" t="s">
        <v>2000</v>
      </c>
      <c r="AI355" s="158"/>
    </row>
    <row r="356" spans="1:35" s="26" customFormat="1" ht="15" customHeight="1" outlineLevel="4">
      <c r="A356" s="93">
        <v>206185</v>
      </c>
      <c r="B356" s="93">
        <v>3451</v>
      </c>
      <c r="C356" s="93"/>
      <c r="D356" s="93"/>
      <c r="E356" s="93" t="s">
        <v>3060</v>
      </c>
      <c r="F356" s="93" t="s">
        <v>5157</v>
      </c>
      <c r="G356" s="37" t="s">
        <v>218</v>
      </c>
      <c r="H356" s="583">
        <f>IFERROR(VLOOKUP(A356,'Colar QL'!A:C,3,0),0)</f>
        <v>0</v>
      </c>
      <c r="I356" s="69">
        <f t="shared" si="128"/>
        <v>0</v>
      </c>
      <c r="J356" s="258">
        <f>'BD Temp'!E496</f>
        <v>0</v>
      </c>
      <c r="K356" s="590" t="str">
        <f t="shared" si="122"/>
        <v>47.0284.1.2.17.00.01.039.01.06.29.1</v>
      </c>
      <c r="L356" s="579" t="s">
        <v>1996</v>
      </c>
      <c r="M356" s="256" t="str">
        <f>'BD Temp'!F496</f>
        <v>-</v>
      </c>
      <c r="N356" s="255">
        <f>'BD Temp'!J496</f>
        <v>0</v>
      </c>
      <c r="O356" s="592" t="str">
        <f t="shared" si="123"/>
        <v>47.0284.1.2.17.00.01.039.01.06.29.2</v>
      </c>
      <c r="P356" s="578" t="s">
        <v>1998</v>
      </c>
      <c r="Q356" s="256" t="str">
        <f>'BD Temp'!K496</f>
        <v>-</v>
      </c>
      <c r="R356" s="255">
        <f>'BD Temp'!O496</f>
        <v>0</v>
      </c>
      <c r="S356" s="592" t="str">
        <f t="shared" si="124"/>
        <v>47.0284.1.2.17.00.01.039.01.06.29.3</v>
      </c>
      <c r="T356" s="578" t="s">
        <v>2000</v>
      </c>
      <c r="U356" s="256" t="str">
        <f>'BD Temp'!P496</f>
        <v>-</v>
      </c>
      <c r="V356" s="764"/>
      <c r="W356" s="764"/>
      <c r="X356" s="158"/>
      <c r="Y356" s="745"/>
      <c r="Z356" s="741">
        <v>0</v>
      </c>
      <c r="AA356" s="592" t="str">
        <f t="shared" si="125"/>
        <v>47.0284.1.2.17.00.01.039.01.06.29.1</v>
      </c>
      <c r="AB356" s="739" t="s">
        <v>1996</v>
      </c>
      <c r="AC356" s="738">
        <v>0</v>
      </c>
      <c r="AD356" s="592" t="str">
        <f t="shared" si="126"/>
        <v>47.0284.1.2.17.00.01.039.01.06.29.2</v>
      </c>
      <c r="AE356" s="739" t="s">
        <v>1998</v>
      </c>
      <c r="AF356" s="738">
        <v>0</v>
      </c>
      <c r="AG356" s="592" t="str">
        <f t="shared" si="127"/>
        <v>47.0284.1.2.17.00.01.039.01.06.29.3</v>
      </c>
      <c r="AH356" s="739" t="s">
        <v>2000</v>
      </c>
      <c r="AI356" s="158"/>
    </row>
    <row r="357" spans="1:35" ht="15" customHeight="1" outlineLevel="4">
      <c r="A357" s="93">
        <v>206190</v>
      </c>
      <c r="B357" s="93">
        <v>3451</v>
      </c>
      <c r="C357" s="93"/>
      <c r="D357" s="93"/>
      <c r="E357" s="93" t="s">
        <v>3060</v>
      </c>
      <c r="F357" s="93" t="s">
        <v>5157</v>
      </c>
      <c r="G357" s="37" t="s">
        <v>105</v>
      </c>
      <c r="H357" s="583">
        <f>IFERROR(VLOOKUP(A357,'Colar QL'!A:C,3,0),0)</f>
        <v>0</v>
      </c>
      <c r="I357" s="69">
        <f t="shared" si="128"/>
        <v>0</v>
      </c>
      <c r="J357" s="258">
        <f>'BD Temp'!E497</f>
        <v>0</v>
      </c>
      <c r="K357" s="590" t="str">
        <f t="shared" si="122"/>
        <v>47.0284.1.2.17.00.01.039.01.06.29.1</v>
      </c>
      <c r="L357" s="579" t="s">
        <v>1996</v>
      </c>
      <c r="M357" s="256" t="str">
        <f>'BD Temp'!F497</f>
        <v>-</v>
      </c>
      <c r="N357" s="255">
        <f>'BD Temp'!J497</f>
        <v>0</v>
      </c>
      <c r="O357" s="592" t="str">
        <f t="shared" si="123"/>
        <v>47.0284.1.2.17.00.01.039.01.06.29.2</v>
      </c>
      <c r="P357" s="578" t="s">
        <v>1998</v>
      </c>
      <c r="Q357" s="256" t="str">
        <f>'BD Temp'!K497</f>
        <v>-</v>
      </c>
      <c r="R357" s="255">
        <f>'BD Temp'!O497</f>
        <v>0</v>
      </c>
      <c r="S357" s="592" t="str">
        <f t="shared" si="124"/>
        <v>47.0284.1.2.17.00.01.039.01.06.29.3</v>
      </c>
      <c r="T357" s="578" t="s">
        <v>2000</v>
      </c>
      <c r="U357" s="256" t="str">
        <f>'BD Temp'!P497</f>
        <v>-</v>
      </c>
      <c r="V357" s="764"/>
      <c r="W357" s="764"/>
      <c r="X357" s="158"/>
      <c r="Y357" s="745"/>
      <c r="Z357" s="741">
        <v>0</v>
      </c>
      <c r="AA357" s="592" t="str">
        <f t="shared" si="125"/>
        <v>47.0284.1.2.17.00.01.039.01.06.29.1</v>
      </c>
      <c r="AB357" s="739" t="s">
        <v>1996</v>
      </c>
      <c r="AC357" s="738">
        <v>0</v>
      </c>
      <c r="AD357" s="592" t="str">
        <f t="shared" si="126"/>
        <v>47.0284.1.2.17.00.01.039.01.06.29.2</v>
      </c>
      <c r="AE357" s="739" t="s">
        <v>1998</v>
      </c>
      <c r="AF357" s="738">
        <v>0</v>
      </c>
      <c r="AG357" s="592" t="str">
        <f t="shared" si="127"/>
        <v>47.0284.1.2.17.00.01.039.01.06.29.3</v>
      </c>
      <c r="AH357" s="739" t="s">
        <v>2000</v>
      </c>
      <c r="AI357" s="158"/>
    </row>
    <row r="358" spans="1:35" s="26" customFormat="1" ht="15" customHeight="1" outlineLevel="4">
      <c r="A358" s="93">
        <v>206195</v>
      </c>
      <c r="B358" s="93">
        <v>3451</v>
      </c>
      <c r="C358" s="93"/>
      <c r="D358" s="93"/>
      <c r="E358" s="93" t="s">
        <v>3060</v>
      </c>
      <c r="F358" s="93" t="s">
        <v>5157</v>
      </c>
      <c r="G358" s="37" t="s">
        <v>106</v>
      </c>
      <c r="H358" s="583">
        <f>IFERROR(VLOOKUP(A358,'Colar QL'!A:C,3,0),0)</f>
        <v>1</v>
      </c>
      <c r="I358" s="69">
        <f t="shared" si="128"/>
        <v>1</v>
      </c>
      <c r="J358" s="258">
        <f>'BD Temp'!E498</f>
        <v>1</v>
      </c>
      <c r="K358" s="590" t="str">
        <f t="shared" si="122"/>
        <v>47.0284.1.2.17.00.01.039.01.06.29.1</v>
      </c>
      <c r="L358" s="579" t="s">
        <v>1996</v>
      </c>
      <c r="M358" s="256">
        <f>'BD Temp'!F498</f>
        <v>0.70699264182292909</v>
      </c>
      <c r="N358" s="255">
        <f>'BD Temp'!J498</f>
        <v>0</v>
      </c>
      <c r="O358" s="592" t="str">
        <f t="shared" si="123"/>
        <v>47.0284.1.2.17.00.01.039.01.06.29.2</v>
      </c>
      <c r="P358" s="578" t="s">
        <v>1998</v>
      </c>
      <c r="Q358" s="256" t="str">
        <f>'BD Temp'!K498</f>
        <v>-</v>
      </c>
      <c r="R358" s="255">
        <f>'BD Temp'!O498</f>
        <v>0</v>
      </c>
      <c r="S358" s="592" t="str">
        <f t="shared" si="124"/>
        <v>47.0284.1.2.17.00.01.039.01.06.29.3</v>
      </c>
      <c r="T358" s="578" t="s">
        <v>2000</v>
      </c>
      <c r="U358" s="256" t="str">
        <f>'BD Temp'!P498</f>
        <v>-</v>
      </c>
      <c r="V358" s="764"/>
      <c r="W358" s="764"/>
      <c r="X358" s="158"/>
      <c r="Y358" s="745"/>
      <c r="Z358" s="741">
        <v>0</v>
      </c>
      <c r="AA358" s="592" t="str">
        <f t="shared" si="125"/>
        <v>47.0284.1.2.17.00.01.039.01.06.29.1</v>
      </c>
      <c r="AB358" s="739" t="s">
        <v>1996</v>
      </c>
      <c r="AC358" s="738">
        <v>0</v>
      </c>
      <c r="AD358" s="592" t="str">
        <f t="shared" si="126"/>
        <v>47.0284.1.2.17.00.01.039.01.06.29.2</v>
      </c>
      <c r="AE358" s="739" t="s">
        <v>1998</v>
      </c>
      <c r="AF358" s="738">
        <v>0</v>
      </c>
      <c r="AG358" s="592" t="str">
        <f t="shared" si="127"/>
        <v>47.0284.1.2.17.00.01.039.01.06.29.3</v>
      </c>
      <c r="AH358" s="739" t="s">
        <v>2000</v>
      </c>
      <c r="AI358" s="158"/>
    </row>
    <row r="359" spans="1:35" ht="15" customHeight="1" outlineLevel="4">
      <c r="A359" s="93">
        <v>206200</v>
      </c>
      <c r="B359" s="93">
        <v>3451</v>
      </c>
      <c r="C359" s="93"/>
      <c r="D359" s="93"/>
      <c r="E359" s="93" t="s">
        <v>3060</v>
      </c>
      <c r="F359" s="93" t="s">
        <v>5157</v>
      </c>
      <c r="G359" s="37" t="s">
        <v>639</v>
      </c>
      <c r="H359" s="583">
        <f>IFERROR(VLOOKUP(A359,'Colar QL'!A:C,3,0),0)</f>
        <v>0</v>
      </c>
      <c r="I359" s="69">
        <f t="shared" si="128"/>
        <v>0</v>
      </c>
      <c r="J359" s="258">
        <f>'BD Temp'!E501</f>
        <v>0</v>
      </c>
      <c r="K359" s="590" t="str">
        <f t="shared" si="122"/>
        <v>47.0284.1.2.17.00.01.039.01.06.29.1</v>
      </c>
      <c r="L359" s="579" t="s">
        <v>1996</v>
      </c>
      <c r="M359" s="256" t="str">
        <f>'BD Temp'!F501</f>
        <v>-</v>
      </c>
      <c r="N359" s="255">
        <f>'BD Temp'!J501</f>
        <v>0</v>
      </c>
      <c r="O359" s="592" t="str">
        <f t="shared" si="123"/>
        <v>47.0284.1.2.17.00.01.039.01.06.29.2</v>
      </c>
      <c r="P359" s="578" t="s">
        <v>1998</v>
      </c>
      <c r="Q359" s="256" t="str">
        <f>'BD Temp'!K501</f>
        <v>-</v>
      </c>
      <c r="R359" s="255">
        <f>'BD Temp'!O501</f>
        <v>0</v>
      </c>
      <c r="S359" s="592" t="str">
        <f t="shared" si="124"/>
        <v>47.0284.1.2.17.00.01.039.01.06.29.3</v>
      </c>
      <c r="T359" s="578" t="s">
        <v>2000</v>
      </c>
      <c r="U359" s="256" t="str">
        <f>'BD Temp'!P501</f>
        <v>-</v>
      </c>
      <c r="V359" s="764"/>
      <c r="W359" s="764"/>
      <c r="X359" s="158"/>
      <c r="Y359" s="745"/>
      <c r="Z359" s="741">
        <v>0</v>
      </c>
      <c r="AA359" s="592" t="str">
        <f t="shared" si="125"/>
        <v>47.0284.1.2.17.00.01.039.01.06.29.1</v>
      </c>
      <c r="AB359" s="739" t="s">
        <v>1996</v>
      </c>
      <c r="AC359" s="738">
        <v>0</v>
      </c>
      <c r="AD359" s="592" t="str">
        <f t="shared" si="126"/>
        <v>47.0284.1.2.17.00.01.039.01.06.29.2</v>
      </c>
      <c r="AE359" s="739" t="s">
        <v>1998</v>
      </c>
      <c r="AF359" s="738">
        <v>0</v>
      </c>
      <c r="AG359" s="592" t="str">
        <f t="shared" si="127"/>
        <v>47.0284.1.2.17.00.01.039.01.06.29.3</v>
      </c>
      <c r="AH359" s="739" t="s">
        <v>2000</v>
      </c>
      <c r="AI359" s="158"/>
    </row>
    <row r="360" spans="1:35" ht="15" customHeight="1" outlineLevel="4">
      <c r="A360" s="93">
        <v>206205</v>
      </c>
      <c r="B360" s="93">
        <v>3451</v>
      </c>
      <c r="C360" s="93"/>
      <c r="D360" s="93"/>
      <c r="E360" s="93" t="s">
        <v>3060</v>
      </c>
      <c r="F360" s="93" t="s">
        <v>5157</v>
      </c>
      <c r="G360" s="37" t="s">
        <v>640</v>
      </c>
      <c r="H360" s="583">
        <f>IFERROR(VLOOKUP(A360,'Colar QL'!A:C,3,0),0)</f>
        <v>0</v>
      </c>
      <c r="I360" s="69">
        <f t="shared" si="128"/>
        <v>0</v>
      </c>
      <c r="J360" s="258">
        <f>'BD Temp'!E502</f>
        <v>0</v>
      </c>
      <c r="K360" s="590" t="str">
        <f t="shared" si="122"/>
        <v>47.0284.1.2.17.00.01.039.01.06.29.1</v>
      </c>
      <c r="L360" s="579" t="s">
        <v>1996</v>
      </c>
      <c r="M360" s="256" t="str">
        <f>'BD Temp'!F502</f>
        <v>-</v>
      </c>
      <c r="N360" s="255">
        <f>'BD Temp'!J502</f>
        <v>0</v>
      </c>
      <c r="O360" s="592" t="str">
        <f t="shared" si="123"/>
        <v>47.0284.1.2.17.00.01.039.01.06.29.2</v>
      </c>
      <c r="P360" s="578" t="s">
        <v>1998</v>
      </c>
      <c r="Q360" s="256" t="str">
        <f>'BD Temp'!K502</f>
        <v>-</v>
      </c>
      <c r="R360" s="255">
        <f>'BD Temp'!O502</f>
        <v>0</v>
      </c>
      <c r="S360" s="592" t="str">
        <f t="shared" si="124"/>
        <v>47.0284.1.2.17.00.01.039.01.06.29.3</v>
      </c>
      <c r="T360" s="578" t="s">
        <v>2000</v>
      </c>
      <c r="U360" s="256" t="str">
        <f>'BD Temp'!P502</f>
        <v>-</v>
      </c>
      <c r="V360" s="764"/>
      <c r="W360" s="764"/>
      <c r="X360" s="158"/>
      <c r="Y360" s="745"/>
      <c r="Z360" s="741">
        <v>0</v>
      </c>
      <c r="AA360" s="592" t="str">
        <f t="shared" si="125"/>
        <v>47.0284.1.2.17.00.01.039.01.06.29.1</v>
      </c>
      <c r="AB360" s="739" t="s">
        <v>1996</v>
      </c>
      <c r="AC360" s="738">
        <v>0</v>
      </c>
      <c r="AD360" s="592" t="str">
        <f t="shared" si="126"/>
        <v>47.0284.1.2.17.00.01.039.01.06.29.2</v>
      </c>
      <c r="AE360" s="739" t="s">
        <v>1998</v>
      </c>
      <c r="AF360" s="738">
        <v>0</v>
      </c>
      <c r="AG360" s="592" t="str">
        <f t="shared" si="127"/>
        <v>47.0284.1.2.17.00.01.039.01.06.29.3</v>
      </c>
      <c r="AH360" s="739" t="s">
        <v>2000</v>
      </c>
      <c r="AI360" s="158"/>
    </row>
    <row r="361" spans="1:35" ht="15" customHeight="1" outlineLevel="4">
      <c r="A361" s="93">
        <v>206210</v>
      </c>
      <c r="B361" s="93">
        <v>3451</v>
      </c>
      <c r="C361" s="93"/>
      <c r="D361" s="93"/>
      <c r="E361" s="93" t="s">
        <v>3072</v>
      </c>
      <c r="F361" s="93" t="s">
        <v>5171</v>
      </c>
      <c r="G361" s="37" t="s">
        <v>641</v>
      </c>
      <c r="H361" s="583">
        <f>IFERROR(VLOOKUP(A361,'Colar QL'!A:C,3,0),0)</f>
        <v>0</v>
      </c>
      <c r="I361" s="69">
        <f t="shared" si="128"/>
        <v>0</v>
      </c>
      <c r="J361" s="258">
        <f>'BD Temp'!E503</f>
        <v>0</v>
      </c>
      <c r="K361" s="590" t="str">
        <f t="shared" si="122"/>
        <v>47.0284.1.2.17.00.01.039.01.07.59.1</v>
      </c>
      <c r="L361" s="579" t="s">
        <v>1996</v>
      </c>
      <c r="M361" s="256" t="str">
        <f>'BD Temp'!F503</f>
        <v>-</v>
      </c>
      <c r="N361" s="255">
        <f>'BD Temp'!J503</f>
        <v>0</v>
      </c>
      <c r="O361" s="592" t="str">
        <f t="shared" si="123"/>
        <v>47.0284.1.2.17.00.01.039.01.07.59.2</v>
      </c>
      <c r="P361" s="578" t="s">
        <v>1998</v>
      </c>
      <c r="Q361" s="256" t="str">
        <f>'BD Temp'!K503</f>
        <v>-</v>
      </c>
      <c r="R361" s="255">
        <f>'BD Temp'!O503</f>
        <v>0</v>
      </c>
      <c r="S361" s="592" t="str">
        <f t="shared" si="124"/>
        <v>47.0284.1.2.17.00.01.039.01.07.59.3</v>
      </c>
      <c r="T361" s="578" t="s">
        <v>2000</v>
      </c>
      <c r="U361" s="256" t="str">
        <f>'BD Temp'!P503</f>
        <v>-</v>
      </c>
      <c r="V361" s="764"/>
      <c r="W361" s="764"/>
      <c r="X361" s="158"/>
      <c r="Y361" s="745"/>
      <c r="Z361" s="741">
        <v>0</v>
      </c>
      <c r="AA361" s="592" t="str">
        <f t="shared" si="125"/>
        <v>47.0284.1.2.17.00.01.039.01.07.59.1</v>
      </c>
      <c r="AB361" s="739" t="s">
        <v>1996</v>
      </c>
      <c r="AC361" s="738">
        <v>0</v>
      </c>
      <c r="AD361" s="592" t="str">
        <f t="shared" si="126"/>
        <v>47.0284.1.2.17.00.01.039.01.07.59.2</v>
      </c>
      <c r="AE361" s="739" t="s">
        <v>1998</v>
      </c>
      <c r="AF361" s="738">
        <v>0</v>
      </c>
      <c r="AG361" s="592" t="str">
        <f t="shared" si="127"/>
        <v>47.0284.1.2.17.00.01.039.01.07.59.3</v>
      </c>
      <c r="AH361" s="739" t="s">
        <v>2000</v>
      </c>
      <c r="AI361" s="158"/>
    </row>
    <row r="362" spans="1:35" ht="15" customHeight="1" outlineLevel="4">
      <c r="A362" s="93">
        <v>206215</v>
      </c>
      <c r="B362" s="93">
        <v>3451</v>
      </c>
      <c r="C362" s="93"/>
      <c r="D362" s="93"/>
      <c r="E362" s="93" t="s">
        <v>3072</v>
      </c>
      <c r="F362" s="93" t="s">
        <v>5171</v>
      </c>
      <c r="G362" s="37" t="s">
        <v>642</v>
      </c>
      <c r="H362" s="583">
        <f>IFERROR(VLOOKUP(A362,'Colar QL'!A:C,3,0),0)</f>
        <v>0</v>
      </c>
      <c r="I362" s="69">
        <f t="shared" si="128"/>
        <v>0</v>
      </c>
      <c r="J362" s="258">
        <f>'BD Temp'!E504</f>
        <v>0</v>
      </c>
      <c r="K362" s="590" t="str">
        <f t="shared" si="122"/>
        <v>47.0284.1.2.17.00.01.039.01.07.59.1</v>
      </c>
      <c r="L362" s="579" t="s">
        <v>1996</v>
      </c>
      <c r="M362" s="256" t="str">
        <f>'BD Temp'!F504</f>
        <v>-</v>
      </c>
      <c r="N362" s="255">
        <f>'BD Temp'!J504</f>
        <v>0</v>
      </c>
      <c r="O362" s="592" t="str">
        <f t="shared" si="123"/>
        <v>47.0284.1.2.17.00.01.039.01.07.59.2</v>
      </c>
      <c r="P362" s="578" t="s">
        <v>1998</v>
      </c>
      <c r="Q362" s="256" t="str">
        <f>'BD Temp'!K504</f>
        <v>-</v>
      </c>
      <c r="R362" s="255">
        <f>'BD Temp'!O504</f>
        <v>0</v>
      </c>
      <c r="S362" s="592" t="str">
        <f t="shared" si="124"/>
        <v>47.0284.1.2.17.00.01.039.01.07.59.3</v>
      </c>
      <c r="T362" s="578" t="s">
        <v>2000</v>
      </c>
      <c r="U362" s="256" t="str">
        <f>'BD Temp'!P504</f>
        <v>-</v>
      </c>
      <c r="V362" s="764"/>
      <c r="W362" s="764"/>
      <c r="X362" s="158"/>
      <c r="Y362" s="745"/>
      <c r="Z362" s="741">
        <v>0</v>
      </c>
      <c r="AA362" s="592" t="str">
        <f t="shared" si="125"/>
        <v>47.0284.1.2.17.00.01.039.01.07.59.1</v>
      </c>
      <c r="AB362" s="739" t="s">
        <v>1996</v>
      </c>
      <c r="AC362" s="738">
        <v>0</v>
      </c>
      <c r="AD362" s="592" t="str">
        <f t="shared" si="126"/>
        <v>47.0284.1.2.17.00.01.039.01.07.59.2</v>
      </c>
      <c r="AE362" s="739" t="s">
        <v>1998</v>
      </c>
      <c r="AF362" s="738">
        <v>0</v>
      </c>
      <c r="AG362" s="592" t="str">
        <f t="shared" si="127"/>
        <v>47.0284.1.2.17.00.01.039.01.07.59.3</v>
      </c>
      <c r="AH362" s="739" t="s">
        <v>2000</v>
      </c>
      <c r="AI362" s="158"/>
    </row>
    <row r="363" spans="1:35" ht="15" customHeight="1" outlineLevel="4">
      <c r="A363" s="93">
        <v>206130</v>
      </c>
      <c r="B363" s="93">
        <v>3451</v>
      </c>
      <c r="C363" s="93"/>
      <c r="D363" s="93"/>
      <c r="E363" s="93" t="s">
        <v>4438</v>
      </c>
      <c r="F363" s="93" t="s">
        <v>5218</v>
      </c>
      <c r="G363" s="37" t="s">
        <v>97</v>
      </c>
      <c r="H363" s="583">
        <f>IFERROR(VLOOKUP(A363,'Colar QL'!A:C,3,0),0)</f>
        <v>3</v>
      </c>
      <c r="I363" s="69">
        <f t="shared" si="128"/>
        <v>3</v>
      </c>
      <c r="J363" s="771">
        <f>'BD Temp'!E505</f>
        <v>3</v>
      </c>
      <c r="K363" s="590" t="str">
        <f t="shared" si="122"/>
        <v>47.0284.1.2.17.00.01.039.01.07.32.1</v>
      </c>
      <c r="L363" s="579" t="s">
        <v>1996</v>
      </c>
      <c r="M363" s="256">
        <f>'BD Temp'!F505</f>
        <v>0.49722759506918707</v>
      </c>
      <c r="N363" s="255">
        <f>'BD Temp'!J505</f>
        <v>0</v>
      </c>
      <c r="O363" s="592" t="str">
        <f t="shared" si="123"/>
        <v>47.0284.1.2.17.00.01.039.01.07.32.2</v>
      </c>
      <c r="P363" s="578" t="s">
        <v>1998</v>
      </c>
      <c r="Q363" s="256" t="str">
        <f>'BD Temp'!K505</f>
        <v>-</v>
      </c>
      <c r="R363" s="255">
        <f>'BD Temp'!O505</f>
        <v>0</v>
      </c>
      <c r="S363" s="592" t="str">
        <f t="shared" si="124"/>
        <v>47.0284.1.2.17.00.01.039.01.07.32.3</v>
      </c>
      <c r="T363" s="578" t="s">
        <v>2000</v>
      </c>
      <c r="U363" s="256" t="str">
        <f>'BD Temp'!P505</f>
        <v>-</v>
      </c>
      <c r="V363" s="764"/>
      <c r="W363" s="764"/>
      <c r="X363" s="158"/>
      <c r="Y363" s="745"/>
      <c r="Z363" s="741">
        <v>0</v>
      </c>
      <c r="AA363" s="592" t="str">
        <f t="shared" si="125"/>
        <v>47.0284.1.2.17.00.01.039.01.07.32.1</v>
      </c>
      <c r="AB363" s="739" t="s">
        <v>1996</v>
      </c>
      <c r="AC363" s="738">
        <v>0</v>
      </c>
      <c r="AD363" s="592" t="str">
        <f t="shared" si="126"/>
        <v>47.0284.1.2.17.00.01.039.01.07.32.2</v>
      </c>
      <c r="AE363" s="739" t="s">
        <v>1998</v>
      </c>
      <c r="AF363" s="738">
        <v>0</v>
      </c>
      <c r="AG363" s="592" t="str">
        <f t="shared" si="127"/>
        <v>47.0284.1.2.17.00.01.039.01.07.32.3</v>
      </c>
      <c r="AH363" s="739" t="s">
        <v>2000</v>
      </c>
      <c r="AI363" s="158"/>
    </row>
    <row r="364" spans="1:35" s="26" customFormat="1" ht="15" customHeight="1" outlineLevel="4">
      <c r="A364" s="93">
        <v>206135</v>
      </c>
      <c r="B364" s="93">
        <v>3451</v>
      </c>
      <c r="C364" s="93"/>
      <c r="D364" s="93"/>
      <c r="E364" s="93" t="s">
        <v>3064</v>
      </c>
      <c r="F364" s="93" t="s">
        <v>5172</v>
      </c>
      <c r="G364" s="37" t="s">
        <v>169</v>
      </c>
      <c r="H364" s="583">
        <f>IFERROR(VLOOKUP(A364,'Colar QL'!A:C,3,0),0)</f>
        <v>0</v>
      </c>
      <c r="I364" s="69">
        <f t="shared" si="128"/>
        <v>0</v>
      </c>
      <c r="J364" s="258">
        <f>'BD Temp'!E509</f>
        <v>0</v>
      </c>
      <c r="K364" s="590" t="str">
        <f t="shared" si="122"/>
        <v>47.0284.1.2.17.00.01.039.01.07.58.1</v>
      </c>
      <c r="L364" s="579" t="s">
        <v>1996</v>
      </c>
      <c r="M364" s="256" t="str">
        <f>'BD Temp'!F509</f>
        <v>-</v>
      </c>
      <c r="N364" s="255">
        <f>'BD Temp'!J509</f>
        <v>0</v>
      </c>
      <c r="O364" s="592" t="str">
        <f t="shared" si="123"/>
        <v>47.0284.1.2.17.00.01.039.01.07.58.2</v>
      </c>
      <c r="P364" s="578" t="s">
        <v>1998</v>
      </c>
      <c r="Q364" s="256" t="str">
        <f>'BD Temp'!K509</f>
        <v>-</v>
      </c>
      <c r="R364" s="255">
        <f>'BD Temp'!O509</f>
        <v>0</v>
      </c>
      <c r="S364" s="592" t="str">
        <f t="shared" si="124"/>
        <v>47.0284.1.2.17.00.01.039.01.07.58.3</v>
      </c>
      <c r="T364" s="578" t="s">
        <v>2000</v>
      </c>
      <c r="U364" s="256" t="str">
        <f>'BD Temp'!P509</f>
        <v>-</v>
      </c>
      <c r="V364" s="764"/>
      <c r="W364" s="764"/>
      <c r="X364" s="158"/>
      <c r="Y364" s="745"/>
      <c r="Z364" s="741">
        <v>0</v>
      </c>
      <c r="AA364" s="592" t="str">
        <f t="shared" si="125"/>
        <v>47.0284.1.2.17.00.01.039.01.07.58.1</v>
      </c>
      <c r="AB364" s="739" t="s">
        <v>1996</v>
      </c>
      <c r="AC364" s="738">
        <v>0</v>
      </c>
      <c r="AD364" s="592" t="str">
        <f t="shared" si="126"/>
        <v>47.0284.1.2.17.00.01.039.01.07.58.2</v>
      </c>
      <c r="AE364" s="739" t="s">
        <v>1998</v>
      </c>
      <c r="AF364" s="738">
        <v>0</v>
      </c>
      <c r="AG364" s="592" t="str">
        <f t="shared" si="127"/>
        <v>47.0284.1.2.17.00.01.039.01.07.58.3</v>
      </c>
      <c r="AH364" s="739" t="s">
        <v>2000</v>
      </c>
      <c r="AI364" s="158"/>
    </row>
    <row r="365" spans="1:35" ht="15" customHeight="1" outlineLevel="4">
      <c r="A365" s="93">
        <v>206140</v>
      </c>
      <c r="B365" s="93">
        <v>3451</v>
      </c>
      <c r="C365" s="93"/>
      <c r="D365" s="93"/>
      <c r="E365" s="93" t="s">
        <v>3064</v>
      </c>
      <c r="F365" s="93" t="s">
        <v>5172</v>
      </c>
      <c r="G365" s="37" t="s">
        <v>170</v>
      </c>
      <c r="H365" s="583">
        <f>IFERROR(VLOOKUP(A365,'Colar QL'!A:C,3,0),0)</f>
        <v>0</v>
      </c>
      <c r="I365" s="69">
        <f t="shared" si="128"/>
        <v>0</v>
      </c>
      <c r="J365" s="258">
        <f>'BD Temp'!E510</f>
        <v>0</v>
      </c>
      <c r="K365" s="590" t="str">
        <f t="shared" si="122"/>
        <v>47.0284.1.2.17.00.01.039.01.07.58.1</v>
      </c>
      <c r="L365" s="579" t="s">
        <v>1996</v>
      </c>
      <c r="M365" s="256" t="str">
        <f>'BD Temp'!F510</f>
        <v>-</v>
      </c>
      <c r="N365" s="255">
        <f>'BD Temp'!J510</f>
        <v>0</v>
      </c>
      <c r="O365" s="592" t="str">
        <f t="shared" si="123"/>
        <v>47.0284.1.2.17.00.01.039.01.07.58.2</v>
      </c>
      <c r="P365" s="578" t="s">
        <v>1998</v>
      </c>
      <c r="Q365" s="256" t="str">
        <f>'BD Temp'!K510</f>
        <v>-</v>
      </c>
      <c r="R365" s="255">
        <f>'BD Temp'!O510</f>
        <v>0</v>
      </c>
      <c r="S365" s="592" t="str">
        <f t="shared" si="124"/>
        <v>47.0284.1.2.17.00.01.039.01.07.58.3</v>
      </c>
      <c r="T365" s="578" t="s">
        <v>2000</v>
      </c>
      <c r="U365" s="256" t="str">
        <f>'BD Temp'!P510</f>
        <v>-</v>
      </c>
      <c r="V365" s="764"/>
      <c r="W365" s="764"/>
      <c r="X365" s="158" t="s">
        <v>3034</v>
      </c>
      <c r="Y365" s="745"/>
      <c r="Z365" s="741">
        <v>0</v>
      </c>
      <c r="AA365" s="592" t="str">
        <f t="shared" si="125"/>
        <v>47.0284.1.2.17.00.01.039.01.07.58.1</v>
      </c>
      <c r="AB365" s="739" t="s">
        <v>1996</v>
      </c>
      <c r="AC365" s="738">
        <v>0</v>
      </c>
      <c r="AD365" s="592" t="str">
        <f t="shared" si="126"/>
        <v>47.0284.1.2.17.00.01.039.01.07.58.2</v>
      </c>
      <c r="AE365" s="739" t="s">
        <v>1998</v>
      </c>
      <c r="AF365" s="738">
        <v>0</v>
      </c>
      <c r="AG365" s="592" t="str">
        <f t="shared" si="127"/>
        <v>47.0284.1.2.17.00.01.039.01.07.58.3</v>
      </c>
      <c r="AH365" s="739" t="s">
        <v>2000</v>
      </c>
      <c r="AI365" s="158"/>
    </row>
    <row r="366" spans="1:35" ht="15" customHeight="1" outlineLevel="4">
      <c r="A366" s="93">
        <v>42</v>
      </c>
      <c r="B366" s="93">
        <v>3451</v>
      </c>
      <c r="C366" s="93"/>
      <c r="D366" s="93"/>
      <c r="E366" s="93" t="s">
        <v>2930</v>
      </c>
      <c r="F366" s="93" t="s">
        <v>5173</v>
      </c>
      <c r="G366" s="37" t="s">
        <v>42</v>
      </c>
      <c r="H366" s="583">
        <f>IFERROR(VLOOKUP(A366,'Colar QL'!A:C,3,0),0)</f>
        <v>1</v>
      </c>
      <c r="I366" s="69">
        <f t="shared" si="128"/>
        <v>1</v>
      </c>
      <c r="J366" s="258">
        <f>'BD Temp'!E511</f>
        <v>1</v>
      </c>
      <c r="K366" s="590" t="str">
        <f t="shared" si="122"/>
        <v>47.0284.1.2.17.00.01.039.01.07.46.1</v>
      </c>
      <c r="L366" s="579" t="s">
        <v>1996</v>
      </c>
      <c r="M366" s="256">
        <f>'BD Temp'!F511</f>
        <v>0.54333333333333333</v>
      </c>
      <c r="N366" s="255">
        <f>'BD Temp'!J511</f>
        <v>0</v>
      </c>
      <c r="O366" s="592" t="str">
        <f t="shared" si="123"/>
        <v>47.0284.1.2.17.00.01.039.01.07.46.2</v>
      </c>
      <c r="P366" s="578" t="s">
        <v>1998</v>
      </c>
      <c r="Q366" s="256" t="str">
        <f>'BD Temp'!K511</f>
        <v>-</v>
      </c>
      <c r="R366" s="255">
        <f>'BD Temp'!O511</f>
        <v>0</v>
      </c>
      <c r="S366" s="592" t="str">
        <f t="shared" si="124"/>
        <v>47.0284.1.2.17.00.01.039.01.07.46.3</v>
      </c>
      <c r="T366" s="578" t="s">
        <v>2000</v>
      </c>
      <c r="U366" s="256" t="str">
        <f>'BD Temp'!P511</f>
        <v>-</v>
      </c>
      <c r="V366" s="764"/>
      <c r="W366" s="764"/>
      <c r="X366" s="158" t="s">
        <v>5369</v>
      </c>
      <c r="Y366" s="745"/>
      <c r="Z366" s="741">
        <v>0</v>
      </c>
      <c r="AA366" s="592" t="str">
        <f t="shared" si="125"/>
        <v>47.0284.1.2.17.00.01.039.01.07.46.1</v>
      </c>
      <c r="AB366" s="739" t="s">
        <v>1996</v>
      </c>
      <c r="AC366" s="738">
        <v>0</v>
      </c>
      <c r="AD366" s="592" t="str">
        <f t="shared" si="126"/>
        <v>47.0284.1.2.17.00.01.039.01.07.46.2</v>
      </c>
      <c r="AE366" s="739" t="s">
        <v>1998</v>
      </c>
      <c r="AF366" s="738">
        <v>0</v>
      </c>
      <c r="AG366" s="592" t="str">
        <f t="shared" si="127"/>
        <v>47.0284.1.2.17.00.01.039.01.07.46.3</v>
      </c>
      <c r="AH366" s="739" t="s">
        <v>2000</v>
      </c>
      <c r="AI366" s="158"/>
    </row>
    <row r="367" spans="1:35" s="26" customFormat="1" ht="15" customHeight="1" outlineLevel="4">
      <c r="A367" s="93">
        <v>43</v>
      </c>
      <c r="B367" s="93">
        <v>3451</v>
      </c>
      <c r="C367" s="93"/>
      <c r="D367" s="93"/>
      <c r="E367" s="93" t="s">
        <v>2931</v>
      </c>
      <c r="F367" s="93" t="s">
        <v>5174</v>
      </c>
      <c r="G367" s="37" t="s">
        <v>668</v>
      </c>
      <c r="H367" s="583">
        <f>IFERROR(VLOOKUP(A367,'Colar QL'!A:C,3,0),0)</f>
        <v>1</v>
      </c>
      <c r="I367" s="69">
        <f t="shared" si="128"/>
        <v>1</v>
      </c>
      <c r="J367" s="258">
        <f>'BD Temp'!E512</f>
        <v>1</v>
      </c>
      <c r="K367" s="590" t="str">
        <f t="shared" si="122"/>
        <v>47.0284.1.2.17.00.01.039.01.07.56.1</v>
      </c>
      <c r="L367" s="579" t="s">
        <v>1996</v>
      </c>
      <c r="M367" s="256">
        <f>'BD Temp'!F512</f>
        <v>0.39666666666666667</v>
      </c>
      <c r="N367" s="255">
        <f>'BD Temp'!J512</f>
        <v>0</v>
      </c>
      <c r="O367" s="592" t="str">
        <f t="shared" si="123"/>
        <v>47.0284.1.2.17.00.01.039.01.07.56.2</v>
      </c>
      <c r="P367" s="578" t="s">
        <v>1998</v>
      </c>
      <c r="Q367" s="256" t="str">
        <f>'BD Temp'!K512</f>
        <v>-</v>
      </c>
      <c r="R367" s="255">
        <f>'BD Temp'!O512</f>
        <v>0</v>
      </c>
      <c r="S367" s="592" t="str">
        <f t="shared" si="124"/>
        <v>47.0284.1.2.17.00.01.039.01.07.56.3</v>
      </c>
      <c r="T367" s="578" t="s">
        <v>2000</v>
      </c>
      <c r="U367" s="256" t="str">
        <f>'BD Temp'!P512</f>
        <v>-</v>
      </c>
      <c r="V367" s="764"/>
      <c r="W367" s="764"/>
      <c r="X367" s="158" t="s">
        <v>2982</v>
      </c>
      <c r="Y367" s="745"/>
      <c r="Z367" s="741">
        <v>0</v>
      </c>
      <c r="AA367" s="592" t="str">
        <f t="shared" si="125"/>
        <v>47.0284.1.2.17.00.01.039.01.07.56.1</v>
      </c>
      <c r="AB367" s="739" t="s">
        <v>1996</v>
      </c>
      <c r="AC367" s="738">
        <v>0</v>
      </c>
      <c r="AD367" s="592" t="str">
        <f t="shared" si="126"/>
        <v>47.0284.1.2.17.00.01.039.01.07.56.2</v>
      </c>
      <c r="AE367" s="739" t="s">
        <v>1998</v>
      </c>
      <c r="AF367" s="738">
        <v>0</v>
      </c>
      <c r="AG367" s="592" t="str">
        <f t="shared" si="127"/>
        <v>47.0284.1.2.17.00.01.039.01.07.56.3</v>
      </c>
      <c r="AH367" s="739" t="s">
        <v>2000</v>
      </c>
      <c r="AI367" s="158"/>
    </row>
    <row r="368" spans="1:35" ht="15" customHeight="1" outlineLevel="4">
      <c r="A368" s="93">
        <v>44</v>
      </c>
      <c r="B368" s="93">
        <v>3451</v>
      </c>
      <c r="C368" s="93"/>
      <c r="D368" s="93"/>
      <c r="E368" s="93" t="s">
        <v>2932</v>
      </c>
      <c r="F368" s="93" t="s">
        <v>5175</v>
      </c>
      <c r="G368" s="37" t="s">
        <v>3119</v>
      </c>
      <c r="H368" s="583">
        <f>IFERROR(VLOOKUP(A368,'Colar QL'!A:C,3,0),0)</f>
        <v>1</v>
      </c>
      <c r="I368" s="69">
        <f t="shared" si="128"/>
        <v>1</v>
      </c>
      <c r="J368" s="258">
        <f>'BD Temp'!E513</f>
        <v>1</v>
      </c>
      <c r="K368" s="590" t="str">
        <f t="shared" si="122"/>
        <v>47.0284.1.2.17.00.01.039.01.07.54.1</v>
      </c>
      <c r="L368" s="579" t="s">
        <v>1996</v>
      </c>
      <c r="M368" s="256">
        <f>'BD Temp'!F513</f>
        <v>0.39666666666666667</v>
      </c>
      <c r="N368" s="255">
        <f>'BD Temp'!J513</f>
        <v>0</v>
      </c>
      <c r="O368" s="592" t="str">
        <f t="shared" si="123"/>
        <v>47.0284.1.2.17.00.01.039.01.07.54.2</v>
      </c>
      <c r="P368" s="578" t="s">
        <v>1998</v>
      </c>
      <c r="Q368" s="256" t="str">
        <f>'BD Temp'!K513</f>
        <v>-</v>
      </c>
      <c r="R368" s="255">
        <f>'BD Temp'!O513</f>
        <v>0</v>
      </c>
      <c r="S368" s="592" t="str">
        <f t="shared" si="124"/>
        <v>47.0284.1.2.17.00.01.039.01.07.54.3</v>
      </c>
      <c r="T368" s="578" t="s">
        <v>2000</v>
      </c>
      <c r="U368" s="256" t="str">
        <f>'BD Temp'!P513</f>
        <v>-</v>
      </c>
      <c r="V368" s="764"/>
      <c r="W368" s="764"/>
      <c r="X368" s="158"/>
      <c r="Y368" s="745"/>
      <c r="Z368" s="741">
        <v>0</v>
      </c>
      <c r="AA368" s="592" t="str">
        <f t="shared" si="125"/>
        <v>47.0284.1.2.17.00.01.039.01.07.54.1</v>
      </c>
      <c r="AB368" s="739" t="s">
        <v>1996</v>
      </c>
      <c r="AC368" s="738">
        <v>0</v>
      </c>
      <c r="AD368" s="592" t="str">
        <f t="shared" si="126"/>
        <v>47.0284.1.2.17.00.01.039.01.07.54.2</v>
      </c>
      <c r="AE368" s="739" t="s">
        <v>1998</v>
      </c>
      <c r="AF368" s="738">
        <v>0</v>
      </c>
      <c r="AG368" s="592" t="str">
        <f t="shared" si="127"/>
        <v>47.0284.1.2.17.00.01.039.01.07.54.3</v>
      </c>
      <c r="AH368" s="739" t="s">
        <v>2000</v>
      </c>
      <c r="AI368" s="158"/>
    </row>
    <row r="369" spans="1:35" ht="15" customHeight="1" outlineLevel="4">
      <c r="A369" s="93">
        <v>45</v>
      </c>
      <c r="B369" s="93">
        <v>3451</v>
      </c>
      <c r="C369" s="93"/>
      <c r="D369" s="93"/>
      <c r="E369" s="93" t="s">
        <v>2924</v>
      </c>
      <c r="F369" s="93" t="s">
        <v>5169</v>
      </c>
      <c r="G369" s="37" t="s">
        <v>5393</v>
      </c>
      <c r="H369" s="583">
        <f>IFERROR(VLOOKUP(A369,'Colar QL'!A:C,3,0),0)</f>
        <v>0</v>
      </c>
      <c r="I369" s="69">
        <f t="shared" si="128"/>
        <v>1</v>
      </c>
      <c r="J369" s="827">
        <f>'BD Temp'!E514-11</f>
        <v>1</v>
      </c>
      <c r="K369" s="590" t="str">
        <f t="shared" si="122"/>
        <v>47.0284.1.2.17.00.01.039.01.07.03.1</v>
      </c>
      <c r="L369" s="579" t="s">
        <v>1996</v>
      </c>
      <c r="M369" s="256" t="str">
        <f>'BD Temp'!F514</f>
        <v>-</v>
      </c>
      <c r="N369" s="255">
        <f>'BD Temp'!J514</f>
        <v>0</v>
      </c>
      <c r="O369" s="592" t="str">
        <f t="shared" si="123"/>
        <v>47.0284.1.2.17.00.01.039.01.07.03.2</v>
      </c>
      <c r="P369" s="578" t="s">
        <v>1998</v>
      </c>
      <c r="Q369" s="256" t="str">
        <f>'BD Temp'!K514</f>
        <v>-</v>
      </c>
      <c r="R369" s="255">
        <f>'BD Temp'!O514</f>
        <v>0</v>
      </c>
      <c r="S369" s="592" t="str">
        <f t="shared" si="124"/>
        <v>47.0284.1.2.17.00.01.039.01.07.03.3</v>
      </c>
      <c r="T369" s="578" t="s">
        <v>2000</v>
      </c>
      <c r="U369" s="256" t="str">
        <f>'BD Temp'!P514</f>
        <v>-</v>
      </c>
      <c r="V369" s="764"/>
      <c r="W369" s="764"/>
      <c r="X369" s="158"/>
      <c r="Y369" s="745"/>
      <c r="Z369" s="741">
        <v>0</v>
      </c>
      <c r="AA369" s="592" t="str">
        <f t="shared" si="125"/>
        <v>47.0284.1.2.17.00.01.039.01.07.03.1</v>
      </c>
      <c r="AB369" s="739" t="s">
        <v>1996</v>
      </c>
      <c r="AC369" s="738">
        <v>0</v>
      </c>
      <c r="AD369" s="592" t="str">
        <f t="shared" si="126"/>
        <v>47.0284.1.2.17.00.01.039.01.07.03.2</v>
      </c>
      <c r="AE369" s="739" t="s">
        <v>1998</v>
      </c>
      <c r="AF369" s="738">
        <v>0</v>
      </c>
      <c r="AG369" s="592" t="str">
        <f t="shared" si="127"/>
        <v>47.0284.1.2.17.00.01.039.01.07.03.3</v>
      </c>
      <c r="AH369" s="739" t="s">
        <v>2000</v>
      </c>
      <c r="AI369" s="158"/>
    </row>
    <row r="370" spans="1:35" s="26" customFormat="1" ht="15" customHeight="1" outlineLevel="4">
      <c r="A370" s="93">
        <v>46</v>
      </c>
      <c r="B370" s="93">
        <v>3451</v>
      </c>
      <c r="C370" s="93"/>
      <c r="D370" s="93"/>
      <c r="E370" s="93" t="s">
        <v>3108</v>
      </c>
      <c r="F370" s="93" t="s">
        <v>5163</v>
      </c>
      <c r="G370" s="37" t="s">
        <v>15</v>
      </c>
      <c r="H370" s="583">
        <f>IFERROR(VLOOKUP(A370,'Colar QL'!A:C,3,0),0)</f>
        <v>0</v>
      </c>
      <c r="I370" s="69">
        <f t="shared" si="128"/>
        <v>0</v>
      </c>
      <c r="J370" s="771">
        <f>'BD Temp'!E515</f>
        <v>0</v>
      </c>
      <c r="K370" s="590" t="str">
        <f t="shared" si="122"/>
        <v>47.0284.1.2.17.00.01.039.01.35.02.1</v>
      </c>
      <c r="L370" s="579" t="s">
        <v>1996</v>
      </c>
      <c r="M370" s="256" t="str">
        <f>'BD Temp'!F515</f>
        <v>-</v>
      </c>
      <c r="N370" s="255">
        <f>'BD Temp'!J515</f>
        <v>0</v>
      </c>
      <c r="O370" s="592" t="str">
        <f t="shared" si="123"/>
        <v>47.0284.1.2.17.00.01.039.01.35.02.2</v>
      </c>
      <c r="P370" s="578" t="s">
        <v>1998</v>
      </c>
      <c r="Q370" s="256" t="str">
        <f>'BD Temp'!K515</f>
        <v>-</v>
      </c>
      <c r="R370" s="255">
        <f>'BD Temp'!O515</f>
        <v>0</v>
      </c>
      <c r="S370" s="592" t="str">
        <f t="shared" si="124"/>
        <v>47.0284.1.2.17.00.01.039.01.35.02.3</v>
      </c>
      <c r="T370" s="578" t="s">
        <v>2000</v>
      </c>
      <c r="U370" s="256" t="str">
        <f>'BD Temp'!P515</f>
        <v>-</v>
      </c>
      <c r="V370" s="764"/>
      <c r="W370" s="764"/>
      <c r="X370" s="158"/>
      <c r="Y370" s="745"/>
      <c r="Z370" s="741">
        <v>0</v>
      </c>
      <c r="AA370" s="592" t="str">
        <f t="shared" si="125"/>
        <v>47.0284.1.2.17.00.01.039.01.35.02.1</v>
      </c>
      <c r="AB370" s="739" t="s">
        <v>1996</v>
      </c>
      <c r="AC370" s="738">
        <v>0</v>
      </c>
      <c r="AD370" s="592" t="str">
        <f t="shared" si="126"/>
        <v>47.0284.1.2.17.00.01.039.01.35.02.2</v>
      </c>
      <c r="AE370" s="739" t="s">
        <v>1998</v>
      </c>
      <c r="AF370" s="738">
        <v>0</v>
      </c>
      <c r="AG370" s="592" t="str">
        <f t="shared" si="127"/>
        <v>47.0284.1.2.17.00.01.039.01.35.02.3</v>
      </c>
      <c r="AH370" s="739" t="s">
        <v>2000</v>
      </c>
      <c r="AI370" s="158"/>
    </row>
    <row r="371" spans="1:35" ht="15" customHeight="1" outlineLevel="4">
      <c r="A371" s="93"/>
      <c r="B371" s="93" t="s">
        <v>1075</v>
      </c>
      <c r="C371" s="93"/>
      <c r="D371" s="93"/>
      <c r="E371" s="93"/>
      <c r="F371" s="93" t="s">
        <v>1075</v>
      </c>
      <c r="G371" s="37"/>
      <c r="H371" s="79"/>
      <c r="I371" s="69">
        <f t="shared" si="128"/>
        <v>0</v>
      </c>
      <c r="J371" s="48"/>
      <c r="K371" s="590" t="str">
        <f t="shared" si="122"/>
        <v>.1</v>
      </c>
      <c r="L371" s="579" t="s">
        <v>1996</v>
      </c>
      <c r="M371" s="74"/>
      <c r="N371" s="49"/>
      <c r="O371" s="592" t="str">
        <f t="shared" si="123"/>
        <v>.2</v>
      </c>
      <c r="P371" s="578" t="s">
        <v>1998</v>
      </c>
      <c r="Q371" s="74"/>
      <c r="R371" s="49"/>
      <c r="S371" s="592" t="str">
        <f t="shared" si="124"/>
        <v>.3</v>
      </c>
      <c r="T371" s="578" t="s">
        <v>2000</v>
      </c>
      <c r="U371" s="74"/>
      <c r="V371" s="764"/>
      <c r="W371" s="764"/>
      <c r="X371" s="158"/>
      <c r="Y371" s="745"/>
      <c r="Z371" s="741">
        <v>0</v>
      </c>
      <c r="AA371" s="592" t="str">
        <f t="shared" si="125"/>
        <v>.1</v>
      </c>
      <c r="AB371" s="739" t="s">
        <v>1996</v>
      </c>
      <c r="AC371" s="738">
        <v>0</v>
      </c>
      <c r="AD371" s="592" t="str">
        <f t="shared" si="126"/>
        <v>.2</v>
      </c>
      <c r="AE371" s="739" t="s">
        <v>1998</v>
      </c>
      <c r="AF371" s="738">
        <v>0</v>
      </c>
      <c r="AG371" s="592" t="str">
        <f t="shared" si="127"/>
        <v>.3</v>
      </c>
      <c r="AH371" s="739" t="s">
        <v>2000</v>
      </c>
      <c r="AI371" s="158"/>
    </row>
    <row r="372" spans="1:35" ht="15" customHeight="1" outlineLevel="4">
      <c r="A372" s="99"/>
      <c r="B372" s="99" t="s">
        <v>1075</v>
      </c>
      <c r="C372" s="99"/>
      <c r="D372" s="99"/>
      <c r="E372" s="99"/>
      <c r="F372" s="99" t="s">
        <v>1075</v>
      </c>
      <c r="G372" s="39" t="s">
        <v>723</v>
      </c>
      <c r="H372" s="79"/>
      <c r="I372" s="69">
        <f t="shared" si="128"/>
        <v>0</v>
      </c>
      <c r="J372" s="48"/>
      <c r="K372" s="590" t="str">
        <f t="shared" si="122"/>
        <v>.1</v>
      </c>
      <c r="L372" s="579" t="s">
        <v>1996</v>
      </c>
      <c r="M372" s="74"/>
      <c r="N372" s="49"/>
      <c r="O372" s="592" t="str">
        <f t="shared" si="123"/>
        <v>.2</v>
      </c>
      <c r="P372" s="578" t="s">
        <v>1998</v>
      </c>
      <c r="Q372" s="74"/>
      <c r="R372" s="49"/>
      <c r="S372" s="592" t="str">
        <f t="shared" si="124"/>
        <v>.3</v>
      </c>
      <c r="T372" s="578" t="s">
        <v>2000</v>
      </c>
      <c r="U372" s="74"/>
      <c r="V372" s="764"/>
      <c r="W372" s="764"/>
      <c r="X372" s="158"/>
      <c r="Y372" s="745"/>
      <c r="Z372" s="741">
        <v>0</v>
      </c>
      <c r="AA372" s="592" t="str">
        <f t="shared" si="125"/>
        <v>.1</v>
      </c>
      <c r="AB372" s="739" t="s">
        <v>1996</v>
      </c>
      <c r="AC372" s="738">
        <v>0</v>
      </c>
      <c r="AD372" s="592" t="str">
        <f t="shared" si="126"/>
        <v>.2</v>
      </c>
      <c r="AE372" s="739" t="s">
        <v>1998</v>
      </c>
      <c r="AF372" s="738">
        <v>0</v>
      </c>
      <c r="AG372" s="592" t="str">
        <f t="shared" si="127"/>
        <v>.3</v>
      </c>
      <c r="AH372" s="739" t="s">
        <v>2000</v>
      </c>
      <c r="AI372" s="158"/>
    </row>
    <row r="373" spans="1:35" ht="15" customHeight="1" outlineLevel="4">
      <c r="A373" s="93"/>
      <c r="B373" s="93" t="s">
        <v>1075</v>
      </c>
      <c r="C373" s="93"/>
      <c r="D373" s="93"/>
      <c r="E373" s="93"/>
      <c r="F373" s="93" t="s">
        <v>1075</v>
      </c>
      <c r="G373" s="37"/>
      <c r="H373" s="79"/>
      <c r="I373" s="69">
        <f t="shared" si="128"/>
        <v>0</v>
      </c>
      <c r="J373" s="48"/>
      <c r="K373" s="590" t="str">
        <f t="shared" si="122"/>
        <v>.1</v>
      </c>
      <c r="L373" s="579" t="s">
        <v>1996</v>
      </c>
      <c r="M373" s="74"/>
      <c r="N373" s="49"/>
      <c r="O373" s="592" t="str">
        <f t="shared" si="123"/>
        <v>.2</v>
      </c>
      <c r="P373" s="578" t="s">
        <v>1998</v>
      </c>
      <c r="Q373" s="74"/>
      <c r="R373" s="49"/>
      <c r="S373" s="592" t="str">
        <f t="shared" si="124"/>
        <v>.3</v>
      </c>
      <c r="T373" s="578" t="s">
        <v>2000</v>
      </c>
      <c r="U373" s="74"/>
      <c r="V373" s="764"/>
      <c r="W373" s="764"/>
      <c r="X373" s="158"/>
      <c r="Y373" s="745"/>
      <c r="Z373" s="741">
        <v>0</v>
      </c>
      <c r="AA373" s="592" t="str">
        <f t="shared" si="125"/>
        <v>.1</v>
      </c>
      <c r="AB373" s="739" t="s">
        <v>1996</v>
      </c>
      <c r="AC373" s="738">
        <v>0</v>
      </c>
      <c r="AD373" s="592" t="str">
        <f t="shared" si="126"/>
        <v>.2</v>
      </c>
      <c r="AE373" s="739" t="s">
        <v>1998</v>
      </c>
      <c r="AF373" s="738">
        <v>0</v>
      </c>
      <c r="AG373" s="592" t="str">
        <f t="shared" si="127"/>
        <v>.3</v>
      </c>
      <c r="AH373" s="739" t="s">
        <v>2000</v>
      </c>
      <c r="AI373" s="158"/>
    </row>
    <row r="374" spans="1:35" ht="15" customHeight="1" outlineLevel="4">
      <c r="A374" s="93"/>
      <c r="B374" s="93" t="s">
        <v>1075</v>
      </c>
      <c r="C374" s="93"/>
      <c r="D374" s="93"/>
      <c r="E374" s="93"/>
      <c r="F374" s="93" t="s">
        <v>1075</v>
      </c>
      <c r="G374" s="37"/>
      <c r="H374" s="79"/>
      <c r="I374" s="69">
        <f t="shared" si="128"/>
        <v>0</v>
      </c>
      <c r="J374" s="48"/>
      <c r="K374" s="590" t="str">
        <f t="shared" si="122"/>
        <v>.1</v>
      </c>
      <c r="L374" s="579" t="s">
        <v>1996</v>
      </c>
      <c r="M374" s="74"/>
      <c r="N374" s="49"/>
      <c r="O374" s="592" t="str">
        <f t="shared" si="123"/>
        <v>.2</v>
      </c>
      <c r="P374" s="578" t="s">
        <v>1998</v>
      </c>
      <c r="Q374" s="74"/>
      <c r="R374" s="49"/>
      <c r="S374" s="592" t="str">
        <f t="shared" si="124"/>
        <v>.3</v>
      </c>
      <c r="T374" s="578" t="s">
        <v>2000</v>
      </c>
      <c r="U374" s="74"/>
      <c r="V374" s="764"/>
      <c r="W374" s="764"/>
      <c r="X374" s="158"/>
      <c r="Y374" s="745"/>
      <c r="Z374" s="741">
        <v>0</v>
      </c>
      <c r="AA374" s="592" t="str">
        <f t="shared" si="125"/>
        <v>.1</v>
      </c>
      <c r="AB374" s="739" t="s">
        <v>1996</v>
      </c>
      <c r="AC374" s="738">
        <v>0</v>
      </c>
      <c r="AD374" s="592" t="str">
        <f t="shared" si="126"/>
        <v>.2</v>
      </c>
      <c r="AE374" s="739" t="s">
        <v>1998</v>
      </c>
      <c r="AF374" s="738">
        <v>0</v>
      </c>
      <c r="AG374" s="592" t="str">
        <f t="shared" si="127"/>
        <v>.3</v>
      </c>
      <c r="AH374" s="739" t="s">
        <v>2000</v>
      </c>
      <c r="AI374" s="158"/>
    </row>
    <row r="375" spans="1:35" ht="15" customHeight="1" outlineLevel="4">
      <c r="A375" s="93"/>
      <c r="B375" s="93" t="s">
        <v>1075</v>
      </c>
      <c r="C375" s="93"/>
      <c r="D375" s="93"/>
      <c r="E375" s="93"/>
      <c r="F375" s="93" t="s">
        <v>1075</v>
      </c>
      <c r="G375" s="37"/>
      <c r="H375" s="79"/>
      <c r="I375" s="69">
        <f t="shared" si="128"/>
        <v>0</v>
      </c>
      <c r="J375" s="48"/>
      <c r="K375" s="590" t="str">
        <f t="shared" si="122"/>
        <v>.1</v>
      </c>
      <c r="L375" s="579" t="s">
        <v>1996</v>
      </c>
      <c r="M375" s="74"/>
      <c r="N375" s="49"/>
      <c r="O375" s="592" t="str">
        <f t="shared" si="123"/>
        <v>.2</v>
      </c>
      <c r="P375" s="578" t="s">
        <v>1998</v>
      </c>
      <c r="Q375" s="74"/>
      <c r="R375" s="49"/>
      <c r="S375" s="592" t="str">
        <f t="shared" si="124"/>
        <v>.3</v>
      </c>
      <c r="T375" s="578" t="s">
        <v>2000</v>
      </c>
      <c r="U375" s="74"/>
      <c r="V375" s="764"/>
      <c r="W375" s="764"/>
      <c r="X375" s="158"/>
      <c r="Y375" s="745"/>
      <c r="Z375" s="741">
        <v>0</v>
      </c>
      <c r="AA375" s="592" t="str">
        <f t="shared" si="125"/>
        <v>.1</v>
      </c>
      <c r="AB375" s="739" t="s">
        <v>1996</v>
      </c>
      <c r="AC375" s="738">
        <v>0</v>
      </c>
      <c r="AD375" s="592" t="str">
        <f t="shared" si="126"/>
        <v>.2</v>
      </c>
      <c r="AE375" s="739" t="s">
        <v>1998</v>
      </c>
      <c r="AF375" s="738">
        <v>0</v>
      </c>
      <c r="AG375" s="592" t="str">
        <f t="shared" si="127"/>
        <v>.3</v>
      </c>
      <c r="AH375" s="739" t="s">
        <v>2000</v>
      </c>
      <c r="AI375" s="158"/>
    </row>
    <row r="376" spans="1:35" ht="15" customHeight="1" outlineLevel="4">
      <c r="A376" s="93"/>
      <c r="B376" s="93" t="s">
        <v>1075</v>
      </c>
      <c r="C376" s="93"/>
      <c r="D376" s="93"/>
      <c r="E376" s="93"/>
      <c r="F376" s="93" t="s">
        <v>1075</v>
      </c>
      <c r="G376" s="37"/>
      <c r="H376" s="79"/>
      <c r="I376" s="69">
        <f t="shared" si="128"/>
        <v>0</v>
      </c>
      <c r="J376" s="48"/>
      <c r="K376" s="590" t="str">
        <f t="shared" si="122"/>
        <v>.1</v>
      </c>
      <c r="L376" s="579" t="s">
        <v>1996</v>
      </c>
      <c r="M376" s="74"/>
      <c r="N376" s="49"/>
      <c r="O376" s="592" t="str">
        <f t="shared" si="123"/>
        <v>.2</v>
      </c>
      <c r="P376" s="578" t="s">
        <v>1998</v>
      </c>
      <c r="Q376" s="74"/>
      <c r="R376" s="49"/>
      <c r="S376" s="592" t="str">
        <f t="shared" si="124"/>
        <v>.3</v>
      </c>
      <c r="T376" s="578" t="s">
        <v>2000</v>
      </c>
      <c r="U376" s="74"/>
      <c r="V376" s="764"/>
      <c r="W376" s="764"/>
      <c r="X376" s="158"/>
      <c r="Y376" s="745"/>
      <c r="Z376" s="741">
        <v>0</v>
      </c>
      <c r="AA376" s="592" t="str">
        <f t="shared" si="125"/>
        <v>.1</v>
      </c>
      <c r="AB376" s="739" t="s">
        <v>1996</v>
      </c>
      <c r="AC376" s="738">
        <v>0</v>
      </c>
      <c r="AD376" s="592" t="str">
        <f t="shared" si="126"/>
        <v>.2</v>
      </c>
      <c r="AE376" s="739" t="s">
        <v>1998</v>
      </c>
      <c r="AF376" s="738">
        <v>0</v>
      </c>
      <c r="AG376" s="592" t="str">
        <f t="shared" si="127"/>
        <v>.3</v>
      </c>
      <c r="AH376" s="739" t="s">
        <v>2000</v>
      </c>
      <c r="AI376" s="158"/>
    </row>
    <row r="377" spans="1:35" ht="15" customHeight="1" outlineLevel="4">
      <c r="A377" s="93"/>
      <c r="B377" s="93" t="s">
        <v>1075</v>
      </c>
      <c r="C377" s="93"/>
      <c r="D377" s="93"/>
      <c r="E377" s="93"/>
      <c r="F377" s="93" t="s">
        <v>1075</v>
      </c>
      <c r="G377" s="37"/>
      <c r="H377" s="79"/>
      <c r="I377" s="69">
        <f t="shared" si="128"/>
        <v>0</v>
      </c>
      <c r="J377" s="48"/>
      <c r="K377" s="590" t="str">
        <f t="shared" si="122"/>
        <v>.1</v>
      </c>
      <c r="L377" s="579" t="s">
        <v>1996</v>
      </c>
      <c r="M377" s="74"/>
      <c r="N377" s="49"/>
      <c r="O377" s="592" t="str">
        <f t="shared" si="123"/>
        <v>.2</v>
      </c>
      <c r="P377" s="578" t="s">
        <v>1998</v>
      </c>
      <c r="Q377" s="74"/>
      <c r="R377" s="49"/>
      <c r="S377" s="592" t="str">
        <f t="shared" si="124"/>
        <v>.3</v>
      </c>
      <c r="T377" s="578" t="s">
        <v>2000</v>
      </c>
      <c r="U377" s="74"/>
      <c r="V377" s="764"/>
      <c r="W377" s="764"/>
      <c r="X377" s="158"/>
      <c r="Y377" s="745"/>
      <c r="Z377" s="741">
        <v>0</v>
      </c>
      <c r="AA377" s="592" t="str">
        <f t="shared" si="125"/>
        <v>.1</v>
      </c>
      <c r="AB377" s="739" t="s">
        <v>1996</v>
      </c>
      <c r="AC377" s="738">
        <v>0</v>
      </c>
      <c r="AD377" s="592" t="str">
        <f t="shared" si="126"/>
        <v>.2</v>
      </c>
      <c r="AE377" s="739" t="s">
        <v>1998</v>
      </c>
      <c r="AF377" s="738">
        <v>0</v>
      </c>
      <c r="AG377" s="592" t="str">
        <f t="shared" si="127"/>
        <v>.3</v>
      </c>
      <c r="AH377" s="739" t="s">
        <v>2000</v>
      </c>
      <c r="AI377" s="158"/>
    </row>
    <row r="378" spans="1:35" ht="15" customHeight="1" outlineLevel="4">
      <c r="A378" s="95"/>
      <c r="B378" s="95" t="s">
        <v>1075</v>
      </c>
      <c r="C378" s="95"/>
      <c r="D378" s="95"/>
      <c r="E378" s="774"/>
      <c r="F378" s="774" t="s">
        <v>1075</v>
      </c>
      <c r="G378" s="13"/>
      <c r="H378" s="81"/>
      <c r="I378" s="71">
        <f t="shared" si="128"/>
        <v>0</v>
      </c>
      <c r="J378" s="48"/>
      <c r="K378" s="590" t="str">
        <f t="shared" si="122"/>
        <v>.1</v>
      </c>
      <c r="L378" s="579" t="s">
        <v>1996</v>
      </c>
      <c r="M378" s="74"/>
      <c r="N378" s="49"/>
      <c r="O378" s="592" t="str">
        <f t="shared" si="123"/>
        <v>.2</v>
      </c>
      <c r="P378" s="578" t="s">
        <v>1998</v>
      </c>
      <c r="Q378" s="74"/>
      <c r="R378" s="49"/>
      <c r="S378" s="592" t="str">
        <f t="shared" si="124"/>
        <v>.3</v>
      </c>
      <c r="T378" s="578" t="s">
        <v>2000</v>
      </c>
      <c r="U378" s="74"/>
      <c r="V378" s="766"/>
      <c r="W378" s="766"/>
      <c r="X378" s="171"/>
      <c r="Y378" s="745"/>
      <c r="Z378" s="741">
        <v>0</v>
      </c>
      <c r="AA378" s="592" t="str">
        <f t="shared" si="125"/>
        <v>.1</v>
      </c>
      <c r="AB378" s="739" t="s">
        <v>1996</v>
      </c>
      <c r="AC378" s="738">
        <v>0</v>
      </c>
      <c r="AD378" s="592" t="str">
        <f t="shared" si="126"/>
        <v>.2</v>
      </c>
      <c r="AE378" s="739" t="s">
        <v>1998</v>
      </c>
      <c r="AF378" s="738">
        <v>0</v>
      </c>
      <c r="AG378" s="592" t="str">
        <f t="shared" si="127"/>
        <v>.3</v>
      </c>
      <c r="AH378" s="739" t="s">
        <v>2000</v>
      </c>
      <c r="AI378" s="171"/>
    </row>
    <row r="379" spans="1:35" ht="15" customHeight="1" outlineLevel="3" collapsed="1">
      <c r="A379" s="97"/>
      <c r="B379" s="97" t="s">
        <v>1075</v>
      </c>
      <c r="C379" s="97"/>
      <c r="D379" s="97"/>
      <c r="E379" s="97"/>
      <c r="F379" s="97" t="s">
        <v>1075</v>
      </c>
      <c r="G379" s="40" t="s">
        <v>245</v>
      </c>
      <c r="H379" s="78">
        <f>SUBTOTAL(9,H380:H400)</f>
        <v>0</v>
      </c>
      <c r="I379" s="68">
        <f t="shared" si="128"/>
        <v>0</v>
      </c>
      <c r="J379" s="55">
        <f>SUBTOTAL(9,J380:J400)</f>
        <v>0</v>
      </c>
      <c r="K379" s="55"/>
      <c r="L379" s="55"/>
      <c r="M379" s="84"/>
      <c r="N379" s="55">
        <f>SUBTOTAL(9,N380:N400)</f>
        <v>0</v>
      </c>
      <c r="O379" s="91"/>
      <c r="P379" s="91"/>
      <c r="Q379" s="84"/>
      <c r="R379" s="55">
        <f>SUBTOTAL(9,R380:R400)</f>
        <v>0</v>
      </c>
      <c r="S379" s="91"/>
      <c r="T379" s="91"/>
      <c r="U379" s="84"/>
      <c r="V379" s="55">
        <f>SUBTOTAL(9,V380:V400)</f>
        <v>0</v>
      </c>
      <c r="W379" s="55">
        <f>SUBTOTAL(9,W380:W400)</f>
        <v>0</v>
      </c>
      <c r="X379" s="170"/>
      <c r="Y379" s="745"/>
      <c r="Z379" s="55">
        <f>SUBTOTAL(9,Z380:Z400)</f>
        <v>0</v>
      </c>
      <c r="AA379" s="91"/>
      <c r="AB379" s="91"/>
      <c r="AC379" s="55">
        <f>SUBTOTAL(9,AC380:AC400)</f>
        <v>0</v>
      </c>
      <c r="AD379" s="91"/>
      <c r="AE379" s="91"/>
      <c r="AF379" s="55">
        <f>SUBTOTAL(9,AF380:AF400)</f>
        <v>0</v>
      </c>
      <c r="AG379" s="91"/>
      <c r="AH379" s="91"/>
      <c r="AI379" s="170"/>
    </row>
    <row r="380" spans="1:35" ht="15" hidden="1" customHeight="1" outlineLevel="4">
      <c r="A380" s="93">
        <v>206290</v>
      </c>
      <c r="B380" s="93">
        <v>3451</v>
      </c>
      <c r="C380" s="93"/>
      <c r="D380" s="93"/>
      <c r="E380" s="93" t="s">
        <v>2927</v>
      </c>
      <c r="F380" s="93" t="s">
        <v>5176</v>
      </c>
      <c r="G380" s="37" t="s">
        <v>656</v>
      </c>
      <c r="H380" s="583">
        <f>IFERROR(VLOOKUP(A380,'Colar QL'!A:C,3,0),0)</f>
        <v>0</v>
      </c>
      <c r="I380" s="69">
        <f t="shared" si="128"/>
        <v>0</v>
      </c>
      <c r="J380" s="258">
        <f>'BD Temp'!E529</f>
        <v>0</v>
      </c>
      <c r="K380" s="590" t="str">
        <f t="shared" ref="K380:K400" si="129">F380&amp;L380</f>
        <v>47.0284.1.2.17.00.01.039.01.07.55.1</v>
      </c>
      <c r="L380" s="579" t="s">
        <v>1996</v>
      </c>
      <c r="M380" s="256" t="str">
        <f>'BD Temp'!F529</f>
        <v>-</v>
      </c>
      <c r="N380" s="255">
        <f>'BD Temp'!J529</f>
        <v>0</v>
      </c>
      <c r="O380" s="592" t="str">
        <f t="shared" ref="O380:O400" si="130">F380&amp;P380</f>
        <v>47.0284.1.2.17.00.01.039.01.07.55.2</v>
      </c>
      <c r="P380" s="578" t="s">
        <v>1998</v>
      </c>
      <c r="Q380" s="256" t="str">
        <f>'BD Temp'!K529</f>
        <v>-</v>
      </c>
      <c r="R380" s="255">
        <f>'BD Temp'!O529</f>
        <v>0</v>
      </c>
      <c r="S380" s="592" t="str">
        <f t="shared" ref="S380:S400" si="131">F380&amp;T380</f>
        <v>47.0284.1.2.17.00.01.039.01.07.55.3</v>
      </c>
      <c r="T380" s="578" t="s">
        <v>2000</v>
      </c>
      <c r="U380" s="256" t="str">
        <f>'BD Temp'!P529</f>
        <v>-</v>
      </c>
      <c r="V380" s="764"/>
      <c r="W380" s="764"/>
      <c r="X380" s="158"/>
      <c r="Y380" s="745"/>
      <c r="Z380" s="741">
        <v>0</v>
      </c>
      <c r="AA380" s="592" t="str">
        <f t="shared" ref="AA380:AA400" si="132">F380&amp;AB380</f>
        <v>47.0284.1.2.17.00.01.039.01.07.55.1</v>
      </c>
      <c r="AB380" s="739" t="s">
        <v>1996</v>
      </c>
      <c r="AC380" s="738">
        <v>0</v>
      </c>
      <c r="AD380" s="592" t="str">
        <f t="shared" ref="AD380:AD400" si="133">F380&amp;AE380</f>
        <v>47.0284.1.2.17.00.01.039.01.07.55.2</v>
      </c>
      <c r="AE380" s="739" t="s">
        <v>1998</v>
      </c>
      <c r="AF380" s="738">
        <v>0</v>
      </c>
      <c r="AG380" s="592" t="str">
        <f t="shared" ref="AG380:AG400" si="134">F380&amp;AH380</f>
        <v>47.0284.1.2.17.00.01.039.01.07.55.3</v>
      </c>
      <c r="AH380" s="739" t="s">
        <v>2000</v>
      </c>
      <c r="AI380" s="158"/>
    </row>
    <row r="381" spans="1:35" ht="15" hidden="1" customHeight="1" outlineLevel="4">
      <c r="A381" s="93">
        <v>206295</v>
      </c>
      <c r="B381" s="93">
        <v>3451</v>
      </c>
      <c r="C381" s="93"/>
      <c r="D381" s="93"/>
      <c r="E381" s="93" t="s">
        <v>2925</v>
      </c>
      <c r="F381" s="93" t="s">
        <v>5170</v>
      </c>
      <c r="G381" s="37" t="s">
        <v>657</v>
      </c>
      <c r="H381" s="583">
        <f>IFERROR(VLOOKUP(A381,'Colar QL'!A:C,3,0),0)</f>
        <v>0</v>
      </c>
      <c r="I381" s="69">
        <f t="shared" si="128"/>
        <v>0</v>
      </c>
      <c r="J381" s="258">
        <f>'BD Temp'!E530</f>
        <v>0</v>
      </c>
      <c r="K381" s="590" t="str">
        <f t="shared" si="129"/>
        <v>47.0284.1.2.17.00.01.039.01.07.04.1</v>
      </c>
      <c r="L381" s="579" t="s">
        <v>1996</v>
      </c>
      <c r="M381" s="256" t="str">
        <f>'BD Temp'!F530</f>
        <v>-</v>
      </c>
      <c r="N381" s="255">
        <f>'BD Temp'!J530</f>
        <v>0</v>
      </c>
      <c r="O381" s="592" t="str">
        <f t="shared" si="130"/>
        <v>47.0284.1.2.17.00.01.039.01.07.04.2</v>
      </c>
      <c r="P381" s="578" t="s">
        <v>1998</v>
      </c>
      <c r="Q381" s="256" t="str">
        <f>'BD Temp'!K530</f>
        <v>-</v>
      </c>
      <c r="R381" s="255">
        <f>'BD Temp'!O530</f>
        <v>0</v>
      </c>
      <c r="S381" s="592" t="str">
        <f t="shared" si="131"/>
        <v>47.0284.1.2.17.00.01.039.01.07.04.3</v>
      </c>
      <c r="T381" s="578" t="s">
        <v>2000</v>
      </c>
      <c r="U381" s="256" t="str">
        <f>'BD Temp'!P530</f>
        <v>-</v>
      </c>
      <c r="V381" s="764"/>
      <c r="W381" s="764"/>
      <c r="X381" s="158"/>
      <c r="Y381" s="745"/>
      <c r="Z381" s="741">
        <v>0</v>
      </c>
      <c r="AA381" s="592" t="str">
        <f t="shared" si="132"/>
        <v>47.0284.1.2.17.00.01.039.01.07.04.1</v>
      </c>
      <c r="AB381" s="739" t="s">
        <v>1996</v>
      </c>
      <c r="AC381" s="738">
        <v>0</v>
      </c>
      <c r="AD381" s="592" t="str">
        <f t="shared" si="133"/>
        <v>47.0284.1.2.17.00.01.039.01.07.04.2</v>
      </c>
      <c r="AE381" s="739" t="s">
        <v>1998</v>
      </c>
      <c r="AF381" s="738">
        <v>0</v>
      </c>
      <c r="AG381" s="592" t="str">
        <f t="shared" si="134"/>
        <v>47.0284.1.2.17.00.01.039.01.07.04.3</v>
      </c>
      <c r="AH381" s="739" t="s">
        <v>2000</v>
      </c>
      <c r="AI381" s="158"/>
    </row>
    <row r="382" spans="1:35" ht="15" hidden="1" customHeight="1" outlineLevel="4">
      <c r="A382" s="93">
        <v>206300</v>
      </c>
      <c r="B382" s="93">
        <v>3451</v>
      </c>
      <c r="C382" s="93"/>
      <c r="D382" s="93"/>
      <c r="E382" s="93" t="s">
        <v>2925</v>
      </c>
      <c r="F382" s="93" t="s">
        <v>5170</v>
      </c>
      <c r="G382" s="37" t="s">
        <v>658</v>
      </c>
      <c r="H382" s="583">
        <f>IFERROR(VLOOKUP(A382,'Colar QL'!A:C,3,0),0)</f>
        <v>0</v>
      </c>
      <c r="I382" s="69">
        <f t="shared" si="128"/>
        <v>0</v>
      </c>
      <c r="J382" s="258">
        <f>'BD Temp'!E531</f>
        <v>0</v>
      </c>
      <c r="K382" s="590" t="str">
        <f t="shared" si="129"/>
        <v>47.0284.1.2.17.00.01.039.01.07.04.1</v>
      </c>
      <c r="L382" s="579" t="s">
        <v>1996</v>
      </c>
      <c r="M382" s="256" t="str">
        <f>'BD Temp'!F531</f>
        <v>-</v>
      </c>
      <c r="N382" s="255">
        <f>'BD Temp'!J531</f>
        <v>0</v>
      </c>
      <c r="O382" s="592" t="str">
        <f t="shared" si="130"/>
        <v>47.0284.1.2.17.00.01.039.01.07.04.2</v>
      </c>
      <c r="P382" s="578" t="s">
        <v>1998</v>
      </c>
      <c r="Q382" s="256" t="str">
        <f>'BD Temp'!K531</f>
        <v>-</v>
      </c>
      <c r="R382" s="255">
        <f>'BD Temp'!O531</f>
        <v>0</v>
      </c>
      <c r="S382" s="592" t="str">
        <f t="shared" si="131"/>
        <v>47.0284.1.2.17.00.01.039.01.07.04.3</v>
      </c>
      <c r="T382" s="578" t="s">
        <v>2000</v>
      </c>
      <c r="U382" s="256" t="str">
        <f>'BD Temp'!P531</f>
        <v>-</v>
      </c>
      <c r="V382" s="764"/>
      <c r="W382" s="764"/>
      <c r="X382" s="158"/>
      <c r="Y382" s="745"/>
      <c r="Z382" s="741">
        <v>0</v>
      </c>
      <c r="AA382" s="592" t="str">
        <f t="shared" si="132"/>
        <v>47.0284.1.2.17.00.01.039.01.07.04.1</v>
      </c>
      <c r="AB382" s="739" t="s">
        <v>1996</v>
      </c>
      <c r="AC382" s="738">
        <v>0</v>
      </c>
      <c r="AD382" s="592" t="str">
        <f t="shared" si="133"/>
        <v>47.0284.1.2.17.00.01.039.01.07.04.2</v>
      </c>
      <c r="AE382" s="739" t="s">
        <v>1998</v>
      </c>
      <c r="AF382" s="738">
        <v>0</v>
      </c>
      <c r="AG382" s="592" t="str">
        <f t="shared" si="134"/>
        <v>47.0284.1.2.17.00.01.039.01.07.04.3</v>
      </c>
      <c r="AH382" s="739" t="s">
        <v>2000</v>
      </c>
      <c r="AI382" s="158"/>
    </row>
    <row r="383" spans="1:35" ht="15" hidden="1" customHeight="1" outlineLevel="4">
      <c r="A383" s="93">
        <v>206310</v>
      </c>
      <c r="B383" s="93">
        <v>3451</v>
      </c>
      <c r="C383" s="93"/>
      <c r="D383" s="93"/>
      <c r="E383" s="93" t="s">
        <v>2924</v>
      </c>
      <c r="F383" s="93" t="s">
        <v>5169</v>
      </c>
      <c r="G383" s="37" t="s">
        <v>660</v>
      </c>
      <c r="H383" s="583">
        <f>IFERROR(VLOOKUP(A383,'Colar QL'!A:C,3,0),0)</f>
        <v>0</v>
      </c>
      <c r="I383" s="69">
        <f t="shared" si="128"/>
        <v>0</v>
      </c>
      <c r="J383" s="258">
        <f>'BD Temp'!E532</f>
        <v>0</v>
      </c>
      <c r="K383" s="590" t="str">
        <f t="shared" si="129"/>
        <v>47.0284.1.2.17.00.01.039.01.07.03.1</v>
      </c>
      <c r="L383" s="579" t="s">
        <v>1996</v>
      </c>
      <c r="M383" s="256" t="str">
        <f>'BD Temp'!F532</f>
        <v>-</v>
      </c>
      <c r="N383" s="255">
        <f>'BD Temp'!J532</f>
        <v>0</v>
      </c>
      <c r="O383" s="592" t="str">
        <f t="shared" si="130"/>
        <v>47.0284.1.2.17.00.01.039.01.07.03.2</v>
      </c>
      <c r="P383" s="578" t="s">
        <v>1998</v>
      </c>
      <c r="Q383" s="256" t="str">
        <f>'BD Temp'!K532</f>
        <v>-</v>
      </c>
      <c r="R383" s="255">
        <f>'BD Temp'!O532</f>
        <v>0</v>
      </c>
      <c r="S383" s="592" t="str">
        <f t="shared" si="131"/>
        <v>47.0284.1.2.17.00.01.039.01.07.03.3</v>
      </c>
      <c r="T383" s="578" t="s">
        <v>2000</v>
      </c>
      <c r="U383" s="256" t="str">
        <f>'BD Temp'!P532</f>
        <v>-</v>
      </c>
      <c r="V383" s="764"/>
      <c r="W383" s="764"/>
      <c r="X383" s="158"/>
      <c r="Y383" s="745"/>
      <c r="Z383" s="741">
        <v>0</v>
      </c>
      <c r="AA383" s="592" t="str">
        <f t="shared" si="132"/>
        <v>47.0284.1.2.17.00.01.039.01.07.03.1</v>
      </c>
      <c r="AB383" s="739" t="s">
        <v>1996</v>
      </c>
      <c r="AC383" s="738">
        <v>0</v>
      </c>
      <c r="AD383" s="592" t="str">
        <f t="shared" si="133"/>
        <v>47.0284.1.2.17.00.01.039.01.07.03.2</v>
      </c>
      <c r="AE383" s="739" t="s">
        <v>1998</v>
      </c>
      <c r="AF383" s="738">
        <v>0</v>
      </c>
      <c r="AG383" s="592" t="str">
        <f t="shared" si="134"/>
        <v>47.0284.1.2.17.00.01.039.01.07.03.3</v>
      </c>
      <c r="AH383" s="739" t="s">
        <v>2000</v>
      </c>
      <c r="AI383" s="158"/>
    </row>
    <row r="384" spans="1:35" ht="15" hidden="1" customHeight="1" outlineLevel="4">
      <c r="A384" s="93">
        <v>206305</v>
      </c>
      <c r="B384" s="93">
        <v>3451</v>
      </c>
      <c r="C384" s="93"/>
      <c r="D384" s="93"/>
      <c r="E384" s="93" t="s">
        <v>2924</v>
      </c>
      <c r="F384" s="93" t="s">
        <v>5169</v>
      </c>
      <c r="G384" s="37" t="s">
        <v>659</v>
      </c>
      <c r="H384" s="583">
        <f>IFERROR(VLOOKUP(A384,'Colar QL'!A:C,3,0),0)</f>
        <v>0</v>
      </c>
      <c r="I384" s="69">
        <f t="shared" si="128"/>
        <v>0</v>
      </c>
      <c r="J384" s="258">
        <f>'BD Temp'!E533</f>
        <v>0</v>
      </c>
      <c r="K384" s="590" t="str">
        <f t="shared" si="129"/>
        <v>47.0284.1.2.17.00.01.039.01.07.03.1</v>
      </c>
      <c r="L384" s="579" t="s">
        <v>1996</v>
      </c>
      <c r="M384" s="256" t="str">
        <f>'BD Temp'!F533</f>
        <v>-</v>
      </c>
      <c r="N384" s="255">
        <f>'BD Temp'!J533</f>
        <v>0</v>
      </c>
      <c r="O384" s="592" t="str">
        <f t="shared" si="130"/>
        <v>47.0284.1.2.17.00.01.039.01.07.03.2</v>
      </c>
      <c r="P384" s="578" t="s">
        <v>1998</v>
      </c>
      <c r="Q384" s="256" t="str">
        <f>'BD Temp'!K533</f>
        <v>-</v>
      </c>
      <c r="R384" s="255">
        <f>'BD Temp'!O533</f>
        <v>0</v>
      </c>
      <c r="S384" s="592" t="str">
        <f t="shared" si="131"/>
        <v>47.0284.1.2.17.00.01.039.01.07.03.3</v>
      </c>
      <c r="T384" s="578" t="s">
        <v>2000</v>
      </c>
      <c r="U384" s="256" t="str">
        <f>'BD Temp'!P533</f>
        <v>-</v>
      </c>
      <c r="V384" s="764"/>
      <c r="W384" s="764"/>
      <c r="X384" s="158"/>
      <c r="Y384" s="745"/>
      <c r="Z384" s="741">
        <v>0</v>
      </c>
      <c r="AA384" s="592" t="str">
        <f t="shared" si="132"/>
        <v>47.0284.1.2.17.00.01.039.01.07.03.1</v>
      </c>
      <c r="AB384" s="739" t="s">
        <v>1996</v>
      </c>
      <c r="AC384" s="738">
        <v>0</v>
      </c>
      <c r="AD384" s="592" t="str">
        <f t="shared" si="133"/>
        <v>47.0284.1.2.17.00.01.039.01.07.03.2</v>
      </c>
      <c r="AE384" s="739" t="s">
        <v>1998</v>
      </c>
      <c r="AF384" s="738">
        <v>0</v>
      </c>
      <c r="AG384" s="592" t="str">
        <f t="shared" si="134"/>
        <v>47.0284.1.2.17.00.01.039.01.07.03.3</v>
      </c>
      <c r="AH384" s="739" t="s">
        <v>2000</v>
      </c>
      <c r="AI384" s="158"/>
    </row>
    <row r="385" spans="1:35" ht="15" hidden="1" customHeight="1" outlineLevel="4">
      <c r="A385" s="93">
        <v>206315</v>
      </c>
      <c r="B385" s="93">
        <v>3451</v>
      </c>
      <c r="C385" s="93"/>
      <c r="D385" s="93"/>
      <c r="E385" s="93" t="s">
        <v>3071</v>
      </c>
      <c r="F385" s="93" t="s">
        <v>5172</v>
      </c>
      <c r="G385" s="37" t="s">
        <v>661</v>
      </c>
      <c r="H385" s="583">
        <f>IFERROR(VLOOKUP(A385,'Colar QL'!A:C,3,0),0)</f>
        <v>0</v>
      </c>
      <c r="I385" s="69">
        <f t="shared" si="128"/>
        <v>0</v>
      </c>
      <c r="J385" s="258">
        <f>'BD Temp'!E534</f>
        <v>0</v>
      </c>
      <c r="K385" s="590" t="str">
        <f t="shared" si="129"/>
        <v>47.0284.1.2.17.00.01.039.01.07.58.1</v>
      </c>
      <c r="L385" s="579" t="s">
        <v>1996</v>
      </c>
      <c r="M385" s="256" t="str">
        <f>'BD Temp'!F534</f>
        <v>-</v>
      </c>
      <c r="N385" s="255">
        <f>'BD Temp'!J534</f>
        <v>0</v>
      </c>
      <c r="O385" s="592" t="str">
        <f t="shared" si="130"/>
        <v>47.0284.1.2.17.00.01.039.01.07.58.2</v>
      </c>
      <c r="P385" s="578" t="s">
        <v>1998</v>
      </c>
      <c r="Q385" s="256" t="str">
        <f>'BD Temp'!K534</f>
        <v>-</v>
      </c>
      <c r="R385" s="255">
        <f>'BD Temp'!O534</f>
        <v>0</v>
      </c>
      <c r="S385" s="592" t="str">
        <f t="shared" si="131"/>
        <v>47.0284.1.2.17.00.01.039.01.07.58.3</v>
      </c>
      <c r="T385" s="578" t="s">
        <v>2000</v>
      </c>
      <c r="U385" s="256" t="str">
        <f>'BD Temp'!P534</f>
        <v>-</v>
      </c>
      <c r="V385" s="764"/>
      <c r="W385" s="764"/>
      <c r="X385" s="158"/>
      <c r="Y385" s="745"/>
      <c r="Z385" s="741">
        <v>0</v>
      </c>
      <c r="AA385" s="592" t="str">
        <f t="shared" si="132"/>
        <v>47.0284.1.2.17.00.01.039.01.07.58.1</v>
      </c>
      <c r="AB385" s="739" t="s">
        <v>1996</v>
      </c>
      <c r="AC385" s="738">
        <v>0</v>
      </c>
      <c r="AD385" s="592" t="str">
        <f t="shared" si="133"/>
        <v>47.0284.1.2.17.00.01.039.01.07.58.2</v>
      </c>
      <c r="AE385" s="739" t="s">
        <v>1998</v>
      </c>
      <c r="AF385" s="738">
        <v>0</v>
      </c>
      <c r="AG385" s="592" t="str">
        <f t="shared" si="134"/>
        <v>47.0284.1.2.17.00.01.039.01.07.58.3</v>
      </c>
      <c r="AH385" s="739" t="s">
        <v>2000</v>
      </c>
      <c r="AI385" s="158"/>
    </row>
    <row r="386" spans="1:35" ht="15" hidden="1" customHeight="1" outlineLevel="4">
      <c r="A386" s="93">
        <v>206320</v>
      </c>
      <c r="B386" s="93">
        <v>3451</v>
      </c>
      <c r="C386" s="93"/>
      <c r="D386" s="93"/>
      <c r="E386" s="93" t="s">
        <v>3071</v>
      </c>
      <c r="F386" s="93" t="s">
        <v>5172</v>
      </c>
      <c r="G386" s="37" t="s">
        <v>662</v>
      </c>
      <c r="H386" s="583">
        <f>IFERROR(VLOOKUP(A386,'Colar QL'!A:C,3,0),0)</f>
        <v>0</v>
      </c>
      <c r="I386" s="69">
        <f t="shared" si="128"/>
        <v>0</v>
      </c>
      <c r="J386" s="258">
        <f>'BD Temp'!E535</f>
        <v>0</v>
      </c>
      <c r="K386" s="590" t="str">
        <f t="shared" si="129"/>
        <v>47.0284.1.2.17.00.01.039.01.07.58.1</v>
      </c>
      <c r="L386" s="579" t="s">
        <v>1996</v>
      </c>
      <c r="M386" s="256" t="str">
        <f>'BD Temp'!F535</f>
        <v>-</v>
      </c>
      <c r="N386" s="255">
        <f>'BD Temp'!J535</f>
        <v>0</v>
      </c>
      <c r="O386" s="592" t="str">
        <f t="shared" si="130"/>
        <v>47.0284.1.2.17.00.01.039.01.07.58.2</v>
      </c>
      <c r="P386" s="578" t="s">
        <v>1998</v>
      </c>
      <c r="Q386" s="256" t="str">
        <f>'BD Temp'!K535</f>
        <v>-</v>
      </c>
      <c r="R386" s="255">
        <f>'BD Temp'!O535</f>
        <v>0</v>
      </c>
      <c r="S386" s="592" t="str">
        <f t="shared" si="131"/>
        <v>47.0284.1.2.17.00.01.039.01.07.58.3</v>
      </c>
      <c r="T386" s="578" t="s">
        <v>2000</v>
      </c>
      <c r="U386" s="256" t="str">
        <f>'BD Temp'!P535</f>
        <v>-</v>
      </c>
      <c r="V386" s="764"/>
      <c r="W386" s="764"/>
      <c r="X386" s="158"/>
      <c r="Y386" s="745"/>
      <c r="Z386" s="741">
        <v>0</v>
      </c>
      <c r="AA386" s="592" t="str">
        <f t="shared" si="132"/>
        <v>47.0284.1.2.17.00.01.039.01.07.58.1</v>
      </c>
      <c r="AB386" s="739" t="s">
        <v>1996</v>
      </c>
      <c r="AC386" s="738">
        <v>0</v>
      </c>
      <c r="AD386" s="592" t="str">
        <f t="shared" si="133"/>
        <v>47.0284.1.2.17.00.01.039.01.07.58.2</v>
      </c>
      <c r="AE386" s="739" t="s">
        <v>1998</v>
      </c>
      <c r="AF386" s="738">
        <v>0</v>
      </c>
      <c r="AG386" s="592" t="str">
        <f t="shared" si="134"/>
        <v>47.0284.1.2.17.00.01.039.01.07.58.3</v>
      </c>
      <c r="AH386" s="739" t="s">
        <v>2000</v>
      </c>
      <c r="AI386" s="158"/>
    </row>
    <row r="387" spans="1:35" ht="15" hidden="1" customHeight="1" outlineLevel="4">
      <c r="A387" s="93">
        <v>206325</v>
      </c>
      <c r="B387" s="93">
        <v>3451</v>
      </c>
      <c r="C387" s="93"/>
      <c r="D387" s="93"/>
      <c r="E387" s="93" t="s">
        <v>3071</v>
      </c>
      <c r="F387" s="93" t="s">
        <v>5172</v>
      </c>
      <c r="G387" s="37" t="s">
        <v>663</v>
      </c>
      <c r="H387" s="583">
        <f>IFERROR(VLOOKUP(A387,'Colar QL'!A:C,3,0),0)</f>
        <v>0</v>
      </c>
      <c r="I387" s="69">
        <f t="shared" si="128"/>
        <v>0</v>
      </c>
      <c r="J387" s="258">
        <f>'BD Temp'!E536</f>
        <v>0</v>
      </c>
      <c r="K387" s="590" t="str">
        <f t="shared" si="129"/>
        <v>47.0284.1.2.17.00.01.039.01.07.58.1</v>
      </c>
      <c r="L387" s="579" t="s">
        <v>1996</v>
      </c>
      <c r="M387" s="256" t="str">
        <f>'BD Temp'!F536</f>
        <v>-</v>
      </c>
      <c r="N387" s="255">
        <f>'BD Temp'!J536</f>
        <v>0</v>
      </c>
      <c r="O387" s="592" t="str">
        <f t="shared" si="130"/>
        <v>47.0284.1.2.17.00.01.039.01.07.58.2</v>
      </c>
      <c r="P387" s="578" t="s">
        <v>1998</v>
      </c>
      <c r="Q387" s="256" t="str">
        <f>'BD Temp'!K536</f>
        <v>-</v>
      </c>
      <c r="R387" s="255">
        <f>'BD Temp'!O536</f>
        <v>0</v>
      </c>
      <c r="S387" s="592" t="str">
        <f t="shared" si="131"/>
        <v>47.0284.1.2.17.00.01.039.01.07.58.3</v>
      </c>
      <c r="T387" s="578" t="s">
        <v>2000</v>
      </c>
      <c r="U387" s="256" t="str">
        <f>'BD Temp'!P536</f>
        <v>-</v>
      </c>
      <c r="V387" s="764"/>
      <c r="W387" s="764"/>
      <c r="X387" s="158"/>
      <c r="Y387" s="745"/>
      <c r="Z387" s="741">
        <v>0</v>
      </c>
      <c r="AA387" s="592" t="str">
        <f t="shared" si="132"/>
        <v>47.0284.1.2.17.00.01.039.01.07.58.1</v>
      </c>
      <c r="AB387" s="739" t="s">
        <v>1996</v>
      </c>
      <c r="AC387" s="738">
        <v>0</v>
      </c>
      <c r="AD387" s="592" t="str">
        <f t="shared" si="133"/>
        <v>47.0284.1.2.17.00.01.039.01.07.58.2</v>
      </c>
      <c r="AE387" s="739" t="s">
        <v>1998</v>
      </c>
      <c r="AF387" s="738">
        <v>0</v>
      </c>
      <c r="AG387" s="592" t="str">
        <f t="shared" si="134"/>
        <v>47.0284.1.2.17.00.01.039.01.07.58.3</v>
      </c>
      <c r="AH387" s="739" t="s">
        <v>2000</v>
      </c>
      <c r="AI387" s="158"/>
    </row>
    <row r="388" spans="1:35" ht="15" hidden="1" customHeight="1" outlineLevel="4">
      <c r="A388" s="93">
        <v>206330</v>
      </c>
      <c r="B388" s="93">
        <v>3451</v>
      </c>
      <c r="C388" s="93"/>
      <c r="D388" s="93"/>
      <c r="E388" s="93" t="s">
        <v>3071</v>
      </c>
      <c r="F388" s="93" t="s">
        <v>5172</v>
      </c>
      <c r="G388" s="37" t="s">
        <v>664</v>
      </c>
      <c r="H388" s="583">
        <f>IFERROR(VLOOKUP(A388,'Colar QL'!A:C,3,0),0)</f>
        <v>0</v>
      </c>
      <c r="I388" s="69">
        <f t="shared" si="128"/>
        <v>0</v>
      </c>
      <c r="J388" s="258">
        <f>'BD Temp'!E537</f>
        <v>0</v>
      </c>
      <c r="K388" s="590" t="str">
        <f t="shared" si="129"/>
        <v>47.0284.1.2.17.00.01.039.01.07.58.1</v>
      </c>
      <c r="L388" s="579" t="s">
        <v>1996</v>
      </c>
      <c r="M388" s="256" t="str">
        <f>'BD Temp'!F537</f>
        <v>-</v>
      </c>
      <c r="N388" s="255">
        <f>'BD Temp'!J537</f>
        <v>0</v>
      </c>
      <c r="O388" s="592" t="str">
        <f t="shared" si="130"/>
        <v>47.0284.1.2.17.00.01.039.01.07.58.2</v>
      </c>
      <c r="P388" s="578" t="s">
        <v>1998</v>
      </c>
      <c r="Q388" s="256" t="str">
        <f>'BD Temp'!K537</f>
        <v>-</v>
      </c>
      <c r="R388" s="255">
        <f>'BD Temp'!O537</f>
        <v>0</v>
      </c>
      <c r="S388" s="592" t="str">
        <f t="shared" si="131"/>
        <v>47.0284.1.2.17.00.01.039.01.07.58.3</v>
      </c>
      <c r="T388" s="578" t="s">
        <v>2000</v>
      </c>
      <c r="U388" s="256" t="str">
        <f>'BD Temp'!P537</f>
        <v>-</v>
      </c>
      <c r="V388" s="764"/>
      <c r="W388" s="764"/>
      <c r="X388" s="158"/>
      <c r="Y388" s="745"/>
      <c r="Z388" s="741">
        <v>0</v>
      </c>
      <c r="AA388" s="592" t="str">
        <f t="shared" si="132"/>
        <v>47.0284.1.2.17.00.01.039.01.07.58.1</v>
      </c>
      <c r="AB388" s="739" t="s">
        <v>1996</v>
      </c>
      <c r="AC388" s="738">
        <v>0</v>
      </c>
      <c r="AD388" s="592" t="str">
        <f t="shared" si="133"/>
        <v>47.0284.1.2.17.00.01.039.01.07.58.2</v>
      </c>
      <c r="AE388" s="739" t="s">
        <v>1998</v>
      </c>
      <c r="AF388" s="738">
        <v>0</v>
      </c>
      <c r="AG388" s="592" t="str">
        <f t="shared" si="134"/>
        <v>47.0284.1.2.17.00.01.039.01.07.58.3</v>
      </c>
      <c r="AH388" s="739" t="s">
        <v>2000</v>
      </c>
      <c r="AI388" s="158"/>
    </row>
    <row r="389" spans="1:35" ht="15" hidden="1" customHeight="1" outlineLevel="4">
      <c r="A389" s="93">
        <v>206335</v>
      </c>
      <c r="B389" s="93">
        <v>3451</v>
      </c>
      <c r="C389" s="93"/>
      <c r="D389" s="93"/>
      <c r="E389" s="93" t="s">
        <v>3071</v>
      </c>
      <c r="F389" s="93" t="s">
        <v>5172</v>
      </c>
      <c r="G389" s="37" t="s">
        <v>665</v>
      </c>
      <c r="H389" s="583">
        <f>IFERROR(VLOOKUP(A389,'Colar QL'!A:C,3,0),0)</f>
        <v>0</v>
      </c>
      <c r="I389" s="69">
        <f t="shared" si="128"/>
        <v>0</v>
      </c>
      <c r="J389" s="258">
        <f>'BD Temp'!E538</f>
        <v>0</v>
      </c>
      <c r="K389" s="590" t="str">
        <f t="shared" si="129"/>
        <v>47.0284.1.2.17.00.01.039.01.07.58.1</v>
      </c>
      <c r="L389" s="579" t="s">
        <v>1996</v>
      </c>
      <c r="M389" s="256" t="str">
        <f>'BD Temp'!F538</f>
        <v>-</v>
      </c>
      <c r="N389" s="255">
        <f>'BD Temp'!J538</f>
        <v>0</v>
      </c>
      <c r="O389" s="592" t="str">
        <f t="shared" si="130"/>
        <v>47.0284.1.2.17.00.01.039.01.07.58.2</v>
      </c>
      <c r="P389" s="578" t="s">
        <v>1998</v>
      </c>
      <c r="Q389" s="256" t="str">
        <f>'BD Temp'!K538</f>
        <v>-</v>
      </c>
      <c r="R389" s="255">
        <f>'BD Temp'!O538</f>
        <v>0</v>
      </c>
      <c r="S389" s="592" t="str">
        <f t="shared" si="131"/>
        <v>47.0284.1.2.17.00.01.039.01.07.58.3</v>
      </c>
      <c r="T389" s="578" t="s">
        <v>2000</v>
      </c>
      <c r="U389" s="256" t="str">
        <f>'BD Temp'!P538</f>
        <v>-</v>
      </c>
      <c r="V389" s="764"/>
      <c r="W389" s="764"/>
      <c r="X389" s="158"/>
      <c r="Y389" s="745"/>
      <c r="Z389" s="741">
        <v>0</v>
      </c>
      <c r="AA389" s="592" t="str">
        <f t="shared" si="132"/>
        <v>47.0284.1.2.17.00.01.039.01.07.58.1</v>
      </c>
      <c r="AB389" s="739" t="s">
        <v>1996</v>
      </c>
      <c r="AC389" s="738">
        <v>0</v>
      </c>
      <c r="AD389" s="592" t="str">
        <f t="shared" si="133"/>
        <v>47.0284.1.2.17.00.01.039.01.07.58.2</v>
      </c>
      <c r="AE389" s="739" t="s">
        <v>1998</v>
      </c>
      <c r="AF389" s="738">
        <v>0</v>
      </c>
      <c r="AG389" s="592" t="str">
        <f t="shared" si="134"/>
        <v>47.0284.1.2.17.00.01.039.01.07.58.3</v>
      </c>
      <c r="AH389" s="739" t="s">
        <v>2000</v>
      </c>
      <c r="AI389" s="158"/>
    </row>
    <row r="390" spans="1:35" ht="15" hidden="1" customHeight="1" outlineLevel="4">
      <c r="A390" s="93">
        <v>206340</v>
      </c>
      <c r="B390" s="93">
        <v>3451</v>
      </c>
      <c r="C390" s="93"/>
      <c r="D390" s="93"/>
      <c r="E390" s="93" t="s">
        <v>3071</v>
      </c>
      <c r="F390" s="93" t="s">
        <v>5172</v>
      </c>
      <c r="G390" s="37" t="s">
        <v>666</v>
      </c>
      <c r="H390" s="583">
        <f>IFERROR(VLOOKUP(A390,'Colar QL'!A:C,3,0),0)</f>
        <v>0</v>
      </c>
      <c r="I390" s="69">
        <f t="shared" si="128"/>
        <v>0</v>
      </c>
      <c r="J390" s="258">
        <f>'BD Temp'!E539</f>
        <v>0</v>
      </c>
      <c r="K390" s="590" t="str">
        <f t="shared" si="129"/>
        <v>47.0284.1.2.17.00.01.039.01.07.58.1</v>
      </c>
      <c r="L390" s="579" t="s">
        <v>1996</v>
      </c>
      <c r="M390" s="256" t="str">
        <f>'BD Temp'!F539</f>
        <v>-</v>
      </c>
      <c r="N390" s="255">
        <f>'BD Temp'!J539</f>
        <v>0</v>
      </c>
      <c r="O390" s="592" t="str">
        <f t="shared" si="130"/>
        <v>47.0284.1.2.17.00.01.039.01.07.58.2</v>
      </c>
      <c r="P390" s="578" t="s">
        <v>1998</v>
      </c>
      <c r="Q390" s="256" t="str">
        <f>'BD Temp'!K539</f>
        <v>-</v>
      </c>
      <c r="R390" s="255">
        <f>'BD Temp'!O539</f>
        <v>0</v>
      </c>
      <c r="S390" s="592" t="str">
        <f t="shared" si="131"/>
        <v>47.0284.1.2.17.00.01.039.01.07.58.3</v>
      </c>
      <c r="T390" s="578" t="s">
        <v>2000</v>
      </c>
      <c r="U390" s="256" t="str">
        <f>'BD Temp'!P539</f>
        <v>-</v>
      </c>
      <c r="V390" s="764"/>
      <c r="W390" s="764"/>
      <c r="X390" s="158"/>
      <c r="Y390" s="745"/>
      <c r="Z390" s="741">
        <v>0</v>
      </c>
      <c r="AA390" s="592" t="str">
        <f t="shared" si="132"/>
        <v>47.0284.1.2.17.00.01.039.01.07.58.1</v>
      </c>
      <c r="AB390" s="739" t="s">
        <v>1996</v>
      </c>
      <c r="AC390" s="738">
        <v>0</v>
      </c>
      <c r="AD390" s="592" t="str">
        <f t="shared" si="133"/>
        <v>47.0284.1.2.17.00.01.039.01.07.58.2</v>
      </c>
      <c r="AE390" s="739" t="s">
        <v>1998</v>
      </c>
      <c r="AF390" s="738">
        <v>0</v>
      </c>
      <c r="AG390" s="592" t="str">
        <f t="shared" si="134"/>
        <v>47.0284.1.2.17.00.01.039.01.07.58.3</v>
      </c>
      <c r="AH390" s="739" t="s">
        <v>2000</v>
      </c>
      <c r="AI390" s="158"/>
    </row>
    <row r="391" spans="1:35" ht="15" hidden="1" customHeight="1" outlineLevel="4">
      <c r="A391" s="93">
        <v>206345</v>
      </c>
      <c r="B391" s="93">
        <v>3451</v>
      </c>
      <c r="C391" s="93"/>
      <c r="D391" s="93"/>
      <c r="E391" s="93" t="s">
        <v>3071</v>
      </c>
      <c r="F391" s="93" t="s">
        <v>5172</v>
      </c>
      <c r="G391" s="37" t="s">
        <v>667</v>
      </c>
      <c r="H391" s="583">
        <f>IFERROR(VLOOKUP(A391,'Colar QL'!A:C,3,0),0)</f>
        <v>0</v>
      </c>
      <c r="I391" s="69">
        <f t="shared" si="128"/>
        <v>0</v>
      </c>
      <c r="J391" s="258">
        <f>'BD Temp'!E540</f>
        <v>0</v>
      </c>
      <c r="K391" s="590" t="str">
        <f t="shared" si="129"/>
        <v>47.0284.1.2.17.00.01.039.01.07.58.1</v>
      </c>
      <c r="L391" s="579" t="s">
        <v>1996</v>
      </c>
      <c r="M391" s="256" t="str">
        <f>'BD Temp'!F540</f>
        <v>-</v>
      </c>
      <c r="N391" s="255">
        <f>'BD Temp'!J540</f>
        <v>0</v>
      </c>
      <c r="O391" s="592" t="str">
        <f t="shared" si="130"/>
        <v>47.0284.1.2.17.00.01.039.01.07.58.2</v>
      </c>
      <c r="P391" s="578" t="s">
        <v>1998</v>
      </c>
      <c r="Q391" s="256" t="str">
        <f>'BD Temp'!K540</f>
        <v>-</v>
      </c>
      <c r="R391" s="255">
        <f>'BD Temp'!O540</f>
        <v>0</v>
      </c>
      <c r="S391" s="592" t="str">
        <f t="shared" si="131"/>
        <v>47.0284.1.2.17.00.01.039.01.07.58.3</v>
      </c>
      <c r="T391" s="578" t="s">
        <v>2000</v>
      </c>
      <c r="U391" s="256" t="str">
        <f>'BD Temp'!P540</f>
        <v>-</v>
      </c>
      <c r="V391" s="764"/>
      <c r="W391" s="764"/>
      <c r="X391" s="158"/>
      <c r="Y391" s="745"/>
      <c r="Z391" s="741">
        <v>0</v>
      </c>
      <c r="AA391" s="592" t="str">
        <f t="shared" si="132"/>
        <v>47.0284.1.2.17.00.01.039.01.07.58.1</v>
      </c>
      <c r="AB391" s="739" t="s">
        <v>1996</v>
      </c>
      <c r="AC391" s="738">
        <v>0</v>
      </c>
      <c r="AD391" s="592" t="str">
        <f t="shared" si="133"/>
        <v>47.0284.1.2.17.00.01.039.01.07.58.2</v>
      </c>
      <c r="AE391" s="739" t="s">
        <v>1998</v>
      </c>
      <c r="AF391" s="738">
        <v>0</v>
      </c>
      <c r="AG391" s="592" t="str">
        <f t="shared" si="134"/>
        <v>47.0284.1.2.17.00.01.039.01.07.58.3</v>
      </c>
      <c r="AH391" s="739" t="s">
        <v>2000</v>
      </c>
      <c r="AI391" s="158"/>
    </row>
    <row r="392" spans="1:35" ht="15" hidden="1" customHeight="1" outlineLevel="4">
      <c r="A392" s="93">
        <v>206285</v>
      </c>
      <c r="B392" s="93">
        <v>3451</v>
      </c>
      <c r="C392" s="93"/>
      <c r="D392" s="93"/>
      <c r="E392" s="93" t="s">
        <v>2926</v>
      </c>
      <c r="F392" s="93" t="s">
        <v>5171</v>
      </c>
      <c r="G392" s="37" t="s">
        <v>655</v>
      </c>
      <c r="H392" s="583">
        <f>IFERROR(VLOOKUP(A392,'Colar QL'!A:C,3,0),0)</f>
        <v>0</v>
      </c>
      <c r="I392" s="69">
        <f t="shared" si="128"/>
        <v>0</v>
      </c>
      <c r="J392" s="258">
        <f>'BD Temp'!E541</f>
        <v>0</v>
      </c>
      <c r="K392" s="590" t="str">
        <f t="shared" si="129"/>
        <v>47.0284.1.2.17.00.01.039.01.07.59.1</v>
      </c>
      <c r="L392" s="579" t="s">
        <v>1996</v>
      </c>
      <c r="M392" s="256" t="str">
        <f>'BD Temp'!F541</f>
        <v>-</v>
      </c>
      <c r="N392" s="255">
        <f>'BD Temp'!J541</f>
        <v>0</v>
      </c>
      <c r="O392" s="592" t="str">
        <f t="shared" si="130"/>
        <v>47.0284.1.2.17.00.01.039.01.07.59.2</v>
      </c>
      <c r="P392" s="578" t="s">
        <v>1998</v>
      </c>
      <c r="Q392" s="256" t="str">
        <f>'BD Temp'!K541</f>
        <v>-</v>
      </c>
      <c r="R392" s="255">
        <f>'BD Temp'!O541</f>
        <v>0</v>
      </c>
      <c r="S392" s="592" t="str">
        <f t="shared" si="131"/>
        <v>47.0284.1.2.17.00.01.039.01.07.59.3</v>
      </c>
      <c r="T392" s="578" t="s">
        <v>2000</v>
      </c>
      <c r="U392" s="256" t="str">
        <f>'BD Temp'!P541</f>
        <v>-</v>
      </c>
      <c r="V392" s="764"/>
      <c r="W392" s="764"/>
      <c r="X392" s="158"/>
      <c r="Y392" s="745"/>
      <c r="Z392" s="741">
        <v>0</v>
      </c>
      <c r="AA392" s="592" t="str">
        <f t="shared" si="132"/>
        <v>47.0284.1.2.17.00.01.039.01.07.59.1</v>
      </c>
      <c r="AB392" s="739" t="s">
        <v>1996</v>
      </c>
      <c r="AC392" s="738">
        <v>0</v>
      </c>
      <c r="AD392" s="592" t="str">
        <f t="shared" si="133"/>
        <v>47.0284.1.2.17.00.01.039.01.07.59.2</v>
      </c>
      <c r="AE392" s="739" t="s">
        <v>1998</v>
      </c>
      <c r="AF392" s="738">
        <v>0</v>
      </c>
      <c r="AG392" s="592" t="str">
        <f t="shared" si="134"/>
        <v>47.0284.1.2.17.00.01.039.01.07.59.3</v>
      </c>
      <c r="AH392" s="739" t="s">
        <v>2000</v>
      </c>
      <c r="AI392" s="158"/>
    </row>
    <row r="393" spans="1:35" ht="15" hidden="1" customHeight="1" outlineLevel="4">
      <c r="A393" s="93"/>
      <c r="B393" s="93" t="s">
        <v>1075</v>
      </c>
      <c r="C393" s="93"/>
      <c r="D393" s="93"/>
      <c r="E393" s="93"/>
      <c r="F393" s="93" t="s">
        <v>1075</v>
      </c>
      <c r="G393" s="37"/>
      <c r="H393" s="79"/>
      <c r="I393" s="69">
        <f t="shared" si="128"/>
        <v>0</v>
      </c>
      <c r="J393" s="48"/>
      <c r="K393" s="590" t="str">
        <f t="shared" si="129"/>
        <v>.1</v>
      </c>
      <c r="L393" s="579" t="s">
        <v>1996</v>
      </c>
      <c r="M393" s="74"/>
      <c r="N393" s="49"/>
      <c r="O393" s="592" t="str">
        <f t="shared" si="130"/>
        <v>.2</v>
      </c>
      <c r="P393" s="578" t="s">
        <v>1998</v>
      </c>
      <c r="Q393" s="74"/>
      <c r="R393" s="49"/>
      <c r="S393" s="592" t="str">
        <f t="shared" si="131"/>
        <v>.3</v>
      </c>
      <c r="T393" s="578" t="s">
        <v>2000</v>
      </c>
      <c r="U393" s="74"/>
      <c r="V393" s="764"/>
      <c r="W393" s="764"/>
      <c r="X393" s="158"/>
      <c r="Y393" s="745"/>
      <c r="Z393" s="741">
        <v>0</v>
      </c>
      <c r="AA393" s="592" t="str">
        <f t="shared" si="132"/>
        <v>.1</v>
      </c>
      <c r="AB393" s="739" t="s">
        <v>1996</v>
      </c>
      <c r="AC393" s="738">
        <v>0</v>
      </c>
      <c r="AD393" s="592" t="str">
        <f t="shared" si="133"/>
        <v>.2</v>
      </c>
      <c r="AE393" s="739" t="s">
        <v>1998</v>
      </c>
      <c r="AF393" s="738">
        <v>0</v>
      </c>
      <c r="AG393" s="592" t="str">
        <f t="shared" si="134"/>
        <v>.3</v>
      </c>
      <c r="AH393" s="739" t="s">
        <v>2000</v>
      </c>
      <c r="AI393" s="158"/>
    </row>
    <row r="394" spans="1:35" ht="15" hidden="1" customHeight="1" outlineLevel="4">
      <c r="A394" s="99"/>
      <c r="B394" s="99" t="s">
        <v>1075</v>
      </c>
      <c r="C394" s="99"/>
      <c r="D394" s="99"/>
      <c r="E394" s="99"/>
      <c r="F394" s="99" t="s">
        <v>1075</v>
      </c>
      <c r="G394" s="39" t="s">
        <v>723</v>
      </c>
      <c r="H394" s="79"/>
      <c r="I394" s="69">
        <f t="shared" si="128"/>
        <v>0</v>
      </c>
      <c r="J394" s="48"/>
      <c r="K394" s="590" t="str">
        <f t="shared" si="129"/>
        <v>.1</v>
      </c>
      <c r="L394" s="579" t="s">
        <v>1996</v>
      </c>
      <c r="M394" s="74"/>
      <c r="N394" s="49"/>
      <c r="O394" s="592" t="str">
        <f t="shared" si="130"/>
        <v>.2</v>
      </c>
      <c r="P394" s="578" t="s">
        <v>1998</v>
      </c>
      <c r="Q394" s="74"/>
      <c r="R394" s="49"/>
      <c r="S394" s="592" t="str">
        <f t="shared" si="131"/>
        <v>.3</v>
      </c>
      <c r="T394" s="578" t="s">
        <v>2000</v>
      </c>
      <c r="U394" s="74"/>
      <c r="V394" s="764"/>
      <c r="W394" s="764"/>
      <c r="X394" s="158"/>
      <c r="Y394" s="745"/>
      <c r="Z394" s="741">
        <v>0</v>
      </c>
      <c r="AA394" s="592" t="str">
        <f t="shared" si="132"/>
        <v>.1</v>
      </c>
      <c r="AB394" s="739" t="s">
        <v>1996</v>
      </c>
      <c r="AC394" s="738">
        <v>0</v>
      </c>
      <c r="AD394" s="592" t="str">
        <f t="shared" si="133"/>
        <v>.2</v>
      </c>
      <c r="AE394" s="739" t="s">
        <v>1998</v>
      </c>
      <c r="AF394" s="738">
        <v>0</v>
      </c>
      <c r="AG394" s="592" t="str">
        <f t="shared" si="134"/>
        <v>.3</v>
      </c>
      <c r="AH394" s="739" t="s">
        <v>2000</v>
      </c>
      <c r="AI394" s="158"/>
    </row>
    <row r="395" spans="1:35" ht="15" hidden="1" customHeight="1" outlineLevel="4">
      <c r="A395" s="93"/>
      <c r="B395" s="93" t="s">
        <v>1075</v>
      </c>
      <c r="C395" s="93"/>
      <c r="D395" s="93"/>
      <c r="E395" s="93"/>
      <c r="F395" s="93" t="s">
        <v>1075</v>
      </c>
      <c r="G395" s="37"/>
      <c r="H395" s="79"/>
      <c r="I395" s="69">
        <f t="shared" si="128"/>
        <v>0</v>
      </c>
      <c r="J395" s="48"/>
      <c r="K395" s="590" t="str">
        <f t="shared" si="129"/>
        <v>.1</v>
      </c>
      <c r="L395" s="579" t="s">
        <v>1996</v>
      </c>
      <c r="M395" s="74"/>
      <c r="N395" s="49"/>
      <c r="O395" s="592" t="str">
        <f t="shared" si="130"/>
        <v>.2</v>
      </c>
      <c r="P395" s="578" t="s">
        <v>1998</v>
      </c>
      <c r="Q395" s="74"/>
      <c r="R395" s="49"/>
      <c r="S395" s="592" t="str">
        <f t="shared" si="131"/>
        <v>.3</v>
      </c>
      <c r="T395" s="578" t="s">
        <v>2000</v>
      </c>
      <c r="U395" s="74"/>
      <c r="V395" s="764"/>
      <c r="W395" s="764"/>
      <c r="X395" s="158"/>
      <c r="Y395" s="745"/>
      <c r="Z395" s="741">
        <v>0</v>
      </c>
      <c r="AA395" s="592" t="str">
        <f t="shared" si="132"/>
        <v>.1</v>
      </c>
      <c r="AB395" s="739" t="s">
        <v>1996</v>
      </c>
      <c r="AC395" s="738">
        <v>0</v>
      </c>
      <c r="AD395" s="592" t="str">
        <f t="shared" si="133"/>
        <v>.2</v>
      </c>
      <c r="AE395" s="739" t="s">
        <v>1998</v>
      </c>
      <c r="AF395" s="738">
        <v>0</v>
      </c>
      <c r="AG395" s="592" t="str">
        <f t="shared" si="134"/>
        <v>.3</v>
      </c>
      <c r="AH395" s="739" t="s">
        <v>2000</v>
      </c>
      <c r="AI395" s="158"/>
    </row>
    <row r="396" spans="1:35" ht="15" hidden="1" customHeight="1" outlineLevel="4">
      <c r="A396" s="93"/>
      <c r="B396" s="93" t="s">
        <v>1075</v>
      </c>
      <c r="C396" s="93"/>
      <c r="D396" s="93"/>
      <c r="E396" s="93"/>
      <c r="F396" s="93" t="s">
        <v>1075</v>
      </c>
      <c r="G396" s="37"/>
      <c r="H396" s="79"/>
      <c r="I396" s="69">
        <f t="shared" si="128"/>
        <v>0</v>
      </c>
      <c r="J396" s="48"/>
      <c r="K396" s="590" t="str">
        <f t="shared" si="129"/>
        <v>.1</v>
      </c>
      <c r="L396" s="579" t="s">
        <v>1996</v>
      </c>
      <c r="M396" s="74"/>
      <c r="N396" s="49"/>
      <c r="O396" s="592" t="str">
        <f t="shared" si="130"/>
        <v>.2</v>
      </c>
      <c r="P396" s="578" t="s">
        <v>1998</v>
      </c>
      <c r="Q396" s="74"/>
      <c r="R396" s="49"/>
      <c r="S396" s="592" t="str">
        <f t="shared" si="131"/>
        <v>.3</v>
      </c>
      <c r="T396" s="578" t="s">
        <v>2000</v>
      </c>
      <c r="U396" s="74"/>
      <c r="V396" s="764"/>
      <c r="W396" s="764"/>
      <c r="X396" s="158"/>
      <c r="Y396" s="745"/>
      <c r="Z396" s="741">
        <v>0</v>
      </c>
      <c r="AA396" s="592" t="str">
        <f t="shared" si="132"/>
        <v>.1</v>
      </c>
      <c r="AB396" s="739" t="s">
        <v>1996</v>
      </c>
      <c r="AC396" s="738">
        <v>0</v>
      </c>
      <c r="AD396" s="592" t="str">
        <f t="shared" si="133"/>
        <v>.2</v>
      </c>
      <c r="AE396" s="739" t="s">
        <v>1998</v>
      </c>
      <c r="AF396" s="738">
        <v>0</v>
      </c>
      <c r="AG396" s="592" t="str">
        <f t="shared" si="134"/>
        <v>.3</v>
      </c>
      <c r="AH396" s="739" t="s">
        <v>2000</v>
      </c>
      <c r="AI396" s="158"/>
    </row>
    <row r="397" spans="1:35" ht="15" hidden="1" customHeight="1" outlineLevel="4">
      <c r="A397" s="93"/>
      <c r="B397" s="93" t="s">
        <v>1075</v>
      </c>
      <c r="C397" s="93"/>
      <c r="D397" s="93"/>
      <c r="E397" s="93"/>
      <c r="F397" s="93" t="s">
        <v>1075</v>
      </c>
      <c r="G397" s="37"/>
      <c r="H397" s="79"/>
      <c r="I397" s="69">
        <f t="shared" si="128"/>
        <v>0</v>
      </c>
      <c r="J397" s="48"/>
      <c r="K397" s="590" t="str">
        <f t="shared" si="129"/>
        <v>.1</v>
      </c>
      <c r="L397" s="579" t="s">
        <v>1996</v>
      </c>
      <c r="M397" s="74"/>
      <c r="N397" s="49"/>
      <c r="O397" s="592" t="str">
        <f t="shared" si="130"/>
        <v>.2</v>
      </c>
      <c r="P397" s="578" t="s">
        <v>1998</v>
      </c>
      <c r="Q397" s="74"/>
      <c r="R397" s="49"/>
      <c r="S397" s="592" t="str">
        <f t="shared" si="131"/>
        <v>.3</v>
      </c>
      <c r="T397" s="578" t="s">
        <v>2000</v>
      </c>
      <c r="U397" s="74"/>
      <c r="V397" s="764"/>
      <c r="W397" s="764"/>
      <c r="X397" s="158"/>
      <c r="Y397" s="745"/>
      <c r="Z397" s="741">
        <v>0</v>
      </c>
      <c r="AA397" s="592" t="str">
        <f t="shared" si="132"/>
        <v>.1</v>
      </c>
      <c r="AB397" s="739" t="s">
        <v>1996</v>
      </c>
      <c r="AC397" s="738">
        <v>0</v>
      </c>
      <c r="AD397" s="592" t="str">
        <f t="shared" si="133"/>
        <v>.2</v>
      </c>
      <c r="AE397" s="739" t="s">
        <v>1998</v>
      </c>
      <c r="AF397" s="738">
        <v>0</v>
      </c>
      <c r="AG397" s="592" t="str">
        <f t="shared" si="134"/>
        <v>.3</v>
      </c>
      <c r="AH397" s="739" t="s">
        <v>2000</v>
      </c>
      <c r="AI397" s="158"/>
    </row>
    <row r="398" spans="1:35" ht="15" hidden="1" customHeight="1" outlineLevel="4">
      <c r="A398" s="93"/>
      <c r="B398" s="93" t="s">
        <v>1075</v>
      </c>
      <c r="C398" s="93"/>
      <c r="D398" s="93"/>
      <c r="E398" s="93"/>
      <c r="F398" s="93" t="s">
        <v>1075</v>
      </c>
      <c r="G398" s="37"/>
      <c r="H398" s="79"/>
      <c r="I398" s="69">
        <f t="shared" si="128"/>
        <v>0</v>
      </c>
      <c r="J398" s="48"/>
      <c r="K398" s="590" t="str">
        <f t="shared" si="129"/>
        <v>.1</v>
      </c>
      <c r="L398" s="579" t="s">
        <v>1996</v>
      </c>
      <c r="M398" s="74"/>
      <c r="N398" s="49"/>
      <c r="O398" s="592" t="str">
        <f t="shared" si="130"/>
        <v>.2</v>
      </c>
      <c r="P398" s="578" t="s">
        <v>1998</v>
      </c>
      <c r="Q398" s="74"/>
      <c r="R398" s="49"/>
      <c r="S398" s="592" t="str">
        <f t="shared" si="131"/>
        <v>.3</v>
      </c>
      <c r="T398" s="578" t="s">
        <v>2000</v>
      </c>
      <c r="U398" s="74"/>
      <c r="V398" s="764"/>
      <c r="W398" s="764"/>
      <c r="X398" s="158"/>
      <c r="Y398" s="745"/>
      <c r="Z398" s="741">
        <v>0</v>
      </c>
      <c r="AA398" s="592" t="str">
        <f t="shared" si="132"/>
        <v>.1</v>
      </c>
      <c r="AB398" s="739" t="s">
        <v>1996</v>
      </c>
      <c r="AC398" s="738">
        <v>0</v>
      </c>
      <c r="AD398" s="592" t="str">
        <f t="shared" si="133"/>
        <v>.2</v>
      </c>
      <c r="AE398" s="739" t="s">
        <v>1998</v>
      </c>
      <c r="AF398" s="738">
        <v>0</v>
      </c>
      <c r="AG398" s="592" t="str">
        <f t="shared" si="134"/>
        <v>.3</v>
      </c>
      <c r="AH398" s="739" t="s">
        <v>2000</v>
      </c>
      <c r="AI398" s="158"/>
    </row>
    <row r="399" spans="1:35" ht="15" hidden="1" customHeight="1" outlineLevel="4">
      <c r="A399" s="93"/>
      <c r="B399" s="93" t="s">
        <v>1075</v>
      </c>
      <c r="C399" s="93"/>
      <c r="D399" s="93"/>
      <c r="E399" s="93"/>
      <c r="F399" s="93" t="s">
        <v>1075</v>
      </c>
      <c r="G399" s="37"/>
      <c r="H399" s="79"/>
      <c r="I399" s="69">
        <f t="shared" si="128"/>
        <v>0</v>
      </c>
      <c r="J399" s="48"/>
      <c r="K399" s="590" t="str">
        <f t="shared" si="129"/>
        <v>.1</v>
      </c>
      <c r="L399" s="579" t="s">
        <v>1996</v>
      </c>
      <c r="M399" s="74"/>
      <c r="N399" s="49"/>
      <c r="O399" s="592" t="str">
        <f t="shared" si="130"/>
        <v>.2</v>
      </c>
      <c r="P399" s="578" t="s">
        <v>1998</v>
      </c>
      <c r="Q399" s="74"/>
      <c r="R399" s="49"/>
      <c r="S399" s="592" t="str">
        <f t="shared" si="131"/>
        <v>.3</v>
      </c>
      <c r="T399" s="578" t="s">
        <v>2000</v>
      </c>
      <c r="U399" s="74"/>
      <c r="V399" s="764"/>
      <c r="W399" s="764"/>
      <c r="X399" s="158"/>
      <c r="Y399" s="745"/>
      <c r="Z399" s="741">
        <v>0</v>
      </c>
      <c r="AA399" s="592" t="str">
        <f t="shared" si="132"/>
        <v>.1</v>
      </c>
      <c r="AB399" s="739" t="s">
        <v>1996</v>
      </c>
      <c r="AC399" s="738">
        <v>0</v>
      </c>
      <c r="AD399" s="592" t="str">
        <f t="shared" si="133"/>
        <v>.2</v>
      </c>
      <c r="AE399" s="739" t="s">
        <v>1998</v>
      </c>
      <c r="AF399" s="738">
        <v>0</v>
      </c>
      <c r="AG399" s="592" t="str">
        <f t="shared" si="134"/>
        <v>.3</v>
      </c>
      <c r="AH399" s="739" t="s">
        <v>2000</v>
      </c>
      <c r="AI399" s="158"/>
    </row>
    <row r="400" spans="1:35" ht="15" hidden="1" customHeight="1" outlineLevel="4">
      <c r="A400" s="95"/>
      <c r="B400" s="95" t="s">
        <v>1075</v>
      </c>
      <c r="C400" s="95"/>
      <c r="D400" s="95"/>
      <c r="E400" s="774"/>
      <c r="F400" s="774" t="s">
        <v>1075</v>
      </c>
      <c r="G400" s="13"/>
      <c r="H400" s="81"/>
      <c r="I400" s="71">
        <f t="shared" si="128"/>
        <v>0</v>
      </c>
      <c r="J400" s="48"/>
      <c r="K400" s="590" t="str">
        <f t="shared" si="129"/>
        <v>.1</v>
      </c>
      <c r="L400" s="579" t="s">
        <v>1996</v>
      </c>
      <c r="M400" s="74"/>
      <c r="N400" s="49"/>
      <c r="O400" s="592" t="str">
        <f t="shared" si="130"/>
        <v>.2</v>
      </c>
      <c r="P400" s="578" t="s">
        <v>1998</v>
      </c>
      <c r="Q400" s="74"/>
      <c r="R400" s="49"/>
      <c r="S400" s="592" t="str">
        <f t="shared" si="131"/>
        <v>.3</v>
      </c>
      <c r="T400" s="578" t="s">
        <v>2000</v>
      </c>
      <c r="U400" s="74"/>
      <c r="V400" s="766"/>
      <c r="W400" s="766"/>
      <c r="X400" s="171"/>
      <c r="Y400" s="745"/>
      <c r="Z400" s="741">
        <v>0</v>
      </c>
      <c r="AA400" s="592" t="str">
        <f t="shared" si="132"/>
        <v>.1</v>
      </c>
      <c r="AB400" s="739" t="s">
        <v>1996</v>
      </c>
      <c r="AC400" s="738">
        <v>0</v>
      </c>
      <c r="AD400" s="592" t="str">
        <f t="shared" si="133"/>
        <v>.2</v>
      </c>
      <c r="AE400" s="739" t="s">
        <v>1998</v>
      </c>
      <c r="AF400" s="738">
        <v>0</v>
      </c>
      <c r="AG400" s="592" t="str">
        <f t="shared" si="134"/>
        <v>.3</v>
      </c>
      <c r="AH400" s="739" t="s">
        <v>2000</v>
      </c>
      <c r="AI400" s="171"/>
    </row>
    <row r="401" spans="1:35" ht="15" customHeight="1" outlineLevel="3" collapsed="1">
      <c r="A401" s="97"/>
      <c r="B401" s="97" t="s">
        <v>1075</v>
      </c>
      <c r="C401" s="97"/>
      <c r="D401" s="97"/>
      <c r="E401" s="97"/>
      <c r="F401" s="97" t="s">
        <v>1075</v>
      </c>
      <c r="G401" s="40" t="s">
        <v>248</v>
      </c>
      <c r="H401" s="78">
        <f>SUBTOTAL(9,H402:H414)</f>
        <v>0</v>
      </c>
      <c r="I401" s="68">
        <f t="shared" si="128"/>
        <v>0</v>
      </c>
      <c r="J401" s="55">
        <f>SUBTOTAL(9,J402:J414)</f>
        <v>0</v>
      </c>
      <c r="K401" s="55"/>
      <c r="L401" s="55"/>
      <c r="M401" s="84"/>
      <c r="N401" s="55">
        <f>SUBTOTAL(9,N402:N414)</f>
        <v>0</v>
      </c>
      <c r="O401" s="91"/>
      <c r="P401" s="91"/>
      <c r="Q401" s="84"/>
      <c r="R401" s="55">
        <f>SUBTOTAL(9,R402:R414)</f>
        <v>0</v>
      </c>
      <c r="S401" s="91"/>
      <c r="T401" s="91"/>
      <c r="U401" s="84"/>
      <c r="V401" s="55">
        <f>SUBTOTAL(9,V402:V414)</f>
        <v>0</v>
      </c>
      <c r="W401" s="55">
        <f>SUBTOTAL(9,W402:W414)</f>
        <v>0</v>
      </c>
      <c r="X401" s="170"/>
      <c r="Y401" s="745"/>
      <c r="Z401" s="55">
        <f>SUBTOTAL(9,Z402:Z414)</f>
        <v>0</v>
      </c>
      <c r="AA401" s="91"/>
      <c r="AB401" s="91"/>
      <c r="AC401" s="55">
        <f>SUBTOTAL(9,AC402:AC414)</f>
        <v>0</v>
      </c>
      <c r="AD401" s="91"/>
      <c r="AE401" s="91"/>
      <c r="AF401" s="55">
        <f>SUBTOTAL(9,AF402:AF414)</f>
        <v>0</v>
      </c>
      <c r="AG401" s="91"/>
      <c r="AH401" s="91"/>
      <c r="AI401" s="170"/>
    </row>
    <row r="402" spans="1:35" ht="15" hidden="1" customHeight="1" outlineLevel="4">
      <c r="A402" s="94">
        <v>206220</v>
      </c>
      <c r="B402" s="94">
        <v>3451</v>
      </c>
      <c r="C402" s="94"/>
      <c r="D402" s="94"/>
      <c r="E402" s="94" t="s">
        <v>2927</v>
      </c>
      <c r="F402" s="94" t="s">
        <v>5176</v>
      </c>
      <c r="G402" s="38" t="s">
        <v>643</v>
      </c>
      <c r="H402" s="583">
        <f>IFERROR(VLOOKUP(A402,'Colar QL'!A:C,3,0),0)</f>
        <v>0</v>
      </c>
      <c r="I402" s="69">
        <f t="shared" si="128"/>
        <v>0</v>
      </c>
      <c r="J402" s="258">
        <f>'BD Temp'!E551</f>
        <v>0</v>
      </c>
      <c r="K402" s="590" t="str">
        <f t="shared" ref="K402:K414" si="135">F402&amp;L402</f>
        <v>47.0284.1.2.17.00.01.039.01.07.55.1</v>
      </c>
      <c r="L402" s="579" t="s">
        <v>1996</v>
      </c>
      <c r="M402" s="256" t="str">
        <f>'BD Temp'!F551</f>
        <v>-</v>
      </c>
      <c r="N402" s="255">
        <f>'BD Temp'!J551</f>
        <v>0</v>
      </c>
      <c r="O402" s="592" t="str">
        <f t="shared" ref="O402:O414" si="136">F402&amp;P402</f>
        <v>47.0284.1.2.17.00.01.039.01.07.55.2</v>
      </c>
      <c r="P402" s="578" t="s">
        <v>1998</v>
      </c>
      <c r="Q402" s="256" t="str">
        <f>'BD Temp'!K551</f>
        <v>-</v>
      </c>
      <c r="R402" s="255">
        <f>'BD Temp'!O551</f>
        <v>0</v>
      </c>
      <c r="S402" s="592" t="str">
        <f t="shared" ref="S402:S414" si="137">F402&amp;T402</f>
        <v>47.0284.1.2.17.00.01.039.01.07.55.3</v>
      </c>
      <c r="T402" s="578" t="s">
        <v>2000</v>
      </c>
      <c r="U402" s="256" t="str">
        <f>'BD Temp'!P551</f>
        <v>-</v>
      </c>
      <c r="V402" s="764"/>
      <c r="W402" s="767"/>
      <c r="X402" s="164"/>
      <c r="Y402" s="746"/>
      <c r="Z402" s="741">
        <v>0</v>
      </c>
      <c r="AA402" s="592" t="str">
        <f t="shared" ref="AA402:AA414" si="138">F402&amp;AB402</f>
        <v>47.0284.1.2.17.00.01.039.01.07.55.1</v>
      </c>
      <c r="AB402" s="739" t="s">
        <v>1996</v>
      </c>
      <c r="AC402" s="738">
        <v>0</v>
      </c>
      <c r="AD402" s="592" t="str">
        <f t="shared" ref="AD402:AD414" si="139">F402&amp;AE402</f>
        <v>47.0284.1.2.17.00.01.039.01.07.55.2</v>
      </c>
      <c r="AE402" s="739" t="s">
        <v>1998</v>
      </c>
      <c r="AF402" s="738">
        <v>0</v>
      </c>
      <c r="AG402" s="592" t="str">
        <f t="shared" ref="AG402:AG414" si="140">F402&amp;AH402</f>
        <v>47.0284.1.2.17.00.01.039.01.07.55.3</v>
      </c>
      <c r="AH402" s="739" t="s">
        <v>2000</v>
      </c>
      <c r="AI402" s="164"/>
    </row>
    <row r="403" spans="1:35" ht="15" hidden="1" customHeight="1" outlineLevel="4">
      <c r="A403" s="94">
        <v>206225</v>
      </c>
      <c r="B403" s="94">
        <v>3451</v>
      </c>
      <c r="C403" s="94"/>
      <c r="D403" s="94"/>
      <c r="E403" s="94" t="s">
        <v>2935</v>
      </c>
      <c r="F403" s="94" t="s">
        <v>5177</v>
      </c>
      <c r="G403" s="38" t="s">
        <v>644</v>
      </c>
      <c r="H403" s="583">
        <f>IFERROR(VLOOKUP(A403,'Colar QL'!A:C,3,0),0)</f>
        <v>0</v>
      </c>
      <c r="I403" s="69">
        <f t="shared" si="128"/>
        <v>0</v>
      </c>
      <c r="J403" s="258">
        <f>'BD Temp'!E552</f>
        <v>0</v>
      </c>
      <c r="K403" s="590" t="str">
        <f t="shared" si="135"/>
        <v>47.0284.1.2.17.00.01.039.01.07.20.1</v>
      </c>
      <c r="L403" s="579" t="s">
        <v>1996</v>
      </c>
      <c r="M403" s="256" t="str">
        <f>'BD Temp'!F552</f>
        <v>-</v>
      </c>
      <c r="N403" s="255">
        <f>'BD Temp'!J552</f>
        <v>0</v>
      </c>
      <c r="O403" s="592" t="str">
        <f t="shared" si="136"/>
        <v>47.0284.1.2.17.00.01.039.01.07.20.2</v>
      </c>
      <c r="P403" s="578" t="s">
        <v>1998</v>
      </c>
      <c r="Q403" s="256" t="str">
        <f>'BD Temp'!K552</f>
        <v>-</v>
      </c>
      <c r="R403" s="712">
        <f>'BD Temp'!O552</f>
        <v>0</v>
      </c>
      <c r="S403" s="592" t="str">
        <f t="shared" si="137"/>
        <v>47.0284.1.2.17.00.01.039.01.07.20.3</v>
      </c>
      <c r="T403" s="578" t="s">
        <v>2000</v>
      </c>
      <c r="U403" s="711" t="str">
        <f>'BD Temp'!P552</f>
        <v>-</v>
      </c>
      <c r="V403" s="764"/>
      <c r="W403" s="767"/>
      <c r="X403" s="164"/>
      <c r="Y403" s="746"/>
      <c r="Z403" s="741">
        <v>0</v>
      </c>
      <c r="AA403" s="592" t="str">
        <f t="shared" si="138"/>
        <v>47.0284.1.2.17.00.01.039.01.07.20.1</v>
      </c>
      <c r="AB403" s="739" t="s">
        <v>1996</v>
      </c>
      <c r="AC403" s="738">
        <v>0</v>
      </c>
      <c r="AD403" s="592" t="str">
        <f t="shared" si="139"/>
        <v>47.0284.1.2.17.00.01.039.01.07.20.2</v>
      </c>
      <c r="AE403" s="739" t="s">
        <v>1998</v>
      </c>
      <c r="AF403" s="738">
        <v>0</v>
      </c>
      <c r="AG403" s="592" t="str">
        <f t="shared" si="140"/>
        <v>47.0284.1.2.17.00.01.039.01.07.20.3</v>
      </c>
      <c r="AH403" s="739" t="s">
        <v>2000</v>
      </c>
      <c r="AI403" s="164"/>
    </row>
    <row r="404" spans="1:35" ht="15" hidden="1" customHeight="1" outlineLevel="4">
      <c r="A404" s="94" t="s">
        <v>1095</v>
      </c>
      <c r="B404" s="94">
        <v>3451</v>
      </c>
      <c r="C404" s="94"/>
      <c r="D404" s="94"/>
      <c r="E404" s="94" t="s">
        <v>2935</v>
      </c>
      <c r="F404" s="94" t="s">
        <v>5177</v>
      </c>
      <c r="G404" s="38" t="s">
        <v>332</v>
      </c>
      <c r="H404" s="583">
        <f>IFERROR(VLOOKUP(A404,'Colar QL'!A:C,3,0),0)</f>
        <v>0</v>
      </c>
      <c r="I404" s="69">
        <f t="shared" si="128"/>
        <v>0</v>
      </c>
      <c r="J404" s="258">
        <f>'BD Temp'!E553</f>
        <v>0</v>
      </c>
      <c r="K404" s="590" t="str">
        <f t="shared" si="135"/>
        <v>47.0284.1.2.17.00.01.039.01.07.20.1</v>
      </c>
      <c r="L404" s="579" t="s">
        <v>1996</v>
      </c>
      <c r="M404" s="256" t="str">
        <f>'BD Temp'!F553</f>
        <v>-</v>
      </c>
      <c r="N404" s="255">
        <f>'BD Temp'!J553</f>
        <v>0</v>
      </c>
      <c r="O404" s="592" t="str">
        <f t="shared" si="136"/>
        <v>47.0284.1.2.17.00.01.039.01.07.20.2</v>
      </c>
      <c r="P404" s="578" t="s">
        <v>1998</v>
      </c>
      <c r="Q404" s="256" t="str">
        <f>'BD Temp'!K553</f>
        <v>-</v>
      </c>
      <c r="R404" s="712">
        <f>'BD Temp'!O553</f>
        <v>0</v>
      </c>
      <c r="S404" s="592" t="str">
        <f t="shared" si="137"/>
        <v>47.0284.1.2.17.00.01.039.01.07.20.3</v>
      </c>
      <c r="T404" s="578" t="s">
        <v>2000</v>
      </c>
      <c r="U404" s="711" t="str">
        <f>'BD Temp'!P553</f>
        <v>-</v>
      </c>
      <c r="V404" s="764"/>
      <c r="W404" s="767"/>
      <c r="X404" s="164"/>
      <c r="Y404" s="746"/>
      <c r="Z404" s="741">
        <v>0</v>
      </c>
      <c r="AA404" s="592" t="str">
        <f t="shared" si="138"/>
        <v>47.0284.1.2.17.00.01.039.01.07.20.1</v>
      </c>
      <c r="AB404" s="739" t="s">
        <v>1996</v>
      </c>
      <c r="AC404" s="738">
        <v>0</v>
      </c>
      <c r="AD404" s="592" t="str">
        <f t="shared" si="139"/>
        <v>47.0284.1.2.17.00.01.039.01.07.20.2</v>
      </c>
      <c r="AE404" s="739" t="s">
        <v>1998</v>
      </c>
      <c r="AF404" s="738">
        <v>0</v>
      </c>
      <c r="AG404" s="592" t="str">
        <f t="shared" si="140"/>
        <v>47.0284.1.2.17.00.01.039.01.07.20.3</v>
      </c>
      <c r="AH404" s="739" t="s">
        <v>2000</v>
      </c>
      <c r="AI404" s="164"/>
    </row>
    <row r="405" spans="1:35" ht="15" hidden="1" customHeight="1" outlineLevel="4">
      <c r="A405" s="94">
        <v>206230</v>
      </c>
      <c r="B405" s="94">
        <v>3451</v>
      </c>
      <c r="C405" s="94"/>
      <c r="D405" s="94"/>
      <c r="E405" s="94" t="s">
        <v>2933</v>
      </c>
      <c r="F405" s="94" t="s">
        <v>5178</v>
      </c>
      <c r="G405" s="38" t="s">
        <v>645</v>
      </c>
      <c r="H405" s="583">
        <f>IFERROR(VLOOKUP(A405,'Colar QL'!A:C,3,0),0)</f>
        <v>0</v>
      </c>
      <c r="I405" s="69">
        <f t="shared" ref="I405:I468" si="141">IFERROR((J405+N405+R405),0)</f>
        <v>0</v>
      </c>
      <c r="J405" s="258">
        <f>'BD Temp'!E554</f>
        <v>0</v>
      </c>
      <c r="K405" s="590" t="str">
        <f t="shared" si="135"/>
        <v>47.0284.1.2.17.00.01.039.01.07.21.1</v>
      </c>
      <c r="L405" s="579" t="s">
        <v>1996</v>
      </c>
      <c r="M405" s="256" t="str">
        <f>'BD Temp'!F554</f>
        <v>-</v>
      </c>
      <c r="N405" s="255">
        <f>'BD Temp'!J554</f>
        <v>0</v>
      </c>
      <c r="O405" s="592" t="str">
        <f t="shared" si="136"/>
        <v>47.0284.1.2.17.00.01.039.01.07.21.2</v>
      </c>
      <c r="P405" s="578" t="s">
        <v>1998</v>
      </c>
      <c r="Q405" s="256" t="str">
        <f>'BD Temp'!K554</f>
        <v>-</v>
      </c>
      <c r="R405" s="712">
        <f>'BD Temp'!O554</f>
        <v>0</v>
      </c>
      <c r="S405" s="592" t="str">
        <f t="shared" si="137"/>
        <v>47.0284.1.2.17.00.01.039.01.07.21.3</v>
      </c>
      <c r="T405" s="578" t="s">
        <v>2000</v>
      </c>
      <c r="U405" s="711" t="str">
        <f>'BD Temp'!P554</f>
        <v>-</v>
      </c>
      <c r="V405" s="764"/>
      <c r="W405" s="767"/>
      <c r="X405" s="164"/>
      <c r="Y405" s="746"/>
      <c r="Z405" s="741">
        <v>0</v>
      </c>
      <c r="AA405" s="592" t="str">
        <f t="shared" si="138"/>
        <v>47.0284.1.2.17.00.01.039.01.07.21.1</v>
      </c>
      <c r="AB405" s="739" t="s">
        <v>1996</v>
      </c>
      <c r="AC405" s="738">
        <v>0</v>
      </c>
      <c r="AD405" s="592" t="str">
        <f t="shared" si="139"/>
        <v>47.0284.1.2.17.00.01.039.01.07.21.2</v>
      </c>
      <c r="AE405" s="739" t="s">
        <v>1998</v>
      </c>
      <c r="AF405" s="738">
        <v>0</v>
      </c>
      <c r="AG405" s="592" t="str">
        <f t="shared" si="140"/>
        <v>47.0284.1.2.17.00.01.039.01.07.21.3</v>
      </c>
      <c r="AH405" s="739" t="s">
        <v>2000</v>
      </c>
      <c r="AI405" s="164"/>
    </row>
    <row r="406" spans="1:35" ht="15" hidden="1" customHeight="1" outlineLevel="4">
      <c r="A406" s="94">
        <v>206235</v>
      </c>
      <c r="B406" s="94">
        <v>3451</v>
      </c>
      <c r="C406" s="94"/>
      <c r="D406" s="94"/>
      <c r="E406" s="94" t="s">
        <v>2934</v>
      </c>
      <c r="F406" s="94" t="s">
        <v>5179</v>
      </c>
      <c r="G406" s="38" t="s">
        <v>821</v>
      </c>
      <c r="H406" s="583">
        <f>IFERROR(VLOOKUP(A406,'Colar QL'!A:C,3,0),0)</f>
        <v>0</v>
      </c>
      <c r="I406" s="69">
        <f t="shared" si="141"/>
        <v>0</v>
      </c>
      <c r="J406" s="258">
        <f>'BD Temp'!E555</f>
        <v>0</v>
      </c>
      <c r="K406" s="590" t="str">
        <f t="shared" si="135"/>
        <v>47.0284.1.2.17.00.01.039.01.07.22.1</v>
      </c>
      <c r="L406" s="579" t="s">
        <v>1996</v>
      </c>
      <c r="M406" s="256" t="str">
        <f>'BD Temp'!F555</f>
        <v>-</v>
      </c>
      <c r="N406" s="255">
        <f>'BD Temp'!J555</f>
        <v>0</v>
      </c>
      <c r="O406" s="592" t="str">
        <f t="shared" si="136"/>
        <v>47.0284.1.2.17.00.01.039.01.07.22.2</v>
      </c>
      <c r="P406" s="578" t="s">
        <v>1998</v>
      </c>
      <c r="Q406" s="256" t="str">
        <f>'BD Temp'!K555</f>
        <v>-</v>
      </c>
      <c r="R406" s="712">
        <f>'BD Temp'!O555</f>
        <v>0</v>
      </c>
      <c r="S406" s="592" t="str">
        <f t="shared" si="137"/>
        <v>47.0284.1.2.17.00.01.039.01.07.22.3</v>
      </c>
      <c r="T406" s="578" t="s">
        <v>2000</v>
      </c>
      <c r="U406" s="711" t="str">
        <f>'BD Temp'!P555</f>
        <v>-</v>
      </c>
      <c r="V406" s="764"/>
      <c r="W406" s="767"/>
      <c r="X406" s="164"/>
      <c r="Y406" s="746"/>
      <c r="Z406" s="741">
        <v>0</v>
      </c>
      <c r="AA406" s="592" t="str">
        <f t="shared" si="138"/>
        <v>47.0284.1.2.17.00.01.039.01.07.22.1</v>
      </c>
      <c r="AB406" s="739" t="s">
        <v>1996</v>
      </c>
      <c r="AC406" s="738">
        <v>0</v>
      </c>
      <c r="AD406" s="592" t="str">
        <f t="shared" si="139"/>
        <v>47.0284.1.2.17.00.01.039.01.07.22.2</v>
      </c>
      <c r="AE406" s="739" t="s">
        <v>1998</v>
      </c>
      <c r="AF406" s="738">
        <v>0</v>
      </c>
      <c r="AG406" s="592" t="str">
        <f t="shared" si="140"/>
        <v>47.0284.1.2.17.00.01.039.01.07.22.3</v>
      </c>
      <c r="AH406" s="739" t="s">
        <v>2000</v>
      </c>
      <c r="AI406" s="164"/>
    </row>
    <row r="407" spans="1:35" ht="15" hidden="1" customHeight="1" outlineLevel="4">
      <c r="A407" s="102"/>
      <c r="B407" s="102" t="s">
        <v>1075</v>
      </c>
      <c r="C407" s="102"/>
      <c r="D407" s="102"/>
      <c r="E407" s="102"/>
      <c r="F407" s="102" t="s">
        <v>1075</v>
      </c>
      <c r="G407" s="41"/>
      <c r="H407" s="82"/>
      <c r="I407" s="72">
        <f t="shared" si="141"/>
        <v>0</v>
      </c>
      <c r="J407" s="59"/>
      <c r="K407" s="590" t="str">
        <f t="shared" si="135"/>
        <v>.1</v>
      </c>
      <c r="L407" s="579" t="s">
        <v>1996</v>
      </c>
      <c r="M407" s="88"/>
      <c r="N407" s="60"/>
      <c r="O407" s="592" t="str">
        <f t="shared" si="136"/>
        <v>.2</v>
      </c>
      <c r="P407" s="578" t="s">
        <v>1998</v>
      </c>
      <c r="Q407" s="88"/>
      <c r="R407" s="60"/>
      <c r="S407" s="592" t="str">
        <f t="shared" si="137"/>
        <v>.3</v>
      </c>
      <c r="T407" s="578" t="s">
        <v>2000</v>
      </c>
      <c r="U407" s="88"/>
      <c r="V407" s="768"/>
      <c r="W407" s="768"/>
      <c r="X407" s="172"/>
      <c r="Y407" s="746"/>
      <c r="Z407" s="741">
        <v>0</v>
      </c>
      <c r="AA407" s="592" t="str">
        <f t="shared" si="138"/>
        <v>.1</v>
      </c>
      <c r="AB407" s="739" t="s">
        <v>1996</v>
      </c>
      <c r="AC407" s="738">
        <v>0</v>
      </c>
      <c r="AD407" s="592" t="str">
        <f t="shared" si="139"/>
        <v>.2</v>
      </c>
      <c r="AE407" s="739" t="s">
        <v>1998</v>
      </c>
      <c r="AF407" s="738">
        <v>0</v>
      </c>
      <c r="AG407" s="592" t="str">
        <f t="shared" si="140"/>
        <v>.3</v>
      </c>
      <c r="AH407" s="739" t="s">
        <v>2000</v>
      </c>
      <c r="AI407" s="172"/>
    </row>
    <row r="408" spans="1:35" ht="15" hidden="1" customHeight="1" outlineLevel="4">
      <c r="A408" s="103"/>
      <c r="B408" s="103" t="s">
        <v>1075</v>
      </c>
      <c r="C408" s="103"/>
      <c r="D408" s="103"/>
      <c r="E408" s="103"/>
      <c r="F408" s="103" t="s">
        <v>1075</v>
      </c>
      <c r="G408" s="47" t="s">
        <v>723</v>
      </c>
      <c r="H408" s="82"/>
      <c r="I408" s="72">
        <f t="shared" si="141"/>
        <v>0</v>
      </c>
      <c r="J408" s="59"/>
      <c r="K408" s="590" t="str">
        <f t="shared" si="135"/>
        <v>.1</v>
      </c>
      <c r="L408" s="579" t="s">
        <v>1996</v>
      </c>
      <c r="M408" s="88"/>
      <c r="N408" s="60"/>
      <c r="O408" s="592" t="str">
        <f t="shared" si="136"/>
        <v>.2</v>
      </c>
      <c r="P408" s="578" t="s">
        <v>1998</v>
      </c>
      <c r="Q408" s="88"/>
      <c r="R408" s="60"/>
      <c r="S408" s="592" t="str">
        <f t="shared" si="137"/>
        <v>.3</v>
      </c>
      <c r="T408" s="578" t="s">
        <v>2000</v>
      </c>
      <c r="U408" s="88"/>
      <c r="V408" s="768"/>
      <c r="W408" s="768"/>
      <c r="X408" s="172"/>
      <c r="Y408" s="746"/>
      <c r="Z408" s="741">
        <v>0</v>
      </c>
      <c r="AA408" s="592" t="str">
        <f t="shared" si="138"/>
        <v>.1</v>
      </c>
      <c r="AB408" s="739" t="s">
        <v>1996</v>
      </c>
      <c r="AC408" s="738">
        <v>0</v>
      </c>
      <c r="AD408" s="592" t="str">
        <f t="shared" si="139"/>
        <v>.2</v>
      </c>
      <c r="AE408" s="739" t="s">
        <v>1998</v>
      </c>
      <c r="AF408" s="738">
        <v>0</v>
      </c>
      <c r="AG408" s="592" t="str">
        <f t="shared" si="140"/>
        <v>.3</v>
      </c>
      <c r="AH408" s="739" t="s">
        <v>2000</v>
      </c>
      <c r="AI408" s="172"/>
    </row>
    <row r="409" spans="1:35" ht="15" hidden="1" customHeight="1" outlineLevel="4">
      <c r="A409" s="102"/>
      <c r="B409" s="102" t="s">
        <v>1075</v>
      </c>
      <c r="C409" s="102"/>
      <c r="D409" s="102"/>
      <c r="E409" s="102"/>
      <c r="F409" s="102" t="s">
        <v>1075</v>
      </c>
      <c r="G409" s="41"/>
      <c r="H409" s="79"/>
      <c r="I409" s="72">
        <f t="shared" si="141"/>
        <v>0</v>
      </c>
      <c r="J409" s="59"/>
      <c r="K409" s="590" t="str">
        <f t="shared" si="135"/>
        <v>.1</v>
      </c>
      <c r="L409" s="579" t="s">
        <v>1996</v>
      </c>
      <c r="M409" s="88"/>
      <c r="N409" s="60"/>
      <c r="O409" s="592" t="str">
        <f t="shared" si="136"/>
        <v>.2</v>
      </c>
      <c r="P409" s="578" t="s">
        <v>1998</v>
      </c>
      <c r="Q409" s="88"/>
      <c r="R409" s="60"/>
      <c r="S409" s="592" t="str">
        <f t="shared" si="137"/>
        <v>.3</v>
      </c>
      <c r="T409" s="578" t="s">
        <v>2000</v>
      </c>
      <c r="U409" s="88"/>
      <c r="V409" s="768"/>
      <c r="W409" s="768"/>
      <c r="X409" s="172"/>
      <c r="Y409" s="746"/>
      <c r="Z409" s="741">
        <v>0</v>
      </c>
      <c r="AA409" s="592" t="str">
        <f t="shared" si="138"/>
        <v>.1</v>
      </c>
      <c r="AB409" s="739" t="s">
        <v>1996</v>
      </c>
      <c r="AC409" s="738">
        <v>0</v>
      </c>
      <c r="AD409" s="592" t="str">
        <f t="shared" si="139"/>
        <v>.2</v>
      </c>
      <c r="AE409" s="739" t="s">
        <v>1998</v>
      </c>
      <c r="AF409" s="738">
        <v>0</v>
      </c>
      <c r="AG409" s="592" t="str">
        <f t="shared" si="140"/>
        <v>.3</v>
      </c>
      <c r="AH409" s="739" t="s">
        <v>2000</v>
      </c>
      <c r="AI409" s="172"/>
    </row>
    <row r="410" spans="1:35" ht="15" hidden="1" customHeight="1" outlineLevel="4">
      <c r="A410" s="102"/>
      <c r="B410" s="102" t="s">
        <v>1075</v>
      </c>
      <c r="C410" s="102"/>
      <c r="D410" s="102"/>
      <c r="E410" s="102"/>
      <c r="F410" s="102" t="s">
        <v>1075</v>
      </c>
      <c r="G410" s="41"/>
      <c r="H410" s="79"/>
      <c r="I410" s="72">
        <f t="shared" si="141"/>
        <v>0</v>
      </c>
      <c r="J410" s="59"/>
      <c r="K410" s="590" t="str">
        <f t="shared" si="135"/>
        <v>.1</v>
      </c>
      <c r="L410" s="579" t="s">
        <v>1996</v>
      </c>
      <c r="M410" s="88"/>
      <c r="N410" s="60"/>
      <c r="O410" s="592" t="str">
        <f t="shared" si="136"/>
        <v>.2</v>
      </c>
      <c r="P410" s="578" t="s">
        <v>1998</v>
      </c>
      <c r="Q410" s="88"/>
      <c r="R410" s="60"/>
      <c r="S410" s="592" t="str">
        <f t="shared" si="137"/>
        <v>.3</v>
      </c>
      <c r="T410" s="578" t="s">
        <v>2000</v>
      </c>
      <c r="U410" s="88"/>
      <c r="V410" s="768"/>
      <c r="W410" s="768"/>
      <c r="X410" s="172"/>
      <c r="Y410" s="746"/>
      <c r="Z410" s="741">
        <v>0</v>
      </c>
      <c r="AA410" s="592" t="str">
        <f t="shared" si="138"/>
        <v>.1</v>
      </c>
      <c r="AB410" s="739" t="s">
        <v>1996</v>
      </c>
      <c r="AC410" s="738">
        <v>0</v>
      </c>
      <c r="AD410" s="592" t="str">
        <f t="shared" si="139"/>
        <v>.2</v>
      </c>
      <c r="AE410" s="739" t="s">
        <v>1998</v>
      </c>
      <c r="AF410" s="738">
        <v>0</v>
      </c>
      <c r="AG410" s="592" t="str">
        <f t="shared" si="140"/>
        <v>.3</v>
      </c>
      <c r="AH410" s="739" t="s">
        <v>2000</v>
      </c>
      <c r="AI410" s="172"/>
    </row>
    <row r="411" spans="1:35" ht="15" hidden="1" customHeight="1" outlineLevel="4">
      <c r="A411" s="102"/>
      <c r="B411" s="102" t="s">
        <v>1075</v>
      </c>
      <c r="C411" s="102"/>
      <c r="D411" s="102"/>
      <c r="E411" s="102"/>
      <c r="F411" s="102" t="s">
        <v>1075</v>
      </c>
      <c r="G411" s="41"/>
      <c r="H411" s="79"/>
      <c r="I411" s="72">
        <f t="shared" si="141"/>
        <v>0</v>
      </c>
      <c r="J411" s="59"/>
      <c r="K411" s="590" t="str">
        <f t="shared" si="135"/>
        <v>.1</v>
      </c>
      <c r="L411" s="579" t="s">
        <v>1996</v>
      </c>
      <c r="M411" s="88"/>
      <c r="N411" s="60"/>
      <c r="O411" s="592" t="str">
        <f t="shared" si="136"/>
        <v>.2</v>
      </c>
      <c r="P411" s="578" t="s">
        <v>1998</v>
      </c>
      <c r="Q411" s="88"/>
      <c r="R411" s="60"/>
      <c r="S411" s="592" t="str">
        <f t="shared" si="137"/>
        <v>.3</v>
      </c>
      <c r="T411" s="578" t="s">
        <v>2000</v>
      </c>
      <c r="U411" s="88"/>
      <c r="V411" s="768"/>
      <c r="W411" s="768"/>
      <c r="X411" s="172"/>
      <c r="Y411" s="746"/>
      <c r="Z411" s="741">
        <v>0</v>
      </c>
      <c r="AA411" s="592" t="str">
        <f t="shared" si="138"/>
        <v>.1</v>
      </c>
      <c r="AB411" s="739" t="s">
        <v>1996</v>
      </c>
      <c r="AC411" s="738">
        <v>0</v>
      </c>
      <c r="AD411" s="592" t="str">
        <f t="shared" si="139"/>
        <v>.2</v>
      </c>
      <c r="AE411" s="739" t="s">
        <v>1998</v>
      </c>
      <c r="AF411" s="738">
        <v>0</v>
      </c>
      <c r="AG411" s="592" t="str">
        <f t="shared" si="140"/>
        <v>.3</v>
      </c>
      <c r="AH411" s="739" t="s">
        <v>2000</v>
      </c>
      <c r="AI411" s="172"/>
    </row>
    <row r="412" spans="1:35" ht="15" hidden="1" customHeight="1" outlineLevel="4">
      <c r="A412" s="102"/>
      <c r="B412" s="102" t="s">
        <v>1075</v>
      </c>
      <c r="C412" s="102"/>
      <c r="D412" s="102"/>
      <c r="E412" s="102"/>
      <c r="F412" s="102" t="s">
        <v>1075</v>
      </c>
      <c r="G412" s="41"/>
      <c r="H412" s="79"/>
      <c r="I412" s="72">
        <f t="shared" si="141"/>
        <v>0</v>
      </c>
      <c r="J412" s="59"/>
      <c r="K412" s="590" t="str">
        <f t="shared" si="135"/>
        <v>.1</v>
      </c>
      <c r="L412" s="579" t="s">
        <v>1996</v>
      </c>
      <c r="M412" s="88"/>
      <c r="N412" s="60"/>
      <c r="O412" s="592" t="str">
        <f t="shared" si="136"/>
        <v>.2</v>
      </c>
      <c r="P412" s="578" t="s">
        <v>1998</v>
      </c>
      <c r="Q412" s="88"/>
      <c r="R412" s="60"/>
      <c r="S412" s="592" t="str">
        <f t="shared" si="137"/>
        <v>.3</v>
      </c>
      <c r="T412" s="578" t="s">
        <v>2000</v>
      </c>
      <c r="U412" s="88"/>
      <c r="V412" s="768"/>
      <c r="W412" s="768"/>
      <c r="X412" s="172"/>
      <c r="Y412" s="746"/>
      <c r="Z412" s="741">
        <v>0</v>
      </c>
      <c r="AA412" s="592" t="str">
        <f t="shared" si="138"/>
        <v>.1</v>
      </c>
      <c r="AB412" s="739" t="s">
        <v>1996</v>
      </c>
      <c r="AC412" s="738">
        <v>0</v>
      </c>
      <c r="AD412" s="592" t="str">
        <f t="shared" si="139"/>
        <v>.2</v>
      </c>
      <c r="AE412" s="739" t="s">
        <v>1998</v>
      </c>
      <c r="AF412" s="738">
        <v>0</v>
      </c>
      <c r="AG412" s="592" t="str">
        <f t="shared" si="140"/>
        <v>.3</v>
      </c>
      <c r="AH412" s="739" t="s">
        <v>2000</v>
      </c>
      <c r="AI412" s="172"/>
    </row>
    <row r="413" spans="1:35" ht="15" hidden="1" customHeight="1" outlineLevel="4">
      <c r="A413" s="102"/>
      <c r="B413" s="102" t="s">
        <v>1075</v>
      </c>
      <c r="C413" s="102"/>
      <c r="D413" s="102"/>
      <c r="E413" s="102"/>
      <c r="F413" s="102" t="s">
        <v>1075</v>
      </c>
      <c r="G413" s="41"/>
      <c r="H413" s="79"/>
      <c r="I413" s="72">
        <f t="shared" si="141"/>
        <v>0</v>
      </c>
      <c r="J413" s="59"/>
      <c r="K413" s="590" t="str">
        <f t="shared" si="135"/>
        <v>.1</v>
      </c>
      <c r="L413" s="579" t="s">
        <v>1996</v>
      </c>
      <c r="M413" s="88"/>
      <c r="N413" s="60"/>
      <c r="O413" s="592" t="str">
        <f t="shared" si="136"/>
        <v>.2</v>
      </c>
      <c r="P413" s="578" t="s">
        <v>1998</v>
      </c>
      <c r="Q413" s="88"/>
      <c r="R413" s="60"/>
      <c r="S413" s="592" t="str">
        <f t="shared" si="137"/>
        <v>.3</v>
      </c>
      <c r="T413" s="578" t="s">
        <v>2000</v>
      </c>
      <c r="U413" s="88"/>
      <c r="V413" s="768"/>
      <c r="W413" s="768"/>
      <c r="X413" s="172"/>
      <c r="Y413" s="746"/>
      <c r="Z413" s="741">
        <v>0</v>
      </c>
      <c r="AA413" s="592" t="str">
        <f t="shared" si="138"/>
        <v>.1</v>
      </c>
      <c r="AB413" s="739" t="s">
        <v>1996</v>
      </c>
      <c r="AC413" s="738">
        <v>0</v>
      </c>
      <c r="AD413" s="592" t="str">
        <f t="shared" si="139"/>
        <v>.2</v>
      </c>
      <c r="AE413" s="739" t="s">
        <v>1998</v>
      </c>
      <c r="AF413" s="738">
        <v>0</v>
      </c>
      <c r="AG413" s="592" t="str">
        <f t="shared" si="140"/>
        <v>.3</v>
      </c>
      <c r="AH413" s="739" t="s">
        <v>2000</v>
      </c>
      <c r="AI413" s="172"/>
    </row>
    <row r="414" spans="1:35" ht="15" hidden="1" customHeight="1" outlineLevel="4">
      <c r="A414" s="102"/>
      <c r="B414" s="102" t="s">
        <v>1075</v>
      </c>
      <c r="C414" s="102"/>
      <c r="D414" s="102"/>
      <c r="E414" s="102"/>
      <c r="F414" s="102" t="s">
        <v>1075</v>
      </c>
      <c r="G414" s="41"/>
      <c r="H414" s="82"/>
      <c r="I414" s="72">
        <f t="shared" si="141"/>
        <v>0</v>
      </c>
      <c r="J414" s="59"/>
      <c r="K414" s="590" t="str">
        <f t="shared" si="135"/>
        <v>.1</v>
      </c>
      <c r="L414" s="579" t="s">
        <v>1996</v>
      </c>
      <c r="M414" s="88"/>
      <c r="N414" s="60"/>
      <c r="O414" s="592" t="str">
        <f t="shared" si="136"/>
        <v>.2</v>
      </c>
      <c r="P414" s="578" t="s">
        <v>1998</v>
      </c>
      <c r="Q414" s="88"/>
      <c r="R414" s="60"/>
      <c r="S414" s="592" t="str">
        <f t="shared" si="137"/>
        <v>.3</v>
      </c>
      <c r="T414" s="578" t="s">
        <v>2000</v>
      </c>
      <c r="U414" s="88"/>
      <c r="V414" s="768"/>
      <c r="W414" s="768"/>
      <c r="X414" s="172"/>
      <c r="Y414" s="746"/>
      <c r="Z414" s="741">
        <v>0</v>
      </c>
      <c r="AA414" s="592" t="str">
        <f t="shared" si="138"/>
        <v>.1</v>
      </c>
      <c r="AB414" s="739" t="s">
        <v>1996</v>
      </c>
      <c r="AC414" s="738">
        <v>0</v>
      </c>
      <c r="AD414" s="592" t="str">
        <f t="shared" si="139"/>
        <v>.2</v>
      </c>
      <c r="AE414" s="739" t="s">
        <v>1998</v>
      </c>
      <c r="AF414" s="738">
        <v>0</v>
      </c>
      <c r="AG414" s="592" t="str">
        <f t="shared" si="140"/>
        <v>.3</v>
      </c>
      <c r="AH414" s="739" t="s">
        <v>2000</v>
      </c>
      <c r="AI414" s="172"/>
    </row>
    <row r="415" spans="1:35" ht="15" customHeight="1" outlineLevel="3" collapsed="1">
      <c r="A415" s="97"/>
      <c r="B415" s="97" t="s">
        <v>1075</v>
      </c>
      <c r="C415" s="97"/>
      <c r="D415" s="97"/>
      <c r="E415" s="97"/>
      <c r="F415" s="97" t="s">
        <v>1075</v>
      </c>
      <c r="G415" s="40" t="s">
        <v>654</v>
      </c>
      <c r="H415" s="78">
        <f>SUBTOTAL(9,H416:H432)</f>
        <v>0</v>
      </c>
      <c r="I415" s="68">
        <f t="shared" si="141"/>
        <v>0</v>
      </c>
      <c r="J415" s="55">
        <f>SUBTOTAL(9,J416:J432)</f>
        <v>0</v>
      </c>
      <c r="K415" s="55"/>
      <c r="L415" s="55"/>
      <c r="M415" s="84"/>
      <c r="N415" s="55">
        <f>SUBTOTAL(9,N416:N432)</f>
        <v>0</v>
      </c>
      <c r="O415" s="91"/>
      <c r="P415" s="91"/>
      <c r="Q415" s="84"/>
      <c r="R415" s="55">
        <f>SUBTOTAL(9,R416:R432)</f>
        <v>0</v>
      </c>
      <c r="S415" s="91"/>
      <c r="T415" s="91"/>
      <c r="U415" s="84"/>
      <c r="V415" s="55">
        <f>SUBTOTAL(9,V416:V432)</f>
        <v>0</v>
      </c>
      <c r="W415" s="55">
        <f>SUBTOTAL(9,W416:W432)</f>
        <v>0</v>
      </c>
      <c r="X415" s="170"/>
      <c r="Y415" s="745"/>
      <c r="Z415" s="55">
        <f>SUBTOTAL(9,Z416:Z432)</f>
        <v>0</v>
      </c>
      <c r="AA415" s="91"/>
      <c r="AB415" s="91"/>
      <c r="AC415" s="55">
        <f>SUBTOTAL(9,AC416:AC432)</f>
        <v>0</v>
      </c>
      <c r="AD415" s="91"/>
      <c r="AE415" s="91"/>
      <c r="AF415" s="55">
        <f>SUBTOTAL(9,AF416:AF432)</f>
        <v>0</v>
      </c>
      <c r="AG415" s="91"/>
      <c r="AH415" s="91"/>
      <c r="AI415" s="170"/>
    </row>
    <row r="416" spans="1:35" ht="15" hidden="1" customHeight="1" outlineLevel="4">
      <c r="A416" s="94">
        <v>206240</v>
      </c>
      <c r="B416" s="94">
        <v>3451</v>
      </c>
      <c r="C416" s="94"/>
      <c r="D416" s="94"/>
      <c r="E416" s="94" t="s">
        <v>2927</v>
      </c>
      <c r="F416" s="94" t="s">
        <v>5176</v>
      </c>
      <c r="G416" s="38" t="s">
        <v>646</v>
      </c>
      <c r="H416" s="583">
        <f>IFERROR(VLOOKUP(A416,'Colar QL'!A:C,3,0),0)</f>
        <v>0</v>
      </c>
      <c r="I416" s="69">
        <f t="shared" si="141"/>
        <v>0</v>
      </c>
      <c r="J416" s="258">
        <f>'BD Temp'!E565</f>
        <v>0</v>
      </c>
      <c r="K416" s="590" t="str">
        <f t="shared" ref="K416:K432" si="142">F416&amp;L416</f>
        <v>47.0284.1.2.17.00.01.039.01.07.55.1</v>
      </c>
      <c r="L416" s="579" t="s">
        <v>1996</v>
      </c>
      <c r="M416" s="256" t="str">
        <f>'BD Temp'!F565</f>
        <v>-</v>
      </c>
      <c r="N416" s="255">
        <f>'BD Temp'!J565</f>
        <v>0</v>
      </c>
      <c r="O416" s="592" t="str">
        <f t="shared" ref="O416:O432" si="143">F416&amp;P416</f>
        <v>47.0284.1.2.17.00.01.039.01.07.55.2</v>
      </c>
      <c r="P416" s="578" t="s">
        <v>1998</v>
      </c>
      <c r="Q416" s="256" t="str">
        <f>'BD Temp'!K565</f>
        <v>-</v>
      </c>
      <c r="R416" s="255">
        <f>'BD Temp'!O565</f>
        <v>0</v>
      </c>
      <c r="S416" s="592" t="str">
        <f t="shared" ref="S416:S432" si="144">F416&amp;T416</f>
        <v>47.0284.1.2.17.00.01.039.01.07.55.3</v>
      </c>
      <c r="T416" s="578" t="s">
        <v>2000</v>
      </c>
      <c r="U416" s="256" t="str">
        <f>'BD Temp'!P565</f>
        <v>-</v>
      </c>
      <c r="V416" s="764"/>
      <c r="W416" s="767"/>
      <c r="X416" s="164"/>
      <c r="Y416" s="746"/>
      <c r="Z416" s="741">
        <v>0</v>
      </c>
      <c r="AA416" s="592" t="str">
        <f t="shared" ref="AA416:AA432" si="145">F416&amp;AB416</f>
        <v>47.0284.1.2.17.00.01.039.01.07.55.1</v>
      </c>
      <c r="AB416" s="739" t="s">
        <v>1996</v>
      </c>
      <c r="AC416" s="738">
        <v>0</v>
      </c>
      <c r="AD416" s="592" t="str">
        <f t="shared" ref="AD416:AD432" si="146">F416&amp;AE416</f>
        <v>47.0284.1.2.17.00.01.039.01.07.55.2</v>
      </c>
      <c r="AE416" s="739" t="s">
        <v>1998</v>
      </c>
      <c r="AF416" s="738">
        <v>0</v>
      </c>
      <c r="AG416" s="592" t="str">
        <f t="shared" ref="AG416:AG432" si="147">F416&amp;AH416</f>
        <v>47.0284.1.2.17.00.01.039.01.07.55.3</v>
      </c>
      <c r="AH416" s="739" t="s">
        <v>2000</v>
      </c>
      <c r="AI416" s="164"/>
    </row>
    <row r="417" spans="1:35" ht="15" hidden="1" customHeight="1" outlineLevel="4">
      <c r="A417" s="94">
        <v>206245</v>
      </c>
      <c r="B417" s="94">
        <v>3451</v>
      </c>
      <c r="C417" s="94"/>
      <c r="D417" s="94"/>
      <c r="E417" s="93" t="s">
        <v>3064</v>
      </c>
      <c r="F417" s="93" t="s">
        <v>5172</v>
      </c>
      <c r="G417" s="38" t="s">
        <v>647</v>
      </c>
      <c r="H417" s="583">
        <f>IFERROR(VLOOKUP(A417,'Colar QL'!A:C,3,0),0)</f>
        <v>0</v>
      </c>
      <c r="I417" s="69">
        <f t="shared" si="141"/>
        <v>0</v>
      </c>
      <c r="J417" s="258">
        <f>'BD Temp'!E566</f>
        <v>0</v>
      </c>
      <c r="K417" s="590" t="str">
        <f t="shared" si="142"/>
        <v>47.0284.1.2.17.00.01.039.01.07.58.1</v>
      </c>
      <c r="L417" s="579" t="s">
        <v>1996</v>
      </c>
      <c r="M417" s="256" t="str">
        <f>'BD Temp'!F566</f>
        <v>-</v>
      </c>
      <c r="N417" s="255">
        <f>'BD Temp'!J566</f>
        <v>0</v>
      </c>
      <c r="O417" s="592" t="str">
        <f t="shared" si="143"/>
        <v>47.0284.1.2.17.00.01.039.01.07.58.2</v>
      </c>
      <c r="P417" s="578" t="s">
        <v>1998</v>
      </c>
      <c r="Q417" s="256" t="str">
        <f>'BD Temp'!K566</f>
        <v>-</v>
      </c>
      <c r="R417" s="255">
        <f>'BD Temp'!O566</f>
        <v>0</v>
      </c>
      <c r="S417" s="592" t="str">
        <f t="shared" si="144"/>
        <v>47.0284.1.2.17.00.01.039.01.07.58.3</v>
      </c>
      <c r="T417" s="578" t="s">
        <v>2000</v>
      </c>
      <c r="U417" s="256" t="str">
        <f>'BD Temp'!P566</f>
        <v>-</v>
      </c>
      <c r="V417" s="764"/>
      <c r="W417" s="767"/>
      <c r="X417" s="164"/>
      <c r="Y417" s="746"/>
      <c r="Z417" s="741">
        <v>0</v>
      </c>
      <c r="AA417" s="592" t="str">
        <f t="shared" si="145"/>
        <v>47.0284.1.2.17.00.01.039.01.07.58.1</v>
      </c>
      <c r="AB417" s="739" t="s">
        <v>1996</v>
      </c>
      <c r="AC417" s="738">
        <v>0</v>
      </c>
      <c r="AD417" s="592" t="str">
        <f t="shared" si="146"/>
        <v>47.0284.1.2.17.00.01.039.01.07.58.2</v>
      </c>
      <c r="AE417" s="739" t="s">
        <v>1998</v>
      </c>
      <c r="AF417" s="738">
        <v>0</v>
      </c>
      <c r="AG417" s="592" t="str">
        <f t="shared" si="147"/>
        <v>47.0284.1.2.17.00.01.039.01.07.58.3</v>
      </c>
      <c r="AH417" s="739" t="s">
        <v>2000</v>
      </c>
      <c r="AI417" s="164"/>
    </row>
    <row r="418" spans="1:35" ht="15" hidden="1" customHeight="1" outlineLevel="4">
      <c r="A418" s="94">
        <v>206250</v>
      </c>
      <c r="B418" s="94">
        <v>3451</v>
      </c>
      <c r="C418" s="94"/>
      <c r="D418" s="94"/>
      <c r="E418" s="93" t="s">
        <v>2924</v>
      </c>
      <c r="F418" s="93" t="s">
        <v>5169</v>
      </c>
      <c r="G418" s="38" t="s">
        <v>648</v>
      </c>
      <c r="H418" s="583">
        <f>IFERROR(VLOOKUP(A418,'Colar QL'!A:C,3,0),0)</f>
        <v>0</v>
      </c>
      <c r="I418" s="69">
        <f t="shared" si="141"/>
        <v>0</v>
      </c>
      <c r="J418" s="258">
        <f>'BD Temp'!E567</f>
        <v>0</v>
      </c>
      <c r="K418" s="590" t="str">
        <f t="shared" si="142"/>
        <v>47.0284.1.2.17.00.01.039.01.07.03.1</v>
      </c>
      <c r="L418" s="579" t="s">
        <v>1996</v>
      </c>
      <c r="M418" s="256" t="str">
        <f>'BD Temp'!F567</f>
        <v>-</v>
      </c>
      <c r="N418" s="255">
        <f>'BD Temp'!J567</f>
        <v>0</v>
      </c>
      <c r="O418" s="592" t="str">
        <f t="shared" si="143"/>
        <v>47.0284.1.2.17.00.01.039.01.07.03.2</v>
      </c>
      <c r="P418" s="578" t="s">
        <v>1998</v>
      </c>
      <c r="Q418" s="256" t="str">
        <f>'BD Temp'!K567</f>
        <v>-</v>
      </c>
      <c r="R418" s="255">
        <f>'BD Temp'!O567</f>
        <v>0</v>
      </c>
      <c r="S418" s="592" t="str">
        <f t="shared" si="144"/>
        <v>47.0284.1.2.17.00.01.039.01.07.03.3</v>
      </c>
      <c r="T418" s="578" t="s">
        <v>2000</v>
      </c>
      <c r="U418" s="256" t="str">
        <f>'BD Temp'!P567</f>
        <v>-</v>
      </c>
      <c r="V418" s="764"/>
      <c r="W418" s="767"/>
      <c r="X418" s="164"/>
      <c r="Y418" s="746"/>
      <c r="Z418" s="741">
        <v>0</v>
      </c>
      <c r="AA418" s="592" t="str">
        <f t="shared" si="145"/>
        <v>47.0284.1.2.17.00.01.039.01.07.03.1</v>
      </c>
      <c r="AB418" s="739" t="s">
        <v>1996</v>
      </c>
      <c r="AC418" s="738">
        <v>0</v>
      </c>
      <c r="AD418" s="592" t="str">
        <f t="shared" si="146"/>
        <v>47.0284.1.2.17.00.01.039.01.07.03.2</v>
      </c>
      <c r="AE418" s="739" t="s">
        <v>1998</v>
      </c>
      <c r="AF418" s="738">
        <v>0</v>
      </c>
      <c r="AG418" s="592" t="str">
        <f t="shared" si="147"/>
        <v>47.0284.1.2.17.00.01.039.01.07.03.3</v>
      </c>
      <c r="AH418" s="739" t="s">
        <v>2000</v>
      </c>
      <c r="AI418" s="164"/>
    </row>
    <row r="419" spans="1:35" s="26" customFormat="1" ht="15" hidden="1" customHeight="1" outlineLevel="4">
      <c r="A419" s="94">
        <v>206255</v>
      </c>
      <c r="B419" s="94">
        <v>3451</v>
      </c>
      <c r="C419" s="94"/>
      <c r="D419" s="94"/>
      <c r="E419" s="93" t="s">
        <v>2924</v>
      </c>
      <c r="F419" s="93" t="s">
        <v>5169</v>
      </c>
      <c r="G419" s="38" t="s">
        <v>649</v>
      </c>
      <c r="H419" s="583">
        <f>IFERROR(VLOOKUP(A419,'Colar QL'!A:C,3,0),0)</f>
        <v>0</v>
      </c>
      <c r="I419" s="69">
        <f t="shared" si="141"/>
        <v>0</v>
      </c>
      <c r="J419" s="258">
        <f>'BD Temp'!E575</f>
        <v>0</v>
      </c>
      <c r="K419" s="590" t="str">
        <f t="shared" si="142"/>
        <v>47.0284.1.2.17.00.01.039.01.07.03.1</v>
      </c>
      <c r="L419" s="579" t="s">
        <v>1996</v>
      </c>
      <c r="M419" s="256" t="str">
        <f>'BD Temp'!F575</f>
        <v>-</v>
      </c>
      <c r="N419" s="255">
        <f>'BD Temp'!J575</f>
        <v>0</v>
      </c>
      <c r="O419" s="592" t="str">
        <f t="shared" si="143"/>
        <v>47.0284.1.2.17.00.01.039.01.07.03.2</v>
      </c>
      <c r="P419" s="578" t="s">
        <v>1998</v>
      </c>
      <c r="Q419" s="256" t="str">
        <f>'BD Temp'!K575</f>
        <v>-</v>
      </c>
      <c r="R419" s="255">
        <f>'BD Temp'!O575</f>
        <v>0</v>
      </c>
      <c r="S419" s="592" t="str">
        <f t="shared" si="144"/>
        <v>47.0284.1.2.17.00.01.039.01.07.03.3</v>
      </c>
      <c r="T419" s="578" t="s">
        <v>2000</v>
      </c>
      <c r="U419" s="256" t="str">
        <f>'BD Temp'!P575</f>
        <v>-</v>
      </c>
      <c r="V419" s="764"/>
      <c r="W419" s="767"/>
      <c r="X419" s="164"/>
      <c r="Y419" s="746"/>
      <c r="Z419" s="741">
        <v>0</v>
      </c>
      <c r="AA419" s="592" t="str">
        <f t="shared" si="145"/>
        <v>47.0284.1.2.17.00.01.039.01.07.03.1</v>
      </c>
      <c r="AB419" s="739" t="s">
        <v>1996</v>
      </c>
      <c r="AC419" s="738">
        <v>0</v>
      </c>
      <c r="AD419" s="592" t="str">
        <f t="shared" si="146"/>
        <v>47.0284.1.2.17.00.01.039.01.07.03.2</v>
      </c>
      <c r="AE419" s="739" t="s">
        <v>1998</v>
      </c>
      <c r="AF419" s="738">
        <v>0</v>
      </c>
      <c r="AG419" s="592" t="str">
        <f t="shared" si="147"/>
        <v>47.0284.1.2.17.00.01.039.01.07.03.3</v>
      </c>
      <c r="AH419" s="739" t="s">
        <v>2000</v>
      </c>
      <c r="AI419" s="164"/>
    </row>
    <row r="420" spans="1:35" s="26" customFormat="1" ht="15" hidden="1" customHeight="1" outlineLevel="4">
      <c r="A420" s="94">
        <v>206260</v>
      </c>
      <c r="B420" s="94">
        <v>3451</v>
      </c>
      <c r="C420" s="94"/>
      <c r="D420" s="94"/>
      <c r="E420" s="93" t="s">
        <v>3064</v>
      </c>
      <c r="F420" s="93" t="s">
        <v>5172</v>
      </c>
      <c r="G420" s="38" t="s">
        <v>650</v>
      </c>
      <c r="H420" s="583">
        <f>IFERROR(VLOOKUP(A420,'Colar QL'!A:C,3,0),0)</f>
        <v>0</v>
      </c>
      <c r="I420" s="69">
        <f t="shared" si="141"/>
        <v>0</v>
      </c>
      <c r="J420" s="713">
        <f>'BD Temp'!E580</f>
        <v>0</v>
      </c>
      <c r="K420" s="590" t="str">
        <f t="shared" si="142"/>
        <v>47.0284.1.2.17.00.01.039.01.07.58.1</v>
      </c>
      <c r="L420" s="579" t="s">
        <v>1996</v>
      </c>
      <c r="M420" s="256">
        <f>'BD Temp'!F580</f>
        <v>0</v>
      </c>
      <c r="N420" s="706">
        <f>'BD Temp'!J580</f>
        <v>0</v>
      </c>
      <c r="O420" s="592" t="str">
        <f t="shared" si="143"/>
        <v>47.0284.1.2.17.00.01.039.01.07.58.2</v>
      </c>
      <c r="P420" s="578" t="s">
        <v>1998</v>
      </c>
      <c r="Q420" s="256">
        <f>'BD Temp'!K580</f>
        <v>0</v>
      </c>
      <c r="R420" s="255">
        <f>'BD Temp'!O611</f>
        <v>0</v>
      </c>
      <c r="S420" s="592" t="str">
        <f t="shared" si="144"/>
        <v>47.0284.1.2.17.00.01.039.01.07.58.3</v>
      </c>
      <c r="T420" s="578" t="s">
        <v>2000</v>
      </c>
      <c r="U420" s="256" t="str">
        <f>'BD Temp'!P611</f>
        <v>-</v>
      </c>
      <c r="V420" s="764"/>
      <c r="W420" s="767"/>
      <c r="X420" s="164"/>
      <c r="Y420" s="746"/>
      <c r="Z420" s="741">
        <v>0</v>
      </c>
      <c r="AA420" s="592" t="str">
        <f t="shared" si="145"/>
        <v>47.0284.1.2.17.00.01.039.01.07.58.1</v>
      </c>
      <c r="AB420" s="739" t="s">
        <v>1996</v>
      </c>
      <c r="AC420" s="738">
        <v>0</v>
      </c>
      <c r="AD420" s="592" t="str">
        <f t="shared" si="146"/>
        <v>47.0284.1.2.17.00.01.039.01.07.58.2</v>
      </c>
      <c r="AE420" s="739" t="s">
        <v>1998</v>
      </c>
      <c r="AF420" s="738">
        <v>0</v>
      </c>
      <c r="AG420" s="592" t="str">
        <f t="shared" si="147"/>
        <v>47.0284.1.2.17.00.01.039.01.07.58.3</v>
      </c>
      <c r="AH420" s="739" t="s">
        <v>2000</v>
      </c>
      <c r="AI420" s="164"/>
    </row>
    <row r="421" spans="1:35" s="26" customFormat="1" ht="15" hidden="1" customHeight="1" outlineLevel="4">
      <c r="A421" s="94">
        <v>206265</v>
      </c>
      <c r="B421" s="94">
        <v>3451</v>
      </c>
      <c r="C421" s="94"/>
      <c r="D421" s="94"/>
      <c r="E421" s="94" t="s">
        <v>2936</v>
      </c>
      <c r="F421" s="94" t="s">
        <v>5180</v>
      </c>
      <c r="G421" s="38" t="s">
        <v>820</v>
      </c>
      <c r="H421" s="583">
        <f>IFERROR(VLOOKUP(A421,'Colar QL'!A:C,3,0),0)</f>
        <v>0</v>
      </c>
      <c r="I421" s="69">
        <f t="shared" si="141"/>
        <v>0</v>
      </c>
      <c r="J421" s="712">
        <f>'BD Temp'!E614</f>
        <v>0</v>
      </c>
      <c r="K421" s="590" t="str">
        <f t="shared" si="142"/>
        <v>47.0284.1.2.17.00.01.039.01.07.50.1</v>
      </c>
      <c r="L421" s="579" t="s">
        <v>1996</v>
      </c>
      <c r="M421" s="256" t="str">
        <f>'BD Temp'!F614</f>
        <v>-</v>
      </c>
      <c r="N421" s="706">
        <f>'BD Temp'!J614</f>
        <v>0</v>
      </c>
      <c r="O421" s="592" t="str">
        <f t="shared" si="143"/>
        <v>47.0284.1.2.17.00.01.039.01.07.50.2</v>
      </c>
      <c r="P421" s="578" t="s">
        <v>1998</v>
      </c>
      <c r="Q421" s="256" t="str">
        <f>'BD Temp'!K614</f>
        <v>-</v>
      </c>
      <c r="R421" s="255">
        <f>'BD Temp'!O614</f>
        <v>0</v>
      </c>
      <c r="S421" s="592" t="str">
        <f t="shared" si="144"/>
        <v>47.0284.1.2.17.00.01.039.01.07.50.3</v>
      </c>
      <c r="T421" s="578" t="s">
        <v>2000</v>
      </c>
      <c r="U421" s="256" t="str">
        <f>'BD Temp'!P614</f>
        <v>-</v>
      </c>
      <c r="V421" s="764"/>
      <c r="W421" s="767"/>
      <c r="X421" s="208"/>
      <c r="Y421" s="748"/>
      <c r="Z421" s="741">
        <v>0</v>
      </c>
      <c r="AA421" s="592" t="str">
        <f t="shared" si="145"/>
        <v>47.0284.1.2.17.00.01.039.01.07.50.1</v>
      </c>
      <c r="AB421" s="739" t="s">
        <v>1996</v>
      </c>
      <c r="AC421" s="738">
        <v>0</v>
      </c>
      <c r="AD421" s="592" t="str">
        <f t="shared" si="146"/>
        <v>47.0284.1.2.17.00.01.039.01.07.50.2</v>
      </c>
      <c r="AE421" s="739" t="s">
        <v>1998</v>
      </c>
      <c r="AF421" s="738">
        <v>0</v>
      </c>
      <c r="AG421" s="592" t="str">
        <f t="shared" si="147"/>
        <v>47.0284.1.2.17.00.01.039.01.07.50.3</v>
      </c>
      <c r="AH421" s="739" t="s">
        <v>2000</v>
      </c>
      <c r="AI421" s="208"/>
    </row>
    <row r="422" spans="1:35" ht="15" hidden="1" customHeight="1" outlineLevel="4">
      <c r="A422" s="94">
        <v>206270</v>
      </c>
      <c r="B422" s="94">
        <v>3451</v>
      </c>
      <c r="C422" s="94"/>
      <c r="D422" s="94"/>
      <c r="E422" s="94" t="s">
        <v>2937</v>
      </c>
      <c r="F422" s="94" t="s">
        <v>5181</v>
      </c>
      <c r="G422" s="38" t="s">
        <v>651</v>
      </c>
      <c r="H422" s="583">
        <f>IFERROR(VLOOKUP(A422,'Colar QL'!A:C,3,0),0)</f>
        <v>0</v>
      </c>
      <c r="I422" s="69">
        <f t="shared" si="141"/>
        <v>0</v>
      </c>
      <c r="J422" s="258">
        <f>'BD Temp'!E623</f>
        <v>0</v>
      </c>
      <c r="K422" s="590" t="str">
        <f t="shared" si="142"/>
        <v>47.0284.1.2.17.00.01.039.01.07.13.1</v>
      </c>
      <c r="L422" s="579" t="s">
        <v>1996</v>
      </c>
      <c r="M422" s="256" t="str">
        <f>'BD Temp'!F623</f>
        <v>-</v>
      </c>
      <c r="N422" s="255">
        <f>'BD Temp'!J623</f>
        <v>0</v>
      </c>
      <c r="O422" s="592" t="str">
        <f t="shared" si="143"/>
        <v>47.0284.1.2.17.00.01.039.01.07.13.2</v>
      </c>
      <c r="P422" s="578" t="s">
        <v>1998</v>
      </c>
      <c r="Q422" s="256" t="str">
        <f>'BD Temp'!K623</f>
        <v>-</v>
      </c>
      <c r="R422" s="255">
        <f>'BD Temp'!O623</f>
        <v>0</v>
      </c>
      <c r="S422" s="592" t="str">
        <f t="shared" si="144"/>
        <v>47.0284.1.2.17.00.01.039.01.07.13.3</v>
      </c>
      <c r="T422" s="578" t="s">
        <v>2000</v>
      </c>
      <c r="U422" s="256" t="str">
        <f>'BD Temp'!P623</f>
        <v>-</v>
      </c>
      <c r="V422" s="764"/>
      <c r="W422" s="767"/>
      <c r="X422" s="164"/>
      <c r="Y422" s="746"/>
      <c r="Z422" s="741">
        <v>0</v>
      </c>
      <c r="AA422" s="592" t="str">
        <f t="shared" si="145"/>
        <v>47.0284.1.2.17.00.01.039.01.07.13.1</v>
      </c>
      <c r="AB422" s="739" t="s">
        <v>1996</v>
      </c>
      <c r="AC422" s="738">
        <v>0</v>
      </c>
      <c r="AD422" s="592" t="str">
        <f t="shared" si="146"/>
        <v>47.0284.1.2.17.00.01.039.01.07.13.2</v>
      </c>
      <c r="AE422" s="739" t="s">
        <v>1998</v>
      </c>
      <c r="AF422" s="738">
        <v>0</v>
      </c>
      <c r="AG422" s="592" t="str">
        <f t="shared" si="147"/>
        <v>47.0284.1.2.17.00.01.039.01.07.13.3</v>
      </c>
      <c r="AH422" s="739" t="s">
        <v>2000</v>
      </c>
      <c r="AI422" s="164"/>
    </row>
    <row r="423" spans="1:35" ht="15" hidden="1" customHeight="1" outlineLevel="4">
      <c r="A423" s="94">
        <v>206275</v>
      </c>
      <c r="B423" s="94">
        <v>3451</v>
      </c>
      <c r="C423" s="94"/>
      <c r="D423" s="94"/>
      <c r="E423" s="94" t="s">
        <v>2938</v>
      </c>
      <c r="F423" s="94" t="s">
        <v>5182</v>
      </c>
      <c r="G423" s="38" t="s">
        <v>652</v>
      </c>
      <c r="H423" s="583">
        <f>IFERROR(VLOOKUP(A423,'Colar QL'!A:C,3,0),0)</f>
        <v>0</v>
      </c>
      <c r="I423" s="69">
        <f t="shared" si="141"/>
        <v>0</v>
      </c>
      <c r="J423" s="258">
        <f>'BD Temp'!E629</f>
        <v>0</v>
      </c>
      <c r="K423" s="590" t="str">
        <f t="shared" si="142"/>
        <v>47.0284.1.2.17.00.01.039.01.07.16.1</v>
      </c>
      <c r="L423" s="579" t="s">
        <v>1996</v>
      </c>
      <c r="M423" s="256" t="str">
        <f>'BD Temp'!F629</f>
        <v>-</v>
      </c>
      <c r="N423" s="255">
        <f>'BD Temp'!J629</f>
        <v>0</v>
      </c>
      <c r="O423" s="592" t="str">
        <f t="shared" si="143"/>
        <v>47.0284.1.2.17.00.01.039.01.07.16.2</v>
      </c>
      <c r="P423" s="578" t="s">
        <v>1998</v>
      </c>
      <c r="Q423" s="256" t="str">
        <f>'BD Temp'!K629</f>
        <v>-</v>
      </c>
      <c r="R423" s="255">
        <f>'BD Temp'!O629</f>
        <v>0</v>
      </c>
      <c r="S423" s="592" t="str">
        <f t="shared" si="144"/>
        <v>47.0284.1.2.17.00.01.039.01.07.16.3</v>
      </c>
      <c r="T423" s="578" t="s">
        <v>2000</v>
      </c>
      <c r="U423" s="256" t="str">
        <f>'BD Temp'!P629</f>
        <v>-</v>
      </c>
      <c r="V423" s="764"/>
      <c r="W423" s="767"/>
      <c r="X423" s="164"/>
      <c r="Y423" s="746"/>
      <c r="Z423" s="741">
        <v>0</v>
      </c>
      <c r="AA423" s="592" t="str">
        <f t="shared" si="145"/>
        <v>47.0284.1.2.17.00.01.039.01.07.16.1</v>
      </c>
      <c r="AB423" s="739" t="s">
        <v>1996</v>
      </c>
      <c r="AC423" s="738">
        <v>0</v>
      </c>
      <c r="AD423" s="592" t="str">
        <f t="shared" si="146"/>
        <v>47.0284.1.2.17.00.01.039.01.07.16.2</v>
      </c>
      <c r="AE423" s="739" t="s">
        <v>1998</v>
      </c>
      <c r="AF423" s="738">
        <v>0</v>
      </c>
      <c r="AG423" s="592" t="str">
        <f t="shared" si="147"/>
        <v>47.0284.1.2.17.00.01.039.01.07.16.3</v>
      </c>
      <c r="AH423" s="739" t="s">
        <v>2000</v>
      </c>
      <c r="AI423" s="164"/>
    </row>
    <row r="424" spans="1:35" ht="15" hidden="1" customHeight="1" outlineLevel="4">
      <c r="A424" s="94">
        <v>206280</v>
      </c>
      <c r="B424" s="94">
        <v>3451</v>
      </c>
      <c r="C424" s="94"/>
      <c r="D424" s="94"/>
      <c r="E424" s="94" t="s">
        <v>2939</v>
      </c>
      <c r="F424" s="94" t="s">
        <v>5183</v>
      </c>
      <c r="G424" s="38" t="s">
        <v>653</v>
      </c>
      <c r="H424" s="583">
        <f>IFERROR(VLOOKUP(A424,'Colar QL'!A:C,3,0),0)</f>
        <v>0</v>
      </c>
      <c r="I424" s="69">
        <f t="shared" si="141"/>
        <v>0</v>
      </c>
      <c r="J424" s="258">
        <f>'BD Temp'!E632</f>
        <v>0</v>
      </c>
      <c r="K424" s="590" t="str">
        <f t="shared" si="142"/>
        <v>47.0284.1.2.17.00.01.039.01.07.18.1</v>
      </c>
      <c r="L424" s="579" t="s">
        <v>1996</v>
      </c>
      <c r="M424" s="256" t="str">
        <f>'BD Temp'!F632</f>
        <v>-</v>
      </c>
      <c r="N424" s="255">
        <f>'BD Temp'!J632</f>
        <v>0</v>
      </c>
      <c r="O424" s="592" t="str">
        <f t="shared" si="143"/>
        <v>47.0284.1.2.17.00.01.039.01.07.18.2</v>
      </c>
      <c r="P424" s="578" t="s">
        <v>1998</v>
      </c>
      <c r="Q424" s="256" t="str">
        <f>'BD Temp'!K632</f>
        <v>-</v>
      </c>
      <c r="R424" s="255">
        <f>'BD Temp'!O632</f>
        <v>0</v>
      </c>
      <c r="S424" s="592" t="str">
        <f t="shared" si="144"/>
        <v>47.0284.1.2.17.00.01.039.01.07.18.3</v>
      </c>
      <c r="T424" s="578" t="s">
        <v>2000</v>
      </c>
      <c r="U424" s="256" t="str">
        <f>'BD Temp'!P632</f>
        <v>-</v>
      </c>
      <c r="V424" s="764"/>
      <c r="W424" s="767"/>
      <c r="X424" s="164"/>
      <c r="Y424" s="746"/>
      <c r="Z424" s="741">
        <v>0</v>
      </c>
      <c r="AA424" s="592" t="str">
        <f t="shared" si="145"/>
        <v>47.0284.1.2.17.00.01.039.01.07.18.1</v>
      </c>
      <c r="AB424" s="739" t="s">
        <v>1996</v>
      </c>
      <c r="AC424" s="738">
        <v>0</v>
      </c>
      <c r="AD424" s="592" t="str">
        <f t="shared" si="146"/>
        <v>47.0284.1.2.17.00.01.039.01.07.18.2</v>
      </c>
      <c r="AE424" s="739" t="s">
        <v>1998</v>
      </c>
      <c r="AF424" s="738">
        <v>0</v>
      </c>
      <c r="AG424" s="592" t="str">
        <f t="shared" si="147"/>
        <v>47.0284.1.2.17.00.01.039.01.07.18.3</v>
      </c>
      <c r="AH424" s="739" t="s">
        <v>2000</v>
      </c>
      <c r="AI424" s="164"/>
    </row>
    <row r="425" spans="1:35" ht="15" hidden="1" customHeight="1" outlineLevel="4">
      <c r="A425" s="94"/>
      <c r="B425" s="94" t="s">
        <v>1075</v>
      </c>
      <c r="C425" s="94"/>
      <c r="D425" s="94"/>
      <c r="E425" s="94"/>
      <c r="F425" s="94" t="s">
        <v>1075</v>
      </c>
      <c r="G425" s="38"/>
      <c r="H425" s="80"/>
      <c r="I425" s="70">
        <f t="shared" si="141"/>
        <v>0</v>
      </c>
      <c r="J425" s="48"/>
      <c r="K425" s="590" t="str">
        <f t="shared" si="142"/>
        <v>.1</v>
      </c>
      <c r="L425" s="579" t="s">
        <v>1996</v>
      </c>
      <c r="M425" s="74"/>
      <c r="N425" s="49"/>
      <c r="O425" s="592" t="str">
        <f t="shared" si="143"/>
        <v>.2</v>
      </c>
      <c r="P425" s="578" t="s">
        <v>1998</v>
      </c>
      <c r="Q425" s="74"/>
      <c r="R425" s="49"/>
      <c r="S425" s="592" t="str">
        <f t="shared" si="144"/>
        <v>.3</v>
      </c>
      <c r="T425" s="578" t="s">
        <v>2000</v>
      </c>
      <c r="U425" s="74"/>
      <c r="V425" s="767"/>
      <c r="W425" s="767"/>
      <c r="X425" s="164"/>
      <c r="Y425" s="746"/>
      <c r="Z425" s="741">
        <v>0</v>
      </c>
      <c r="AA425" s="592" t="str">
        <f t="shared" si="145"/>
        <v>.1</v>
      </c>
      <c r="AB425" s="739" t="s">
        <v>1996</v>
      </c>
      <c r="AC425" s="738">
        <v>0</v>
      </c>
      <c r="AD425" s="592" t="str">
        <f t="shared" si="146"/>
        <v>.2</v>
      </c>
      <c r="AE425" s="739" t="s">
        <v>1998</v>
      </c>
      <c r="AF425" s="738">
        <v>0</v>
      </c>
      <c r="AG425" s="592" t="str">
        <f t="shared" si="147"/>
        <v>.3</v>
      </c>
      <c r="AH425" s="739" t="s">
        <v>2000</v>
      </c>
      <c r="AI425" s="164"/>
    </row>
    <row r="426" spans="1:35" ht="15" hidden="1" customHeight="1" outlineLevel="4">
      <c r="A426" s="101"/>
      <c r="B426" s="101" t="s">
        <v>1075</v>
      </c>
      <c r="C426" s="101"/>
      <c r="D426" s="101"/>
      <c r="E426" s="101"/>
      <c r="F426" s="101" t="s">
        <v>1075</v>
      </c>
      <c r="G426" s="46" t="s">
        <v>723</v>
      </c>
      <c r="H426" s="80"/>
      <c r="I426" s="70">
        <f t="shared" si="141"/>
        <v>0</v>
      </c>
      <c r="J426" s="48"/>
      <c r="K426" s="590" t="str">
        <f t="shared" si="142"/>
        <v>.1</v>
      </c>
      <c r="L426" s="579" t="s">
        <v>1996</v>
      </c>
      <c r="M426" s="74"/>
      <c r="N426" s="49"/>
      <c r="O426" s="592" t="str">
        <f t="shared" si="143"/>
        <v>.2</v>
      </c>
      <c r="P426" s="578" t="s">
        <v>1998</v>
      </c>
      <c r="Q426" s="74"/>
      <c r="R426" s="49"/>
      <c r="S426" s="592" t="str">
        <f t="shared" si="144"/>
        <v>.3</v>
      </c>
      <c r="T426" s="578" t="s">
        <v>2000</v>
      </c>
      <c r="U426" s="74"/>
      <c r="V426" s="767"/>
      <c r="W426" s="767"/>
      <c r="X426" s="164"/>
      <c r="Y426" s="746"/>
      <c r="Z426" s="741">
        <v>0</v>
      </c>
      <c r="AA426" s="592" t="str">
        <f t="shared" si="145"/>
        <v>.1</v>
      </c>
      <c r="AB426" s="739" t="s">
        <v>1996</v>
      </c>
      <c r="AC426" s="738">
        <v>0</v>
      </c>
      <c r="AD426" s="592" t="str">
        <f t="shared" si="146"/>
        <v>.2</v>
      </c>
      <c r="AE426" s="739" t="s">
        <v>1998</v>
      </c>
      <c r="AF426" s="738">
        <v>0</v>
      </c>
      <c r="AG426" s="592" t="str">
        <f t="shared" si="147"/>
        <v>.3</v>
      </c>
      <c r="AH426" s="739" t="s">
        <v>2000</v>
      </c>
      <c r="AI426" s="164"/>
    </row>
    <row r="427" spans="1:35" ht="15" hidden="1" customHeight="1" outlineLevel="4">
      <c r="A427" s="94"/>
      <c r="B427" s="94" t="s">
        <v>1075</v>
      </c>
      <c r="C427" s="94"/>
      <c r="D427" s="94"/>
      <c r="E427" s="94"/>
      <c r="F427" s="94" t="s">
        <v>1075</v>
      </c>
      <c r="G427" s="38"/>
      <c r="H427" s="79"/>
      <c r="I427" s="70">
        <f t="shared" si="141"/>
        <v>0</v>
      </c>
      <c r="J427" s="48"/>
      <c r="K427" s="590" t="str">
        <f t="shared" si="142"/>
        <v>.1</v>
      </c>
      <c r="L427" s="579" t="s">
        <v>1996</v>
      </c>
      <c r="M427" s="74"/>
      <c r="N427" s="49"/>
      <c r="O427" s="592" t="str">
        <f t="shared" si="143"/>
        <v>.2</v>
      </c>
      <c r="P427" s="578" t="s">
        <v>1998</v>
      </c>
      <c r="Q427" s="74"/>
      <c r="R427" s="49"/>
      <c r="S427" s="592" t="str">
        <f t="shared" si="144"/>
        <v>.3</v>
      </c>
      <c r="T427" s="578" t="s">
        <v>2000</v>
      </c>
      <c r="U427" s="74"/>
      <c r="V427" s="767"/>
      <c r="W427" s="767"/>
      <c r="X427" s="164"/>
      <c r="Y427" s="746"/>
      <c r="Z427" s="741">
        <v>0</v>
      </c>
      <c r="AA427" s="592" t="str">
        <f t="shared" si="145"/>
        <v>.1</v>
      </c>
      <c r="AB427" s="739" t="s">
        <v>1996</v>
      </c>
      <c r="AC427" s="738">
        <v>0</v>
      </c>
      <c r="AD427" s="592" t="str">
        <f t="shared" si="146"/>
        <v>.2</v>
      </c>
      <c r="AE427" s="739" t="s">
        <v>1998</v>
      </c>
      <c r="AF427" s="738">
        <v>0</v>
      </c>
      <c r="AG427" s="592" t="str">
        <f t="shared" si="147"/>
        <v>.3</v>
      </c>
      <c r="AH427" s="739" t="s">
        <v>2000</v>
      </c>
      <c r="AI427" s="164"/>
    </row>
    <row r="428" spans="1:35" ht="15" hidden="1" customHeight="1" outlineLevel="4">
      <c r="A428" s="94"/>
      <c r="B428" s="94" t="s">
        <v>1075</v>
      </c>
      <c r="C428" s="94"/>
      <c r="D428" s="94"/>
      <c r="E428" s="94"/>
      <c r="F428" s="94" t="s">
        <v>1075</v>
      </c>
      <c r="G428" s="38"/>
      <c r="H428" s="79"/>
      <c r="I428" s="70">
        <f t="shared" si="141"/>
        <v>0</v>
      </c>
      <c r="J428" s="48"/>
      <c r="K428" s="590" t="str">
        <f t="shared" si="142"/>
        <v>.1</v>
      </c>
      <c r="L428" s="579" t="s">
        <v>1996</v>
      </c>
      <c r="M428" s="74"/>
      <c r="N428" s="49"/>
      <c r="O428" s="592" t="str">
        <f t="shared" si="143"/>
        <v>.2</v>
      </c>
      <c r="P428" s="578" t="s">
        <v>1998</v>
      </c>
      <c r="Q428" s="74"/>
      <c r="R428" s="49"/>
      <c r="S428" s="592" t="str">
        <f t="shared" si="144"/>
        <v>.3</v>
      </c>
      <c r="T428" s="578" t="s">
        <v>2000</v>
      </c>
      <c r="U428" s="74"/>
      <c r="V428" s="767"/>
      <c r="W428" s="767"/>
      <c r="X428" s="164"/>
      <c r="Y428" s="746"/>
      <c r="Z428" s="741">
        <v>0</v>
      </c>
      <c r="AA428" s="592" t="str">
        <f t="shared" si="145"/>
        <v>.1</v>
      </c>
      <c r="AB428" s="739" t="s">
        <v>1996</v>
      </c>
      <c r="AC428" s="738">
        <v>0</v>
      </c>
      <c r="AD428" s="592" t="str">
        <f t="shared" si="146"/>
        <v>.2</v>
      </c>
      <c r="AE428" s="739" t="s">
        <v>1998</v>
      </c>
      <c r="AF428" s="738">
        <v>0</v>
      </c>
      <c r="AG428" s="592" t="str">
        <f t="shared" si="147"/>
        <v>.3</v>
      </c>
      <c r="AH428" s="739" t="s">
        <v>2000</v>
      </c>
      <c r="AI428" s="164"/>
    </row>
    <row r="429" spans="1:35" ht="15" hidden="1" customHeight="1" outlineLevel="4">
      <c r="A429" s="94"/>
      <c r="B429" s="94" t="s">
        <v>1075</v>
      </c>
      <c r="C429" s="94"/>
      <c r="D429" s="94"/>
      <c r="E429" s="94"/>
      <c r="F429" s="94" t="s">
        <v>1075</v>
      </c>
      <c r="G429" s="38"/>
      <c r="H429" s="79"/>
      <c r="I429" s="70">
        <f t="shared" si="141"/>
        <v>0</v>
      </c>
      <c r="J429" s="48"/>
      <c r="K429" s="590" t="str">
        <f t="shared" si="142"/>
        <v>.1</v>
      </c>
      <c r="L429" s="579" t="s">
        <v>1996</v>
      </c>
      <c r="M429" s="74"/>
      <c r="N429" s="49"/>
      <c r="O429" s="592" t="str">
        <f t="shared" si="143"/>
        <v>.2</v>
      </c>
      <c r="P429" s="578" t="s">
        <v>1998</v>
      </c>
      <c r="Q429" s="74"/>
      <c r="R429" s="49"/>
      <c r="S429" s="592" t="str">
        <f t="shared" si="144"/>
        <v>.3</v>
      </c>
      <c r="T429" s="578" t="s">
        <v>2000</v>
      </c>
      <c r="U429" s="74"/>
      <c r="V429" s="767"/>
      <c r="W429" s="767"/>
      <c r="X429" s="164"/>
      <c r="Y429" s="746"/>
      <c r="Z429" s="741">
        <v>0</v>
      </c>
      <c r="AA429" s="592" t="str">
        <f t="shared" si="145"/>
        <v>.1</v>
      </c>
      <c r="AB429" s="739" t="s">
        <v>1996</v>
      </c>
      <c r="AC429" s="738">
        <v>0</v>
      </c>
      <c r="AD429" s="592" t="str">
        <f t="shared" si="146"/>
        <v>.2</v>
      </c>
      <c r="AE429" s="739" t="s">
        <v>1998</v>
      </c>
      <c r="AF429" s="738">
        <v>0</v>
      </c>
      <c r="AG429" s="592" t="str">
        <f t="shared" si="147"/>
        <v>.3</v>
      </c>
      <c r="AH429" s="739" t="s">
        <v>2000</v>
      </c>
      <c r="AI429" s="164"/>
    </row>
    <row r="430" spans="1:35" ht="15" hidden="1" customHeight="1" outlineLevel="4">
      <c r="A430" s="94"/>
      <c r="B430" s="94" t="s">
        <v>1075</v>
      </c>
      <c r="C430" s="94"/>
      <c r="D430" s="94"/>
      <c r="E430" s="94"/>
      <c r="F430" s="94" t="s">
        <v>1075</v>
      </c>
      <c r="G430" s="38"/>
      <c r="H430" s="79"/>
      <c r="I430" s="70">
        <f t="shared" si="141"/>
        <v>0</v>
      </c>
      <c r="J430" s="48"/>
      <c r="K430" s="590" t="str">
        <f t="shared" si="142"/>
        <v>.1</v>
      </c>
      <c r="L430" s="579" t="s">
        <v>1996</v>
      </c>
      <c r="M430" s="74"/>
      <c r="N430" s="49"/>
      <c r="O430" s="592" t="str">
        <f t="shared" si="143"/>
        <v>.2</v>
      </c>
      <c r="P430" s="578" t="s">
        <v>1998</v>
      </c>
      <c r="Q430" s="74"/>
      <c r="R430" s="49"/>
      <c r="S430" s="592" t="str">
        <f t="shared" si="144"/>
        <v>.3</v>
      </c>
      <c r="T430" s="578" t="s">
        <v>2000</v>
      </c>
      <c r="U430" s="74"/>
      <c r="V430" s="767"/>
      <c r="W430" s="767"/>
      <c r="X430" s="164"/>
      <c r="Y430" s="746"/>
      <c r="Z430" s="741">
        <v>0</v>
      </c>
      <c r="AA430" s="592" t="str">
        <f t="shared" si="145"/>
        <v>.1</v>
      </c>
      <c r="AB430" s="739" t="s">
        <v>1996</v>
      </c>
      <c r="AC430" s="738">
        <v>0</v>
      </c>
      <c r="AD430" s="592" t="str">
        <f t="shared" si="146"/>
        <v>.2</v>
      </c>
      <c r="AE430" s="739" t="s">
        <v>1998</v>
      </c>
      <c r="AF430" s="738">
        <v>0</v>
      </c>
      <c r="AG430" s="592" t="str">
        <f t="shared" si="147"/>
        <v>.3</v>
      </c>
      <c r="AH430" s="739" t="s">
        <v>2000</v>
      </c>
      <c r="AI430" s="164"/>
    </row>
    <row r="431" spans="1:35" ht="15" hidden="1" customHeight="1" outlineLevel="4">
      <c r="A431" s="94"/>
      <c r="B431" s="94" t="s">
        <v>1075</v>
      </c>
      <c r="C431" s="94"/>
      <c r="D431" s="94"/>
      <c r="E431" s="94"/>
      <c r="F431" s="94" t="s">
        <v>1075</v>
      </c>
      <c r="G431" s="38"/>
      <c r="H431" s="79"/>
      <c r="I431" s="70">
        <f t="shared" si="141"/>
        <v>0</v>
      </c>
      <c r="J431" s="48"/>
      <c r="K431" s="590" t="str">
        <f t="shared" si="142"/>
        <v>.1</v>
      </c>
      <c r="L431" s="579" t="s">
        <v>1996</v>
      </c>
      <c r="M431" s="74"/>
      <c r="N431" s="49"/>
      <c r="O431" s="592" t="str">
        <f t="shared" si="143"/>
        <v>.2</v>
      </c>
      <c r="P431" s="578" t="s">
        <v>1998</v>
      </c>
      <c r="Q431" s="74"/>
      <c r="R431" s="49"/>
      <c r="S431" s="592" t="str">
        <f t="shared" si="144"/>
        <v>.3</v>
      </c>
      <c r="T431" s="578" t="s">
        <v>2000</v>
      </c>
      <c r="U431" s="74"/>
      <c r="V431" s="767"/>
      <c r="W431" s="767"/>
      <c r="X431" s="164"/>
      <c r="Y431" s="746"/>
      <c r="Z431" s="741">
        <v>0</v>
      </c>
      <c r="AA431" s="592" t="str">
        <f t="shared" si="145"/>
        <v>.1</v>
      </c>
      <c r="AB431" s="739" t="s">
        <v>1996</v>
      </c>
      <c r="AC431" s="738">
        <v>0</v>
      </c>
      <c r="AD431" s="592" t="str">
        <f t="shared" si="146"/>
        <v>.2</v>
      </c>
      <c r="AE431" s="739" t="s">
        <v>1998</v>
      </c>
      <c r="AF431" s="738">
        <v>0</v>
      </c>
      <c r="AG431" s="592" t="str">
        <f t="shared" si="147"/>
        <v>.3</v>
      </c>
      <c r="AH431" s="739" t="s">
        <v>2000</v>
      </c>
      <c r="AI431" s="164"/>
    </row>
    <row r="432" spans="1:35" ht="15" hidden="1" customHeight="1" outlineLevel="4">
      <c r="A432" s="95"/>
      <c r="B432" s="95" t="s">
        <v>1075</v>
      </c>
      <c r="C432" s="95"/>
      <c r="D432" s="95"/>
      <c r="E432" s="774"/>
      <c r="F432" s="774" t="s">
        <v>1075</v>
      </c>
      <c r="G432" s="13"/>
      <c r="H432" s="81"/>
      <c r="I432" s="71">
        <f t="shared" si="141"/>
        <v>0</v>
      </c>
      <c r="J432" s="48"/>
      <c r="K432" s="590" t="str">
        <f t="shared" si="142"/>
        <v>.1</v>
      </c>
      <c r="L432" s="579" t="s">
        <v>1996</v>
      </c>
      <c r="M432" s="74"/>
      <c r="N432" s="49"/>
      <c r="O432" s="592" t="str">
        <f t="shared" si="143"/>
        <v>.2</v>
      </c>
      <c r="P432" s="578" t="s">
        <v>1998</v>
      </c>
      <c r="Q432" s="74"/>
      <c r="R432" s="49"/>
      <c r="S432" s="592" t="str">
        <f t="shared" si="144"/>
        <v>.3</v>
      </c>
      <c r="T432" s="578" t="s">
        <v>2000</v>
      </c>
      <c r="U432" s="74"/>
      <c r="V432" s="766"/>
      <c r="W432" s="766"/>
      <c r="X432" s="171"/>
      <c r="Y432" s="745"/>
      <c r="Z432" s="741">
        <v>0</v>
      </c>
      <c r="AA432" s="592" t="str">
        <f t="shared" si="145"/>
        <v>.1</v>
      </c>
      <c r="AB432" s="739" t="s">
        <v>1996</v>
      </c>
      <c r="AC432" s="738">
        <v>0</v>
      </c>
      <c r="AD432" s="592" t="str">
        <f t="shared" si="146"/>
        <v>.2</v>
      </c>
      <c r="AE432" s="739" t="s">
        <v>1998</v>
      </c>
      <c r="AF432" s="738">
        <v>0</v>
      </c>
      <c r="AG432" s="592" t="str">
        <f t="shared" si="147"/>
        <v>.3</v>
      </c>
      <c r="AH432" s="739" t="s">
        <v>2000</v>
      </c>
      <c r="AI432" s="171"/>
    </row>
    <row r="433" spans="1:35" ht="15" customHeight="1" outlineLevel="3" collapsed="1">
      <c r="A433" s="97"/>
      <c r="B433" s="97" t="s">
        <v>1075</v>
      </c>
      <c r="C433" s="97"/>
      <c r="D433" s="97"/>
      <c r="E433" s="97"/>
      <c r="F433" s="97" t="s">
        <v>1075</v>
      </c>
      <c r="G433" s="40" t="s">
        <v>247</v>
      </c>
      <c r="H433" s="78">
        <f>SUBTOTAL(9,H434:H446)</f>
        <v>0</v>
      </c>
      <c r="I433" s="68">
        <f t="shared" si="141"/>
        <v>0</v>
      </c>
      <c r="J433" s="55">
        <f>SUBTOTAL(9,J434:J446)</f>
        <v>0</v>
      </c>
      <c r="K433" s="55"/>
      <c r="L433" s="55"/>
      <c r="M433" s="84"/>
      <c r="N433" s="55">
        <f>SUBTOTAL(9,N434:N446)</f>
        <v>0</v>
      </c>
      <c r="O433" s="91"/>
      <c r="P433" s="91"/>
      <c r="Q433" s="84"/>
      <c r="R433" s="55">
        <f>SUBTOTAL(9,R434:R446)</f>
        <v>0</v>
      </c>
      <c r="S433" s="91"/>
      <c r="T433" s="91"/>
      <c r="U433" s="84"/>
      <c r="V433" s="55">
        <f>SUBTOTAL(9,V434:V446)</f>
        <v>0</v>
      </c>
      <c r="W433" s="55">
        <f>SUBTOTAL(9,W434:W446)</f>
        <v>0</v>
      </c>
      <c r="X433" s="170"/>
      <c r="Y433" s="745"/>
      <c r="Z433" s="55">
        <f>SUBTOTAL(9,Z434:Z446)</f>
        <v>0</v>
      </c>
      <c r="AA433" s="91"/>
      <c r="AB433" s="91"/>
      <c r="AC433" s="55">
        <f>SUBTOTAL(9,AC434:AC446)</f>
        <v>0</v>
      </c>
      <c r="AD433" s="91"/>
      <c r="AE433" s="91"/>
      <c r="AF433" s="55">
        <f>SUBTOTAL(9,AF434:AF446)</f>
        <v>0</v>
      </c>
      <c r="AG433" s="91"/>
      <c r="AH433" s="91"/>
      <c r="AI433" s="170"/>
    </row>
    <row r="434" spans="1:35" s="26" customFormat="1" ht="15" hidden="1" customHeight="1" outlineLevel="4">
      <c r="A434" s="93">
        <v>206145</v>
      </c>
      <c r="B434" s="93">
        <v>3451</v>
      </c>
      <c r="C434" s="93"/>
      <c r="D434" s="93"/>
      <c r="E434" s="93" t="s">
        <v>2940</v>
      </c>
      <c r="F434" s="93" t="s">
        <v>5184</v>
      </c>
      <c r="G434" s="37" t="s">
        <v>98</v>
      </c>
      <c r="H434" s="583">
        <f>IFERROR(VLOOKUP(A434,'Colar QL'!A:C,3,0),0)</f>
        <v>0</v>
      </c>
      <c r="I434" s="69">
        <f t="shared" si="141"/>
        <v>0</v>
      </c>
      <c r="J434" s="258">
        <f>'BD Temp'!E642</f>
        <v>0</v>
      </c>
      <c r="K434" s="590" t="str">
        <f t="shared" ref="K434:K446" si="148">F434&amp;L434</f>
        <v>47.0284.1.2.17.00.01.039.01.07.35.1</v>
      </c>
      <c r="L434" s="579" t="s">
        <v>1996</v>
      </c>
      <c r="M434" s="256" t="str">
        <f>'BD Temp'!F642</f>
        <v>-</v>
      </c>
      <c r="N434" s="255">
        <f>'BD Temp'!J642</f>
        <v>0</v>
      </c>
      <c r="O434" s="592" t="str">
        <f t="shared" ref="O434:O445" si="149">F434&amp;P434</f>
        <v>47.0284.1.2.17.00.01.039.01.07.35.2</v>
      </c>
      <c r="P434" s="578" t="s">
        <v>1998</v>
      </c>
      <c r="Q434" s="256" t="str">
        <f>'BD Temp'!K642</f>
        <v>-</v>
      </c>
      <c r="R434" s="255">
        <f>'BD Temp'!O642</f>
        <v>0</v>
      </c>
      <c r="S434" s="592" t="str">
        <f t="shared" ref="S434:S446" si="150">F434&amp;T434</f>
        <v>47.0284.1.2.17.00.01.039.01.07.35.3</v>
      </c>
      <c r="T434" s="578" t="s">
        <v>2000</v>
      </c>
      <c r="U434" s="256" t="str">
        <f>'BD Temp'!P642</f>
        <v>-</v>
      </c>
      <c r="V434" s="764"/>
      <c r="W434" s="767"/>
      <c r="X434" s="158"/>
      <c r="Y434" s="745"/>
      <c r="Z434" s="741">
        <v>0</v>
      </c>
      <c r="AA434" s="592" t="str">
        <f t="shared" ref="AA434:AA446" si="151">F434&amp;AB434</f>
        <v>47.0284.1.2.17.00.01.039.01.07.35.1</v>
      </c>
      <c r="AB434" s="739" t="s">
        <v>1996</v>
      </c>
      <c r="AC434" s="738">
        <v>0</v>
      </c>
      <c r="AD434" s="592" t="str">
        <f t="shared" ref="AD434:AD446" si="152">F434&amp;AE434</f>
        <v>47.0284.1.2.17.00.01.039.01.07.35.2</v>
      </c>
      <c r="AE434" s="739" t="s">
        <v>1998</v>
      </c>
      <c r="AF434" s="738">
        <v>0</v>
      </c>
      <c r="AG434" s="592" t="str">
        <f t="shared" ref="AG434:AG446" si="153">F434&amp;AH434</f>
        <v>47.0284.1.2.17.00.01.039.01.07.35.3</v>
      </c>
      <c r="AH434" s="739" t="s">
        <v>2000</v>
      </c>
      <c r="AI434" s="158"/>
    </row>
    <row r="435" spans="1:35" ht="15" hidden="1" customHeight="1" outlineLevel="4">
      <c r="A435" s="93">
        <v>206155</v>
      </c>
      <c r="B435" s="93">
        <v>3451</v>
      </c>
      <c r="C435" s="93"/>
      <c r="D435" s="93"/>
      <c r="E435" s="93" t="s">
        <v>2941</v>
      </c>
      <c r="F435" s="93" t="s">
        <v>5185</v>
      </c>
      <c r="G435" s="37" t="s">
        <v>99</v>
      </c>
      <c r="H435" s="583">
        <f>IFERROR(VLOOKUP(A435,'Colar QL'!A:C,3,0),0)</f>
        <v>0</v>
      </c>
      <c r="I435" s="69">
        <f t="shared" si="141"/>
        <v>0</v>
      </c>
      <c r="J435" s="258">
        <f>'BD Temp'!E643</f>
        <v>0</v>
      </c>
      <c r="K435" s="590" t="str">
        <f t="shared" si="148"/>
        <v>47.0284.1.2.17.00.01.039.01.07.36.1</v>
      </c>
      <c r="L435" s="579" t="s">
        <v>1996</v>
      </c>
      <c r="M435" s="256" t="str">
        <f>'BD Temp'!F643</f>
        <v>-</v>
      </c>
      <c r="N435" s="255">
        <f>'BD Temp'!J643</f>
        <v>0</v>
      </c>
      <c r="O435" s="592" t="str">
        <f t="shared" si="149"/>
        <v>47.0284.1.2.17.00.01.039.01.07.36.2</v>
      </c>
      <c r="P435" s="578" t="s">
        <v>1998</v>
      </c>
      <c r="Q435" s="256" t="str">
        <f>'BD Temp'!K643</f>
        <v>-</v>
      </c>
      <c r="R435" s="255">
        <f>'BD Temp'!O643</f>
        <v>0</v>
      </c>
      <c r="S435" s="592" t="str">
        <f t="shared" si="150"/>
        <v>47.0284.1.2.17.00.01.039.01.07.36.3</v>
      </c>
      <c r="T435" s="578" t="s">
        <v>2000</v>
      </c>
      <c r="U435" s="256" t="str">
        <f>'BD Temp'!P643</f>
        <v>-</v>
      </c>
      <c r="V435" s="764"/>
      <c r="W435" s="767"/>
      <c r="X435" s="158"/>
      <c r="Y435" s="745"/>
      <c r="Z435" s="741">
        <v>0</v>
      </c>
      <c r="AA435" s="592" t="str">
        <f t="shared" si="151"/>
        <v>47.0284.1.2.17.00.01.039.01.07.36.1</v>
      </c>
      <c r="AB435" s="739" t="s">
        <v>1996</v>
      </c>
      <c r="AC435" s="738">
        <v>0</v>
      </c>
      <c r="AD435" s="592" t="str">
        <f t="shared" si="152"/>
        <v>47.0284.1.2.17.00.01.039.01.07.36.2</v>
      </c>
      <c r="AE435" s="739" t="s">
        <v>1998</v>
      </c>
      <c r="AF435" s="738">
        <v>0</v>
      </c>
      <c r="AG435" s="592" t="str">
        <f t="shared" si="153"/>
        <v>47.0284.1.2.17.00.01.039.01.07.36.3</v>
      </c>
      <c r="AH435" s="739" t="s">
        <v>2000</v>
      </c>
      <c r="AI435" s="158"/>
    </row>
    <row r="436" spans="1:35" s="26" customFormat="1" ht="15" hidden="1" customHeight="1" outlineLevel="4">
      <c r="A436" s="153">
        <v>206160</v>
      </c>
      <c r="B436" s="153">
        <v>3451</v>
      </c>
      <c r="C436" s="153"/>
      <c r="D436" s="153"/>
      <c r="E436" s="153" t="s">
        <v>2942</v>
      </c>
      <c r="F436" s="153" t="s">
        <v>5186</v>
      </c>
      <c r="G436" s="37" t="s">
        <v>100</v>
      </c>
      <c r="H436" s="583">
        <f>IFERROR(VLOOKUP(A436,'Colar QL'!A:C,3,0),0)</f>
        <v>0</v>
      </c>
      <c r="I436" s="69">
        <f t="shared" si="141"/>
        <v>0</v>
      </c>
      <c r="J436" s="258">
        <f>'BD Temp'!E644</f>
        <v>0</v>
      </c>
      <c r="K436" s="590" t="str">
        <f t="shared" si="148"/>
        <v>47.0284.1.2.17.00.01.039.01.07.37.1</v>
      </c>
      <c r="L436" s="579" t="s">
        <v>1996</v>
      </c>
      <c r="M436" s="256">
        <f>'BD Temp'!F644</f>
        <v>0</v>
      </c>
      <c r="N436" s="255">
        <f>'BD Temp'!J644</f>
        <v>0</v>
      </c>
      <c r="O436" s="592" t="str">
        <f t="shared" si="149"/>
        <v>47.0284.1.2.17.00.01.039.01.07.37.2</v>
      </c>
      <c r="P436" s="578" t="s">
        <v>1998</v>
      </c>
      <c r="Q436" s="256">
        <f>'BD Temp'!K644</f>
        <v>0</v>
      </c>
      <c r="R436" s="255">
        <f>'BD Temp'!O644</f>
        <v>0</v>
      </c>
      <c r="S436" s="592" t="str">
        <f t="shared" si="150"/>
        <v>47.0284.1.2.17.00.01.039.01.07.37.3</v>
      </c>
      <c r="T436" s="578" t="s">
        <v>2000</v>
      </c>
      <c r="U436" s="256">
        <f>'BD Temp'!P644</f>
        <v>0</v>
      </c>
      <c r="V436" s="764"/>
      <c r="W436" s="767"/>
      <c r="X436" s="158"/>
      <c r="Y436" s="745"/>
      <c r="Z436" s="741">
        <v>0</v>
      </c>
      <c r="AA436" s="592" t="str">
        <f t="shared" si="151"/>
        <v>47.0284.1.2.17.00.01.039.01.07.37.1</v>
      </c>
      <c r="AB436" s="739" t="s">
        <v>1996</v>
      </c>
      <c r="AC436" s="738">
        <v>0</v>
      </c>
      <c r="AD436" s="592" t="str">
        <f t="shared" si="152"/>
        <v>47.0284.1.2.17.00.01.039.01.07.37.2</v>
      </c>
      <c r="AE436" s="739" t="s">
        <v>1998</v>
      </c>
      <c r="AF436" s="738">
        <v>0</v>
      </c>
      <c r="AG436" s="592" t="str">
        <f t="shared" si="153"/>
        <v>47.0284.1.2.17.00.01.039.01.07.37.3</v>
      </c>
      <c r="AH436" s="739" t="s">
        <v>2000</v>
      </c>
      <c r="AI436" s="158"/>
    </row>
    <row r="437" spans="1:35" ht="15" hidden="1" customHeight="1" outlineLevel="4">
      <c r="A437" s="153">
        <v>206165</v>
      </c>
      <c r="B437" s="153">
        <v>3451</v>
      </c>
      <c r="C437" s="153"/>
      <c r="D437" s="153"/>
      <c r="E437" s="153" t="s">
        <v>2943</v>
      </c>
      <c r="F437" s="153" t="s">
        <v>5187</v>
      </c>
      <c r="G437" s="37" t="s">
        <v>101</v>
      </c>
      <c r="H437" s="583">
        <f>IFERROR(VLOOKUP(A437,'Colar QL'!A:C,3,0),0)</f>
        <v>0</v>
      </c>
      <c r="I437" s="69">
        <f t="shared" si="141"/>
        <v>0</v>
      </c>
      <c r="J437" s="258">
        <f>'BD Temp'!E649</f>
        <v>0</v>
      </c>
      <c r="K437" s="590" t="str">
        <f t="shared" si="148"/>
        <v>47.0284.1.2.17.00.01.039.01.07.38.1</v>
      </c>
      <c r="L437" s="579" t="s">
        <v>1996</v>
      </c>
      <c r="M437" s="256">
        <f>'BD Temp'!F649</f>
        <v>0</v>
      </c>
      <c r="N437" s="255">
        <f>'BD Temp'!J649</f>
        <v>0</v>
      </c>
      <c r="O437" s="592" t="str">
        <f t="shared" si="149"/>
        <v>47.0284.1.2.17.00.01.039.01.07.38.2</v>
      </c>
      <c r="P437" s="578" t="s">
        <v>1998</v>
      </c>
      <c r="Q437" s="256">
        <f>'BD Temp'!K649</f>
        <v>0</v>
      </c>
      <c r="R437" s="255">
        <f>'BD Temp'!O649</f>
        <v>0</v>
      </c>
      <c r="S437" s="592" t="str">
        <f t="shared" si="150"/>
        <v>47.0284.1.2.17.00.01.039.01.07.38.3</v>
      </c>
      <c r="T437" s="578" t="s">
        <v>2000</v>
      </c>
      <c r="U437" s="256">
        <f>'BD Temp'!P649</f>
        <v>0</v>
      </c>
      <c r="V437" s="764"/>
      <c r="W437" s="767"/>
      <c r="X437" s="158"/>
      <c r="Y437" s="745"/>
      <c r="Z437" s="741">
        <v>0</v>
      </c>
      <c r="AA437" s="592" t="str">
        <f t="shared" si="151"/>
        <v>47.0284.1.2.17.00.01.039.01.07.38.1</v>
      </c>
      <c r="AB437" s="739" t="s">
        <v>1996</v>
      </c>
      <c r="AC437" s="738">
        <v>0</v>
      </c>
      <c r="AD437" s="592" t="str">
        <f t="shared" si="152"/>
        <v>47.0284.1.2.17.00.01.039.01.07.38.2</v>
      </c>
      <c r="AE437" s="739" t="s">
        <v>1998</v>
      </c>
      <c r="AF437" s="738">
        <v>0</v>
      </c>
      <c r="AG437" s="592" t="str">
        <f t="shared" si="153"/>
        <v>47.0284.1.2.17.00.01.039.01.07.38.3</v>
      </c>
      <c r="AH437" s="739" t="s">
        <v>2000</v>
      </c>
      <c r="AI437" s="158"/>
    </row>
    <row r="438" spans="1:35" ht="15" hidden="1" customHeight="1" outlineLevel="4">
      <c r="A438" s="93">
        <v>206170</v>
      </c>
      <c r="B438" s="93">
        <v>3451</v>
      </c>
      <c r="C438" s="93"/>
      <c r="D438" s="93"/>
      <c r="E438" s="93" t="s">
        <v>2944</v>
      </c>
      <c r="F438" s="93" t="s">
        <v>5188</v>
      </c>
      <c r="G438" s="37" t="s">
        <v>102</v>
      </c>
      <c r="H438" s="583">
        <f>IFERROR(VLOOKUP(A438,'Colar QL'!A:C,3,0),0)</f>
        <v>0</v>
      </c>
      <c r="I438" s="69">
        <f t="shared" si="141"/>
        <v>0</v>
      </c>
      <c r="J438" s="258">
        <f>'BD Temp'!E652</f>
        <v>0</v>
      </c>
      <c r="K438" s="590" t="str">
        <f t="shared" si="148"/>
        <v>47.0284.1.2.17.00.01.039.01.07.39.1</v>
      </c>
      <c r="L438" s="579" t="s">
        <v>1996</v>
      </c>
      <c r="M438" s="256" t="str">
        <f>'BD Temp'!F652</f>
        <v>-</v>
      </c>
      <c r="N438" s="255">
        <f>'BD Temp'!J652</f>
        <v>0</v>
      </c>
      <c r="O438" s="592" t="str">
        <f t="shared" si="149"/>
        <v>47.0284.1.2.17.00.01.039.01.07.39.2</v>
      </c>
      <c r="P438" s="578" t="s">
        <v>1998</v>
      </c>
      <c r="Q438" s="256" t="str">
        <f>'BD Temp'!K652</f>
        <v>-</v>
      </c>
      <c r="R438" s="255">
        <f>'BD Temp'!O652</f>
        <v>0</v>
      </c>
      <c r="S438" s="592" t="str">
        <f t="shared" si="150"/>
        <v>47.0284.1.2.17.00.01.039.01.07.39.3</v>
      </c>
      <c r="T438" s="578" t="s">
        <v>2000</v>
      </c>
      <c r="U438" s="256" t="str">
        <f>'BD Temp'!P652</f>
        <v>-</v>
      </c>
      <c r="V438" s="764"/>
      <c r="W438" s="767"/>
      <c r="X438" s="158"/>
      <c r="Y438" s="745"/>
      <c r="Z438" s="741">
        <v>0</v>
      </c>
      <c r="AA438" s="592" t="str">
        <f t="shared" si="151"/>
        <v>47.0284.1.2.17.00.01.039.01.07.39.1</v>
      </c>
      <c r="AB438" s="739" t="s">
        <v>1996</v>
      </c>
      <c r="AC438" s="738">
        <v>0</v>
      </c>
      <c r="AD438" s="592" t="str">
        <f t="shared" si="152"/>
        <v>47.0284.1.2.17.00.01.039.01.07.39.2</v>
      </c>
      <c r="AE438" s="739" t="s">
        <v>1998</v>
      </c>
      <c r="AF438" s="738">
        <v>0</v>
      </c>
      <c r="AG438" s="592" t="str">
        <f t="shared" si="153"/>
        <v>47.0284.1.2.17.00.01.039.01.07.39.3</v>
      </c>
      <c r="AH438" s="739" t="s">
        <v>2000</v>
      </c>
      <c r="AI438" s="158"/>
    </row>
    <row r="439" spans="1:35" ht="15" hidden="1" customHeight="1" outlineLevel="4">
      <c r="A439" s="93"/>
      <c r="B439" s="93" t="s">
        <v>1075</v>
      </c>
      <c r="C439" s="93"/>
      <c r="D439" s="93"/>
      <c r="E439" s="93"/>
      <c r="F439" s="93" t="s">
        <v>1075</v>
      </c>
      <c r="G439" s="37"/>
      <c r="H439" s="79"/>
      <c r="I439" s="69">
        <f t="shared" si="141"/>
        <v>0</v>
      </c>
      <c r="J439" s="48"/>
      <c r="K439" s="590" t="str">
        <f t="shared" si="148"/>
        <v>.1</v>
      </c>
      <c r="L439" s="579" t="s">
        <v>1996</v>
      </c>
      <c r="M439" s="74"/>
      <c r="N439" s="49"/>
      <c r="O439" s="592" t="str">
        <f t="shared" si="149"/>
        <v>.2</v>
      </c>
      <c r="P439" s="578" t="s">
        <v>1998</v>
      </c>
      <c r="Q439" s="74"/>
      <c r="R439" s="49"/>
      <c r="S439" s="592" t="str">
        <f t="shared" si="150"/>
        <v>.3</v>
      </c>
      <c r="T439" s="578" t="s">
        <v>2000</v>
      </c>
      <c r="U439" s="74"/>
      <c r="V439" s="764"/>
      <c r="W439" s="764"/>
      <c r="X439" s="158"/>
      <c r="Y439" s="745"/>
      <c r="Z439" s="741">
        <v>0</v>
      </c>
      <c r="AA439" s="592" t="str">
        <f t="shared" si="151"/>
        <v>.1</v>
      </c>
      <c r="AB439" s="739" t="s">
        <v>1996</v>
      </c>
      <c r="AC439" s="738">
        <v>0</v>
      </c>
      <c r="AD439" s="592" t="str">
        <f t="shared" si="152"/>
        <v>.2</v>
      </c>
      <c r="AE439" s="739" t="s">
        <v>1998</v>
      </c>
      <c r="AF439" s="738">
        <v>0</v>
      </c>
      <c r="AG439" s="592" t="str">
        <f t="shared" si="153"/>
        <v>.3</v>
      </c>
      <c r="AH439" s="739" t="s">
        <v>2000</v>
      </c>
      <c r="AI439" s="158"/>
    </row>
    <row r="440" spans="1:35" ht="15" hidden="1" customHeight="1" outlineLevel="4">
      <c r="A440" s="99"/>
      <c r="B440" s="99" t="s">
        <v>1075</v>
      </c>
      <c r="C440" s="99"/>
      <c r="D440" s="99"/>
      <c r="E440" s="99"/>
      <c r="F440" s="99" t="s">
        <v>1075</v>
      </c>
      <c r="G440" s="39" t="s">
        <v>723</v>
      </c>
      <c r="H440" s="79"/>
      <c r="I440" s="69">
        <f t="shared" si="141"/>
        <v>0</v>
      </c>
      <c r="J440" s="48"/>
      <c r="K440" s="590" t="str">
        <f t="shared" si="148"/>
        <v>.1</v>
      </c>
      <c r="L440" s="579" t="s">
        <v>1996</v>
      </c>
      <c r="M440" s="74"/>
      <c r="N440" s="49"/>
      <c r="O440" s="592" t="str">
        <f t="shared" si="149"/>
        <v>.2</v>
      </c>
      <c r="P440" s="578" t="s">
        <v>1998</v>
      </c>
      <c r="Q440" s="74"/>
      <c r="R440" s="49"/>
      <c r="S440" s="592" t="str">
        <f t="shared" si="150"/>
        <v>.3</v>
      </c>
      <c r="T440" s="578" t="s">
        <v>2000</v>
      </c>
      <c r="U440" s="74"/>
      <c r="V440" s="764"/>
      <c r="W440" s="764"/>
      <c r="X440" s="158"/>
      <c r="Y440" s="745"/>
      <c r="Z440" s="741">
        <v>0</v>
      </c>
      <c r="AA440" s="592" t="str">
        <f t="shared" si="151"/>
        <v>.1</v>
      </c>
      <c r="AB440" s="739" t="s">
        <v>1996</v>
      </c>
      <c r="AC440" s="738">
        <v>0</v>
      </c>
      <c r="AD440" s="592" t="str">
        <f t="shared" si="152"/>
        <v>.2</v>
      </c>
      <c r="AE440" s="739" t="s">
        <v>1998</v>
      </c>
      <c r="AF440" s="738">
        <v>0</v>
      </c>
      <c r="AG440" s="592" t="str">
        <f t="shared" si="153"/>
        <v>.3</v>
      </c>
      <c r="AH440" s="739" t="s">
        <v>2000</v>
      </c>
      <c r="AI440" s="158"/>
    </row>
    <row r="441" spans="1:35" ht="15" hidden="1" customHeight="1" outlineLevel="4">
      <c r="A441" s="93"/>
      <c r="B441" s="93" t="s">
        <v>1075</v>
      </c>
      <c r="C441" s="93"/>
      <c r="D441" s="93"/>
      <c r="E441" s="93"/>
      <c r="F441" s="93" t="s">
        <v>1075</v>
      </c>
      <c r="G441" s="37"/>
      <c r="H441" s="79"/>
      <c r="I441" s="69">
        <f t="shared" si="141"/>
        <v>0</v>
      </c>
      <c r="J441" s="48"/>
      <c r="K441" s="590" t="str">
        <f t="shared" si="148"/>
        <v>.1</v>
      </c>
      <c r="L441" s="579" t="s">
        <v>1996</v>
      </c>
      <c r="M441" s="74"/>
      <c r="N441" s="49"/>
      <c r="O441" s="592" t="str">
        <f t="shared" si="149"/>
        <v>.2</v>
      </c>
      <c r="P441" s="578" t="s">
        <v>1998</v>
      </c>
      <c r="Q441" s="74"/>
      <c r="R441" s="49"/>
      <c r="S441" s="592" t="str">
        <f t="shared" si="150"/>
        <v>.3</v>
      </c>
      <c r="T441" s="578" t="s">
        <v>2000</v>
      </c>
      <c r="U441" s="74"/>
      <c r="V441" s="764"/>
      <c r="W441" s="764"/>
      <c r="X441" s="158"/>
      <c r="Y441" s="745"/>
      <c r="Z441" s="741">
        <v>0</v>
      </c>
      <c r="AA441" s="592" t="str">
        <f t="shared" si="151"/>
        <v>.1</v>
      </c>
      <c r="AB441" s="739" t="s">
        <v>1996</v>
      </c>
      <c r="AC441" s="738">
        <v>0</v>
      </c>
      <c r="AD441" s="592" t="str">
        <f t="shared" si="152"/>
        <v>.2</v>
      </c>
      <c r="AE441" s="739" t="s">
        <v>1998</v>
      </c>
      <c r="AF441" s="738">
        <v>0</v>
      </c>
      <c r="AG441" s="592" t="str">
        <f t="shared" si="153"/>
        <v>.3</v>
      </c>
      <c r="AH441" s="739" t="s">
        <v>2000</v>
      </c>
      <c r="AI441" s="158"/>
    </row>
    <row r="442" spans="1:35" ht="15" hidden="1" customHeight="1" outlineLevel="4">
      <c r="A442" s="93"/>
      <c r="B442" s="93" t="s">
        <v>1075</v>
      </c>
      <c r="C442" s="93"/>
      <c r="D442" s="93"/>
      <c r="E442" s="93"/>
      <c r="F442" s="93" t="s">
        <v>1075</v>
      </c>
      <c r="G442" s="37"/>
      <c r="H442" s="79"/>
      <c r="I442" s="69">
        <f t="shared" si="141"/>
        <v>0</v>
      </c>
      <c r="J442" s="48"/>
      <c r="K442" s="590" t="str">
        <f t="shared" si="148"/>
        <v>.1</v>
      </c>
      <c r="L442" s="579" t="s">
        <v>1996</v>
      </c>
      <c r="M442" s="74"/>
      <c r="N442" s="49"/>
      <c r="O442" s="592" t="str">
        <f t="shared" si="149"/>
        <v>.2</v>
      </c>
      <c r="P442" s="578" t="s">
        <v>1998</v>
      </c>
      <c r="Q442" s="74"/>
      <c r="R442" s="49"/>
      <c r="S442" s="592" t="str">
        <f t="shared" si="150"/>
        <v>.3</v>
      </c>
      <c r="T442" s="578" t="s">
        <v>2000</v>
      </c>
      <c r="U442" s="74"/>
      <c r="V442" s="764"/>
      <c r="W442" s="764"/>
      <c r="X442" s="158"/>
      <c r="Y442" s="745"/>
      <c r="Z442" s="741">
        <v>0</v>
      </c>
      <c r="AA442" s="592" t="str">
        <f t="shared" si="151"/>
        <v>.1</v>
      </c>
      <c r="AB442" s="739" t="s">
        <v>1996</v>
      </c>
      <c r="AC442" s="738">
        <v>0</v>
      </c>
      <c r="AD442" s="592" t="str">
        <f t="shared" si="152"/>
        <v>.2</v>
      </c>
      <c r="AE442" s="739" t="s">
        <v>1998</v>
      </c>
      <c r="AF442" s="738">
        <v>0</v>
      </c>
      <c r="AG442" s="592" t="str">
        <f t="shared" si="153"/>
        <v>.3</v>
      </c>
      <c r="AH442" s="739" t="s">
        <v>2000</v>
      </c>
      <c r="AI442" s="158"/>
    </row>
    <row r="443" spans="1:35" ht="15" hidden="1" customHeight="1" outlineLevel="4">
      <c r="A443" s="93"/>
      <c r="B443" s="93" t="s">
        <v>1075</v>
      </c>
      <c r="C443" s="93"/>
      <c r="D443" s="93"/>
      <c r="E443" s="93"/>
      <c r="F443" s="93" t="s">
        <v>1075</v>
      </c>
      <c r="G443" s="37"/>
      <c r="H443" s="79"/>
      <c r="I443" s="69">
        <f t="shared" si="141"/>
        <v>0</v>
      </c>
      <c r="J443" s="48"/>
      <c r="K443" s="590" t="str">
        <f t="shared" si="148"/>
        <v>.1</v>
      </c>
      <c r="L443" s="579" t="s">
        <v>1996</v>
      </c>
      <c r="M443" s="74"/>
      <c r="N443" s="49"/>
      <c r="O443" s="592" t="str">
        <f t="shared" si="149"/>
        <v>.2</v>
      </c>
      <c r="P443" s="578" t="s">
        <v>1998</v>
      </c>
      <c r="Q443" s="74"/>
      <c r="R443" s="49"/>
      <c r="S443" s="592" t="str">
        <f t="shared" si="150"/>
        <v>.3</v>
      </c>
      <c r="T443" s="578" t="s">
        <v>2000</v>
      </c>
      <c r="U443" s="74"/>
      <c r="V443" s="764"/>
      <c r="W443" s="764"/>
      <c r="X443" s="158"/>
      <c r="Y443" s="745"/>
      <c r="Z443" s="741">
        <v>0</v>
      </c>
      <c r="AA443" s="592" t="str">
        <f t="shared" si="151"/>
        <v>.1</v>
      </c>
      <c r="AB443" s="739" t="s">
        <v>1996</v>
      </c>
      <c r="AC443" s="738">
        <v>0</v>
      </c>
      <c r="AD443" s="592" t="str">
        <f t="shared" si="152"/>
        <v>.2</v>
      </c>
      <c r="AE443" s="739" t="s">
        <v>1998</v>
      </c>
      <c r="AF443" s="738">
        <v>0</v>
      </c>
      <c r="AG443" s="592" t="str">
        <f t="shared" si="153"/>
        <v>.3</v>
      </c>
      <c r="AH443" s="739" t="s">
        <v>2000</v>
      </c>
      <c r="AI443" s="158"/>
    </row>
    <row r="444" spans="1:35" ht="15" hidden="1" customHeight="1" outlineLevel="4">
      <c r="A444" s="93"/>
      <c r="B444" s="93" t="s">
        <v>1075</v>
      </c>
      <c r="C444" s="93"/>
      <c r="D444" s="93"/>
      <c r="E444" s="93"/>
      <c r="F444" s="93" t="s">
        <v>1075</v>
      </c>
      <c r="G444" s="37"/>
      <c r="H444" s="79"/>
      <c r="I444" s="69">
        <f t="shared" si="141"/>
        <v>0</v>
      </c>
      <c r="J444" s="48"/>
      <c r="K444" s="590" t="str">
        <f t="shared" si="148"/>
        <v>.1</v>
      </c>
      <c r="L444" s="579" t="s">
        <v>1996</v>
      </c>
      <c r="M444" s="74"/>
      <c r="N444" s="49"/>
      <c r="O444" s="592" t="str">
        <f t="shared" si="149"/>
        <v>.2</v>
      </c>
      <c r="P444" s="578" t="s">
        <v>1998</v>
      </c>
      <c r="Q444" s="74"/>
      <c r="R444" s="49"/>
      <c r="S444" s="592" t="str">
        <f t="shared" si="150"/>
        <v>.3</v>
      </c>
      <c r="T444" s="578" t="s">
        <v>2000</v>
      </c>
      <c r="U444" s="74"/>
      <c r="V444" s="764"/>
      <c r="W444" s="764"/>
      <c r="X444" s="158"/>
      <c r="Y444" s="745"/>
      <c r="Z444" s="741">
        <v>0</v>
      </c>
      <c r="AA444" s="592" t="str">
        <f t="shared" si="151"/>
        <v>.1</v>
      </c>
      <c r="AB444" s="739" t="s">
        <v>1996</v>
      </c>
      <c r="AC444" s="738">
        <v>0</v>
      </c>
      <c r="AD444" s="592" t="str">
        <f t="shared" si="152"/>
        <v>.2</v>
      </c>
      <c r="AE444" s="739" t="s">
        <v>1998</v>
      </c>
      <c r="AF444" s="738">
        <v>0</v>
      </c>
      <c r="AG444" s="592" t="str">
        <f t="shared" si="153"/>
        <v>.3</v>
      </c>
      <c r="AH444" s="739" t="s">
        <v>2000</v>
      </c>
      <c r="AI444" s="158"/>
    </row>
    <row r="445" spans="1:35" ht="15" hidden="1" customHeight="1" outlineLevel="4">
      <c r="A445" s="93"/>
      <c r="B445" s="93" t="s">
        <v>1075</v>
      </c>
      <c r="C445" s="93"/>
      <c r="D445" s="93"/>
      <c r="E445" s="93"/>
      <c r="F445" s="93" t="s">
        <v>1075</v>
      </c>
      <c r="G445" s="37"/>
      <c r="H445" s="79"/>
      <c r="I445" s="69">
        <f t="shared" si="141"/>
        <v>0</v>
      </c>
      <c r="J445" s="48"/>
      <c r="K445" s="590" t="str">
        <f t="shared" si="148"/>
        <v>.1</v>
      </c>
      <c r="L445" s="579" t="s">
        <v>1996</v>
      </c>
      <c r="M445" s="74"/>
      <c r="N445" s="49"/>
      <c r="O445" s="592" t="str">
        <f t="shared" si="149"/>
        <v>.2</v>
      </c>
      <c r="P445" s="578" t="s">
        <v>1998</v>
      </c>
      <c r="Q445" s="74"/>
      <c r="R445" s="49"/>
      <c r="S445" s="592" t="str">
        <f t="shared" si="150"/>
        <v>.3</v>
      </c>
      <c r="T445" s="578" t="s">
        <v>2000</v>
      </c>
      <c r="U445" s="74"/>
      <c r="V445" s="764"/>
      <c r="W445" s="764"/>
      <c r="X445" s="158"/>
      <c r="Y445" s="745"/>
      <c r="Z445" s="741">
        <v>0</v>
      </c>
      <c r="AA445" s="592" t="str">
        <f t="shared" si="151"/>
        <v>.1</v>
      </c>
      <c r="AB445" s="739" t="s">
        <v>1996</v>
      </c>
      <c r="AC445" s="738">
        <v>0</v>
      </c>
      <c r="AD445" s="592" t="str">
        <f t="shared" si="152"/>
        <v>.2</v>
      </c>
      <c r="AE445" s="739" t="s">
        <v>1998</v>
      </c>
      <c r="AF445" s="738">
        <v>0</v>
      </c>
      <c r="AG445" s="592" t="str">
        <f t="shared" si="153"/>
        <v>.3</v>
      </c>
      <c r="AH445" s="739" t="s">
        <v>2000</v>
      </c>
      <c r="AI445" s="158"/>
    </row>
    <row r="446" spans="1:35" ht="15" hidden="1" customHeight="1" outlineLevel="4">
      <c r="A446" s="95"/>
      <c r="B446" s="95" t="s">
        <v>1075</v>
      </c>
      <c r="C446" s="95"/>
      <c r="D446" s="95"/>
      <c r="E446" s="774"/>
      <c r="F446" s="774" t="s">
        <v>1075</v>
      </c>
      <c r="G446" s="13"/>
      <c r="H446" s="81"/>
      <c r="I446" s="71">
        <f t="shared" si="141"/>
        <v>0</v>
      </c>
      <c r="J446" s="48"/>
      <c r="K446" s="590" t="str">
        <f t="shared" si="148"/>
        <v>.1</v>
      </c>
      <c r="L446" s="579" t="s">
        <v>1996</v>
      </c>
      <c r="M446" s="74"/>
      <c r="N446" s="49"/>
      <c r="O446" s="592" t="s">
        <v>1998</v>
      </c>
      <c r="P446" s="578" t="s">
        <v>1998</v>
      </c>
      <c r="Q446" s="74"/>
      <c r="R446" s="49"/>
      <c r="S446" s="592" t="str">
        <f t="shared" si="150"/>
        <v>.3</v>
      </c>
      <c r="T446" s="578" t="s">
        <v>2000</v>
      </c>
      <c r="U446" s="74"/>
      <c r="V446" s="766"/>
      <c r="W446" s="766"/>
      <c r="X446" s="171"/>
      <c r="Y446" s="745"/>
      <c r="Z446" s="741">
        <v>0</v>
      </c>
      <c r="AA446" s="592" t="str">
        <f t="shared" si="151"/>
        <v>.1</v>
      </c>
      <c r="AB446" s="739" t="s">
        <v>1996</v>
      </c>
      <c r="AC446" s="738">
        <v>0</v>
      </c>
      <c r="AD446" s="592" t="str">
        <f t="shared" si="152"/>
        <v>.2</v>
      </c>
      <c r="AE446" s="739" t="s">
        <v>1998</v>
      </c>
      <c r="AF446" s="738">
        <v>0</v>
      </c>
      <c r="AG446" s="592" t="str">
        <f t="shared" si="153"/>
        <v>.3</v>
      </c>
      <c r="AH446" s="739" t="s">
        <v>2000</v>
      </c>
      <c r="AI446" s="171"/>
    </row>
    <row r="447" spans="1:35" ht="15" customHeight="1" outlineLevel="3">
      <c r="A447" s="97"/>
      <c r="B447" s="97" t="s">
        <v>1075</v>
      </c>
      <c r="C447" s="97"/>
      <c r="D447" s="97"/>
      <c r="E447" s="97"/>
      <c r="F447" s="97" t="s">
        <v>1075</v>
      </c>
      <c r="G447" s="40" t="s">
        <v>240</v>
      </c>
      <c r="H447" s="78">
        <f>SUBTOTAL(9,H448:H466)</f>
        <v>4</v>
      </c>
      <c r="I447" s="68">
        <f t="shared" si="141"/>
        <v>4</v>
      </c>
      <c r="J447" s="55">
        <f>SUBTOTAL(9,J448:J466)</f>
        <v>4</v>
      </c>
      <c r="K447" s="55"/>
      <c r="L447" s="55"/>
      <c r="M447" s="84"/>
      <c r="N447" s="55">
        <f>SUBTOTAL(9,N448:N466)</f>
        <v>0</v>
      </c>
      <c r="O447" s="91"/>
      <c r="P447" s="91"/>
      <c r="Q447" s="84"/>
      <c r="R447" s="55">
        <f>SUBTOTAL(9,R448:R466)</f>
        <v>0</v>
      </c>
      <c r="S447" s="91"/>
      <c r="T447" s="91"/>
      <c r="U447" s="84"/>
      <c r="V447" s="55">
        <f>SUBTOTAL(9,V448:V466)</f>
        <v>0</v>
      </c>
      <c r="W447" s="55">
        <f>SUBTOTAL(9,W448:W466)</f>
        <v>0</v>
      </c>
      <c r="X447" s="170" t="s">
        <v>5378</v>
      </c>
      <c r="Y447" s="745"/>
      <c r="Z447" s="55">
        <f>SUBTOTAL(9,Z448:Z466)</f>
        <v>0</v>
      </c>
      <c r="AA447" s="91"/>
      <c r="AB447" s="91"/>
      <c r="AC447" s="55">
        <f>SUBTOTAL(9,AC448:AC466)</f>
        <v>0</v>
      </c>
      <c r="AD447" s="91"/>
      <c r="AE447" s="91"/>
      <c r="AF447" s="55">
        <f>SUBTOTAL(9,AF448:AF466)</f>
        <v>0</v>
      </c>
      <c r="AG447" s="91"/>
      <c r="AH447" s="91"/>
      <c r="AI447" s="170"/>
    </row>
    <row r="448" spans="1:35" ht="15" customHeight="1" outlineLevel="4">
      <c r="A448" s="93">
        <v>206115</v>
      </c>
      <c r="B448" s="93">
        <v>3451</v>
      </c>
      <c r="C448" s="93"/>
      <c r="D448" s="93"/>
      <c r="E448" s="93" t="s">
        <v>3063</v>
      </c>
      <c r="F448" s="93" t="s">
        <v>5170</v>
      </c>
      <c r="G448" s="37" t="s">
        <v>636</v>
      </c>
      <c r="H448" s="583">
        <f>IFERROR(VLOOKUP(A448,'Colar QL'!A:C,3,0),0)</f>
        <v>0</v>
      </c>
      <c r="I448" s="69">
        <f t="shared" si="141"/>
        <v>0</v>
      </c>
      <c r="J448" s="258">
        <f>'BD Temp'!E662</f>
        <v>0</v>
      </c>
      <c r="K448" s="590" t="str">
        <f t="shared" ref="K448:K466" si="154">F448&amp;L448</f>
        <v>47.0284.1.2.17.00.01.039.01.07.04.1</v>
      </c>
      <c r="L448" s="579" t="s">
        <v>1996</v>
      </c>
      <c r="M448" s="256" t="str">
        <f>'BD Temp'!F662</f>
        <v>-</v>
      </c>
      <c r="N448" s="255">
        <f>'BD Temp'!J662</f>
        <v>0</v>
      </c>
      <c r="O448" s="592" t="str">
        <f t="shared" ref="O448:O466" si="155">F448&amp;P448</f>
        <v>47.0284.1.2.17.00.01.039.01.07.04.2</v>
      </c>
      <c r="P448" s="578" t="s">
        <v>1998</v>
      </c>
      <c r="Q448" s="256" t="str">
        <f>'BD Temp'!K662</f>
        <v>-</v>
      </c>
      <c r="R448" s="255">
        <f>'BD Temp'!O662</f>
        <v>0</v>
      </c>
      <c r="S448" s="592" t="str">
        <f t="shared" ref="S448:S466" si="156">F448&amp;T448</f>
        <v>47.0284.1.2.17.00.01.039.01.07.04.3</v>
      </c>
      <c r="T448" s="578" t="s">
        <v>2000</v>
      </c>
      <c r="U448" s="256" t="str">
        <f>'BD Temp'!P662</f>
        <v>-</v>
      </c>
      <c r="V448" s="764"/>
      <c r="W448" s="767"/>
      <c r="X448" s="158"/>
      <c r="Y448" s="745"/>
      <c r="Z448" s="741">
        <v>0</v>
      </c>
      <c r="AA448" s="592" t="str">
        <f t="shared" ref="AA448:AA466" si="157">F448&amp;AB448</f>
        <v>47.0284.1.2.17.00.01.039.01.07.04.1</v>
      </c>
      <c r="AB448" s="739" t="s">
        <v>1996</v>
      </c>
      <c r="AC448" s="738">
        <v>0</v>
      </c>
      <c r="AD448" s="592" t="str">
        <f t="shared" ref="AD448:AD466" si="158">F448&amp;AE448</f>
        <v>47.0284.1.2.17.00.01.039.01.07.04.2</v>
      </c>
      <c r="AE448" s="739" t="s">
        <v>1998</v>
      </c>
      <c r="AF448" s="738">
        <v>0</v>
      </c>
      <c r="AG448" s="592" t="str">
        <f t="shared" ref="AG448:AG466" si="159">F448&amp;AH448</f>
        <v>47.0284.1.2.17.00.01.039.01.07.04.3</v>
      </c>
      <c r="AH448" s="739" t="s">
        <v>2000</v>
      </c>
      <c r="AI448" s="158"/>
    </row>
    <row r="449" spans="1:35" ht="15" customHeight="1" outlineLevel="4">
      <c r="A449" s="93">
        <v>206075</v>
      </c>
      <c r="B449" s="93">
        <v>3451</v>
      </c>
      <c r="C449" s="93"/>
      <c r="D449" s="93"/>
      <c r="E449" s="93" t="s">
        <v>3071</v>
      </c>
      <c r="F449" s="93" t="s">
        <v>5172</v>
      </c>
      <c r="G449" s="37" t="s">
        <v>637</v>
      </c>
      <c r="H449" s="583">
        <f>IFERROR(VLOOKUP(A449,'Colar QL'!A:C,3,0),0)</f>
        <v>1</v>
      </c>
      <c r="I449" s="69">
        <f t="shared" si="141"/>
        <v>1</v>
      </c>
      <c r="J449" s="258">
        <f>'BD Temp'!E663</f>
        <v>1</v>
      </c>
      <c r="K449" s="590" t="str">
        <f t="shared" si="154"/>
        <v>47.0284.1.2.17.00.01.039.01.07.58.1</v>
      </c>
      <c r="L449" s="579" t="s">
        <v>1996</v>
      </c>
      <c r="M449" s="256">
        <f>'BD Temp'!F663</f>
        <v>0.72064344225356891</v>
      </c>
      <c r="N449" s="255">
        <f>'BD Temp'!J663</f>
        <v>0</v>
      </c>
      <c r="O449" s="592" t="str">
        <f t="shared" si="155"/>
        <v>47.0284.1.2.17.00.01.039.01.07.58.2</v>
      </c>
      <c r="P449" s="578" t="s">
        <v>1998</v>
      </c>
      <c r="Q449" s="256" t="str">
        <f>'BD Temp'!K663</f>
        <v>-</v>
      </c>
      <c r="R449" s="255">
        <f>'BD Temp'!O663</f>
        <v>0</v>
      </c>
      <c r="S449" s="592" t="str">
        <f t="shared" si="156"/>
        <v>47.0284.1.2.17.00.01.039.01.07.58.3</v>
      </c>
      <c r="T449" s="578" t="s">
        <v>2000</v>
      </c>
      <c r="U449" s="256" t="str">
        <f>'BD Temp'!P663</f>
        <v>-</v>
      </c>
      <c r="V449" s="764"/>
      <c r="W449" s="767"/>
      <c r="X449" s="158"/>
      <c r="Y449" s="745"/>
      <c r="Z449" s="741">
        <v>0</v>
      </c>
      <c r="AA449" s="592" t="str">
        <f t="shared" si="157"/>
        <v>47.0284.1.2.17.00.01.039.01.07.58.1</v>
      </c>
      <c r="AB449" s="739" t="s">
        <v>1996</v>
      </c>
      <c r="AC449" s="738">
        <v>0</v>
      </c>
      <c r="AD449" s="592" t="str">
        <f t="shared" si="158"/>
        <v>47.0284.1.2.17.00.01.039.01.07.58.2</v>
      </c>
      <c r="AE449" s="739" t="s">
        <v>1998</v>
      </c>
      <c r="AF449" s="738">
        <v>0</v>
      </c>
      <c r="AG449" s="592" t="str">
        <f t="shared" si="159"/>
        <v>47.0284.1.2.17.00.01.039.01.07.58.3</v>
      </c>
      <c r="AH449" s="739" t="s">
        <v>2000</v>
      </c>
      <c r="AI449" s="158"/>
    </row>
    <row r="450" spans="1:35" s="123" customFormat="1" ht="15" customHeight="1" outlineLevel="4">
      <c r="A450" s="153">
        <v>206080</v>
      </c>
      <c r="B450" s="153">
        <v>3451</v>
      </c>
      <c r="C450" s="153"/>
      <c r="D450" s="153"/>
      <c r="E450" s="153" t="s">
        <v>3063</v>
      </c>
      <c r="F450" s="153" t="s">
        <v>5170</v>
      </c>
      <c r="G450" s="37" t="s">
        <v>90</v>
      </c>
      <c r="H450" s="583">
        <f>IFERROR(VLOOKUP(A450,'Colar QL'!A:C,3,0),0)</f>
        <v>0</v>
      </c>
      <c r="I450" s="69">
        <f t="shared" si="141"/>
        <v>0</v>
      </c>
      <c r="J450" s="258">
        <f>'BD Temp'!E664</f>
        <v>0</v>
      </c>
      <c r="K450" s="590" t="str">
        <f t="shared" si="154"/>
        <v>47.0284.1.2.17.00.01.039.01.07.04.1</v>
      </c>
      <c r="L450" s="579" t="s">
        <v>1996</v>
      </c>
      <c r="M450" s="256" t="str">
        <f>'BD Temp'!F664</f>
        <v>-</v>
      </c>
      <c r="N450" s="255">
        <f>'BD Temp'!J664</f>
        <v>0</v>
      </c>
      <c r="O450" s="592" t="str">
        <f t="shared" si="155"/>
        <v>47.0284.1.2.17.00.01.039.01.07.04.2</v>
      </c>
      <c r="P450" s="578" t="s">
        <v>1998</v>
      </c>
      <c r="Q450" s="256" t="str">
        <f>'BD Temp'!K664</f>
        <v>-</v>
      </c>
      <c r="R450" s="255">
        <f>'BD Temp'!O664</f>
        <v>0</v>
      </c>
      <c r="S450" s="592" t="str">
        <f t="shared" si="156"/>
        <v>47.0284.1.2.17.00.01.039.01.07.04.3</v>
      </c>
      <c r="T450" s="578" t="s">
        <v>2000</v>
      </c>
      <c r="U450" s="256" t="str">
        <f>'BD Temp'!P664</f>
        <v>-</v>
      </c>
      <c r="V450" s="764"/>
      <c r="W450" s="767"/>
      <c r="X450" s="216"/>
      <c r="Y450" s="745"/>
      <c r="Z450" s="741">
        <v>0</v>
      </c>
      <c r="AA450" s="592" t="str">
        <f t="shared" si="157"/>
        <v>47.0284.1.2.17.00.01.039.01.07.04.1</v>
      </c>
      <c r="AB450" s="739" t="s">
        <v>1996</v>
      </c>
      <c r="AC450" s="738">
        <v>0</v>
      </c>
      <c r="AD450" s="592" t="str">
        <f t="shared" si="158"/>
        <v>47.0284.1.2.17.00.01.039.01.07.04.2</v>
      </c>
      <c r="AE450" s="739" t="s">
        <v>1998</v>
      </c>
      <c r="AF450" s="738">
        <v>0</v>
      </c>
      <c r="AG450" s="592" t="str">
        <f t="shared" si="159"/>
        <v>47.0284.1.2.17.00.01.039.01.07.04.3</v>
      </c>
      <c r="AH450" s="739" t="s">
        <v>2000</v>
      </c>
      <c r="AI450" s="375"/>
    </row>
    <row r="451" spans="1:35" s="26" customFormat="1" ht="15" customHeight="1" outlineLevel="4">
      <c r="A451" s="93">
        <v>206085</v>
      </c>
      <c r="B451" s="93">
        <v>3451</v>
      </c>
      <c r="C451" s="93"/>
      <c r="D451" s="93"/>
      <c r="E451" s="93" t="s">
        <v>3063</v>
      </c>
      <c r="F451" s="93" t="s">
        <v>5170</v>
      </c>
      <c r="G451" s="37" t="s">
        <v>216</v>
      </c>
      <c r="H451" s="583">
        <f>IFERROR(VLOOKUP(A451,'Colar QL'!A:C,3,0),0)</f>
        <v>0</v>
      </c>
      <c r="I451" s="69">
        <f t="shared" si="141"/>
        <v>0</v>
      </c>
      <c r="J451" s="258">
        <f>'BD Temp'!E665</f>
        <v>0</v>
      </c>
      <c r="K451" s="590" t="str">
        <f t="shared" si="154"/>
        <v>47.0284.1.2.17.00.01.039.01.07.04.1</v>
      </c>
      <c r="L451" s="579" t="s">
        <v>1996</v>
      </c>
      <c r="M451" s="256" t="str">
        <f>'BD Temp'!F665</f>
        <v>-</v>
      </c>
      <c r="N451" s="255">
        <f>'BD Temp'!J665</f>
        <v>0</v>
      </c>
      <c r="O451" s="592" t="str">
        <f t="shared" si="155"/>
        <v>47.0284.1.2.17.00.01.039.01.07.04.2</v>
      </c>
      <c r="P451" s="578" t="s">
        <v>1998</v>
      </c>
      <c r="Q451" s="256" t="str">
        <f>'BD Temp'!K665</f>
        <v>-</v>
      </c>
      <c r="R451" s="255">
        <f>'BD Temp'!O665</f>
        <v>0</v>
      </c>
      <c r="S451" s="592" t="str">
        <f t="shared" si="156"/>
        <v>47.0284.1.2.17.00.01.039.01.07.04.3</v>
      </c>
      <c r="T451" s="578" t="s">
        <v>2000</v>
      </c>
      <c r="U451" s="256" t="str">
        <f>'BD Temp'!P665</f>
        <v>-</v>
      </c>
      <c r="V451" s="764"/>
      <c r="W451" s="767"/>
      <c r="X451" s="158"/>
      <c r="Y451" s="745"/>
      <c r="Z451" s="741">
        <v>0</v>
      </c>
      <c r="AA451" s="592" t="str">
        <f t="shared" si="157"/>
        <v>47.0284.1.2.17.00.01.039.01.07.04.1</v>
      </c>
      <c r="AB451" s="739" t="s">
        <v>1996</v>
      </c>
      <c r="AC451" s="738">
        <v>0</v>
      </c>
      <c r="AD451" s="592" t="str">
        <f t="shared" si="158"/>
        <v>47.0284.1.2.17.00.01.039.01.07.04.2</v>
      </c>
      <c r="AE451" s="739" t="s">
        <v>1998</v>
      </c>
      <c r="AF451" s="738">
        <v>0</v>
      </c>
      <c r="AG451" s="592" t="str">
        <f t="shared" si="159"/>
        <v>47.0284.1.2.17.00.01.039.01.07.04.3</v>
      </c>
      <c r="AH451" s="739" t="s">
        <v>2000</v>
      </c>
      <c r="AI451" s="158"/>
    </row>
    <row r="452" spans="1:35" ht="15" customHeight="1" outlineLevel="4">
      <c r="A452" s="93">
        <v>206090</v>
      </c>
      <c r="B452" s="93">
        <v>3451</v>
      </c>
      <c r="C452" s="93"/>
      <c r="D452" s="93"/>
      <c r="E452" s="93" t="s">
        <v>3071</v>
      </c>
      <c r="F452" s="93" t="s">
        <v>5172</v>
      </c>
      <c r="G452" s="37" t="s">
        <v>91</v>
      </c>
      <c r="H452" s="667">
        <f>IFERROR(VLOOKUP(A452,'Colar QL'!A:C,3,0),0)</f>
        <v>0</v>
      </c>
      <c r="I452" s="69">
        <f t="shared" si="141"/>
        <v>0</v>
      </c>
      <c r="J452" s="258">
        <f>'BD Temp'!E666</f>
        <v>0</v>
      </c>
      <c r="K452" s="590" t="str">
        <f t="shared" si="154"/>
        <v>47.0284.1.2.17.00.01.039.01.07.58.1</v>
      </c>
      <c r="L452" s="579" t="s">
        <v>1996</v>
      </c>
      <c r="M452" s="256">
        <f>'BD Temp'!F666</f>
        <v>0</v>
      </c>
      <c r="N452" s="255">
        <f>'BD Temp'!J666</f>
        <v>0</v>
      </c>
      <c r="O452" s="592" t="str">
        <f t="shared" si="155"/>
        <v>47.0284.1.2.17.00.01.039.01.07.58.2</v>
      </c>
      <c r="P452" s="578" t="s">
        <v>1998</v>
      </c>
      <c r="Q452" s="256">
        <f>'BD Temp'!K666</f>
        <v>0</v>
      </c>
      <c r="R452" s="255">
        <f>'BD Temp'!O666</f>
        <v>0</v>
      </c>
      <c r="S452" s="592" t="str">
        <f t="shared" si="156"/>
        <v>47.0284.1.2.17.00.01.039.01.07.58.3</v>
      </c>
      <c r="T452" s="578" t="s">
        <v>2000</v>
      </c>
      <c r="U452" s="256">
        <f>'BD Temp'!P666</f>
        <v>0</v>
      </c>
      <c r="V452" s="764"/>
      <c r="W452" s="767"/>
      <c r="X452" s="158"/>
      <c r="Y452" s="745"/>
      <c r="Z452" s="741">
        <v>0</v>
      </c>
      <c r="AA452" s="592" t="str">
        <f t="shared" si="157"/>
        <v>47.0284.1.2.17.00.01.039.01.07.58.1</v>
      </c>
      <c r="AB452" s="739" t="s">
        <v>1996</v>
      </c>
      <c r="AC452" s="738">
        <v>0</v>
      </c>
      <c r="AD452" s="592" t="str">
        <f t="shared" si="158"/>
        <v>47.0284.1.2.17.00.01.039.01.07.58.2</v>
      </c>
      <c r="AE452" s="739" t="s">
        <v>1998</v>
      </c>
      <c r="AF452" s="738">
        <v>0</v>
      </c>
      <c r="AG452" s="592" t="str">
        <f t="shared" si="159"/>
        <v>47.0284.1.2.17.00.01.039.01.07.58.3</v>
      </c>
      <c r="AH452" s="739" t="s">
        <v>2000</v>
      </c>
      <c r="AI452" s="158"/>
    </row>
    <row r="453" spans="1:35" s="26" customFormat="1" ht="15" customHeight="1" outlineLevel="4">
      <c r="A453" s="93">
        <v>206100</v>
      </c>
      <c r="B453" s="93">
        <v>3451</v>
      </c>
      <c r="C453" s="93"/>
      <c r="D453" s="93"/>
      <c r="E453" s="93" t="s">
        <v>3071</v>
      </c>
      <c r="F453" s="93" t="s">
        <v>5172</v>
      </c>
      <c r="G453" s="37" t="s">
        <v>92</v>
      </c>
      <c r="H453" s="583">
        <f>IFERROR(VLOOKUP(A453,'Colar QL'!A:C,3,0),0)</f>
        <v>0</v>
      </c>
      <c r="I453" s="69">
        <f t="shared" si="141"/>
        <v>0</v>
      </c>
      <c r="J453" s="258">
        <f>'BD Temp'!E669</f>
        <v>0</v>
      </c>
      <c r="K453" s="590" t="str">
        <f t="shared" si="154"/>
        <v>47.0284.1.2.17.00.01.039.01.07.58.1</v>
      </c>
      <c r="L453" s="579" t="s">
        <v>1996</v>
      </c>
      <c r="M453" s="256">
        <f>'BD Temp'!F669</f>
        <v>0</v>
      </c>
      <c r="N453" s="255">
        <f>'BD Temp'!J669</f>
        <v>0</v>
      </c>
      <c r="O453" s="592" t="str">
        <f t="shared" si="155"/>
        <v>47.0284.1.2.17.00.01.039.01.07.58.2</v>
      </c>
      <c r="P453" s="578" t="s">
        <v>1998</v>
      </c>
      <c r="Q453" s="256">
        <f>'BD Temp'!K669</f>
        <v>0</v>
      </c>
      <c r="R453" s="255">
        <f>'BD Temp'!O669</f>
        <v>0</v>
      </c>
      <c r="S453" s="592" t="str">
        <f t="shared" si="156"/>
        <v>47.0284.1.2.17.00.01.039.01.07.58.3</v>
      </c>
      <c r="T453" s="578" t="s">
        <v>2000</v>
      </c>
      <c r="U453" s="256">
        <f>'BD Temp'!P669</f>
        <v>0</v>
      </c>
      <c r="V453" s="764"/>
      <c r="W453" s="767"/>
      <c r="X453" s="158"/>
      <c r="Y453" s="745"/>
      <c r="Z453" s="741">
        <v>0</v>
      </c>
      <c r="AA453" s="592" t="str">
        <f t="shared" si="157"/>
        <v>47.0284.1.2.17.00.01.039.01.07.58.1</v>
      </c>
      <c r="AB453" s="739" t="s">
        <v>1996</v>
      </c>
      <c r="AC453" s="738">
        <v>0</v>
      </c>
      <c r="AD453" s="592" t="str">
        <f t="shared" si="158"/>
        <v>47.0284.1.2.17.00.01.039.01.07.58.2</v>
      </c>
      <c r="AE453" s="739" t="s">
        <v>1998</v>
      </c>
      <c r="AF453" s="738">
        <v>0</v>
      </c>
      <c r="AG453" s="592" t="str">
        <f t="shared" si="159"/>
        <v>47.0284.1.2.17.00.01.039.01.07.58.3</v>
      </c>
      <c r="AH453" s="739" t="s">
        <v>2000</v>
      </c>
      <c r="AI453" s="158"/>
    </row>
    <row r="454" spans="1:35" ht="15" customHeight="1" outlineLevel="4">
      <c r="A454" s="93">
        <v>206095</v>
      </c>
      <c r="B454" s="93">
        <v>3451</v>
      </c>
      <c r="C454" s="93"/>
      <c r="D454" s="93"/>
      <c r="E454" s="93" t="s">
        <v>4504</v>
      </c>
      <c r="F454" s="93" t="s">
        <v>5397</v>
      </c>
      <c r="G454" s="37" t="s">
        <v>93</v>
      </c>
      <c r="H454" s="667">
        <f>IFERROR(VLOOKUP(A454,'Colar QL'!A:C,3,0),0)</f>
        <v>3</v>
      </c>
      <c r="I454" s="69">
        <f t="shared" si="141"/>
        <v>3</v>
      </c>
      <c r="J454" s="258">
        <f>'BD Temp'!E672</f>
        <v>3</v>
      </c>
      <c r="K454" s="590" t="str">
        <f t="shared" si="154"/>
        <v>47.0284.1.2.17.00.01.039.01.07.10.1</v>
      </c>
      <c r="L454" s="579" t="s">
        <v>1996</v>
      </c>
      <c r="M454" s="256">
        <f>'BD Temp'!F672</f>
        <v>0.8591806313790652</v>
      </c>
      <c r="N454" s="255">
        <f>'BD Temp'!J672</f>
        <v>0</v>
      </c>
      <c r="O454" s="592" t="str">
        <f t="shared" si="155"/>
        <v>47.0284.1.2.17.00.01.039.01.07.10.2</v>
      </c>
      <c r="P454" s="578" t="s">
        <v>1998</v>
      </c>
      <c r="Q454" s="256">
        <f>'BD Temp'!K672</f>
        <v>0</v>
      </c>
      <c r="R454" s="255">
        <f>'BD Temp'!O672</f>
        <v>0</v>
      </c>
      <c r="S454" s="592" t="str">
        <f t="shared" si="156"/>
        <v>47.0284.1.2.17.00.01.039.01.07.10.3</v>
      </c>
      <c r="T454" s="578" t="s">
        <v>2000</v>
      </c>
      <c r="U454" s="256">
        <f>'BD Temp'!P672</f>
        <v>0</v>
      </c>
      <c r="V454" s="764"/>
      <c r="W454" s="767"/>
      <c r="X454" s="158"/>
      <c r="Y454" s="745"/>
      <c r="Z454" s="741">
        <v>0</v>
      </c>
      <c r="AA454" s="592" t="str">
        <f t="shared" si="157"/>
        <v>47.0284.1.2.17.00.01.039.01.07.10.1</v>
      </c>
      <c r="AB454" s="739" t="s">
        <v>1996</v>
      </c>
      <c r="AC454" s="738">
        <v>0</v>
      </c>
      <c r="AD454" s="592" t="str">
        <f t="shared" si="158"/>
        <v>47.0284.1.2.17.00.01.039.01.07.10.2</v>
      </c>
      <c r="AE454" s="739" t="s">
        <v>1998</v>
      </c>
      <c r="AF454" s="738">
        <v>0</v>
      </c>
      <c r="AG454" s="592" t="str">
        <f t="shared" si="159"/>
        <v>47.0284.1.2.17.00.01.039.01.07.10.3</v>
      </c>
      <c r="AH454" s="739" t="s">
        <v>2000</v>
      </c>
      <c r="AI454" s="158"/>
    </row>
    <row r="455" spans="1:35" ht="15" customHeight="1" outlineLevel="4">
      <c r="A455" s="93">
        <v>206105</v>
      </c>
      <c r="B455" s="93">
        <v>3451</v>
      </c>
      <c r="C455" s="93"/>
      <c r="D455" s="93"/>
      <c r="E455" s="93" t="s">
        <v>3071</v>
      </c>
      <c r="F455" s="93" t="s">
        <v>5172</v>
      </c>
      <c r="G455" s="37" t="s">
        <v>94</v>
      </c>
      <c r="H455" s="583">
        <f>IFERROR(VLOOKUP(A455,'Colar QL'!A:C,3,0),0)</f>
        <v>0</v>
      </c>
      <c r="I455" s="69">
        <f t="shared" si="141"/>
        <v>0</v>
      </c>
      <c r="J455" s="258">
        <f>'BD Temp'!E677</f>
        <v>0</v>
      </c>
      <c r="K455" s="590" t="str">
        <f t="shared" si="154"/>
        <v>47.0284.1.2.17.00.01.039.01.07.58.1</v>
      </c>
      <c r="L455" s="579" t="s">
        <v>1996</v>
      </c>
      <c r="M455" s="256" t="str">
        <f>'BD Temp'!F677</f>
        <v>-</v>
      </c>
      <c r="N455" s="255">
        <f>'BD Temp'!J677</f>
        <v>0</v>
      </c>
      <c r="O455" s="592" t="str">
        <f t="shared" si="155"/>
        <v>47.0284.1.2.17.00.01.039.01.07.58.2</v>
      </c>
      <c r="P455" s="578" t="s">
        <v>1998</v>
      </c>
      <c r="Q455" s="256" t="str">
        <f>'BD Temp'!K677</f>
        <v>-</v>
      </c>
      <c r="R455" s="255">
        <f>'BD Temp'!O677</f>
        <v>0</v>
      </c>
      <c r="S455" s="592" t="str">
        <f t="shared" si="156"/>
        <v>47.0284.1.2.17.00.01.039.01.07.58.3</v>
      </c>
      <c r="T455" s="578" t="s">
        <v>2000</v>
      </c>
      <c r="U455" s="256" t="str">
        <f>'BD Temp'!P677</f>
        <v>-</v>
      </c>
      <c r="V455" s="764"/>
      <c r="W455" s="767"/>
      <c r="X455" s="158"/>
      <c r="Y455" s="745"/>
      <c r="Z455" s="741">
        <v>0</v>
      </c>
      <c r="AA455" s="592" t="str">
        <f t="shared" si="157"/>
        <v>47.0284.1.2.17.00.01.039.01.07.58.1</v>
      </c>
      <c r="AB455" s="739" t="s">
        <v>1996</v>
      </c>
      <c r="AC455" s="738">
        <v>0</v>
      </c>
      <c r="AD455" s="592" t="str">
        <f t="shared" si="158"/>
        <v>47.0284.1.2.17.00.01.039.01.07.58.2</v>
      </c>
      <c r="AE455" s="739" t="s">
        <v>1998</v>
      </c>
      <c r="AF455" s="738">
        <v>0</v>
      </c>
      <c r="AG455" s="592" t="str">
        <f t="shared" si="159"/>
        <v>47.0284.1.2.17.00.01.039.01.07.58.3</v>
      </c>
      <c r="AH455" s="739" t="s">
        <v>2000</v>
      </c>
      <c r="AI455" s="158"/>
    </row>
    <row r="456" spans="1:35" s="26" customFormat="1" ht="15" customHeight="1" outlineLevel="4">
      <c r="A456" s="93">
        <v>206110</v>
      </c>
      <c r="B456" s="93">
        <v>3451</v>
      </c>
      <c r="C456" s="93"/>
      <c r="D456" s="93"/>
      <c r="E456" s="93" t="s">
        <v>3071</v>
      </c>
      <c r="F456" s="93" t="s">
        <v>5172</v>
      </c>
      <c r="G456" s="37" t="s">
        <v>95</v>
      </c>
      <c r="H456" s="583">
        <f>IFERROR(VLOOKUP(A456,'Colar QL'!A:C,3,0),0)</f>
        <v>0</v>
      </c>
      <c r="I456" s="69">
        <f t="shared" si="141"/>
        <v>0</v>
      </c>
      <c r="J456" s="258">
        <f>'BD Temp'!E678</f>
        <v>0</v>
      </c>
      <c r="K456" s="590" t="str">
        <f t="shared" si="154"/>
        <v>47.0284.1.2.17.00.01.039.01.07.58.1</v>
      </c>
      <c r="L456" s="579" t="s">
        <v>1996</v>
      </c>
      <c r="M456" s="256">
        <f>'BD Temp'!F678</f>
        <v>0</v>
      </c>
      <c r="N456" s="255">
        <f>'BD Temp'!J678</f>
        <v>0</v>
      </c>
      <c r="O456" s="592" t="str">
        <f t="shared" si="155"/>
        <v>47.0284.1.2.17.00.01.039.01.07.58.2</v>
      </c>
      <c r="P456" s="578" t="s">
        <v>1998</v>
      </c>
      <c r="Q456" s="256">
        <f>'BD Temp'!K678</f>
        <v>0</v>
      </c>
      <c r="R456" s="255">
        <f>'BD Temp'!O678</f>
        <v>0</v>
      </c>
      <c r="S456" s="592" t="str">
        <f t="shared" si="156"/>
        <v>47.0284.1.2.17.00.01.039.01.07.58.3</v>
      </c>
      <c r="T456" s="578" t="s">
        <v>2000</v>
      </c>
      <c r="U456" s="256">
        <f>'BD Temp'!P678</f>
        <v>0</v>
      </c>
      <c r="V456" s="764"/>
      <c r="W456" s="767"/>
      <c r="X456" s="158"/>
      <c r="Y456" s="745"/>
      <c r="Z456" s="741">
        <v>0</v>
      </c>
      <c r="AA456" s="592" t="str">
        <f t="shared" si="157"/>
        <v>47.0284.1.2.17.00.01.039.01.07.58.1</v>
      </c>
      <c r="AB456" s="739" t="s">
        <v>1996</v>
      </c>
      <c r="AC456" s="738">
        <v>0</v>
      </c>
      <c r="AD456" s="592" t="str">
        <f t="shared" si="158"/>
        <v>47.0284.1.2.17.00.01.039.01.07.58.2</v>
      </c>
      <c r="AE456" s="739" t="s">
        <v>1998</v>
      </c>
      <c r="AF456" s="738">
        <v>0</v>
      </c>
      <c r="AG456" s="592" t="str">
        <f t="shared" si="159"/>
        <v>47.0284.1.2.17.00.01.039.01.07.58.3</v>
      </c>
      <c r="AH456" s="739" t="s">
        <v>2000</v>
      </c>
      <c r="AI456" s="158"/>
    </row>
    <row r="457" spans="1:35" ht="15" customHeight="1" outlineLevel="4">
      <c r="A457" s="93">
        <v>206120</v>
      </c>
      <c r="B457" s="93">
        <v>3451</v>
      </c>
      <c r="C457" s="93"/>
      <c r="D457" s="93"/>
      <c r="E457" s="93" t="s">
        <v>3071</v>
      </c>
      <c r="F457" s="93" t="s">
        <v>5172</v>
      </c>
      <c r="G457" s="37" t="s">
        <v>96</v>
      </c>
      <c r="H457" s="583">
        <f>IFERROR(VLOOKUP(A457,'Colar QL'!A:C,3,0),0)</f>
        <v>0</v>
      </c>
      <c r="I457" s="69">
        <f t="shared" si="141"/>
        <v>0</v>
      </c>
      <c r="J457" s="258">
        <f>'BD Temp'!E683</f>
        <v>0</v>
      </c>
      <c r="K457" s="590" t="str">
        <f t="shared" si="154"/>
        <v>47.0284.1.2.17.00.01.039.01.07.58.1</v>
      </c>
      <c r="L457" s="579" t="s">
        <v>1996</v>
      </c>
      <c r="M457" s="256">
        <f>'BD Temp'!F683</f>
        <v>0</v>
      </c>
      <c r="N457" s="255">
        <f>'BD Temp'!J683</f>
        <v>0</v>
      </c>
      <c r="O457" s="592" t="str">
        <f t="shared" si="155"/>
        <v>47.0284.1.2.17.00.01.039.01.07.58.2</v>
      </c>
      <c r="P457" s="578" t="s">
        <v>1998</v>
      </c>
      <c r="Q457" s="256">
        <f>'BD Temp'!K683</f>
        <v>0</v>
      </c>
      <c r="R457" s="255">
        <f>'BD Temp'!O683</f>
        <v>0</v>
      </c>
      <c r="S457" s="592" t="str">
        <f t="shared" si="156"/>
        <v>47.0284.1.2.17.00.01.039.01.07.58.3</v>
      </c>
      <c r="T457" s="578" t="s">
        <v>2000</v>
      </c>
      <c r="U457" s="256">
        <f>'BD Temp'!P683</f>
        <v>0</v>
      </c>
      <c r="V457" s="764"/>
      <c r="W457" s="767"/>
      <c r="X457" s="158"/>
      <c r="Y457" s="745"/>
      <c r="Z457" s="741">
        <v>0</v>
      </c>
      <c r="AA457" s="592" t="str">
        <f t="shared" si="157"/>
        <v>47.0284.1.2.17.00.01.039.01.07.58.1</v>
      </c>
      <c r="AB457" s="739" t="s">
        <v>1996</v>
      </c>
      <c r="AC457" s="738">
        <v>0</v>
      </c>
      <c r="AD457" s="592" t="str">
        <f t="shared" si="158"/>
        <v>47.0284.1.2.17.00.01.039.01.07.58.2</v>
      </c>
      <c r="AE457" s="739" t="s">
        <v>1998</v>
      </c>
      <c r="AF457" s="738">
        <v>0</v>
      </c>
      <c r="AG457" s="592" t="str">
        <f t="shared" si="159"/>
        <v>47.0284.1.2.17.00.01.039.01.07.58.3</v>
      </c>
      <c r="AH457" s="739" t="s">
        <v>2000</v>
      </c>
      <c r="AI457" s="158"/>
    </row>
    <row r="458" spans="1:35" ht="15" customHeight="1" outlineLevel="4">
      <c r="A458" s="93">
        <v>206150</v>
      </c>
      <c r="B458" s="93">
        <v>3451</v>
      </c>
      <c r="C458" s="93"/>
      <c r="D458" s="93"/>
      <c r="E458" s="93" t="s">
        <v>3071</v>
      </c>
      <c r="F458" s="93" t="s">
        <v>5172</v>
      </c>
      <c r="G458" s="37" t="s">
        <v>638</v>
      </c>
      <c r="H458" s="583">
        <f>IFERROR(VLOOKUP(A458,'Colar QL'!A:C,3,0),0)</f>
        <v>0</v>
      </c>
      <c r="I458" s="69">
        <f t="shared" si="141"/>
        <v>0</v>
      </c>
      <c r="J458" s="258">
        <v>0</v>
      </c>
      <c r="K458" s="590" t="str">
        <f t="shared" si="154"/>
        <v>47.0284.1.2.17.00.01.039.01.07.58.1</v>
      </c>
      <c r="L458" s="579" t="s">
        <v>1996</v>
      </c>
      <c r="M458" s="256">
        <f>'BD Temp'!F686</f>
        <v>0</v>
      </c>
      <c r="N458" s="255">
        <v>0</v>
      </c>
      <c r="O458" s="592" t="str">
        <f t="shared" si="155"/>
        <v>47.0284.1.2.17.00.01.039.01.07.58.2</v>
      </c>
      <c r="P458" s="578" t="s">
        <v>1998</v>
      </c>
      <c r="Q458" s="256">
        <f>'BD Temp'!K686</f>
        <v>0</v>
      </c>
      <c r="R458" s="255">
        <f>'BD Temp'!O686</f>
        <v>0</v>
      </c>
      <c r="S458" s="592" t="str">
        <f t="shared" si="156"/>
        <v>47.0284.1.2.17.00.01.039.01.07.58.3</v>
      </c>
      <c r="T458" s="578" t="s">
        <v>2000</v>
      </c>
      <c r="U458" s="256">
        <f>'BD Temp'!P686</f>
        <v>0</v>
      </c>
      <c r="V458" s="764"/>
      <c r="W458" s="767"/>
      <c r="X458" s="158"/>
      <c r="Y458" s="745"/>
      <c r="Z458" s="741">
        <v>0</v>
      </c>
      <c r="AA458" s="592" t="str">
        <f t="shared" si="157"/>
        <v>47.0284.1.2.17.00.01.039.01.07.58.1</v>
      </c>
      <c r="AB458" s="739" t="s">
        <v>1996</v>
      </c>
      <c r="AC458" s="738">
        <v>0</v>
      </c>
      <c r="AD458" s="592" t="str">
        <f t="shared" si="158"/>
        <v>47.0284.1.2.17.00.01.039.01.07.58.2</v>
      </c>
      <c r="AE458" s="739" t="s">
        <v>1998</v>
      </c>
      <c r="AF458" s="738">
        <v>0</v>
      </c>
      <c r="AG458" s="592" t="str">
        <f t="shared" si="159"/>
        <v>47.0284.1.2.17.00.01.039.01.07.58.3</v>
      </c>
      <c r="AH458" s="739" t="s">
        <v>2000</v>
      </c>
      <c r="AI458" s="158"/>
    </row>
    <row r="459" spans="1:35" ht="15" customHeight="1" outlineLevel="4">
      <c r="A459" s="93"/>
      <c r="B459" s="93" t="s">
        <v>1075</v>
      </c>
      <c r="C459" s="93"/>
      <c r="D459" s="93"/>
      <c r="E459" s="93"/>
      <c r="F459" s="93" t="s">
        <v>1075</v>
      </c>
      <c r="G459" s="37"/>
      <c r="H459" s="79"/>
      <c r="I459" s="69">
        <f t="shared" si="141"/>
        <v>0</v>
      </c>
      <c r="J459" s="48"/>
      <c r="K459" s="590" t="str">
        <f t="shared" si="154"/>
        <v>.1</v>
      </c>
      <c r="L459" s="579" t="s">
        <v>1996</v>
      </c>
      <c r="M459" s="74"/>
      <c r="N459" s="49"/>
      <c r="O459" s="592" t="str">
        <f t="shared" si="155"/>
        <v>.2</v>
      </c>
      <c r="P459" s="578" t="s">
        <v>1998</v>
      </c>
      <c r="Q459" s="74"/>
      <c r="R459" s="49"/>
      <c r="S459" s="592" t="str">
        <f t="shared" si="156"/>
        <v>.3</v>
      </c>
      <c r="T459" s="578" t="s">
        <v>2000</v>
      </c>
      <c r="U459" s="74"/>
      <c r="V459" s="764"/>
      <c r="W459" s="764"/>
      <c r="X459" s="158"/>
      <c r="Y459" s="745"/>
      <c r="Z459" s="741">
        <v>0</v>
      </c>
      <c r="AA459" s="592" t="str">
        <f t="shared" si="157"/>
        <v>.1</v>
      </c>
      <c r="AB459" s="739" t="s">
        <v>1996</v>
      </c>
      <c r="AC459" s="738">
        <v>0</v>
      </c>
      <c r="AD459" s="592" t="str">
        <f t="shared" si="158"/>
        <v>.2</v>
      </c>
      <c r="AE459" s="739" t="s">
        <v>1998</v>
      </c>
      <c r="AF459" s="738">
        <v>0</v>
      </c>
      <c r="AG459" s="592" t="str">
        <f t="shared" si="159"/>
        <v>.3</v>
      </c>
      <c r="AH459" s="739" t="s">
        <v>2000</v>
      </c>
      <c r="AI459" s="158"/>
    </row>
    <row r="460" spans="1:35" ht="15" customHeight="1" outlineLevel="4">
      <c r="A460" s="99"/>
      <c r="B460" s="99" t="s">
        <v>1075</v>
      </c>
      <c r="C460" s="99"/>
      <c r="D460" s="99"/>
      <c r="E460" s="99"/>
      <c r="F460" s="99" t="s">
        <v>1075</v>
      </c>
      <c r="G460" s="39" t="s">
        <v>723</v>
      </c>
      <c r="H460" s="79"/>
      <c r="I460" s="69">
        <f t="shared" si="141"/>
        <v>0</v>
      </c>
      <c r="J460" s="48"/>
      <c r="K460" s="590" t="str">
        <f t="shared" si="154"/>
        <v>.1</v>
      </c>
      <c r="L460" s="579" t="s">
        <v>1996</v>
      </c>
      <c r="M460" s="74"/>
      <c r="N460" s="49"/>
      <c r="O460" s="592" t="str">
        <f t="shared" si="155"/>
        <v>.2</v>
      </c>
      <c r="P460" s="578" t="s">
        <v>1998</v>
      </c>
      <c r="Q460" s="74"/>
      <c r="R460" s="49"/>
      <c r="S460" s="592" t="str">
        <f t="shared" si="156"/>
        <v>.3</v>
      </c>
      <c r="T460" s="578" t="s">
        <v>2000</v>
      </c>
      <c r="U460" s="74"/>
      <c r="V460" s="764"/>
      <c r="W460" s="764"/>
      <c r="X460" s="158"/>
      <c r="Y460" s="745"/>
      <c r="Z460" s="741">
        <v>0</v>
      </c>
      <c r="AA460" s="592" t="str">
        <f t="shared" si="157"/>
        <v>.1</v>
      </c>
      <c r="AB460" s="739" t="s">
        <v>1996</v>
      </c>
      <c r="AC460" s="738">
        <v>0</v>
      </c>
      <c r="AD460" s="592" t="str">
        <f t="shared" si="158"/>
        <v>.2</v>
      </c>
      <c r="AE460" s="739" t="s">
        <v>1998</v>
      </c>
      <c r="AF460" s="738">
        <v>0</v>
      </c>
      <c r="AG460" s="592" t="str">
        <f t="shared" si="159"/>
        <v>.3</v>
      </c>
      <c r="AH460" s="739" t="s">
        <v>2000</v>
      </c>
      <c r="AI460" s="158"/>
    </row>
    <row r="461" spans="1:35" s="26" customFormat="1" ht="15" customHeight="1" outlineLevel="4">
      <c r="A461" s="93"/>
      <c r="B461" s="93" t="s">
        <v>1075</v>
      </c>
      <c r="C461" s="93"/>
      <c r="D461" s="93"/>
      <c r="E461" s="93"/>
      <c r="F461" s="93" t="s">
        <v>1075</v>
      </c>
      <c r="G461" s="37"/>
      <c r="H461" s="176"/>
      <c r="I461" s="69">
        <f t="shared" si="141"/>
        <v>0</v>
      </c>
      <c r="J461" s="57"/>
      <c r="K461" s="590" t="str">
        <f t="shared" si="154"/>
        <v>.1</v>
      </c>
      <c r="L461" s="579" t="s">
        <v>1996</v>
      </c>
      <c r="M461" s="725"/>
      <c r="N461" s="178"/>
      <c r="O461" s="592" t="str">
        <f t="shared" si="155"/>
        <v>.2</v>
      </c>
      <c r="P461" s="578" t="s">
        <v>1998</v>
      </c>
      <c r="Q461" s="87"/>
      <c r="R461" s="58"/>
      <c r="S461" s="592" t="str">
        <f t="shared" si="156"/>
        <v>.3</v>
      </c>
      <c r="T461" s="578" t="s">
        <v>2000</v>
      </c>
      <c r="U461" s="87"/>
      <c r="V461" s="764"/>
      <c r="W461" s="764"/>
      <c r="X461" s="158"/>
      <c r="Y461" s="745"/>
      <c r="Z461" s="741">
        <v>0</v>
      </c>
      <c r="AA461" s="592" t="str">
        <f t="shared" si="157"/>
        <v>.1</v>
      </c>
      <c r="AB461" s="739" t="s">
        <v>1996</v>
      </c>
      <c r="AC461" s="738">
        <v>0</v>
      </c>
      <c r="AD461" s="592" t="str">
        <f t="shared" si="158"/>
        <v>.2</v>
      </c>
      <c r="AE461" s="739" t="s">
        <v>1998</v>
      </c>
      <c r="AF461" s="738">
        <v>0</v>
      </c>
      <c r="AG461" s="592" t="str">
        <f t="shared" si="159"/>
        <v>.3</v>
      </c>
      <c r="AH461" s="739" t="s">
        <v>2000</v>
      </c>
      <c r="AI461" s="158"/>
    </row>
    <row r="462" spans="1:35" ht="15" customHeight="1" outlineLevel="4">
      <c r="A462" s="93"/>
      <c r="B462" s="93" t="s">
        <v>1075</v>
      </c>
      <c r="C462" s="93"/>
      <c r="D462" s="93"/>
      <c r="E462" s="93"/>
      <c r="F462" s="93" t="s">
        <v>1075</v>
      </c>
      <c r="G462" s="37"/>
      <c r="H462" s="79"/>
      <c r="I462" s="69">
        <f t="shared" si="141"/>
        <v>0</v>
      </c>
      <c r="J462" s="48"/>
      <c r="K462" s="590" t="str">
        <f t="shared" si="154"/>
        <v>.1</v>
      </c>
      <c r="L462" s="579" t="s">
        <v>1996</v>
      </c>
      <c r="M462" s="74"/>
      <c r="N462" s="49"/>
      <c r="O462" s="592" t="str">
        <f t="shared" si="155"/>
        <v>.2</v>
      </c>
      <c r="P462" s="578" t="s">
        <v>1998</v>
      </c>
      <c r="Q462" s="74"/>
      <c r="R462" s="49"/>
      <c r="S462" s="592" t="str">
        <f t="shared" si="156"/>
        <v>.3</v>
      </c>
      <c r="T462" s="578" t="s">
        <v>2000</v>
      </c>
      <c r="U462" s="74"/>
      <c r="V462" s="764"/>
      <c r="W462" s="764"/>
      <c r="X462" s="158"/>
      <c r="Y462" s="745"/>
      <c r="Z462" s="741">
        <v>0</v>
      </c>
      <c r="AA462" s="592" t="str">
        <f t="shared" si="157"/>
        <v>.1</v>
      </c>
      <c r="AB462" s="739" t="s">
        <v>1996</v>
      </c>
      <c r="AC462" s="738">
        <v>0</v>
      </c>
      <c r="AD462" s="592" t="str">
        <f t="shared" si="158"/>
        <v>.2</v>
      </c>
      <c r="AE462" s="739" t="s">
        <v>1998</v>
      </c>
      <c r="AF462" s="738">
        <v>0</v>
      </c>
      <c r="AG462" s="592" t="str">
        <f t="shared" si="159"/>
        <v>.3</v>
      </c>
      <c r="AH462" s="739" t="s">
        <v>2000</v>
      </c>
      <c r="AI462" s="158"/>
    </row>
    <row r="463" spans="1:35" ht="15" customHeight="1" outlineLevel="4">
      <c r="A463" s="93"/>
      <c r="B463" s="93" t="s">
        <v>1075</v>
      </c>
      <c r="C463" s="93"/>
      <c r="D463" s="93"/>
      <c r="E463" s="93"/>
      <c r="F463" s="93" t="s">
        <v>1075</v>
      </c>
      <c r="G463" s="37"/>
      <c r="H463" s="79"/>
      <c r="I463" s="69">
        <f t="shared" si="141"/>
        <v>0</v>
      </c>
      <c r="J463" s="48"/>
      <c r="K463" s="590" t="str">
        <f t="shared" si="154"/>
        <v>.1</v>
      </c>
      <c r="L463" s="579" t="s">
        <v>1996</v>
      </c>
      <c r="M463" s="74"/>
      <c r="N463" s="49"/>
      <c r="O463" s="592" t="str">
        <f t="shared" si="155"/>
        <v>.2</v>
      </c>
      <c r="P463" s="578" t="s">
        <v>1998</v>
      </c>
      <c r="Q463" s="74"/>
      <c r="R463" s="49"/>
      <c r="S463" s="592" t="str">
        <f t="shared" si="156"/>
        <v>.3</v>
      </c>
      <c r="T463" s="578" t="s">
        <v>2000</v>
      </c>
      <c r="U463" s="74"/>
      <c r="V463" s="764"/>
      <c r="W463" s="764"/>
      <c r="X463" s="158"/>
      <c r="Y463" s="745"/>
      <c r="Z463" s="741">
        <v>0</v>
      </c>
      <c r="AA463" s="592" t="str">
        <f t="shared" si="157"/>
        <v>.1</v>
      </c>
      <c r="AB463" s="739" t="s">
        <v>1996</v>
      </c>
      <c r="AC463" s="738">
        <v>0</v>
      </c>
      <c r="AD463" s="592" t="str">
        <f t="shared" si="158"/>
        <v>.2</v>
      </c>
      <c r="AE463" s="739" t="s">
        <v>1998</v>
      </c>
      <c r="AF463" s="738">
        <v>0</v>
      </c>
      <c r="AG463" s="592" t="str">
        <f t="shared" si="159"/>
        <v>.3</v>
      </c>
      <c r="AH463" s="739" t="s">
        <v>2000</v>
      </c>
      <c r="AI463" s="158"/>
    </row>
    <row r="464" spans="1:35" ht="15" customHeight="1" outlineLevel="4">
      <c r="A464" s="93"/>
      <c r="B464" s="93" t="s">
        <v>1075</v>
      </c>
      <c r="C464" s="93"/>
      <c r="D464" s="93"/>
      <c r="E464" s="93"/>
      <c r="F464" s="93" t="s">
        <v>1075</v>
      </c>
      <c r="G464" s="37"/>
      <c r="H464" s="79"/>
      <c r="I464" s="69">
        <f t="shared" si="141"/>
        <v>0</v>
      </c>
      <c r="J464" s="48"/>
      <c r="K464" s="590" t="str">
        <f t="shared" si="154"/>
        <v>.1</v>
      </c>
      <c r="L464" s="579" t="s">
        <v>1996</v>
      </c>
      <c r="M464" s="74"/>
      <c r="N464" s="49"/>
      <c r="O464" s="592" t="str">
        <f t="shared" si="155"/>
        <v>.2</v>
      </c>
      <c r="P464" s="578" t="s">
        <v>1998</v>
      </c>
      <c r="Q464" s="74"/>
      <c r="R464" s="49"/>
      <c r="S464" s="592" t="str">
        <f t="shared" si="156"/>
        <v>.3</v>
      </c>
      <c r="T464" s="578" t="s">
        <v>2000</v>
      </c>
      <c r="U464" s="74"/>
      <c r="V464" s="764"/>
      <c r="W464" s="764"/>
      <c r="X464" s="158"/>
      <c r="Y464" s="745"/>
      <c r="Z464" s="741">
        <v>0</v>
      </c>
      <c r="AA464" s="592" t="str">
        <f t="shared" si="157"/>
        <v>.1</v>
      </c>
      <c r="AB464" s="739" t="s">
        <v>1996</v>
      </c>
      <c r="AC464" s="738">
        <v>0</v>
      </c>
      <c r="AD464" s="592" t="str">
        <f t="shared" si="158"/>
        <v>.2</v>
      </c>
      <c r="AE464" s="739" t="s">
        <v>1998</v>
      </c>
      <c r="AF464" s="738">
        <v>0</v>
      </c>
      <c r="AG464" s="592" t="str">
        <f t="shared" si="159"/>
        <v>.3</v>
      </c>
      <c r="AH464" s="739" t="s">
        <v>2000</v>
      </c>
      <c r="AI464" s="158"/>
    </row>
    <row r="465" spans="1:35" ht="15" customHeight="1" outlineLevel="4">
      <c r="A465" s="93"/>
      <c r="B465" s="93" t="s">
        <v>1075</v>
      </c>
      <c r="C465" s="93"/>
      <c r="D465" s="93"/>
      <c r="E465" s="93"/>
      <c r="F465" s="93" t="s">
        <v>1075</v>
      </c>
      <c r="G465" s="37"/>
      <c r="H465" s="79"/>
      <c r="I465" s="69">
        <f t="shared" si="141"/>
        <v>0</v>
      </c>
      <c r="J465" s="48"/>
      <c r="K465" s="590" t="str">
        <f t="shared" si="154"/>
        <v>.1</v>
      </c>
      <c r="L465" s="579" t="s">
        <v>1996</v>
      </c>
      <c r="M465" s="74"/>
      <c r="N465" s="49"/>
      <c r="O465" s="592" t="str">
        <f t="shared" si="155"/>
        <v>.2</v>
      </c>
      <c r="P465" s="578" t="s">
        <v>1998</v>
      </c>
      <c r="Q465" s="74"/>
      <c r="R465" s="49"/>
      <c r="S465" s="592" t="str">
        <f t="shared" si="156"/>
        <v>.3</v>
      </c>
      <c r="T465" s="578" t="s">
        <v>2000</v>
      </c>
      <c r="U465" s="74"/>
      <c r="V465" s="764"/>
      <c r="W465" s="764"/>
      <c r="X465" s="158"/>
      <c r="Y465" s="745"/>
      <c r="Z465" s="741">
        <v>0</v>
      </c>
      <c r="AA465" s="592" t="str">
        <f t="shared" si="157"/>
        <v>.1</v>
      </c>
      <c r="AB465" s="739" t="s">
        <v>1996</v>
      </c>
      <c r="AC465" s="738">
        <v>0</v>
      </c>
      <c r="AD465" s="592" t="str">
        <f t="shared" si="158"/>
        <v>.2</v>
      </c>
      <c r="AE465" s="739" t="s">
        <v>1998</v>
      </c>
      <c r="AF465" s="738">
        <v>0</v>
      </c>
      <c r="AG465" s="592" t="str">
        <f t="shared" si="159"/>
        <v>.3</v>
      </c>
      <c r="AH465" s="739" t="s">
        <v>2000</v>
      </c>
      <c r="AI465" s="158"/>
    </row>
    <row r="466" spans="1:35" ht="15" customHeight="1" outlineLevel="4">
      <c r="A466" s="95"/>
      <c r="B466" s="95" t="s">
        <v>1075</v>
      </c>
      <c r="C466" s="95"/>
      <c r="D466" s="95"/>
      <c r="E466" s="774"/>
      <c r="F466" s="774" t="s">
        <v>1075</v>
      </c>
      <c r="G466" s="13"/>
      <c r="H466" s="81"/>
      <c r="I466" s="71">
        <f t="shared" si="141"/>
        <v>0</v>
      </c>
      <c r="J466" s="48"/>
      <c r="K466" s="590" t="str">
        <f t="shared" si="154"/>
        <v>.1</v>
      </c>
      <c r="L466" s="579" t="s">
        <v>1996</v>
      </c>
      <c r="M466" s="74"/>
      <c r="N466" s="49"/>
      <c r="O466" s="592" t="str">
        <f t="shared" si="155"/>
        <v>.2</v>
      </c>
      <c r="P466" s="578" t="s">
        <v>1998</v>
      </c>
      <c r="Q466" s="74"/>
      <c r="R466" s="49"/>
      <c r="S466" s="592" t="str">
        <f t="shared" si="156"/>
        <v>.3</v>
      </c>
      <c r="T466" s="578" t="s">
        <v>2000</v>
      </c>
      <c r="U466" s="74"/>
      <c r="V466" s="766"/>
      <c r="W466" s="766"/>
      <c r="X466" s="171"/>
      <c r="Y466" s="745"/>
      <c r="Z466" s="741">
        <v>0</v>
      </c>
      <c r="AA466" s="592" t="str">
        <f t="shared" si="157"/>
        <v>.1</v>
      </c>
      <c r="AB466" s="739" t="s">
        <v>1996</v>
      </c>
      <c r="AC466" s="738">
        <v>0</v>
      </c>
      <c r="AD466" s="592" t="str">
        <f t="shared" si="158"/>
        <v>.2</v>
      </c>
      <c r="AE466" s="739" t="s">
        <v>1998</v>
      </c>
      <c r="AF466" s="738">
        <v>0</v>
      </c>
      <c r="AG466" s="592" t="str">
        <f t="shared" si="159"/>
        <v>.3</v>
      </c>
      <c r="AH466" s="739" t="s">
        <v>2000</v>
      </c>
      <c r="AI466" s="171"/>
    </row>
    <row r="467" spans="1:35" ht="15" customHeight="1" outlineLevel="2">
      <c r="A467" s="97"/>
      <c r="B467" s="97" t="s">
        <v>1075</v>
      </c>
      <c r="C467" s="97"/>
      <c r="D467" s="97"/>
      <c r="E467" s="97"/>
      <c r="F467" s="97" t="s">
        <v>1075</v>
      </c>
      <c r="G467" s="40" t="s">
        <v>235</v>
      </c>
      <c r="H467" s="78">
        <f>SUBTOTAL(9,H468:H469)</f>
        <v>3</v>
      </c>
      <c r="I467" s="68">
        <f t="shared" si="141"/>
        <v>3</v>
      </c>
      <c r="J467" s="55">
        <f>SUBTOTAL(9,J468)</f>
        <v>3</v>
      </c>
      <c r="K467" s="55"/>
      <c r="L467" s="55"/>
      <c r="M467" s="84"/>
      <c r="N467" s="56">
        <f>SUBTOTAL(9,N468)</f>
        <v>0</v>
      </c>
      <c r="O467" s="84"/>
      <c r="P467" s="84"/>
      <c r="Q467" s="84"/>
      <c r="R467" s="56">
        <f>SUBTOTAL(9,R468)</f>
        <v>0</v>
      </c>
      <c r="S467" s="84"/>
      <c r="T467" s="84"/>
      <c r="U467" s="84"/>
      <c r="V467" s="56">
        <f>SUBTOTAL(9,V468)</f>
        <v>0</v>
      </c>
      <c r="W467" s="56">
        <f>SUBTOTAL(9,W468)</f>
        <v>0</v>
      </c>
      <c r="X467" s="170"/>
      <c r="Y467" s="745"/>
      <c r="Z467" s="55">
        <f>SUBTOTAL(9,Z468)</f>
        <v>0</v>
      </c>
      <c r="AA467" s="84"/>
      <c r="AB467" s="84"/>
      <c r="AC467" s="56">
        <f>SUBTOTAL(9,AC468)</f>
        <v>0</v>
      </c>
      <c r="AD467" s="84"/>
      <c r="AE467" s="84"/>
      <c r="AF467" s="56">
        <f>SUBTOTAL(9,AF468)</f>
        <v>0</v>
      </c>
      <c r="AG467" s="84"/>
      <c r="AH467" s="84"/>
      <c r="AI467" s="170"/>
    </row>
    <row r="468" spans="1:35" ht="15" customHeight="1" outlineLevel="3">
      <c r="A468" s="95">
        <v>47</v>
      </c>
      <c r="B468" s="95">
        <v>3451</v>
      </c>
      <c r="C468" s="95"/>
      <c r="D468" s="95"/>
      <c r="E468" s="93" t="s">
        <v>3072</v>
      </c>
      <c r="F468" s="93" t="s">
        <v>5171</v>
      </c>
      <c r="G468" s="13" t="s">
        <v>3030</v>
      </c>
      <c r="H468" s="583">
        <f>IFERROR(VLOOKUP(A468,'Colar QL'!A:C,3,0),0)</f>
        <v>3</v>
      </c>
      <c r="I468" s="69">
        <f t="shared" si="141"/>
        <v>3</v>
      </c>
      <c r="J468" s="771">
        <f>ROUND(J337*$U$5,0)</f>
        <v>3</v>
      </c>
      <c r="K468" s="590" t="str">
        <f>F468&amp;L468</f>
        <v>47.0284.1.2.17.00.01.039.01.07.59.1</v>
      </c>
      <c r="L468" s="771" t="s">
        <v>1996</v>
      </c>
      <c r="M468" s="772"/>
      <c r="N468" s="771">
        <f>ROUND(N337*$U$5,0)</f>
        <v>0</v>
      </c>
      <c r="O468" s="592" t="str">
        <f>F468&amp;P468</f>
        <v>47.0284.1.2.17.00.01.039.01.07.59.2</v>
      </c>
      <c r="P468" s="772" t="s">
        <v>1998</v>
      </c>
      <c r="Q468" s="772"/>
      <c r="R468" s="771">
        <f>ROUND(R337*AC5,0)</f>
        <v>0</v>
      </c>
      <c r="S468" s="592" t="str">
        <f>F468&amp;T468</f>
        <v>47.0284.1.2.17.00.01.039.01.07.59.3</v>
      </c>
      <c r="T468" s="772" t="s">
        <v>2000</v>
      </c>
      <c r="U468" s="772"/>
      <c r="V468" s="764"/>
      <c r="W468" s="764"/>
      <c r="X468" s="158"/>
      <c r="Y468" s="745"/>
      <c r="Z468" s="771">
        <v>0</v>
      </c>
      <c r="AA468" s="592" t="str">
        <f>F468&amp;AB468</f>
        <v>47.0284.1.2.17.00.01.039.01.07.59.1</v>
      </c>
      <c r="AB468" s="772" t="s">
        <v>1996</v>
      </c>
      <c r="AC468" s="770">
        <v>0</v>
      </c>
      <c r="AD468" s="592" t="str">
        <f>F468&amp;AE468</f>
        <v>47.0284.1.2.17.00.01.039.01.07.59.2</v>
      </c>
      <c r="AE468" s="772" t="s">
        <v>1998</v>
      </c>
      <c r="AF468" s="770">
        <f>ROUND(AF337*$U$5,0)</f>
        <v>0</v>
      </c>
      <c r="AG468" s="592" t="str">
        <f>F468&amp;AH468</f>
        <v>47.0284.1.2.17.00.01.039.01.07.59.3</v>
      </c>
      <c r="AH468" s="772" t="s">
        <v>2000</v>
      </c>
      <c r="AI468" s="158"/>
    </row>
    <row r="469" spans="1:35" ht="15" customHeight="1" outlineLevel="3">
      <c r="A469" s="95">
        <v>48</v>
      </c>
      <c r="B469" s="95" t="s">
        <v>1075</v>
      </c>
      <c r="C469" s="95"/>
      <c r="D469" s="95"/>
      <c r="E469" s="774"/>
      <c r="F469" s="774" t="s">
        <v>1075</v>
      </c>
      <c r="G469" s="13"/>
      <c r="H469" s="583"/>
      <c r="I469" s="71">
        <f t="shared" ref="I469:I532" si="160">IFERROR((J469+N469+R469),0)</f>
        <v>0</v>
      </c>
      <c r="J469" s="771"/>
      <c r="K469" s="590" t="str">
        <f>F469&amp;L469</f>
        <v>.1</v>
      </c>
      <c r="L469" s="771" t="s">
        <v>1996</v>
      </c>
      <c r="M469" s="772"/>
      <c r="N469" s="770"/>
      <c r="O469" s="592" t="str">
        <f>F469&amp;P469</f>
        <v>.2</v>
      </c>
      <c r="P469" s="772" t="s">
        <v>1998</v>
      </c>
      <c r="Q469" s="772"/>
      <c r="R469" s="770"/>
      <c r="S469" s="592" t="str">
        <f>F469&amp;T469</f>
        <v>.3</v>
      </c>
      <c r="T469" s="772" t="s">
        <v>2000</v>
      </c>
      <c r="U469" s="772"/>
      <c r="V469" s="766"/>
      <c r="W469" s="766"/>
      <c r="X469" s="171"/>
      <c r="Y469" s="745"/>
      <c r="Z469" s="771"/>
      <c r="AA469" s="592" t="str">
        <f>F469&amp;AB469</f>
        <v>.1</v>
      </c>
      <c r="AB469" s="772" t="s">
        <v>1996</v>
      </c>
      <c r="AC469" s="770"/>
      <c r="AD469" s="592" t="str">
        <f>F469&amp;AE469</f>
        <v>.2</v>
      </c>
      <c r="AE469" s="772" t="s">
        <v>1998</v>
      </c>
      <c r="AF469" s="770"/>
      <c r="AG469" s="592" t="str">
        <f>F469&amp;AH469</f>
        <v>.3</v>
      </c>
      <c r="AH469" s="772" t="s">
        <v>2000</v>
      </c>
      <c r="AI469" s="171"/>
    </row>
    <row r="470" spans="1:35" ht="15" customHeight="1" outlineLevel="3">
      <c r="A470" s="95"/>
      <c r="B470" s="95" t="s">
        <v>1075</v>
      </c>
      <c r="C470" s="95"/>
      <c r="D470" s="95"/>
      <c r="E470" s="774"/>
      <c r="F470" s="774" t="s">
        <v>1075</v>
      </c>
      <c r="G470" s="13"/>
      <c r="H470" s="81"/>
      <c r="I470" s="71">
        <f t="shared" si="160"/>
        <v>0</v>
      </c>
      <c r="J470" s="48"/>
      <c r="K470" s="579"/>
      <c r="L470" s="579"/>
      <c r="M470" s="74"/>
      <c r="N470" s="49"/>
      <c r="O470" s="578"/>
      <c r="P470" s="578"/>
      <c r="Q470" s="74"/>
      <c r="R470" s="49"/>
      <c r="S470" s="578"/>
      <c r="T470" s="578"/>
      <c r="U470" s="74"/>
      <c r="V470" s="766"/>
      <c r="W470" s="766"/>
      <c r="X470" s="171"/>
      <c r="Y470" s="745"/>
      <c r="Z470" s="741"/>
      <c r="AA470" s="739"/>
      <c r="AB470" s="739"/>
      <c r="AC470" s="738"/>
      <c r="AD470" s="739"/>
      <c r="AE470" s="739"/>
      <c r="AF470" s="738"/>
      <c r="AG470" s="739"/>
      <c r="AH470" s="739"/>
      <c r="AI470" s="171"/>
    </row>
    <row r="471" spans="1:35" ht="15" customHeight="1" outlineLevel="1">
      <c r="A471" s="98"/>
      <c r="B471" s="98" t="s">
        <v>1075</v>
      </c>
      <c r="C471" s="98"/>
      <c r="D471" s="98"/>
      <c r="E471" s="98"/>
      <c r="F471" s="98" t="s">
        <v>1075</v>
      </c>
      <c r="G471" s="35" t="s">
        <v>107</v>
      </c>
      <c r="H471" s="77">
        <f>SUBTOTAL(9,H472:H566)</f>
        <v>12</v>
      </c>
      <c r="I471" s="67">
        <f t="shared" si="160"/>
        <v>13</v>
      </c>
      <c r="J471" s="54">
        <f>SUBTOTAL(9,J472:J566)</f>
        <v>13</v>
      </c>
      <c r="K471" s="54"/>
      <c r="L471" s="54"/>
      <c r="M471" s="85"/>
      <c r="N471" s="54">
        <f>SUBTOTAL(9,N472:N566)</f>
        <v>0</v>
      </c>
      <c r="O471" s="90"/>
      <c r="P471" s="90"/>
      <c r="Q471" s="85"/>
      <c r="R471" s="54">
        <f>SUBTOTAL(9,R472:R566)</f>
        <v>0</v>
      </c>
      <c r="S471" s="90"/>
      <c r="T471" s="90"/>
      <c r="U471" s="85"/>
      <c r="V471" s="54">
        <f>SUBTOTAL(9,V472:V566)</f>
        <v>0</v>
      </c>
      <c r="W471" s="54">
        <f>SUBTOTAL(9,W472:W566)</f>
        <v>0</v>
      </c>
      <c r="X471" s="780"/>
      <c r="Y471" s="745"/>
      <c r="Z471" s="54">
        <f>SUBTOTAL(9,Z472:Z566)</f>
        <v>0</v>
      </c>
      <c r="AA471" s="90"/>
      <c r="AB471" s="90"/>
      <c r="AC471" s="54">
        <f>SUBTOTAL(9,AC472:AC566)</f>
        <v>0</v>
      </c>
      <c r="AD471" s="90"/>
      <c r="AE471" s="90"/>
      <c r="AF471" s="54">
        <f>SUBTOTAL(9,AF472:AF566)</f>
        <v>0</v>
      </c>
      <c r="AG471" s="90"/>
      <c r="AH471" s="90"/>
      <c r="AI471" s="169"/>
    </row>
    <row r="472" spans="1:35" ht="15" customHeight="1" outlineLevel="2">
      <c r="A472" s="97"/>
      <c r="B472" s="97" t="s">
        <v>1075</v>
      </c>
      <c r="C472" s="97"/>
      <c r="D472" s="97"/>
      <c r="E472" s="97"/>
      <c r="F472" s="97" t="s">
        <v>1075</v>
      </c>
      <c r="G472" s="40" t="s">
        <v>714</v>
      </c>
      <c r="H472" s="78">
        <f>SUBTOTAL(9,H473:H562)</f>
        <v>11</v>
      </c>
      <c r="I472" s="68">
        <f t="shared" si="160"/>
        <v>12</v>
      </c>
      <c r="J472" s="61">
        <f>SUBTOTAL(9,J473:J562)</f>
        <v>12</v>
      </c>
      <c r="K472" s="61"/>
      <c r="L472" s="61"/>
      <c r="M472" s="84"/>
      <c r="N472" s="61">
        <f>SUBTOTAL(9,N473:N562)</f>
        <v>0</v>
      </c>
      <c r="O472" s="91"/>
      <c r="P472" s="91"/>
      <c r="Q472" s="84"/>
      <c r="R472" s="61">
        <f>SUBTOTAL(9,R473:R562)</f>
        <v>0</v>
      </c>
      <c r="S472" s="91"/>
      <c r="T472" s="91"/>
      <c r="U472" s="84"/>
      <c r="V472" s="61">
        <f>SUBTOTAL(9,V473:V562)</f>
        <v>0</v>
      </c>
      <c r="W472" s="61">
        <f>SUBTOTAL(9,W473:W562)</f>
        <v>0</v>
      </c>
      <c r="X472" s="170"/>
      <c r="Y472" s="745"/>
      <c r="Z472" s="61">
        <f>SUBTOTAL(9,Z473:Z562)</f>
        <v>0</v>
      </c>
      <c r="AA472" s="91"/>
      <c r="AB472" s="91"/>
      <c r="AC472" s="61">
        <f>SUBTOTAL(9,AC473:AC562)</f>
        <v>0</v>
      </c>
      <c r="AD472" s="91"/>
      <c r="AE472" s="91"/>
      <c r="AF472" s="61">
        <f>SUBTOTAL(9,AF473:AF562)</f>
        <v>0</v>
      </c>
      <c r="AG472" s="91"/>
      <c r="AH472" s="91"/>
      <c r="AI472" s="170"/>
    </row>
    <row r="473" spans="1:35" ht="15" customHeight="1" outlineLevel="3">
      <c r="A473" s="104"/>
      <c r="B473" s="104" t="s">
        <v>1075</v>
      </c>
      <c r="C473" s="104"/>
      <c r="D473" s="104"/>
      <c r="E473" s="104"/>
      <c r="F473" s="104" t="s">
        <v>1075</v>
      </c>
      <c r="G473" s="42" t="s">
        <v>249</v>
      </c>
      <c r="H473" s="83">
        <f>SUBTOTAL(9,H474:H501)</f>
        <v>8</v>
      </c>
      <c r="I473" s="73">
        <f t="shared" si="160"/>
        <v>10</v>
      </c>
      <c r="J473" s="61">
        <f>SUBTOTAL(9,J474:J501)</f>
        <v>10</v>
      </c>
      <c r="K473" s="61"/>
      <c r="L473" s="61"/>
      <c r="M473" s="787"/>
      <c r="N473" s="61">
        <f>SUBTOTAL(9,N474:N501)</f>
        <v>0</v>
      </c>
      <c r="O473" s="588"/>
      <c r="P473" s="588"/>
      <c r="Q473" s="89"/>
      <c r="R473" s="61">
        <f>SUBTOTAL(9,R474:R501)</f>
        <v>0</v>
      </c>
      <c r="S473" s="588"/>
      <c r="T473" s="588"/>
      <c r="U473" s="89"/>
      <c r="V473" s="61">
        <f>SUBTOTAL(9,V474:V501)</f>
        <v>0</v>
      </c>
      <c r="W473" s="61">
        <f>SUBTOTAL(9,W474:W501)</f>
        <v>0</v>
      </c>
      <c r="X473" s="173"/>
      <c r="Y473" s="746"/>
      <c r="Z473" s="61">
        <f>SUBTOTAL(9,Z474:Z501)</f>
        <v>0</v>
      </c>
      <c r="AA473" s="588"/>
      <c r="AB473" s="588"/>
      <c r="AC473" s="61">
        <f>SUBTOTAL(9,AC474:AC501)</f>
        <v>0</v>
      </c>
      <c r="AD473" s="588"/>
      <c r="AE473" s="588"/>
      <c r="AF473" s="61">
        <f>SUBTOTAL(9,AF474:AF501)</f>
        <v>0</v>
      </c>
      <c r="AG473" s="588"/>
      <c r="AH473" s="588"/>
      <c r="AI473" s="173"/>
    </row>
    <row r="474" spans="1:35" ht="15" customHeight="1" outlineLevel="4">
      <c r="A474" s="93">
        <v>209000</v>
      </c>
      <c r="B474" s="93">
        <v>3450</v>
      </c>
      <c r="C474" s="93"/>
      <c r="D474" s="93"/>
      <c r="E474" s="93" t="s">
        <v>3061</v>
      </c>
      <c r="F474" s="93" t="s">
        <v>5164</v>
      </c>
      <c r="G474" s="37" t="s">
        <v>108</v>
      </c>
      <c r="H474" s="583">
        <f>IFERROR(VLOOKUP(A474,'Colar QL'!A:C,3,0),0)</f>
        <v>0</v>
      </c>
      <c r="I474" s="69">
        <f t="shared" si="160"/>
        <v>0</v>
      </c>
      <c r="J474" s="258">
        <f>'BD Temp'!E704</f>
        <v>0</v>
      </c>
      <c r="K474" s="590" t="str">
        <f t="shared" ref="K474:K501" si="161">F474&amp;L474</f>
        <v>47.0284.1.2.17.00.01.039.01.08.05.1</v>
      </c>
      <c r="L474" s="579" t="s">
        <v>1996</v>
      </c>
      <c r="M474" s="256" t="str">
        <f>'BD Temp'!F704</f>
        <v>-</v>
      </c>
      <c r="N474" s="255">
        <f>'BD Temp'!J704</f>
        <v>0</v>
      </c>
      <c r="O474" s="592" t="str">
        <f t="shared" ref="O474:O501" si="162">F474&amp;P474</f>
        <v>47.0284.1.2.17.00.01.039.01.08.05.2</v>
      </c>
      <c r="P474" s="578" t="s">
        <v>1998</v>
      </c>
      <c r="Q474" s="256" t="str">
        <f>'BD Temp'!K704</f>
        <v>-</v>
      </c>
      <c r="R474" s="255">
        <f>'BD Temp'!O704</f>
        <v>0</v>
      </c>
      <c r="S474" s="592" t="str">
        <f t="shared" ref="S474:S501" si="163">F474&amp;T474</f>
        <v>47.0284.1.2.17.00.01.039.01.08.05.3</v>
      </c>
      <c r="T474" s="578" t="s">
        <v>2000</v>
      </c>
      <c r="U474" s="256" t="str">
        <f>'BD Temp'!P704</f>
        <v>-</v>
      </c>
      <c r="V474" s="764"/>
      <c r="W474" s="767"/>
      <c r="X474" s="207"/>
      <c r="Y474" s="747"/>
      <c r="Z474" s="741">
        <v>0</v>
      </c>
      <c r="AA474" s="592" t="str">
        <f t="shared" ref="AA474:AA501" si="164">F474&amp;AB474</f>
        <v>47.0284.1.2.17.00.01.039.01.08.05.1</v>
      </c>
      <c r="AB474" s="739" t="s">
        <v>1996</v>
      </c>
      <c r="AC474" s="738">
        <v>0</v>
      </c>
      <c r="AD474" s="592" t="str">
        <f t="shared" ref="AD474:AD501" si="165">F474&amp;AE474</f>
        <v>47.0284.1.2.17.00.01.039.01.08.05.2</v>
      </c>
      <c r="AE474" s="739" t="s">
        <v>1998</v>
      </c>
      <c r="AF474" s="738">
        <v>0</v>
      </c>
      <c r="AG474" s="592" t="str">
        <f t="shared" ref="AG474:AG501" si="166">F474&amp;AH474</f>
        <v>47.0284.1.2.17.00.01.039.01.08.05.3</v>
      </c>
      <c r="AH474" s="739" t="s">
        <v>2000</v>
      </c>
      <c r="AI474" s="207"/>
    </row>
    <row r="475" spans="1:35" ht="15" customHeight="1" outlineLevel="4">
      <c r="A475" s="93">
        <v>209005</v>
      </c>
      <c r="B475" s="93">
        <v>3450</v>
      </c>
      <c r="C475" s="93"/>
      <c r="D475" s="93"/>
      <c r="E475" s="93" t="s">
        <v>3065</v>
      </c>
      <c r="F475" s="93" t="s">
        <v>5189</v>
      </c>
      <c r="G475" s="37" t="s">
        <v>219</v>
      </c>
      <c r="H475" s="583">
        <f>IFERROR(VLOOKUP(A475,'Colar QL'!A:C,3,0),0)</f>
        <v>0</v>
      </c>
      <c r="I475" s="69">
        <f t="shared" si="160"/>
        <v>0</v>
      </c>
      <c r="J475" s="258">
        <f>'BD Temp'!E707</f>
        <v>0</v>
      </c>
      <c r="K475" s="590" t="str">
        <f t="shared" si="161"/>
        <v>47.0284.1.2.17.00.01.039.01.08.03.1</v>
      </c>
      <c r="L475" s="579" t="s">
        <v>1996</v>
      </c>
      <c r="M475" s="256" t="str">
        <f>'BD Temp'!F707</f>
        <v>-</v>
      </c>
      <c r="N475" s="255">
        <f>'BD Temp'!J707</f>
        <v>0</v>
      </c>
      <c r="O475" s="592" t="str">
        <f t="shared" si="162"/>
        <v>47.0284.1.2.17.00.01.039.01.08.03.2</v>
      </c>
      <c r="P475" s="578" t="s">
        <v>1998</v>
      </c>
      <c r="Q475" s="256" t="str">
        <f>'BD Temp'!K707</f>
        <v>-</v>
      </c>
      <c r="R475" s="255">
        <f>'BD Temp'!O707</f>
        <v>0</v>
      </c>
      <c r="S475" s="592" t="str">
        <f t="shared" si="163"/>
        <v>47.0284.1.2.17.00.01.039.01.08.03.3</v>
      </c>
      <c r="T475" s="578" t="s">
        <v>2000</v>
      </c>
      <c r="U475" s="256" t="str">
        <f>'BD Temp'!P707</f>
        <v>-</v>
      </c>
      <c r="V475" s="764"/>
      <c r="W475" s="767"/>
      <c r="X475" s="158"/>
      <c r="Y475" s="745"/>
      <c r="Z475" s="741">
        <v>0</v>
      </c>
      <c r="AA475" s="592" t="str">
        <f t="shared" si="164"/>
        <v>47.0284.1.2.17.00.01.039.01.08.03.1</v>
      </c>
      <c r="AB475" s="739" t="s">
        <v>1996</v>
      </c>
      <c r="AC475" s="738">
        <v>0</v>
      </c>
      <c r="AD475" s="592" t="str">
        <f t="shared" si="165"/>
        <v>47.0284.1.2.17.00.01.039.01.08.03.2</v>
      </c>
      <c r="AE475" s="739" t="s">
        <v>1998</v>
      </c>
      <c r="AF475" s="738">
        <v>0</v>
      </c>
      <c r="AG475" s="592" t="str">
        <f t="shared" si="166"/>
        <v>47.0284.1.2.17.00.01.039.01.08.03.3</v>
      </c>
      <c r="AH475" s="739" t="s">
        <v>2000</v>
      </c>
      <c r="AI475" s="158"/>
    </row>
    <row r="476" spans="1:35" s="123" customFormat="1" ht="15" customHeight="1" outlineLevel="4">
      <c r="A476" s="153">
        <v>209035</v>
      </c>
      <c r="B476" s="153">
        <v>3450</v>
      </c>
      <c r="C476" s="153"/>
      <c r="D476" s="153"/>
      <c r="E476" s="153" t="s">
        <v>3065</v>
      </c>
      <c r="F476" s="153" t="s">
        <v>5189</v>
      </c>
      <c r="G476" s="154" t="s">
        <v>110</v>
      </c>
      <c r="H476" s="583">
        <f>IFERROR(VLOOKUP(A476,'Colar QL'!A:C,3,0),0)</f>
        <v>1</v>
      </c>
      <c r="I476" s="69">
        <f t="shared" si="160"/>
        <v>0</v>
      </c>
      <c r="J476" s="258">
        <f>'BD Temp'!E708</f>
        <v>0</v>
      </c>
      <c r="K476" s="590" t="str">
        <f t="shared" si="161"/>
        <v>47.0284.1.2.17.00.01.039.01.08.03.1</v>
      </c>
      <c r="L476" s="579" t="s">
        <v>1996</v>
      </c>
      <c r="M476" s="256" t="str">
        <f>'BD Temp'!F708</f>
        <v>-</v>
      </c>
      <c r="N476" s="255">
        <f>'BD Temp'!J708</f>
        <v>0</v>
      </c>
      <c r="O476" s="592" t="str">
        <f t="shared" si="162"/>
        <v>47.0284.1.2.17.00.01.039.01.08.03.2</v>
      </c>
      <c r="P476" s="578" t="s">
        <v>1998</v>
      </c>
      <c r="Q476" s="256" t="str">
        <f>'BD Temp'!K708</f>
        <v>-</v>
      </c>
      <c r="R476" s="255">
        <f>'BD Temp'!O708</f>
        <v>0</v>
      </c>
      <c r="S476" s="592" t="str">
        <f t="shared" si="163"/>
        <v>47.0284.1.2.17.00.01.039.01.08.03.3</v>
      </c>
      <c r="T476" s="578" t="s">
        <v>2000</v>
      </c>
      <c r="U476" s="256" t="str">
        <f>'BD Temp'!P708</f>
        <v>-</v>
      </c>
      <c r="V476" s="764"/>
      <c r="W476" s="767"/>
      <c r="X476" s="206"/>
      <c r="Y476" s="748"/>
      <c r="Z476" s="777">
        <v>0</v>
      </c>
      <c r="AA476" s="778" t="str">
        <f t="shared" si="164"/>
        <v>47.0284.1.2.17.00.01.039.01.08.03.1</v>
      </c>
      <c r="AB476" s="618" t="s">
        <v>1996</v>
      </c>
      <c r="AC476" s="617">
        <v>0</v>
      </c>
      <c r="AD476" s="778" t="str">
        <f t="shared" si="165"/>
        <v>47.0284.1.2.17.00.01.039.01.08.03.2</v>
      </c>
      <c r="AE476" s="618" t="s">
        <v>1998</v>
      </c>
      <c r="AF476" s="617">
        <v>0</v>
      </c>
      <c r="AG476" s="778" t="str">
        <f t="shared" si="166"/>
        <v>47.0284.1.2.17.00.01.039.01.08.03.3</v>
      </c>
      <c r="AH476" s="618" t="s">
        <v>2000</v>
      </c>
      <c r="AI476" s="779" t="s">
        <v>3077</v>
      </c>
    </row>
    <row r="477" spans="1:35" s="123" customFormat="1" ht="15" customHeight="1" outlineLevel="4">
      <c r="A477" s="153">
        <v>209040</v>
      </c>
      <c r="B477" s="153">
        <v>3450</v>
      </c>
      <c r="C477" s="153"/>
      <c r="D477" s="153"/>
      <c r="E477" s="153" t="s">
        <v>3065</v>
      </c>
      <c r="F477" s="153" t="s">
        <v>5189</v>
      </c>
      <c r="G477" s="154" t="s">
        <v>672</v>
      </c>
      <c r="H477" s="583">
        <f>IFERROR(VLOOKUP(A477,'Colar QL'!A:C,3,0),0)</f>
        <v>0</v>
      </c>
      <c r="I477" s="69">
        <f t="shared" si="160"/>
        <v>0</v>
      </c>
      <c r="J477" s="258">
        <f>'BD Temp'!E709</f>
        <v>0</v>
      </c>
      <c r="K477" s="590" t="str">
        <f t="shared" si="161"/>
        <v>47.0284.1.2.17.00.01.039.01.08.03.1</v>
      </c>
      <c r="L477" s="579" t="s">
        <v>1996</v>
      </c>
      <c r="M477" s="256" t="str">
        <f>'BD Temp'!F709</f>
        <v>-</v>
      </c>
      <c r="N477" s="255">
        <f>'BD Temp'!J709</f>
        <v>0</v>
      </c>
      <c r="O477" s="592" t="str">
        <f t="shared" si="162"/>
        <v>47.0284.1.2.17.00.01.039.01.08.03.2</v>
      </c>
      <c r="P477" s="578" t="s">
        <v>1998</v>
      </c>
      <c r="Q477" s="256" t="str">
        <f>'BD Temp'!K709</f>
        <v>-</v>
      </c>
      <c r="R477" s="255">
        <f>'BD Temp'!O709</f>
        <v>0</v>
      </c>
      <c r="S477" s="592" t="str">
        <f t="shared" si="163"/>
        <v>47.0284.1.2.17.00.01.039.01.08.03.3</v>
      </c>
      <c r="T477" s="578" t="s">
        <v>2000</v>
      </c>
      <c r="U477" s="256" t="str">
        <f>'BD Temp'!P709</f>
        <v>-</v>
      </c>
      <c r="V477" s="764"/>
      <c r="W477" s="767"/>
      <c r="X477" s="206"/>
      <c r="Y477" s="745"/>
      <c r="Z477" s="741">
        <v>0</v>
      </c>
      <c r="AA477" s="592" t="str">
        <f t="shared" si="164"/>
        <v>47.0284.1.2.17.00.01.039.01.08.03.1</v>
      </c>
      <c r="AB477" s="739" t="s">
        <v>1996</v>
      </c>
      <c r="AC477" s="738">
        <v>0</v>
      </c>
      <c r="AD477" s="592" t="str">
        <f t="shared" si="165"/>
        <v>47.0284.1.2.17.00.01.039.01.08.03.2</v>
      </c>
      <c r="AE477" s="739" t="s">
        <v>1998</v>
      </c>
      <c r="AF477" s="738">
        <v>0</v>
      </c>
      <c r="AG477" s="592" t="str">
        <f t="shared" si="166"/>
        <v>47.0284.1.2.17.00.01.039.01.08.03.3</v>
      </c>
      <c r="AH477" s="739" t="s">
        <v>2000</v>
      </c>
      <c r="AI477" s="375"/>
    </row>
    <row r="478" spans="1:35" s="123" customFormat="1" ht="15" customHeight="1" outlineLevel="4">
      <c r="A478" s="153">
        <v>209050</v>
      </c>
      <c r="B478" s="153">
        <v>3450</v>
      </c>
      <c r="C478" s="153"/>
      <c r="D478" s="153"/>
      <c r="E478" s="153" t="s">
        <v>3061</v>
      </c>
      <c r="F478" s="153" t="s">
        <v>5164</v>
      </c>
      <c r="G478" s="154" t="s">
        <v>111</v>
      </c>
      <c r="H478" s="583">
        <f>IFERROR(VLOOKUP(A478,'Colar QL'!A:C,3,0),0)</f>
        <v>0</v>
      </c>
      <c r="I478" s="69">
        <f t="shared" si="160"/>
        <v>0</v>
      </c>
      <c r="J478" s="258">
        <v>0</v>
      </c>
      <c r="K478" s="590" t="str">
        <f t="shared" si="161"/>
        <v>47.0284.1.2.17.00.01.039.01.08.05.1</v>
      </c>
      <c r="L478" s="579" t="s">
        <v>1996</v>
      </c>
      <c r="M478" s="256" t="str">
        <f>'BD Temp'!F710</f>
        <v>-</v>
      </c>
      <c r="N478" s="255">
        <f>'BD Temp'!J710</f>
        <v>0</v>
      </c>
      <c r="O478" s="592" t="str">
        <f t="shared" si="162"/>
        <v>47.0284.1.2.17.00.01.039.01.08.05.2</v>
      </c>
      <c r="P478" s="578" t="s">
        <v>1998</v>
      </c>
      <c r="Q478" s="256" t="str">
        <f>'BD Temp'!K710</f>
        <v>-</v>
      </c>
      <c r="R478" s="255">
        <f>'BD Temp'!O710</f>
        <v>0</v>
      </c>
      <c r="S478" s="592" t="str">
        <f t="shared" si="163"/>
        <v>47.0284.1.2.17.00.01.039.01.08.05.3</v>
      </c>
      <c r="T478" s="578" t="s">
        <v>2000</v>
      </c>
      <c r="U478" s="256" t="str">
        <f>'BD Temp'!P710</f>
        <v>-</v>
      </c>
      <c r="V478" s="764"/>
      <c r="W478" s="767"/>
      <c r="X478" s="206"/>
      <c r="Y478" s="745"/>
      <c r="Z478" s="741">
        <v>0</v>
      </c>
      <c r="AA478" s="592" t="str">
        <f t="shared" si="164"/>
        <v>47.0284.1.2.17.00.01.039.01.08.05.1</v>
      </c>
      <c r="AB478" s="739" t="s">
        <v>1996</v>
      </c>
      <c r="AC478" s="738">
        <v>0</v>
      </c>
      <c r="AD478" s="592" t="str">
        <f t="shared" si="165"/>
        <v>47.0284.1.2.17.00.01.039.01.08.05.2</v>
      </c>
      <c r="AE478" s="739" t="s">
        <v>1998</v>
      </c>
      <c r="AF478" s="738">
        <v>0</v>
      </c>
      <c r="AG478" s="592" t="str">
        <f t="shared" si="166"/>
        <v>47.0284.1.2.17.00.01.039.01.08.05.3</v>
      </c>
      <c r="AH478" s="739" t="s">
        <v>2000</v>
      </c>
      <c r="AI478" s="375"/>
    </row>
    <row r="479" spans="1:35" ht="15" customHeight="1" outlineLevel="4">
      <c r="A479" s="93">
        <v>209060</v>
      </c>
      <c r="B479" s="93">
        <v>3450</v>
      </c>
      <c r="C479" s="93"/>
      <c r="D479" s="93"/>
      <c r="E479" s="93" t="s">
        <v>3061</v>
      </c>
      <c r="F479" s="93" t="s">
        <v>5164</v>
      </c>
      <c r="G479" s="37" t="s">
        <v>251</v>
      </c>
      <c r="H479" s="583">
        <f>IFERROR(VLOOKUP(A479,'Colar QL'!A:C,3,0),0)</f>
        <v>0</v>
      </c>
      <c r="I479" s="69">
        <f t="shared" si="160"/>
        <v>0</v>
      </c>
      <c r="J479" s="258">
        <f>'BD Temp'!E711</f>
        <v>0</v>
      </c>
      <c r="K479" s="590" t="str">
        <f t="shared" si="161"/>
        <v>47.0284.1.2.17.00.01.039.01.08.05.1</v>
      </c>
      <c r="L479" s="579" t="s">
        <v>1996</v>
      </c>
      <c r="M479" s="256" t="str">
        <f>'BD Temp'!F711</f>
        <v>-</v>
      </c>
      <c r="N479" s="255">
        <f>'BD Temp'!J711</f>
        <v>0</v>
      </c>
      <c r="O479" s="592" t="str">
        <f t="shared" si="162"/>
        <v>47.0284.1.2.17.00.01.039.01.08.05.2</v>
      </c>
      <c r="P479" s="578" t="s">
        <v>1998</v>
      </c>
      <c r="Q479" s="256" t="str">
        <f>'BD Temp'!K711</f>
        <v>-</v>
      </c>
      <c r="R479" s="255">
        <f>'BD Temp'!O711</f>
        <v>0</v>
      </c>
      <c r="S479" s="592" t="str">
        <f t="shared" si="163"/>
        <v>47.0284.1.2.17.00.01.039.01.08.05.3</v>
      </c>
      <c r="T479" s="578" t="s">
        <v>2000</v>
      </c>
      <c r="U479" s="256" t="str">
        <f>'BD Temp'!P711</f>
        <v>-</v>
      </c>
      <c r="V479" s="764"/>
      <c r="W479" s="767"/>
      <c r="X479" s="158"/>
      <c r="Y479" s="745"/>
      <c r="Z479" s="741">
        <v>0</v>
      </c>
      <c r="AA479" s="592" t="str">
        <f t="shared" si="164"/>
        <v>47.0284.1.2.17.00.01.039.01.08.05.1</v>
      </c>
      <c r="AB479" s="739" t="s">
        <v>1996</v>
      </c>
      <c r="AC479" s="738">
        <v>0</v>
      </c>
      <c r="AD479" s="592" t="str">
        <f t="shared" si="165"/>
        <v>47.0284.1.2.17.00.01.039.01.08.05.2</v>
      </c>
      <c r="AE479" s="739" t="s">
        <v>1998</v>
      </c>
      <c r="AF479" s="738">
        <v>0</v>
      </c>
      <c r="AG479" s="592" t="str">
        <f t="shared" si="166"/>
        <v>47.0284.1.2.17.00.01.039.01.08.05.3</v>
      </c>
      <c r="AH479" s="739" t="s">
        <v>2000</v>
      </c>
      <c r="AI479" s="158"/>
    </row>
    <row r="480" spans="1:35" ht="15" customHeight="1" outlineLevel="4">
      <c r="A480" s="93">
        <v>209030</v>
      </c>
      <c r="B480" s="93">
        <v>3450</v>
      </c>
      <c r="C480" s="93"/>
      <c r="D480" s="93"/>
      <c r="E480" s="93" t="s">
        <v>3061</v>
      </c>
      <c r="F480" s="93" t="s">
        <v>5164</v>
      </c>
      <c r="G480" s="37" t="s">
        <v>112</v>
      </c>
      <c r="H480" s="583">
        <f>IFERROR(VLOOKUP(A480,'Colar QL'!A:C,3,0),0)</f>
        <v>0</v>
      </c>
      <c r="I480" s="69">
        <f t="shared" si="160"/>
        <v>0</v>
      </c>
      <c r="J480" s="258">
        <f>'BD Temp'!E712</f>
        <v>0</v>
      </c>
      <c r="K480" s="590" t="str">
        <f t="shared" si="161"/>
        <v>47.0284.1.2.17.00.01.039.01.08.05.1</v>
      </c>
      <c r="L480" s="579" t="s">
        <v>1996</v>
      </c>
      <c r="M480" s="256">
        <f>'BD Temp'!F712</f>
        <v>0</v>
      </c>
      <c r="N480" s="255">
        <f>'BD Temp'!J712</f>
        <v>0</v>
      </c>
      <c r="O480" s="592" t="str">
        <f t="shared" si="162"/>
        <v>47.0284.1.2.17.00.01.039.01.08.05.2</v>
      </c>
      <c r="P480" s="578" t="s">
        <v>1998</v>
      </c>
      <c r="Q480" s="256">
        <f>'BD Temp'!K712</f>
        <v>0</v>
      </c>
      <c r="R480" s="255">
        <f>'BD Temp'!O712</f>
        <v>0</v>
      </c>
      <c r="S480" s="592" t="str">
        <f t="shared" si="163"/>
        <v>47.0284.1.2.17.00.01.039.01.08.05.3</v>
      </c>
      <c r="T480" s="578" t="s">
        <v>2000</v>
      </c>
      <c r="U480" s="256">
        <f>'BD Temp'!P712</f>
        <v>0</v>
      </c>
      <c r="V480" s="764"/>
      <c r="W480" s="767"/>
      <c r="X480" s="158" t="s">
        <v>2878</v>
      </c>
      <c r="Y480" s="745"/>
      <c r="Z480" s="741">
        <v>0</v>
      </c>
      <c r="AA480" s="592" t="str">
        <f t="shared" si="164"/>
        <v>47.0284.1.2.17.00.01.039.01.08.05.1</v>
      </c>
      <c r="AB480" s="739" t="s">
        <v>1996</v>
      </c>
      <c r="AC480" s="738">
        <v>0</v>
      </c>
      <c r="AD480" s="592" t="str">
        <f t="shared" si="165"/>
        <v>47.0284.1.2.17.00.01.039.01.08.05.2</v>
      </c>
      <c r="AE480" s="739" t="s">
        <v>1998</v>
      </c>
      <c r="AF480" s="738">
        <v>0</v>
      </c>
      <c r="AG480" s="592" t="str">
        <f t="shared" si="166"/>
        <v>47.0284.1.2.17.00.01.039.01.08.05.3</v>
      </c>
      <c r="AH480" s="739" t="s">
        <v>2000</v>
      </c>
      <c r="AI480" s="158"/>
    </row>
    <row r="481" spans="1:35" ht="15" customHeight="1" outlineLevel="4">
      <c r="A481" s="93">
        <v>209065</v>
      </c>
      <c r="B481" s="93">
        <v>3450</v>
      </c>
      <c r="C481" s="93"/>
      <c r="D481" s="93"/>
      <c r="E481" s="93" t="s">
        <v>3062</v>
      </c>
      <c r="F481" s="93" t="s">
        <v>5166</v>
      </c>
      <c r="G481" s="37" t="s">
        <v>113</v>
      </c>
      <c r="H481" s="583">
        <f>IFERROR(VLOOKUP(A481,'Colar QL'!A:C,3,0),0)</f>
        <v>0</v>
      </c>
      <c r="I481" s="69">
        <f t="shared" si="160"/>
        <v>0</v>
      </c>
      <c r="J481" s="258">
        <f>'BD Temp'!E722</f>
        <v>0</v>
      </c>
      <c r="K481" s="590" t="str">
        <f t="shared" si="161"/>
        <v>47.0284.1.2.17.00.01.039.01.08.08.1</v>
      </c>
      <c r="L481" s="579" t="s">
        <v>1996</v>
      </c>
      <c r="M481" s="256" t="str">
        <f>'BD Temp'!F722</f>
        <v>-</v>
      </c>
      <c r="N481" s="255">
        <f>'BD Temp'!J722</f>
        <v>0</v>
      </c>
      <c r="O481" s="592" t="str">
        <f t="shared" si="162"/>
        <v>47.0284.1.2.17.00.01.039.01.08.08.2</v>
      </c>
      <c r="P481" s="578" t="s">
        <v>1998</v>
      </c>
      <c r="Q481" s="256" t="str">
        <f>'BD Temp'!K722</f>
        <v>-</v>
      </c>
      <c r="R481" s="255">
        <f>'BD Temp'!O722</f>
        <v>0</v>
      </c>
      <c r="S481" s="592" t="str">
        <f t="shared" si="163"/>
        <v>47.0284.1.2.17.00.01.039.01.08.08.3</v>
      </c>
      <c r="T481" s="578" t="s">
        <v>2000</v>
      </c>
      <c r="U481" s="256" t="str">
        <f>'BD Temp'!P722</f>
        <v>-</v>
      </c>
      <c r="V481" s="764"/>
      <c r="W481" s="767"/>
      <c r="X481" s="158"/>
      <c r="Y481" s="745"/>
      <c r="Z481" s="741">
        <v>0</v>
      </c>
      <c r="AA481" s="592" t="str">
        <f t="shared" si="164"/>
        <v>47.0284.1.2.17.00.01.039.01.08.08.1</v>
      </c>
      <c r="AB481" s="739" t="s">
        <v>1996</v>
      </c>
      <c r="AC481" s="738">
        <v>0</v>
      </c>
      <c r="AD481" s="592" t="str">
        <f t="shared" si="165"/>
        <v>47.0284.1.2.17.00.01.039.01.08.08.2</v>
      </c>
      <c r="AE481" s="739" t="s">
        <v>1998</v>
      </c>
      <c r="AF481" s="738">
        <v>0</v>
      </c>
      <c r="AG481" s="592" t="str">
        <f t="shared" si="166"/>
        <v>47.0284.1.2.17.00.01.039.01.08.08.3</v>
      </c>
      <c r="AH481" s="739" t="s">
        <v>2000</v>
      </c>
      <c r="AI481" s="158"/>
    </row>
    <row r="482" spans="1:35" ht="15" customHeight="1" outlineLevel="4">
      <c r="A482" s="93">
        <v>209070</v>
      </c>
      <c r="B482" s="93">
        <v>3450</v>
      </c>
      <c r="C482" s="93"/>
      <c r="D482" s="93"/>
      <c r="E482" s="93" t="s">
        <v>3062</v>
      </c>
      <c r="F482" s="93" t="s">
        <v>5166</v>
      </c>
      <c r="G482" s="37" t="s">
        <v>114</v>
      </c>
      <c r="H482" s="583">
        <f>IFERROR(VLOOKUP(A482,'Colar QL'!A:C,3,0),0)</f>
        <v>0</v>
      </c>
      <c r="I482" s="69">
        <f t="shared" si="160"/>
        <v>0</v>
      </c>
      <c r="J482" s="258">
        <f>'BD Temp'!E726</f>
        <v>0</v>
      </c>
      <c r="K482" s="590" t="str">
        <f t="shared" si="161"/>
        <v>47.0284.1.2.17.00.01.039.01.08.08.1</v>
      </c>
      <c r="L482" s="579" t="s">
        <v>1996</v>
      </c>
      <c r="M482" s="256" t="str">
        <f>'BD Temp'!F726</f>
        <v>-</v>
      </c>
      <c r="N482" s="255">
        <f>'BD Temp'!J726</f>
        <v>0</v>
      </c>
      <c r="O482" s="592" t="str">
        <f t="shared" si="162"/>
        <v>47.0284.1.2.17.00.01.039.01.08.08.2</v>
      </c>
      <c r="P482" s="578" t="s">
        <v>1998</v>
      </c>
      <c r="Q482" s="256" t="str">
        <f>'BD Temp'!K726</f>
        <v>-</v>
      </c>
      <c r="R482" s="255">
        <f>'BD Temp'!O726</f>
        <v>0</v>
      </c>
      <c r="S482" s="592" t="str">
        <f t="shared" si="163"/>
        <v>47.0284.1.2.17.00.01.039.01.08.08.3</v>
      </c>
      <c r="T482" s="578" t="s">
        <v>2000</v>
      </c>
      <c r="U482" s="256" t="str">
        <f>'BD Temp'!P726</f>
        <v>-</v>
      </c>
      <c r="V482" s="764"/>
      <c r="W482" s="767"/>
      <c r="X482" s="158"/>
      <c r="Y482" s="745"/>
      <c r="Z482" s="741">
        <v>0</v>
      </c>
      <c r="AA482" s="592" t="str">
        <f t="shared" si="164"/>
        <v>47.0284.1.2.17.00.01.039.01.08.08.1</v>
      </c>
      <c r="AB482" s="739" t="s">
        <v>1996</v>
      </c>
      <c r="AC482" s="738">
        <v>0</v>
      </c>
      <c r="AD482" s="592" t="str">
        <f t="shared" si="165"/>
        <v>47.0284.1.2.17.00.01.039.01.08.08.2</v>
      </c>
      <c r="AE482" s="739" t="s">
        <v>1998</v>
      </c>
      <c r="AF482" s="738">
        <v>0</v>
      </c>
      <c r="AG482" s="592" t="str">
        <f t="shared" si="166"/>
        <v>47.0284.1.2.17.00.01.039.01.08.08.3</v>
      </c>
      <c r="AH482" s="739" t="s">
        <v>2000</v>
      </c>
      <c r="AI482" s="158"/>
    </row>
    <row r="483" spans="1:35" ht="15" customHeight="1" outlineLevel="4">
      <c r="A483" s="93">
        <v>209075</v>
      </c>
      <c r="B483" s="93">
        <v>3450</v>
      </c>
      <c r="C483" s="93"/>
      <c r="D483" s="93"/>
      <c r="E483" s="93" t="s">
        <v>3062</v>
      </c>
      <c r="F483" s="93" t="s">
        <v>5166</v>
      </c>
      <c r="G483" s="37" t="s">
        <v>115</v>
      </c>
      <c r="H483" s="583">
        <f>IFERROR(VLOOKUP(A483,'Colar QL'!A:C,3,0),0)</f>
        <v>0</v>
      </c>
      <c r="I483" s="69">
        <f t="shared" si="160"/>
        <v>0</v>
      </c>
      <c r="J483" s="258">
        <f>'BD Temp'!E727</f>
        <v>0</v>
      </c>
      <c r="K483" s="590" t="str">
        <f t="shared" si="161"/>
        <v>47.0284.1.2.17.00.01.039.01.08.08.1</v>
      </c>
      <c r="L483" s="579" t="s">
        <v>1996</v>
      </c>
      <c r="M483" s="256" t="str">
        <f>'BD Temp'!F727</f>
        <v>-</v>
      </c>
      <c r="N483" s="255">
        <f>'BD Temp'!J727</f>
        <v>0</v>
      </c>
      <c r="O483" s="592" t="str">
        <f t="shared" si="162"/>
        <v>47.0284.1.2.17.00.01.039.01.08.08.2</v>
      </c>
      <c r="P483" s="578" t="s">
        <v>1998</v>
      </c>
      <c r="Q483" s="256" t="str">
        <f>'BD Temp'!K727</f>
        <v>-</v>
      </c>
      <c r="R483" s="255">
        <f>'BD Temp'!O727</f>
        <v>0</v>
      </c>
      <c r="S483" s="592" t="str">
        <f t="shared" si="163"/>
        <v>47.0284.1.2.17.00.01.039.01.08.08.3</v>
      </c>
      <c r="T483" s="578" t="s">
        <v>2000</v>
      </c>
      <c r="U483" s="256" t="str">
        <f>'BD Temp'!P727</f>
        <v>-</v>
      </c>
      <c r="V483" s="764"/>
      <c r="W483" s="767"/>
      <c r="X483" s="158"/>
      <c r="Y483" s="745"/>
      <c r="Z483" s="741">
        <v>0</v>
      </c>
      <c r="AA483" s="592" t="str">
        <f t="shared" si="164"/>
        <v>47.0284.1.2.17.00.01.039.01.08.08.1</v>
      </c>
      <c r="AB483" s="739" t="s">
        <v>1996</v>
      </c>
      <c r="AC483" s="738">
        <v>0</v>
      </c>
      <c r="AD483" s="592" t="str">
        <f t="shared" si="165"/>
        <v>47.0284.1.2.17.00.01.039.01.08.08.2</v>
      </c>
      <c r="AE483" s="739" t="s">
        <v>1998</v>
      </c>
      <c r="AF483" s="738">
        <v>0</v>
      </c>
      <c r="AG483" s="592" t="str">
        <f t="shared" si="166"/>
        <v>47.0284.1.2.17.00.01.039.01.08.08.3</v>
      </c>
      <c r="AH483" s="739" t="s">
        <v>2000</v>
      </c>
      <c r="AI483" s="158"/>
    </row>
    <row r="484" spans="1:35" ht="15" customHeight="1" outlineLevel="4">
      <c r="A484" s="93">
        <v>209110</v>
      </c>
      <c r="B484" s="93">
        <v>3450</v>
      </c>
      <c r="C484" s="93"/>
      <c r="D484" s="93"/>
      <c r="E484" s="93" t="s">
        <v>3066</v>
      </c>
      <c r="F484" s="93" t="s">
        <v>5190</v>
      </c>
      <c r="G484" s="37" t="s">
        <v>674</v>
      </c>
      <c r="H484" s="583">
        <f>IFERROR(VLOOKUP(A484,'Colar QL'!A:C,3,0),0)</f>
        <v>0</v>
      </c>
      <c r="I484" s="69">
        <f t="shared" si="160"/>
        <v>0</v>
      </c>
      <c r="J484" s="771">
        <f>'BD Temp'!E728</f>
        <v>0</v>
      </c>
      <c r="K484" s="590" t="str">
        <f t="shared" si="161"/>
        <v>47.0284.1.2.17.00.01.039.01.08.35.1</v>
      </c>
      <c r="L484" s="579" t="s">
        <v>1996</v>
      </c>
      <c r="M484" s="256" t="str">
        <f>'BD Temp'!F728</f>
        <v>-</v>
      </c>
      <c r="N484" s="770">
        <f>'BD Temp'!J728</f>
        <v>0</v>
      </c>
      <c r="O484" s="592" t="str">
        <f t="shared" si="162"/>
        <v>47.0284.1.2.17.00.01.039.01.08.35.2</v>
      </c>
      <c r="P484" s="578" t="s">
        <v>1998</v>
      </c>
      <c r="Q484" s="256" t="str">
        <f>'BD Temp'!K728</f>
        <v>-</v>
      </c>
      <c r="R484" s="255">
        <f>'BD Temp'!O728</f>
        <v>0</v>
      </c>
      <c r="S484" s="592" t="str">
        <f t="shared" si="163"/>
        <v>47.0284.1.2.17.00.01.039.01.08.35.3</v>
      </c>
      <c r="T484" s="578" t="s">
        <v>2000</v>
      </c>
      <c r="U484" s="256" t="str">
        <f>'BD Temp'!P728</f>
        <v>-</v>
      </c>
      <c r="V484" s="764"/>
      <c r="W484" s="767"/>
      <c r="X484" s="158"/>
      <c r="Y484" s="745"/>
      <c r="Z484" s="741">
        <v>0</v>
      </c>
      <c r="AA484" s="592" t="str">
        <f t="shared" si="164"/>
        <v>47.0284.1.2.17.00.01.039.01.08.35.1</v>
      </c>
      <c r="AB484" s="739" t="s">
        <v>1996</v>
      </c>
      <c r="AC484" s="738">
        <v>0</v>
      </c>
      <c r="AD484" s="592" t="str">
        <f t="shared" si="165"/>
        <v>47.0284.1.2.17.00.01.039.01.08.35.2</v>
      </c>
      <c r="AE484" s="739" t="s">
        <v>1998</v>
      </c>
      <c r="AF484" s="738">
        <v>0</v>
      </c>
      <c r="AG484" s="592" t="str">
        <f t="shared" si="166"/>
        <v>47.0284.1.2.17.00.01.039.01.08.35.3</v>
      </c>
      <c r="AH484" s="739" t="s">
        <v>2000</v>
      </c>
      <c r="AI484" s="158"/>
    </row>
    <row r="485" spans="1:35" s="123" customFormat="1" ht="15" customHeight="1" outlineLevel="4">
      <c r="A485" s="153">
        <v>209185</v>
      </c>
      <c r="B485" s="153">
        <v>3450</v>
      </c>
      <c r="C485" s="153"/>
      <c r="D485" s="153"/>
      <c r="E485" s="153" t="s">
        <v>3062</v>
      </c>
      <c r="F485" s="153" t="s">
        <v>5166</v>
      </c>
      <c r="G485" s="154" t="s">
        <v>169</v>
      </c>
      <c r="H485" s="583">
        <f>IFERROR(VLOOKUP(A485,'Colar QL'!A:C,3,0),0)</f>
        <v>0</v>
      </c>
      <c r="I485" s="69">
        <f t="shared" si="160"/>
        <v>0</v>
      </c>
      <c r="J485" s="258">
        <f>'BD Temp'!E729</f>
        <v>0</v>
      </c>
      <c r="K485" s="590" t="str">
        <f t="shared" si="161"/>
        <v>47.0284.1.2.17.00.01.039.01.08.08.1</v>
      </c>
      <c r="L485" s="579" t="s">
        <v>1996</v>
      </c>
      <c r="M485" s="256" t="str">
        <f>'BD Temp'!F729</f>
        <v>-</v>
      </c>
      <c r="N485" s="255">
        <f>'BD Temp'!J729</f>
        <v>0</v>
      </c>
      <c r="O485" s="592" t="str">
        <f t="shared" si="162"/>
        <v>47.0284.1.2.17.00.01.039.01.08.08.2</v>
      </c>
      <c r="P485" s="578" t="s">
        <v>1998</v>
      </c>
      <c r="Q485" s="256" t="str">
        <f>'BD Temp'!K729</f>
        <v>-</v>
      </c>
      <c r="R485" s="255">
        <f>'BD Temp'!O729</f>
        <v>0</v>
      </c>
      <c r="S485" s="592" t="str">
        <f t="shared" si="163"/>
        <v>47.0284.1.2.17.00.01.039.01.08.08.3</v>
      </c>
      <c r="T485" s="578" t="s">
        <v>2000</v>
      </c>
      <c r="U485" s="256" t="str">
        <f>'BD Temp'!P729</f>
        <v>-</v>
      </c>
      <c r="V485" s="764"/>
      <c r="W485" s="767"/>
      <c r="X485" s="206"/>
      <c r="Y485" s="745"/>
      <c r="Z485" s="741">
        <v>0</v>
      </c>
      <c r="AA485" s="592" t="str">
        <f t="shared" si="164"/>
        <v>47.0284.1.2.17.00.01.039.01.08.08.1</v>
      </c>
      <c r="AB485" s="739" t="s">
        <v>1996</v>
      </c>
      <c r="AC485" s="738">
        <v>0</v>
      </c>
      <c r="AD485" s="592" t="str">
        <f t="shared" si="165"/>
        <v>47.0284.1.2.17.00.01.039.01.08.08.2</v>
      </c>
      <c r="AE485" s="739" t="s">
        <v>1998</v>
      </c>
      <c r="AF485" s="738">
        <v>0</v>
      </c>
      <c r="AG485" s="592" t="str">
        <f t="shared" si="166"/>
        <v>47.0284.1.2.17.00.01.039.01.08.08.3</v>
      </c>
      <c r="AH485" s="739" t="s">
        <v>2000</v>
      </c>
      <c r="AI485" s="375"/>
    </row>
    <row r="486" spans="1:35" s="123" customFormat="1" ht="15" customHeight="1" outlineLevel="4">
      <c r="A486" s="153">
        <v>209190</v>
      </c>
      <c r="B486" s="153">
        <v>3450</v>
      </c>
      <c r="C486" s="153"/>
      <c r="D486" s="153"/>
      <c r="E486" s="153" t="s">
        <v>3062</v>
      </c>
      <c r="F486" s="153" t="s">
        <v>5166</v>
      </c>
      <c r="G486" s="154" t="s">
        <v>170</v>
      </c>
      <c r="H486" s="583">
        <f>IFERROR(VLOOKUP(A486,'Colar QL'!A:C,3,0),0)</f>
        <v>0</v>
      </c>
      <c r="I486" s="69">
        <f t="shared" si="160"/>
        <v>0</v>
      </c>
      <c r="J486" s="258">
        <f>'BD Temp'!E730</f>
        <v>0</v>
      </c>
      <c r="K486" s="590" t="str">
        <f t="shared" si="161"/>
        <v>47.0284.1.2.17.00.01.039.01.08.08.1</v>
      </c>
      <c r="L486" s="579" t="s">
        <v>1996</v>
      </c>
      <c r="M486" s="256" t="str">
        <f>'BD Temp'!F730</f>
        <v>-</v>
      </c>
      <c r="N486" s="255">
        <f>'BD Temp'!J730</f>
        <v>0</v>
      </c>
      <c r="O486" s="592" t="str">
        <f t="shared" si="162"/>
        <v>47.0284.1.2.17.00.01.039.01.08.08.2</v>
      </c>
      <c r="P486" s="578" t="s">
        <v>1998</v>
      </c>
      <c r="Q486" s="256" t="str">
        <f>'BD Temp'!K730</f>
        <v>-</v>
      </c>
      <c r="R486" s="255">
        <f>'BD Temp'!O730</f>
        <v>0</v>
      </c>
      <c r="S486" s="592" t="str">
        <f t="shared" si="163"/>
        <v>47.0284.1.2.17.00.01.039.01.08.08.3</v>
      </c>
      <c r="T486" s="578" t="s">
        <v>2000</v>
      </c>
      <c r="U486" s="256" t="str">
        <f>'BD Temp'!P730</f>
        <v>-</v>
      </c>
      <c r="V486" s="764"/>
      <c r="W486" s="767"/>
      <c r="X486" s="206"/>
      <c r="Y486" s="745"/>
      <c r="Z486" s="741">
        <v>0</v>
      </c>
      <c r="AA486" s="592" t="str">
        <f t="shared" si="164"/>
        <v>47.0284.1.2.17.00.01.039.01.08.08.1</v>
      </c>
      <c r="AB486" s="739" t="s">
        <v>1996</v>
      </c>
      <c r="AC486" s="738">
        <v>0</v>
      </c>
      <c r="AD486" s="592" t="str">
        <f t="shared" si="165"/>
        <v>47.0284.1.2.17.00.01.039.01.08.08.2</v>
      </c>
      <c r="AE486" s="739" t="s">
        <v>1998</v>
      </c>
      <c r="AF486" s="738">
        <v>0</v>
      </c>
      <c r="AG486" s="592" t="str">
        <f t="shared" si="166"/>
        <v>47.0284.1.2.17.00.01.039.01.08.08.3</v>
      </c>
      <c r="AH486" s="739" t="s">
        <v>2000</v>
      </c>
      <c r="AI486" s="375"/>
    </row>
    <row r="487" spans="1:35" ht="15" customHeight="1" outlineLevel="4">
      <c r="A487" s="93">
        <v>209195</v>
      </c>
      <c r="B487" s="93">
        <v>3450</v>
      </c>
      <c r="C487" s="93"/>
      <c r="D487" s="93"/>
      <c r="E487" s="93" t="s">
        <v>3062</v>
      </c>
      <c r="F487" s="93" t="s">
        <v>5166</v>
      </c>
      <c r="G487" s="37" t="s">
        <v>103</v>
      </c>
      <c r="H487" s="583">
        <f>IFERROR(VLOOKUP(A487,'Colar QL'!A:C,3,0),0)</f>
        <v>0</v>
      </c>
      <c r="I487" s="69">
        <f t="shared" si="160"/>
        <v>0</v>
      </c>
      <c r="J487" s="258">
        <f>'BD Temp'!E731</f>
        <v>0</v>
      </c>
      <c r="K487" s="590" t="str">
        <f t="shared" si="161"/>
        <v>47.0284.1.2.17.00.01.039.01.08.08.1</v>
      </c>
      <c r="L487" s="579" t="s">
        <v>1996</v>
      </c>
      <c r="M487" s="256" t="str">
        <f>'BD Temp'!F731</f>
        <v>-</v>
      </c>
      <c r="N487" s="255">
        <f>'BD Temp'!J731</f>
        <v>0</v>
      </c>
      <c r="O487" s="592" t="str">
        <f t="shared" si="162"/>
        <v>47.0284.1.2.17.00.01.039.01.08.08.2</v>
      </c>
      <c r="P487" s="578" t="s">
        <v>1998</v>
      </c>
      <c r="Q487" s="256" t="str">
        <f>'BD Temp'!K731</f>
        <v>-</v>
      </c>
      <c r="R487" s="255">
        <f>'BD Temp'!O731</f>
        <v>0</v>
      </c>
      <c r="S487" s="592" t="str">
        <f t="shared" si="163"/>
        <v>47.0284.1.2.17.00.01.039.01.08.08.3</v>
      </c>
      <c r="T487" s="578" t="s">
        <v>2000</v>
      </c>
      <c r="U487" s="256" t="str">
        <f>'BD Temp'!P731</f>
        <v>-</v>
      </c>
      <c r="V487" s="764"/>
      <c r="W487" s="767"/>
      <c r="X487" s="158"/>
      <c r="Y487" s="745"/>
      <c r="Z487" s="741">
        <v>0</v>
      </c>
      <c r="AA487" s="592" t="str">
        <f t="shared" si="164"/>
        <v>47.0284.1.2.17.00.01.039.01.08.08.1</v>
      </c>
      <c r="AB487" s="739" t="s">
        <v>1996</v>
      </c>
      <c r="AC487" s="738">
        <v>0</v>
      </c>
      <c r="AD487" s="592" t="str">
        <f t="shared" si="165"/>
        <v>47.0284.1.2.17.00.01.039.01.08.08.2</v>
      </c>
      <c r="AE487" s="739" t="s">
        <v>1998</v>
      </c>
      <c r="AF487" s="738">
        <v>0</v>
      </c>
      <c r="AG487" s="592" t="str">
        <f t="shared" si="166"/>
        <v>47.0284.1.2.17.00.01.039.01.08.08.3</v>
      </c>
      <c r="AH487" s="739" t="s">
        <v>2000</v>
      </c>
      <c r="AI487" s="158"/>
    </row>
    <row r="488" spans="1:35" s="26" customFormat="1" ht="15" customHeight="1" outlineLevel="4">
      <c r="A488" s="93">
        <v>209180</v>
      </c>
      <c r="B488" s="93">
        <v>3450</v>
      </c>
      <c r="C488" s="93"/>
      <c r="D488" s="93"/>
      <c r="E488" s="93" t="s">
        <v>3062</v>
      </c>
      <c r="F488" s="93" t="s">
        <v>5166</v>
      </c>
      <c r="G488" s="37" t="s">
        <v>97</v>
      </c>
      <c r="H488" s="583">
        <f>IFERROR(VLOOKUP(A488,'Colar QL'!A:C,3,0),0)</f>
        <v>6</v>
      </c>
      <c r="I488" s="69">
        <f t="shared" si="160"/>
        <v>6</v>
      </c>
      <c r="J488" s="258">
        <f>'BD Temp'!E732</f>
        <v>6</v>
      </c>
      <c r="K488" s="590" t="str">
        <f t="shared" si="161"/>
        <v>47.0284.1.2.17.00.01.039.01.08.08.1</v>
      </c>
      <c r="L488" s="579" t="s">
        <v>1996</v>
      </c>
      <c r="M488" s="256">
        <f>'BD Temp'!F732</f>
        <v>0.60360925307197599</v>
      </c>
      <c r="N488" s="255">
        <f>'BD Temp'!J732</f>
        <v>0</v>
      </c>
      <c r="O488" s="592" t="str">
        <f t="shared" si="162"/>
        <v>47.0284.1.2.17.00.01.039.01.08.08.2</v>
      </c>
      <c r="P488" s="578" t="s">
        <v>1998</v>
      </c>
      <c r="Q488" s="256">
        <f>'BD Temp'!K732</f>
        <v>0</v>
      </c>
      <c r="R488" s="255">
        <f>'BD Temp'!O732</f>
        <v>0</v>
      </c>
      <c r="S488" s="592" t="str">
        <f t="shared" si="163"/>
        <v>47.0284.1.2.17.00.01.039.01.08.08.3</v>
      </c>
      <c r="T488" s="578" t="s">
        <v>2000</v>
      </c>
      <c r="U488" s="256" t="str">
        <f>'BD Temp'!P732</f>
        <v>-</v>
      </c>
      <c r="V488" s="764"/>
      <c r="W488" s="767"/>
      <c r="X488" s="158"/>
      <c r="Y488" s="745"/>
      <c r="Z488" s="741">
        <v>0</v>
      </c>
      <c r="AA488" s="592" t="str">
        <f t="shared" si="164"/>
        <v>47.0284.1.2.17.00.01.039.01.08.08.1</v>
      </c>
      <c r="AB488" s="739" t="s">
        <v>1996</v>
      </c>
      <c r="AC488" s="738">
        <v>0</v>
      </c>
      <c r="AD488" s="592" t="str">
        <f t="shared" si="165"/>
        <v>47.0284.1.2.17.00.01.039.01.08.08.2</v>
      </c>
      <c r="AE488" s="739" t="s">
        <v>1998</v>
      </c>
      <c r="AF488" s="738">
        <v>0</v>
      </c>
      <c r="AG488" s="592" t="str">
        <f t="shared" si="166"/>
        <v>47.0284.1.2.17.00.01.039.01.08.08.3</v>
      </c>
      <c r="AH488" s="739" t="s">
        <v>2000</v>
      </c>
      <c r="AI488" s="158"/>
    </row>
    <row r="489" spans="1:35" ht="15" customHeight="1" outlineLevel="4">
      <c r="A489" s="93">
        <v>50</v>
      </c>
      <c r="B489" s="93">
        <v>3450</v>
      </c>
      <c r="C489" s="93"/>
      <c r="D489" s="93"/>
      <c r="E489" s="93" t="s">
        <v>3067</v>
      </c>
      <c r="F489" s="93" t="s">
        <v>5191</v>
      </c>
      <c r="G489" s="154" t="s">
        <v>677</v>
      </c>
      <c r="H489" s="583">
        <f>IFERROR(VLOOKUP(A489,'Colar QL'!A:C,3,0),0)</f>
        <v>1</v>
      </c>
      <c r="I489" s="69">
        <f t="shared" si="160"/>
        <v>1</v>
      </c>
      <c r="J489" s="258">
        <f>'BD Temp'!E737</f>
        <v>1</v>
      </c>
      <c r="K489" s="590" t="str">
        <f t="shared" si="161"/>
        <v>47.0284.1.2.17.00.01.039.01.08.42.1</v>
      </c>
      <c r="L489" s="579" t="s">
        <v>1996</v>
      </c>
      <c r="M489" s="256">
        <f>'BD Temp'!F737</f>
        <v>0.13333333333333333</v>
      </c>
      <c r="N489" s="255">
        <f>'BD Temp'!J737</f>
        <v>0</v>
      </c>
      <c r="O489" s="592" t="str">
        <f t="shared" si="162"/>
        <v>47.0284.1.2.17.00.01.039.01.08.42.2</v>
      </c>
      <c r="P489" s="578" t="s">
        <v>1998</v>
      </c>
      <c r="Q489" s="256" t="str">
        <f>'BD Temp'!K737</f>
        <v>-</v>
      </c>
      <c r="R489" s="255">
        <f>'BD Temp'!O737</f>
        <v>0</v>
      </c>
      <c r="S489" s="592" t="str">
        <f t="shared" si="163"/>
        <v>47.0284.1.2.17.00.01.039.01.08.42.3</v>
      </c>
      <c r="T489" s="578" t="s">
        <v>2000</v>
      </c>
      <c r="U489" s="256" t="str">
        <f>'BD Temp'!P737</f>
        <v>-</v>
      </c>
      <c r="V489" s="764"/>
      <c r="W489" s="767"/>
      <c r="X489" s="158"/>
      <c r="Y489" s="745"/>
      <c r="Z489" s="741">
        <v>0</v>
      </c>
      <c r="AA489" s="592" t="str">
        <f t="shared" si="164"/>
        <v>47.0284.1.2.17.00.01.039.01.08.42.1</v>
      </c>
      <c r="AB489" s="739" t="s">
        <v>1996</v>
      </c>
      <c r="AC489" s="738">
        <v>0</v>
      </c>
      <c r="AD489" s="592" t="str">
        <f t="shared" si="165"/>
        <v>47.0284.1.2.17.00.01.039.01.08.42.2</v>
      </c>
      <c r="AE489" s="739" t="s">
        <v>1998</v>
      </c>
      <c r="AF489" s="738">
        <v>0</v>
      </c>
      <c r="AG489" s="592" t="str">
        <f t="shared" si="166"/>
        <v>47.0284.1.2.17.00.01.039.01.08.42.3</v>
      </c>
      <c r="AH489" s="739" t="s">
        <v>2000</v>
      </c>
      <c r="AI489" s="158"/>
    </row>
    <row r="490" spans="1:35" ht="15" customHeight="1" outlineLevel="4">
      <c r="A490" s="93">
        <v>51</v>
      </c>
      <c r="B490" s="93">
        <v>3450</v>
      </c>
      <c r="C490" s="93"/>
      <c r="D490" s="93"/>
      <c r="E490" s="93" t="s">
        <v>3068</v>
      </c>
      <c r="F490" s="93" t="s">
        <v>5192</v>
      </c>
      <c r="G490" s="154" t="s">
        <v>42</v>
      </c>
      <c r="H490" s="583">
        <f>IFERROR(VLOOKUP(A490,'Colar QL'!A:C,3,0),0)</f>
        <v>0</v>
      </c>
      <c r="I490" s="69">
        <f t="shared" si="160"/>
        <v>0</v>
      </c>
      <c r="J490" s="258">
        <f>'BD Temp'!E740</f>
        <v>0</v>
      </c>
      <c r="K490" s="590" t="str">
        <f t="shared" si="161"/>
        <v>47.0284.1.2.17.00.01.039.01.08.34.1</v>
      </c>
      <c r="L490" s="579" t="s">
        <v>1996</v>
      </c>
      <c r="M490" s="256" t="str">
        <f>'BD Temp'!F740</f>
        <v>-</v>
      </c>
      <c r="N490" s="255">
        <f>'BD Temp'!J740</f>
        <v>0</v>
      </c>
      <c r="O490" s="592" t="str">
        <f t="shared" si="162"/>
        <v>47.0284.1.2.17.00.01.039.01.08.34.2</v>
      </c>
      <c r="P490" s="578" t="s">
        <v>1998</v>
      </c>
      <c r="Q490" s="256" t="str">
        <f>'BD Temp'!K740</f>
        <v>-</v>
      </c>
      <c r="R490" s="255">
        <f>'BD Temp'!O740</f>
        <v>0</v>
      </c>
      <c r="S490" s="592" t="str">
        <f t="shared" si="163"/>
        <v>47.0284.1.2.17.00.01.039.01.08.34.3</v>
      </c>
      <c r="T490" s="578" t="s">
        <v>2000</v>
      </c>
      <c r="U490" s="256" t="str">
        <f>'BD Temp'!P740</f>
        <v>-</v>
      </c>
      <c r="V490" s="764"/>
      <c r="W490" s="767"/>
      <c r="X490" s="158"/>
      <c r="Y490" s="745"/>
      <c r="Z490" s="741">
        <v>0</v>
      </c>
      <c r="AA490" s="592" t="str">
        <f t="shared" si="164"/>
        <v>47.0284.1.2.17.00.01.039.01.08.34.1</v>
      </c>
      <c r="AB490" s="739" t="s">
        <v>1996</v>
      </c>
      <c r="AC490" s="738">
        <v>0</v>
      </c>
      <c r="AD490" s="592" t="str">
        <f t="shared" si="165"/>
        <v>47.0284.1.2.17.00.01.039.01.08.34.2</v>
      </c>
      <c r="AE490" s="739" t="s">
        <v>1998</v>
      </c>
      <c r="AF490" s="738">
        <v>0</v>
      </c>
      <c r="AG490" s="592" t="str">
        <f t="shared" si="166"/>
        <v>47.0284.1.2.17.00.01.039.01.08.34.3</v>
      </c>
      <c r="AH490" s="739" t="s">
        <v>2000</v>
      </c>
      <c r="AI490" s="158"/>
    </row>
    <row r="491" spans="1:35" ht="15" customHeight="1" outlineLevel="4">
      <c r="A491" s="93">
        <v>52</v>
      </c>
      <c r="B491" s="93">
        <v>3450</v>
      </c>
      <c r="C491" s="93"/>
      <c r="D491" s="93"/>
      <c r="E491" s="93" t="s">
        <v>2946</v>
      </c>
      <c r="F491" s="93" t="s">
        <v>5193</v>
      </c>
      <c r="G491" s="154" t="s">
        <v>3120</v>
      </c>
      <c r="H491" s="583">
        <f>IFERROR(VLOOKUP(A491,'Colar QL'!A:C,3,0),0)</f>
        <v>0</v>
      </c>
      <c r="I491" s="69">
        <f t="shared" si="160"/>
        <v>0</v>
      </c>
      <c r="J491" s="258">
        <f>'BD Temp'!E741</f>
        <v>0</v>
      </c>
      <c r="K491" s="590" t="str">
        <f t="shared" si="161"/>
        <v>47.0284.1.2.17.00.01.039.01.08.40.1</v>
      </c>
      <c r="L491" s="579" t="s">
        <v>1996</v>
      </c>
      <c r="M491" s="256" t="str">
        <f>'BD Temp'!F741</f>
        <v>-</v>
      </c>
      <c r="N491" s="255">
        <f>'BD Temp'!J741</f>
        <v>0</v>
      </c>
      <c r="O491" s="592" t="str">
        <f t="shared" si="162"/>
        <v>47.0284.1.2.17.00.01.039.01.08.40.2</v>
      </c>
      <c r="P491" s="578" t="s">
        <v>1998</v>
      </c>
      <c r="Q491" s="256" t="str">
        <f>'BD Temp'!K741</f>
        <v>-</v>
      </c>
      <c r="R491" s="255">
        <f>'BD Temp'!O741</f>
        <v>0</v>
      </c>
      <c r="S491" s="592" t="str">
        <f t="shared" si="163"/>
        <v>47.0284.1.2.17.00.01.039.01.08.40.3</v>
      </c>
      <c r="T491" s="578" t="s">
        <v>2000</v>
      </c>
      <c r="U491" s="256" t="str">
        <f>'BD Temp'!P741</f>
        <v>-</v>
      </c>
      <c r="V491" s="764"/>
      <c r="W491" s="767"/>
      <c r="X491" s="158"/>
      <c r="Y491" s="745"/>
      <c r="Z491" s="741">
        <v>0</v>
      </c>
      <c r="AA491" s="592" t="str">
        <f t="shared" si="164"/>
        <v>47.0284.1.2.17.00.01.039.01.08.40.1</v>
      </c>
      <c r="AB491" s="739" t="s">
        <v>1996</v>
      </c>
      <c r="AC491" s="738">
        <v>0</v>
      </c>
      <c r="AD491" s="592" t="str">
        <f t="shared" si="165"/>
        <v>47.0284.1.2.17.00.01.039.01.08.40.2</v>
      </c>
      <c r="AE491" s="739" t="s">
        <v>1998</v>
      </c>
      <c r="AF491" s="738">
        <v>0</v>
      </c>
      <c r="AG491" s="592" t="str">
        <f t="shared" si="166"/>
        <v>47.0284.1.2.17.00.01.039.01.08.40.3</v>
      </c>
      <c r="AH491" s="739" t="s">
        <v>2000</v>
      </c>
      <c r="AI491" s="158"/>
    </row>
    <row r="492" spans="1:35" ht="15" customHeight="1" outlineLevel="4">
      <c r="A492" s="93">
        <v>53</v>
      </c>
      <c r="B492" s="93">
        <v>3450</v>
      </c>
      <c r="C492" s="93"/>
      <c r="D492" s="93"/>
      <c r="E492" s="93" t="s">
        <v>3062</v>
      </c>
      <c r="F492" s="93" t="s">
        <v>5166</v>
      </c>
      <c r="G492" s="37" t="s">
        <v>5393</v>
      </c>
      <c r="H492" s="583">
        <f>IFERROR(VLOOKUP(A492,'Colar QL'!A:C,3,0),0)</f>
        <v>0</v>
      </c>
      <c r="I492" s="69">
        <f t="shared" si="160"/>
        <v>3</v>
      </c>
      <c r="J492" s="258">
        <f>'BD Temp'!E742</f>
        <v>3</v>
      </c>
      <c r="K492" s="590" t="str">
        <f t="shared" si="161"/>
        <v>47.0284.1.2.17.00.01.039.01.08.08.1</v>
      </c>
      <c r="L492" s="579" t="s">
        <v>1996</v>
      </c>
      <c r="M492" s="256" t="str">
        <f>'BD Temp'!F742</f>
        <v>-</v>
      </c>
      <c r="N492" s="255">
        <f>'BD Temp'!J742</f>
        <v>0</v>
      </c>
      <c r="O492" s="592" t="str">
        <f t="shared" si="162"/>
        <v>47.0284.1.2.17.00.01.039.01.08.08.2</v>
      </c>
      <c r="P492" s="578" t="s">
        <v>1998</v>
      </c>
      <c r="Q492" s="256" t="str">
        <f>'BD Temp'!K742</f>
        <v>-</v>
      </c>
      <c r="R492" s="255">
        <f>'BD Temp'!O742</f>
        <v>0</v>
      </c>
      <c r="S492" s="592" t="str">
        <f t="shared" si="163"/>
        <v>47.0284.1.2.17.00.01.039.01.08.08.3</v>
      </c>
      <c r="T492" s="578" t="s">
        <v>2000</v>
      </c>
      <c r="U492" s="256" t="str">
        <f>'BD Temp'!P742</f>
        <v>-</v>
      </c>
      <c r="V492" s="764"/>
      <c r="W492" s="767"/>
      <c r="X492" s="158"/>
      <c r="Y492" s="745"/>
      <c r="Z492" s="741">
        <v>0</v>
      </c>
      <c r="AA492" s="592" t="str">
        <f t="shared" si="164"/>
        <v>47.0284.1.2.17.00.01.039.01.08.08.1</v>
      </c>
      <c r="AB492" s="739" t="s">
        <v>1996</v>
      </c>
      <c r="AC492" s="738">
        <v>0</v>
      </c>
      <c r="AD492" s="592" t="str">
        <f t="shared" si="165"/>
        <v>47.0284.1.2.17.00.01.039.01.08.08.2</v>
      </c>
      <c r="AE492" s="739" t="s">
        <v>1998</v>
      </c>
      <c r="AF492" s="738">
        <v>0</v>
      </c>
      <c r="AG492" s="592" t="str">
        <f t="shared" si="166"/>
        <v>47.0284.1.2.17.00.01.039.01.08.08.3</v>
      </c>
      <c r="AH492" s="739" t="s">
        <v>2000</v>
      </c>
      <c r="AI492" s="158"/>
    </row>
    <row r="493" spans="1:35" ht="15" customHeight="1" outlineLevel="4">
      <c r="A493" s="93">
        <v>54</v>
      </c>
      <c r="B493" s="93">
        <v>3450</v>
      </c>
      <c r="C493" s="93"/>
      <c r="D493" s="93"/>
      <c r="E493" s="93" t="s">
        <v>3118</v>
      </c>
      <c r="F493" s="93" t="s">
        <v>5163</v>
      </c>
      <c r="G493" s="154" t="s">
        <v>15</v>
      </c>
      <c r="H493" s="583">
        <f>IFERROR(VLOOKUP(A493,'Colar QL'!A:C,3,0),0)</f>
        <v>0</v>
      </c>
      <c r="I493" s="69">
        <f t="shared" si="160"/>
        <v>0</v>
      </c>
      <c r="J493" s="258">
        <f>'BD Temp'!E743</f>
        <v>0</v>
      </c>
      <c r="K493" s="590" t="str">
        <f t="shared" si="161"/>
        <v>47.0284.1.2.17.00.01.039.01.35.02.1</v>
      </c>
      <c r="L493" s="579" t="s">
        <v>1996</v>
      </c>
      <c r="M493" s="256" t="str">
        <f>'BD Temp'!F743</f>
        <v>-</v>
      </c>
      <c r="N493" s="255">
        <f>'BD Temp'!J743</f>
        <v>0</v>
      </c>
      <c r="O493" s="791" t="s">
        <v>5115</v>
      </c>
      <c r="P493" s="578" t="s">
        <v>1998</v>
      </c>
      <c r="Q493" s="256" t="str">
        <f>'BD Temp'!K743</f>
        <v>-</v>
      </c>
      <c r="R493" s="255">
        <f>'BD Temp'!O743</f>
        <v>0</v>
      </c>
      <c r="S493" s="592" t="str">
        <f t="shared" si="163"/>
        <v>47.0284.1.2.17.00.01.039.01.35.02.3</v>
      </c>
      <c r="T493" s="578" t="s">
        <v>2000</v>
      </c>
      <c r="U493" s="256" t="str">
        <f>'BD Temp'!P743</f>
        <v>-</v>
      </c>
      <c r="V493" s="764"/>
      <c r="W493" s="767"/>
      <c r="X493" s="158"/>
      <c r="Y493" s="745"/>
      <c r="Z493" s="741">
        <v>0</v>
      </c>
      <c r="AA493" s="592" t="str">
        <f t="shared" si="164"/>
        <v>47.0284.1.2.17.00.01.039.01.35.02.1</v>
      </c>
      <c r="AB493" s="739" t="s">
        <v>1996</v>
      </c>
      <c r="AC493" s="738">
        <v>0</v>
      </c>
      <c r="AD493" s="592" t="str">
        <f t="shared" si="165"/>
        <v>47.0284.1.2.17.00.01.039.01.35.02.2</v>
      </c>
      <c r="AE493" s="739" t="s">
        <v>1998</v>
      </c>
      <c r="AF493" s="738">
        <v>0</v>
      </c>
      <c r="AG493" s="592" t="str">
        <f t="shared" si="166"/>
        <v>47.0284.1.2.17.00.01.039.01.35.02.3</v>
      </c>
      <c r="AH493" s="739" t="s">
        <v>2000</v>
      </c>
      <c r="AI493" s="158"/>
    </row>
    <row r="494" spans="1:35" ht="15" customHeight="1" outlineLevel="4">
      <c r="A494" s="93"/>
      <c r="B494" s="93" t="s">
        <v>1075</v>
      </c>
      <c r="C494" s="93"/>
      <c r="D494" s="93"/>
      <c r="E494" s="93"/>
      <c r="F494" s="93" t="s">
        <v>1075</v>
      </c>
      <c r="G494" s="154"/>
      <c r="H494" s="79"/>
      <c r="I494" s="69">
        <f t="shared" si="160"/>
        <v>0</v>
      </c>
      <c r="J494" s="48"/>
      <c r="K494" s="590" t="str">
        <f t="shared" si="161"/>
        <v>.1</v>
      </c>
      <c r="L494" s="579" t="s">
        <v>1996</v>
      </c>
      <c r="M494" s="74"/>
      <c r="N494" s="49"/>
      <c r="O494" s="592" t="str">
        <f t="shared" si="162"/>
        <v>.2</v>
      </c>
      <c r="P494" s="578" t="s">
        <v>1998</v>
      </c>
      <c r="Q494" s="74"/>
      <c r="R494" s="49"/>
      <c r="S494" s="592" t="str">
        <f t="shared" si="163"/>
        <v>.3</v>
      </c>
      <c r="T494" s="578" t="s">
        <v>2000</v>
      </c>
      <c r="U494" s="74"/>
      <c r="V494" s="764"/>
      <c r="W494" s="764"/>
      <c r="X494" s="158"/>
      <c r="Y494" s="745"/>
      <c r="Z494" s="741">
        <v>0</v>
      </c>
      <c r="AA494" s="592" t="str">
        <f t="shared" si="164"/>
        <v>.1</v>
      </c>
      <c r="AB494" s="739" t="s">
        <v>1996</v>
      </c>
      <c r="AC494" s="738">
        <v>0</v>
      </c>
      <c r="AD494" s="592" t="str">
        <f t="shared" si="165"/>
        <v>.2</v>
      </c>
      <c r="AE494" s="739" t="s">
        <v>1998</v>
      </c>
      <c r="AF494" s="738">
        <v>0</v>
      </c>
      <c r="AG494" s="592" t="str">
        <f t="shared" si="166"/>
        <v>.3</v>
      </c>
      <c r="AH494" s="739" t="s">
        <v>2000</v>
      </c>
      <c r="AI494" s="158"/>
    </row>
    <row r="495" spans="1:35" ht="15" customHeight="1" outlineLevel="4">
      <c r="A495" s="99"/>
      <c r="B495" s="99" t="s">
        <v>1075</v>
      </c>
      <c r="C495" s="99"/>
      <c r="D495" s="99"/>
      <c r="E495" s="99"/>
      <c r="F495" s="99" t="s">
        <v>1075</v>
      </c>
      <c r="G495" s="39" t="s">
        <v>723</v>
      </c>
      <c r="H495" s="79"/>
      <c r="I495" s="69">
        <f t="shared" si="160"/>
        <v>0</v>
      </c>
      <c r="J495" s="48"/>
      <c r="K495" s="590" t="str">
        <f t="shared" si="161"/>
        <v>.1</v>
      </c>
      <c r="L495" s="579" t="s">
        <v>1996</v>
      </c>
      <c r="M495" s="74"/>
      <c r="N495" s="49"/>
      <c r="O495" s="592" t="str">
        <f t="shared" si="162"/>
        <v>.2</v>
      </c>
      <c r="P495" s="578" t="s">
        <v>1998</v>
      </c>
      <c r="Q495" s="74"/>
      <c r="R495" s="49"/>
      <c r="S495" s="592" t="str">
        <f t="shared" si="163"/>
        <v>.3</v>
      </c>
      <c r="T495" s="578" t="s">
        <v>2000</v>
      </c>
      <c r="U495" s="74"/>
      <c r="V495" s="764"/>
      <c r="W495" s="764"/>
      <c r="X495" s="158"/>
      <c r="Y495" s="745"/>
      <c r="Z495" s="741">
        <v>0</v>
      </c>
      <c r="AA495" s="592" t="str">
        <f t="shared" si="164"/>
        <v>.1</v>
      </c>
      <c r="AB495" s="739" t="s">
        <v>1996</v>
      </c>
      <c r="AC495" s="738">
        <v>0</v>
      </c>
      <c r="AD495" s="592" t="str">
        <f t="shared" si="165"/>
        <v>.2</v>
      </c>
      <c r="AE495" s="739" t="s">
        <v>1998</v>
      </c>
      <c r="AF495" s="738">
        <v>0</v>
      </c>
      <c r="AG495" s="592" t="str">
        <f t="shared" si="166"/>
        <v>.3</v>
      </c>
      <c r="AH495" s="739" t="s">
        <v>2000</v>
      </c>
      <c r="AI495" s="158"/>
    </row>
    <row r="496" spans="1:35" ht="15" customHeight="1" outlineLevel="4">
      <c r="A496" s="93" t="s">
        <v>1969</v>
      </c>
      <c r="B496" s="93">
        <v>3450</v>
      </c>
      <c r="C496" s="93"/>
      <c r="D496" s="93"/>
      <c r="E496" s="93" t="s">
        <v>2946</v>
      </c>
      <c r="F496" s="93" t="s">
        <v>5193</v>
      </c>
      <c r="G496" s="37" t="s">
        <v>970</v>
      </c>
      <c r="H496" s="583">
        <f>IFERROR(VLOOKUP(A496,'Colar QL'!A:C,3,0),0)</f>
        <v>0</v>
      </c>
      <c r="I496" s="69">
        <f t="shared" si="160"/>
        <v>0</v>
      </c>
      <c r="J496" s="48"/>
      <c r="K496" s="590" t="str">
        <f t="shared" si="161"/>
        <v>47.0284.1.2.17.00.01.039.01.08.40.1</v>
      </c>
      <c r="L496" s="579" t="s">
        <v>1996</v>
      </c>
      <c r="M496" s="74"/>
      <c r="N496" s="49"/>
      <c r="O496" s="592" t="str">
        <f t="shared" si="162"/>
        <v>47.0284.1.2.17.00.01.039.01.08.40.2</v>
      </c>
      <c r="P496" s="578" t="s">
        <v>1998</v>
      </c>
      <c r="Q496" s="74"/>
      <c r="R496" s="49"/>
      <c r="S496" s="592" t="str">
        <f t="shared" si="163"/>
        <v>47.0284.1.2.17.00.01.039.01.08.40.3</v>
      </c>
      <c r="T496" s="578" t="s">
        <v>2000</v>
      </c>
      <c r="U496" s="74"/>
      <c r="V496" s="764"/>
      <c r="W496" s="764"/>
      <c r="X496" s="158"/>
      <c r="Y496" s="745"/>
      <c r="Z496" s="741">
        <v>0</v>
      </c>
      <c r="AA496" s="592" t="str">
        <f t="shared" si="164"/>
        <v>47.0284.1.2.17.00.01.039.01.08.40.1</v>
      </c>
      <c r="AB496" s="739" t="s">
        <v>1996</v>
      </c>
      <c r="AC496" s="738">
        <v>0</v>
      </c>
      <c r="AD496" s="592" t="str">
        <f t="shared" si="165"/>
        <v>47.0284.1.2.17.00.01.039.01.08.40.2</v>
      </c>
      <c r="AE496" s="739" t="s">
        <v>1998</v>
      </c>
      <c r="AF496" s="738">
        <v>0</v>
      </c>
      <c r="AG496" s="592" t="str">
        <f t="shared" si="166"/>
        <v>47.0284.1.2.17.00.01.039.01.08.40.3</v>
      </c>
      <c r="AH496" s="739" t="s">
        <v>2000</v>
      </c>
      <c r="AI496" s="158"/>
    </row>
    <row r="497" spans="1:35" ht="15" customHeight="1" outlineLevel="4">
      <c r="A497" s="93" t="s">
        <v>1970</v>
      </c>
      <c r="B497" s="93">
        <v>3450</v>
      </c>
      <c r="C497" s="93"/>
      <c r="D497" s="93"/>
      <c r="E497" s="93" t="s">
        <v>2922</v>
      </c>
      <c r="F497" s="93" t="s">
        <v>5164</v>
      </c>
      <c r="G497" s="37" t="s">
        <v>982</v>
      </c>
      <c r="H497" s="583">
        <f>IFERROR(VLOOKUP(A497,'Colar QL'!A:C,3,0),0)</f>
        <v>0</v>
      </c>
      <c r="I497" s="69">
        <f t="shared" si="160"/>
        <v>0</v>
      </c>
      <c r="J497" s="181"/>
      <c r="K497" s="591" t="str">
        <f t="shared" si="161"/>
        <v>47.0284.1.2.17.00.01.039.01.08.05.1</v>
      </c>
      <c r="L497" s="57" t="s">
        <v>1996</v>
      </c>
      <c r="M497" s="180"/>
      <c r="N497" s="49"/>
      <c r="O497" s="593" t="str">
        <f t="shared" si="162"/>
        <v>47.0284.1.2.17.00.01.039.01.08.05.2</v>
      </c>
      <c r="P497" s="87" t="s">
        <v>1998</v>
      </c>
      <c r="Q497" s="74"/>
      <c r="R497" s="49"/>
      <c r="S497" s="593" t="str">
        <f t="shared" si="163"/>
        <v>47.0284.1.2.17.00.01.039.01.08.05.3</v>
      </c>
      <c r="T497" s="87" t="s">
        <v>2000</v>
      </c>
      <c r="U497" s="74"/>
      <c r="V497" s="764"/>
      <c r="W497" s="764"/>
      <c r="X497" s="158"/>
      <c r="Y497" s="745"/>
      <c r="Z497" s="741">
        <v>0</v>
      </c>
      <c r="AA497" s="592" t="str">
        <f t="shared" si="164"/>
        <v>47.0284.1.2.17.00.01.039.01.08.05.1</v>
      </c>
      <c r="AB497" s="739" t="s">
        <v>1996</v>
      </c>
      <c r="AC497" s="738">
        <v>0</v>
      </c>
      <c r="AD497" s="592" t="str">
        <f t="shared" si="165"/>
        <v>47.0284.1.2.17.00.01.039.01.08.05.2</v>
      </c>
      <c r="AE497" s="739" t="s">
        <v>1998</v>
      </c>
      <c r="AF497" s="738">
        <v>0</v>
      </c>
      <c r="AG497" s="592" t="str">
        <f t="shared" si="166"/>
        <v>47.0284.1.2.17.00.01.039.01.08.05.3</v>
      </c>
      <c r="AH497" s="739" t="s">
        <v>2000</v>
      </c>
      <c r="AI497" s="158"/>
    </row>
    <row r="498" spans="1:35" ht="15" customHeight="1" outlineLevel="4">
      <c r="A498" s="93"/>
      <c r="B498" s="93" t="s">
        <v>1075</v>
      </c>
      <c r="C498" s="93"/>
      <c r="D498" s="93"/>
      <c r="E498" s="93"/>
      <c r="F498" s="93" t="s">
        <v>1075</v>
      </c>
      <c r="G498" s="37"/>
      <c r="H498" s="79"/>
      <c r="I498" s="69">
        <f t="shared" si="160"/>
        <v>0</v>
      </c>
      <c r="J498" s="48"/>
      <c r="K498" s="590" t="str">
        <f t="shared" si="161"/>
        <v>.1</v>
      </c>
      <c r="L498" s="579" t="s">
        <v>1996</v>
      </c>
      <c r="M498" s="74"/>
      <c r="N498" s="49"/>
      <c r="O498" s="592" t="str">
        <f t="shared" si="162"/>
        <v>.2</v>
      </c>
      <c r="P498" s="578" t="s">
        <v>1998</v>
      </c>
      <c r="Q498" s="74"/>
      <c r="R498" s="49"/>
      <c r="S498" s="592" t="str">
        <f t="shared" si="163"/>
        <v>.3</v>
      </c>
      <c r="T498" s="578" t="s">
        <v>2000</v>
      </c>
      <c r="U498" s="74"/>
      <c r="V498" s="764"/>
      <c r="W498" s="764"/>
      <c r="X498" s="158"/>
      <c r="Y498" s="745"/>
      <c r="Z498" s="741">
        <v>0</v>
      </c>
      <c r="AA498" s="592" t="str">
        <f t="shared" si="164"/>
        <v>.1</v>
      </c>
      <c r="AB498" s="739" t="s">
        <v>1996</v>
      </c>
      <c r="AC498" s="738">
        <v>0</v>
      </c>
      <c r="AD498" s="592" t="str">
        <f t="shared" si="165"/>
        <v>.2</v>
      </c>
      <c r="AE498" s="739" t="s">
        <v>1998</v>
      </c>
      <c r="AF498" s="738">
        <v>0</v>
      </c>
      <c r="AG498" s="592" t="str">
        <f t="shared" si="166"/>
        <v>.3</v>
      </c>
      <c r="AH498" s="739" t="s">
        <v>2000</v>
      </c>
      <c r="AI498" s="158"/>
    </row>
    <row r="499" spans="1:35" ht="15" customHeight="1" outlineLevel="4">
      <c r="A499" s="93"/>
      <c r="B499" s="93" t="s">
        <v>1075</v>
      </c>
      <c r="C499" s="93"/>
      <c r="D499" s="93"/>
      <c r="E499" s="93"/>
      <c r="F499" s="93" t="s">
        <v>1075</v>
      </c>
      <c r="G499" s="37"/>
      <c r="H499" s="79"/>
      <c r="I499" s="69">
        <f t="shared" si="160"/>
        <v>0</v>
      </c>
      <c r="J499" s="48"/>
      <c r="K499" s="590" t="str">
        <f t="shared" si="161"/>
        <v>.1</v>
      </c>
      <c r="L499" s="579" t="s">
        <v>1996</v>
      </c>
      <c r="M499" s="74"/>
      <c r="N499" s="49"/>
      <c r="O499" s="592" t="str">
        <f t="shared" si="162"/>
        <v>.2</v>
      </c>
      <c r="P499" s="578" t="s">
        <v>1998</v>
      </c>
      <c r="Q499" s="74"/>
      <c r="R499" s="49"/>
      <c r="S499" s="592" t="str">
        <f t="shared" si="163"/>
        <v>.3</v>
      </c>
      <c r="T499" s="578" t="s">
        <v>2000</v>
      </c>
      <c r="U499" s="74"/>
      <c r="V499" s="764"/>
      <c r="W499" s="764"/>
      <c r="X499" s="158"/>
      <c r="Y499" s="745"/>
      <c r="Z499" s="741">
        <v>0</v>
      </c>
      <c r="AA499" s="592" t="str">
        <f t="shared" si="164"/>
        <v>.1</v>
      </c>
      <c r="AB499" s="739" t="s">
        <v>1996</v>
      </c>
      <c r="AC499" s="738">
        <v>0</v>
      </c>
      <c r="AD499" s="592" t="str">
        <f t="shared" si="165"/>
        <v>.2</v>
      </c>
      <c r="AE499" s="739" t="s">
        <v>1998</v>
      </c>
      <c r="AF499" s="738">
        <v>0</v>
      </c>
      <c r="AG499" s="592" t="str">
        <f t="shared" si="166"/>
        <v>.3</v>
      </c>
      <c r="AH499" s="739" t="s">
        <v>2000</v>
      </c>
      <c r="AI499" s="158"/>
    </row>
    <row r="500" spans="1:35" ht="15" customHeight="1" outlineLevel="4">
      <c r="A500" s="93"/>
      <c r="B500" s="93" t="s">
        <v>1075</v>
      </c>
      <c r="C500" s="93"/>
      <c r="D500" s="93"/>
      <c r="E500" s="93"/>
      <c r="F500" s="93" t="s">
        <v>1075</v>
      </c>
      <c r="G500" s="37"/>
      <c r="H500" s="79"/>
      <c r="I500" s="69">
        <f t="shared" si="160"/>
        <v>0</v>
      </c>
      <c r="J500" s="48"/>
      <c r="K500" s="590" t="str">
        <f t="shared" si="161"/>
        <v>.1</v>
      </c>
      <c r="L500" s="579" t="s">
        <v>1996</v>
      </c>
      <c r="M500" s="74"/>
      <c r="N500" s="49"/>
      <c r="O500" s="592" t="str">
        <f t="shared" si="162"/>
        <v>.2</v>
      </c>
      <c r="P500" s="578" t="s">
        <v>1998</v>
      </c>
      <c r="Q500" s="74"/>
      <c r="R500" s="49"/>
      <c r="S500" s="592" t="str">
        <f t="shared" si="163"/>
        <v>.3</v>
      </c>
      <c r="T500" s="578" t="s">
        <v>2000</v>
      </c>
      <c r="U500" s="74"/>
      <c r="V500" s="764"/>
      <c r="W500" s="764"/>
      <c r="X500" s="158"/>
      <c r="Y500" s="745"/>
      <c r="Z500" s="741">
        <v>0</v>
      </c>
      <c r="AA500" s="592" t="str">
        <f t="shared" si="164"/>
        <v>.1</v>
      </c>
      <c r="AB500" s="739" t="s">
        <v>1996</v>
      </c>
      <c r="AC500" s="738">
        <v>0</v>
      </c>
      <c r="AD500" s="592" t="str">
        <f t="shared" si="165"/>
        <v>.2</v>
      </c>
      <c r="AE500" s="739" t="s">
        <v>1998</v>
      </c>
      <c r="AF500" s="738">
        <v>0</v>
      </c>
      <c r="AG500" s="592" t="str">
        <f t="shared" si="166"/>
        <v>.3</v>
      </c>
      <c r="AH500" s="739" t="s">
        <v>2000</v>
      </c>
      <c r="AI500" s="158"/>
    </row>
    <row r="501" spans="1:35" ht="15" customHeight="1" outlineLevel="4">
      <c r="A501" s="95"/>
      <c r="B501" s="95" t="s">
        <v>1075</v>
      </c>
      <c r="C501" s="95"/>
      <c r="D501" s="95"/>
      <c r="E501" s="774"/>
      <c r="F501" s="774" t="s">
        <v>1075</v>
      </c>
      <c r="G501" s="13"/>
      <c r="H501" s="81"/>
      <c r="I501" s="71">
        <f t="shared" si="160"/>
        <v>0</v>
      </c>
      <c r="J501" s="48"/>
      <c r="K501" s="590" t="str">
        <f t="shared" si="161"/>
        <v>.1</v>
      </c>
      <c r="L501" s="579" t="s">
        <v>1996</v>
      </c>
      <c r="M501" s="74"/>
      <c r="N501" s="49"/>
      <c r="O501" s="592" t="str">
        <f t="shared" si="162"/>
        <v>.2</v>
      </c>
      <c r="P501" s="578" t="s">
        <v>1998</v>
      </c>
      <c r="Q501" s="74"/>
      <c r="R501" s="49"/>
      <c r="S501" s="592" t="str">
        <f t="shared" si="163"/>
        <v>.3</v>
      </c>
      <c r="T501" s="578" t="s">
        <v>2000</v>
      </c>
      <c r="U501" s="74"/>
      <c r="V501" s="766"/>
      <c r="W501" s="766"/>
      <c r="X501" s="171"/>
      <c r="Y501" s="745"/>
      <c r="Z501" s="741">
        <v>0</v>
      </c>
      <c r="AA501" s="592" t="str">
        <f t="shared" si="164"/>
        <v>.1</v>
      </c>
      <c r="AB501" s="739" t="s">
        <v>1996</v>
      </c>
      <c r="AC501" s="738">
        <v>0</v>
      </c>
      <c r="AD501" s="592" t="str">
        <f t="shared" si="165"/>
        <v>.2</v>
      </c>
      <c r="AE501" s="739" t="s">
        <v>1998</v>
      </c>
      <c r="AF501" s="738">
        <v>0</v>
      </c>
      <c r="AG501" s="592" t="str">
        <f t="shared" si="166"/>
        <v>.3</v>
      </c>
      <c r="AH501" s="739" t="s">
        <v>2000</v>
      </c>
      <c r="AI501" s="171"/>
    </row>
    <row r="502" spans="1:35" ht="15" customHeight="1" outlineLevel="3">
      <c r="A502" s="97"/>
      <c r="B502" s="97" t="s">
        <v>1075</v>
      </c>
      <c r="C502" s="97"/>
      <c r="D502" s="97"/>
      <c r="E502" s="97"/>
      <c r="F502" s="97" t="s">
        <v>1075</v>
      </c>
      <c r="G502" s="40" t="s">
        <v>250</v>
      </c>
      <c r="H502" s="78">
        <f>SUBTOTAL(9,H503:H516)</f>
        <v>0</v>
      </c>
      <c r="I502" s="68">
        <f t="shared" si="160"/>
        <v>0</v>
      </c>
      <c r="J502" s="61">
        <f>SUBTOTAL(9,J503:J516)</f>
        <v>0</v>
      </c>
      <c r="K502" s="61"/>
      <c r="L502" s="61"/>
      <c r="M502" s="84"/>
      <c r="N502" s="61">
        <f>SUBTOTAL(9,N503:N516)</f>
        <v>0</v>
      </c>
      <c r="O502" s="91"/>
      <c r="P502" s="91"/>
      <c r="Q502" s="84"/>
      <c r="R502" s="61">
        <f>SUBTOTAL(9,R503:R516)</f>
        <v>0</v>
      </c>
      <c r="S502" s="91"/>
      <c r="T502" s="91"/>
      <c r="U502" s="84"/>
      <c r="V502" s="61">
        <f>SUBTOTAL(9,V503:V516)</f>
        <v>0</v>
      </c>
      <c r="W502" s="61">
        <f>SUBTOTAL(9,W503:W516)</f>
        <v>0</v>
      </c>
      <c r="X502" s="170"/>
      <c r="Y502" s="745"/>
      <c r="Z502" s="61">
        <f>SUBTOTAL(9,Z503:Z516)</f>
        <v>0</v>
      </c>
      <c r="AA502" s="91"/>
      <c r="AB502" s="91"/>
      <c r="AC502" s="61">
        <f>SUBTOTAL(9,AC503:AC516)</f>
        <v>0</v>
      </c>
      <c r="AD502" s="91"/>
      <c r="AE502" s="91"/>
      <c r="AF502" s="61">
        <f>SUBTOTAL(9,AF503:AF516)</f>
        <v>0</v>
      </c>
      <c r="AG502" s="91"/>
      <c r="AH502" s="91"/>
      <c r="AI502" s="170"/>
    </row>
    <row r="503" spans="1:35" ht="15" customHeight="1" outlineLevel="4">
      <c r="A503" s="93">
        <v>209010</v>
      </c>
      <c r="B503" s="93">
        <v>3450</v>
      </c>
      <c r="C503" s="93"/>
      <c r="D503" s="93"/>
      <c r="E503" s="93" t="s">
        <v>2945</v>
      </c>
      <c r="F503" s="93" t="s">
        <v>5194</v>
      </c>
      <c r="G503" s="37" t="s">
        <v>109</v>
      </c>
      <c r="H503" s="583">
        <f>IFERROR(VLOOKUP(A503,'Colar QL'!A:C,3,0),0)</f>
        <v>0</v>
      </c>
      <c r="I503" s="69">
        <f t="shared" si="160"/>
        <v>0</v>
      </c>
      <c r="J503" s="258">
        <f>'BD Temp'!E753</f>
        <v>0</v>
      </c>
      <c r="K503" s="590" t="str">
        <f t="shared" ref="K503:K516" si="167">F503&amp;L503</f>
        <v>47.0284.1.2.17.00.01.039.01.08.04.1</v>
      </c>
      <c r="L503" s="579" t="s">
        <v>1996</v>
      </c>
      <c r="M503" s="256" t="str">
        <f>'BD Temp'!F753</f>
        <v>-</v>
      </c>
      <c r="N503" s="255">
        <f>'BD Temp'!J753</f>
        <v>0</v>
      </c>
      <c r="O503" s="592" t="str">
        <f t="shared" ref="O503:O516" si="168">F503&amp;P503</f>
        <v>47.0284.1.2.17.00.01.039.01.08.04.2</v>
      </c>
      <c r="P503" s="578" t="s">
        <v>1998</v>
      </c>
      <c r="Q503" s="256" t="str">
        <f>'BD Temp'!K753</f>
        <v>-</v>
      </c>
      <c r="R503" s="255">
        <f>'BD Temp'!O753</f>
        <v>0</v>
      </c>
      <c r="S503" s="592" t="str">
        <f t="shared" ref="S503:S516" si="169">F503&amp;T503</f>
        <v>47.0284.1.2.17.00.01.039.01.08.04.3</v>
      </c>
      <c r="T503" s="578" t="s">
        <v>2000</v>
      </c>
      <c r="U503" s="256" t="str">
        <f>'BD Temp'!P753</f>
        <v>-</v>
      </c>
      <c r="V503" s="764"/>
      <c r="W503" s="767"/>
      <c r="X503" s="158"/>
      <c r="Y503" s="745"/>
      <c r="Z503" s="741">
        <v>0</v>
      </c>
      <c r="AA503" s="592" t="str">
        <f t="shared" ref="AA503:AA516" si="170">F503&amp;AB503</f>
        <v>47.0284.1.2.17.00.01.039.01.08.04.1</v>
      </c>
      <c r="AB503" s="739" t="s">
        <v>1996</v>
      </c>
      <c r="AC503" s="738">
        <v>0</v>
      </c>
      <c r="AD503" s="592" t="str">
        <f t="shared" ref="AD503:AD516" si="171">F503&amp;AE503</f>
        <v>47.0284.1.2.17.00.01.039.01.08.04.2</v>
      </c>
      <c r="AE503" s="739" t="s">
        <v>1998</v>
      </c>
      <c r="AF503" s="738">
        <v>0</v>
      </c>
      <c r="AG503" s="592" t="str">
        <f t="shared" ref="AG503:AG516" si="172">F503&amp;AH503</f>
        <v>47.0284.1.2.17.00.01.039.01.08.04.3</v>
      </c>
      <c r="AH503" s="739" t="s">
        <v>2000</v>
      </c>
      <c r="AI503" s="158"/>
    </row>
    <row r="504" spans="1:35" ht="15" customHeight="1" outlineLevel="4">
      <c r="A504" s="93">
        <v>209015</v>
      </c>
      <c r="B504" s="93">
        <v>3450</v>
      </c>
      <c r="C504" s="93"/>
      <c r="D504" s="93"/>
      <c r="E504" s="93" t="s">
        <v>2947</v>
      </c>
      <c r="F504" s="93" t="s">
        <v>5195</v>
      </c>
      <c r="G504" s="37" t="s">
        <v>669</v>
      </c>
      <c r="H504" s="583">
        <f>IFERROR(VLOOKUP(A504,'Colar QL'!A:C,3,0),0)</f>
        <v>0</v>
      </c>
      <c r="I504" s="69">
        <f t="shared" si="160"/>
        <v>0</v>
      </c>
      <c r="J504" s="258">
        <f>'BD Temp'!E754</f>
        <v>0</v>
      </c>
      <c r="K504" s="590" t="str">
        <f t="shared" si="167"/>
        <v>47.0284.1.2.17.00.01.039.01.08.02.1</v>
      </c>
      <c r="L504" s="579" t="s">
        <v>1996</v>
      </c>
      <c r="M504" s="256" t="str">
        <f>'BD Temp'!F754</f>
        <v>-</v>
      </c>
      <c r="N504" s="255">
        <f>'BD Temp'!J754</f>
        <v>0</v>
      </c>
      <c r="O504" s="592" t="str">
        <f t="shared" si="168"/>
        <v>47.0284.1.2.17.00.01.039.01.08.02.2</v>
      </c>
      <c r="P504" s="578" t="s">
        <v>1998</v>
      </c>
      <c r="Q504" s="256" t="str">
        <f>'BD Temp'!K754</f>
        <v>-</v>
      </c>
      <c r="R504" s="255">
        <f>'BD Temp'!O754</f>
        <v>0</v>
      </c>
      <c r="S504" s="592" t="str">
        <f t="shared" si="169"/>
        <v>47.0284.1.2.17.00.01.039.01.08.02.3</v>
      </c>
      <c r="T504" s="578" t="s">
        <v>2000</v>
      </c>
      <c r="U504" s="256" t="str">
        <f>'BD Temp'!P754</f>
        <v>-</v>
      </c>
      <c r="V504" s="764"/>
      <c r="W504" s="767"/>
      <c r="X504" s="158"/>
      <c r="Y504" s="745"/>
      <c r="Z504" s="741">
        <v>0</v>
      </c>
      <c r="AA504" s="592" t="str">
        <f t="shared" si="170"/>
        <v>47.0284.1.2.17.00.01.039.01.08.02.1</v>
      </c>
      <c r="AB504" s="739" t="s">
        <v>1996</v>
      </c>
      <c r="AC504" s="738">
        <v>0</v>
      </c>
      <c r="AD504" s="592" t="str">
        <f t="shared" si="171"/>
        <v>47.0284.1.2.17.00.01.039.01.08.02.2</v>
      </c>
      <c r="AE504" s="739" t="s">
        <v>1998</v>
      </c>
      <c r="AF504" s="738">
        <v>0</v>
      </c>
      <c r="AG504" s="592" t="str">
        <f t="shared" si="172"/>
        <v>47.0284.1.2.17.00.01.039.01.08.02.3</v>
      </c>
      <c r="AH504" s="739" t="s">
        <v>2000</v>
      </c>
      <c r="AI504" s="158"/>
    </row>
    <row r="505" spans="1:35" ht="15" customHeight="1" outlineLevel="4">
      <c r="A505" s="94">
        <v>209020</v>
      </c>
      <c r="B505" s="94">
        <v>3450</v>
      </c>
      <c r="C505" s="94"/>
      <c r="D505" s="94"/>
      <c r="E505" s="94" t="s">
        <v>2947</v>
      </c>
      <c r="F505" s="94" t="s">
        <v>5195</v>
      </c>
      <c r="G505" s="38" t="s">
        <v>670</v>
      </c>
      <c r="H505" s="583">
        <f>IFERROR(VLOOKUP(A505,'Colar QL'!A:C,3,0),0)</f>
        <v>0</v>
      </c>
      <c r="I505" s="69">
        <f t="shared" si="160"/>
        <v>0</v>
      </c>
      <c r="J505" s="258">
        <f>'BD Temp'!E755</f>
        <v>0</v>
      </c>
      <c r="K505" s="590" t="str">
        <f t="shared" si="167"/>
        <v>47.0284.1.2.17.00.01.039.01.08.02.1</v>
      </c>
      <c r="L505" s="579" t="s">
        <v>1996</v>
      </c>
      <c r="M505" s="256" t="str">
        <f>'BD Temp'!F755</f>
        <v>-</v>
      </c>
      <c r="N505" s="255">
        <f>'BD Temp'!J755</f>
        <v>0</v>
      </c>
      <c r="O505" s="592" t="str">
        <f t="shared" si="168"/>
        <v>47.0284.1.2.17.00.01.039.01.08.02.2</v>
      </c>
      <c r="P505" s="578" t="s">
        <v>1998</v>
      </c>
      <c r="Q505" s="256" t="str">
        <f>'BD Temp'!K755</f>
        <v>-</v>
      </c>
      <c r="R505" s="255">
        <f>'BD Temp'!O755</f>
        <v>0</v>
      </c>
      <c r="S505" s="592" t="str">
        <f t="shared" si="169"/>
        <v>47.0284.1.2.17.00.01.039.01.08.02.3</v>
      </c>
      <c r="T505" s="578" t="s">
        <v>2000</v>
      </c>
      <c r="U505" s="256" t="str">
        <f>'BD Temp'!P755</f>
        <v>-</v>
      </c>
      <c r="V505" s="764"/>
      <c r="W505" s="767"/>
      <c r="X505" s="164"/>
      <c r="Y505" s="746"/>
      <c r="Z505" s="741">
        <v>0</v>
      </c>
      <c r="AA505" s="592" t="str">
        <f t="shared" si="170"/>
        <v>47.0284.1.2.17.00.01.039.01.08.02.1</v>
      </c>
      <c r="AB505" s="739" t="s">
        <v>1996</v>
      </c>
      <c r="AC505" s="738">
        <v>0</v>
      </c>
      <c r="AD505" s="592" t="str">
        <f t="shared" si="171"/>
        <v>47.0284.1.2.17.00.01.039.01.08.02.2</v>
      </c>
      <c r="AE505" s="739" t="s">
        <v>1998</v>
      </c>
      <c r="AF505" s="738">
        <v>0</v>
      </c>
      <c r="AG505" s="592" t="str">
        <f t="shared" si="172"/>
        <v>47.0284.1.2.17.00.01.039.01.08.02.3</v>
      </c>
      <c r="AH505" s="739" t="s">
        <v>2000</v>
      </c>
      <c r="AI505" s="164"/>
    </row>
    <row r="506" spans="1:35" ht="15" customHeight="1" outlineLevel="4">
      <c r="A506" s="94">
        <v>209025</v>
      </c>
      <c r="B506" s="94">
        <v>3450</v>
      </c>
      <c r="C506" s="94"/>
      <c r="D506" s="94"/>
      <c r="E506" s="94" t="s">
        <v>2947</v>
      </c>
      <c r="F506" s="94" t="s">
        <v>5195</v>
      </c>
      <c r="G506" s="38" t="s">
        <v>671</v>
      </c>
      <c r="H506" s="583">
        <f>IFERROR(VLOOKUP(A506,'Colar QL'!A:C,3,0),0)</f>
        <v>0</v>
      </c>
      <c r="I506" s="69">
        <f t="shared" si="160"/>
        <v>0</v>
      </c>
      <c r="J506" s="258">
        <f>'BD Temp'!E756</f>
        <v>0</v>
      </c>
      <c r="K506" s="590" t="str">
        <f t="shared" si="167"/>
        <v>47.0284.1.2.17.00.01.039.01.08.02.1</v>
      </c>
      <c r="L506" s="579" t="s">
        <v>1996</v>
      </c>
      <c r="M506" s="256" t="str">
        <f>'BD Temp'!F756</f>
        <v>-</v>
      </c>
      <c r="N506" s="255">
        <f>'BD Temp'!J756</f>
        <v>0</v>
      </c>
      <c r="O506" s="592" t="str">
        <f t="shared" si="168"/>
        <v>47.0284.1.2.17.00.01.039.01.08.02.2</v>
      </c>
      <c r="P506" s="578" t="s">
        <v>1998</v>
      </c>
      <c r="Q506" s="256" t="str">
        <f>'BD Temp'!K756</f>
        <v>-</v>
      </c>
      <c r="R506" s="255">
        <f>'BD Temp'!O756</f>
        <v>0</v>
      </c>
      <c r="S506" s="592" t="str">
        <f t="shared" si="169"/>
        <v>47.0284.1.2.17.00.01.039.01.08.02.3</v>
      </c>
      <c r="T506" s="578" t="s">
        <v>2000</v>
      </c>
      <c r="U506" s="256" t="str">
        <f>'BD Temp'!P756</f>
        <v>-</v>
      </c>
      <c r="V506" s="764"/>
      <c r="W506" s="767"/>
      <c r="X506" s="164"/>
      <c r="Y506" s="746"/>
      <c r="Z506" s="741">
        <v>0</v>
      </c>
      <c r="AA506" s="592" t="str">
        <f t="shared" si="170"/>
        <v>47.0284.1.2.17.00.01.039.01.08.02.1</v>
      </c>
      <c r="AB506" s="739" t="s">
        <v>1996</v>
      </c>
      <c r="AC506" s="738">
        <v>0</v>
      </c>
      <c r="AD506" s="592" t="str">
        <f t="shared" si="171"/>
        <v>47.0284.1.2.17.00.01.039.01.08.02.2</v>
      </c>
      <c r="AE506" s="739" t="s">
        <v>1998</v>
      </c>
      <c r="AF506" s="738">
        <v>0</v>
      </c>
      <c r="AG506" s="592" t="str">
        <f t="shared" si="172"/>
        <v>47.0284.1.2.17.00.01.039.01.08.02.3</v>
      </c>
      <c r="AH506" s="739" t="s">
        <v>2000</v>
      </c>
      <c r="AI506" s="164"/>
    </row>
    <row r="507" spans="1:35" ht="15" customHeight="1" outlineLevel="4">
      <c r="A507" s="93">
        <v>209045</v>
      </c>
      <c r="B507" s="93">
        <v>3450</v>
      </c>
      <c r="C507" s="93"/>
      <c r="D507" s="93"/>
      <c r="E507" s="93" t="s">
        <v>2945</v>
      </c>
      <c r="F507" s="93" t="s">
        <v>5194</v>
      </c>
      <c r="G507" s="37" t="s">
        <v>673</v>
      </c>
      <c r="H507" s="583">
        <f>IFERROR(VLOOKUP(A507,'Colar QL'!A:C,3,0),0)</f>
        <v>0</v>
      </c>
      <c r="I507" s="69">
        <f t="shared" si="160"/>
        <v>0</v>
      </c>
      <c r="J507" s="258">
        <f>'BD Temp'!E757</f>
        <v>0</v>
      </c>
      <c r="K507" s="590" t="str">
        <f t="shared" si="167"/>
        <v>47.0284.1.2.17.00.01.039.01.08.04.1</v>
      </c>
      <c r="L507" s="579" t="s">
        <v>1996</v>
      </c>
      <c r="M507" s="256" t="str">
        <f>'BD Temp'!F757</f>
        <v>-</v>
      </c>
      <c r="N507" s="255">
        <f>'BD Temp'!J757</f>
        <v>0</v>
      </c>
      <c r="O507" s="592" t="str">
        <f t="shared" si="168"/>
        <v>47.0284.1.2.17.00.01.039.01.08.04.2</v>
      </c>
      <c r="P507" s="578" t="s">
        <v>1998</v>
      </c>
      <c r="Q507" s="256" t="str">
        <f>'BD Temp'!K757</f>
        <v>-</v>
      </c>
      <c r="R507" s="255">
        <f>'BD Temp'!O757</f>
        <v>0</v>
      </c>
      <c r="S507" s="592" t="str">
        <f t="shared" si="169"/>
        <v>47.0284.1.2.17.00.01.039.01.08.04.3</v>
      </c>
      <c r="T507" s="578" t="s">
        <v>2000</v>
      </c>
      <c r="U507" s="256" t="str">
        <f>'BD Temp'!P757</f>
        <v>-</v>
      </c>
      <c r="V507" s="764"/>
      <c r="W507" s="767"/>
      <c r="X507" s="158"/>
      <c r="Y507" s="745"/>
      <c r="Z507" s="741">
        <v>0</v>
      </c>
      <c r="AA507" s="592" t="str">
        <f t="shared" si="170"/>
        <v>47.0284.1.2.17.00.01.039.01.08.04.1</v>
      </c>
      <c r="AB507" s="739" t="s">
        <v>1996</v>
      </c>
      <c r="AC507" s="738">
        <v>0</v>
      </c>
      <c r="AD507" s="592" t="str">
        <f t="shared" si="171"/>
        <v>47.0284.1.2.17.00.01.039.01.08.04.2</v>
      </c>
      <c r="AE507" s="739" t="s">
        <v>1998</v>
      </c>
      <c r="AF507" s="738">
        <v>0</v>
      </c>
      <c r="AG507" s="592" t="str">
        <f t="shared" si="172"/>
        <v>47.0284.1.2.17.00.01.039.01.08.04.3</v>
      </c>
      <c r="AH507" s="739" t="s">
        <v>2000</v>
      </c>
      <c r="AI507" s="158"/>
    </row>
    <row r="508" spans="1:35" ht="15" customHeight="1" outlineLevel="4">
      <c r="A508" s="93">
        <v>209055</v>
      </c>
      <c r="B508" s="93">
        <v>3450</v>
      </c>
      <c r="C508" s="93"/>
      <c r="D508" s="93"/>
      <c r="E508" s="93" t="s">
        <v>2948</v>
      </c>
      <c r="F508" s="93" t="s">
        <v>5190</v>
      </c>
      <c r="G508" s="37" t="s">
        <v>832</v>
      </c>
      <c r="H508" s="583">
        <f>IFERROR(VLOOKUP(A508,'Colar QL'!A:C,3,0),0)</f>
        <v>0</v>
      </c>
      <c r="I508" s="69">
        <f t="shared" si="160"/>
        <v>0</v>
      </c>
      <c r="J508" s="258">
        <f>'BD Temp'!E758</f>
        <v>0</v>
      </c>
      <c r="K508" s="590" t="str">
        <f t="shared" si="167"/>
        <v>47.0284.1.2.17.00.01.039.01.08.35.1</v>
      </c>
      <c r="L508" s="579" t="s">
        <v>1996</v>
      </c>
      <c r="M508" s="256" t="str">
        <f>'BD Temp'!F758</f>
        <v>-</v>
      </c>
      <c r="N508" s="255">
        <f>'BD Temp'!J758</f>
        <v>0</v>
      </c>
      <c r="O508" s="592" t="str">
        <f t="shared" si="168"/>
        <v>47.0284.1.2.17.00.01.039.01.08.35.2</v>
      </c>
      <c r="P508" s="578" t="s">
        <v>1998</v>
      </c>
      <c r="Q508" s="256" t="str">
        <f>'BD Temp'!K758</f>
        <v>-</v>
      </c>
      <c r="R508" s="255">
        <f>'BD Temp'!O758</f>
        <v>0</v>
      </c>
      <c r="S508" s="592" t="str">
        <f t="shared" si="169"/>
        <v>47.0284.1.2.17.00.01.039.01.08.35.3</v>
      </c>
      <c r="T508" s="578" t="s">
        <v>2000</v>
      </c>
      <c r="U508" s="256" t="str">
        <f>'BD Temp'!P758</f>
        <v>-</v>
      </c>
      <c r="V508" s="764"/>
      <c r="W508" s="767"/>
      <c r="X508" s="158"/>
      <c r="Y508" s="745"/>
      <c r="Z508" s="741">
        <v>0</v>
      </c>
      <c r="AA508" s="592" t="str">
        <f t="shared" si="170"/>
        <v>47.0284.1.2.17.00.01.039.01.08.35.1</v>
      </c>
      <c r="AB508" s="739" t="s">
        <v>1996</v>
      </c>
      <c r="AC508" s="738">
        <v>0</v>
      </c>
      <c r="AD508" s="592" t="str">
        <f t="shared" si="171"/>
        <v>47.0284.1.2.17.00.01.039.01.08.35.2</v>
      </c>
      <c r="AE508" s="739" t="s">
        <v>1998</v>
      </c>
      <c r="AF508" s="738">
        <v>0</v>
      </c>
      <c r="AG508" s="592" t="str">
        <f t="shared" si="172"/>
        <v>47.0284.1.2.17.00.01.039.01.08.35.3</v>
      </c>
      <c r="AH508" s="739" t="s">
        <v>2000</v>
      </c>
      <c r="AI508" s="158"/>
    </row>
    <row r="509" spans="1:35" ht="15" customHeight="1" outlineLevel="4">
      <c r="A509" s="93"/>
      <c r="B509" s="93" t="s">
        <v>1075</v>
      </c>
      <c r="C509" s="93"/>
      <c r="D509" s="93"/>
      <c r="E509" s="93"/>
      <c r="F509" s="93" t="s">
        <v>1075</v>
      </c>
      <c r="G509" s="37"/>
      <c r="H509" s="79"/>
      <c r="I509" s="69">
        <f t="shared" si="160"/>
        <v>0</v>
      </c>
      <c r="J509" s="48"/>
      <c r="K509" s="590" t="str">
        <f t="shared" si="167"/>
        <v>.1</v>
      </c>
      <c r="L509" s="579" t="s">
        <v>1996</v>
      </c>
      <c r="M509" s="74"/>
      <c r="N509" s="49"/>
      <c r="O509" s="592" t="str">
        <f t="shared" si="168"/>
        <v>.2</v>
      </c>
      <c r="P509" s="578" t="s">
        <v>1998</v>
      </c>
      <c r="Q509" s="74"/>
      <c r="R509" s="49"/>
      <c r="S509" s="592" t="str">
        <f t="shared" si="169"/>
        <v>.3</v>
      </c>
      <c r="T509" s="578" t="s">
        <v>2000</v>
      </c>
      <c r="U509" s="74"/>
      <c r="V509" s="764"/>
      <c r="W509" s="764"/>
      <c r="X509" s="158"/>
      <c r="Y509" s="745"/>
      <c r="Z509" s="741">
        <v>0</v>
      </c>
      <c r="AA509" s="592" t="str">
        <f t="shared" si="170"/>
        <v>.1</v>
      </c>
      <c r="AB509" s="739" t="s">
        <v>1996</v>
      </c>
      <c r="AC509" s="738">
        <v>0</v>
      </c>
      <c r="AD509" s="592" t="str">
        <f t="shared" si="171"/>
        <v>.2</v>
      </c>
      <c r="AE509" s="739" t="s">
        <v>1998</v>
      </c>
      <c r="AF509" s="738">
        <v>0</v>
      </c>
      <c r="AG509" s="592" t="str">
        <f t="shared" si="172"/>
        <v>.3</v>
      </c>
      <c r="AH509" s="739" t="s">
        <v>2000</v>
      </c>
      <c r="AI509" s="158"/>
    </row>
    <row r="510" spans="1:35" ht="15" customHeight="1" outlineLevel="4">
      <c r="A510" s="99"/>
      <c r="B510" s="99" t="s">
        <v>1075</v>
      </c>
      <c r="C510" s="99"/>
      <c r="D510" s="99"/>
      <c r="E510" s="99"/>
      <c r="F510" s="99" t="s">
        <v>1075</v>
      </c>
      <c r="G510" s="39" t="s">
        <v>723</v>
      </c>
      <c r="H510" s="79"/>
      <c r="I510" s="69">
        <f t="shared" si="160"/>
        <v>0</v>
      </c>
      <c r="J510" s="48"/>
      <c r="K510" s="590" t="str">
        <f t="shared" si="167"/>
        <v>.1</v>
      </c>
      <c r="L510" s="579" t="s">
        <v>1996</v>
      </c>
      <c r="M510" s="74"/>
      <c r="N510" s="49"/>
      <c r="O510" s="592" t="str">
        <f t="shared" si="168"/>
        <v>.2</v>
      </c>
      <c r="P510" s="578" t="s">
        <v>1998</v>
      </c>
      <c r="Q510" s="74"/>
      <c r="R510" s="49"/>
      <c r="S510" s="592" t="str">
        <f t="shared" si="169"/>
        <v>.3</v>
      </c>
      <c r="T510" s="578" t="s">
        <v>2000</v>
      </c>
      <c r="U510" s="74"/>
      <c r="V510" s="764"/>
      <c r="W510" s="764"/>
      <c r="X510" s="158"/>
      <c r="Y510" s="745"/>
      <c r="Z510" s="741">
        <v>0</v>
      </c>
      <c r="AA510" s="592" t="str">
        <f t="shared" si="170"/>
        <v>.1</v>
      </c>
      <c r="AB510" s="739" t="s">
        <v>1996</v>
      </c>
      <c r="AC510" s="738">
        <v>0</v>
      </c>
      <c r="AD510" s="592" t="str">
        <f t="shared" si="171"/>
        <v>.2</v>
      </c>
      <c r="AE510" s="739" t="s">
        <v>1998</v>
      </c>
      <c r="AF510" s="738">
        <v>0</v>
      </c>
      <c r="AG510" s="592" t="str">
        <f t="shared" si="172"/>
        <v>.3</v>
      </c>
      <c r="AH510" s="739" t="s">
        <v>2000</v>
      </c>
      <c r="AI510" s="158"/>
    </row>
    <row r="511" spans="1:35" ht="15" customHeight="1" outlineLevel="4">
      <c r="A511" s="93"/>
      <c r="B511" s="93" t="s">
        <v>1075</v>
      </c>
      <c r="C511" s="93"/>
      <c r="D511" s="93"/>
      <c r="E511" s="93"/>
      <c r="F511" s="93" t="s">
        <v>1075</v>
      </c>
      <c r="G511" s="37"/>
      <c r="H511" s="79"/>
      <c r="I511" s="69">
        <f t="shared" si="160"/>
        <v>0</v>
      </c>
      <c r="J511" s="48"/>
      <c r="K511" s="590" t="str">
        <f t="shared" si="167"/>
        <v>.1</v>
      </c>
      <c r="L511" s="579" t="s">
        <v>1996</v>
      </c>
      <c r="M511" s="74"/>
      <c r="N511" s="49"/>
      <c r="O511" s="592" t="str">
        <f t="shared" si="168"/>
        <v>.2</v>
      </c>
      <c r="P511" s="578" t="s">
        <v>1998</v>
      </c>
      <c r="Q511" s="74"/>
      <c r="R511" s="49"/>
      <c r="S511" s="592" t="str">
        <f t="shared" si="169"/>
        <v>.3</v>
      </c>
      <c r="T511" s="578" t="s">
        <v>2000</v>
      </c>
      <c r="U511" s="74"/>
      <c r="V511" s="764"/>
      <c r="W511" s="764"/>
      <c r="X511" s="158"/>
      <c r="Y511" s="745"/>
      <c r="Z511" s="741">
        <v>0</v>
      </c>
      <c r="AA511" s="592" t="str">
        <f t="shared" si="170"/>
        <v>.1</v>
      </c>
      <c r="AB511" s="739" t="s">
        <v>1996</v>
      </c>
      <c r="AC511" s="738">
        <v>0</v>
      </c>
      <c r="AD511" s="592" t="str">
        <f t="shared" si="171"/>
        <v>.2</v>
      </c>
      <c r="AE511" s="739" t="s">
        <v>1998</v>
      </c>
      <c r="AF511" s="738">
        <v>0</v>
      </c>
      <c r="AG511" s="592" t="str">
        <f t="shared" si="172"/>
        <v>.3</v>
      </c>
      <c r="AH511" s="739" t="s">
        <v>2000</v>
      </c>
      <c r="AI511" s="158"/>
    </row>
    <row r="512" spans="1:35" ht="15" customHeight="1" outlineLevel="4">
      <c r="A512" s="93"/>
      <c r="B512" s="93" t="s">
        <v>1075</v>
      </c>
      <c r="C512" s="93"/>
      <c r="D512" s="93"/>
      <c r="E512" s="93"/>
      <c r="F512" s="93" t="s">
        <v>1075</v>
      </c>
      <c r="G512" s="37"/>
      <c r="H512" s="79"/>
      <c r="I512" s="69">
        <f t="shared" si="160"/>
        <v>0</v>
      </c>
      <c r="J512" s="48"/>
      <c r="K512" s="590" t="str">
        <f t="shared" si="167"/>
        <v>.1</v>
      </c>
      <c r="L512" s="579" t="s">
        <v>1996</v>
      </c>
      <c r="M512" s="74"/>
      <c r="N512" s="49"/>
      <c r="O512" s="592" t="str">
        <f t="shared" si="168"/>
        <v>.2</v>
      </c>
      <c r="P512" s="578" t="s">
        <v>1998</v>
      </c>
      <c r="Q512" s="74"/>
      <c r="R512" s="49"/>
      <c r="S512" s="592" t="str">
        <f t="shared" si="169"/>
        <v>.3</v>
      </c>
      <c r="T512" s="578" t="s">
        <v>2000</v>
      </c>
      <c r="U512" s="74"/>
      <c r="V512" s="764"/>
      <c r="W512" s="764"/>
      <c r="X512" s="158"/>
      <c r="Y512" s="745"/>
      <c r="Z512" s="741">
        <v>0</v>
      </c>
      <c r="AA512" s="592" t="str">
        <f t="shared" si="170"/>
        <v>.1</v>
      </c>
      <c r="AB512" s="739" t="s">
        <v>1996</v>
      </c>
      <c r="AC512" s="738">
        <v>0</v>
      </c>
      <c r="AD512" s="592" t="str">
        <f t="shared" si="171"/>
        <v>.2</v>
      </c>
      <c r="AE512" s="739" t="s">
        <v>1998</v>
      </c>
      <c r="AF512" s="738">
        <v>0</v>
      </c>
      <c r="AG512" s="592" t="str">
        <f t="shared" si="172"/>
        <v>.3</v>
      </c>
      <c r="AH512" s="739" t="s">
        <v>2000</v>
      </c>
      <c r="AI512" s="158"/>
    </row>
    <row r="513" spans="1:35" ht="15" customHeight="1" outlineLevel="4">
      <c r="A513" s="93"/>
      <c r="B513" s="93" t="s">
        <v>1075</v>
      </c>
      <c r="C513" s="93"/>
      <c r="D513" s="93"/>
      <c r="E513" s="93"/>
      <c r="F513" s="93" t="s">
        <v>1075</v>
      </c>
      <c r="G513" s="37"/>
      <c r="H513" s="79"/>
      <c r="I513" s="69">
        <f t="shared" si="160"/>
        <v>0</v>
      </c>
      <c r="J513" s="48"/>
      <c r="K513" s="590" t="str">
        <f t="shared" si="167"/>
        <v>.1</v>
      </c>
      <c r="L513" s="579" t="s">
        <v>1996</v>
      </c>
      <c r="M513" s="74"/>
      <c r="N513" s="49"/>
      <c r="O513" s="592" t="str">
        <f t="shared" si="168"/>
        <v>.2</v>
      </c>
      <c r="P513" s="578" t="s">
        <v>1998</v>
      </c>
      <c r="Q513" s="74"/>
      <c r="R513" s="49"/>
      <c r="S513" s="592" t="str">
        <f t="shared" si="169"/>
        <v>.3</v>
      </c>
      <c r="T513" s="578" t="s">
        <v>2000</v>
      </c>
      <c r="U513" s="74"/>
      <c r="V513" s="764"/>
      <c r="W513" s="764"/>
      <c r="X513" s="158"/>
      <c r="Y513" s="745"/>
      <c r="Z513" s="741">
        <v>0</v>
      </c>
      <c r="AA513" s="592" t="str">
        <f t="shared" si="170"/>
        <v>.1</v>
      </c>
      <c r="AB513" s="739" t="s">
        <v>1996</v>
      </c>
      <c r="AC513" s="738">
        <v>0</v>
      </c>
      <c r="AD513" s="592" t="str">
        <f t="shared" si="171"/>
        <v>.2</v>
      </c>
      <c r="AE513" s="739" t="s">
        <v>1998</v>
      </c>
      <c r="AF513" s="738">
        <v>0</v>
      </c>
      <c r="AG513" s="592" t="str">
        <f t="shared" si="172"/>
        <v>.3</v>
      </c>
      <c r="AH513" s="739" t="s">
        <v>2000</v>
      </c>
      <c r="AI513" s="158"/>
    </row>
    <row r="514" spans="1:35" ht="15" customHeight="1" outlineLevel="4">
      <c r="A514" s="93"/>
      <c r="B514" s="93" t="s">
        <v>1075</v>
      </c>
      <c r="C514" s="93"/>
      <c r="D514" s="93"/>
      <c r="E514" s="93"/>
      <c r="F514" s="93" t="s">
        <v>1075</v>
      </c>
      <c r="G514" s="37"/>
      <c r="H514" s="79"/>
      <c r="I514" s="69">
        <f t="shared" si="160"/>
        <v>0</v>
      </c>
      <c r="J514" s="48"/>
      <c r="K514" s="590" t="str">
        <f t="shared" si="167"/>
        <v>.1</v>
      </c>
      <c r="L514" s="579" t="s">
        <v>1996</v>
      </c>
      <c r="M514" s="74"/>
      <c r="N514" s="49"/>
      <c r="O514" s="592" t="str">
        <f t="shared" si="168"/>
        <v>.2</v>
      </c>
      <c r="P514" s="578" t="s">
        <v>1998</v>
      </c>
      <c r="Q514" s="74"/>
      <c r="R514" s="49"/>
      <c r="S514" s="592" t="str">
        <f t="shared" si="169"/>
        <v>.3</v>
      </c>
      <c r="T514" s="578" t="s">
        <v>2000</v>
      </c>
      <c r="U514" s="74"/>
      <c r="V514" s="764"/>
      <c r="W514" s="764"/>
      <c r="X514" s="158"/>
      <c r="Y514" s="745"/>
      <c r="Z514" s="741">
        <v>0</v>
      </c>
      <c r="AA514" s="592" t="str">
        <f t="shared" si="170"/>
        <v>.1</v>
      </c>
      <c r="AB514" s="739" t="s">
        <v>1996</v>
      </c>
      <c r="AC514" s="738">
        <v>0</v>
      </c>
      <c r="AD514" s="592" t="str">
        <f t="shared" si="171"/>
        <v>.2</v>
      </c>
      <c r="AE514" s="739" t="s">
        <v>1998</v>
      </c>
      <c r="AF514" s="738">
        <v>0</v>
      </c>
      <c r="AG514" s="592" t="str">
        <f t="shared" si="172"/>
        <v>.3</v>
      </c>
      <c r="AH514" s="739" t="s">
        <v>2000</v>
      </c>
      <c r="AI514" s="158"/>
    </row>
    <row r="515" spans="1:35" ht="15" customHeight="1" outlineLevel="4">
      <c r="A515" s="93"/>
      <c r="B515" s="93" t="s">
        <v>1075</v>
      </c>
      <c r="C515" s="93"/>
      <c r="D515" s="93"/>
      <c r="E515" s="93"/>
      <c r="F515" s="93" t="s">
        <v>1075</v>
      </c>
      <c r="G515" s="37"/>
      <c r="H515" s="79"/>
      <c r="I515" s="69">
        <f t="shared" si="160"/>
        <v>0</v>
      </c>
      <c r="J515" s="48"/>
      <c r="K515" s="590" t="str">
        <f t="shared" si="167"/>
        <v>.1</v>
      </c>
      <c r="L515" s="579" t="s">
        <v>1996</v>
      </c>
      <c r="M515" s="74"/>
      <c r="N515" s="49"/>
      <c r="O515" s="592" t="str">
        <f t="shared" si="168"/>
        <v>.2</v>
      </c>
      <c r="P515" s="578" t="s">
        <v>1998</v>
      </c>
      <c r="Q515" s="74"/>
      <c r="R515" s="49"/>
      <c r="S515" s="592" t="str">
        <f t="shared" si="169"/>
        <v>.3</v>
      </c>
      <c r="T515" s="578" t="s">
        <v>2000</v>
      </c>
      <c r="U515" s="74"/>
      <c r="V515" s="764"/>
      <c r="W515" s="764"/>
      <c r="X515" s="158"/>
      <c r="Y515" s="745"/>
      <c r="Z515" s="741">
        <v>0</v>
      </c>
      <c r="AA515" s="592" t="str">
        <f t="shared" si="170"/>
        <v>.1</v>
      </c>
      <c r="AB515" s="739" t="s">
        <v>1996</v>
      </c>
      <c r="AC515" s="738">
        <v>0</v>
      </c>
      <c r="AD515" s="592" t="str">
        <f t="shared" si="171"/>
        <v>.2</v>
      </c>
      <c r="AE515" s="739" t="s">
        <v>1998</v>
      </c>
      <c r="AF515" s="738">
        <v>0</v>
      </c>
      <c r="AG515" s="592" t="str">
        <f t="shared" si="172"/>
        <v>.3</v>
      </c>
      <c r="AH515" s="739" t="s">
        <v>2000</v>
      </c>
      <c r="AI515" s="158"/>
    </row>
    <row r="516" spans="1:35" ht="15" customHeight="1" outlineLevel="4">
      <c r="A516" s="95"/>
      <c r="B516" s="95" t="s">
        <v>1075</v>
      </c>
      <c r="C516" s="95"/>
      <c r="D516" s="95"/>
      <c r="E516" s="774"/>
      <c r="F516" s="774" t="s">
        <v>1075</v>
      </c>
      <c r="G516" s="13"/>
      <c r="H516" s="81"/>
      <c r="I516" s="71">
        <f t="shared" si="160"/>
        <v>0</v>
      </c>
      <c r="J516" s="48"/>
      <c r="K516" s="590" t="str">
        <f t="shared" si="167"/>
        <v>.1</v>
      </c>
      <c r="L516" s="579" t="s">
        <v>1996</v>
      </c>
      <c r="M516" s="74"/>
      <c r="N516" s="49"/>
      <c r="O516" s="592" t="str">
        <f t="shared" si="168"/>
        <v>.2</v>
      </c>
      <c r="P516" s="578" t="s">
        <v>1998</v>
      </c>
      <c r="Q516" s="74"/>
      <c r="R516" s="49"/>
      <c r="S516" s="592" t="str">
        <f t="shared" si="169"/>
        <v>.3</v>
      </c>
      <c r="T516" s="578" t="s">
        <v>2000</v>
      </c>
      <c r="U516" s="74"/>
      <c r="V516" s="766"/>
      <c r="W516" s="766"/>
      <c r="X516" s="171"/>
      <c r="Y516" s="745"/>
      <c r="Z516" s="741">
        <v>0</v>
      </c>
      <c r="AA516" s="592" t="str">
        <f t="shared" si="170"/>
        <v>.1</v>
      </c>
      <c r="AB516" s="739" t="s">
        <v>1996</v>
      </c>
      <c r="AC516" s="738">
        <v>0</v>
      </c>
      <c r="AD516" s="592" t="str">
        <f t="shared" si="171"/>
        <v>.2</v>
      </c>
      <c r="AE516" s="739" t="s">
        <v>1998</v>
      </c>
      <c r="AF516" s="738">
        <v>0</v>
      </c>
      <c r="AG516" s="592" t="str">
        <f t="shared" si="172"/>
        <v>.3</v>
      </c>
      <c r="AH516" s="739" t="s">
        <v>2000</v>
      </c>
      <c r="AI516" s="171"/>
    </row>
    <row r="517" spans="1:35" ht="15" customHeight="1" outlineLevel="3">
      <c r="A517" s="97"/>
      <c r="B517" s="97" t="s">
        <v>1075</v>
      </c>
      <c r="C517" s="97"/>
      <c r="D517" s="97"/>
      <c r="E517" s="97"/>
      <c r="F517" s="97" t="s">
        <v>1075</v>
      </c>
      <c r="G517" s="40" t="s">
        <v>253</v>
      </c>
      <c r="H517" s="78">
        <f>SUBTOTAL(9,H518:H533)</f>
        <v>0</v>
      </c>
      <c r="I517" s="68">
        <f t="shared" si="160"/>
        <v>0</v>
      </c>
      <c r="J517" s="61">
        <f>SUBTOTAL(9,J518:J533)</f>
        <v>0</v>
      </c>
      <c r="K517" s="61"/>
      <c r="L517" s="61"/>
      <c r="M517" s="84"/>
      <c r="N517" s="61">
        <f>SUBTOTAL(9,N518:N533)</f>
        <v>0</v>
      </c>
      <c r="O517" s="91"/>
      <c r="P517" s="91"/>
      <c r="Q517" s="84"/>
      <c r="R517" s="61">
        <f>SUBTOTAL(9,R518:R533)</f>
        <v>0</v>
      </c>
      <c r="S517" s="91"/>
      <c r="T517" s="91"/>
      <c r="U517" s="84"/>
      <c r="V517" s="61">
        <f>SUBTOTAL(9,V518:V533)</f>
        <v>0</v>
      </c>
      <c r="W517" s="61">
        <f>SUBTOTAL(9,W518:W533)</f>
        <v>0</v>
      </c>
      <c r="X517" s="170"/>
      <c r="Y517" s="745"/>
      <c r="Z517" s="61">
        <f>SUBTOTAL(9,Z518:Z533)</f>
        <v>0</v>
      </c>
      <c r="AA517" s="91"/>
      <c r="AB517" s="91"/>
      <c r="AC517" s="61">
        <f>SUBTOTAL(9,AC518:AC533)</f>
        <v>0</v>
      </c>
      <c r="AD517" s="91"/>
      <c r="AE517" s="91"/>
      <c r="AF517" s="61">
        <f>SUBTOTAL(9,AF518:AF533)</f>
        <v>0</v>
      </c>
      <c r="AG517" s="91"/>
      <c r="AH517" s="91"/>
      <c r="AI517" s="170"/>
    </row>
    <row r="518" spans="1:35" ht="15" customHeight="1" outlineLevel="4">
      <c r="A518" s="93">
        <v>209140</v>
      </c>
      <c r="B518" s="93">
        <v>3450</v>
      </c>
      <c r="C518" s="93"/>
      <c r="D518" s="93"/>
      <c r="E518" s="93" t="s">
        <v>2949</v>
      </c>
      <c r="F518" s="93" t="s">
        <v>5196</v>
      </c>
      <c r="G518" s="37" t="s">
        <v>675</v>
      </c>
      <c r="H518" s="583">
        <f>IFERROR(VLOOKUP(A518,'Colar QL'!A:C,3,0),0)</f>
        <v>0</v>
      </c>
      <c r="I518" s="69">
        <f t="shared" si="160"/>
        <v>0</v>
      </c>
      <c r="J518" s="258">
        <f>'BD Temp'!E768</f>
        <v>0</v>
      </c>
      <c r="K518" s="590" t="str">
        <f t="shared" ref="K518:K533" si="173">F518&amp;L518</f>
        <v>47.0284.1.2.17.00.01.039.01.08.10.1</v>
      </c>
      <c r="L518" s="579" t="s">
        <v>1996</v>
      </c>
      <c r="M518" s="256" t="str">
        <f>'BD Temp'!F768</f>
        <v>-</v>
      </c>
      <c r="N518" s="255">
        <f>'BD Temp'!J768</f>
        <v>0</v>
      </c>
      <c r="O518" s="592" t="str">
        <f t="shared" ref="O518:O533" si="174">F518&amp;P518</f>
        <v>47.0284.1.2.17.00.01.039.01.08.10.2</v>
      </c>
      <c r="P518" s="578" t="s">
        <v>1998</v>
      </c>
      <c r="Q518" s="256" t="str">
        <f>'BD Temp'!K768</f>
        <v>-</v>
      </c>
      <c r="R518" s="255">
        <f>'BD Temp'!O768</f>
        <v>0</v>
      </c>
      <c r="S518" s="592" t="str">
        <f t="shared" ref="S518:S533" si="175">F518&amp;T518</f>
        <v>47.0284.1.2.17.00.01.039.01.08.10.3</v>
      </c>
      <c r="T518" s="578" t="s">
        <v>2000</v>
      </c>
      <c r="U518" s="256" t="str">
        <f>'BD Temp'!P768</f>
        <v>-</v>
      </c>
      <c r="V518" s="764"/>
      <c r="W518" s="767"/>
      <c r="X518" s="158"/>
      <c r="Y518" s="745"/>
      <c r="Z518" s="741">
        <v>0</v>
      </c>
      <c r="AA518" s="592" t="str">
        <f t="shared" ref="AA518:AA533" si="176">F518&amp;AB518</f>
        <v>47.0284.1.2.17.00.01.039.01.08.10.1</v>
      </c>
      <c r="AB518" s="739" t="s">
        <v>1996</v>
      </c>
      <c r="AC518" s="738">
        <v>0</v>
      </c>
      <c r="AD518" s="592" t="str">
        <f t="shared" ref="AD518:AD533" si="177">F518&amp;AE518</f>
        <v>47.0284.1.2.17.00.01.039.01.08.10.2</v>
      </c>
      <c r="AE518" s="739" t="s">
        <v>1998</v>
      </c>
      <c r="AF518" s="738">
        <v>0</v>
      </c>
      <c r="AG518" s="592" t="str">
        <f t="shared" ref="AG518:AG533" si="178">F518&amp;AH518</f>
        <v>47.0284.1.2.17.00.01.039.01.08.10.3</v>
      </c>
      <c r="AH518" s="739" t="s">
        <v>2000</v>
      </c>
      <c r="AI518" s="158"/>
    </row>
    <row r="519" spans="1:35" ht="15" customHeight="1" outlineLevel="4">
      <c r="A519" s="93">
        <v>209145</v>
      </c>
      <c r="B519" s="93">
        <v>3450</v>
      </c>
      <c r="C519" s="93"/>
      <c r="D519" s="93"/>
      <c r="E519" s="93" t="s">
        <v>2950</v>
      </c>
      <c r="F519" s="93" t="s">
        <v>5197</v>
      </c>
      <c r="G519" s="37" t="s">
        <v>119</v>
      </c>
      <c r="H519" s="583">
        <f>IFERROR(VLOOKUP(A519,'Colar QL'!A:C,3,0),0)</f>
        <v>0</v>
      </c>
      <c r="I519" s="69">
        <f t="shared" si="160"/>
        <v>0</v>
      </c>
      <c r="J519" s="258">
        <f>'BD Temp'!E769</f>
        <v>0</v>
      </c>
      <c r="K519" s="590" t="str">
        <f t="shared" si="173"/>
        <v>47.0284.1.2.17.00.01.039.01.08.11.1</v>
      </c>
      <c r="L519" s="579" t="s">
        <v>1996</v>
      </c>
      <c r="M519" s="256" t="str">
        <f>'BD Temp'!F769</f>
        <v>-</v>
      </c>
      <c r="N519" s="255">
        <f>'BD Temp'!J769</f>
        <v>0</v>
      </c>
      <c r="O519" s="592" t="str">
        <f t="shared" si="174"/>
        <v>47.0284.1.2.17.00.01.039.01.08.11.2</v>
      </c>
      <c r="P519" s="578" t="s">
        <v>1998</v>
      </c>
      <c r="Q519" s="256" t="str">
        <f>'BD Temp'!K769</f>
        <v>-</v>
      </c>
      <c r="R519" s="255">
        <f>'BD Temp'!O769</f>
        <v>0</v>
      </c>
      <c r="S519" s="592" t="str">
        <f t="shared" si="175"/>
        <v>47.0284.1.2.17.00.01.039.01.08.11.3</v>
      </c>
      <c r="T519" s="578" t="s">
        <v>2000</v>
      </c>
      <c r="U519" s="256" t="str">
        <f>'BD Temp'!P769</f>
        <v>-</v>
      </c>
      <c r="V519" s="764"/>
      <c r="W519" s="767"/>
      <c r="X519" s="158"/>
      <c r="Y519" s="745"/>
      <c r="Z519" s="741">
        <v>0</v>
      </c>
      <c r="AA519" s="592" t="str">
        <f t="shared" si="176"/>
        <v>47.0284.1.2.17.00.01.039.01.08.11.1</v>
      </c>
      <c r="AB519" s="739" t="s">
        <v>1996</v>
      </c>
      <c r="AC519" s="738">
        <v>0</v>
      </c>
      <c r="AD519" s="592" t="str">
        <f t="shared" si="177"/>
        <v>47.0284.1.2.17.00.01.039.01.08.11.2</v>
      </c>
      <c r="AE519" s="739" t="s">
        <v>1998</v>
      </c>
      <c r="AF519" s="738">
        <v>0</v>
      </c>
      <c r="AG519" s="592" t="str">
        <f t="shared" si="178"/>
        <v>47.0284.1.2.17.00.01.039.01.08.11.3</v>
      </c>
      <c r="AH519" s="739" t="s">
        <v>2000</v>
      </c>
      <c r="AI519" s="158"/>
    </row>
    <row r="520" spans="1:35" ht="15" customHeight="1" outlineLevel="4">
      <c r="A520" s="93">
        <v>209150</v>
      </c>
      <c r="B520" s="93">
        <v>3450</v>
      </c>
      <c r="C520" s="93"/>
      <c r="D520" s="93"/>
      <c r="E520" s="93" t="s">
        <v>2951</v>
      </c>
      <c r="F520" s="93" t="s">
        <v>5198</v>
      </c>
      <c r="G520" s="37" t="s">
        <v>120</v>
      </c>
      <c r="H520" s="583">
        <f>IFERROR(VLOOKUP(A520,'Colar QL'!A:C,3,0),0)</f>
        <v>0</v>
      </c>
      <c r="I520" s="69">
        <f t="shared" si="160"/>
        <v>0</v>
      </c>
      <c r="J520" s="258">
        <f>'BD Temp'!E773</f>
        <v>0</v>
      </c>
      <c r="K520" s="590" t="str">
        <f t="shared" si="173"/>
        <v>47.0284.1.2.17.00.01.039.01.08.12.1</v>
      </c>
      <c r="L520" s="579" t="s">
        <v>1996</v>
      </c>
      <c r="M520" s="256" t="str">
        <f>'BD Temp'!F773</f>
        <v>-</v>
      </c>
      <c r="N520" s="255">
        <f>'BD Temp'!J773</f>
        <v>0</v>
      </c>
      <c r="O520" s="592" t="str">
        <f t="shared" si="174"/>
        <v>47.0284.1.2.17.00.01.039.01.08.12.2</v>
      </c>
      <c r="P520" s="578" t="s">
        <v>1998</v>
      </c>
      <c r="Q520" s="256" t="str">
        <f>'BD Temp'!K773</f>
        <v>-</v>
      </c>
      <c r="R520" s="255">
        <f>'BD Temp'!O773</f>
        <v>0</v>
      </c>
      <c r="S520" s="592" t="str">
        <f t="shared" si="175"/>
        <v>47.0284.1.2.17.00.01.039.01.08.12.3</v>
      </c>
      <c r="T520" s="578" t="s">
        <v>2000</v>
      </c>
      <c r="U520" s="256" t="str">
        <f>'BD Temp'!P773</f>
        <v>-</v>
      </c>
      <c r="V520" s="764"/>
      <c r="W520" s="767"/>
      <c r="X520" s="158"/>
      <c r="Y520" s="745"/>
      <c r="Z520" s="741">
        <v>0</v>
      </c>
      <c r="AA520" s="592" t="str">
        <f t="shared" si="176"/>
        <v>47.0284.1.2.17.00.01.039.01.08.12.1</v>
      </c>
      <c r="AB520" s="739" t="s">
        <v>1996</v>
      </c>
      <c r="AC520" s="738">
        <v>0</v>
      </c>
      <c r="AD520" s="592" t="str">
        <f t="shared" si="177"/>
        <v>47.0284.1.2.17.00.01.039.01.08.12.2</v>
      </c>
      <c r="AE520" s="739" t="s">
        <v>1998</v>
      </c>
      <c r="AF520" s="738">
        <v>0</v>
      </c>
      <c r="AG520" s="592" t="str">
        <f t="shared" si="178"/>
        <v>47.0284.1.2.17.00.01.039.01.08.12.3</v>
      </c>
      <c r="AH520" s="739" t="s">
        <v>2000</v>
      </c>
      <c r="AI520" s="158"/>
    </row>
    <row r="521" spans="1:35" ht="15" customHeight="1" outlineLevel="4">
      <c r="A521" s="93">
        <v>209155</v>
      </c>
      <c r="B521" s="93">
        <v>3450</v>
      </c>
      <c r="C521" s="93"/>
      <c r="D521" s="93"/>
      <c r="E521" s="93" t="s">
        <v>2952</v>
      </c>
      <c r="F521" s="93" t="s">
        <v>5199</v>
      </c>
      <c r="G521" s="37" t="s">
        <v>165</v>
      </c>
      <c r="H521" s="583">
        <f>IFERROR(VLOOKUP(A521,'Colar QL'!A:C,3,0),0)</f>
        <v>0</v>
      </c>
      <c r="I521" s="69">
        <f t="shared" si="160"/>
        <v>0</v>
      </c>
      <c r="J521" s="258">
        <f>'BD Temp'!E776</f>
        <v>0</v>
      </c>
      <c r="K521" s="590" t="str">
        <f t="shared" si="173"/>
        <v>47.0284.1.2.17.00.01.039.01.08.13.1</v>
      </c>
      <c r="L521" s="579" t="s">
        <v>1996</v>
      </c>
      <c r="M521" s="256" t="str">
        <f>'BD Temp'!F776</f>
        <v>-</v>
      </c>
      <c r="N521" s="255">
        <f>'BD Temp'!J776</f>
        <v>0</v>
      </c>
      <c r="O521" s="592" t="str">
        <f t="shared" si="174"/>
        <v>47.0284.1.2.17.00.01.039.01.08.13.2</v>
      </c>
      <c r="P521" s="578" t="s">
        <v>1998</v>
      </c>
      <c r="Q521" s="256" t="str">
        <f>'BD Temp'!K776</f>
        <v>-</v>
      </c>
      <c r="R521" s="255">
        <f>'BD Temp'!O776</f>
        <v>0</v>
      </c>
      <c r="S521" s="592" t="str">
        <f t="shared" si="175"/>
        <v>47.0284.1.2.17.00.01.039.01.08.13.3</v>
      </c>
      <c r="T521" s="578" t="s">
        <v>2000</v>
      </c>
      <c r="U521" s="256" t="str">
        <f>'BD Temp'!P776</f>
        <v>-</v>
      </c>
      <c r="V521" s="764"/>
      <c r="W521" s="767"/>
      <c r="X521" s="158"/>
      <c r="Y521" s="745"/>
      <c r="Z521" s="741">
        <v>0</v>
      </c>
      <c r="AA521" s="592" t="str">
        <f t="shared" si="176"/>
        <v>47.0284.1.2.17.00.01.039.01.08.13.1</v>
      </c>
      <c r="AB521" s="739" t="s">
        <v>1996</v>
      </c>
      <c r="AC521" s="738">
        <v>0</v>
      </c>
      <c r="AD521" s="592" t="str">
        <f t="shared" si="177"/>
        <v>47.0284.1.2.17.00.01.039.01.08.13.2</v>
      </c>
      <c r="AE521" s="739" t="s">
        <v>1998</v>
      </c>
      <c r="AF521" s="738">
        <v>0</v>
      </c>
      <c r="AG521" s="592" t="str">
        <f t="shared" si="178"/>
        <v>47.0284.1.2.17.00.01.039.01.08.13.3</v>
      </c>
      <c r="AH521" s="739" t="s">
        <v>2000</v>
      </c>
      <c r="AI521" s="158"/>
    </row>
    <row r="522" spans="1:35" ht="15" customHeight="1" outlineLevel="4">
      <c r="A522" s="93">
        <v>209160</v>
      </c>
      <c r="B522" s="93">
        <v>3450</v>
      </c>
      <c r="C522" s="93"/>
      <c r="D522" s="93"/>
      <c r="E522" s="93" t="s">
        <v>2953</v>
      </c>
      <c r="F522" s="93" t="s">
        <v>5200</v>
      </c>
      <c r="G522" s="37" t="s">
        <v>166</v>
      </c>
      <c r="H522" s="583">
        <f>IFERROR(VLOOKUP(A522,'Colar QL'!A:C,3,0),0)</f>
        <v>0</v>
      </c>
      <c r="I522" s="69">
        <f t="shared" si="160"/>
        <v>0</v>
      </c>
      <c r="J522" s="258">
        <f>'BD Temp'!E779</f>
        <v>0</v>
      </c>
      <c r="K522" s="590" t="str">
        <f t="shared" si="173"/>
        <v>47.0284.1.2.17.00.01.039.01.08.14.1</v>
      </c>
      <c r="L522" s="579" t="s">
        <v>1996</v>
      </c>
      <c r="M522" s="256" t="str">
        <f>'BD Temp'!F779</f>
        <v>-</v>
      </c>
      <c r="N522" s="255">
        <f>'BD Temp'!J779</f>
        <v>0</v>
      </c>
      <c r="O522" s="592" t="str">
        <f t="shared" si="174"/>
        <v>47.0284.1.2.17.00.01.039.01.08.14.2</v>
      </c>
      <c r="P522" s="578" t="s">
        <v>1998</v>
      </c>
      <c r="Q522" s="256" t="str">
        <f>'BD Temp'!K779</f>
        <v>-</v>
      </c>
      <c r="R522" s="255">
        <f>'BD Temp'!O779</f>
        <v>0</v>
      </c>
      <c r="S522" s="592" t="str">
        <f t="shared" si="175"/>
        <v>47.0284.1.2.17.00.01.039.01.08.14.3</v>
      </c>
      <c r="T522" s="578" t="s">
        <v>2000</v>
      </c>
      <c r="U522" s="256" t="str">
        <f>'BD Temp'!P779</f>
        <v>-</v>
      </c>
      <c r="V522" s="764"/>
      <c r="W522" s="767"/>
      <c r="X522" s="158"/>
      <c r="Y522" s="745"/>
      <c r="Z522" s="741">
        <v>0</v>
      </c>
      <c r="AA522" s="592" t="str">
        <f t="shared" si="176"/>
        <v>47.0284.1.2.17.00.01.039.01.08.14.1</v>
      </c>
      <c r="AB522" s="739" t="s">
        <v>1996</v>
      </c>
      <c r="AC522" s="738">
        <v>0</v>
      </c>
      <c r="AD522" s="592" t="str">
        <f t="shared" si="177"/>
        <v>47.0284.1.2.17.00.01.039.01.08.14.2</v>
      </c>
      <c r="AE522" s="739" t="s">
        <v>1998</v>
      </c>
      <c r="AF522" s="738">
        <v>0</v>
      </c>
      <c r="AG522" s="592" t="str">
        <f t="shared" si="178"/>
        <v>47.0284.1.2.17.00.01.039.01.08.14.3</v>
      </c>
      <c r="AH522" s="739" t="s">
        <v>2000</v>
      </c>
      <c r="AI522" s="158"/>
    </row>
    <row r="523" spans="1:35" ht="15" customHeight="1" outlineLevel="4">
      <c r="A523" s="93">
        <v>209165</v>
      </c>
      <c r="B523" s="93">
        <v>3450</v>
      </c>
      <c r="C523" s="93"/>
      <c r="D523" s="93"/>
      <c r="E523" s="93" t="s">
        <v>2954</v>
      </c>
      <c r="F523" s="93" t="s">
        <v>5201</v>
      </c>
      <c r="G523" s="37" t="s">
        <v>167</v>
      </c>
      <c r="H523" s="583">
        <f>IFERROR(VLOOKUP(A523,'Colar QL'!A:C,3,0),0)</f>
        <v>0</v>
      </c>
      <c r="I523" s="69">
        <f t="shared" si="160"/>
        <v>0</v>
      </c>
      <c r="J523" s="258">
        <f>'BD Temp'!E780</f>
        <v>0</v>
      </c>
      <c r="K523" s="590" t="str">
        <f t="shared" si="173"/>
        <v>47.0284.1.2.17.00.01.039.01.08.15.1</v>
      </c>
      <c r="L523" s="579" t="s">
        <v>1996</v>
      </c>
      <c r="M523" s="256" t="str">
        <f>'BD Temp'!F780</f>
        <v>-</v>
      </c>
      <c r="N523" s="255">
        <f>'BD Temp'!J780</f>
        <v>0</v>
      </c>
      <c r="O523" s="592" t="str">
        <f t="shared" si="174"/>
        <v>47.0284.1.2.17.00.01.039.01.08.15.2</v>
      </c>
      <c r="P523" s="578" t="s">
        <v>1998</v>
      </c>
      <c r="Q523" s="256" t="str">
        <f>'BD Temp'!K780</f>
        <v>-</v>
      </c>
      <c r="R523" s="255">
        <f>'BD Temp'!O780</f>
        <v>0</v>
      </c>
      <c r="S523" s="592" t="str">
        <f t="shared" si="175"/>
        <v>47.0284.1.2.17.00.01.039.01.08.15.3</v>
      </c>
      <c r="T523" s="578" t="s">
        <v>2000</v>
      </c>
      <c r="U523" s="256" t="str">
        <f>'BD Temp'!P780</f>
        <v>-</v>
      </c>
      <c r="V523" s="764"/>
      <c r="W523" s="767"/>
      <c r="X523" s="158"/>
      <c r="Y523" s="745"/>
      <c r="Z523" s="741">
        <v>0</v>
      </c>
      <c r="AA523" s="592" t="str">
        <f t="shared" si="176"/>
        <v>47.0284.1.2.17.00.01.039.01.08.15.1</v>
      </c>
      <c r="AB523" s="739" t="s">
        <v>1996</v>
      </c>
      <c r="AC523" s="738">
        <v>0</v>
      </c>
      <c r="AD523" s="592" t="str">
        <f t="shared" si="177"/>
        <v>47.0284.1.2.17.00.01.039.01.08.15.2</v>
      </c>
      <c r="AE523" s="739" t="s">
        <v>1998</v>
      </c>
      <c r="AF523" s="738">
        <v>0</v>
      </c>
      <c r="AG523" s="592" t="str">
        <f t="shared" si="178"/>
        <v>47.0284.1.2.17.00.01.039.01.08.15.3</v>
      </c>
      <c r="AH523" s="739" t="s">
        <v>2000</v>
      </c>
      <c r="AI523" s="158"/>
    </row>
    <row r="524" spans="1:35" ht="15" customHeight="1" outlineLevel="4">
      <c r="A524" s="93">
        <v>209170</v>
      </c>
      <c r="B524" s="93">
        <v>3450</v>
      </c>
      <c r="C524" s="93"/>
      <c r="D524" s="93"/>
      <c r="E524" s="93" t="s">
        <v>2955</v>
      </c>
      <c r="F524" s="93" t="s">
        <v>5202</v>
      </c>
      <c r="G524" s="37" t="s">
        <v>168</v>
      </c>
      <c r="H524" s="583">
        <f>IFERROR(VLOOKUP(A524,'Colar QL'!A:C,3,0),0)</f>
        <v>0</v>
      </c>
      <c r="I524" s="69">
        <f t="shared" si="160"/>
        <v>0</v>
      </c>
      <c r="J524" s="258">
        <f>'BD Temp'!E783</f>
        <v>0</v>
      </c>
      <c r="K524" s="590" t="str">
        <f t="shared" si="173"/>
        <v>47.0284.1.2.17.00.01.039.01.08.16.1</v>
      </c>
      <c r="L524" s="579" t="s">
        <v>1996</v>
      </c>
      <c r="M524" s="256" t="str">
        <f>'BD Temp'!F783</f>
        <v>-</v>
      </c>
      <c r="N524" s="255">
        <f>'BD Temp'!J783</f>
        <v>0</v>
      </c>
      <c r="O524" s="592" t="str">
        <f t="shared" si="174"/>
        <v>47.0284.1.2.17.00.01.039.01.08.16.2</v>
      </c>
      <c r="P524" s="578" t="s">
        <v>1998</v>
      </c>
      <c r="Q524" s="256" t="str">
        <f>'BD Temp'!K783</f>
        <v>-</v>
      </c>
      <c r="R524" s="255">
        <f>'BD Temp'!O783</f>
        <v>0</v>
      </c>
      <c r="S524" s="592" t="str">
        <f t="shared" si="175"/>
        <v>47.0284.1.2.17.00.01.039.01.08.16.3</v>
      </c>
      <c r="T524" s="578" t="s">
        <v>2000</v>
      </c>
      <c r="U524" s="256" t="str">
        <f>'BD Temp'!P783</f>
        <v>-</v>
      </c>
      <c r="V524" s="764"/>
      <c r="W524" s="767"/>
      <c r="X524" s="158"/>
      <c r="Y524" s="745"/>
      <c r="Z524" s="741">
        <v>0</v>
      </c>
      <c r="AA524" s="592" t="str">
        <f t="shared" si="176"/>
        <v>47.0284.1.2.17.00.01.039.01.08.16.1</v>
      </c>
      <c r="AB524" s="739" t="s">
        <v>1996</v>
      </c>
      <c r="AC524" s="738">
        <v>0</v>
      </c>
      <c r="AD524" s="592" t="str">
        <f t="shared" si="177"/>
        <v>47.0284.1.2.17.00.01.039.01.08.16.2</v>
      </c>
      <c r="AE524" s="739" t="s">
        <v>1998</v>
      </c>
      <c r="AF524" s="738">
        <v>0</v>
      </c>
      <c r="AG524" s="592" t="str">
        <f t="shared" si="178"/>
        <v>47.0284.1.2.17.00.01.039.01.08.16.3</v>
      </c>
      <c r="AH524" s="739" t="s">
        <v>2000</v>
      </c>
      <c r="AI524" s="158"/>
    </row>
    <row r="525" spans="1:35" ht="15" customHeight="1" outlineLevel="4">
      <c r="A525" s="93">
        <v>209175</v>
      </c>
      <c r="B525" s="93">
        <v>3450</v>
      </c>
      <c r="C525" s="93"/>
      <c r="D525" s="93"/>
      <c r="E525" s="93" t="s">
        <v>2948</v>
      </c>
      <c r="F525" s="93" t="s">
        <v>5190</v>
      </c>
      <c r="G525" s="37" t="s">
        <v>676</v>
      </c>
      <c r="H525" s="583">
        <f>IFERROR(VLOOKUP(A525,'Colar QL'!A:C,3,0),0)</f>
        <v>0</v>
      </c>
      <c r="I525" s="69">
        <f t="shared" si="160"/>
        <v>0</v>
      </c>
      <c r="J525" s="258">
        <f>'BD Temp'!E784</f>
        <v>0</v>
      </c>
      <c r="K525" s="590" t="str">
        <f t="shared" si="173"/>
        <v>47.0284.1.2.17.00.01.039.01.08.35.1</v>
      </c>
      <c r="L525" s="579" t="s">
        <v>1996</v>
      </c>
      <c r="M525" s="256" t="str">
        <f>'BD Temp'!F784</f>
        <v>-</v>
      </c>
      <c r="N525" s="255">
        <f>'BD Temp'!J784</f>
        <v>0</v>
      </c>
      <c r="O525" s="592" t="str">
        <f t="shared" si="174"/>
        <v>47.0284.1.2.17.00.01.039.01.08.35.2</v>
      </c>
      <c r="P525" s="578" t="s">
        <v>1998</v>
      </c>
      <c r="Q525" s="256" t="str">
        <f>'BD Temp'!K784</f>
        <v>-</v>
      </c>
      <c r="R525" s="255">
        <f>'BD Temp'!O784</f>
        <v>0</v>
      </c>
      <c r="S525" s="592" t="str">
        <f t="shared" si="175"/>
        <v>47.0284.1.2.17.00.01.039.01.08.35.3</v>
      </c>
      <c r="T525" s="578" t="s">
        <v>2000</v>
      </c>
      <c r="U525" s="256" t="str">
        <f>'BD Temp'!P784</f>
        <v>-</v>
      </c>
      <c r="V525" s="764"/>
      <c r="W525" s="767"/>
      <c r="X525" s="158"/>
      <c r="Y525" s="745"/>
      <c r="Z525" s="741">
        <v>0</v>
      </c>
      <c r="AA525" s="592" t="str">
        <f t="shared" si="176"/>
        <v>47.0284.1.2.17.00.01.039.01.08.35.1</v>
      </c>
      <c r="AB525" s="739" t="s">
        <v>1996</v>
      </c>
      <c r="AC525" s="738">
        <v>0</v>
      </c>
      <c r="AD525" s="592" t="str">
        <f t="shared" si="177"/>
        <v>47.0284.1.2.17.00.01.039.01.08.35.2</v>
      </c>
      <c r="AE525" s="739" t="s">
        <v>1998</v>
      </c>
      <c r="AF525" s="738">
        <v>0</v>
      </c>
      <c r="AG525" s="592" t="str">
        <f t="shared" si="178"/>
        <v>47.0284.1.2.17.00.01.039.01.08.35.3</v>
      </c>
      <c r="AH525" s="739" t="s">
        <v>2000</v>
      </c>
      <c r="AI525" s="158"/>
    </row>
    <row r="526" spans="1:35" ht="15" customHeight="1" outlineLevel="4">
      <c r="A526" s="93"/>
      <c r="B526" s="93" t="s">
        <v>1075</v>
      </c>
      <c r="C526" s="93"/>
      <c r="D526" s="93"/>
      <c r="E526" s="93"/>
      <c r="F526" s="93" t="s">
        <v>1075</v>
      </c>
      <c r="G526" s="37"/>
      <c r="H526" s="79"/>
      <c r="I526" s="69">
        <f t="shared" si="160"/>
        <v>0</v>
      </c>
      <c r="J526" s="48"/>
      <c r="K526" s="590" t="str">
        <f t="shared" si="173"/>
        <v>.1</v>
      </c>
      <c r="L526" s="579" t="s">
        <v>1996</v>
      </c>
      <c r="M526" s="74"/>
      <c r="N526" s="49"/>
      <c r="O526" s="592" t="str">
        <f t="shared" si="174"/>
        <v>.2</v>
      </c>
      <c r="P526" s="578" t="s">
        <v>1998</v>
      </c>
      <c r="Q526" s="74"/>
      <c r="R526" s="49"/>
      <c r="S526" s="592" t="str">
        <f t="shared" si="175"/>
        <v>.3</v>
      </c>
      <c r="T526" s="578" t="s">
        <v>2000</v>
      </c>
      <c r="U526" s="74"/>
      <c r="V526" s="764"/>
      <c r="W526" s="764"/>
      <c r="X526" s="158"/>
      <c r="Y526" s="745"/>
      <c r="Z526" s="741">
        <v>0</v>
      </c>
      <c r="AA526" s="592" t="str">
        <f t="shared" si="176"/>
        <v>.1</v>
      </c>
      <c r="AB526" s="739" t="s">
        <v>1996</v>
      </c>
      <c r="AC526" s="738">
        <v>0</v>
      </c>
      <c r="AD526" s="592" t="str">
        <f t="shared" si="177"/>
        <v>.2</v>
      </c>
      <c r="AE526" s="739" t="s">
        <v>1998</v>
      </c>
      <c r="AF526" s="738">
        <v>0</v>
      </c>
      <c r="AG526" s="592" t="str">
        <f t="shared" si="178"/>
        <v>.3</v>
      </c>
      <c r="AH526" s="739" t="s">
        <v>2000</v>
      </c>
      <c r="AI526" s="158"/>
    </row>
    <row r="527" spans="1:35" ht="15" customHeight="1" outlineLevel="4">
      <c r="A527" s="99"/>
      <c r="B527" s="99" t="s">
        <v>1075</v>
      </c>
      <c r="C527" s="99"/>
      <c r="D527" s="99"/>
      <c r="E527" s="99"/>
      <c r="F527" s="99" t="s">
        <v>1075</v>
      </c>
      <c r="G527" s="39" t="s">
        <v>723</v>
      </c>
      <c r="H527" s="79"/>
      <c r="I527" s="69">
        <f t="shared" si="160"/>
        <v>0</v>
      </c>
      <c r="J527" s="48"/>
      <c r="K527" s="590" t="str">
        <f t="shared" si="173"/>
        <v>.1</v>
      </c>
      <c r="L527" s="579" t="s">
        <v>1996</v>
      </c>
      <c r="M527" s="74"/>
      <c r="N527" s="49"/>
      <c r="O527" s="592" t="str">
        <f t="shared" si="174"/>
        <v>.2</v>
      </c>
      <c r="P527" s="578" t="s">
        <v>1998</v>
      </c>
      <c r="Q527" s="74"/>
      <c r="R527" s="49"/>
      <c r="S527" s="592" t="str">
        <f t="shared" si="175"/>
        <v>.3</v>
      </c>
      <c r="T527" s="578" t="s">
        <v>2000</v>
      </c>
      <c r="U527" s="74"/>
      <c r="V527" s="764"/>
      <c r="W527" s="764"/>
      <c r="X527" s="158"/>
      <c r="Y527" s="745"/>
      <c r="Z527" s="741">
        <v>0</v>
      </c>
      <c r="AA527" s="592" t="str">
        <f t="shared" si="176"/>
        <v>.1</v>
      </c>
      <c r="AB527" s="739" t="s">
        <v>1996</v>
      </c>
      <c r="AC527" s="738">
        <v>0</v>
      </c>
      <c r="AD527" s="592" t="str">
        <f t="shared" si="177"/>
        <v>.2</v>
      </c>
      <c r="AE527" s="739" t="s">
        <v>1998</v>
      </c>
      <c r="AF527" s="738">
        <v>0</v>
      </c>
      <c r="AG527" s="592" t="str">
        <f t="shared" si="178"/>
        <v>.3</v>
      </c>
      <c r="AH527" s="739" t="s">
        <v>2000</v>
      </c>
      <c r="AI527" s="158"/>
    </row>
    <row r="528" spans="1:35" ht="15" customHeight="1" outlineLevel="4">
      <c r="A528" s="93"/>
      <c r="B528" s="93" t="s">
        <v>1075</v>
      </c>
      <c r="C528" s="93"/>
      <c r="D528" s="93"/>
      <c r="E528" s="93"/>
      <c r="F528" s="93" t="s">
        <v>1075</v>
      </c>
      <c r="G528" s="37"/>
      <c r="H528" s="79"/>
      <c r="I528" s="69">
        <f t="shared" si="160"/>
        <v>0</v>
      </c>
      <c r="J528" s="48"/>
      <c r="K528" s="590" t="str">
        <f t="shared" si="173"/>
        <v>.1</v>
      </c>
      <c r="L528" s="579" t="s">
        <v>1996</v>
      </c>
      <c r="M528" s="74"/>
      <c r="N528" s="49"/>
      <c r="O528" s="592" t="str">
        <f t="shared" si="174"/>
        <v>.2</v>
      </c>
      <c r="P528" s="578" t="s">
        <v>1998</v>
      </c>
      <c r="Q528" s="74"/>
      <c r="R528" s="49"/>
      <c r="S528" s="592" t="str">
        <f t="shared" si="175"/>
        <v>.3</v>
      </c>
      <c r="T528" s="578" t="s">
        <v>2000</v>
      </c>
      <c r="U528" s="74"/>
      <c r="V528" s="764"/>
      <c r="W528" s="764"/>
      <c r="X528" s="158"/>
      <c r="Y528" s="745"/>
      <c r="Z528" s="741">
        <v>0</v>
      </c>
      <c r="AA528" s="592" t="str">
        <f t="shared" si="176"/>
        <v>.1</v>
      </c>
      <c r="AB528" s="739" t="s">
        <v>1996</v>
      </c>
      <c r="AC528" s="738">
        <v>0</v>
      </c>
      <c r="AD528" s="592" t="str">
        <f t="shared" si="177"/>
        <v>.2</v>
      </c>
      <c r="AE528" s="739" t="s">
        <v>1998</v>
      </c>
      <c r="AF528" s="738">
        <v>0</v>
      </c>
      <c r="AG528" s="592" t="str">
        <f t="shared" si="178"/>
        <v>.3</v>
      </c>
      <c r="AH528" s="739" t="s">
        <v>2000</v>
      </c>
      <c r="AI528" s="158"/>
    </row>
    <row r="529" spans="1:35" ht="15" customHeight="1" outlineLevel="4">
      <c r="A529" s="93"/>
      <c r="B529" s="93" t="s">
        <v>1075</v>
      </c>
      <c r="C529" s="93"/>
      <c r="D529" s="93"/>
      <c r="E529" s="93"/>
      <c r="F529" s="93" t="s">
        <v>1075</v>
      </c>
      <c r="G529" s="37"/>
      <c r="H529" s="79"/>
      <c r="I529" s="69">
        <f t="shared" si="160"/>
        <v>0</v>
      </c>
      <c r="J529" s="48"/>
      <c r="K529" s="590" t="str">
        <f t="shared" si="173"/>
        <v>.1</v>
      </c>
      <c r="L529" s="579" t="s">
        <v>1996</v>
      </c>
      <c r="M529" s="74"/>
      <c r="N529" s="49"/>
      <c r="O529" s="592" t="str">
        <f t="shared" si="174"/>
        <v>.2</v>
      </c>
      <c r="P529" s="578" t="s">
        <v>1998</v>
      </c>
      <c r="Q529" s="74"/>
      <c r="R529" s="49"/>
      <c r="S529" s="592" t="str">
        <f t="shared" si="175"/>
        <v>.3</v>
      </c>
      <c r="T529" s="578" t="s">
        <v>2000</v>
      </c>
      <c r="U529" s="74"/>
      <c r="V529" s="764"/>
      <c r="W529" s="764"/>
      <c r="X529" s="158"/>
      <c r="Y529" s="745"/>
      <c r="Z529" s="741">
        <v>0</v>
      </c>
      <c r="AA529" s="592" t="str">
        <f t="shared" si="176"/>
        <v>.1</v>
      </c>
      <c r="AB529" s="739" t="s">
        <v>1996</v>
      </c>
      <c r="AC529" s="738">
        <v>0</v>
      </c>
      <c r="AD529" s="592" t="str">
        <f t="shared" si="177"/>
        <v>.2</v>
      </c>
      <c r="AE529" s="739" t="s">
        <v>1998</v>
      </c>
      <c r="AF529" s="738">
        <v>0</v>
      </c>
      <c r="AG529" s="592" t="str">
        <f t="shared" si="178"/>
        <v>.3</v>
      </c>
      <c r="AH529" s="739" t="s">
        <v>2000</v>
      </c>
      <c r="AI529" s="158"/>
    </row>
    <row r="530" spans="1:35" ht="15" customHeight="1" outlineLevel="4">
      <c r="A530" s="93"/>
      <c r="B530" s="93" t="s">
        <v>1075</v>
      </c>
      <c r="C530" s="93"/>
      <c r="D530" s="93"/>
      <c r="E530" s="93"/>
      <c r="F530" s="93" t="s">
        <v>1075</v>
      </c>
      <c r="G530" s="37"/>
      <c r="H530" s="79"/>
      <c r="I530" s="69">
        <f t="shared" si="160"/>
        <v>0</v>
      </c>
      <c r="J530" s="48"/>
      <c r="K530" s="590" t="str">
        <f t="shared" si="173"/>
        <v>.1</v>
      </c>
      <c r="L530" s="579" t="s">
        <v>1996</v>
      </c>
      <c r="M530" s="74"/>
      <c r="N530" s="49"/>
      <c r="O530" s="592" t="str">
        <f t="shared" si="174"/>
        <v>.2</v>
      </c>
      <c r="P530" s="578" t="s">
        <v>1998</v>
      </c>
      <c r="Q530" s="74"/>
      <c r="R530" s="49"/>
      <c r="S530" s="592" t="str">
        <f t="shared" si="175"/>
        <v>.3</v>
      </c>
      <c r="T530" s="578" t="s">
        <v>2000</v>
      </c>
      <c r="U530" s="74"/>
      <c r="V530" s="764"/>
      <c r="W530" s="764"/>
      <c r="X530" s="158"/>
      <c r="Y530" s="745"/>
      <c r="Z530" s="741">
        <v>0</v>
      </c>
      <c r="AA530" s="592" t="str">
        <f t="shared" si="176"/>
        <v>.1</v>
      </c>
      <c r="AB530" s="739" t="s">
        <v>1996</v>
      </c>
      <c r="AC530" s="738">
        <v>0</v>
      </c>
      <c r="AD530" s="592" t="str">
        <f t="shared" si="177"/>
        <v>.2</v>
      </c>
      <c r="AE530" s="739" t="s">
        <v>1998</v>
      </c>
      <c r="AF530" s="738">
        <v>0</v>
      </c>
      <c r="AG530" s="592" t="str">
        <f t="shared" si="178"/>
        <v>.3</v>
      </c>
      <c r="AH530" s="739" t="s">
        <v>2000</v>
      </c>
      <c r="AI530" s="158"/>
    </row>
    <row r="531" spans="1:35" ht="15" customHeight="1" outlineLevel="4">
      <c r="A531" s="93"/>
      <c r="B531" s="93" t="s">
        <v>1075</v>
      </c>
      <c r="C531" s="93"/>
      <c r="D531" s="93"/>
      <c r="E531" s="93"/>
      <c r="F531" s="93" t="s">
        <v>1075</v>
      </c>
      <c r="G531" s="37"/>
      <c r="H531" s="79"/>
      <c r="I531" s="69">
        <f t="shared" si="160"/>
        <v>0</v>
      </c>
      <c r="J531" s="48"/>
      <c r="K531" s="590" t="str">
        <f t="shared" si="173"/>
        <v>.1</v>
      </c>
      <c r="L531" s="579" t="s">
        <v>1996</v>
      </c>
      <c r="M531" s="74"/>
      <c r="N531" s="49"/>
      <c r="O531" s="592" t="str">
        <f t="shared" si="174"/>
        <v>.2</v>
      </c>
      <c r="P531" s="578" t="s">
        <v>1998</v>
      </c>
      <c r="Q531" s="74"/>
      <c r="R531" s="49"/>
      <c r="S531" s="592" t="str">
        <f t="shared" si="175"/>
        <v>.3</v>
      </c>
      <c r="T531" s="578" t="s">
        <v>2000</v>
      </c>
      <c r="U531" s="74"/>
      <c r="V531" s="764"/>
      <c r="W531" s="764"/>
      <c r="X531" s="158"/>
      <c r="Y531" s="745"/>
      <c r="Z531" s="741">
        <v>0</v>
      </c>
      <c r="AA531" s="592" t="str">
        <f t="shared" si="176"/>
        <v>.1</v>
      </c>
      <c r="AB531" s="739" t="s">
        <v>1996</v>
      </c>
      <c r="AC531" s="738">
        <v>0</v>
      </c>
      <c r="AD531" s="592" t="str">
        <f t="shared" si="177"/>
        <v>.2</v>
      </c>
      <c r="AE531" s="739" t="s">
        <v>1998</v>
      </c>
      <c r="AF531" s="738">
        <v>0</v>
      </c>
      <c r="AG531" s="592" t="str">
        <f t="shared" si="178"/>
        <v>.3</v>
      </c>
      <c r="AH531" s="739" t="s">
        <v>2000</v>
      </c>
      <c r="AI531" s="158"/>
    </row>
    <row r="532" spans="1:35" ht="15" customHeight="1" outlineLevel="4">
      <c r="A532" s="93"/>
      <c r="B532" s="93" t="s">
        <v>1075</v>
      </c>
      <c r="C532" s="93"/>
      <c r="D532" s="93"/>
      <c r="E532" s="93"/>
      <c r="F532" s="93" t="s">
        <v>1075</v>
      </c>
      <c r="G532" s="37"/>
      <c r="H532" s="79"/>
      <c r="I532" s="69">
        <f t="shared" si="160"/>
        <v>0</v>
      </c>
      <c r="J532" s="48"/>
      <c r="K532" s="590" t="str">
        <f t="shared" si="173"/>
        <v>.1</v>
      </c>
      <c r="L532" s="579" t="s">
        <v>1996</v>
      </c>
      <c r="M532" s="74"/>
      <c r="N532" s="49"/>
      <c r="O532" s="592" t="str">
        <f t="shared" si="174"/>
        <v>.2</v>
      </c>
      <c r="P532" s="578" t="s">
        <v>1998</v>
      </c>
      <c r="Q532" s="74"/>
      <c r="R532" s="49"/>
      <c r="S532" s="592" t="str">
        <f t="shared" si="175"/>
        <v>.3</v>
      </c>
      <c r="T532" s="578" t="s">
        <v>2000</v>
      </c>
      <c r="U532" s="74"/>
      <c r="V532" s="764"/>
      <c r="W532" s="764"/>
      <c r="X532" s="158"/>
      <c r="Y532" s="745"/>
      <c r="Z532" s="741">
        <v>0</v>
      </c>
      <c r="AA532" s="592" t="str">
        <f t="shared" si="176"/>
        <v>.1</v>
      </c>
      <c r="AB532" s="739" t="s">
        <v>1996</v>
      </c>
      <c r="AC532" s="738">
        <v>0</v>
      </c>
      <c r="AD532" s="592" t="str">
        <f t="shared" si="177"/>
        <v>.2</v>
      </c>
      <c r="AE532" s="739" t="s">
        <v>1998</v>
      </c>
      <c r="AF532" s="738">
        <v>0</v>
      </c>
      <c r="AG532" s="592" t="str">
        <f t="shared" si="178"/>
        <v>.3</v>
      </c>
      <c r="AH532" s="739" t="s">
        <v>2000</v>
      </c>
      <c r="AI532" s="158"/>
    </row>
    <row r="533" spans="1:35" ht="15" customHeight="1" outlineLevel="4">
      <c r="A533" s="95"/>
      <c r="B533" s="95" t="s">
        <v>1075</v>
      </c>
      <c r="C533" s="95"/>
      <c r="D533" s="95"/>
      <c r="E533" s="774"/>
      <c r="F533" s="774" t="s">
        <v>1075</v>
      </c>
      <c r="G533" s="13"/>
      <c r="H533" s="81"/>
      <c r="I533" s="71">
        <f t="shared" ref="I533:I596" si="179">IFERROR((J533+N533+R533),0)</f>
        <v>0</v>
      </c>
      <c r="J533" s="48"/>
      <c r="K533" s="590" t="str">
        <f t="shared" si="173"/>
        <v>.1</v>
      </c>
      <c r="L533" s="579" t="s">
        <v>1996</v>
      </c>
      <c r="M533" s="74"/>
      <c r="N533" s="49"/>
      <c r="O533" s="592" t="str">
        <f t="shared" si="174"/>
        <v>.2</v>
      </c>
      <c r="P533" s="578" t="s">
        <v>1998</v>
      </c>
      <c r="Q533" s="74"/>
      <c r="R533" s="49"/>
      <c r="S533" s="592" t="str">
        <f t="shared" si="175"/>
        <v>.3</v>
      </c>
      <c r="T533" s="578" t="s">
        <v>2000</v>
      </c>
      <c r="U533" s="74"/>
      <c r="V533" s="766"/>
      <c r="W533" s="766"/>
      <c r="X533" s="171"/>
      <c r="Y533" s="745"/>
      <c r="Z533" s="741">
        <v>0</v>
      </c>
      <c r="AA533" s="592" t="str">
        <f t="shared" si="176"/>
        <v>.1</v>
      </c>
      <c r="AB533" s="739" t="s">
        <v>1996</v>
      </c>
      <c r="AC533" s="738">
        <v>0</v>
      </c>
      <c r="AD533" s="592" t="str">
        <f t="shared" si="177"/>
        <v>.2</v>
      </c>
      <c r="AE533" s="739" t="s">
        <v>1998</v>
      </c>
      <c r="AF533" s="738">
        <v>0</v>
      </c>
      <c r="AG533" s="592" t="str">
        <f t="shared" si="178"/>
        <v>.3</v>
      </c>
      <c r="AH533" s="739" t="s">
        <v>2000</v>
      </c>
      <c r="AI533" s="171"/>
    </row>
    <row r="534" spans="1:35" ht="15" customHeight="1" outlineLevel="3">
      <c r="A534" s="97"/>
      <c r="B534" s="97" t="s">
        <v>1075</v>
      </c>
      <c r="C534" s="97"/>
      <c r="D534" s="97"/>
      <c r="E534" s="97"/>
      <c r="F534" s="97" t="s">
        <v>1075</v>
      </c>
      <c r="G534" s="40" t="s">
        <v>252</v>
      </c>
      <c r="H534" s="78">
        <f>SUBTOTAL(9,H535:H547)</f>
        <v>1</v>
      </c>
      <c r="I534" s="68">
        <f t="shared" si="179"/>
        <v>0</v>
      </c>
      <c r="J534" s="61">
        <f>SUBTOTAL(9,J535:J547)</f>
        <v>0</v>
      </c>
      <c r="K534" s="61"/>
      <c r="L534" s="61"/>
      <c r="M534" s="84"/>
      <c r="N534" s="61">
        <f>SUBTOTAL(9,N535:N547)</f>
        <v>0</v>
      </c>
      <c r="O534" s="91"/>
      <c r="P534" s="91"/>
      <c r="Q534" s="84"/>
      <c r="R534" s="61">
        <f>SUBTOTAL(9,R535:R547)</f>
        <v>0</v>
      </c>
      <c r="S534" s="91"/>
      <c r="T534" s="91"/>
      <c r="U534" s="84"/>
      <c r="V534" s="61">
        <f>SUBTOTAL(9,V535:V547)</f>
        <v>0</v>
      </c>
      <c r="W534" s="61">
        <f>SUBTOTAL(9,W535:W547)</f>
        <v>0</v>
      </c>
      <c r="X534" s="170"/>
      <c r="Y534" s="745"/>
      <c r="Z534" s="61">
        <f>SUBTOTAL(9,Z535:Z547)</f>
        <v>0</v>
      </c>
      <c r="AA534" s="91"/>
      <c r="AB534" s="91"/>
      <c r="AC534" s="61">
        <f>SUBTOTAL(9,AC535:AC547)</f>
        <v>0</v>
      </c>
      <c r="AD534" s="91"/>
      <c r="AE534" s="91"/>
      <c r="AF534" s="61">
        <f>SUBTOTAL(9,AF535:AF547)</f>
        <v>0</v>
      </c>
      <c r="AG534" s="91"/>
      <c r="AH534" s="91"/>
      <c r="AI534" s="170"/>
    </row>
    <row r="535" spans="1:35" ht="15" customHeight="1" outlineLevel="4">
      <c r="A535" s="93">
        <v>209115</v>
      </c>
      <c r="B535" s="93">
        <v>3450</v>
      </c>
      <c r="C535" s="93"/>
      <c r="D535" s="93"/>
      <c r="E535" s="93" t="s">
        <v>3061</v>
      </c>
      <c r="F535" s="93" t="s">
        <v>5164</v>
      </c>
      <c r="G535" s="37" t="s">
        <v>118</v>
      </c>
      <c r="H535" s="583">
        <f>IFERROR(VLOOKUP(A535,'Colar QL'!A:C,3,0),0)</f>
        <v>1</v>
      </c>
      <c r="I535" s="69">
        <f t="shared" si="179"/>
        <v>0</v>
      </c>
      <c r="J535" s="258">
        <f>'BD Temp'!E794</f>
        <v>0</v>
      </c>
      <c r="K535" s="590" t="str">
        <f>F535&amp;L535</f>
        <v>47.0284.1.2.17.00.01.039.01.08.05.1</v>
      </c>
      <c r="L535" s="579" t="s">
        <v>1996</v>
      </c>
      <c r="M535" s="256" t="str">
        <f>'BD Temp'!F794</f>
        <v>-</v>
      </c>
      <c r="N535" s="255">
        <f>'BD Temp'!J794</f>
        <v>0</v>
      </c>
      <c r="O535" s="592" t="str">
        <f t="shared" ref="O535:O547" si="180">F535&amp;P535</f>
        <v>47.0284.1.2.17.00.01.039.01.08.05.2</v>
      </c>
      <c r="P535" s="578" t="s">
        <v>1998</v>
      </c>
      <c r="Q535" s="256" t="str">
        <f>'BD Temp'!K794</f>
        <v>-</v>
      </c>
      <c r="R535" s="255">
        <f>'BD Temp'!O794</f>
        <v>0</v>
      </c>
      <c r="S535" s="592" t="str">
        <f t="shared" ref="S535:S547" si="181">F535&amp;T535</f>
        <v>47.0284.1.2.17.00.01.039.01.08.05.3</v>
      </c>
      <c r="T535" s="578" t="s">
        <v>2000</v>
      </c>
      <c r="U535" s="256" t="str">
        <f>'BD Temp'!P794</f>
        <v>-</v>
      </c>
      <c r="V535" s="764"/>
      <c r="W535" s="767"/>
      <c r="X535" s="158"/>
      <c r="Y535" s="745"/>
      <c r="Z535" s="741">
        <v>0</v>
      </c>
      <c r="AA535" s="592" t="str">
        <f t="shared" ref="AA535:AA547" si="182">F535&amp;AB535</f>
        <v>47.0284.1.2.17.00.01.039.01.08.05.1</v>
      </c>
      <c r="AB535" s="739" t="s">
        <v>1996</v>
      </c>
      <c r="AC535" s="738">
        <v>0</v>
      </c>
      <c r="AD535" s="592" t="str">
        <f t="shared" ref="AD535:AD547" si="183">F535&amp;AE535</f>
        <v>47.0284.1.2.17.00.01.039.01.08.05.2</v>
      </c>
      <c r="AE535" s="739" t="s">
        <v>1998</v>
      </c>
      <c r="AF535" s="738">
        <v>0</v>
      </c>
      <c r="AG535" s="592" t="str">
        <f t="shared" ref="AG535:AG547" si="184">F535&amp;AH535</f>
        <v>47.0284.1.2.17.00.01.039.01.08.05.3</v>
      </c>
      <c r="AH535" s="739" t="s">
        <v>2000</v>
      </c>
      <c r="AI535" s="158"/>
    </row>
    <row r="536" spans="1:35" ht="15" customHeight="1" outlineLevel="4">
      <c r="A536" s="93">
        <v>209120</v>
      </c>
      <c r="B536" s="93">
        <v>3450</v>
      </c>
      <c r="C536" s="93"/>
      <c r="D536" s="93"/>
      <c r="E536" s="93" t="s">
        <v>3061</v>
      </c>
      <c r="F536" s="93" t="s">
        <v>5164</v>
      </c>
      <c r="G536" s="37" t="s">
        <v>80</v>
      </c>
      <c r="H536" s="583">
        <f>IFERROR(VLOOKUP(A536,'Colar QL'!A:C,3,0),0)</f>
        <v>0</v>
      </c>
      <c r="I536" s="69">
        <f t="shared" si="179"/>
        <v>0</v>
      </c>
      <c r="J536" s="258">
        <f>'BD Temp'!E795</f>
        <v>0</v>
      </c>
      <c r="K536" s="590" t="str">
        <f>F536&amp;L536</f>
        <v>47.0284.1.2.17.00.01.039.01.08.05.1</v>
      </c>
      <c r="L536" s="579" t="s">
        <v>1996</v>
      </c>
      <c r="M536" s="256" t="str">
        <f>'BD Temp'!F795</f>
        <v>-</v>
      </c>
      <c r="N536" s="255">
        <f>'BD Temp'!J795</f>
        <v>0</v>
      </c>
      <c r="O536" s="592" t="str">
        <f t="shared" si="180"/>
        <v>47.0284.1.2.17.00.01.039.01.08.05.2</v>
      </c>
      <c r="P536" s="578" t="s">
        <v>1998</v>
      </c>
      <c r="Q536" s="256" t="str">
        <f>'BD Temp'!K795</f>
        <v>-</v>
      </c>
      <c r="R536" s="255">
        <f>'BD Temp'!O795</f>
        <v>0</v>
      </c>
      <c r="S536" s="592" t="str">
        <f t="shared" si="181"/>
        <v>47.0284.1.2.17.00.01.039.01.08.05.3</v>
      </c>
      <c r="T536" s="578" t="s">
        <v>2000</v>
      </c>
      <c r="U536" s="256" t="str">
        <f>'BD Temp'!P795</f>
        <v>-</v>
      </c>
      <c r="V536" s="764"/>
      <c r="W536" s="767"/>
      <c r="X536" s="158"/>
      <c r="Y536" s="745"/>
      <c r="Z536" s="741">
        <v>0</v>
      </c>
      <c r="AA536" s="592" t="str">
        <f t="shared" si="182"/>
        <v>47.0284.1.2.17.00.01.039.01.08.05.1</v>
      </c>
      <c r="AB536" s="739" t="s">
        <v>1996</v>
      </c>
      <c r="AC536" s="738">
        <v>0</v>
      </c>
      <c r="AD536" s="592" t="str">
        <f t="shared" si="183"/>
        <v>47.0284.1.2.17.00.01.039.01.08.05.2</v>
      </c>
      <c r="AE536" s="739" t="s">
        <v>1998</v>
      </c>
      <c r="AF536" s="738">
        <v>0</v>
      </c>
      <c r="AG536" s="592" t="str">
        <f t="shared" si="184"/>
        <v>47.0284.1.2.17.00.01.039.01.08.05.3</v>
      </c>
      <c r="AH536" s="739" t="s">
        <v>2000</v>
      </c>
      <c r="AI536" s="158"/>
    </row>
    <row r="537" spans="1:35" ht="15" customHeight="1" outlineLevel="4">
      <c r="A537" s="93">
        <v>209125</v>
      </c>
      <c r="B537" s="93">
        <v>3450</v>
      </c>
      <c r="C537" s="93"/>
      <c r="D537" s="93"/>
      <c r="E537" s="93" t="s">
        <v>3061</v>
      </c>
      <c r="F537" s="93" t="s">
        <v>5164</v>
      </c>
      <c r="G537" s="37" t="s">
        <v>222</v>
      </c>
      <c r="H537" s="583">
        <f>IFERROR(VLOOKUP(A537,'Colar QL'!A:C,3,0),0)</f>
        <v>0</v>
      </c>
      <c r="I537" s="69">
        <f t="shared" si="179"/>
        <v>0</v>
      </c>
      <c r="J537" s="771">
        <f>'BD Temp'!E796</f>
        <v>0</v>
      </c>
      <c r="K537" s="590" t="str">
        <f>F537&amp;L537</f>
        <v>47.0284.1.2.17.00.01.039.01.08.05.1</v>
      </c>
      <c r="L537" s="579" t="s">
        <v>1996</v>
      </c>
      <c r="M537" s="256" t="str">
        <f>'BD Temp'!F796</f>
        <v>-</v>
      </c>
      <c r="N537" s="255">
        <f>'BD Temp'!J796</f>
        <v>0</v>
      </c>
      <c r="O537" s="592" t="str">
        <f t="shared" si="180"/>
        <v>47.0284.1.2.17.00.01.039.01.08.05.2</v>
      </c>
      <c r="P537" s="578" t="s">
        <v>1998</v>
      </c>
      <c r="Q537" s="256" t="str">
        <f>'BD Temp'!K796</f>
        <v>-</v>
      </c>
      <c r="R537" s="255">
        <f>'BD Temp'!O796</f>
        <v>0</v>
      </c>
      <c r="S537" s="592" t="str">
        <f t="shared" si="181"/>
        <v>47.0284.1.2.17.00.01.039.01.08.05.3</v>
      </c>
      <c r="T537" s="578" t="s">
        <v>2000</v>
      </c>
      <c r="U537" s="256" t="str">
        <f>'BD Temp'!P796</f>
        <v>-</v>
      </c>
      <c r="V537" s="764"/>
      <c r="W537" s="767"/>
      <c r="X537" s="158"/>
      <c r="Y537" s="745"/>
      <c r="Z537" s="741">
        <v>0</v>
      </c>
      <c r="AA537" s="592" t="str">
        <f t="shared" si="182"/>
        <v>47.0284.1.2.17.00.01.039.01.08.05.1</v>
      </c>
      <c r="AB537" s="739" t="s">
        <v>1996</v>
      </c>
      <c r="AC537" s="738">
        <v>0</v>
      </c>
      <c r="AD537" s="592" t="str">
        <f t="shared" si="183"/>
        <v>47.0284.1.2.17.00.01.039.01.08.05.2</v>
      </c>
      <c r="AE537" s="739" t="s">
        <v>1998</v>
      </c>
      <c r="AF537" s="738">
        <v>0</v>
      </c>
      <c r="AG537" s="592" t="str">
        <f t="shared" si="184"/>
        <v>47.0284.1.2.17.00.01.039.01.08.05.3</v>
      </c>
      <c r="AH537" s="739" t="s">
        <v>2000</v>
      </c>
      <c r="AI537" s="158"/>
    </row>
    <row r="538" spans="1:35" ht="15" customHeight="1" outlineLevel="4">
      <c r="A538" s="93">
        <v>209130</v>
      </c>
      <c r="B538" s="93">
        <v>3450</v>
      </c>
      <c r="C538" s="93"/>
      <c r="D538" s="93"/>
      <c r="E538" s="93" t="s">
        <v>3062</v>
      </c>
      <c r="F538" s="93" t="s">
        <v>5166</v>
      </c>
      <c r="G538" s="37" t="s">
        <v>223</v>
      </c>
      <c r="H538" s="583">
        <f>IFERROR(VLOOKUP(A538,'Colar QL'!A:C,3,0),0)</f>
        <v>0</v>
      </c>
      <c r="I538" s="69">
        <f t="shared" si="179"/>
        <v>0</v>
      </c>
      <c r="J538" s="258">
        <f>'BD Temp'!E797</f>
        <v>0</v>
      </c>
      <c r="K538" s="590" t="str">
        <f>F538&amp;L538</f>
        <v>47.0284.1.2.17.00.01.039.01.08.08.1</v>
      </c>
      <c r="L538" s="579" t="s">
        <v>1996</v>
      </c>
      <c r="M538" s="256" t="str">
        <f>'BD Temp'!F797</f>
        <v>-</v>
      </c>
      <c r="N538" s="255">
        <f>'BD Temp'!J797</f>
        <v>0</v>
      </c>
      <c r="O538" s="592" t="str">
        <f t="shared" si="180"/>
        <v>47.0284.1.2.17.00.01.039.01.08.08.2</v>
      </c>
      <c r="P538" s="578" t="s">
        <v>1998</v>
      </c>
      <c r="Q538" s="256" t="str">
        <f>'BD Temp'!K797</f>
        <v>-</v>
      </c>
      <c r="R538" s="255">
        <f>'BD Temp'!O797</f>
        <v>0</v>
      </c>
      <c r="S538" s="592" t="str">
        <f t="shared" si="181"/>
        <v>47.0284.1.2.17.00.01.039.01.08.08.3</v>
      </c>
      <c r="T538" s="578" t="s">
        <v>2000</v>
      </c>
      <c r="U538" s="256" t="str">
        <f>'BD Temp'!P797</f>
        <v>-</v>
      </c>
      <c r="V538" s="764"/>
      <c r="W538" s="767"/>
      <c r="X538" s="158"/>
      <c r="Y538" s="745"/>
      <c r="Z538" s="741">
        <v>0</v>
      </c>
      <c r="AA538" s="592" t="str">
        <f t="shared" si="182"/>
        <v>47.0284.1.2.17.00.01.039.01.08.08.1</v>
      </c>
      <c r="AB538" s="739" t="s">
        <v>1996</v>
      </c>
      <c r="AC538" s="738">
        <v>0</v>
      </c>
      <c r="AD538" s="592" t="str">
        <f t="shared" si="183"/>
        <v>47.0284.1.2.17.00.01.039.01.08.08.2</v>
      </c>
      <c r="AE538" s="739" t="s">
        <v>1998</v>
      </c>
      <c r="AF538" s="738">
        <v>0</v>
      </c>
      <c r="AG538" s="592" t="str">
        <f t="shared" si="184"/>
        <v>47.0284.1.2.17.00.01.039.01.08.08.3</v>
      </c>
      <c r="AH538" s="739" t="s">
        <v>2000</v>
      </c>
      <c r="AI538" s="158"/>
    </row>
    <row r="539" spans="1:35" s="26" customFormat="1" ht="15" customHeight="1" outlineLevel="4">
      <c r="A539" s="93">
        <v>209135</v>
      </c>
      <c r="B539" s="93">
        <v>3450</v>
      </c>
      <c r="C539" s="93"/>
      <c r="D539" s="93"/>
      <c r="E539" s="93" t="s">
        <v>3062</v>
      </c>
      <c r="F539" s="93" t="s">
        <v>5166</v>
      </c>
      <c r="G539" s="37" t="s">
        <v>58</v>
      </c>
      <c r="H539" s="583">
        <f>IFERROR(VLOOKUP(A539,'Colar QL'!A:C,3,0),0)</f>
        <v>0</v>
      </c>
      <c r="I539" s="69">
        <f t="shared" si="179"/>
        <v>0</v>
      </c>
      <c r="J539" s="258">
        <f>'BD Temp'!E801</f>
        <v>0</v>
      </c>
      <c r="K539" s="590" t="str">
        <f>F539&amp;L539</f>
        <v>47.0284.1.2.17.00.01.039.01.08.08.1</v>
      </c>
      <c r="L539" s="579" t="s">
        <v>1996</v>
      </c>
      <c r="M539" s="256" t="str">
        <f>'BD Temp'!F801</f>
        <v>-</v>
      </c>
      <c r="N539" s="255">
        <f>'BD Temp'!J801</f>
        <v>0</v>
      </c>
      <c r="O539" s="592" t="str">
        <f t="shared" si="180"/>
        <v>47.0284.1.2.17.00.01.039.01.08.08.2</v>
      </c>
      <c r="P539" s="578" t="s">
        <v>1998</v>
      </c>
      <c r="Q539" s="256" t="str">
        <f>'BD Temp'!K801</f>
        <v>-</v>
      </c>
      <c r="R539" s="255">
        <f>'BD Temp'!O801</f>
        <v>0</v>
      </c>
      <c r="S539" s="592" t="str">
        <f t="shared" si="181"/>
        <v>47.0284.1.2.17.00.01.039.01.08.08.3</v>
      </c>
      <c r="T539" s="578" t="s">
        <v>2000</v>
      </c>
      <c r="U539" s="256" t="str">
        <f>'BD Temp'!P801</f>
        <v>-</v>
      </c>
      <c r="V539" s="764"/>
      <c r="W539" s="767"/>
      <c r="X539" s="158"/>
      <c r="Y539" s="745"/>
      <c r="Z539" s="741">
        <v>0</v>
      </c>
      <c r="AA539" s="592" t="str">
        <f t="shared" si="182"/>
        <v>47.0284.1.2.17.00.01.039.01.08.08.1</v>
      </c>
      <c r="AB539" s="739" t="s">
        <v>1996</v>
      </c>
      <c r="AC539" s="738">
        <v>0</v>
      </c>
      <c r="AD539" s="592" t="str">
        <f t="shared" si="183"/>
        <v>47.0284.1.2.17.00.01.039.01.08.08.2</v>
      </c>
      <c r="AE539" s="739" t="s">
        <v>1998</v>
      </c>
      <c r="AF539" s="738">
        <v>0</v>
      </c>
      <c r="AG539" s="592" t="str">
        <f t="shared" si="184"/>
        <v>47.0284.1.2.17.00.01.039.01.08.08.3</v>
      </c>
      <c r="AH539" s="739" t="s">
        <v>2000</v>
      </c>
      <c r="AI539" s="158"/>
    </row>
    <row r="540" spans="1:35" ht="15" customHeight="1" outlineLevel="4">
      <c r="A540" s="93"/>
      <c r="B540" s="93" t="s">
        <v>1075</v>
      </c>
      <c r="C540" s="93"/>
      <c r="D540" s="93"/>
      <c r="E540" s="93"/>
      <c r="F540" s="93" t="s">
        <v>1075</v>
      </c>
      <c r="G540" s="37"/>
      <c r="H540" s="79"/>
      <c r="I540" s="69">
        <f t="shared" si="179"/>
        <v>0</v>
      </c>
      <c r="J540" s="48"/>
      <c r="K540" s="590" t="str">
        <f t="shared" ref="K540:K547" si="185">F540&amp;L540</f>
        <v>.1</v>
      </c>
      <c r="L540" s="579" t="s">
        <v>1996</v>
      </c>
      <c r="M540" s="74"/>
      <c r="N540" s="49"/>
      <c r="O540" s="592" t="str">
        <f t="shared" si="180"/>
        <v>.2</v>
      </c>
      <c r="P540" s="578" t="s">
        <v>1998</v>
      </c>
      <c r="Q540" s="74"/>
      <c r="R540" s="49"/>
      <c r="S540" s="592" t="str">
        <f t="shared" si="181"/>
        <v>.3</v>
      </c>
      <c r="T540" s="578" t="s">
        <v>2000</v>
      </c>
      <c r="U540" s="74"/>
      <c r="V540" s="764"/>
      <c r="W540" s="764"/>
      <c r="X540" s="158"/>
      <c r="Y540" s="745"/>
      <c r="Z540" s="741">
        <v>0</v>
      </c>
      <c r="AA540" s="592" t="str">
        <f t="shared" si="182"/>
        <v>.1</v>
      </c>
      <c r="AB540" s="739" t="s">
        <v>1996</v>
      </c>
      <c r="AC540" s="738">
        <v>0</v>
      </c>
      <c r="AD540" s="592" t="str">
        <f t="shared" si="183"/>
        <v>.2</v>
      </c>
      <c r="AE540" s="739" t="s">
        <v>1998</v>
      </c>
      <c r="AF540" s="738">
        <v>0</v>
      </c>
      <c r="AG540" s="592" t="str">
        <f t="shared" si="184"/>
        <v>.3</v>
      </c>
      <c r="AH540" s="739" t="s">
        <v>2000</v>
      </c>
      <c r="AI540" s="158"/>
    </row>
    <row r="541" spans="1:35" ht="15" customHeight="1" outlineLevel="4">
      <c r="A541" s="99"/>
      <c r="B541" s="99" t="s">
        <v>1075</v>
      </c>
      <c r="C541" s="99"/>
      <c r="D541" s="99"/>
      <c r="E541" s="99"/>
      <c r="F541" s="99" t="s">
        <v>1075</v>
      </c>
      <c r="G541" s="39" t="s">
        <v>723</v>
      </c>
      <c r="H541" s="79"/>
      <c r="I541" s="69">
        <f t="shared" si="179"/>
        <v>0</v>
      </c>
      <c r="J541" s="48"/>
      <c r="K541" s="590" t="str">
        <f t="shared" si="185"/>
        <v>.1</v>
      </c>
      <c r="L541" s="579" t="s">
        <v>1996</v>
      </c>
      <c r="M541" s="74"/>
      <c r="N541" s="49"/>
      <c r="O541" s="592" t="str">
        <f t="shared" si="180"/>
        <v>.2</v>
      </c>
      <c r="P541" s="578" t="s">
        <v>1998</v>
      </c>
      <c r="Q541" s="74"/>
      <c r="R541" s="49"/>
      <c r="S541" s="592" t="str">
        <f t="shared" si="181"/>
        <v>.3</v>
      </c>
      <c r="T541" s="578" t="s">
        <v>2000</v>
      </c>
      <c r="U541" s="74"/>
      <c r="V541" s="764"/>
      <c r="W541" s="764"/>
      <c r="X541" s="158"/>
      <c r="Y541" s="745"/>
      <c r="Z541" s="741">
        <v>0</v>
      </c>
      <c r="AA541" s="592" t="str">
        <f t="shared" si="182"/>
        <v>.1</v>
      </c>
      <c r="AB541" s="739" t="s">
        <v>1996</v>
      </c>
      <c r="AC541" s="738">
        <v>0</v>
      </c>
      <c r="AD541" s="592" t="str">
        <f t="shared" si="183"/>
        <v>.2</v>
      </c>
      <c r="AE541" s="739" t="s">
        <v>1998</v>
      </c>
      <c r="AF541" s="738">
        <v>0</v>
      </c>
      <c r="AG541" s="592" t="str">
        <f t="shared" si="184"/>
        <v>.3</v>
      </c>
      <c r="AH541" s="739" t="s">
        <v>2000</v>
      </c>
      <c r="AI541" s="158"/>
    </row>
    <row r="542" spans="1:35" ht="15" customHeight="1" outlineLevel="4">
      <c r="A542" s="93"/>
      <c r="B542" s="93" t="s">
        <v>1075</v>
      </c>
      <c r="C542" s="93"/>
      <c r="D542" s="93"/>
      <c r="E542" s="93"/>
      <c r="F542" s="93" t="s">
        <v>1075</v>
      </c>
      <c r="G542" s="37"/>
      <c r="H542" s="79"/>
      <c r="I542" s="69">
        <f t="shared" si="179"/>
        <v>0</v>
      </c>
      <c r="J542" s="48"/>
      <c r="K542" s="590" t="str">
        <f t="shared" si="185"/>
        <v>.1</v>
      </c>
      <c r="L542" s="579" t="s">
        <v>1996</v>
      </c>
      <c r="M542" s="74"/>
      <c r="N542" s="49"/>
      <c r="O542" s="592" t="str">
        <f t="shared" si="180"/>
        <v>.2</v>
      </c>
      <c r="P542" s="578" t="s">
        <v>1998</v>
      </c>
      <c r="Q542" s="74"/>
      <c r="R542" s="49"/>
      <c r="S542" s="592" t="str">
        <f t="shared" si="181"/>
        <v>.3</v>
      </c>
      <c r="T542" s="578" t="s">
        <v>2000</v>
      </c>
      <c r="U542" s="74"/>
      <c r="V542" s="764"/>
      <c r="W542" s="764"/>
      <c r="X542" s="158"/>
      <c r="Y542" s="745"/>
      <c r="Z542" s="741">
        <v>0</v>
      </c>
      <c r="AA542" s="592" t="str">
        <f t="shared" si="182"/>
        <v>.1</v>
      </c>
      <c r="AB542" s="739" t="s">
        <v>1996</v>
      </c>
      <c r="AC542" s="738">
        <v>0</v>
      </c>
      <c r="AD542" s="592" t="str">
        <f t="shared" si="183"/>
        <v>.2</v>
      </c>
      <c r="AE542" s="739" t="s">
        <v>1998</v>
      </c>
      <c r="AF542" s="738">
        <v>0</v>
      </c>
      <c r="AG542" s="592" t="str">
        <f t="shared" si="184"/>
        <v>.3</v>
      </c>
      <c r="AH542" s="739" t="s">
        <v>2000</v>
      </c>
      <c r="AI542" s="158"/>
    </row>
    <row r="543" spans="1:35" ht="15" customHeight="1" outlineLevel="4">
      <c r="A543" s="93"/>
      <c r="B543" s="93" t="s">
        <v>1075</v>
      </c>
      <c r="C543" s="93"/>
      <c r="D543" s="93"/>
      <c r="E543" s="93"/>
      <c r="F543" s="93" t="s">
        <v>1075</v>
      </c>
      <c r="G543" s="37"/>
      <c r="H543" s="79"/>
      <c r="I543" s="69">
        <f t="shared" si="179"/>
        <v>0</v>
      </c>
      <c r="J543" s="48"/>
      <c r="K543" s="590" t="str">
        <f t="shared" si="185"/>
        <v>.1</v>
      </c>
      <c r="L543" s="579" t="s">
        <v>1996</v>
      </c>
      <c r="M543" s="74"/>
      <c r="N543" s="49"/>
      <c r="O543" s="592" t="str">
        <f t="shared" si="180"/>
        <v>.2</v>
      </c>
      <c r="P543" s="578" t="s">
        <v>1998</v>
      </c>
      <c r="Q543" s="74"/>
      <c r="R543" s="49"/>
      <c r="S543" s="592" t="str">
        <f t="shared" si="181"/>
        <v>.3</v>
      </c>
      <c r="T543" s="578" t="s">
        <v>2000</v>
      </c>
      <c r="U543" s="74"/>
      <c r="V543" s="764"/>
      <c r="W543" s="764"/>
      <c r="X543" s="158"/>
      <c r="Y543" s="745"/>
      <c r="Z543" s="741">
        <v>0</v>
      </c>
      <c r="AA543" s="592" t="str">
        <f t="shared" si="182"/>
        <v>.1</v>
      </c>
      <c r="AB543" s="739" t="s">
        <v>1996</v>
      </c>
      <c r="AC543" s="738">
        <v>0</v>
      </c>
      <c r="AD543" s="592" t="str">
        <f t="shared" si="183"/>
        <v>.2</v>
      </c>
      <c r="AE543" s="739" t="s">
        <v>1998</v>
      </c>
      <c r="AF543" s="738">
        <v>0</v>
      </c>
      <c r="AG543" s="592" t="str">
        <f t="shared" si="184"/>
        <v>.3</v>
      </c>
      <c r="AH543" s="739" t="s">
        <v>2000</v>
      </c>
      <c r="AI543" s="158"/>
    </row>
    <row r="544" spans="1:35" ht="15" customHeight="1" outlineLevel="4">
      <c r="A544" s="93"/>
      <c r="B544" s="93" t="s">
        <v>1075</v>
      </c>
      <c r="C544" s="93"/>
      <c r="D544" s="93"/>
      <c r="E544" s="93"/>
      <c r="F544" s="93" t="s">
        <v>1075</v>
      </c>
      <c r="G544" s="37"/>
      <c r="H544" s="79"/>
      <c r="I544" s="69">
        <f t="shared" si="179"/>
        <v>0</v>
      </c>
      <c r="J544" s="48"/>
      <c r="K544" s="590" t="str">
        <f t="shared" si="185"/>
        <v>.1</v>
      </c>
      <c r="L544" s="579" t="s">
        <v>1996</v>
      </c>
      <c r="M544" s="74"/>
      <c r="N544" s="49"/>
      <c r="O544" s="592" t="str">
        <f t="shared" si="180"/>
        <v>.2</v>
      </c>
      <c r="P544" s="578" t="s">
        <v>1998</v>
      </c>
      <c r="Q544" s="74"/>
      <c r="R544" s="49"/>
      <c r="S544" s="592" t="str">
        <f t="shared" si="181"/>
        <v>.3</v>
      </c>
      <c r="T544" s="578" t="s">
        <v>2000</v>
      </c>
      <c r="U544" s="74"/>
      <c r="V544" s="764"/>
      <c r="W544" s="764"/>
      <c r="X544" s="158"/>
      <c r="Y544" s="745"/>
      <c r="Z544" s="741">
        <v>0</v>
      </c>
      <c r="AA544" s="592" t="str">
        <f t="shared" si="182"/>
        <v>.1</v>
      </c>
      <c r="AB544" s="739" t="s">
        <v>1996</v>
      </c>
      <c r="AC544" s="738">
        <v>0</v>
      </c>
      <c r="AD544" s="592" t="str">
        <f t="shared" si="183"/>
        <v>.2</v>
      </c>
      <c r="AE544" s="739" t="s">
        <v>1998</v>
      </c>
      <c r="AF544" s="738">
        <v>0</v>
      </c>
      <c r="AG544" s="592" t="str">
        <f t="shared" si="184"/>
        <v>.3</v>
      </c>
      <c r="AH544" s="739" t="s">
        <v>2000</v>
      </c>
      <c r="AI544" s="158"/>
    </row>
    <row r="545" spans="1:35" ht="15" customHeight="1" outlineLevel="4">
      <c r="A545" s="93"/>
      <c r="B545" s="93" t="s">
        <v>1075</v>
      </c>
      <c r="C545" s="93"/>
      <c r="D545" s="93"/>
      <c r="E545" s="93"/>
      <c r="F545" s="93" t="s">
        <v>1075</v>
      </c>
      <c r="G545" s="37"/>
      <c r="H545" s="79"/>
      <c r="I545" s="69">
        <f t="shared" si="179"/>
        <v>0</v>
      </c>
      <c r="J545" s="48"/>
      <c r="K545" s="590" t="str">
        <f t="shared" si="185"/>
        <v>.1</v>
      </c>
      <c r="L545" s="579" t="s">
        <v>1996</v>
      </c>
      <c r="M545" s="74"/>
      <c r="N545" s="49"/>
      <c r="O545" s="592" t="str">
        <f t="shared" si="180"/>
        <v>.2</v>
      </c>
      <c r="P545" s="578" t="s">
        <v>1998</v>
      </c>
      <c r="Q545" s="74"/>
      <c r="R545" s="49"/>
      <c r="S545" s="592" t="str">
        <f t="shared" si="181"/>
        <v>.3</v>
      </c>
      <c r="T545" s="578" t="s">
        <v>2000</v>
      </c>
      <c r="U545" s="74"/>
      <c r="V545" s="764"/>
      <c r="W545" s="764"/>
      <c r="X545" s="158"/>
      <c r="Y545" s="745"/>
      <c r="Z545" s="741">
        <v>0</v>
      </c>
      <c r="AA545" s="592" t="str">
        <f t="shared" si="182"/>
        <v>.1</v>
      </c>
      <c r="AB545" s="739" t="s">
        <v>1996</v>
      </c>
      <c r="AC545" s="738">
        <v>0</v>
      </c>
      <c r="AD545" s="592" t="str">
        <f t="shared" si="183"/>
        <v>.2</v>
      </c>
      <c r="AE545" s="739" t="s">
        <v>1998</v>
      </c>
      <c r="AF545" s="738">
        <v>0</v>
      </c>
      <c r="AG545" s="592" t="str">
        <f t="shared" si="184"/>
        <v>.3</v>
      </c>
      <c r="AH545" s="739" t="s">
        <v>2000</v>
      </c>
      <c r="AI545" s="158"/>
    </row>
    <row r="546" spans="1:35" ht="15" customHeight="1" outlineLevel="4">
      <c r="A546" s="93"/>
      <c r="B546" s="93" t="s">
        <v>1075</v>
      </c>
      <c r="C546" s="93"/>
      <c r="D546" s="93"/>
      <c r="E546" s="93"/>
      <c r="F546" s="93" t="s">
        <v>1075</v>
      </c>
      <c r="G546" s="37"/>
      <c r="H546" s="79"/>
      <c r="I546" s="69">
        <f t="shared" si="179"/>
        <v>0</v>
      </c>
      <c r="J546" s="48"/>
      <c r="K546" s="590" t="str">
        <f t="shared" si="185"/>
        <v>.1</v>
      </c>
      <c r="L546" s="579" t="s">
        <v>1996</v>
      </c>
      <c r="M546" s="74"/>
      <c r="N546" s="49"/>
      <c r="O546" s="592" t="str">
        <f t="shared" si="180"/>
        <v>.2</v>
      </c>
      <c r="P546" s="578" t="s">
        <v>1998</v>
      </c>
      <c r="Q546" s="74"/>
      <c r="R546" s="49"/>
      <c r="S546" s="592" t="str">
        <f t="shared" si="181"/>
        <v>.3</v>
      </c>
      <c r="T546" s="578" t="s">
        <v>2000</v>
      </c>
      <c r="U546" s="74"/>
      <c r="V546" s="764"/>
      <c r="W546" s="764"/>
      <c r="X546" s="158"/>
      <c r="Y546" s="745"/>
      <c r="Z546" s="741">
        <v>0</v>
      </c>
      <c r="AA546" s="592" t="str">
        <f t="shared" si="182"/>
        <v>.1</v>
      </c>
      <c r="AB546" s="739" t="s">
        <v>1996</v>
      </c>
      <c r="AC546" s="738">
        <v>0</v>
      </c>
      <c r="AD546" s="592" t="str">
        <f t="shared" si="183"/>
        <v>.2</v>
      </c>
      <c r="AE546" s="739" t="s">
        <v>1998</v>
      </c>
      <c r="AF546" s="738">
        <v>0</v>
      </c>
      <c r="AG546" s="592" t="str">
        <f t="shared" si="184"/>
        <v>.3</v>
      </c>
      <c r="AH546" s="739" t="s">
        <v>2000</v>
      </c>
      <c r="AI546" s="158"/>
    </row>
    <row r="547" spans="1:35" ht="15" customHeight="1" outlineLevel="4">
      <c r="A547" s="95"/>
      <c r="B547" s="95" t="s">
        <v>1075</v>
      </c>
      <c r="C547" s="95"/>
      <c r="D547" s="95"/>
      <c r="E547" s="774"/>
      <c r="F547" s="774" t="s">
        <v>1075</v>
      </c>
      <c r="G547" s="13"/>
      <c r="H547" s="81"/>
      <c r="I547" s="71">
        <f t="shared" si="179"/>
        <v>0</v>
      </c>
      <c r="J547" s="48"/>
      <c r="K547" s="590" t="str">
        <f t="shared" si="185"/>
        <v>.1</v>
      </c>
      <c r="L547" s="579" t="s">
        <v>1996</v>
      </c>
      <c r="M547" s="74"/>
      <c r="N547" s="49"/>
      <c r="O547" s="592" t="str">
        <f t="shared" si="180"/>
        <v>.2</v>
      </c>
      <c r="P547" s="578" t="s">
        <v>1998</v>
      </c>
      <c r="Q547" s="74"/>
      <c r="R547" s="49"/>
      <c r="S547" s="592" t="str">
        <f t="shared" si="181"/>
        <v>.3</v>
      </c>
      <c r="T547" s="578" t="s">
        <v>2000</v>
      </c>
      <c r="U547" s="74"/>
      <c r="V547" s="766"/>
      <c r="W547" s="766"/>
      <c r="X547" s="171"/>
      <c r="Y547" s="745"/>
      <c r="Z547" s="741">
        <v>0</v>
      </c>
      <c r="AA547" s="592" t="str">
        <f t="shared" si="182"/>
        <v>.1</v>
      </c>
      <c r="AB547" s="739" t="s">
        <v>1996</v>
      </c>
      <c r="AC547" s="738">
        <v>0</v>
      </c>
      <c r="AD547" s="592" t="str">
        <f t="shared" si="183"/>
        <v>.2</v>
      </c>
      <c r="AE547" s="739" t="s">
        <v>1998</v>
      </c>
      <c r="AF547" s="738">
        <v>0</v>
      </c>
      <c r="AG547" s="592" t="str">
        <f t="shared" si="184"/>
        <v>.3</v>
      </c>
      <c r="AH547" s="739" t="s">
        <v>2000</v>
      </c>
      <c r="AI547" s="171"/>
    </row>
    <row r="548" spans="1:35" ht="15" customHeight="1" outlineLevel="3">
      <c r="A548" s="97"/>
      <c r="B548" s="97" t="s">
        <v>1075</v>
      </c>
      <c r="C548" s="97"/>
      <c r="D548" s="97"/>
      <c r="E548" s="97"/>
      <c r="F548" s="97" t="s">
        <v>1075</v>
      </c>
      <c r="G548" s="40" t="s">
        <v>708</v>
      </c>
      <c r="H548" s="78">
        <f>SUBTOTAL(9,H549:H562)</f>
        <v>2</v>
      </c>
      <c r="I548" s="68">
        <f t="shared" si="179"/>
        <v>2</v>
      </c>
      <c r="J548" s="61">
        <f>SUBTOTAL(9,J549:J562)</f>
        <v>2</v>
      </c>
      <c r="K548" s="61"/>
      <c r="L548" s="61"/>
      <c r="M548" s="84"/>
      <c r="N548" s="61">
        <f>SUBTOTAL(9,N549:N562)</f>
        <v>0</v>
      </c>
      <c r="O548" s="91"/>
      <c r="P548" s="91"/>
      <c r="Q548" s="84"/>
      <c r="R548" s="61">
        <f>SUBTOTAL(9,R549:R562)</f>
        <v>0</v>
      </c>
      <c r="S548" s="91"/>
      <c r="T548" s="91"/>
      <c r="U548" s="84"/>
      <c r="V548" s="61">
        <f>SUBTOTAL(9,V549:V562)</f>
        <v>0</v>
      </c>
      <c r="W548" s="61">
        <f>SUBTOTAL(9,W549:W562)</f>
        <v>0</v>
      </c>
      <c r="X548" s="170"/>
      <c r="Y548" s="745"/>
      <c r="Z548" s="61">
        <f>SUBTOTAL(9,Z549:Z562)</f>
        <v>0</v>
      </c>
      <c r="AA548" s="91"/>
      <c r="AB548" s="91"/>
      <c r="AC548" s="61">
        <f>SUBTOTAL(9,AC549:AC562)</f>
        <v>0</v>
      </c>
      <c r="AD548" s="91"/>
      <c r="AE548" s="91"/>
      <c r="AF548" s="61">
        <f>SUBTOTAL(9,AF549:AF562)</f>
        <v>0</v>
      </c>
      <c r="AG548" s="91"/>
      <c r="AH548" s="91"/>
      <c r="AI548" s="170"/>
    </row>
    <row r="549" spans="1:35" ht="15" customHeight="1" outlineLevel="4">
      <c r="A549" s="153">
        <v>209080</v>
      </c>
      <c r="B549" s="153">
        <v>3450</v>
      </c>
      <c r="C549" s="153"/>
      <c r="D549" s="153"/>
      <c r="E549" s="93" t="s">
        <v>3062</v>
      </c>
      <c r="F549" s="93" t="s">
        <v>5166</v>
      </c>
      <c r="G549" s="37" t="s">
        <v>116</v>
      </c>
      <c r="H549" s="583">
        <f>IFERROR(VLOOKUP(A549,'Colar QL'!A:C,3,0),0)</f>
        <v>1</v>
      </c>
      <c r="I549" s="69">
        <f t="shared" si="179"/>
        <v>1</v>
      </c>
      <c r="J549" s="771">
        <f>'BD Temp'!E811</f>
        <v>1</v>
      </c>
      <c r="K549" s="590" t="str">
        <f t="shared" ref="K549:K562" si="186">F549&amp;L549</f>
        <v>47.0284.1.2.17.00.01.039.01.08.08.1</v>
      </c>
      <c r="L549" s="579" t="s">
        <v>1996</v>
      </c>
      <c r="M549" s="256">
        <f>'BD Temp'!F811</f>
        <v>0.80886430541170129</v>
      </c>
      <c r="N549" s="255">
        <f>'BD Temp'!J811</f>
        <v>0</v>
      </c>
      <c r="O549" s="592" t="str">
        <f t="shared" ref="O549:O562" si="187">F549&amp;P549</f>
        <v>47.0284.1.2.17.00.01.039.01.08.08.2</v>
      </c>
      <c r="P549" s="578" t="s">
        <v>1998</v>
      </c>
      <c r="Q549" s="256" t="str">
        <f>'BD Temp'!K811</f>
        <v>-</v>
      </c>
      <c r="R549" s="255">
        <f>'BD Temp'!O811</f>
        <v>0</v>
      </c>
      <c r="S549" s="592" t="str">
        <f t="shared" ref="S549:S562" si="188">F549&amp;T549</f>
        <v>47.0284.1.2.17.00.01.039.01.08.08.3</v>
      </c>
      <c r="T549" s="578" t="s">
        <v>2000</v>
      </c>
      <c r="U549" s="256" t="str">
        <f>'BD Temp'!P811</f>
        <v>-</v>
      </c>
      <c r="V549" s="764"/>
      <c r="W549" s="767"/>
      <c r="X549" s="158"/>
      <c r="Y549" s="745"/>
      <c r="Z549" s="741">
        <v>0</v>
      </c>
      <c r="AA549" s="592" t="str">
        <f t="shared" ref="AA549:AA562" si="189">F549&amp;AB549</f>
        <v>47.0284.1.2.17.00.01.039.01.08.08.1</v>
      </c>
      <c r="AB549" s="739" t="s">
        <v>1996</v>
      </c>
      <c r="AC549" s="738">
        <v>0</v>
      </c>
      <c r="AD549" s="592" t="str">
        <f t="shared" ref="AD549:AD562" si="190">F549&amp;AE549</f>
        <v>47.0284.1.2.17.00.01.039.01.08.08.2</v>
      </c>
      <c r="AE549" s="739" t="s">
        <v>1998</v>
      </c>
      <c r="AF549" s="738">
        <v>0</v>
      </c>
      <c r="AG549" s="592" t="str">
        <f t="shared" ref="AG549:AG562" si="191">F549&amp;AH549</f>
        <v>47.0284.1.2.17.00.01.039.01.08.08.3</v>
      </c>
      <c r="AH549" s="739" t="s">
        <v>2000</v>
      </c>
      <c r="AI549" s="158"/>
    </row>
    <row r="550" spans="1:35" ht="15" customHeight="1" outlineLevel="4">
      <c r="A550" s="93">
        <v>209085</v>
      </c>
      <c r="B550" s="93">
        <v>3450</v>
      </c>
      <c r="C550" s="93"/>
      <c r="D550" s="93"/>
      <c r="E550" s="93" t="s">
        <v>3062</v>
      </c>
      <c r="F550" s="93" t="s">
        <v>5166</v>
      </c>
      <c r="G550" s="37" t="s">
        <v>117</v>
      </c>
      <c r="H550" s="583">
        <f>IFERROR(VLOOKUP(A550,'Colar QL'!A:C,3,0),0)</f>
        <v>0</v>
      </c>
      <c r="I550" s="69">
        <f t="shared" si="179"/>
        <v>0</v>
      </c>
      <c r="J550" s="258">
        <f>'BD Temp'!E812</f>
        <v>0</v>
      </c>
      <c r="K550" s="590" t="str">
        <f t="shared" si="186"/>
        <v>47.0284.1.2.17.00.01.039.01.08.08.1</v>
      </c>
      <c r="L550" s="579" t="s">
        <v>1996</v>
      </c>
      <c r="M550" s="256" t="str">
        <f>'BD Temp'!F812</f>
        <v>-</v>
      </c>
      <c r="N550" s="255">
        <f>'BD Temp'!J812</f>
        <v>0</v>
      </c>
      <c r="O550" s="592" t="str">
        <f t="shared" si="187"/>
        <v>47.0284.1.2.17.00.01.039.01.08.08.2</v>
      </c>
      <c r="P550" s="578" t="s">
        <v>1998</v>
      </c>
      <c r="Q550" s="256" t="str">
        <f>'BD Temp'!K812</f>
        <v>-</v>
      </c>
      <c r="R550" s="255">
        <f>'BD Temp'!O812</f>
        <v>0</v>
      </c>
      <c r="S550" s="592" t="str">
        <f t="shared" si="188"/>
        <v>47.0284.1.2.17.00.01.039.01.08.08.3</v>
      </c>
      <c r="T550" s="578" t="s">
        <v>2000</v>
      </c>
      <c r="U550" s="256" t="str">
        <f>'BD Temp'!P812</f>
        <v>-</v>
      </c>
      <c r="V550" s="764"/>
      <c r="W550" s="767"/>
      <c r="X550" s="158"/>
      <c r="Y550" s="745"/>
      <c r="Z550" s="741">
        <v>0</v>
      </c>
      <c r="AA550" s="592" t="str">
        <f t="shared" si="189"/>
        <v>47.0284.1.2.17.00.01.039.01.08.08.1</v>
      </c>
      <c r="AB550" s="739" t="s">
        <v>1996</v>
      </c>
      <c r="AC550" s="738">
        <v>0</v>
      </c>
      <c r="AD550" s="592" t="str">
        <f t="shared" si="190"/>
        <v>47.0284.1.2.17.00.01.039.01.08.08.2</v>
      </c>
      <c r="AE550" s="739" t="s">
        <v>1998</v>
      </c>
      <c r="AF550" s="738">
        <v>0</v>
      </c>
      <c r="AG550" s="592" t="str">
        <f t="shared" si="191"/>
        <v>47.0284.1.2.17.00.01.039.01.08.08.3</v>
      </c>
      <c r="AH550" s="739" t="s">
        <v>2000</v>
      </c>
      <c r="AI550" s="158"/>
    </row>
    <row r="551" spans="1:35" ht="15" customHeight="1" outlineLevel="4">
      <c r="A551" s="153">
        <v>209090</v>
      </c>
      <c r="B551" s="153">
        <v>3450</v>
      </c>
      <c r="C551" s="153"/>
      <c r="D551" s="153"/>
      <c r="E551" s="153" t="s">
        <v>3062</v>
      </c>
      <c r="F551" s="153" t="s">
        <v>5166</v>
      </c>
      <c r="G551" s="37" t="s">
        <v>220</v>
      </c>
      <c r="H551" s="583">
        <f>IFERROR(VLOOKUP(A551,'Colar QL'!A:C,3,0),0)</f>
        <v>0</v>
      </c>
      <c r="I551" s="69">
        <f t="shared" si="179"/>
        <v>0</v>
      </c>
      <c r="J551" s="258">
        <f>'BD Temp'!E813</f>
        <v>0</v>
      </c>
      <c r="K551" s="590" t="str">
        <f t="shared" si="186"/>
        <v>47.0284.1.2.17.00.01.039.01.08.08.1</v>
      </c>
      <c r="L551" s="579" t="s">
        <v>1996</v>
      </c>
      <c r="M551" s="256" t="str">
        <f>'BD Temp'!F813</f>
        <v>-</v>
      </c>
      <c r="N551" s="255">
        <f>'BD Temp'!J813</f>
        <v>0</v>
      </c>
      <c r="O551" s="592" t="str">
        <f t="shared" si="187"/>
        <v>47.0284.1.2.17.00.01.039.01.08.08.2</v>
      </c>
      <c r="P551" s="578" t="s">
        <v>1998</v>
      </c>
      <c r="Q551" s="256" t="str">
        <f>'BD Temp'!K813</f>
        <v>-</v>
      </c>
      <c r="R551" s="255">
        <f>'BD Temp'!O813</f>
        <v>0</v>
      </c>
      <c r="S551" s="592" t="str">
        <f t="shared" si="188"/>
        <v>47.0284.1.2.17.00.01.039.01.08.08.3</v>
      </c>
      <c r="T551" s="578" t="s">
        <v>2000</v>
      </c>
      <c r="U551" s="256" t="str">
        <f>'BD Temp'!P813</f>
        <v>-</v>
      </c>
      <c r="V551" s="764"/>
      <c r="W551" s="767"/>
      <c r="X551" s="158"/>
      <c r="Y551" s="745"/>
      <c r="Z551" s="741">
        <v>0</v>
      </c>
      <c r="AA551" s="592" t="str">
        <f t="shared" si="189"/>
        <v>47.0284.1.2.17.00.01.039.01.08.08.1</v>
      </c>
      <c r="AB551" s="739" t="s">
        <v>1996</v>
      </c>
      <c r="AC551" s="738">
        <v>0</v>
      </c>
      <c r="AD551" s="592" t="str">
        <f t="shared" si="190"/>
        <v>47.0284.1.2.17.00.01.039.01.08.08.2</v>
      </c>
      <c r="AE551" s="739" t="s">
        <v>1998</v>
      </c>
      <c r="AF551" s="738">
        <v>0</v>
      </c>
      <c r="AG551" s="592" t="str">
        <f t="shared" si="191"/>
        <v>47.0284.1.2.17.00.01.039.01.08.08.3</v>
      </c>
      <c r="AH551" s="739" t="s">
        <v>2000</v>
      </c>
      <c r="AI551" s="158"/>
    </row>
    <row r="552" spans="1:35" ht="15" customHeight="1" outlineLevel="4">
      <c r="A552" s="93">
        <v>209095</v>
      </c>
      <c r="B552" s="93">
        <v>3450</v>
      </c>
      <c r="C552" s="93"/>
      <c r="D552" s="93"/>
      <c r="E552" s="93" t="s">
        <v>3062</v>
      </c>
      <c r="F552" s="93" t="s">
        <v>5166</v>
      </c>
      <c r="G552" s="37" t="s">
        <v>221</v>
      </c>
      <c r="H552" s="583">
        <f>IFERROR(VLOOKUP(A552,'Colar QL'!A:C,3,0),0)</f>
        <v>0</v>
      </c>
      <c r="I552" s="69">
        <f t="shared" si="179"/>
        <v>0</v>
      </c>
      <c r="J552" s="258">
        <f>'BD Temp'!E827</f>
        <v>0</v>
      </c>
      <c r="K552" s="590" t="str">
        <f t="shared" si="186"/>
        <v>47.0284.1.2.17.00.01.039.01.08.08.1</v>
      </c>
      <c r="L552" s="579" t="s">
        <v>1996</v>
      </c>
      <c r="M552" s="256" t="str">
        <f>'BD Temp'!F827</f>
        <v>-</v>
      </c>
      <c r="N552" s="255">
        <f>'BD Temp'!J827</f>
        <v>0</v>
      </c>
      <c r="O552" s="592" t="str">
        <f t="shared" si="187"/>
        <v>47.0284.1.2.17.00.01.039.01.08.08.2</v>
      </c>
      <c r="P552" s="578" t="s">
        <v>1998</v>
      </c>
      <c r="Q552" s="256" t="str">
        <f>'BD Temp'!K827</f>
        <v>-</v>
      </c>
      <c r="R552" s="255">
        <f>'BD Temp'!O827</f>
        <v>0</v>
      </c>
      <c r="S552" s="592" t="str">
        <f t="shared" si="188"/>
        <v>47.0284.1.2.17.00.01.039.01.08.08.3</v>
      </c>
      <c r="T552" s="578" t="s">
        <v>2000</v>
      </c>
      <c r="U552" s="256" t="str">
        <f>'BD Temp'!P827</f>
        <v>-</v>
      </c>
      <c r="V552" s="764"/>
      <c r="W552" s="767"/>
      <c r="X552" s="158"/>
      <c r="Y552" s="745"/>
      <c r="Z552" s="741">
        <v>0</v>
      </c>
      <c r="AA552" s="592" t="str">
        <f t="shared" si="189"/>
        <v>47.0284.1.2.17.00.01.039.01.08.08.1</v>
      </c>
      <c r="AB552" s="739" t="s">
        <v>1996</v>
      </c>
      <c r="AC552" s="738">
        <v>0</v>
      </c>
      <c r="AD552" s="592" t="str">
        <f t="shared" si="190"/>
        <v>47.0284.1.2.17.00.01.039.01.08.08.2</v>
      </c>
      <c r="AE552" s="739" t="s">
        <v>1998</v>
      </c>
      <c r="AF552" s="738">
        <v>0</v>
      </c>
      <c r="AG552" s="592" t="str">
        <f t="shared" si="191"/>
        <v>47.0284.1.2.17.00.01.039.01.08.08.3</v>
      </c>
      <c r="AH552" s="739" t="s">
        <v>2000</v>
      </c>
      <c r="AI552" s="158"/>
    </row>
    <row r="553" spans="1:35" ht="15" customHeight="1" outlineLevel="4">
      <c r="A553" s="93" t="s">
        <v>1096</v>
      </c>
      <c r="B553" s="93">
        <v>3450</v>
      </c>
      <c r="C553" s="93"/>
      <c r="D553" s="93"/>
      <c r="E553" s="93" t="s">
        <v>3062</v>
      </c>
      <c r="F553" s="93" t="s">
        <v>5166</v>
      </c>
      <c r="G553" s="37" t="s">
        <v>705</v>
      </c>
      <c r="H553" s="583">
        <f>IFERROR(VLOOKUP(A553,'Colar QL'!A:C,3,0),0)</f>
        <v>0</v>
      </c>
      <c r="I553" s="69">
        <f t="shared" si="179"/>
        <v>0</v>
      </c>
      <c r="J553" s="258">
        <f>'BD Temp'!E833</f>
        <v>0</v>
      </c>
      <c r="K553" s="590" t="str">
        <f t="shared" si="186"/>
        <v>47.0284.1.2.17.00.01.039.01.08.08.1</v>
      </c>
      <c r="L553" s="579" t="s">
        <v>1996</v>
      </c>
      <c r="M553" s="256" t="str">
        <f>'BD Temp'!F833</f>
        <v>-</v>
      </c>
      <c r="N553" s="255">
        <f>'BD Temp'!J833</f>
        <v>0</v>
      </c>
      <c r="O553" s="592" t="str">
        <f t="shared" si="187"/>
        <v>47.0284.1.2.17.00.01.039.01.08.08.2</v>
      </c>
      <c r="P553" s="578" t="s">
        <v>1998</v>
      </c>
      <c r="Q553" s="256" t="str">
        <f>'BD Temp'!K833</f>
        <v>-</v>
      </c>
      <c r="R553" s="255">
        <f>'BD Temp'!O833</f>
        <v>0</v>
      </c>
      <c r="S553" s="592" t="str">
        <f t="shared" si="188"/>
        <v>47.0284.1.2.17.00.01.039.01.08.08.3</v>
      </c>
      <c r="T553" s="578" t="s">
        <v>2000</v>
      </c>
      <c r="U553" s="256" t="str">
        <f>'BD Temp'!P833</f>
        <v>-</v>
      </c>
      <c r="V553" s="764"/>
      <c r="W553" s="767"/>
      <c r="X553" s="158"/>
      <c r="Y553" s="745"/>
      <c r="Z553" s="741">
        <v>0</v>
      </c>
      <c r="AA553" s="592" t="str">
        <f t="shared" si="189"/>
        <v>47.0284.1.2.17.00.01.039.01.08.08.1</v>
      </c>
      <c r="AB553" s="739" t="s">
        <v>1996</v>
      </c>
      <c r="AC553" s="738">
        <v>0</v>
      </c>
      <c r="AD553" s="592" t="str">
        <f t="shared" si="190"/>
        <v>47.0284.1.2.17.00.01.039.01.08.08.2</v>
      </c>
      <c r="AE553" s="739" t="s">
        <v>1998</v>
      </c>
      <c r="AF553" s="738">
        <v>0</v>
      </c>
      <c r="AG553" s="592" t="str">
        <f t="shared" si="191"/>
        <v>47.0284.1.2.17.00.01.039.01.08.08.3</v>
      </c>
      <c r="AH553" s="739" t="s">
        <v>2000</v>
      </c>
      <c r="AI553" s="158"/>
    </row>
    <row r="554" spans="1:35" ht="15" customHeight="1" outlineLevel="4">
      <c r="A554" s="219">
        <v>209100</v>
      </c>
      <c r="B554" s="219">
        <v>3450</v>
      </c>
      <c r="C554" s="219"/>
      <c r="D554" s="219"/>
      <c r="E554" s="219" t="s">
        <v>3062</v>
      </c>
      <c r="F554" s="219" t="s">
        <v>5166</v>
      </c>
      <c r="G554" s="41" t="s">
        <v>683</v>
      </c>
      <c r="H554" s="583">
        <f>IFERROR(VLOOKUP(A554,'Colar QL'!A:C,3,0),0)</f>
        <v>1</v>
      </c>
      <c r="I554" s="69">
        <f t="shared" si="179"/>
        <v>1</v>
      </c>
      <c r="J554" s="258">
        <f>'BD Temp'!E834</f>
        <v>1</v>
      </c>
      <c r="K554" s="590" t="str">
        <f t="shared" si="186"/>
        <v>47.0284.1.2.17.00.01.039.01.08.08.1</v>
      </c>
      <c r="L554" s="579" t="s">
        <v>1996</v>
      </c>
      <c r="M554" s="256">
        <f>'BD Temp'!F834</f>
        <v>0.12291422081834617</v>
      </c>
      <c r="N554" s="255">
        <f>'BD Temp'!J834</f>
        <v>0</v>
      </c>
      <c r="O554" s="592" t="str">
        <f t="shared" si="187"/>
        <v>47.0284.1.2.17.00.01.039.01.08.08.2</v>
      </c>
      <c r="P554" s="578" t="s">
        <v>1998</v>
      </c>
      <c r="Q554" s="256">
        <f>'BD Temp'!K834</f>
        <v>0</v>
      </c>
      <c r="R554" s="255">
        <f>'BD Temp'!O834</f>
        <v>0</v>
      </c>
      <c r="S554" s="592" t="str">
        <f t="shared" si="188"/>
        <v>47.0284.1.2.17.00.01.039.01.08.08.3</v>
      </c>
      <c r="T554" s="578" t="s">
        <v>2000</v>
      </c>
      <c r="U554" s="256">
        <f>'BD Temp'!P834</f>
        <v>0</v>
      </c>
      <c r="V554" s="764"/>
      <c r="W554" s="767"/>
      <c r="X554" s="172"/>
      <c r="Y554" s="746"/>
      <c r="Z554" s="741">
        <v>0</v>
      </c>
      <c r="AA554" s="592" t="str">
        <f t="shared" si="189"/>
        <v>47.0284.1.2.17.00.01.039.01.08.08.1</v>
      </c>
      <c r="AB554" s="739" t="s">
        <v>1996</v>
      </c>
      <c r="AC554" s="738">
        <v>0</v>
      </c>
      <c r="AD554" s="592" t="str">
        <f t="shared" si="190"/>
        <v>47.0284.1.2.17.00.01.039.01.08.08.2</v>
      </c>
      <c r="AE554" s="739" t="s">
        <v>1998</v>
      </c>
      <c r="AF554" s="738">
        <v>0</v>
      </c>
      <c r="AG554" s="592" t="str">
        <f t="shared" si="191"/>
        <v>47.0284.1.2.17.00.01.039.01.08.08.3</v>
      </c>
      <c r="AH554" s="739" t="s">
        <v>2000</v>
      </c>
      <c r="AI554" s="172"/>
    </row>
    <row r="555" spans="1:35" ht="15" customHeight="1" outlineLevel="4">
      <c r="A555" s="102"/>
      <c r="B555" s="102" t="s">
        <v>1075</v>
      </c>
      <c r="C555" s="102"/>
      <c r="D555" s="102"/>
      <c r="E555" s="102"/>
      <c r="F555" s="102" t="s">
        <v>1075</v>
      </c>
      <c r="G555" s="41"/>
      <c r="H555" s="82"/>
      <c r="I555" s="72">
        <f t="shared" si="179"/>
        <v>0</v>
      </c>
      <c r="J555" s="48"/>
      <c r="K555" s="590" t="str">
        <f t="shared" si="186"/>
        <v>.1</v>
      </c>
      <c r="L555" s="579" t="s">
        <v>1996</v>
      </c>
      <c r="M555" s="74"/>
      <c r="N555" s="49"/>
      <c r="O555" s="592" t="str">
        <f t="shared" si="187"/>
        <v>.2</v>
      </c>
      <c r="P555" s="578" t="s">
        <v>1998</v>
      </c>
      <c r="Q555" s="74"/>
      <c r="R555" s="49"/>
      <c r="S555" s="592" t="str">
        <f t="shared" si="188"/>
        <v>.3</v>
      </c>
      <c r="T555" s="578" t="s">
        <v>2000</v>
      </c>
      <c r="U555" s="74"/>
      <c r="V555" s="768"/>
      <c r="W555" s="768"/>
      <c r="X555" s="172"/>
      <c r="Y555" s="746"/>
      <c r="Z555" s="741">
        <v>0</v>
      </c>
      <c r="AA555" s="592" t="str">
        <f t="shared" si="189"/>
        <v>.1</v>
      </c>
      <c r="AB555" s="739" t="s">
        <v>1996</v>
      </c>
      <c r="AC555" s="738">
        <v>0</v>
      </c>
      <c r="AD555" s="592" t="str">
        <f t="shared" si="190"/>
        <v>.2</v>
      </c>
      <c r="AE555" s="739" t="s">
        <v>1998</v>
      </c>
      <c r="AF555" s="738">
        <v>0</v>
      </c>
      <c r="AG555" s="592" t="str">
        <f t="shared" si="191"/>
        <v>.3</v>
      </c>
      <c r="AH555" s="739" t="s">
        <v>2000</v>
      </c>
      <c r="AI555" s="172"/>
    </row>
    <row r="556" spans="1:35" ht="15" customHeight="1" outlineLevel="4">
      <c r="A556" s="103"/>
      <c r="B556" s="103" t="s">
        <v>1075</v>
      </c>
      <c r="C556" s="103"/>
      <c r="D556" s="103"/>
      <c r="E556" s="103"/>
      <c r="F556" s="103" t="s">
        <v>1075</v>
      </c>
      <c r="G556" s="47" t="s">
        <v>723</v>
      </c>
      <c r="H556" s="82"/>
      <c r="I556" s="72">
        <f t="shared" si="179"/>
        <v>0</v>
      </c>
      <c r="J556" s="48"/>
      <c r="K556" s="590" t="str">
        <f t="shared" si="186"/>
        <v>.1</v>
      </c>
      <c r="L556" s="579" t="s">
        <v>1996</v>
      </c>
      <c r="M556" s="74"/>
      <c r="N556" s="49"/>
      <c r="O556" s="592" t="str">
        <f t="shared" si="187"/>
        <v>.2</v>
      </c>
      <c r="P556" s="578" t="s">
        <v>1998</v>
      </c>
      <c r="Q556" s="74"/>
      <c r="R556" s="49"/>
      <c r="S556" s="592" t="str">
        <f t="shared" si="188"/>
        <v>.3</v>
      </c>
      <c r="T556" s="578" t="s">
        <v>2000</v>
      </c>
      <c r="U556" s="74"/>
      <c r="V556" s="768"/>
      <c r="W556" s="768"/>
      <c r="X556" s="172"/>
      <c r="Y556" s="746"/>
      <c r="Z556" s="741">
        <v>0</v>
      </c>
      <c r="AA556" s="592" t="str">
        <f t="shared" si="189"/>
        <v>.1</v>
      </c>
      <c r="AB556" s="739" t="s">
        <v>1996</v>
      </c>
      <c r="AC556" s="738">
        <v>0</v>
      </c>
      <c r="AD556" s="592" t="str">
        <f t="shared" si="190"/>
        <v>.2</v>
      </c>
      <c r="AE556" s="739" t="s">
        <v>1998</v>
      </c>
      <c r="AF556" s="738">
        <v>0</v>
      </c>
      <c r="AG556" s="592" t="str">
        <f t="shared" si="191"/>
        <v>.3</v>
      </c>
      <c r="AH556" s="739" t="s">
        <v>2000</v>
      </c>
      <c r="AI556" s="172"/>
    </row>
    <row r="557" spans="1:35" ht="15" customHeight="1" outlineLevel="4">
      <c r="A557" s="102"/>
      <c r="B557" s="102" t="s">
        <v>1075</v>
      </c>
      <c r="C557" s="102"/>
      <c r="D557" s="102"/>
      <c r="E557" s="102"/>
      <c r="F557" s="102" t="s">
        <v>1075</v>
      </c>
      <c r="G557" s="41"/>
      <c r="H557" s="79"/>
      <c r="I557" s="72">
        <f t="shared" si="179"/>
        <v>0</v>
      </c>
      <c r="J557" s="48"/>
      <c r="K557" s="590" t="str">
        <f t="shared" si="186"/>
        <v>.1</v>
      </c>
      <c r="L557" s="579" t="s">
        <v>1996</v>
      </c>
      <c r="M557" s="74"/>
      <c r="N557" s="49"/>
      <c r="O557" s="592" t="str">
        <f t="shared" si="187"/>
        <v>.2</v>
      </c>
      <c r="P557" s="578" t="s">
        <v>1998</v>
      </c>
      <c r="Q557" s="74"/>
      <c r="R557" s="49"/>
      <c r="S557" s="592" t="str">
        <f t="shared" si="188"/>
        <v>.3</v>
      </c>
      <c r="T557" s="578" t="s">
        <v>2000</v>
      </c>
      <c r="U557" s="74"/>
      <c r="V557" s="768"/>
      <c r="W557" s="768"/>
      <c r="X557" s="172"/>
      <c r="Y557" s="746"/>
      <c r="Z557" s="741">
        <v>0</v>
      </c>
      <c r="AA557" s="592" t="str">
        <f t="shared" si="189"/>
        <v>.1</v>
      </c>
      <c r="AB557" s="739" t="s">
        <v>1996</v>
      </c>
      <c r="AC557" s="738">
        <v>0</v>
      </c>
      <c r="AD557" s="592" t="str">
        <f t="shared" si="190"/>
        <v>.2</v>
      </c>
      <c r="AE557" s="739" t="s">
        <v>1998</v>
      </c>
      <c r="AF557" s="738">
        <v>0</v>
      </c>
      <c r="AG557" s="592" t="str">
        <f t="shared" si="191"/>
        <v>.3</v>
      </c>
      <c r="AH557" s="739" t="s">
        <v>2000</v>
      </c>
      <c r="AI557" s="172"/>
    </row>
    <row r="558" spans="1:35" ht="15" customHeight="1" outlineLevel="4">
      <c r="A558" s="102"/>
      <c r="B558" s="102" t="s">
        <v>1075</v>
      </c>
      <c r="C558" s="102"/>
      <c r="D558" s="102"/>
      <c r="E558" s="102"/>
      <c r="F558" s="102" t="s">
        <v>1075</v>
      </c>
      <c r="G558" s="41"/>
      <c r="H558" s="79"/>
      <c r="I558" s="72">
        <f t="shared" si="179"/>
        <v>0</v>
      </c>
      <c r="J558" s="48"/>
      <c r="K558" s="590" t="str">
        <f t="shared" si="186"/>
        <v>.1</v>
      </c>
      <c r="L558" s="579" t="s">
        <v>1996</v>
      </c>
      <c r="M558" s="74"/>
      <c r="N558" s="49"/>
      <c r="O558" s="592" t="str">
        <f t="shared" si="187"/>
        <v>.2</v>
      </c>
      <c r="P558" s="578" t="s">
        <v>1998</v>
      </c>
      <c r="Q558" s="74"/>
      <c r="R558" s="49"/>
      <c r="S558" s="592" t="str">
        <f t="shared" si="188"/>
        <v>.3</v>
      </c>
      <c r="T558" s="578" t="s">
        <v>2000</v>
      </c>
      <c r="U558" s="74"/>
      <c r="V558" s="768"/>
      <c r="W558" s="768"/>
      <c r="X558" s="172"/>
      <c r="Y558" s="746"/>
      <c r="Z558" s="741">
        <v>0</v>
      </c>
      <c r="AA558" s="592" t="str">
        <f t="shared" si="189"/>
        <v>.1</v>
      </c>
      <c r="AB558" s="739" t="s">
        <v>1996</v>
      </c>
      <c r="AC558" s="738">
        <v>0</v>
      </c>
      <c r="AD558" s="592" t="str">
        <f t="shared" si="190"/>
        <v>.2</v>
      </c>
      <c r="AE558" s="739" t="s">
        <v>1998</v>
      </c>
      <c r="AF558" s="738">
        <v>0</v>
      </c>
      <c r="AG558" s="592" t="str">
        <f t="shared" si="191"/>
        <v>.3</v>
      </c>
      <c r="AH558" s="739" t="s">
        <v>2000</v>
      </c>
      <c r="AI558" s="172"/>
    </row>
    <row r="559" spans="1:35" ht="15" customHeight="1" outlineLevel="4">
      <c r="A559" s="102"/>
      <c r="B559" s="102" t="s">
        <v>1075</v>
      </c>
      <c r="C559" s="102"/>
      <c r="D559" s="102"/>
      <c r="E559" s="102"/>
      <c r="F559" s="102" t="s">
        <v>1075</v>
      </c>
      <c r="G559" s="41"/>
      <c r="H559" s="79"/>
      <c r="I559" s="72">
        <f t="shared" si="179"/>
        <v>0</v>
      </c>
      <c r="J559" s="48"/>
      <c r="K559" s="590" t="str">
        <f t="shared" si="186"/>
        <v>.1</v>
      </c>
      <c r="L559" s="579" t="s">
        <v>1996</v>
      </c>
      <c r="M559" s="74"/>
      <c r="N559" s="49"/>
      <c r="O559" s="592" t="str">
        <f t="shared" si="187"/>
        <v>.2</v>
      </c>
      <c r="P559" s="578" t="s">
        <v>1998</v>
      </c>
      <c r="Q559" s="74"/>
      <c r="R559" s="49"/>
      <c r="S559" s="592" t="str">
        <f t="shared" si="188"/>
        <v>.3</v>
      </c>
      <c r="T559" s="578" t="s">
        <v>2000</v>
      </c>
      <c r="U559" s="74"/>
      <c r="V559" s="768"/>
      <c r="W559" s="768"/>
      <c r="X559" s="172"/>
      <c r="Y559" s="746"/>
      <c r="Z559" s="741">
        <v>0</v>
      </c>
      <c r="AA559" s="592" t="str">
        <f t="shared" si="189"/>
        <v>.1</v>
      </c>
      <c r="AB559" s="739" t="s">
        <v>1996</v>
      </c>
      <c r="AC559" s="738">
        <v>0</v>
      </c>
      <c r="AD559" s="592" t="str">
        <f t="shared" si="190"/>
        <v>.2</v>
      </c>
      <c r="AE559" s="739" t="s">
        <v>1998</v>
      </c>
      <c r="AF559" s="738">
        <v>0</v>
      </c>
      <c r="AG559" s="592" t="str">
        <f t="shared" si="191"/>
        <v>.3</v>
      </c>
      <c r="AH559" s="739" t="s">
        <v>2000</v>
      </c>
      <c r="AI559" s="172"/>
    </row>
    <row r="560" spans="1:35" ht="15" customHeight="1" outlineLevel="4">
      <c r="A560" s="102"/>
      <c r="B560" s="102" t="s">
        <v>1075</v>
      </c>
      <c r="C560" s="102"/>
      <c r="D560" s="102"/>
      <c r="E560" s="102"/>
      <c r="F560" s="102" t="s">
        <v>1075</v>
      </c>
      <c r="G560" s="41"/>
      <c r="H560" s="79"/>
      <c r="I560" s="72">
        <f t="shared" si="179"/>
        <v>0</v>
      </c>
      <c r="J560" s="48"/>
      <c r="K560" s="590" t="str">
        <f t="shared" si="186"/>
        <v>.1</v>
      </c>
      <c r="L560" s="579" t="s">
        <v>1996</v>
      </c>
      <c r="M560" s="74"/>
      <c r="N560" s="49"/>
      <c r="O560" s="592" t="str">
        <f t="shared" si="187"/>
        <v>.2</v>
      </c>
      <c r="P560" s="578" t="s">
        <v>1998</v>
      </c>
      <c r="Q560" s="74"/>
      <c r="R560" s="49"/>
      <c r="S560" s="592" t="str">
        <f t="shared" si="188"/>
        <v>.3</v>
      </c>
      <c r="T560" s="578" t="s">
        <v>2000</v>
      </c>
      <c r="U560" s="74"/>
      <c r="V560" s="768"/>
      <c r="W560" s="768"/>
      <c r="X560" s="172"/>
      <c r="Y560" s="746"/>
      <c r="Z560" s="741">
        <v>0</v>
      </c>
      <c r="AA560" s="592" t="str">
        <f t="shared" si="189"/>
        <v>.1</v>
      </c>
      <c r="AB560" s="739" t="s">
        <v>1996</v>
      </c>
      <c r="AC560" s="738">
        <v>0</v>
      </c>
      <c r="AD560" s="592" t="str">
        <f t="shared" si="190"/>
        <v>.2</v>
      </c>
      <c r="AE560" s="739" t="s">
        <v>1998</v>
      </c>
      <c r="AF560" s="738">
        <v>0</v>
      </c>
      <c r="AG560" s="592" t="str">
        <f t="shared" si="191"/>
        <v>.3</v>
      </c>
      <c r="AH560" s="739" t="s">
        <v>2000</v>
      </c>
      <c r="AI560" s="172"/>
    </row>
    <row r="561" spans="1:35" ht="15" customHeight="1" outlineLevel="4">
      <c r="A561" s="102"/>
      <c r="B561" s="102" t="s">
        <v>1075</v>
      </c>
      <c r="C561" s="102"/>
      <c r="D561" s="102"/>
      <c r="E561" s="102"/>
      <c r="F561" s="102" t="s">
        <v>1075</v>
      </c>
      <c r="G561" s="41"/>
      <c r="H561" s="79"/>
      <c r="I561" s="72">
        <f t="shared" si="179"/>
        <v>0</v>
      </c>
      <c r="J561" s="48"/>
      <c r="K561" s="590" t="str">
        <f t="shared" si="186"/>
        <v>.1</v>
      </c>
      <c r="L561" s="579" t="s">
        <v>1996</v>
      </c>
      <c r="M561" s="74"/>
      <c r="N561" s="49"/>
      <c r="O561" s="592" t="str">
        <f t="shared" si="187"/>
        <v>.2</v>
      </c>
      <c r="P561" s="578" t="s">
        <v>1998</v>
      </c>
      <c r="Q561" s="74"/>
      <c r="R561" s="49"/>
      <c r="S561" s="592" t="str">
        <f t="shared" si="188"/>
        <v>.3</v>
      </c>
      <c r="T561" s="578" t="s">
        <v>2000</v>
      </c>
      <c r="U561" s="74"/>
      <c r="V561" s="768"/>
      <c r="W561" s="768"/>
      <c r="X561" s="172"/>
      <c r="Y561" s="746"/>
      <c r="Z561" s="741">
        <v>0</v>
      </c>
      <c r="AA561" s="592" t="str">
        <f t="shared" si="189"/>
        <v>.1</v>
      </c>
      <c r="AB561" s="739" t="s">
        <v>1996</v>
      </c>
      <c r="AC561" s="738">
        <v>0</v>
      </c>
      <c r="AD561" s="592" t="str">
        <f t="shared" si="190"/>
        <v>.2</v>
      </c>
      <c r="AE561" s="739" t="s">
        <v>1998</v>
      </c>
      <c r="AF561" s="738">
        <v>0</v>
      </c>
      <c r="AG561" s="592" t="str">
        <f t="shared" si="191"/>
        <v>.3</v>
      </c>
      <c r="AH561" s="739" t="s">
        <v>2000</v>
      </c>
      <c r="AI561" s="172"/>
    </row>
    <row r="562" spans="1:35" ht="15" customHeight="1" outlineLevel="4">
      <c r="A562" s="95"/>
      <c r="B562" s="95" t="s">
        <v>1075</v>
      </c>
      <c r="C562" s="95"/>
      <c r="D562" s="95"/>
      <c r="E562" s="774"/>
      <c r="F562" s="774" t="s">
        <v>1075</v>
      </c>
      <c r="G562" s="13"/>
      <c r="H562" s="81"/>
      <c r="I562" s="71">
        <f t="shared" si="179"/>
        <v>0</v>
      </c>
      <c r="J562" s="48"/>
      <c r="K562" s="590" t="str">
        <f t="shared" si="186"/>
        <v>.1</v>
      </c>
      <c r="L562" s="579" t="s">
        <v>1996</v>
      </c>
      <c r="M562" s="74"/>
      <c r="N562" s="49"/>
      <c r="O562" s="592" t="str">
        <f t="shared" si="187"/>
        <v>.2</v>
      </c>
      <c r="P562" s="578" t="s">
        <v>1998</v>
      </c>
      <c r="Q562" s="74"/>
      <c r="R562" s="49"/>
      <c r="S562" s="592" t="str">
        <f t="shared" si="188"/>
        <v>.3</v>
      </c>
      <c r="T562" s="578" t="s">
        <v>2000</v>
      </c>
      <c r="U562" s="74"/>
      <c r="V562" s="766"/>
      <c r="W562" s="766"/>
      <c r="X562" s="171"/>
      <c r="Y562" s="745"/>
      <c r="Z562" s="741">
        <v>0</v>
      </c>
      <c r="AA562" s="592" t="str">
        <f t="shared" si="189"/>
        <v>.1</v>
      </c>
      <c r="AB562" s="739" t="s">
        <v>1996</v>
      </c>
      <c r="AC562" s="738">
        <v>0</v>
      </c>
      <c r="AD562" s="592" t="str">
        <f t="shared" si="190"/>
        <v>.2</v>
      </c>
      <c r="AE562" s="739" t="s">
        <v>1998</v>
      </c>
      <c r="AF562" s="738">
        <v>0</v>
      </c>
      <c r="AG562" s="592" t="str">
        <f t="shared" si="191"/>
        <v>.3</v>
      </c>
      <c r="AH562" s="739" t="s">
        <v>2000</v>
      </c>
      <c r="AI562" s="171"/>
    </row>
    <row r="563" spans="1:35" ht="15" customHeight="1" outlineLevel="2">
      <c r="A563" s="97"/>
      <c r="B563" s="97" t="s">
        <v>1075</v>
      </c>
      <c r="C563" s="97"/>
      <c r="D563" s="97"/>
      <c r="E563" s="97"/>
      <c r="F563" s="97" t="s">
        <v>1075</v>
      </c>
      <c r="G563" s="40" t="s">
        <v>235</v>
      </c>
      <c r="H563" s="78">
        <f>SUBTOTAL(9,H564:H565)</f>
        <v>1</v>
      </c>
      <c r="I563" s="68">
        <f t="shared" si="179"/>
        <v>1</v>
      </c>
      <c r="J563" s="55">
        <f>SUBTOTAL(9,J564)</f>
        <v>1</v>
      </c>
      <c r="K563" s="55"/>
      <c r="L563" s="55"/>
      <c r="M563" s="84"/>
      <c r="N563" s="56">
        <f>SUBTOTAL(9,N564)</f>
        <v>0</v>
      </c>
      <c r="O563" s="84"/>
      <c r="P563" s="84"/>
      <c r="Q563" s="84"/>
      <c r="R563" s="56">
        <f>SUBTOTAL(9,R564)</f>
        <v>0</v>
      </c>
      <c r="S563" s="84"/>
      <c r="T563" s="84"/>
      <c r="U563" s="84"/>
      <c r="V563" s="56">
        <f>SUBTOTAL(9,V564)</f>
        <v>0</v>
      </c>
      <c r="W563" s="56">
        <f>SUBTOTAL(9,W564)</f>
        <v>0</v>
      </c>
      <c r="X563" s="170"/>
      <c r="Y563" s="745"/>
      <c r="Z563" s="55">
        <f>SUBTOTAL(9,Z564)</f>
        <v>0</v>
      </c>
      <c r="AA563" s="84"/>
      <c r="AB563" s="84"/>
      <c r="AC563" s="56">
        <f>SUBTOTAL(9,AC564)</f>
        <v>0</v>
      </c>
      <c r="AD563" s="84"/>
      <c r="AE563" s="84"/>
      <c r="AF563" s="56">
        <f>SUBTOTAL(9,AF564)</f>
        <v>0</v>
      </c>
      <c r="AG563" s="84"/>
      <c r="AH563" s="84"/>
      <c r="AI563" s="170"/>
    </row>
    <row r="564" spans="1:35" ht="15" customHeight="1" outlineLevel="3">
      <c r="A564" s="95">
        <v>55</v>
      </c>
      <c r="B564" s="95">
        <v>3450</v>
      </c>
      <c r="C564" s="95"/>
      <c r="D564" s="95"/>
      <c r="E564" s="93" t="s">
        <v>3066</v>
      </c>
      <c r="F564" s="93" t="s">
        <v>5190</v>
      </c>
      <c r="G564" s="13" t="s">
        <v>3030</v>
      </c>
      <c r="H564" s="583">
        <f>IFERROR(VLOOKUP(A564,'Colar QL'!A:C,3,0),0)</f>
        <v>1</v>
      </c>
      <c r="I564" s="69">
        <f t="shared" si="179"/>
        <v>1</v>
      </c>
      <c r="J564" s="771">
        <f>ROUND(J472*U5,0)</f>
        <v>1</v>
      </c>
      <c r="K564" s="590" t="str">
        <f>F564&amp;L564</f>
        <v>47.0284.1.2.17.00.01.039.01.08.35.1</v>
      </c>
      <c r="L564" s="771" t="s">
        <v>1996</v>
      </c>
      <c r="M564" s="772"/>
      <c r="N564" s="771">
        <f>ROUND(N472*U5,0)</f>
        <v>0</v>
      </c>
      <c r="O564" s="592" t="str">
        <f>F564&amp;P564</f>
        <v>47.0284.1.2.17.00.01.039.01.08.35.2</v>
      </c>
      <c r="P564" s="772" t="s">
        <v>1998</v>
      </c>
      <c r="Q564" s="772"/>
      <c r="R564" s="770">
        <f>ROUND(R472*$U$5,0)</f>
        <v>0</v>
      </c>
      <c r="S564" s="592" t="str">
        <f>F564&amp;T564</f>
        <v>47.0284.1.2.17.00.01.039.01.08.35.3</v>
      </c>
      <c r="T564" s="772" t="s">
        <v>2000</v>
      </c>
      <c r="U564" s="772"/>
      <c r="V564" s="768"/>
      <c r="W564" s="768"/>
      <c r="X564" s="172"/>
      <c r="Y564" s="746"/>
      <c r="Z564" s="771">
        <v>0</v>
      </c>
      <c r="AA564" s="592" t="str">
        <f>F564&amp;AB564</f>
        <v>47.0284.1.2.17.00.01.039.01.08.35.1</v>
      </c>
      <c r="AB564" s="772" t="s">
        <v>1996</v>
      </c>
      <c r="AC564" s="770">
        <v>0</v>
      </c>
      <c r="AD564" s="592" t="str">
        <f>F564&amp;AE564</f>
        <v>47.0284.1.2.17.00.01.039.01.08.35.2</v>
      </c>
      <c r="AE564" s="772" t="s">
        <v>1998</v>
      </c>
      <c r="AF564" s="770">
        <f>ROUND(AF472*$U$5,0)</f>
        <v>0</v>
      </c>
      <c r="AG564" s="592" t="str">
        <f>F564&amp;AH564</f>
        <v>47.0284.1.2.17.00.01.039.01.08.35.3</v>
      </c>
      <c r="AH564" s="772" t="s">
        <v>2000</v>
      </c>
      <c r="AI564" s="172"/>
    </row>
    <row r="565" spans="1:35" ht="15" customHeight="1" outlineLevel="3">
      <c r="A565" s="95">
        <v>56</v>
      </c>
      <c r="B565" s="95" t="s">
        <v>1075</v>
      </c>
      <c r="C565" s="95"/>
      <c r="D565" s="95"/>
      <c r="E565" s="774"/>
      <c r="F565" s="774" t="s">
        <v>1075</v>
      </c>
      <c r="G565" s="13"/>
      <c r="H565" s="583"/>
      <c r="I565" s="72">
        <f t="shared" si="179"/>
        <v>0</v>
      </c>
      <c r="J565" s="771"/>
      <c r="K565" s="590" t="str">
        <f>F565&amp;L565</f>
        <v>.1</v>
      </c>
      <c r="L565" s="771" t="s">
        <v>1996</v>
      </c>
      <c r="M565" s="772"/>
      <c r="N565" s="770"/>
      <c r="O565" s="592" t="str">
        <f>F565&amp;P565</f>
        <v>.2</v>
      </c>
      <c r="P565" s="772" t="s">
        <v>1998</v>
      </c>
      <c r="Q565" s="772"/>
      <c r="R565" s="770"/>
      <c r="S565" s="592" t="str">
        <f>F565&amp;T565</f>
        <v>.3</v>
      </c>
      <c r="T565" s="772" t="s">
        <v>2000</v>
      </c>
      <c r="U565" s="772"/>
      <c r="V565" s="768"/>
      <c r="W565" s="768"/>
      <c r="X565" s="172"/>
      <c r="Y565" s="746"/>
      <c r="Z565" s="771"/>
      <c r="AA565" s="592" t="str">
        <f>F565&amp;AB565</f>
        <v>.1</v>
      </c>
      <c r="AB565" s="772" t="s">
        <v>1996</v>
      </c>
      <c r="AC565" s="770"/>
      <c r="AD565" s="592" t="str">
        <f>F565&amp;AE565</f>
        <v>.2</v>
      </c>
      <c r="AE565" s="772" t="s">
        <v>1998</v>
      </c>
      <c r="AF565" s="770"/>
      <c r="AG565" s="592" t="str">
        <f>F565&amp;AH565</f>
        <v>.3</v>
      </c>
      <c r="AH565" s="772" t="s">
        <v>2000</v>
      </c>
      <c r="AI565" s="172"/>
    </row>
    <row r="566" spans="1:35" ht="15" customHeight="1" outlineLevel="3">
      <c r="A566" s="95"/>
      <c r="B566" s="95" t="s">
        <v>1075</v>
      </c>
      <c r="C566" s="95"/>
      <c r="D566" s="95"/>
      <c r="E566" s="774"/>
      <c r="F566" s="774" t="s">
        <v>1075</v>
      </c>
      <c r="G566" s="13"/>
      <c r="H566" s="81"/>
      <c r="I566" s="71">
        <f t="shared" si="179"/>
        <v>0</v>
      </c>
      <c r="J566" s="48"/>
      <c r="K566" s="579"/>
      <c r="L566" s="579"/>
      <c r="M566" s="74"/>
      <c r="N566" s="49"/>
      <c r="O566" s="578"/>
      <c r="P566" s="578"/>
      <c r="Q566" s="74"/>
      <c r="R566" s="49"/>
      <c r="S566" s="578"/>
      <c r="T566" s="578"/>
      <c r="U566" s="74"/>
      <c r="V566" s="766"/>
      <c r="W566" s="766"/>
      <c r="X566" s="171"/>
      <c r="Y566" s="745"/>
      <c r="Z566" s="741"/>
      <c r="AA566" s="739"/>
      <c r="AB566" s="739"/>
      <c r="AC566" s="738"/>
      <c r="AD566" s="739"/>
      <c r="AE566" s="739"/>
      <c r="AF566" s="738"/>
      <c r="AG566" s="739"/>
      <c r="AH566" s="739"/>
      <c r="AI566" s="171"/>
    </row>
    <row r="567" spans="1:35" ht="15" customHeight="1" outlineLevel="1" collapsed="1">
      <c r="A567" s="98"/>
      <c r="B567" s="98" t="s">
        <v>1075</v>
      </c>
      <c r="C567" s="98"/>
      <c r="D567" s="98"/>
      <c r="E567" s="98"/>
      <c r="F567" s="98" t="s">
        <v>1075</v>
      </c>
      <c r="G567" s="35" t="s">
        <v>121</v>
      </c>
      <c r="H567" s="77">
        <f>SUBTOTAL(9,H568:H613)</f>
        <v>12</v>
      </c>
      <c r="I567" s="67">
        <f t="shared" si="179"/>
        <v>12</v>
      </c>
      <c r="J567" s="54">
        <f>SUBTOTAL(9,J568:J613)</f>
        <v>12</v>
      </c>
      <c r="K567" s="54"/>
      <c r="L567" s="54"/>
      <c r="M567" s="85"/>
      <c r="N567" s="54">
        <f>SUBTOTAL(9,N568:N613)</f>
        <v>0</v>
      </c>
      <c r="O567" s="90"/>
      <c r="P567" s="90"/>
      <c r="Q567" s="85"/>
      <c r="R567" s="54">
        <f>SUBTOTAL(9,R568:R613)</f>
        <v>0</v>
      </c>
      <c r="S567" s="90"/>
      <c r="T567" s="90"/>
      <c r="U567" s="85"/>
      <c r="V567" s="54">
        <f>SUBTOTAL(9,V568:V613)</f>
        <v>0</v>
      </c>
      <c r="W567" s="54">
        <f>SUBTOTAL(9,W568:W613)</f>
        <v>0</v>
      </c>
      <c r="X567" s="169"/>
      <c r="Y567" s="745"/>
      <c r="Z567" s="54">
        <f>SUBTOTAL(9,Z568:Z613)</f>
        <v>0</v>
      </c>
      <c r="AA567" s="90"/>
      <c r="AB567" s="90"/>
      <c r="AC567" s="54">
        <f>SUBTOTAL(9,AC568:AC613)</f>
        <v>0</v>
      </c>
      <c r="AD567" s="90"/>
      <c r="AE567" s="90"/>
      <c r="AF567" s="54">
        <f>SUBTOTAL(9,AF568:AF613)</f>
        <v>0</v>
      </c>
      <c r="AG567" s="90"/>
      <c r="AH567" s="90"/>
      <c r="AI567" s="169"/>
    </row>
    <row r="568" spans="1:35" ht="15" hidden="1" customHeight="1" outlineLevel="2">
      <c r="A568" s="97"/>
      <c r="B568" s="97" t="s">
        <v>1075</v>
      </c>
      <c r="C568" s="97"/>
      <c r="D568" s="97"/>
      <c r="E568" s="97"/>
      <c r="F568" s="97" t="s">
        <v>1075</v>
      </c>
      <c r="G568" s="40" t="s">
        <v>714</v>
      </c>
      <c r="H568" s="78">
        <f>SUBTOTAL(9,H569:H609)</f>
        <v>11</v>
      </c>
      <c r="I568" s="68">
        <f t="shared" si="179"/>
        <v>11</v>
      </c>
      <c r="J568" s="61">
        <f>SUBTOTAL(9,J569:J609)</f>
        <v>11</v>
      </c>
      <c r="K568" s="61"/>
      <c r="L568" s="61"/>
      <c r="M568" s="84"/>
      <c r="N568" s="61">
        <f>SUBTOTAL(9,N569:N609)</f>
        <v>0</v>
      </c>
      <c r="O568" s="91"/>
      <c r="P568" s="91"/>
      <c r="Q568" s="84"/>
      <c r="R568" s="61">
        <f>SUBTOTAL(9,R569:R609)</f>
        <v>0</v>
      </c>
      <c r="S568" s="91"/>
      <c r="T568" s="91"/>
      <c r="U568" s="84"/>
      <c r="V568" s="61">
        <f>SUBTOTAL(9,V569:V609)</f>
        <v>0</v>
      </c>
      <c r="W568" s="61">
        <f>SUBTOTAL(9,W569:W609)</f>
        <v>0</v>
      </c>
      <c r="X568" s="170"/>
      <c r="Y568" s="745"/>
      <c r="Z568" s="61">
        <f>SUBTOTAL(9,Z569:Z609)</f>
        <v>0</v>
      </c>
      <c r="AA568" s="91"/>
      <c r="AB568" s="91"/>
      <c r="AC568" s="61">
        <f>SUBTOTAL(9,AC569:AC609)</f>
        <v>0</v>
      </c>
      <c r="AD568" s="91"/>
      <c r="AE568" s="91"/>
      <c r="AF568" s="61">
        <f>SUBTOTAL(9,AF569:AF609)</f>
        <v>0</v>
      </c>
      <c r="AG568" s="91"/>
      <c r="AH568" s="91"/>
      <c r="AI568" s="170"/>
    </row>
    <row r="569" spans="1:35" ht="15" hidden="1" customHeight="1" outlineLevel="3">
      <c r="A569" s="97"/>
      <c r="B569" s="97" t="s">
        <v>1075</v>
      </c>
      <c r="C569" s="97"/>
      <c r="D569" s="97"/>
      <c r="E569" s="97"/>
      <c r="F569" s="97" t="s">
        <v>1075</v>
      </c>
      <c r="G569" s="40" t="s">
        <v>121</v>
      </c>
      <c r="H569" s="78">
        <f>SUBTOTAL(9,H570:H597)</f>
        <v>11</v>
      </c>
      <c r="I569" s="68">
        <f t="shared" si="179"/>
        <v>11</v>
      </c>
      <c r="J569" s="61">
        <f>SUBTOTAL(9,J570:J597)</f>
        <v>11</v>
      </c>
      <c r="K569" s="61"/>
      <c r="L569" s="61"/>
      <c r="M569" s="84"/>
      <c r="N569" s="61">
        <f>SUBTOTAL(9,N570:N597)</f>
        <v>0</v>
      </c>
      <c r="O569" s="91"/>
      <c r="P569" s="91"/>
      <c r="Q569" s="84"/>
      <c r="R569" s="61">
        <f>SUBTOTAL(9,R570:R597)</f>
        <v>0</v>
      </c>
      <c r="S569" s="91"/>
      <c r="T569" s="91"/>
      <c r="U569" s="84"/>
      <c r="V569" s="61">
        <f>SUBTOTAL(9,V570:V597)</f>
        <v>0</v>
      </c>
      <c r="W569" s="61">
        <f>SUBTOTAL(9,W570:W597)</f>
        <v>0</v>
      </c>
      <c r="X569" s="170"/>
      <c r="Y569" s="745"/>
      <c r="Z569" s="61">
        <f>SUBTOTAL(9,Z570:Z597)</f>
        <v>0</v>
      </c>
      <c r="AA569" s="91"/>
      <c r="AB569" s="91"/>
      <c r="AC569" s="61">
        <f>SUBTOTAL(9,AC570:AC597)</f>
        <v>0</v>
      </c>
      <c r="AD569" s="91"/>
      <c r="AE569" s="91"/>
      <c r="AF569" s="61">
        <f>SUBTOTAL(9,AF570:AF597)</f>
        <v>0</v>
      </c>
      <c r="AG569" s="91"/>
      <c r="AH569" s="91"/>
      <c r="AI569" s="170"/>
    </row>
    <row r="570" spans="1:35" ht="15" hidden="1" customHeight="1" outlineLevel="4">
      <c r="A570" s="94">
        <v>21000</v>
      </c>
      <c r="B570" s="94">
        <v>3452</v>
      </c>
      <c r="C570" s="94"/>
      <c r="D570" s="94"/>
      <c r="E570" s="94" t="s">
        <v>2956</v>
      </c>
      <c r="F570" s="94" t="s">
        <v>5203</v>
      </c>
      <c r="G570" s="38" t="s">
        <v>122</v>
      </c>
      <c r="H570" s="583">
        <f>IFERROR(VLOOKUP(A570,'Colar QL'!A:C,3,0),0)</f>
        <v>0</v>
      </c>
      <c r="I570" s="69">
        <f t="shared" si="179"/>
        <v>0</v>
      </c>
      <c r="J570" s="258">
        <f>'BD Temp'!E860</f>
        <v>0</v>
      </c>
      <c r="K570" s="590" t="str">
        <f t="shared" ref="K570:K597" si="192">F570&amp;L570</f>
        <v>47.0284.1.2.17.00.01.039.01.09.04.1</v>
      </c>
      <c r="L570" s="579" t="s">
        <v>1996</v>
      </c>
      <c r="M570" s="256" t="str">
        <f>'BD Temp'!F860</f>
        <v>-</v>
      </c>
      <c r="N570" s="255">
        <f>'BD Temp'!J860</f>
        <v>0</v>
      </c>
      <c r="O570" s="592" t="str">
        <f t="shared" ref="O570:O597" si="193">F570&amp;P570</f>
        <v>47.0284.1.2.17.00.01.039.01.09.04.2</v>
      </c>
      <c r="P570" s="578" t="s">
        <v>1998</v>
      </c>
      <c r="Q570" s="256" t="str">
        <f>'BD Temp'!K860</f>
        <v>-</v>
      </c>
      <c r="R570" s="255">
        <f>'BD Temp'!O860</f>
        <v>0</v>
      </c>
      <c r="S570" s="592" t="str">
        <f t="shared" ref="S570:S597" si="194">F570&amp;T570</f>
        <v>47.0284.1.2.17.00.01.039.01.09.04.3</v>
      </c>
      <c r="T570" s="578" t="s">
        <v>2000</v>
      </c>
      <c r="U570" s="256" t="str">
        <f>'BD Temp'!P860</f>
        <v>-</v>
      </c>
      <c r="V570" s="764"/>
      <c r="W570" s="767"/>
      <c r="X570" s="164"/>
      <c r="Y570" s="746"/>
      <c r="Z570" s="741">
        <v>0</v>
      </c>
      <c r="AA570" s="592" t="str">
        <f t="shared" ref="AA570:AA597" si="195">F570&amp;AB570</f>
        <v>47.0284.1.2.17.00.01.039.01.09.04.1</v>
      </c>
      <c r="AB570" s="739" t="s">
        <v>1996</v>
      </c>
      <c r="AC570" s="738">
        <v>0</v>
      </c>
      <c r="AD570" s="592" t="str">
        <f t="shared" ref="AD570:AD597" si="196">F570&amp;AE570</f>
        <v>47.0284.1.2.17.00.01.039.01.09.04.2</v>
      </c>
      <c r="AE570" s="739" t="s">
        <v>1998</v>
      </c>
      <c r="AF570" s="738">
        <v>0</v>
      </c>
      <c r="AG570" s="592" t="str">
        <f t="shared" ref="AG570:AG597" si="197">F570&amp;AH570</f>
        <v>47.0284.1.2.17.00.01.039.01.09.04.3</v>
      </c>
      <c r="AH570" s="739" t="s">
        <v>2000</v>
      </c>
      <c r="AI570" s="164"/>
    </row>
    <row r="571" spans="1:35" ht="15" hidden="1" customHeight="1" outlineLevel="4">
      <c r="A571" s="219">
        <v>21005</v>
      </c>
      <c r="B571" s="219">
        <v>3452</v>
      </c>
      <c r="C571" s="219"/>
      <c r="D571" s="219"/>
      <c r="E571" s="219" t="s">
        <v>2956</v>
      </c>
      <c r="F571" s="219" t="s">
        <v>5203</v>
      </c>
      <c r="G571" s="38" t="s">
        <v>171</v>
      </c>
      <c r="H571" s="583">
        <f>IFERROR(VLOOKUP(A571,'Colar QL'!A:C,3,0),0)</f>
        <v>2</v>
      </c>
      <c r="I571" s="69">
        <f t="shared" si="179"/>
        <v>2</v>
      </c>
      <c r="J571" s="771">
        <f>'BD Temp'!E861</f>
        <v>2</v>
      </c>
      <c r="K571" s="590" t="str">
        <f t="shared" si="192"/>
        <v>47.0284.1.2.17.00.01.039.01.09.04.1</v>
      </c>
      <c r="L571" s="579" t="s">
        <v>1996</v>
      </c>
      <c r="M571" s="256">
        <f>'BD Temp'!F861</f>
        <v>0.86769947508320777</v>
      </c>
      <c r="N571" s="255">
        <f>'BD Temp'!J861</f>
        <v>0</v>
      </c>
      <c r="O571" s="592" t="str">
        <f t="shared" si="193"/>
        <v>47.0284.1.2.17.00.01.039.01.09.04.2</v>
      </c>
      <c r="P571" s="578" t="s">
        <v>1998</v>
      </c>
      <c r="Q571" s="256" t="str">
        <f>'BD Temp'!K861</f>
        <v>-</v>
      </c>
      <c r="R571" s="255">
        <f>'BD Temp'!O861</f>
        <v>0</v>
      </c>
      <c r="S571" s="592" t="str">
        <f t="shared" si="194"/>
        <v>47.0284.1.2.17.00.01.039.01.09.04.3</v>
      </c>
      <c r="T571" s="578" t="s">
        <v>2000</v>
      </c>
      <c r="U571" s="256" t="str">
        <f>'BD Temp'!P861</f>
        <v>-</v>
      </c>
      <c r="V571" s="764"/>
      <c r="W571" s="767"/>
      <c r="X571" s="164"/>
      <c r="Y571" s="746"/>
      <c r="Z571" s="741">
        <v>0</v>
      </c>
      <c r="AA571" s="592" t="str">
        <f t="shared" si="195"/>
        <v>47.0284.1.2.17.00.01.039.01.09.04.1</v>
      </c>
      <c r="AB571" s="739" t="s">
        <v>1996</v>
      </c>
      <c r="AC571" s="738">
        <v>0</v>
      </c>
      <c r="AD571" s="592" t="str">
        <f t="shared" si="196"/>
        <v>47.0284.1.2.17.00.01.039.01.09.04.2</v>
      </c>
      <c r="AE571" s="739" t="s">
        <v>1998</v>
      </c>
      <c r="AF571" s="738">
        <v>0</v>
      </c>
      <c r="AG571" s="592" t="str">
        <f t="shared" si="197"/>
        <v>47.0284.1.2.17.00.01.039.01.09.04.3</v>
      </c>
      <c r="AH571" s="739" t="s">
        <v>2000</v>
      </c>
      <c r="AI571" s="164"/>
    </row>
    <row r="572" spans="1:35" s="26" customFormat="1" ht="15" hidden="1" customHeight="1" outlineLevel="4">
      <c r="A572" s="94">
        <v>21015</v>
      </c>
      <c r="B572" s="94">
        <v>3452</v>
      </c>
      <c r="C572" s="94"/>
      <c r="D572" s="94"/>
      <c r="E572" s="94" t="s">
        <v>3330</v>
      </c>
      <c r="F572" s="94" t="s">
        <v>5206</v>
      </c>
      <c r="G572" s="38" t="s">
        <v>123</v>
      </c>
      <c r="H572" s="583">
        <f>IFERROR(VLOOKUP(A572,'Colar QL'!A:C,3,0),0)</f>
        <v>1</v>
      </c>
      <c r="I572" s="69">
        <f t="shared" si="179"/>
        <v>1</v>
      </c>
      <c r="J572" s="771">
        <f>'BD Temp'!E862</f>
        <v>1</v>
      </c>
      <c r="K572" s="590" t="str">
        <f t="shared" si="192"/>
        <v>47.0284.1.2.17.00.01.039.01.09.16.1</v>
      </c>
      <c r="L572" s="579" t="s">
        <v>1996</v>
      </c>
      <c r="M572" s="256">
        <f>'BD Temp'!F862</f>
        <v>0.89872928079398828</v>
      </c>
      <c r="N572" s="255">
        <f>'BD Temp'!J862</f>
        <v>0</v>
      </c>
      <c r="O572" s="592" t="str">
        <f t="shared" si="193"/>
        <v>47.0284.1.2.17.00.01.039.01.09.16.2</v>
      </c>
      <c r="P572" s="578" t="s">
        <v>1998</v>
      </c>
      <c r="Q572" s="256" t="str">
        <f>'BD Temp'!K862</f>
        <v>-</v>
      </c>
      <c r="R572" s="255">
        <f>'BD Temp'!O862</f>
        <v>0</v>
      </c>
      <c r="S572" s="592" t="str">
        <f t="shared" si="194"/>
        <v>47.0284.1.2.17.00.01.039.01.09.16.3</v>
      </c>
      <c r="T572" s="578" t="s">
        <v>2000</v>
      </c>
      <c r="U572" s="256" t="str">
        <f>'BD Temp'!P862</f>
        <v>-</v>
      </c>
      <c r="V572" s="764"/>
      <c r="W572" s="767"/>
      <c r="X572" s="164"/>
      <c r="Y572" s="746"/>
      <c r="Z572" s="741">
        <v>0</v>
      </c>
      <c r="AA572" s="592" t="str">
        <f t="shared" si="195"/>
        <v>47.0284.1.2.17.00.01.039.01.09.16.1</v>
      </c>
      <c r="AB572" s="739" t="s">
        <v>1996</v>
      </c>
      <c r="AC572" s="738">
        <v>0</v>
      </c>
      <c r="AD572" s="592" t="str">
        <f t="shared" si="196"/>
        <v>47.0284.1.2.17.00.01.039.01.09.16.2</v>
      </c>
      <c r="AE572" s="739" t="s">
        <v>1998</v>
      </c>
      <c r="AF572" s="738">
        <v>0</v>
      </c>
      <c r="AG572" s="592" t="str">
        <f t="shared" si="197"/>
        <v>47.0284.1.2.17.00.01.039.01.09.16.3</v>
      </c>
      <c r="AH572" s="739" t="s">
        <v>2000</v>
      </c>
      <c r="AI572" s="164"/>
    </row>
    <row r="573" spans="1:35" ht="15" hidden="1" customHeight="1" outlineLevel="4">
      <c r="A573" s="94">
        <v>21030</v>
      </c>
      <c r="B573" s="94">
        <v>3452</v>
      </c>
      <c r="C573" s="94"/>
      <c r="D573" s="94"/>
      <c r="E573" s="94" t="s">
        <v>3069</v>
      </c>
      <c r="F573" s="94" t="s">
        <v>5204</v>
      </c>
      <c r="G573" s="38" t="s">
        <v>124</v>
      </c>
      <c r="H573" s="583">
        <f>IFERROR(VLOOKUP(A573,'Colar QL'!A:C,3,0),0)</f>
        <v>4</v>
      </c>
      <c r="I573" s="69">
        <f t="shared" si="179"/>
        <v>4</v>
      </c>
      <c r="J573" s="771">
        <f>'BD Temp'!E868</f>
        <v>4</v>
      </c>
      <c r="K573" s="590" t="str">
        <f t="shared" si="192"/>
        <v>47.0284.1.2.17.00.01.039.01.09.05.1</v>
      </c>
      <c r="L573" s="579" t="s">
        <v>1996</v>
      </c>
      <c r="M573" s="256">
        <f>'BD Temp'!F868</f>
        <v>0.7676559221457393</v>
      </c>
      <c r="N573" s="255">
        <f>'BD Temp'!J868</f>
        <v>0</v>
      </c>
      <c r="O573" s="592" t="str">
        <f t="shared" si="193"/>
        <v>47.0284.1.2.17.00.01.039.01.09.05.2</v>
      </c>
      <c r="P573" s="578" t="s">
        <v>1998</v>
      </c>
      <c r="Q573" s="256" t="str">
        <f>'BD Temp'!K868</f>
        <v>-</v>
      </c>
      <c r="R573" s="255">
        <f>'BD Temp'!O868</f>
        <v>0</v>
      </c>
      <c r="S573" s="592" t="str">
        <f t="shared" si="194"/>
        <v>47.0284.1.2.17.00.01.039.01.09.05.3</v>
      </c>
      <c r="T573" s="578" t="s">
        <v>2000</v>
      </c>
      <c r="U573" s="256" t="str">
        <f>'BD Temp'!P868</f>
        <v>-</v>
      </c>
      <c r="V573" s="764"/>
      <c r="W573" s="767"/>
      <c r="X573" s="164"/>
      <c r="Y573" s="746"/>
      <c r="Z573" s="741">
        <v>0</v>
      </c>
      <c r="AA573" s="592" t="str">
        <f t="shared" si="195"/>
        <v>47.0284.1.2.17.00.01.039.01.09.05.1</v>
      </c>
      <c r="AB573" s="739" t="s">
        <v>1996</v>
      </c>
      <c r="AC573" s="738">
        <v>0</v>
      </c>
      <c r="AD573" s="592" t="str">
        <f t="shared" si="196"/>
        <v>47.0284.1.2.17.00.01.039.01.09.05.2</v>
      </c>
      <c r="AE573" s="739" t="s">
        <v>1998</v>
      </c>
      <c r="AF573" s="738">
        <v>0</v>
      </c>
      <c r="AG573" s="592" t="str">
        <f t="shared" si="197"/>
        <v>47.0284.1.2.17.00.01.039.01.09.05.3</v>
      </c>
      <c r="AH573" s="739" t="s">
        <v>2000</v>
      </c>
      <c r="AI573" s="164"/>
    </row>
    <row r="574" spans="1:35" ht="15" hidden="1" customHeight="1" outlineLevel="4">
      <c r="A574" s="94">
        <v>21035</v>
      </c>
      <c r="B574" s="94">
        <v>3452</v>
      </c>
      <c r="C574" s="94"/>
      <c r="D574" s="94"/>
      <c r="E574" s="94" t="s">
        <v>3069</v>
      </c>
      <c r="F574" s="94" t="s">
        <v>5204</v>
      </c>
      <c r="G574" s="38" t="s">
        <v>125</v>
      </c>
      <c r="H574" s="583">
        <f>IFERROR(VLOOKUP(A574,'Colar QL'!A:C,3,0),0)</f>
        <v>0</v>
      </c>
      <c r="I574" s="69">
        <f t="shared" si="179"/>
        <v>0</v>
      </c>
      <c r="J574" s="258">
        <f>'BD Temp'!E877</f>
        <v>0</v>
      </c>
      <c r="K574" s="590" t="str">
        <f t="shared" si="192"/>
        <v>47.0284.1.2.17.00.01.039.01.09.05.1</v>
      </c>
      <c r="L574" s="579" t="s">
        <v>1996</v>
      </c>
      <c r="M574" s="256" t="str">
        <f>'BD Temp'!F877</f>
        <v>-</v>
      </c>
      <c r="N574" s="255">
        <f>'BD Temp'!J877</f>
        <v>0</v>
      </c>
      <c r="O574" s="592" t="str">
        <f t="shared" si="193"/>
        <v>47.0284.1.2.17.00.01.039.01.09.05.2</v>
      </c>
      <c r="P574" s="578" t="s">
        <v>1998</v>
      </c>
      <c r="Q574" s="256" t="str">
        <f>'BD Temp'!K877</f>
        <v>-</v>
      </c>
      <c r="R574" s="255">
        <f>'BD Temp'!O877</f>
        <v>0</v>
      </c>
      <c r="S574" s="592" t="str">
        <f t="shared" si="194"/>
        <v>47.0284.1.2.17.00.01.039.01.09.05.3</v>
      </c>
      <c r="T574" s="578" t="s">
        <v>2000</v>
      </c>
      <c r="U574" s="256" t="str">
        <f>'BD Temp'!P877</f>
        <v>-</v>
      </c>
      <c r="V574" s="764"/>
      <c r="W574" s="767"/>
      <c r="X574" s="164" t="s">
        <v>3146</v>
      </c>
      <c r="Y574" s="746"/>
      <c r="Z574" s="741">
        <v>0</v>
      </c>
      <c r="AA574" s="592" t="str">
        <f t="shared" si="195"/>
        <v>47.0284.1.2.17.00.01.039.01.09.05.1</v>
      </c>
      <c r="AB574" s="739" t="s">
        <v>1996</v>
      </c>
      <c r="AC574" s="738">
        <v>0</v>
      </c>
      <c r="AD574" s="592" t="str">
        <f t="shared" si="196"/>
        <v>47.0284.1.2.17.00.01.039.01.09.05.2</v>
      </c>
      <c r="AE574" s="739" t="s">
        <v>1998</v>
      </c>
      <c r="AF574" s="738">
        <v>0</v>
      </c>
      <c r="AG574" s="592" t="str">
        <f t="shared" si="197"/>
        <v>47.0284.1.2.17.00.01.039.01.09.05.3</v>
      </c>
      <c r="AH574" s="739" t="s">
        <v>2000</v>
      </c>
      <c r="AI574" s="164"/>
    </row>
    <row r="575" spans="1:35" ht="15" hidden="1" customHeight="1" outlineLevel="4">
      <c r="A575" s="94">
        <v>21040</v>
      </c>
      <c r="B575" s="94">
        <v>3452</v>
      </c>
      <c r="C575" s="94"/>
      <c r="D575" s="94"/>
      <c r="E575" s="94" t="s">
        <v>3069</v>
      </c>
      <c r="F575" s="94" t="s">
        <v>5204</v>
      </c>
      <c r="G575" s="38" t="s">
        <v>126</v>
      </c>
      <c r="H575" s="583">
        <f>IFERROR(VLOOKUP(A575,'Colar QL'!A:C,3,0),0)</f>
        <v>0</v>
      </c>
      <c r="I575" s="69">
        <f t="shared" si="179"/>
        <v>0</v>
      </c>
      <c r="J575" s="258">
        <f>'BD Temp'!E878</f>
        <v>0</v>
      </c>
      <c r="K575" s="590" t="str">
        <f t="shared" si="192"/>
        <v>47.0284.1.2.17.00.01.039.01.09.05.1</v>
      </c>
      <c r="L575" s="579" t="s">
        <v>1996</v>
      </c>
      <c r="M575" s="256" t="str">
        <f>'BD Temp'!F878</f>
        <v>-</v>
      </c>
      <c r="N575" s="255">
        <f>'BD Temp'!J878</f>
        <v>0</v>
      </c>
      <c r="O575" s="592" t="str">
        <f t="shared" si="193"/>
        <v>47.0284.1.2.17.00.01.039.01.09.05.2</v>
      </c>
      <c r="P575" s="578" t="s">
        <v>1998</v>
      </c>
      <c r="Q575" s="256" t="str">
        <f>'BD Temp'!K878</f>
        <v>-</v>
      </c>
      <c r="R575" s="255">
        <f>'BD Temp'!O878</f>
        <v>0</v>
      </c>
      <c r="S575" s="592" t="str">
        <f t="shared" si="194"/>
        <v>47.0284.1.2.17.00.01.039.01.09.05.3</v>
      </c>
      <c r="T575" s="578" t="s">
        <v>2000</v>
      </c>
      <c r="U575" s="256" t="str">
        <f>'BD Temp'!P878</f>
        <v>-</v>
      </c>
      <c r="V575" s="764"/>
      <c r="W575" s="767"/>
      <c r="X575" s="164" t="s">
        <v>3148</v>
      </c>
      <c r="Y575" s="746"/>
      <c r="Z575" s="741">
        <v>0</v>
      </c>
      <c r="AA575" s="592" t="str">
        <f t="shared" si="195"/>
        <v>47.0284.1.2.17.00.01.039.01.09.05.1</v>
      </c>
      <c r="AB575" s="739" t="s">
        <v>1996</v>
      </c>
      <c r="AC575" s="738">
        <v>0</v>
      </c>
      <c r="AD575" s="592" t="str">
        <f t="shared" si="196"/>
        <v>47.0284.1.2.17.00.01.039.01.09.05.2</v>
      </c>
      <c r="AE575" s="739" t="s">
        <v>1998</v>
      </c>
      <c r="AF575" s="738">
        <v>0</v>
      </c>
      <c r="AG575" s="592" t="str">
        <f t="shared" si="197"/>
        <v>47.0284.1.2.17.00.01.039.01.09.05.3</v>
      </c>
      <c r="AH575" s="739" t="s">
        <v>2000</v>
      </c>
      <c r="AI575" s="164"/>
    </row>
    <row r="576" spans="1:35" s="123" customFormat="1" ht="15" hidden="1" customHeight="1" outlineLevel="4">
      <c r="A576" s="219">
        <v>21045</v>
      </c>
      <c r="B576" s="219">
        <v>3452</v>
      </c>
      <c r="C576" s="219"/>
      <c r="D576" s="219"/>
      <c r="E576" s="219" t="s">
        <v>3308</v>
      </c>
      <c r="F576" s="219" t="s">
        <v>5399</v>
      </c>
      <c r="G576" s="38" t="s">
        <v>127</v>
      </c>
      <c r="H576" s="583">
        <f>IFERROR(VLOOKUP(A576,'Colar QL'!A:C,3,0),0)</f>
        <v>2</v>
      </c>
      <c r="I576" s="69">
        <f t="shared" si="179"/>
        <v>2</v>
      </c>
      <c r="J576" s="258">
        <f>'BD Temp'!E879</f>
        <v>2</v>
      </c>
      <c r="K576" s="590" t="str">
        <f t="shared" si="192"/>
        <v>47.0284.1.2.17.00.01.039.01.09.09.1</v>
      </c>
      <c r="L576" s="579" t="s">
        <v>1996</v>
      </c>
      <c r="M576" s="256">
        <f>'BD Temp'!F879</f>
        <v>0.88513331750929669</v>
      </c>
      <c r="N576" s="255">
        <f>'BD Temp'!J879</f>
        <v>0</v>
      </c>
      <c r="O576" s="592" t="str">
        <f t="shared" si="193"/>
        <v>47.0284.1.2.17.00.01.039.01.09.09.2</v>
      </c>
      <c r="P576" s="578" t="s">
        <v>1998</v>
      </c>
      <c r="Q576" s="256" t="str">
        <f>'BD Temp'!K879</f>
        <v>-</v>
      </c>
      <c r="R576" s="255">
        <f>'BD Temp'!O879</f>
        <v>0</v>
      </c>
      <c r="S576" s="592" t="str">
        <f t="shared" si="194"/>
        <v>47.0284.1.2.17.00.01.039.01.09.09.3</v>
      </c>
      <c r="T576" s="578" t="s">
        <v>2000</v>
      </c>
      <c r="U576" s="256" t="str">
        <f>'BD Temp'!P879</f>
        <v>-</v>
      </c>
      <c r="V576" s="764"/>
      <c r="W576" s="767"/>
      <c r="X576" s="222"/>
      <c r="Y576" s="748"/>
      <c r="Z576" s="741">
        <v>0</v>
      </c>
      <c r="AA576" s="592" t="str">
        <f t="shared" si="195"/>
        <v>47.0284.1.2.17.00.01.039.01.09.09.1</v>
      </c>
      <c r="AB576" s="739" t="s">
        <v>1996</v>
      </c>
      <c r="AC576" s="738">
        <v>0</v>
      </c>
      <c r="AD576" s="592" t="str">
        <f t="shared" si="196"/>
        <v>47.0284.1.2.17.00.01.039.01.09.09.2</v>
      </c>
      <c r="AE576" s="739" t="s">
        <v>1998</v>
      </c>
      <c r="AF576" s="738">
        <v>0</v>
      </c>
      <c r="AG576" s="592" t="str">
        <f t="shared" si="197"/>
        <v>47.0284.1.2.17.00.01.039.01.09.09.3</v>
      </c>
      <c r="AH576" s="739" t="s">
        <v>2000</v>
      </c>
      <c r="AI576" s="222"/>
    </row>
    <row r="577" spans="1:35" s="123" customFormat="1" ht="15" hidden="1" customHeight="1" outlineLevel="4">
      <c r="A577" s="219">
        <v>21050</v>
      </c>
      <c r="B577" s="219">
        <v>3452</v>
      </c>
      <c r="C577" s="219"/>
      <c r="D577" s="219"/>
      <c r="E577" s="219" t="s">
        <v>3069</v>
      </c>
      <c r="F577" s="219" t="s">
        <v>5204</v>
      </c>
      <c r="G577" s="38" t="s">
        <v>128</v>
      </c>
      <c r="H577" s="583">
        <f>IFERROR(VLOOKUP(A577,'Colar QL'!A:C,3,0),0)</f>
        <v>0</v>
      </c>
      <c r="I577" s="69">
        <f t="shared" si="179"/>
        <v>0</v>
      </c>
      <c r="J577" s="258">
        <f>'BD Temp'!E886</f>
        <v>0</v>
      </c>
      <c r="K577" s="590" t="str">
        <f t="shared" si="192"/>
        <v>47.0284.1.2.17.00.01.039.01.09.05.1</v>
      </c>
      <c r="L577" s="579" t="s">
        <v>1996</v>
      </c>
      <c r="M577" s="256" t="str">
        <f>'BD Temp'!F886</f>
        <v>-</v>
      </c>
      <c r="N577" s="255">
        <f>'BD Temp'!J886</f>
        <v>0</v>
      </c>
      <c r="O577" s="592" t="str">
        <f t="shared" si="193"/>
        <v>47.0284.1.2.17.00.01.039.01.09.05.2</v>
      </c>
      <c r="P577" s="578" t="s">
        <v>1998</v>
      </c>
      <c r="Q577" s="256" t="str">
        <f>'BD Temp'!K886</f>
        <v>-</v>
      </c>
      <c r="R577" s="255">
        <f>'BD Temp'!O886</f>
        <v>0</v>
      </c>
      <c r="S577" s="592" t="str">
        <f t="shared" si="194"/>
        <v>47.0284.1.2.17.00.01.039.01.09.05.3</v>
      </c>
      <c r="T577" s="578" t="s">
        <v>2000</v>
      </c>
      <c r="U577" s="256" t="str">
        <f>'BD Temp'!P886</f>
        <v>-</v>
      </c>
      <c r="V577" s="764"/>
      <c r="W577" s="767"/>
      <c r="X577" s="222"/>
      <c r="Y577" s="748"/>
      <c r="Z577" s="741">
        <v>0</v>
      </c>
      <c r="AA577" s="592" t="str">
        <f t="shared" si="195"/>
        <v>47.0284.1.2.17.00.01.039.01.09.05.1</v>
      </c>
      <c r="AB577" s="739" t="s">
        <v>1996</v>
      </c>
      <c r="AC577" s="738">
        <v>0</v>
      </c>
      <c r="AD577" s="592" t="str">
        <f t="shared" si="196"/>
        <v>47.0284.1.2.17.00.01.039.01.09.05.2</v>
      </c>
      <c r="AE577" s="739" t="s">
        <v>1998</v>
      </c>
      <c r="AF577" s="738">
        <v>0</v>
      </c>
      <c r="AG577" s="592" t="str">
        <f t="shared" si="197"/>
        <v>47.0284.1.2.17.00.01.039.01.09.05.3</v>
      </c>
      <c r="AH577" s="739" t="s">
        <v>2000</v>
      </c>
      <c r="AI577" s="222"/>
    </row>
    <row r="578" spans="1:35" s="123" customFormat="1" ht="15" hidden="1" customHeight="1" outlineLevel="4">
      <c r="A578" s="219" t="s">
        <v>1097</v>
      </c>
      <c r="B578" s="219">
        <v>3452</v>
      </c>
      <c r="C578" s="219"/>
      <c r="D578" s="219"/>
      <c r="E578" s="219" t="s">
        <v>3069</v>
      </c>
      <c r="F578" s="219" t="s">
        <v>5204</v>
      </c>
      <c r="G578" s="38" t="s">
        <v>341</v>
      </c>
      <c r="H578" s="583">
        <f>IFERROR(VLOOKUP(A578,'Colar QL'!A:C,3,0),0)</f>
        <v>0</v>
      </c>
      <c r="I578" s="69">
        <f t="shared" si="179"/>
        <v>0</v>
      </c>
      <c r="J578" s="258">
        <f>'BD Temp'!E887</f>
        <v>0</v>
      </c>
      <c r="K578" s="590" t="str">
        <f t="shared" si="192"/>
        <v>47.0284.1.2.17.00.01.039.01.09.05.1</v>
      </c>
      <c r="L578" s="579" t="s">
        <v>1996</v>
      </c>
      <c r="M578" s="256" t="str">
        <f>'BD Temp'!F887</f>
        <v>-</v>
      </c>
      <c r="N578" s="255">
        <f>'BD Temp'!J887</f>
        <v>0</v>
      </c>
      <c r="O578" s="592" t="str">
        <f t="shared" si="193"/>
        <v>47.0284.1.2.17.00.01.039.01.09.05.2</v>
      </c>
      <c r="P578" s="578" t="s">
        <v>1998</v>
      </c>
      <c r="Q578" s="256" t="str">
        <f>'BD Temp'!K887</f>
        <v>-</v>
      </c>
      <c r="R578" s="255">
        <f>'BD Temp'!O887</f>
        <v>0</v>
      </c>
      <c r="S578" s="592" t="str">
        <f t="shared" si="194"/>
        <v>47.0284.1.2.17.00.01.039.01.09.05.3</v>
      </c>
      <c r="T578" s="578" t="s">
        <v>2000</v>
      </c>
      <c r="U578" s="256" t="str">
        <f>'BD Temp'!P887</f>
        <v>-</v>
      </c>
      <c r="V578" s="764"/>
      <c r="W578" s="767"/>
      <c r="X578" s="220"/>
      <c r="Y578" s="746"/>
      <c r="Z578" s="741">
        <v>0</v>
      </c>
      <c r="AA578" s="592" t="str">
        <f t="shared" si="195"/>
        <v>47.0284.1.2.17.00.01.039.01.09.05.1</v>
      </c>
      <c r="AB578" s="739" t="s">
        <v>1996</v>
      </c>
      <c r="AC578" s="738">
        <v>0</v>
      </c>
      <c r="AD578" s="592" t="str">
        <f t="shared" si="196"/>
        <v>47.0284.1.2.17.00.01.039.01.09.05.2</v>
      </c>
      <c r="AE578" s="739" t="s">
        <v>1998</v>
      </c>
      <c r="AF578" s="738">
        <v>0</v>
      </c>
      <c r="AG578" s="592" t="str">
        <f t="shared" si="197"/>
        <v>47.0284.1.2.17.00.01.039.01.09.05.3</v>
      </c>
      <c r="AH578" s="739" t="s">
        <v>2000</v>
      </c>
      <c r="AI578" s="220"/>
    </row>
    <row r="579" spans="1:35" ht="15" hidden="1" customHeight="1" outlineLevel="4">
      <c r="A579" s="94" t="s">
        <v>1098</v>
      </c>
      <c r="B579" s="94">
        <v>3452</v>
      </c>
      <c r="C579" s="94"/>
      <c r="D579" s="94"/>
      <c r="E579" s="94" t="s">
        <v>3069</v>
      </c>
      <c r="F579" s="94" t="s">
        <v>5204</v>
      </c>
      <c r="G579" s="38" t="s">
        <v>265</v>
      </c>
      <c r="H579" s="583">
        <f>IFERROR(VLOOKUP(A579,'Colar QL'!A:C,3,0),0)</f>
        <v>1</v>
      </c>
      <c r="I579" s="69">
        <f t="shared" si="179"/>
        <v>1</v>
      </c>
      <c r="J579" s="258">
        <f>'BD Temp'!E888</f>
        <v>1</v>
      </c>
      <c r="K579" s="590" t="str">
        <f t="shared" si="192"/>
        <v>47.0284.1.2.17.00.01.039.01.09.05.1</v>
      </c>
      <c r="L579" s="579" t="s">
        <v>1996</v>
      </c>
      <c r="M579" s="256">
        <f>'BD Temp'!F888</f>
        <v>1.4720151910752436E-2</v>
      </c>
      <c r="N579" s="255">
        <f>'BD Temp'!J888</f>
        <v>0</v>
      </c>
      <c r="O579" s="592" t="str">
        <f t="shared" si="193"/>
        <v>47.0284.1.2.17.00.01.039.01.09.05.2</v>
      </c>
      <c r="P579" s="578" t="s">
        <v>1998</v>
      </c>
      <c r="Q579" s="256" t="str">
        <f>'BD Temp'!K888</f>
        <v>-</v>
      </c>
      <c r="R579" s="255">
        <f>'BD Temp'!O888</f>
        <v>0</v>
      </c>
      <c r="S579" s="592" t="str">
        <f t="shared" si="194"/>
        <v>47.0284.1.2.17.00.01.039.01.09.05.3</v>
      </c>
      <c r="T579" s="578" t="s">
        <v>2000</v>
      </c>
      <c r="U579" s="256" t="str">
        <f>'BD Temp'!P888</f>
        <v>-</v>
      </c>
      <c r="V579" s="764"/>
      <c r="W579" s="767"/>
      <c r="X579" s="164"/>
      <c r="Y579" s="746"/>
      <c r="Z579" s="741">
        <v>0</v>
      </c>
      <c r="AA579" s="592" t="str">
        <f t="shared" si="195"/>
        <v>47.0284.1.2.17.00.01.039.01.09.05.1</v>
      </c>
      <c r="AB579" s="739" t="s">
        <v>1996</v>
      </c>
      <c r="AC579" s="738">
        <v>0</v>
      </c>
      <c r="AD579" s="592" t="str">
        <f t="shared" si="196"/>
        <v>47.0284.1.2.17.00.01.039.01.09.05.2</v>
      </c>
      <c r="AE579" s="739" t="s">
        <v>1998</v>
      </c>
      <c r="AF579" s="738">
        <v>0</v>
      </c>
      <c r="AG579" s="592" t="str">
        <f t="shared" si="197"/>
        <v>47.0284.1.2.17.00.01.039.01.09.05.3</v>
      </c>
      <c r="AH579" s="739" t="s">
        <v>2000</v>
      </c>
      <c r="AI579" s="164"/>
    </row>
    <row r="580" spans="1:35" ht="15" hidden="1" customHeight="1" outlineLevel="4">
      <c r="A580" s="94">
        <v>21055</v>
      </c>
      <c r="B580" s="94">
        <v>3452</v>
      </c>
      <c r="C580" s="94"/>
      <c r="D580" s="94"/>
      <c r="E580" s="94" t="s">
        <v>3308</v>
      </c>
      <c r="F580" s="94" t="s">
        <v>5399</v>
      </c>
      <c r="G580" s="38" t="s">
        <v>129</v>
      </c>
      <c r="H580" s="583">
        <f>IFERROR(VLOOKUP(A580,'Colar QL'!A:C,3,0),0)</f>
        <v>1</v>
      </c>
      <c r="I580" s="69">
        <f t="shared" si="179"/>
        <v>1</v>
      </c>
      <c r="J580" s="258">
        <f>'BD Temp'!E893</f>
        <v>1</v>
      </c>
      <c r="K580" s="590" t="str">
        <f t="shared" si="192"/>
        <v>47.0284.1.2.17.00.01.039.01.09.09.1</v>
      </c>
      <c r="L580" s="579" t="s">
        <v>1996</v>
      </c>
      <c r="M580" s="256">
        <f>'BD Temp'!F893</f>
        <v>0.30805407201518681</v>
      </c>
      <c r="N580" s="255">
        <f>'BD Temp'!J893</f>
        <v>0</v>
      </c>
      <c r="O580" s="592" t="str">
        <f t="shared" si="193"/>
        <v>47.0284.1.2.17.00.01.039.01.09.09.2</v>
      </c>
      <c r="P580" s="578" t="s">
        <v>1998</v>
      </c>
      <c r="Q580" s="256" t="str">
        <f>'BD Temp'!K893</f>
        <v>-</v>
      </c>
      <c r="R580" s="255">
        <f>'BD Temp'!O893</f>
        <v>0</v>
      </c>
      <c r="S580" s="592" t="str">
        <f t="shared" si="194"/>
        <v>47.0284.1.2.17.00.01.039.01.09.09.3</v>
      </c>
      <c r="T580" s="578" t="s">
        <v>2000</v>
      </c>
      <c r="U580" s="256" t="str">
        <f>'BD Temp'!P893</f>
        <v>-</v>
      </c>
      <c r="V580" s="764"/>
      <c r="W580" s="767"/>
      <c r="X580" s="164"/>
      <c r="Y580" s="746"/>
      <c r="Z580" s="741">
        <v>0</v>
      </c>
      <c r="AA580" s="592" t="str">
        <f t="shared" si="195"/>
        <v>47.0284.1.2.17.00.01.039.01.09.09.1</v>
      </c>
      <c r="AB580" s="739" t="s">
        <v>1996</v>
      </c>
      <c r="AC580" s="738">
        <v>0</v>
      </c>
      <c r="AD580" s="592" t="str">
        <f t="shared" si="196"/>
        <v>47.0284.1.2.17.00.01.039.01.09.09.2</v>
      </c>
      <c r="AE580" s="739" t="s">
        <v>1998</v>
      </c>
      <c r="AF580" s="738">
        <v>0</v>
      </c>
      <c r="AG580" s="592" t="str">
        <f t="shared" si="197"/>
        <v>47.0284.1.2.17.00.01.039.01.09.09.3</v>
      </c>
      <c r="AH580" s="739" t="s">
        <v>2000</v>
      </c>
      <c r="AI580" s="164"/>
    </row>
    <row r="581" spans="1:35" s="123" customFormat="1" ht="15" hidden="1" customHeight="1" outlineLevel="4">
      <c r="A581" s="153">
        <v>21060</v>
      </c>
      <c r="B581" s="153">
        <v>3452</v>
      </c>
      <c r="C581" s="153"/>
      <c r="D581" s="153"/>
      <c r="E581" s="153" t="s">
        <v>2957</v>
      </c>
      <c r="F581" s="153" t="s">
        <v>5205</v>
      </c>
      <c r="G581" s="37" t="s">
        <v>58</v>
      </c>
      <c r="H581" s="583">
        <f>IFERROR(VLOOKUP(A581,'Colar QL'!A:C,3,0),0)</f>
        <v>0</v>
      </c>
      <c r="I581" s="69">
        <f t="shared" si="179"/>
        <v>0</v>
      </c>
      <c r="J581" s="258">
        <f>'BD Temp'!E894</f>
        <v>0</v>
      </c>
      <c r="K581" s="590" t="str">
        <f t="shared" si="192"/>
        <v>47.0284.1.2.17.00.01.039.01.09.19.1</v>
      </c>
      <c r="L581" s="579" t="s">
        <v>1996</v>
      </c>
      <c r="M581" s="256" t="str">
        <f>'BD Temp'!F894</f>
        <v>-</v>
      </c>
      <c r="N581" s="255">
        <f>'BD Temp'!J894</f>
        <v>0</v>
      </c>
      <c r="O581" s="592" t="str">
        <f t="shared" si="193"/>
        <v>47.0284.1.2.17.00.01.039.01.09.19.2</v>
      </c>
      <c r="P581" s="578" t="s">
        <v>1998</v>
      </c>
      <c r="Q581" s="256" t="str">
        <f>'BD Temp'!K894</f>
        <v>-</v>
      </c>
      <c r="R581" s="255">
        <f>'BD Temp'!O894</f>
        <v>0</v>
      </c>
      <c r="S581" s="592" t="str">
        <f t="shared" si="194"/>
        <v>47.0284.1.2.17.00.01.039.01.09.19.3</v>
      </c>
      <c r="T581" s="578" t="s">
        <v>2000</v>
      </c>
      <c r="U581" s="256" t="str">
        <f>'BD Temp'!P894</f>
        <v>-</v>
      </c>
      <c r="V581" s="764"/>
      <c r="W581" s="767"/>
      <c r="X581" s="216"/>
      <c r="Y581" s="745"/>
      <c r="Z581" s="741">
        <v>0</v>
      </c>
      <c r="AA581" s="592" t="str">
        <f t="shared" si="195"/>
        <v>47.0284.1.2.17.00.01.039.01.09.19.1</v>
      </c>
      <c r="AB581" s="739" t="s">
        <v>1996</v>
      </c>
      <c r="AC581" s="738">
        <v>0</v>
      </c>
      <c r="AD581" s="592" t="str">
        <f t="shared" si="196"/>
        <v>47.0284.1.2.17.00.01.039.01.09.19.2</v>
      </c>
      <c r="AE581" s="739" t="s">
        <v>1998</v>
      </c>
      <c r="AF581" s="738">
        <v>0</v>
      </c>
      <c r="AG581" s="592" t="str">
        <f t="shared" si="197"/>
        <v>47.0284.1.2.17.00.01.039.01.09.19.3</v>
      </c>
      <c r="AH581" s="739" t="s">
        <v>2000</v>
      </c>
      <c r="AI581" s="158"/>
    </row>
    <row r="582" spans="1:35" s="26" customFormat="1" ht="15" hidden="1" customHeight="1" outlineLevel="4">
      <c r="A582" s="93">
        <v>21065</v>
      </c>
      <c r="B582" s="93">
        <v>3452</v>
      </c>
      <c r="C582" s="93"/>
      <c r="D582" s="93"/>
      <c r="E582" s="93" t="s">
        <v>3069</v>
      </c>
      <c r="F582" s="93" t="s">
        <v>5204</v>
      </c>
      <c r="G582" s="37" t="s">
        <v>169</v>
      </c>
      <c r="H582" s="583">
        <f>IFERROR(VLOOKUP(A582,'Colar QL'!A:C,3,0),0)</f>
        <v>0</v>
      </c>
      <c r="I582" s="69">
        <f t="shared" si="179"/>
        <v>0</v>
      </c>
      <c r="J582" s="258">
        <f>'BD Temp'!E895</f>
        <v>0</v>
      </c>
      <c r="K582" s="590" t="str">
        <f t="shared" si="192"/>
        <v>47.0284.1.2.17.00.01.039.01.09.05.1</v>
      </c>
      <c r="L582" s="579" t="s">
        <v>1996</v>
      </c>
      <c r="M582" s="256" t="str">
        <f>'BD Temp'!F895</f>
        <v>-</v>
      </c>
      <c r="N582" s="255">
        <f>'BD Temp'!J895</f>
        <v>0</v>
      </c>
      <c r="O582" s="592" t="str">
        <f t="shared" si="193"/>
        <v>47.0284.1.2.17.00.01.039.01.09.05.2</v>
      </c>
      <c r="P582" s="578" t="s">
        <v>1998</v>
      </c>
      <c r="Q582" s="256" t="str">
        <f>'BD Temp'!K895</f>
        <v>-</v>
      </c>
      <c r="R582" s="255">
        <f>'BD Temp'!O895</f>
        <v>0</v>
      </c>
      <c r="S582" s="592" t="str">
        <f t="shared" si="194"/>
        <v>47.0284.1.2.17.00.01.039.01.09.05.3</v>
      </c>
      <c r="T582" s="578" t="s">
        <v>2000</v>
      </c>
      <c r="U582" s="256" t="str">
        <f>'BD Temp'!P895</f>
        <v>-</v>
      </c>
      <c r="V582" s="764"/>
      <c r="W582" s="767"/>
      <c r="X582" s="158"/>
      <c r="Y582" s="745"/>
      <c r="Z582" s="741">
        <v>0</v>
      </c>
      <c r="AA582" s="592" t="str">
        <f t="shared" si="195"/>
        <v>47.0284.1.2.17.00.01.039.01.09.05.1</v>
      </c>
      <c r="AB582" s="739" t="s">
        <v>1996</v>
      </c>
      <c r="AC582" s="738">
        <v>0</v>
      </c>
      <c r="AD582" s="592" t="str">
        <f t="shared" si="196"/>
        <v>47.0284.1.2.17.00.01.039.01.09.05.2</v>
      </c>
      <c r="AE582" s="739" t="s">
        <v>1998</v>
      </c>
      <c r="AF582" s="738">
        <v>0</v>
      </c>
      <c r="AG582" s="592" t="str">
        <f t="shared" si="197"/>
        <v>47.0284.1.2.17.00.01.039.01.09.05.3</v>
      </c>
      <c r="AH582" s="739" t="s">
        <v>2000</v>
      </c>
      <c r="AI582" s="158"/>
    </row>
    <row r="583" spans="1:35" s="26" customFormat="1" ht="15" hidden="1" customHeight="1" outlineLevel="4">
      <c r="A583" s="93">
        <v>21070</v>
      </c>
      <c r="B583" s="93">
        <v>3452</v>
      </c>
      <c r="C583" s="93"/>
      <c r="D583" s="93"/>
      <c r="E583" s="93" t="s">
        <v>3069</v>
      </c>
      <c r="F583" s="93" t="s">
        <v>5204</v>
      </c>
      <c r="G583" s="37" t="s">
        <v>70</v>
      </c>
      <c r="H583" s="583">
        <f>IFERROR(VLOOKUP(A583,'Colar QL'!A:C,3,0),0)</f>
        <v>0</v>
      </c>
      <c r="I583" s="69">
        <f t="shared" si="179"/>
        <v>0</v>
      </c>
      <c r="J583" s="258">
        <f>'BD Temp'!E896</f>
        <v>0</v>
      </c>
      <c r="K583" s="590" t="str">
        <f t="shared" si="192"/>
        <v>47.0284.1.2.17.00.01.039.01.09.05.1</v>
      </c>
      <c r="L583" s="579" t="s">
        <v>1996</v>
      </c>
      <c r="M583" s="256" t="str">
        <f>'BD Temp'!F896</f>
        <v>-</v>
      </c>
      <c r="N583" s="255">
        <v>0</v>
      </c>
      <c r="O583" s="592" t="str">
        <f t="shared" si="193"/>
        <v>47.0284.1.2.17.00.01.039.01.09.05.2</v>
      </c>
      <c r="P583" s="578" t="s">
        <v>1998</v>
      </c>
      <c r="Q583" s="256" t="str">
        <f>'BD Temp'!K896</f>
        <v>-</v>
      </c>
      <c r="R583" s="255">
        <v>0</v>
      </c>
      <c r="S583" s="592" t="str">
        <f t="shared" si="194"/>
        <v>47.0284.1.2.17.00.01.039.01.09.05.3</v>
      </c>
      <c r="T583" s="578" t="s">
        <v>2000</v>
      </c>
      <c r="U583" s="256" t="str">
        <f>'BD Temp'!P896</f>
        <v>-</v>
      </c>
      <c r="V583" s="764"/>
      <c r="W583" s="767"/>
      <c r="X583" s="158"/>
      <c r="Y583" s="745"/>
      <c r="Z583" s="741">
        <v>0</v>
      </c>
      <c r="AA583" s="592" t="str">
        <f t="shared" si="195"/>
        <v>47.0284.1.2.17.00.01.039.01.09.05.1</v>
      </c>
      <c r="AB583" s="739" t="s">
        <v>1996</v>
      </c>
      <c r="AC583" s="738">
        <v>0</v>
      </c>
      <c r="AD583" s="592" t="str">
        <f t="shared" si="196"/>
        <v>47.0284.1.2.17.00.01.039.01.09.05.2</v>
      </c>
      <c r="AE583" s="739" t="s">
        <v>1998</v>
      </c>
      <c r="AF583" s="738">
        <v>0</v>
      </c>
      <c r="AG583" s="592" t="str">
        <f t="shared" si="197"/>
        <v>47.0284.1.2.17.00.01.039.01.09.05.3</v>
      </c>
      <c r="AH583" s="739" t="s">
        <v>2000</v>
      </c>
      <c r="AI583" s="158"/>
    </row>
    <row r="584" spans="1:35" ht="15" hidden="1" customHeight="1" outlineLevel="4">
      <c r="A584" s="93">
        <v>21075</v>
      </c>
      <c r="B584" s="93">
        <v>3452</v>
      </c>
      <c r="C584" s="93"/>
      <c r="D584" s="93"/>
      <c r="E584" s="93" t="s">
        <v>2958</v>
      </c>
      <c r="F584" s="93" t="s">
        <v>5206</v>
      </c>
      <c r="G584" s="37" t="s">
        <v>1989</v>
      </c>
      <c r="H584" s="583">
        <f>IFERROR(VLOOKUP(A584,'Colar QL'!A:C,3,0),0)</f>
        <v>0</v>
      </c>
      <c r="I584" s="69">
        <f t="shared" si="179"/>
        <v>0</v>
      </c>
      <c r="J584" s="771">
        <f>'BD Temp'!E897</f>
        <v>0</v>
      </c>
      <c r="K584" s="590" t="str">
        <f t="shared" si="192"/>
        <v>47.0284.1.2.17.00.01.039.01.09.16.1</v>
      </c>
      <c r="L584" s="579" t="s">
        <v>1996</v>
      </c>
      <c r="M584" s="256" t="str">
        <f>'BD Temp'!F897</f>
        <v>-</v>
      </c>
      <c r="N584" s="255">
        <f>'BD Temp'!J897</f>
        <v>0</v>
      </c>
      <c r="O584" s="592" t="str">
        <f t="shared" si="193"/>
        <v>47.0284.1.2.17.00.01.039.01.09.16.2</v>
      </c>
      <c r="P584" s="578" t="s">
        <v>1998</v>
      </c>
      <c r="Q584" s="256" t="str">
        <f>'BD Temp'!K897</f>
        <v>-</v>
      </c>
      <c r="R584" s="255">
        <f>'BD Temp'!O897</f>
        <v>0</v>
      </c>
      <c r="S584" s="592" t="str">
        <f t="shared" si="194"/>
        <v>47.0284.1.2.17.00.01.039.01.09.16.3</v>
      </c>
      <c r="T584" s="578" t="s">
        <v>2000</v>
      </c>
      <c r="U584" s="256" t="str">
        <f>'BD Temp'!P897</f>
        <v>-</v>
      </c>
      <c r="V584" s="764"/>
      <c r="W584" s="767"/>
      <c r="X584" s="158"/>
      <c r="Y584" s="746"/>
      <c r="Z584" s="741">
        <v>0</v>
      </c>
      <c r="AA584" s="592" t="str">
        <f t="shared" si="195"/>
        <v>47.0284.1.2.17.00.01.039.01.09.16.1</v>
      </c>
      <c r="AB584" s="739" t="s">
        <v>1996</v>
      </c>
      <c r="AC584" s="738">
        <v>0</v>
      </c>
      <c r="AD584" s="592" t="str">
        <f t="shared" si="196"/>
        <v>47.0284.1.2.17.00.01.039.01.09.16.2</v>
      </c>
      <c r="AE584" s="739" t="s">
        <v>1998</v>
      </c>
      <c r="AF584" s="738">
        <v>0</v>
      </c>
      <c r="AG584" s="592" t="str">
        <f t="shared" si="197"/>
        <v>47.0284.1.2.17.00.01.039.01.09.16.3</v>
      </c>
      <c r="AH584" s="739" t="s">
        <v>2000</v>
      </c>
      <c r="AI584" s="164"/>
    </row>
    <row r="585" spans="1:35" ht="15" hidden="1" customHeight="1" outlineLevel="4">
      <c r="A585" s="93">
        <v>21080</v>
      </c>
      <c r="B585" s="93">
        <v>3452</v>
      </c>
      <c r="C585" s="93"/>
      <c r="D585" s="93"/>
      <c r="E585" s="93" t="s">
        <v>3069</v>
      </c>
      <c r="F585" s="93" t="s">
        <v>5204</v>
      </c>
      <c r="G585" s="37" t="s">
        <v>224</v>
      </c>
      <c r="H585" s="583">
        <f>IFERROR(VLOOKUP(A585,'Colar QL'!A:C,3,0),0)</f>
        <v>0</v>
      </c>
      <c r="I585" s="69">
        <f t="shared" si="179"/>
        <v>0</v>
      </c>
      <c r="J585" s="258">
        <f>'BD Temp'!E901</f>
        <v>0</v>
      </c>
      <c r="K585" s="590" t="str">
        <f t="shared" si="192"/>
        <v>47.0284.1.2.17.00.01.039.01.09.05.1</v>
      </c>
      <c r="L585" s="579" t="s">
        <v>1996</v>
      </c>
      <c r="M585" s="256" t="str">
        <f>'BD Temp'!F901</f>
        <v>-</v>
      </c>
      <c r="N585" s="255">
        <f>'BD Temp'!J901</f>
        <v>0</v>
      </c>
      <c r="O585" s="592" t="str">
        <f t="shared" si="193"/>
        <v>47.0284.1.2.17.00.01.039.01.09.05.2</v>
      </c>
      <c r="P585" s="578" t="s">
        <v>1998</v>
      </c>
      <c r="Q585" s="256" t="str">
        <f>'BD Temp'!K901</f>
        <v>-</v>
      </c>
      <c r="R585" s="255">
        <f>'BD Temp'!O901</f>
        <v>0</v>
      </c>
      <c r="S585" s="592" t="str">
        <f t="shared" si="194"/>
        <v>47.0284.1.2.17.00.01.039.01.09.05.3</v>
      </c>
      <c r="T585" s="578" t="s">
        <v>2000</v>
      </c>
      <c r="U585" s="256" t="str">
        <f>'BD Temp'!P901</f>
        <v>-</v>
      </c>
      <c r="V585" s="764"/>
      <c r="W585" s="767"/>
      <c r="X585" s="158"/>
      <c r="Y585" s="745"/>
      <c r="Z585" s="741">
        <v>0</v>
      </c>
      <c r="AA585" s="592" t="str">
        <f t="shared" si="195"/>
        <v>47.0284.1.2.17.00.01.039.01.09.05.1</v>
      </c>
      <c r="AB585" s="739" t="s">
        <v>1996</v>
      </c>
      <c r="AC585" s="738">
        <v>0</v>
      </c>
      <c r="AD585" s="592" t="str">
        <f t="shared" si="196"/>
        <v>47.0284.1.2.17.00.01.039.01.09.05.2</v>
      </c>
      <c r="AE585" s="739" t="s">
        <v>1998</v>
      </c>
      <c r="AF585" s="738">
        <v>0</v>
      </c>
      <c r="AG585" s="592" t="str">
        <f t="shared" si="197"/>
        <v>47.0284.1.2.17.00.01.039.01.09.05.3</v>
      </c>
      <c r="AH585" s="739" t="s">
        <v>2000</v>
      </c>
      <c r="AI585" s="158"/>
    </row>
    <row r="586" spans="1:35" ht="15" hidden="1" customHeight="1" outlineLevel="4">
      <c r="A586" s="93">
        <v>57</v>
      </c>
      <c r="B586" s="93">
        <v>3452</v>
      </c>
      <c r="C586" s="93"/>
      <c r="D586" s="93"/>
      <c r="E586" s="93" t="s">
        <v>2959</v>
      </c>
      <c r="F586" s="93" t="s">
        <v>5207</v>
      </c>
      <c r="G586" s="37" t="s">
        <v>13</v>
      </c>
      <c r="H586" s="583">
        <f>IFERROR(VLOOKUP(A586,'Colar QL'!A:C,3,0),0)</f>
        <v>0</v>
      </c>
      <c r="I586" s="69">
        <f t="shared" si="179"/>
        <v>0</v>
      </c>
      <c r="J586" s="258">
        <f>'BD Temp'!E902</f>
        <v>0</v>
      </c>
      <c r="K586" s="590" t="str">
        <f t="shared" si="192"/>
        <v>47.0284.1.2.17.00.01.039.01.09.20.1</v>
      </c>
      <c r="L586" s="579" t="s">
        <v>1996</v>
      </c>
      <c r="M586" s="256" t="str">
        <f>'BD Temp'!F902</f>
        <v>-</v>
      </c>
      <c r="N586" s="255">
        <f>'BD Temp'!J902</f>
        <v>0</v>
      </c>
      <c r="O586" s="592" t="str">
        <f t="shared" si="193"/>
        <v>47.0284.1.2.17.00.01.039.01.09.20.2</v>
      </c>
      <c r="P586" s="578" t="s">
        <v>1998</v>
      </c>
      <c r="Q586" s="256" t="str">
        <f>'BD Temp'!K902</f>
        <v>-</v>
      </c>
      <c r="R586" s="255">
        <f>'BD Temp'!O902</f>
        <v>0</v>
      </c>
      <c r="S586" s="592" t="str">
        <f t="shared" si="194"/>
        <v>47.0284.1.2.17.00.01.039.01.09.20.3</v>
      </c>
      <c r="T586" s="578" t="s">
        <v>2000</v>
      </c>
      <c r="U586" s="256" t="str">
        <f>'BD Temp'!P902</f>
        <v>-</v>
      </c>
      <c r="V586" s="764"/>
      <c r="W586" s="767"/>
      <c r="X586" s="158"/>
      <c r="Y586" s="745"/>
      <c r="Z586" s="771">
        <v>0</v>
      </c>
      <c r="AA586" s="592" t="str">
        <f t="shared" si="195"/>
        <v>47.0284.1.2.17.00.01.039.01.09.20.1</v>
      </c>
      <c r="AB586" s="772" t="s">
        <v>1996</v>
      </c>
      <c r="AC586" s="770">
        <v>0</v>
      </c>
      <c r="AD586" s="592" t="str">
        <f t="shared" si="196"/>
        <v>47.0284.1.2.17.00.01.039.01.09.20.2</v>
      </c>
      <c r="AE586" s="772" t="s">
        <v>1998</v>
      </c>
      <c r="AF586" s="770">
        <v>0</v>
      </c>
      <c r="AG586" s="592" t="str">
        <f t="shared" si="197"/>
        <v>47.0284.1.2.17.00.01.039.01.09.20.3</v>
      </c>
      <c r="AH586" s="772" t="s">
        <v>2000</v>
      </c>
      <c r="AI586" s="158"/>
    </row>
    <row r="587" spans="1:35" ht="15" hidden="1" customHeight="1" outlineLevel="4">
      <c r="A587" s="93">
        <v>58</v>
      </c>
      <c r="B587" s="93" t="s">
        <v>1075</v>
      </c>
      <c r="C587" s="93"/>
      <c r="D587" s="93"/>
      <c r="E587" s="93"/>
      <c r="F587" s="93" t="s">
        <v>1075</v>
      </c>
      <c r="G587" s="37" t="s">
        <v>14</v>
      </c>
      <c r="H587" s="583">
        <f>IFERROR(VLOOKUP(A587,'Colar QL'!A:C,3,0),0)</f>
        <v>0</v>
      </c>
      <c r="I587" s="69">
        <f t="shared" si="179"/>
        <v>0</v>
      </c>
      <c r="J587" s="258">
        <f>'BD Temp'!E903</f>
        <v>0</v>
      </c>
      <c r="K587" s="590" t="str">
        <f t="shared" si="192"/>
        <v>.1</v>
      </c>
      <c r="L587" s="579" t="s">
        <v>1996</v>
      </c>
      <c r="M587" s="256" t="str">
        <f>'BD Temp'!F903</f>
        <v>-</v>
      </c>
      <c r="N587" s="255">
        <f>'BD Temp'!J903</f>
        <v>0</v>
      </c>
      <c r="O587" s="592" t="str">
        <f t="shared" si="193"/>
        <v>.2</v>
      </c>
      <c r="P587" s="578" t="s">
        <v>1998</v>
      </c>
      <c r="Q587" s="256" t="str">
        <f>'BD Temp'!K903</f>
        <v>-</v>
      </c>
      <c r="R587" s="255">
        <f>'BD Temp'!O903</f>
        <v>0</v>
      </c>
      <c r="S587" s="592" t="str">
        <f t="shared" si="194"/>
        <v>.3</v>
      </c>
      <c r="T587" s="578" t="s">
        <v>2000</v>
      </c>
      <c r="U587" s="256" t="str">
        <f>'BD Temp'!P903</f>
        <v>-</v>
      </c>
      <c r="V587" s="764"/>
      <c r="W587" s="767"/>
      <c r="X587" s="158"/>
      <c r="Y587" s="745"/>
      <c r="Z587" s="741">
        <v>0</v>
      </c>
      <c r="AA587" s="592" t="str">
        <f t="shared" si="195"/>
        <v>.1</v>
      </c>
      <c r="AB587" s="739" t="s">
        <v>1996</v>
      </c>
      <c r="AC587" s="738">
        <v>0</v>
      </c>
      <c r="AD587" s="592" t="str">
        <f t="shared" si="196"/>
        <v>.2</v>
      </c>
      <c r="AE587" s="739" t="s">
        <v>1998</v>
      </c>
      <c r="AF587" s="738">
        <v>0</v>
      </c>
      <c r="AG587" s="592" t="str">
        <f t="shared" si="197"/>
        <v>.3</v>
      </c>
      <c r="AH587" s="739" t="s">
        <v>2000</v>
      </c>
      <c r="AI587" s="158"/>
    </row>
    <row r="588" spans="1:35" ht="15" hidden="1" customHeight="1" outlineLevel="4">
      <c r="A588" s="93">
        <v>59</v>
      </c>
      <c r="B588" s="93" t="s">
        <v>1075</v>
      </c>
      <c r="C588" s="93"/>
      <c r="D588" s="93"/>
      <c r="E588" s="93"/>
      <c r="F588" s="93" t="s">
        <v>1075</v>
      </c>
      <c r="G588" s="37" t="s">
        <v>5393</v>
      </c>
      <c r="H588" s="583">
        <f>IFERROR(VLOOKUP(A588,'Colar QL'!A:C,3,0),0)</f>
        <v>0</v>
      </c>
      <c r="I588" s="69">
        <f t="shared" si="179"/>
        <v>0</v>
      </c>
      <c r="J588" s="827">
        <f>'BD Temp'!E904-4</f>
        <v>0</v>
      </c>
      <c r="K588" s="590" t="str">
        <f t="shared" si="192"/>
        <v>.1</v>
      </c>
      <c r="L588" s="579" t="s">
        <v>1996</v>
      </c>
      <c r="M588" s="256" t="str">
        <f>'BD Temp'!F904</f>
        <v>-</v>
      </c>
      <c r="N588" s="255">
        <f>'BD Temp'!J904</f>
        <v>0</v>
      </c>
      <c r="O588" s="592" t="str">
        <f t="shared" si="193"/>
        <v>.2</v>
      </c>
      <c r="P588" s="578" t="s">
        <v>1998</v>
      </c>
      <c r="Q588" s="256" t="str">
        <f>'BD Temp'!K904</f>
        <v>-</v>
      </c>
      <c r="R588" s="255">
        <f>'BD Temp'!O904</f>
        <v>0</v>
      </c>
      <c r="S588" s="592" t="str">
        <f t="shared" si="194"/>
        <v>.3</v>
      </c>
      <c r="T588" s="578" t="s">
        <v>2000</v>
      </c>
      <c r="U588" s="256" t="str">
        <f>'BD Temp'!P904</f>
        <v>-</v>
      </c>
      <c r="V588" s="764"/>
      <c r="W588" s="767"/>
      <c r="X588" s="158"/>
      <c r="Y588" s="745"/>
      <c r="Z588" s="741">
        <v>0</v>
      </c>
      <c r="AA588" s="592" t="str">
        <f t="shared" si="195"/>
        <v>.1</v>
      </c>
      <c r="AB588" s="739" t="s">
        <v>1996</v>
      </c>
      <c r="AC588" s="738">
        <v>0</v>
      </c>
      <c r="AD588" s="592" t="str">
        <f t="shared" si="196"/>
        <v>.2</v>
      </c>
      <c r="AE588" s="739" t="s">
        <v>1998</v>
      </c>
      <c r="AF588" s="738">
        <v>0</v>
      </c>
      <c r="AG588" s="592" t="str">
        <f t="shared" si="197"/>
        <v>.3</v>
      </c>
      <c r="AH588" s="739" t="s">
        <v>2000</v>
      </c>
      <c r="AI588" s="158"/>
    </row>
    <row r="589" spans="1:35" ht="15" hidden="1" customHeight="1" outlineLevel="4">
      <c r="A589" s="93">
        <v>60</v>
      </c>
      <c r="B589" s="93">
        <v>3452</v>
      </c>
      <c r="C589" s="93"/>
      <c r="D589" s="93"/>
      <c r="E589" s="93" t="s">
        <v>3108</v>
      </c>
      <c r="F589" s="93" t="s">
        <v>5163</v>
      </c>
      <c r="G589" s="37" t="s">
        <v>15</v>
      </c>
      <c r="H589" s="583">
        <f>IFERROR(VLOOKUP(A589,'Colar QL'!A:C,3,0),0)</f>
        <v>0</v>
      </c>
      <c r="I589" s="69">
        <f t="shared" si="179"/>
        <v>0</v>
      </c>
      <c r="J589" s="258">
        <f>'BD Temp'!E905</f>
        <v>0</v>
      </c>
      <c r="K589" s="590" t="str">
        <f t="shared" si="192"/>
        <v>47.0284.1.2.17.00.01.039.01.35.02.1</v>
      </c>
      <c r="L589" s="579" t="s">
        <v>1996</v>
      </c>
      <c r="M589" s="256" t="str">
        <f>'BD Temp'!F905</f>
        <v>-</v>
      </c>
      <c r="N589" s="255">
        <f>'BD Temp'!J905</f>
        <v>0</v>
      </c>
      <c r="O589" s="592" t="str">
        <f t="shared" si="193"/>
        <v>47.0284.1.2.17.00.01.039.01.35.02.2</v>
      </c>
      <c r="P589" s="578" t="s">
        <v>1998</v>
      </c>
      <c r="Q589" s="256" t="str">
        <f>'BD Temp'!K905</f>
        <v>-</v>
      </c>
      <c r="R589" s="255">
        <f>'BD Temp'!O905</f>
        <v>0</v>
      </c>
      <c r="S589" s="592" t="str">
        <f t="shared" si="194"/>
        <v>47.0284.1.2.17.00.01.039.01.35.02.3</v>
      </c>
      <c r="T589" s="578" t="s">
        <v>2000</v>
      </c>
      <c r="U589" s="256" t="str">
        <f>'BD Temp'!P905</f>
        <v>-</v>
      </c>
      <c r="V589" s="764"/>
      <c r="W589" s="767"/>
      <c r="X589" s="158"/>
      <c r="Y589" s="745"/>
      <c r="Z589" s="741">
        <v>0</v>
      </c>
      <c r="AA589" s="592" t="str">
        <f t="shared" si="195"/>
        <v>47.0284.1.2.17.00.01.039.01.35.02.1</v>
      </c>
      <c r="AB589" s="739" t="s">
        <v>1996</v>
      </c>
      <c r="AC589" s="738">
        <v>0</v>
      </c>
      <c r="AD589" s="592" t="str">
        <f t="shared" si="196"/>
        <v>47.0284.1.2.17.00.01.039.01.35.02.2</v>
      </c>
      <c r="AE589" s="739" t="s">
        <v>1998</v>
      </c>
      <c r="AF589" s="738">
        <v>0</v>
      </c>
      <c r="AG589" s="592" t="str">
        <f t="shared" si="197"/>
        <v>47.0284.1.2.17.00.01.039.01.35.02.3</v>
      </c>
      <c r="AH589" s="739" t="s">
        <v>2000</v>
      </c>
      <c r="AI589" s="158"/>
    </row>
    <row r="590" spans="1:35" ht="15" hidden="1" customHeight="1" outlineLevel="4">
      <c r="A590" s="95"/>
      <c r="B590" s="95" t="s">
        <v>1075</v>
      </c>
      <c r="C590" s="95"/>
      <c r="D590" s="95"/>
      <c r="E590" s="774"/>
      <c r="F590" s="774" t="s">
        <v>1075</v>
      </c>
      <c r="G590" s="13"/>
      <c r="H590" s="81"/>
      <c r="I590" s="71">
        <f t="shared" si="179"/>
        <v>0</v>
      </c>
      <c r="J590" s="48"/>
      <c r="K590" s="590" t="str">
        <f t="shared" si="192"/>
        <v>.1</v>
      </c>
      <c r="L590" s="579" t="s">
        <v>1996</v>
      </c>
      <c r="M590" s="74"/>
      <c r="N590" s="49"/>
      <c r="O590" s="592" t="str">
        <f t="shared" si="193"/>
        <v>.2</v>
      </c>
      <c r="P590" s="578" t="s">
        <v>1998</v>
      </c>
      <c r="Q590" s="74"/>
      <c r="R590" s="49"/>
      <c r="S590" s="592" t="str">
        <f t="shared" si="194"/>
        <v>.3</v>
      </c>
      <c r="T590" s="578" t="s">
        <v>2000</v>
      </c>
      <c r="U590" s="74"/>
      <c r="V590" s="766"/>
      <c r="W590" s="766"/>
      <c r="X590" s="171"/>
      <c r="Y590" s="745"/>
      <c r="Z590" s="741">
        <v>0</v>
      </c>
      <c r="AA590" s="592" t="str">
        <f t="shared" si="195"/>
        <v>.1</v>
      </c>
      <c r="AB590" s="739" t="s">
        <v>1996</v>
      </c>
      <c r="AC590" s="738">
        <v>0</v>
      </c>
      <c r="AD590" s="592" t="str">
        <f t="shared" si="196"/>
        <v>.2</v>
      </c>
      <c r="AE590" s="739" t="s">
        <v>1998</v>
      </c>
      <c r="AF590" s="738">
        <v>0</v>
      </c>
      <c r="AG590" s="592" t="str">
        <f t="shared" si="197"/>
        <v>.3</v>
      </c>
      <c r="AH590" s="739" t="s">
        <v>2000</v>
      </c>
      <c r="AI590" s="171"/>
    </row>
    <row r="591" spans="1:35" ht="15" hidden="1" customHeight="1" outlineLevel="4">
      <c r="A591" s="96"/>
      <c r="B591" s="96" t="s">
        <v>1075</v>
      </c>
      <c r="C591" s="96"/>
      <c r="D591" s="96"/>
      <c r="E591" s="96"/>
      <c r="F591" s="96" t="s">
        <v>1075</v>
      </c>
      <c r="G591" s="36" t="s">
        <v>723</v>
      </c>
      <c r="H591" s="81"/>
      <c r="I591" s="71">
        <f t="shared" si="179"/>
        <v>0</v>
      </c>
      <c r="J591" s="48"/>
      <c r="K591" s="590" t="str">
        <f t="shared" si="192"/>
        <v>.1</v>
      </c>
      <c r="L591" s="579" t="s">
        <v>1996</v>
      </c>
      <c r="M591" s="74"/>
      <c r="N591" s="49"/>
      <c r="O591" s="592" t="str">
        <f t="shared" si="193"/>
        <v>.2</v>
      </c>
      <c r="P591" s="578" t="s">
        <v>1998</v>
      </c>
      <c r="Q591" s="74"/>
      <c r="R591" s="49"/>
      <c r="S591" s="592" t="str">
        <f t="shared" si="194"/>
        <v>.3</v>
      </c>
      <c r="T591" s="578" t="s">
        <v>2000</v>
      </c>
      <c r="U591" s="74"/>
      <c r="V591" s="766"/>
      <c r="W591" s="766"/>
      <c r="X591" s="171"/>
      <c r="Y591" s="745"/>
      <c r="Z591" s="741">
        <v>0</v>
      </c>
      <c r="AA591" s="592" t="str">
        <f t="shared" si="195"/>
        <v>.1</v>
      </c>
      <c r="AB591" s="739" t="s">
        <v>1996</v>
      </c>
      <c r="AC591" s="738">
        <v>0</v>
      </c>
      <c r="AD591" s="592" t="str">
        <f t="shared" si="196"/>
        <v>.2</v>
      </c>
      <c r="AE591" s="739" t="s">
        <v>1998</v>
      </c>
      <c r="AF591" s="738">
        <v>0</v>
      </c>
      <c r="AG591" s="592" t="str">
        <f t="shared" si="197"/>
        <v>.3</v>
      </c>
      <c r="AH591" s="739" t="s">
        <v>2000</v>
      </c>
      <c r="AI591" s="171"/>
    </row>
    <row r="592" spans="1:35" ht="15" hidden="1" customHeight="1" outlineLevel="4">
      <c r="A592" s="95"/>
      <c r="B592" s="95" t="s">
        <v>1075</v>
      </c>
      <c r="C592" s="95"/>
      <c r="D592" s="95"/>
      <c r="E592" s="774"/>
      <c r="F592" s="774" t="s">
        <v>1075</v>
      </c>
      <c r="G592" s="13"/>
      <c r="H592" s="79"/>
      <c r="I592" s="71">
        <f t="shared" si="179"/>
        <v>0</v>
      </c>
      <c r="J592" s="48"/>
      <c r="K592" s="590" t="str">
        <f t="shared" si="192"/>
        <v>.1</v>
      </c>
      <c r="L592" s="579" t="s">
        <v>1996</v>
      </c>
      <c r="M592" s="74"/>
      <c r="N592" s="49"/>
      <c r="O592" s="592" t="str">
        <f t="shared" si="193"/>
        <v>.2</v>
      </c>
      <c r="P592" s="578" t="s">
        <v>1998</v>
      </c>
      <c r="Q592" s="74"/>
      <c r="R592" s="49"/>
      <c r="S592" s="592" t="str">
        <f t="shared" si="194"/>
        <v>.3</v>
      </c>
      <c r="T592" s="578" t="s">
        <v>2000</v>
      </c>
      <c r="U592" s="74"/>
      <c r="V592" s="766"/>
      <c r="W592" s="766"/>
      <c r="X592" s="171"/>
      <c r="Y592" s="745"/>
      <c r="Z592" s="741">
        <v>0</v>
      </c>
      <c r="AA592" s="592" t="str">
        <f t="shared" si="195"/>
        <v>.1</v>
      </c>
      <c r="AB592" s="739" t="s">
        <v>1996</v>
      </c>
      <c r="AC592" s="738">
        <v>0</v>
      </c>
      <c r="AD592" s="592" t="str">
        <f t="shared" si="196"/>
        <v>.2</v>
      </c>
      <c r="AE592" s="739" t="s">
        <v>1998</v>
      </c>
      <c r="AF592" s="738">
        <v>0</v>
      </c>
      <c r="AG592" s="592" t="str">
        <f t="shared" si="197"/>
        <v>.3</v>
      </c>
      <c r="AH592" s="739" t="s">
        <v>2000</v>
      </c>
      <c r="AI592" s="171"/>
    </row>
    <row r="593" spans="1:35" ht="15" hidden="1" customHeight="1" outlineLevel="4">
      <c r="A593" s="95"/>
      <c r="B593" s="95" t="s">
        <v>1075</v>
      </c>
      <c r="C593" s="95"/>
      <c r="D593" s="95"/>
      <c r="E593" s="774"/>
      <c r="F593" s="774" t="s">
        <v>1075</v>
      </c>
      <c r="G593" s="13"/>
      <c r="H593" s="79"/>
      <c r="I593" s="71">
        <f t="shared" si="179"/>
        <v>0</v>
      </c>
      <c r="J593" s="48"/>
      <c r="K593" s="590" t="str">
        <f t="shared" si="192"/>
        <v>.1</v>
      </c>
      <c r="L593" s="579" t="s">
        <v>1996</v>
      </c>
      <c r="M593" s="74"/>
      <c r="N593" s="49"/>
      <c r="O593" s="592" t="str">
        <f t="shared" si="193"/>
        <v>.2</v>
      </c>
      <c r="P593" s="578" t="s">
        <v>1998</v>
      </c>
      <c r="Q593" s="74"/>
      <c r="R593" s="49"/>
      <c r="S593" s="592" t="str">
        <f t="shared" si="194"/>
        <v>.3</v>
      </c>
      <c r="T593" s="578" t="s">
        <v>2000</v>
      </c>
      <c r="U593" s="74"/>
      <c r="V593" s="766"/>
      <c r="W593" s="766"/>
      <c r="X593" s="171"/>
      <c r="Y593" s="745"/>
      <c r="Z593" s="741">
        <v>0</v>
      </c>
      <c r="AA593" s="592" t="str">
        <f t="shared" si="195"/>
        <v>.1</v>
      </c>
      <c r="AB593" s="739" t="s">
        <v>1996</v>
      </c>
      <c r="AC593" s="738">
        <v>0</v>
      </c>
      <c r="AD593" s="592" t="str">
        <f t="shared" si="196"/>
        <v>.2</v>
      </c>
      <c r="AE593" s="739" t="s">
        <v>1998</v>
      </c>
      <c r="AF593" s="738">
        <v>0</v>
      </c>
      <c r="AG593" s="592" t="str">
        <f t="shared" si="197"/>
        <v>.3</v>
      </c>
      <c r="AH593" s="739" t="s">
        <v>2000</v>
      </c>
      <c r="AI593" s="171"/>
    </row>
    <row r="594" spans="1:35" ht="15" hidden="1" customHeight="1" outlineLevel="4">
      <c r="A594" s="95"/>
      <c r="B594" s="95" t="s">
        <v>1075</v>
      </c>
      <c r="C594" s="95"/>
      <c r="D594" s="95"/>
      <c r="E594" s="774"/>
      <c r="F594" s="774" t="s">
        <v>1075</v>
      </c>
      <c r="G594" s="13"/>
      <c r="H594" s="79"/>
      <c r="I594" s="71">
        <f t="shared" si="179"/>
        <v>0</v>
      </c>
      <c r="J594" s="48"/>
      <c r="K594" s="590" t="str">
        <f t="shared" si="192"/>
        <v>.1</v>
      </c>
      <c r="L594" s="579" t="s">
        <v>1996</v>
      </c>
      <c r="M594" s="74"/>
      <c r="N594" s="49"/>
      <c r="O594" s="592" t="str">
        <f t="shared" si="193"/>
        <v>.2</v>
      </c>
      <c r="P594" s="578" t="s">
        <v>1998</v>
      </c>
      <c r="Q594" s="74"/>
      <c r="R594" s="49"/>
      <c r="S594" s="592" t="str">
        <f t="shared" si="194"/>
        <v>.3</v>
      </c>
      <c r="T594" s="578" t="s">
        <v>2000</v>
      </c>
      <c r="U594" s="74"/>
      <c r="V594" s="766"/>
      <c r="W594" s="766"/>
      <c r="X594" s="171"/>
      <c r="Y594" s="745"/>
      <c r="Z594" s="741">
        <v>0</v>
      </c>
      <c r="AA594" s="592" t="str">
        <f t="shared" si="195"/>
        <v>.1</v>
      </c>
      <c r="AB594" s="739" t="s">
        <v>1996</v>
      </c>
      <c r="AC594" s="738">
        <v>0</v>
      </c>
      <c r="AD594" s="592" t="str">
        <f t="shared" si="196"/>
        <v>.2</v>
      </c>
      <c r="AE594" s="739" t="s">
        <v>1998</v>
      </c>
      <c r="AF594" s="738">
        <v>0</v>
      </c>
      <c r="AG594" s="592" t="str">
        <f t="shared" si="197"/>
        <v>.3</v>
      </c>
      <c r="AH594" s="739" t="s">
        <v>2000</v>
      </c>
      <c r="AI594" s="171"/>
    </row>
    <row r="595" spans="1:35" ht="15" hidden="1" customHeight="1" outlineLevel="4">
      <c r="A595" s="95"/>
      <c r="B595" s="95" t="s">
        <v>1075</v>
      </c>
      <c r="C595" s="95"/>
      <c r="D595" s="95"/>
      <c r="E595" s="774"/>
      <c r="F595" s="774" t="s">
        <v>1075</v>
      </c>
      <c r="G595" s="13"/>
      <c r="H595" s="79"/>
      <c r="I595" s="71">
        <f t="shared" si="179"/>
        <v>0</v>
      </c>
      <c r="J595" s="48"/>
      <c r="K595" s="590" t="str">
        <f t="shared" si="192"/>
        <v>.1</v>
      </c>
      <c r="L595" s="579" t="s">
        <v>1996</v>
      </c>
      <c r="M595" s="74"/>
      <c r="N595" s="49"/>
      <c r="O595" s="592" t="str">
        <f t="shared" si="193"/>
        <v>.2</v>
      </c>
      <c r="P595" s="578" t="s">
        <v>1998</v>
      </c>
      <c r="Q595" s="74"/>
      <c r="R595" s="49"/>
      <c r="S595" s="592" t="str">
        <f t="shared" si="194"/>
        <v>.3</v>
      </c>
      <c r="T595" s="578" t="s">
        <v>2000</v>
      </c>
      <c r="U595" s="74"/>
      <c r="V595" s="766"/>
      <c r="W595" s="766"/>
      <c r="X595" s="171"/>
      <c r="Y595" s="745"/>
      <c r="Z595" s="741">
        <v>0</v>
      </c>
      <c r="AA595" s="592" t="str">
        <f t="shared" si="195"/>
        <v>.1</v>
      </c>
      <c r="AB595" s="739" t="s">
        <v>1996</v>
      </c>
      <c r="AC595" s="738">
        <v>0</v>
      </c>
      <c r="AD595" s="592" t="str">
        <f t="shared" si="196"/>
        <v>.2</v>
      </c>
      <c r="AE595" s="739" t="s">
        <v>1998</v>
      </c>
      <c r="AF595" s="738">
        <v>0</v>
      </c>
      <c r="AG595" s="592" t="str">
        <f t="shared" si="197"/>
        <v>.3</v>
      </c>
      <c r="AH595" s="739" t="s">
        <v>2000</v>
      </c>
      <c r="AI595" s="171"/>
    </row>
    <row r="596" spans="1:35" ht="15" hidden="1" customHeight="1" outlineLevel="4">
      <c r="A596" s="95"/>
      <c r="B596" s="95" t="s">
        <v>1075</v>
      </c>
      <c r="C596" s="95"/>
      <c r="D596" s="95"/>
      <c r="E596" s="774"/>
      <c r="F596" s="774" t="s">
        <v>1075</v>
      </c>
      <c r="G596" s="13"/>
      <c r="H596" s="79"/>
      <c r="I596" s="71">
        <f t="shared" si="179"/>
        <v>0</v>
      </c>
      <c r="J596" s="48"/>
      <c r="K596" s="590" t="str">
        <f t="shared" si="192"/>
        <v>.1</v>
      </c>
      <c r="L596" s="579" t="s">
        <v>1996</v>
      </c>
      <c r="M596" s="74"/>
      <c r="N596" s="49"/>
      <c r="O596" s="592" t="str">
        <f t="shared" si="193"/>
        <v>.2</v>
      </c>
      <c r="P596" s="578" t="s">
        <v>1998</v>
      </c>
      <c r="Q596" s="74"/>
      <c r="R596" s="49"/>
      <c r="S596" s="592" t="str">
        <f t="shared" si="194"/>
        <v>.3</v>
      </c>
      <c r="T596" s="578" t="s">
        <v>2000</v>
      </c>
      <c r="U596" s="74"/>
      <c r="V596" s="766"/>
      <c r="W596" s="766"/>
      <c r="X596" s="171"/>
      <c r="Y596" s="745"/>
      <c r="Z596" s="741">
        <v>0</v>
      </c>
      <c r="AA596" s="592" t="str">
        <f t="shared" si="195"/>
        <v>.1</v>
      </c>
      <c r="AB596" s="739" t="s">
        <v>1996</v>
      </c>
      <c r="AC596" s="738">
        <v>0</v>
      </c>
      <c r="AD596" s="592" t="str">
        <f t="shared" si="196"/>
        <v>.2</v>
      </c>
      <c r="AE596" s="739" t="s">
        <v>1998</v>
      </c>
      <c r="AF596" s="738">
        <v>0</v>
      </c>
      <c r="AG596" s="592" t="str">
        <f t="shared" si="197"/>
        <v>.3</v>
      </c>
      <c r="AH596" s="739" t="s">
        <v>2000</v>
      </c>
      <c r="AI596" s="171"/>
    </row>
    <row r="597" spans="1:35" ht="15" hidden="1" customHeight="1" outlineLevel="4">
      <c r="A597" s="95"/>
      <c r="B597" s="95" t="s">
        <v>1075</v>
      </c>
      <c r="C597" s="95"/>
      <c r="D597" s="95"/>
      <c r="E597" s="774"/>
      <c r="F597" s="774" t="s">
        <v>1075</v>
      </c>
      <c r="G597" s="13"/>
      <c r="H597" s="81"/>
      <c r="I597" s="71">
        <f t="shared" ref="I597:I660" si="198">IFERROR((J597+N597+R597),0)</f>
        <v>0</v>
      </c>
      <c r="J597" s="48"/>
      <c r="K597" s="590" t="str">
        <f t="shared" si="192"/>
        <v>.1</v>
      </c>
      <c r="L597" s="579" t="s">
        <v>1996</v>
      </c>
      <c r="M597" s="74"/>
      <c r="N597" s="49"/>
      <c r="O597" s="592" t="str">
        <f t="shared" si="193"/>
        <v>.2</v>
      </c>
      <c r="P597" s="578" t="s">
        <v>1998</v>
      </c>
      <c r="Q597" s="74"/>
      <c r="R597" s="49"/>
      <c r="S597" s="592" t="str">
        <f t="shared" si="194"/>
        <v>.3</v>
      </c>
      <c r="T597" s="578" t="s">
        <v>2000</v>
      </c>
      <c r="U597" s="74"/>
      <c r="V597" s="766"/>
      <c r="W597" s="766"/>
      <c r="X597" s="171"/>
      <c r="Y597" s="745"/>
      <c r="Z597" s="741">
        <v>0</v>
      </c>
      <c r="AA597" s="592" t="str">
        <f t="shared" si="195"/>
        <v>.1</v>
      </c>
      <c r="AB597" s="739" t="s">
        <v>1996</v>
      </c>
      <c r="AC597" s="738">
        <v>0</v>
      </c>
      <c r="AD597" s="592" t="str">
        <f t="shared" si="196"/>
        <v>.2</v>
      </c>
      <c r="AE597" s="739" t="s">
        <v>1998</v>
      </c>
      <c r="AF597" s="738">
        <v>0</v>
      </c>
      <c r="AG597" s="592" t="str">
        <f t="shared" si="197"/>
        <v>.3</v>
      </c>
      <c r="AH597" s="739" t="s">
        <v>2000</v>
      </c>
      <c r="AI597" s="171"/>
    </row>
    <row r="598" spans="1:35" ht="15" hidden="1" customHeight="1" outlineLevel="3">
      <c r="A598" s="97"/>
      <c r="B598" s="97" t="s">
        <v>1075</v>
      </c>
      <c r="C598" s="97"/>
      <c r="D598" s="97"/>
      <c r="E598" s="97"/>
      <c r="F598" s="97" t="s">
        <v>1075</v>
      </c>
      <c r="G598" s="40" t="s">
        <v>254</v>
      </c>
      <c r="H598" s="78">
        <f>SUBTOTAL(9,H599:H609)</f>
        <v>0</v>
      </c>
      <c r="I598" s="68">
        <f t="shared" si="198"/>
        <v>0</v>
      </c>
      <c r="J598" s="55">
        <f>SUBTOTAL(9,J599:J609)</f>
        <v>0</v>
      </c>
      <c r="K598" s="55"/>
      <c r="L598" s="55"/>
      <c r="M598" s="84"/>
      <c r="N598" s="55">
        <f>SUBTOTAL(9,N599:N609)</f>
        <v>0</v>
      </c>
      <c r="O598" s="91"/>
      <c r="P598" s="91"/>
      <c r="Q598" s="84"/>
      <c r="R598" s="55">
        <f>SUBTOTAL(9,R599:R609)</f>
        <v>0</v>
      </c>
      <c r="S598" s="91"/>
      <c r="T598" s="91"/>
      <c r="U598" s="84"/>
      <c r="V598" s="55">
        <f>SUBTOTAL(9,V599:V609)</f>
        <v>0</v>
      </c>
      <c r="W598" s="55">
        <f>SUBTOTAL(9,W599:W609)</f>
        <v>0</v>
      </c>
      <c r="X598" s="170"/>
      <c r="Y598" s="745"/>
      <c r="Z598" s="55">
        <f>SUBTOTAL(9,Z599:Z609)</f>
        <v>0</v>
      </c>
      <c r="AA598" s="91"/>
      <c r="AB598" s="91"/>
      <c r="AC598" s="55">
        <f>SUBTOTAL(9,AC599:AC609)</f>
        <v>0</v>
      </c>
      <c r="AD598" s="91"/>
      <c r="AE598" s="91"/>
      <c r="AF598" s="55">
        <f>SUBTOTAL(9,AF599:AF609)</f>
        <v>0</v>
      </c>
      <c r="AG598" s="91"/>
      <c r="AH598" s="91"/>
      <c r="AI598" s="170"/>
    </row>
    <row r="599" spans="1:35" ht="15" hidden="1" customHeight="1" outlineLevel="4">
      <c r="A599" s="93">
        <v>21010</v>
      </c>
      <c r="B599" s="93">
        <v>3452</v>
      </c>
      <c r="C599" s="93"/>
      <c r="D599" s="93"/>
      <c r="E599" s="93" t="s">
        <v>2956</v>
      </c>
      <c r="F599" s="93" t="s">
        <v>5203</v>
      </c>
      <c r="G599" s="37" t="s">
        <v>172</v>
      </c>
      <c r="H599" s="583">
        <f>IFERROR(VLOOKUP(A599,'Colar QL'!A:C,3,0),0)</f>
        <v>0</v>
      </c>
      <c r="I599" s="69">
        <f t="shared" si="198"/>
        <v>0</v>
      </c>
      <c r="J599" s="258">
        <f>'BD Temp'!E915</f>
        <v>0</v>
      </c>
      <c r="K599" s="590" t="str">
        <f t="shared" ref="K599:K609" si="199">F599&amp;L599</f>
        <v>47.0284.1.2.17.00.01.039.01.09.04.1</v>
      </c>
      <c r="L599" s="579" t="s">
        <v>1996</v>
      </c>
      <c r="M599" s="256" t="str">
        <f>'BD Temp'!F915</f>
        <v>-</v>
      </c>
      <c r="N599" s="255">
        <f>'BD Temp'!J915</f>
        <v>0</v>
      </c>
      <c r="O599" s="592" t="str">
        <f t="shared" ref="O599:O609" si="200">F599&amp;P599</f>
        <v>47.0284.1.2.17.00.01.039.01.09.04.2</v>
      </c>
      <c r="P599" s="578" t="s">
        <v>1998</v>
      </c>
      <c r="Q599" s="256" t="str">
        <f>'BD Temp'!K915</f>
        <v>-</v>
      </c>
      <c r="R599" s="255">
        <f>'BD Temp'!O915</f>
        <v>0</v>
      </c>
      <c r="S599" s="592" t="str">
        <f t="shared" ref="S599:S609" si="201">F599&amp;T599</f>
        <v>47.0284.1.2.17.00.01.039.01.09.04.3</v>
      </c>
      <c r="T599" s="578" t="s">
        <v>2000</v>
      </c>
      <c r="U599" s="256" t="str">
        <f>'BD Temp'!P915</f>
        <v>-</v>
      </c>
      <c r="V599" s="764"/>
      <c r="W599" s="767"/>
      <c r="X599" s="158"/>
      <c r="Y599" s="745"/>
      <c r="Z599" s="741">
        <v>0</v>
      </c>
      <c r="AA599" s="592" t="str">
        <f t="shared" ref="AA599:AA609" si="202">F599&amp;AB599</f>
        <v>47.0284.1.2.17.00.01.039.01.09.04.1</v>
      </c>
      <c r="AB599" s="739" t="s">
        <v>1996</v>
      </c>
      <c r="AC599" s="738">
        <v>0</v>
      </c>
      <c r="AD599" s="592" t="str">
        <f t="shared" ref="AD599:AD609" si="203">F599&amp;AE599</f>
        <v>47.0284.1.2.17.00.01.039.01.09.04.2</v>
      </c>
      <c r="AE599" s="739" t="s">
        <v>1998</v>
      </c>
      <c r="AF599" s="738">
        <v>0</v>
      </c>
      <c r="AG599" s="592" t="str">
        <f t="shared" ref="AG599:AG609" si="204">F599&amp;AH599</f>
        <v>47.0284.1.2.17.00.01.039.01.09.04.3</v>
      </c>
      <c r="AH599" s="739" t="s">
        <v>2000</v>
      </c>
      <c r="AI599" s="158"/>
    </row>
    <row r="600" spans="1:35" ht="15" hidden="1" customHeight="1" outlineLevel="4">
      <c r="A600" s="93">
        <v>21020</v>
      </c>
      <c r="B600" s="93">
        <v>3452</v>
      </c>
      <c r="C600" s="93"/>
      <c r="D600" s="93"/>
      <c r="E600" s="93" t="s">
        <v>2956</v>
      </c>
      <c r="F600" s="93" t="s">
        <v>5203</v>
      </c>
      <c r="G600" s="37" t="s">
        <v>836</v>
      </c>
      <c r="H600" s="583">
        <f>IFERROR(VLOOKUP(A600,'Colar QL'!A:C,3,0),0)</f>
        <v>0</v>
      </c>
      <c r="I600" s="69">
        <f t="shared" si="198"/>
        <v>0</v>
      </c>
      <c r="J600" s="258">
        <f>'BD Temp'!E916</f>
        <v>0</v>
      </c>
      <c r="K600" s="590" t="str">
        <f t="shared" si="199"/>
        <v>47.0284.1.2.17.00.01.039.01.09.04.1</v>
      </c>
      <c r="L600" s="579" t="s">
        <v>1996</v>
      </c>
      <c r="M600" s="256" t="str">
        <f>'BD Temp'!F916</f>
        <v>-</v>
      </c>
      <c r="N600" s="255">
        <f>'BD Temp'!J916</f>
        <v>0</v>
      </c>
      <c r="O600" s="592" t="str">
        <f t="shared" si="200"/>
        <v>47.0284.1.2.17.00.01.039.01.09.04.2</v>
      </c>
      <c r="P600" s="578" t="s">
        <v>1998</v>
      </c>
      <c r="Q600" s="256" t="str">
        <f>'BD Temp'!K916</f>
        <v>-</v>
      </c>
      <c r="R600" s="255">
        <f>'BD Temp'!O916</f>
        <v>0</v>
      </c>
      <c r="S600" s="592" t="str">
        <f t="shared" si="201"/>
        <v>47.0284.1.2.17.00.01.039.01.09.04.3</v>
      </c>
      <c r="T600" s="578" t="s">
        <v>2000</v>
      </c>
      <c r="U600" s="256" t="str">
        <f>'BD Temp'!P916</f>
        <v>-</v>
      </c>
      <c r="V600" s="764"/>
      <c r="W600" s="767"/>
      <c r="X600" s="158"/>
      <c r="Y600" s="745"/>
      <c r="Z600" s="741">
        <v>0</v>
      </c>
      <c r="AA600" s="592" t="str">
        <f t="shared" si="202"/>
        <v>47.0284.1.2.17.00.01.039.01.09.04.1</v>
      </c>
      <c r="AB600" s="739" t="s">
        <v>1996</v>
      </c>
      <c r="AC600" s="738">
        <v>0</v>
      </c>
      <c r="AD600" s="592" t="str">
        <f t="shared" si="203"/>
        <v>47.0284.1.2.17.00.01.039.01.09.04.2</v>
      </c>
      <c r="AE600" s="739" t="s">
        <v>1998</v>
      </c>
      <c r="AF600" s="738">
        <v>0</v>
      </c>
      <c r="AG600" s="592" t="str">
        <f t="shared" si="204"/>
        <v>47.0284.1.2.17.00.01.039.01.09.04.3</v>
      </c>
      <c r="AH600" s="739" t="s">
        <v>2000</v>
      </c>
      <c r="AI600" s="158"/>
    </row>
    <row r="601" spans="1:35" ht="15" hidden="1" customHeight="1" outlineLevel="4">
      <c r="A601" s="93">
        <v>21025</v>
      </c>
      <c r="B601" s="93">
        <v>3452</v>
      </c>
      <c r="C601" s="93"/>
      <c r="D601" s="93"/>
      <c r="E601" s="93" t="s">
        <v>3069</v>
      </c>
      <c r="F601" s="93" t="s">
        <v>5204</v>
      </c>
      <c r="G601" s="37" t="s">
        <v>678</v>
      </c>
      <c r="H601" s="583">
        <f>IFERROR(VLOOKUP(A601,'Colar QL'!A:C,3,0),0)</f>
        <v>0</v>
      </c>
      <c r="I601" s="69">
        <f t="shared" si="198"/>
        <v>0</v>
      </c>
      <c r="J601" s="258">
        <f>'BD Temp'!E917</f>
        <v>0</v>
      </c>
      <c r="K601" s="590" t="str">
        <f t="shared" si="199"/>
        <v>47.0284.1.2.17.00.01.039.01.09.05.1</v>
      </c>
      <c r="L601" s="579" t="s">
        <v>1996</v>
      </c>
      <c r="M601" s="256" t="str">
        <f>'BD Temp'!F917</f>
        <v>-</v>
      </c>
      <c r="N601" s="255">
        <f>'BD Temp'!J917</f>
        <v>0</v>
      </c>
      <c r="O601" s="592" t="str">
        <f t="shared" si="200"/>
        <v>47.0284.1.2.17.00.01.039.01.09.05.2</v>
      </c>
      <c r="P601" s="578" t="s">
        <v>1998</v>
      </c>
      <c r="Q601" s="256" t="str">
        <f>'BD Temp'!K917</f>
        <v>-</v>
      </c>
      <c r="R601" s="255">
        <f>'BD Temp'!O917</f>
        <v>0</v>
      </c>
      <c r="S601" s="592" t="str">
        <f t="shared" si="201"/>
        <v>47.0284.1.2.17.00.01.039.01.09.05.3</v>
      </c>
      <c r="T601" s="578" t="s">
        <v>2000</v>
      </c>
      <c r="U601" s="256" t="str">
        <f>'BD Temp'!P917</f>
        <v>-</v>
      </c>
      <c r="V601" s="764"/>
      <c r="W601" s="767"/>
      <c r="X601" s="158"/>
      <c r="Y601" s="745"/>
      <c r="Z601" s="741">
        <v>0</v>
      </c>
      <c r="AA601" s="592" t="str">
        <f t="shared" si="202"/>
        <v>47.0284.1.2.17.00.01.039.01.09.05.1</v>
      </c>
      <c r="AB601" s="739" t="s">
        <v>1996</v>
      </c>
      <c r="AC601" s="738">
        <v>0</v>
      </c>
      <c r="AD601" s="592" t="str">
        <f t="shared" si="203"/>
        <v>47.0284.1.2.17.00.01.039.01.09.05.2</v>
      </c>
      <c r="AE601" s="739" t="s">
        <v>1998</v>
      </c>
      <c r="AF601" s="738">
        <v>0</v>
      </c>
      <c r="AG601" s="592" t="str">
        <f t="shared" si="204"/>
        <v>47.0284.1.2.17.00.01.039.01.09.05.3</v>
      </c>
      <c r="AH601" s="739" t="s">
        <v>2000</v>
      </c>
      <c r="AI601" s="158"/>
    </row>
    <row r="602" spans="1:35" ht="15" hidden="1" customHeight="1" outlineLevel="4">
      <c r="A602" s="93"/>
      <c r="B602" s="93" t="s">
        <v>1075</v>
      </c>
      <c r="C602" s="93"/>
      <c r="D602" s="93"/>
      <c r="E602" s="93"/>
      <c r="F602" s="93" t="s">
        <v>1075</v>
      </c>
      <c r="G602" s="37"/>
      <c r="H602" s="79"/>
      <c r="I602" s="69">
        <f t="shared" si="198"/>
        <v>0</v>
      </c>
      <c r="J602" s="48"/>
      <c r="K602" s="590" t="str">
        <f t="shared" si="199"/>
        <v>.1</v>
      </c>
      <c r="L602" s="579" t="s">
        <v>1996</v>
      </c>
      <c r="M602" s="74"/>
      <c r="N602" s="49"/>
      <c r="O602" s="592" t="str">
        <f t="shared" si="200"/>
        <v>.2</v>
      </c>
      <c r="P602" s="578" t="s">
        <v>1998</v>
      </c>
      <c r="Q602" s="74"/>
      <c r="R602" s="49"/>
      <c r="S602" s="592" t="str">
        <f t="shared" si="201"/>
        <v>.3</v>
      </c>
      <c r="T602" s="578" t="s">
        <v>2000</v>
      </c>
      <c r="U602" s="74"/>
      <c r="V602" s="764"/>
      <c r="W602" s="764"/>
      <c r="X602" s="158"/>
      <c r="Y602" s="745"/>
      <c r="Z602" s="741">
        <v>0</v>
      </c>
      <c r="AA602" s="592" t="str">
        <f t="shared" si="202"/>
        <v>.1</v>
      </c>
      <c r="AB602" s="739" t="s">
        <v>1996</v>
      </c>
      <c r="AC602" s="738">
        <v>0</v>
      </c>
      <c r="AD602" s="592" t="str">
        <f t="shared" si="203"/>
        <v>.2</v>
      </c>
      <c r="AE602" s="739" t="s">
        <v>1998</v>
      </c>
      <c r="AF602" s="738">
        <v>0</v>
      </c>
      <c r="AG602" s="592" t="str">
        <f t="shared" si="204"/>
        <v>.3</v>
      </c>
      <c r="AH602" s="739" t="s">
        <v>2000</v>
      </c>
      <c r="AI602" s="158"/>
    </row>
    <row r="603" spans="1:35" ht="15" hidden="1" customHeight="1" outlineLevel="4">
      <c r="A603" s="99"/>
      <c r="B603" s="99" t="s">
        <v>1075</v>
      </c>
      <c r="C603" s="99"/>
      <c r="D603" s="99"/>
      <c r="E603" s="99"/>
      <c r="F603" s="99" t="s">
        <v>1075</v>
      </c>
      <c r="G603" s="39" t="s">
        <v>723</v>
      </c>
      <c r="H603" s="79"/>
      <c r="I603" s="69">
        <f t="shared" si="198"/>
        <v>0</v>
      </c>
      <c r="J603" s="48"/>
      <c r="K603" s="590" t="str">
        <f t="shared" si="199"/>
        <v>.1</v>
      </c>
      <c r="L603" s="579" t="s">
        <v>1996</v>
      </c>
      <c r="M603" s="74"/>
      <c r="N603" s="49"/>
      <c r="O603" s="592" t="str">
        <f t="shared" si="200"/>
        <v>.2</v>
      </c>
      <c r="P603" s="578" t="s">
        <v>1998</v>
      </c>
      <c r="Q603" s="74"/>
      <c r="R603" s="49"/>
      <c r="S603" s="592" t="str">
        <f t="shared" si="201"/>
        <v>.3</v>
      </c>
      <c r="T603" s="578" t="s">
        <v>2000</v>
      </c>
      <c r="U603" s="74"/>
      <c r="V603" s="764"/>
      <c r="W603" s="764"/>
      <c r="X603" s="158"/>
      <c r="Y603" s="745"/>
      <c r="Z603" s="741">
        <v>0</v>
      </c>
      <c r="AA603" s="592" t="str">
        <f t="shared" si="202"/>
        <v>.1</v>
      </c>
      <c r="AB603" s="739" t="s">
        <v>1996</v>
      </c>
      <c r="AC603" s="738">
        <v>0</v>
      </c>
      <c r="AD603" s="592" t="str">
        <f t="shared" si="203"/>
        <v>.2</v>
      </c>
      <c r="AE603" s="739" t="s">
        <v>1998</v>
      </c>
      <c r="AF603" s="738">
        <v>0</v>
      </c>
      <c r="AG603" s="592" t="str">
        <f t="shared" si="204"/>
        <v>.3</v>
      </c>
      <c r="AH603" s="739" t="s">
        <v>2000</v>
      </c>
      <c r="AI603" s="158"/>
    </row>
    <row r="604" spans="1:35" ht="15" hidden="1" customHeight="1" outlineLevel="4">
      <c r="A604" s="93"/>
      <c r="B604" s="93" t="s">
        <v>1075</v>
      </c>
      <c r="C604" s="93"/>
      <c r="D604" s="93"/>
      <c r="E604" s="93"/>
      <c r="F604" s="93" t="s">
        <v>1075</v>
      </c>
      <c r="G604" s="37"/>
      <c r="H604" s="79"/>
      <c r="I604" s="69">
        <f t="shared" si="198"/>
        <v>0</v>
      </c>
      <c r="J604" s="48"/>
      <c r="K604" s="590" t="str">
        <f t="shared" si="199"/>
        <v>.1</v>
      </c>
      <c r="L604" s="579" t="s">
        <v>1996</v>
      </c>
      <c r="M604" s="74"/>
      <c r="N604" s="49"/>
      <c r="O604" s="592" t="str">
        <f t="shared" si="200"/>
        <v>.2</v>
      </c>
      <c r="P604" s="578" t="s">
        <v>1998</v>
      </c>
      <c r="Q604" s="74"/>
      <c r="R604" s="49"/>
      <c r="S604" s="592" t="str">
        <f t="shared" si="201"/>
        <v>.3</v>
      </c>
      <c r="T604" s="578" t="s">
        <v>2000</v>
      </c>
      <c r="U604" s="74"/>
      <c r="V604" s="764"/>
      <c r="W604" s="764"/>
      <c r="X604" s="158"/>
      <c r="Y604" s="745"/>
      <c r="Z604" s="741">
        <v>0</v>
      </c>
      <c r="AA604" s="592" t="str">
        <f t="shared" si="202"/>
        <v>.1</v>
      </c>
      <c r="AB604" s="739" t="s">
        <v>1996</v>
      </c>
      <c r="AC604" s="738">
        <v>0</v>
      </c>
      <c r="AD604" s="592" t="str">
        <f t="shared" si="203"/>
        <v>.2</v>
      </c>
      <c r="AE604" s="739" t="s">
        <v>1998</v>
      </c>
      <c r="AF604" s="738">
        <v>0</v>
      </c>
      <c r="AG604" s="592" t="str">
        <f t="shared" si="204"/>
        <v>.3</v>
      </c>
      <c r="AH604" s="739" t="s">
        <v>2000</v>
      </c>
      <c r="AI604" s="158"/>
    </row>
    <row r="605" spans="1:35" ht="15" hidden="1" customHeight="1" outlineLevel="4">
      <c r="A605" s="93"/>
      <c r="B605" s="93" t="s">
        <v>1075</v>
      </c>
      <c r="C605" s="93"/>
      <c r="D605" s="93"/>
      <c r="E605" s="93"/>
      <c r="F605" s="93" t="s">
        <v>1075</v>
      </c>
      <c r="G605" s="37"/>
      <c r="H605" s="79"/>
      <c r="I605" s="69">
        <f t="shared" si="198"/>
        <v>0</v>
      </c>
      <c r="J605" s="48"/>
      <c r="K605" s="590" t="str">
        <f t="shared" si="199"/>
        <v>.1</v>
      </c>
      <c r="L605" s="579" t="s">
        <v>1996</v>
      </c>
      <c r="M605" s="74"/>
      <c r="N605" s="49"/>
      <c r="O605" s="592" t="str">
        <f t="shared" si="200"/>
        <v>.2</v>
      </c>
      <c r="P605" s="578" t="s">
        <v>1998</v>
      </c>
      <c r="Q605" s="74"/>
      <c r="R605" s="49"/>
      <c r="S605" s="592" t="str">
        <f t="shared" si="201"/>
        <v>.3</v>
      </c>
      <c r="T605" s="578" t="s">
        <v>2000</v>
      </c>
      <c r="U605" s="74"/>
      <c r="V605" s="764"/>
      <c r="W605" s="764"/>
      <c r="X605" s="158"/>
      <c r="Y605" s="745"/>
      <c r="Z605" s="741">
        <v>0</v>
      </c>
      <c r="AA605" s="592" t="str">
        <f t="shared" si="202"/>
        <v>.1</v>
      </c>
      <c r="AB605" s="739" t="s">
        <v>1996</v>
      </c>
      <c r="AC605" s="738">
        <v>0</v>
      </c>
      <c r="AD605" s="592" t="str">
        <f t="shared" si="203"/>
        <v>.2</v>
      </c>
      <c r="AE605" s="739" t="s">
        <v>1998</v>
      </c>
      <c r="AF605" s="738">
        <v>0</v>
      </c>
      <c r="AG605" s="592" t="str">
        <f t="shared" si="204"/>
        <v>.3</v>
      </c>
      <c r="AH605" s="739" t="s">
        <v>2000</v>
      </c>
      <c r="AI605" s="158"/>
    </row>
    <row r="606" spans="1:35" ht="15" hidden="1" customHeight="1" outlineLevel="4">
      <c r="A606" s="93"/>
      <c r="B606" s="93" t="s">
        <v>1075</v>
      </c>
      <c r="C606" s="93"/>
      <c r="D606" s="93"/>
      <c r="E606" s="93"/>
      <c r="F606" s="93" t="s">
        <v>1075</v>
      </c>
      <c r="G606" s="37"/>
      <c r="H606" s="79"/>
      <c r="I606" s="69">
        <f t="shared" si="198"/>
        <v>0</v>
      </c>
      <c r="J606" s="48"/>
      <c r="K606" s="590" t="str">
        <f t="shared" si="199"/>
        <v>.1</v>
      </c>
      <c r="L606" s="579" t="s">
        <v>1996</v>
      </c>
      <c r="M606" s="74"/>
      <c r="N606" s="49"/>
      <c r="O606" s="592" t="str">
        <f t="shared" si="200"/>
        <v>.2</v>
      </c>
      <c r="P606" s="578" t="s">
        <v>1998</v>
      </c>
      <c r="Q606" s="74"/>
      <c r="R606" s="49"/>
      <c r="S606" s="592" t="str">
        <f t="shared" si="201"/>
        <v>.3</v>
      </c>
      <c r="T606" s="578" t="s">
        <v>2000</v>
      </c>
      <c r="U606" s="74"/>
      <c r="V606" s="764"/>
      <c r="W606" s="764"/>
      <c r="X606" s="158"/>
      <c r="Y606" s="745"/>
      <c r="Z606" s="741">
        <v>0</v>
      </c>
      <c r="AA606" s="592" t="str">
        <f t="shared" si="202"/>
        <v>.1</v>
      </c>
      <c r="AB606" s="739" t="s">
        <v>1996</v>
      </c>
      <c r="AC606" s="738">
        <v>0</v>
      </c>
      <c r="AD606" s="592" t="str">
        <f t="shared" si="203"/>
        <v>.2</v>
      </c>
      <c r="AE606" s="739" t="s">
        <v>1998</v>
      </c>
      <c r="AF606" s="738">
        <v>0</v>
      </c>
      <c r="AG606" s="592" t="str">
        <f t="shared" si="204"/>
        <v>.3</v>
      </c>
      <c r="AH606" s="739" t="s">
        <v>2000</v>
      </c>
      <c r="AI606" s="158"/>
    </row>
    <row r="607" spans="1:35" ht="15" hidden="1" customHeight="1" outlineLevel="4">
      <c r="A607" s="93"/>
      <c r="B607" s="93" t="s">
        <v>1075</v>
      </c>
      <c r="C607" s="93"/>
      <c r="D607" s="93"/>
      <c r="E607" s="93"/>
      <c r="F607" s="93" t="s">
        <v>1075</v>
      </c>
      <c r="G607" s="37"/>
      <c r="H607" s="79"/>
      <c r="I607" s="69">
        <f t="shared" si="198"/>
        <v>0</v>
      </c>
      <c r="J607" s="48"/>
      <c r="K607" s="590" t="str">
        <f t="shared" si="199"/>
        <v>.1</v>
      </c>
      <c r="L607" s="579" t="s">
        <v>1996</v>
      </c>
      <c r="M607" s="74"/>
      <c r="N607" s="49"/>
      <c r="O607" s="592" t="str">
        <f t="shared" si="200"/>
        <v>.2</v>
      </c>
      <c r="P607" s="578" t="s">
        <v>1998</v>
      </c>
      <c r="Q607" s="74"/>
      <c r="R607" s="49"/>
      <c r="S607" s="592" t="str">
        <f t="shared" si="201"/>
        <v>.3</v>
      </c>
      <c r="T607" s="578" t="s">
        <v>2000</v>
      </c>
      <c r="U607" s="74"/>
      <c r="V607" s="764"/>
      <c r="W607" s="764"/>
      <c r="X607" s="158"/>
      <c r="Y607" s="745"/>
      <c r="Z607" s="741">
        <v>0</v>
      </c>
      <c r="AA607" s="592" t="str">
        <f t="shared" si="202"/>
        <v>.1</v>
      </c>
      <c r="AB607" s="739" t="s">
        <v>1996</v>
      </c>
      <c r="AC607" s="738">
        <v>0</v>
      </c>
      <c r="AD607" s="592" t="str">
        <f t="shared" si="203"/>
        <v>.2</v>
      </c>
      <c r="AE607" s="739" t="s">
        <v>1998</v>
      </c>
      <c r="AF607" s="738">
        <v>0</v>
      </c>
      <c r="AG607" s="592" t="str">
        <f t="shared" si="204"/>
        <v>.3</v>
      </c>
      <c r="AH607" s="739" t="s">
        <v>2000</v>
      </c>
      <c r="AI607" s="158"/>
    </row>
    <row r="608" spans="1:35" ht="15" hidden="1" customHeight="1" outlineLevel="4">
      <c r="A608" s="93"/>
      <c r="B608" s="93" t="s">
        <v>1075</v>
      </c>
      <c r="C608" s="93"/>
      <c r="D608" s="93"/>
      <c r="E608" s="93"/>
      <c r="F608" s="93" t="s">
        <v>1075</v>
      </c>
      <c r="G608" s="37"/>
      <c r="H608" s="79"/>
      <c r="I608" s="69">
        <f t="shared" si="198"/>
        <v>0</v>
      </c>
      <c r="J608" s="48"/>
      <c r="K608" s="590" t="str">
        <f t="shared" si="199"/>
        <v>.1</v>
      </c>
      <c r="L608" s="579" t="s">
        <v>1996</v>
      </c>
      <c r="M608" s="74"/>
      <c r="N608" s="49"/>
      <c r="O608" s="592" t="str">
        <f t="shared" si="200"/>
        <v>.2</v>
      </c>
      <c r="P608" s="578" t="s">
        <v>1998</v>
      </c>
      <c r="Q608" s="74"/>
      <c r="R608" s="49"/>
      <c r="S608" s="592" t="str">
        <f t="shared" si="201"/>
        <v>.3</v>
      </c>
      <c r="T608" s="578" t="s">
        <v>2000</v>
      </c>
      <c r="U608" s="74"/>
      <c r="V608" s="764"/>
      <c r="W608" s="764"/>
      <c r="X608" s="158"/>
      <c r="Y608" s="745"/>
      <c r="Z608" s="741">
        <v>0</v>
      </c>
      <c r="AA608" s="592" t="str">
        <f t="shared" si="202"/>
        <v>.1</v>
      </c>
      <c r="AB608" s="739" t="s">
        <v>1996</v>
      </c>
      <c r="AC608" s="738">
        <v>0</v>
      </c>
      <c r="AD608" s="592" t="str">
        <f t="shared" si="203"/>
        <v>.2</v>
      </c>
      <c r="AE608" s="739" t="s">
        <v>1998</v>
      </c>
      <c r="AF608" s="738">
        <v>0</v>
      </c>
      <c r="AG608" s="592" t="str">
        <f t="shared" si="204"/>
        <v>.3</v>
      </c>
      <c r="AH608" s="739" t="s">
        <v>2000</v>
      </c>
      <c r="AI608" s="158"/>
    </row>
    <row r="609" spans="1:35" ht="15" hidden="1" customHeight="1" outlineLevel="4">
      <c r="A609" s="93"/>
      <c r="B609" s="93" t="s">
        <v>1075</v>
      </c>
      <c r="C609" s="93"/>
      <c r="D609" s="93"/>
      <c r="E609" s="93"/>
      <c r="F609" s="93" t="s">
        <v>1075</v>
      </c>
      <c r="G609" s="37"/>
      <c r="H609" s="79"/>
      <c r="I609" s="69">
        <f t="shared" si="198"/>
        <v>0</v>
      </c>
      <c r="J609" s="48"/>
      <c r="K609" s="590" t="str">
        <f t="shared" si="199"/>
        <v>.1</v>
      </c>
      <c r="L609" s="579" t="s">
        <v>1996</v>
      </c>
      <c r="M609" s="74"/>
      <c r="N609" s="49"/>
      <c r="O609" s="592" t="str">
        <f t="shared" si="200"/>
        <v>.2</v>
      </c>
      <c r="P609" s="578" t="s">
        <v>1998</v>
      </c>
      <c r="Q609" s="74"/>
      <c r="R609" s="49"/>
      <c r="S609" s="592" t="str">
        <f t="shared" si="201"/>
        <v>.3</v>
      </c>
      <c r="T609" s="578" t="s">
        <v>2000</v>
      </c>
      <c r="U609" s="74"/>
      <c r="V609" s="764"/>
      <c r="W609" s="764"/>
      <c r="X609" s="158"/>
      <c r="Y609" s="745"/>
      <c r="Z609" s="741">
        <v>0</v>
      </c>
      <c r="AA609" s="592" t="str">
        <f t="shared" si="202"/>
        <v>.1</v>
      </c>
      <c r="AB609" s="739" t="s">
        <v>1996</v>
      </c>
      <c r="AC609" s="738">
        <v>0</v>
      </c>
      <c r="AD609" s="592" t="str">
        <f t="shared" si="203"/>
        <v>.2</v>
      </c>
      <c r="AE609" s="739" t="s">
        <v>1998</v>
      </c>
      <c r="AF609" s="738">
        <v>0</v>
      </c>
      <c r="AG609" s="592" t="str">
        <f t="shared" si="204"/>
        <v>.3</v>
      </c>
      <c r="AH609" s="739" t="s">
        <v>2000</v>
      </c>
      <c r="AI609" s="158"/>
    </row>
    <row r="610" spans="1:35" ht="15" hidden="1" customHeight="1" outlineLevel="2">
      <c r="A610" s="97"/>
      <c r="B610" s="97" t="s">
        <v>1075</v>
      </c>
      <c r="C610" s="97"/>
      <c r="D610" s="97"/>
      <c r="E610" s="97"/>
      <c r="F610" s="97" t="s">
        <v>1075</v>
      </c>
      <c r="G610" s="40" t="s">
        <v>235</v>
      </c>
      <c r="H610" s="78">
        <f>SUBTOTAL(9,H611:H612)</f>
        <v>1</v>
      </c>
      <c r="I610" s="68">
        <f t="shared" si="198"/>
        <v>1</v>
      </c>
      <c r="J610" s="55">
        <f>SUBTOTAL(9,J611)</f>
        <v>1</v>
      </c>
      <c r="K610" s="55"/>
      <c r="L610" s="55"/>
      <c r="M610" s="84"/>
      <c r="N610" s="56">
        <f>SUBTOTAL(9,N611)</f>
        <v>0</v>
      </c>
      <c r="O610" s="84"/>
      <c r="P610" s="84"/>
      <c r="Q610" s="84"/>
      <c r="R610" s="56">
        <f>SUBTOTAL(9,R611)</f>
        <v>0</v>
      </c>
      <c r="S610" s="84"/>
      <c r="T610" s="84"/>
      <c r="U610" s="84"/>
      <c r="V610" s="56">
        <f>SUBTOTAL(9,V611)</f>
        <v>0</v>
      </c>
      <c r="W610" s="56">
        <f>SUBTOTAL(9,W611)</f>
        <v>0</v>
      </c>
      <c r="X610" s="170"/>
      <c r="Y610" s="745"/>
      <c r="Z610" s="55">
        <f>SUBTOTAL(9,Z611)</f>
        <v>0</v>
      </c>
      <c r="AA610" s="84"/>
      <c r="AB610" s="84"/>
      <c r="AC610" s="56">
        <f>SUBTOTAL(9,AC611)</f>
        <v>0</v>
      </c>
      <c r="AD610" s="84"/>
      <c r="AE610" s="84"/>
      <c r="AF610" s="56">
        <f>SUBTOTAL(9,AF611)</f>
        <v>0</v>
      </c>
      <c r="AG610" s="84"/>
      <c r="AH610" s="84"/>
      <c r="AI610" s="170"/>
    </row>
    <row r="611" spans="1:35" ht="15" hidden="1" customHeight="1" outlineLevel="3">
      <c r="A611" s="95">
        <v>61</v>
      </c>
      <c r="B611" s="95">
        <v>3452</v>
      </c>
      <c r="C611" s="95"/>
      <c r="D611" s="95"/>
      <c r="E611" s="774" t="s">
        <v>3069</v>
      </c>
      <c r="F611" s="774" t="s">
        <v>5204</v>
      </c>
      <c r="G611" s="13" t="s">
        <v>3030</v>
      </c>
      <c r="H611" s="583">
        <f>IFERROR(VLOOKUP(A611,'Colar QL'!A:C,3,0),0)</f>
        <v>1</v>
      </c>
      <c r="I611" s="69">
        <f t="shared" si="198"/>
        <v>1</v>
      </c>
      <c r="J611" s="771">
        <f>ROUND(J568*$U$5,0)</f>
        <v>1</v>
      </c>
      <c r="K611" s="590" t="str">
        <f>F611&amp;L611</f>
        <v>47.0284.1.2.17.00.01.039.01.09.05.1</v>
      </c>
      <c r="L611" s="771" t="s">
        <v>1996</v>
      </c>
      <c r="M611" s="772"/>
      <c r="N611" s="770">
        <f>ROUND(N568*$U$5,0)</f>
        <v>0</v>
      </c>
      <c r="O611" s="592" t="str">
        <f>F611&amp;P611</f>
        <v>47.0284.1.2.17.00.01.039.01.09.05.2</v>
      </c>
      <c r="P611" s="772" t="s">
        <v>1998</v>
      </c>
      <c r="Q611" s="772"/>
      <c r="R611" s="770">
        <f>ROUND(R568*$U$5,0)</f>
        <v>0</v>
      </c>
      <c r="S611" s="592" t="str">
        <f>F611&amp;T611</f>
        <v>47.0284.1.2.17.00.01.039.01.09.05.3</v>
      </c>
      <c r="T611" s="772" t="s">
        <v>2000</v>
      </c>
      <c r="U611" s="772"/>
      <c r="V611" s="764"/>
      <c r="W611" s="764"/>
      <c r="X611" s="158"/>
      <c r="Y611" s="745"/>
      <c r="Z611" s="771">
        <f>ROUND(Z568*$U$5,0)</f>
        <v>0</v>
      </c>
      <c r="AA611" s="592" t="str">
        <f>F611&amp;AB611</f>
        <v>47.0284.1.2.17.00.01.039.01.09.05.1</v>
      </c>
      <c r="AB611" s="772" t="s">
        <v>1996</v>
      </c>
      <c r="AC611" s="770">
        <f>ROUND(AC568*$U$5,0)</f>
        <v>0</v>
      </c>
      <c r="AD611" s="592" t="str">
        <f>F611&amp;AE611</f>
        <v>47.0284.1.2.17.00.01.039.01.09.05.2</v>
      </c>
      <c r="AE611" s="772" t="s">
        <v>1998</v>
      </c>
      <c r="AF611" s="770">
        <f>ROUND(AF568*$U$5,0)</f>
        <v>0</v>
      </c>
      <c r="AG611" s="592" t="str">
        <f>F611&amp;AH611</f>
        <v>47.0284.1.2.17.00.01.039.01.09.05.3</v>
      </c>
      <c r="AH611" s="772" t="s">
        <v>2000</v>
      </c>
      <c r="AI611" s="158"/>
    </row>
    <row r="612" spans="1:35" ht="15" hidden="1" customHeight="1" outlineLevel="3">
      <c r="A612" s="95">
        <v>62</v>
      </c>
      <c r="B612" s="95" t="s">
        <v>1075</v>
      </c>
      <c r="C612" s="95"/>
      <c r="D612" s="95"/>
      <c r="E612" s="774"/>
      <c r="F612" s="774" t="s">
        <v>1075</v>
      </c>
      <c r="G612" s="13"/>
      <c r="H612" s="583"/>
      <c r="I612" s="69">
        <f t="shared" si="198"/>
        <v>0</v>
      </c>
      <c r="J612" s="771"/>
      <c r="K612" s="590" t="str">
        <f>F612&amp;L612</f>
        <v>.1</v>
      </c>
      <c r="L612" s="771" t="s">
        <v>1996</v>
      </c>
      <c r="M612" s="772"/>
      <c r="N612" s="770"/>
      <c r="O612" s="592" t="str">
        <f>F612&amp;P612</f>
        <v>.2</v>
      </c>
      <c r="P612" s="772" t="s">
        <v>1998</v>
      </c>
      <c r="Q612" s="772"/>
      <c r="R612" s="770"/>
      <c r="S612" s="592" t="str">
        <f>F612&amp;T612</f>
        <v>.3</v>
      </c>
      <c r="T612" s="772" t="s">
        <v>2000</v>
      </c>
      <c r="U612" s="772"/>
      <c r="V612" s="764"/>
      <c r="W612" s="764"/>
      <c r="X612" s="158"/>
      <c r="Y612" s="745"/>
      <c r="Z612" s="771"/>
      <c r="AA612" s="592" t="str">
        <f>F612&amp;AB612</f>
        <v>.1</v>
      </c>
      <c r="AB612" s="772" t="s">
        <v>1996</v>
      </c>
      <c r="AC612" s="770"/>
      <c r="AD612" s="592" t="str">
        <f>F612&amp;AE612</f>
        <v>.2</v>
      </c>
      <c r="AE612" s="772" t="s">
        <v>1998</v>
      </c>
      <c r="AF612" s="770"/>
      <c r="AG612" s="592" t="str">
        <f>F612&amp;AH612</f>
        <v>.3</v>
      </c>
      <c r="AH612" s="772" t="s">
        <v>2000</v>
      </c>
      <c r="AI612" s="158"/>
    </row>
    <row r="613" spans="1:35" ht="15" hidden="1" customHeight="1" outlineLevel="3">
      <c r="A613" s="95"/>
      <c r="B613" s="95" t="s">
        <v>1075</v>
      </c>
      <c r="C613" s="95"/>
      <c r="D613" s="95"/>
      <c r="E613" s="774"/>
      <c r="F613" s="774" t="s">
        <v>1075</v>
      </c>
      <c r="G613" s="13"/>
      <c r="H613" s="81"/>
      <c r="I613" s="71">
        <f t="shared" si="198"/>
        <v>0</v>
      </c>
      <c r="J613" s="48"/>
      <c r="K613" s="579"/>
      <c r="L613" s="579"/>
      <c r="M613" s="74"/>
      <c r="N613" s="49"/>
      <c r="O613" s="578"/>
      <c r="P613" s="578"/>
      <c r="Q613" s="74"/>
      <c r="R613" s="49"/>
      <c r="S613" s="578"/>
      <c r="T613" s="578"/>
      <c r="U613" s="74"/>
      <c r="V613" s="766"/>
      <c r="W613" s="766"/>
      <c r="X613" s="171"/>
      <c r="Y613" s="745"/>
      <c r="Z613" s="741"/>
      <c r="AA613" s="739"/>
      <c r="AB613" s="739"/>
      <c r="AC613" s="738"/>
      <c r="AD613" s="739"/>
      <c r="AE613" s="739"/>
      <c r="AF613" s="738"/>
      <c r="AG613" s="739"/>
      <c r="AH613" s="739"/>
      <c r="AI613" s="171"/>
    </row>
    <row r="614" spans="1:35">
      <c r="A614" s="100"/>
      <c r="B614" s="100" t="s">
        <v>1075</v>
      </c>
      <c r="C614" s="100"/>
      <c r="D614" s="100"/>
      <c r="E614" s="100"/>
      <c r="F614" s="100" t="s">
        <v>1075</v>
      </c>
      <c r="G614" s="17" t="s">
        <v>2</v>
      </c>
      <c r="H614" s="76">
        <f>ROUND(SUBTOTAL(9,H615:H645),0)</f>
        <v>4</v>
      </c>
      <c r="I614" s="64">
        <f t="shared" si="198"/>
        <v>6</v>
      </c>
      <c r="J614" s="52">
        <f>ROUND(SUBTOTAL(9,J615:J645),0)</f>
        <v>6</v>
      </c>
      <c r="K614" s="52"/>
      <c r="L614" s="52"/>
      <c r="M614" s="86"/>
      <c r="N614" s="52">
        <f>ROUND(SUBTOTAL(9,N615:N645),0)</f>
        <v>0</v>
      </c>
      <c r="O614" s="587"/>
      <c r="P614" s="587"/>
      <c r="Q614" s="86"/>
      <c r="R614" s="52">
        <f>ROUND(SUBTOTAL(9,R615:R645),0)</f>
        <v>0</v>
      </c>
      <c r="S614" s="587"/>
      <c r="T614" s="587"/>
      <c r="U614" s="86"/>
      <c r="V614" s="52">
        <f>ROUND(SUBTOTAL(9,V615:V645),0)</f>
        <v>0</v>
      </c>
      <c r="W614" s="52">
        <f>ROUND(SUBTOTAL(9,W615:W645),0)</f>
        <v>0</v>
      </c>
      <c r="X614" s="168"/>
      <c r="Y614" s="745"/>
      <c r="Z614" s="52">
        <f>ROUND(SUBTOTAL(9,Z615:Z645),0)</f>
        <v>0</v>
      </c>
      <c r="AA614" s="587"/>
      <c r="AB614" s="587"/>
      <c r="AC614" s="52">
        <f>ROUND(SUBTOTAL(9,AC615:AC645),0)</f>
        <v>0</v>
      </c>
      <c r="AD614" s="587"/>
      <c r="AE614" s="587"/>
      <c r="AF614" s="52">
        <f>ROUND(SUBTOTAL(9,AF615:AF645),0)</f>
        <v>0</v>
      </c>
      <c r="AG614" s="587"/>
      <c r="AH614" s="587"/>
      <c r="AI614" s="168"/>
    </row>
    <row r="615" spans="1:35" ht="15" customHeight="1" outlineLevel="1" collapsed="1">
      <c r="A615" s="98"/>
      <c r="B615" s="98" t="s">
        <v>1075</v>
      </c>
      <c r="C615" s="98"/>
      <c r="D615" s="98"/>
      <c r="E615" s="98"/>
      <c r="F615" s="98" t="s">
        <v>1075</v>
      </c>
      <c r="G615" s="35" t="s">
        <v>2</v>
      </c>
      <c r="H615" s="77">
        <f>SUBTOTAL(9,H616:H645)</f>
        <v>4</v>
      </c>
      <c r="I615" s="67">
        <f t="shared" si="198"/>
        <v>6</v>
      </c>
      <c r="J615" s="54">
        <f>SUBTOTAL(9,J616:J645)</f>
        <v>6</v>
      </c>
      <c r="K615" s="54"/>
      <c r="L615" s="54"/>
      <c r="M615" s="90"/>
      <c r="N615" s="54">
        <f>SUBTOTAL(9,N616:N645)</f>
        <v>0</v>
      </c>
      <c r="O615" s="90"/>
      <c r="P615" s="90"/>
      <c r="Q615" s="85"/>
      <c r="R615" s="54">
        <f>SUBTOTAL(9,R616:R645)</f>
        <v>0</v>
      </c>
      <c r="S615" s="90"/>
      <c r="T615" s="90"/>
      <c r="U615" s="85"/>
      <c r="V615" s="54">
        <f>SUBTOTAL(9,V616:V645)</f>
        <v>0</v>
      </c>
      <c r="W615" s="54">
        <f>SUBTOTAL(9,W616:W645)</f>
        <v>0</v>
      </c>
      <c r="X615" s="169"/>
      <c r="Y615" s="745"/>
      <c r="Z615" s="54">
        <f>SUBTOTAL(9,Z616:Z645)</f>
        <v>0</v>
      </c>
      <c r="AA615" s="90"/>
      <c r="AB615" s="90"/>
      <c r="AC615" s="54">
        <f>SUBTOTAL(9,AC616:AC645)</f>
        <v>0</v>
      </c>
      <c r="AD615" s="90"/>
      <c r="AE615" s="90"/>
      <c r="AF615" s="54">
        <f>SUBTOTAL(9,AF616:AF645)</f>
        <v>0</v>
      </c>
      <c r="AG615" s="90"/>
      <c r="AH615" s="90"/>
      <c r="AI615" s="169"/>
    </row>
    <row r="616" spans="1:35" ht="15" hidden="1" customHeight="1" outlineLevel="2">
      <c r="A616" s="97"/>
      <c r="B616" s="97" t="s">
        <v>1075</v>
      </c>
      <c r="C616" s="97"/>
      <c r="D616" s="97"/>
      <c r="E616" s="97"/>
      <c r="F616" s="97" t="s">
        <v>1075</v>
      </c>
      <c r="G616" s="40" t="s">
        <v>714</v>
      </c>
      <c r="H616" s="78">
        <f>SUBTOTAL(9,H617:H641)</f>
        <v>4</v>
      </c>
      <c r="I616" s="68">
        <f t="shared" si="198"/>
        <v>6</v>
      </c>
      <c r="J616" s="55">
        <f>SUBTOTAL(9,J617:J641)</f>
        <v>6</v>
      </c>
      <c r="K616" s="55"/>
      <c r="L616" s="55"/>
      <c r="M616" s="84"/>
      <c r="N616" s="55">
        <f>SUBTOTAL(9,N617:N641)</f>
        <v>0</v>
      </c>
      <c r="O616" s="91"/>
      <c r="P616" s="91"/>
      <c r="Q616" s="84"/>
      <c r="R616" s="55">
        <f>SUBTOTAL(9,R617:R641)</f>
        <v>0</v>
      </c>
      <c r="S616" s="91"/>
      <c r="T616" s="91"/>
      <c r="U616" s="84"/>
      <c r="V616" s="55">
        <f>SUBTOTAL(9,V617:V641)</f>
        <v>0</v>
      </c>
      <c r="W616" s="55">
        <f>SUBTOTAL(9,W617:W641)</f>
        <v>0</v>
      </c>
      <c r="X616" s="170"/>
      <c r="Y616" s="745"/>
      <c r="Z616" s="55">
        <f>SUBTOTAL(9,Z617:Z641)</f>
        <v>0</v>
      </c>
      <c r="AA616" s="91"/>
      <c r="AB616" s="91"/>
      <c r="AC616" s="55">
        <f>SUBTOTAL(9,AC617:AC641)</f>
        <v>0</v>
      </c>
      <c r="AD616" s="91"/>
      <c r="AE616" s="91"/>
      <c r="AF616" s="55">
        <f>SUBTOTAL(9,AF617:AF641)</f>
        <v>0</v>
      </c>
      <c r="AG616" s="91"/>
      <c r="AH616" s="91"/>
      <c r="AI616" s="170"/>
    </row>
    <row r="617" spans="1:35" ht="15" hidden="1" customHeight="1" outlineLevel="3">
      <c r="A617" s="93">
        <v>203000</v>
      </c>
      <c r="B617" s="93">
        <v>3486</v>
      </c>
      <c r="C617" s="93"/>
      <c r="D617" s="93"/>
      <c r="E617" s="93" t="s">
        <v>2960</v>
      </c>
      <c r="F617" s="93" t="s">
        <v>5208</v>
      </c>
      <c r="G617" s="37" t="s">
        <v>173</v>
      </c>
      <c r="H617" s="583">
        <f>IFERROR(VLOOKUP(A617,'Colar QL'!A:C,3,0),0)</f>
        <v>1</v>
      </c>
      <c r="I617" s="69">
        <f t="shared" si="198"/>
        <v>1</v>
      </c>
      <c r="J617" s="258">
        <f>'BD Temp'!E933</f>
        <v>1</v>
      </c>
      <c r="K617" s="590" t="str">
        <f t="shared" ref="K617:K641" si="205">F617&amp;L617</f>
        <v>47.0284.1.2.17.00.01.039.01.10.01.1</v>
      </c>
      <c r="L617" s="579" t="s">
        <v>1996</v>
      </c>
      <c r="M617" s="256">
        <f>'BD Temp'!F933</f>
        <v>0.78888888888888886</v>
      </c>
      <c r="N617" s="255">
        <f>'BD Temp'!J933</f>
        <v>0</v>
      </c>
      <c r="O617" s="592" t="str">
        <f t="shared" ref="O617:O641" si="206">F617&amp;P617</f>
        <v>47.0284.1.2.17.00.01.039.01.10.01.2</v>
      </c>
      <c r="P617" s="578" t="s">
        <v>1998</v>
      </c>
      <c r="Q617" s="256" t="str">
        <f>'BD Temp'!K933</f>
        <v>-</v>
      </c>
      <c r="R617" s="255">
        <f>'BD Temp'!O933</f>
        <v>0</v>
      </c>
      <c r="S617" s="592" t="str">
        <f t="shared" ref="S617:S641" si="207">F617&amp;T617</f>
        <v>47.0284.1.2.17.00.01.039.01.10.01.3</v>
      </c>
      <c r="T617" s="578" t="s">
        <v>2000</v>
      </c>
      <c r="U617" s="256" t="str">
        <f>'BD Temp'!P933</f>
        <v>-</v>
      </c>
      <c r="V617" s="764"/>
      <c r="W617" s="767"/>
      <c r="X617" s="158" t="s">
        <v>2879</v>
      </c>
      <c r="Y617" s="745"/>
      <c r="Z617" s="741">
        <v>0</v>
      </c>
      <c r="AA617" s="592" t="str">
        <f t="shared" ref="AA617:AA641" si="208">F617&amp;AB617</f>
        <v>47.0284.1.2.17.00.01.039.01.10.01.1</v>
      </c>
      <c r="AB617" s="739" t="s">
        <v>1996</v>
      </c>
      <c r="AC617" s="738">
        <v>0</v>
      </c>
      <c r="AD617" s="592" t="str">
        <f t="shared" ref="AD617:AD641" si="209">F617&amp;AE617</f>
        <v>47.0284.1.2.17.00.01.039.01.10.01.2</v>
      </c>
      <c r="AE617" s="739" t="s">
        <v>1998</v>
      </c>
      <c r="AF617" s="738">
        <v>0</v>
      </c>
      <c r="AG617" s="592" t="str">
        <f t="shared" ref="AG617:AG641" si="210">F617&amp;AH617</f>
        <v>47.0284.1.2.17.00.01.039.01.10.01.3</v>
      </c>
      <c r="AH617" s="739" t="s">
        <v>2000</v>
      </c>
      <c r="AI617" s="158"/>
    </row>
    <row r="618" spans="1:35" ht="15" hidden="1" customHeight="1" outlineLevel="3">
      <c r="A618" s="93">
        <v>203005</v>
      </c>
      <c r="B618" s="93">
        <v>3486</v>
      </c>
      <c r="C618" s="93"/>
      <c r="D618" s="93"/>
      <c r="E618" s="93" t="s">
        <v>2962</v>
      </c>
      <c r="F618" s="93" t="s">
        <v>5209</v>
      </c>
      <c r="G618" s="37" t="s">
        <v>342</v>
      </c>
      <c r="H618" s="583">
        <f>IFERROR(VLOOKUP(A618,'Colar QL'!A:C,3,0),0)</f>
        <v>1</v>
      </c>
      <c r="I618" s="69">
        <f t="shared" si="198"/>
        <v>1</v>
      </c>
      <c r="J618" s="771">
        <f>'BD Temp'!E934</f>
        <v>1</v>
      </c>
      <c r="K618" s="590" t="str">
        <f t="shared" si="205"/>
        <v>47.0284.1.2.17.00.01.039.01.10.04.1</v>
      </c>
      <c r="L618" s="579" t="s">
        <v>1996</v>
      </c>
      <c r="M618" s="256">
        <f>'BD Temp'!F934</f>
        <v>0.84076363636363605</v>
      </c>
      <c r="N618" s="255">
        <f>'BD Temp'!J934</f>
        <v>0</v>
      </c>
      <c r="O618" s="592" t="str">
        <f t="shared" si="206"/>
        <v>47.0284.1.2.17.00.01.039.01.10.04.2</v>
      </c>
      <c r="P618" s="578" t="s">
        <v>1998</v>
      </c>
      <c r="Q618" s="256" t="str">
        <f>'BD Temp'!K934</f>
        <v>-</v>
      </c>
      <c r="R618" s="255">
        <f>'BD Temp'!O934</f>
        <v>0</v>
      </c>
      <c r="S618" s="592" t="str">
        <f t="shared" si="207"/>
        <v>47.0284.1.2.17.00.01.039.01.10.04.3</v>
      </c>
      <c r="T618" s="578" t="s">
        <v>2000</v>
      </c>
      <c r="U618" s="256" t="str">
        <f>'BD Temp'!P934</f>
        <v>-</v>
      </c>
      <c r="V618" s="764"/>
      <c r="W618" s="767"/>
      <c r="X618" s="158"/>
      <c r="Y618" s="745"/>
      <c r="Z618" s="741">
        <v>0</v>
      </c>
      <c r="AA618" s="592" t="str">
        <f t="shared" si="208"/>
        <v>47.0284.1.2.17.00.01.039.01.10.04.1</v>
      </c>
      <c r="AB618" s="739" t="s">
        <v>1996</v>
      </c>
      <c r="AC618" s="738">
        <v>0</v>
      </c>
      <c r="AD618" s="592" t="str">
        <f t="shared" si="209"/>
        <v>47.0284.1.2.17.00.01.039.01.10.04.2</v>
      </c>
      <c r="AE618" s="739" t="s">
        <v>1998</v>
      </c>
      <c r="AF618" s="738">
        <v>0</v>
      </c>
      <c r="AG618" s="592" t="str">
        <f t="shared" si="210"/>
        <v>47.0284.1.2.17.00.01.039.01.10.04.3</v>
      </c>
      <c r="AH618" s="739" t="s">
        <v>2000</v>
      </c>
      <c r="AI618" s="158"/>
    </row>
    <row r="619" spans="1:35" ht="15" hidden="1" customHeight="1" outlineLevel="3">
      <c r="A619" s="93">
        <v>203010</v>
      </c>
      <c r="B619" s="93">
        <v>3486</v>
      </c>
      <c r="C619" s="93"/>
      <c r="D619" s="93"/>
      <c r="E619" s="93" t="s">
        <v>2962</v>
      </c>
      <c r="F619" s="93" t="s">
        <v>5209</v>
      </c>
      <c r="G619" s="37" t="s">
        <v>174</v>
      </c>
      <c r="H619" s="583">
        <f>IFERROR(VLOOKUP(A619,'Colar QL'!A:C,3,0),0)</f>
        <v>0</v>
      </c>
      <c r="I619" s="69">
        <f t="shared" si="198"/>
        <v>0</v>
      </c>
      <c r="J619" s="258">
        <f>'BD Temp'!E935</f>
        <v>0</v>
      </c>
      <c r="K619" s="590" t="str">
        <f t="shared" si="205"/>
        <v>47.0284.1.2.17.00.01.039.01.10.04.1</v>
      </c>
      <c r="L619" s="579" t="s">
        <v>1996</v>
      </c>
      <c r="M619" s="256" t="str">
        <f>'BD Temp'!F935</f>
        <v>-</v>
      </c>
      <c r="N619" s="255">
        <f>'BD Temp'!J935</f>
        <v>0</v>
      </c>
      <c r="O619" s="592" t="str">
        <f t="shared" si="206"/>
        <v>47.0284.1.2.17.00.01.039.01.10.04.2</v>
      </c>
      <c r="P619" s="578" t="s">
        <v>1998</v>
      </c>
      <c r="Q619" s="256" t="str">
        <f>'BD Temp'!K935</f>
        <v>-</v>
      </c>
      <c r="R619" s="255">
        <f>'BD Temp'!O935</f>
        <v>0</v>
      </c>
      <c r="S619" s="592" t="str">
        <f t="shared" si="207"/>
        <v>47.0284.1.2.17.00.01.039.01.10.04.3</v>
      </c>
      <c r="T619" s="578" t="s">
        <v>2000</v>
      </c>
      <c r="U619" s="256" t="str">
        <f>'BD Temp'!P935</f>
        <v>-</v>
      </c>
      <c r="V619" s="764"/>
      <c r="W619" s="767"/>
      <c r="X619" s="158"/>
      <c r="Y619" s="745"/>
      <c r="Z619" s="741">
        <v>0</v>
      </c>
      <c r="AA619" s="592" t="str">
        <f t="shared" si="208"/>
        <v>47.0284.1.2.17.00.01.039.01.10.04.1</v>
      </c>
      <c r="AB619" s="739" t="s">
        <v>1996</v>
      </c>
      <c r="AC619" s="738">
        <v>0</v>
      </c>
      <c r="AD619" s="592" t="str">
        <f t="shared" si="209"/>
        <v>47.0284.1.2.17.00.01.039.01.10.04.2</v>
      </c>
      <c r="AE619" s="739" t="s">
        <v>1998</v>
      </c>
      <c r="AF619" s="738">
        <v>0</v>
      </c>
      <c r="AG619" s="592" t="str">
        <f t="shared" si="210"/>
        <v>47.0284.1.2.17.00.01.039.01.10.04.3</v>
      </c>
      <c r="AH619" s="739" t="s">
        <v>2000</v>
      </c>
      <c r="AI619" s="158"/>
    </row>
    <row r="620" spans="1:35" ht="15" hidden="1" customHeight="1" outlineLevel="3">
      <c r="A620" s="93">
        <v>203015</v>
      </c>
      <c r="B620" s="93">
        <v>3486</v>
      </c>
      <c r="C620" s="93"/>
      <c r="D620" s="93"/>
      <c r="E620" s="93" t="s">
        <v>2960</v>
      </c>
      <c r="F620" s="93" t="s">
        <v>5208</v>
      </c>
      <c r="G620" s="37" t="s">
        <v>175</v>
      </c>
      <c r="H620" s="583">
        <f>IFERROR(VLOOKUP(A620,'Colar QL'!A:C,3,0),0)</f>
        <v>1</v>
      </c>
      <c r="I620" s="69">
        <f t="shared" si="198"/>
        <v>1</v>
      </c>
      <c r="J620" s="771">
        <f>'BD Temp'!E936</f>
        <v>1</v>
      </c>
      <c r="K620" s="590" t="str">
        <f t="shared" si="205"/>
        <v>47.0284.1.2.17.00.01.039.01.10.01.1</v>
      </c>
      <c r="L620" s="579" t="s">
        <v>1996</v>
      </c>
      <c r="M620" s="256">
        <f>'BD Temp'!F936</f>
        <v>0.84076363636363605</v>
      </c>
      <c r="N620" s="255">
        <f>'BD Temp'!J936</f>
        <v>0</v>
      </c>
      <c r="O620" s="592" t="str">
        <f t="shared" si="206"/>
        <v>47.0284.1.2.17.00.01.039.01.10.01.2</v>
      </c>
      <c r="P620" s="578" t="s">
        <v>1998</v>
      </c>
      <c r="Q620" s="256" t="str">
        <f>'BD Temp'!K936</f>
        <v>-</v>
      </c>
      <c r="R620" s="255">
        <f>'BD Temp'!O936</f>
        <v>0</v>
      </c>
      <c r="S620" s="592" t="str">
        <f t="shared" si="207"/>
        <v>47.0284.1.2.17.00.01.039.01.10.01.3</v>
      </c>
      <c r="T620" s="578" t="s">
        <v>2000</v>
      </c>
      <c r="U620" s="256" t="str">
        <f>'BD Temp'!P936</f>
        <v>-</v>
      </c>
      <c r="V620" s="764"/>
      <c r="W620" s="767"/>
      <c r="X620" s="158" t="s">
        <v>2880</v>
      </c>
      <c r="Y620" s="745"/>
      <c r="Z620" s="741">
        <v>0</v>
      </c>
      <c r="AA620" s="592" t="str">
        <f t="shared" si="208"/>
        <v>47.0284.1.2.17.00.01.039.01.10.01.1</v>
      </c>
      <c r="AB620" s="739" t="s">
        <v>1996</v>
      </c>
      <c r="AC620" s="738">
        <v>0</v>
      </c>
      <c r="AD620" s="592" t="str">
        <f t="shared" si="209"/>
        <v>47.0284.1.2.17.00.01.039.01.10.01.2</v>
      </c>
      <c r="AE620" s="739" t="s">
        <v>1998</v>
      </c>
      <c r="AF620" s="738">
        <v>0</v>
      </c>
      <c r="AG620" s="592" t="str">
        <f t="shared" si="210"/>
        <v>47.0284.1.2.17.00.01.039.01.10.01.3</v>
      </c>
      <c r="AH620" s="739" t="s">
        <v>2000</v>
      </c>
      <c r="AI620" s="158"/>
    </row>
    <row r="621" spans="1:35" ht="15" hidden="1" customHeight="1" outlineLevel="3">
      <c r="A621" s="93">
        <v>203020</v>
      </c>
      <c r="B621" s="93">
        <v>3486</v>
      </c>
      <c r="C621" s="93"/>
      <c r="D621" s="93"/>
      <c r="E621" s="93" t="s">
        <v>2962</v>
      </c>
      <c r="F621" s="93" t="s">
        <v>5209</v>
      </c>
      <c r="G621" s="37" t="s">
        <v>176</v>
      </c>
      <c r="H621" s="583">
        <f>IFERROR(VLOOKUP(A621,'Colar QL'!A:C,3,0),0)</f>
        <v>0</v>
      </c>
      <c r="I621" s="69">
        <f t="shared" si="198"/>
        <v>0</v>
      </c>
      <c r="J621" s="258">
        <f>'BD Temp'!E937</f>
        <v>0</v>
      </c>
      <c r="K621" s="590" t="str">
        <f t="shared" si="205"/>
        <v>47.0284.1.2.17.00.01.039.01.10.04.1</v>
      </c>
      <c r="L621" s="579" t="s">
        <v>1996</v>
      </c>
      <c r="M621" s="256" t="str">
        <f>'BD Temp'!F937</f>
        <v>-</v>
      </c>
      <c r="N621" s="255">
        <f>'BD Temp'!J937</f>
        <v>0</v>
      </c>
      <c r="O621" s="592" t="str">
        <f t="shared" si="206"/>
        <v>47.0284.1.2.17.00.01.039.01.10.04.2</v>
      </c>
      <c r="P621" s="578" t="s">
        <v>1998</v>
      </c>
      <c r="Q621" s="256" t="str">
        <f>'BD Temp'!K937</f>
        <v>-</v>
      </c>
      <c r="R621" s="255">
        <f>'BD Temp'!O937</f>
        <v>0</v>
      </c>
      <c r="S621" s="592" t="str">
        <f t="shared" si="207"/>
        <v>47.0284.1.2.17.00.01.039.01.10.04.3</v>
      </c>
      <c r="T621" s="578" t="s">
        <v>2000</v>
      </c>
      <c r="U621" s="256" t="str">
        <f>'BD Temp'!P937</f>
        <v>-</v>
      </c>
      <c r="V621" s="764"/>
      <c r="W621" s="767"/>
      <c r="X621" s="158"/>
      <c r="Y621" s="745"/>
      <c r="Z621" s="741">
        <v>0</v>
      </c>
      <c r="AA621" s="592" t="str">
        <f t="shared" si="208"/>
        <v>47.0284.1.2.17.00.01.039.01.10.04.1</v>
      </c>
      <c r="AB621" s="739" t="s">
        <v>1996</v>
      </c>
      <c r="AC621" s="738">
        <v>0</v>
      </c>
      <c r="AD621" s="592" t="str">
        <f t="shared" si="209"/>
        <v>47.0284.1.2.17.00.01.039.01.10.04.2</v>
      </c>
      <c r="AE621" s="739" t="s">
        <v>1998</v>
      </c>
      <c r="AF621" s="738">
        <v>0</v>
      </c>
      <c r="AG621" s="592" t="str">
        <f t="shared" si="210"/>
        <v>47.0284.1.2.17.00.01.039.01.10.04.3</v>
      </c>
      <c r="AH621" s="739" t="s">
        <v>2000</v>
      </c>
      <c r="AI621" s="158"/>
    </row>
    <row r="622" spans="1:35" ht="15" hidden="1" customHeight="1" outlineLevel="3">
      <c r="A622" s="93">
        <v>203025</v>
      </c>
      <c r="B622" s="93">
        <v>3486</v>
      </c>
      <c r="C622" s="93"/>
      <c r="D622" s="93"/>
      <c r="E622" s="93" t="s">
        <v>2962</v>
      </c>
      <c r="F622" s="93" t="s">
        <v>5209</v>
      </c>
      <c r="G622" s="37" t="s">
        <v>177</v>
      </c>
      <c r="H622" s="583">
        <f>IFERROR(VLOOKUP(A622,'Colar QL'!A:C,3,0),0)</f>
        <v>0</v>
      </c>
      <c r="I622" s="69">
        <f t="shared" si="198"/>
        <v>0</v>
      </c>
      <c r="J622" s="258">
        <f>'BD Temp'!E938</f>
        <v>0</v>
      </c>
      <c r="K622" s="590" t="str">
        <f t="shared" si="205"/>
        <v>47.0284.1.2.17.00.01.039.01.10.04.1</v>
      </c>
      <c r="L622" s="579" t="s">
        <v>1996</v>
      </c>
      <c r="M622" s="256" t="str">
        <f>'BD Temp'!F938</f>
        <v>-</v>
      </c>
      <c r="N622" s="255">
        <f>'BD Temp'!J938</f>
        <v>0</v>
      </c>
      <c r="O622" s="592" t="str">
        <f t="shared" si="206"/>
        <v>47.0284.1.2.17.00.01.039.01.10.04.2</v>
      </c>
      <c r="P622" s="578" t="s">
        <v>1998</v>
      </c>
      <c r="Q622" s="256" t="str">
        <f>'BD Temp'!K938</f>
        <v>-</v>
      </c>
      <c r="R622" s="255">
        <f>'BD Temp'!O938</f>
        <v>0</v>
      </c>
      <c r="S622" s="592" t="str">
        <f t="shared" si="207"/>
        <v>47.0284.1.2.17.00.01.039.01.10.04.3</v>
      </c>
      <c r="T622" s="578" t="s">
        <v>2000</v>
      </c>
      <c r="U622" s="256" t="str">
        <f>'BD Temp'!P938</f>
        <v>-</v>
      </c>
      <c r="V622" s="764"/>
      <c r="W622" s="767"/>
      <c r="X622" s="158"/>
      <c r="Y622" s="745"/>
      <c r="Z622" s="741">
        <v>0</v>
      </c>
      <c r="AA622" s="592" t="str">
        <f t="shared" si="208"/>
        <v>47.0284.1.2.17.00.01.039.01.10.04.1</v>
      </c>
      <c r="AB622" s="739" t="s">
        <v>1996</v>
      </c>
      <c r="AC622" s="738">
        <v>0</v>
      </c>
      <c r="AD622" s="592" t="str">
        <f t="shared" si="209"/>
        <v>47.0284.1.2.17.00.01.039.01.10.04.2</v>
      </c>
      <c r="AE622" s="739" t="s">
        <v>1998</v>
      </c>
      <c r="AF622" s="738">
        <v>0</v>
      </c>
      <c r="AG622" s="592" t="str">
        <f t="shared" si="210"/>
        <v>47.0284.1.2.17.00.01.039.01.10.04.3</v>
      </c>
      <c r="AH622" s="739" t="s">
        <v>2000</v>
      </c>
      <c r="AI622" s="158"/>
    </row>
    <row r="623" spans="1:35" ht="15" hidden="1" customHeight="1" outlineLevel="3">
      <c r="A623" s="93">
        <v>203030</v>
      </c>
      <c r="B623" s="93">
        <v>3486</v>
      </c>
      <c r="C623" s="93"/>
      <c r="D623" s="93"/>
      <c r="E623" s="93" t="s">
        <v>2962</v>
      </c>
      <c r="F623" s="93" t="s">
        <v>5209</v>
      </c>
      <c r="G623" s="37" t="s">
        <v>178</v>
      </c>
      <c r="H623" s="583">
        <f>IFERROR(VLOOKUP(A623,'Colar QL'!A:C,3,0),0)</f>
        <v>0</v>
      </c>
      <c r="I623" s="69">
        <f t="shared" si="198"/>
        <v>0</v>
      </c>
      <c r="J623" s="258">
        <f>'BD Temp'!E939</f>
        <v>0</v>
      </c>
      <c r="K623" s="590" t="str">
        <f t="shared" si="205"/>
        <v>47.0284.1.2.17.00.01.039.01.10.04.1</v>
      </c>
      <c r="L623" s="579" t="s">
        <v>1996</v>
      </c>
      <c r="M623" s="256" t="str">
        <f>'BD Temp'!F939</f>
        <v>-</v>
      </c>
      <c r="N623" s="255">
        <f>'BD Temp'!J939</f>
        <v>0</v>
      </c>
      <c r="O623" s="592" t="str">
        <f t="shared" si="206"/>
        <v>47.0284.1.2.17.00.01.039.01.10.04.2</v>
      </c>
      <c r="P623" s="578" t="s">
        <v>1998</v>
      </c>
      <c r="Q623" s="256" t="str">
        <f>'BD Temp'!K939</f>
        <v>-</v>
      </c>
      <c r="R623" s="255">
        <f>'BD Temp'!O939</f>
        <v>0</v>
      </c>
      <c r="S623" s="592" t="str">
        <f t="shared" si="207"/>
        <v>47.0284.1.2.17.00.01.039.01.10.04.3</v>
      </c>
      <c r="T623" s="578" t="s">
        <v>2000</v>
      </c>
      <c r="U623" s="256" t="str">
        <f>'BD Temp'!P939</f>
        <v>-</v>
      </c>
      <c r="V623" s="764"/>
      <c r="W623" s="767"/>
      <c r="X623" s="158"/>
      <c r="Y623" s="745"/>
      <c r="Z623" s="741">
        <v>0</v>
      </c>
      <c r="AA623" s="592" t="str">
        <f t="shared" si="208"/>
        <v>47.0284.1.2.17.00.01.039.01.10.04.1</v>
      </c>
      <c r="AB623" s="739" t="s">
        <v>1996</v>
      </c>
      <c r="AC623" s="738">
        <v>0</v>
      </c>
      <c r="AD623" s="592" t="str">
        <f t="shared" si="209"/>
        <v>47.0284.1.2.17.00.01.039.01.10.04.2</v>
      </c>
      <c r="AE623" s="739" t="s">
        <v>1998</v>
      </c>
      <c r="AF623" s="738">
        <v>0</v>
      </c>
      <c r="AG623" s="592" t="str">
        <f t="shared" si="210"/>
        <v>47.0284.1.2.17.00.01.039.01.10.04.3</v>
      </c>
      <c r="AH623" s="739" t="s">
        <v>2000</v>
      </c>
      <c r="AI623" s="158"/>
    </row>
    <row r="624" spans="1:35" ht="15" hidden="1" customHeight="1" outlineLevel="3">
      <c r="A624" s="93">
        <v>203035</v>
      </c>
      <c r="B624" s="93">
        <v>3486</v>
      </c>
      <c r="C624" s="93"/>
      <c r="D624" s="93"/>
      <c r="E624" s="93" t="s">
        <v>2962</v>
      </c>
      <c r="F624" s="93" t="s">
        <v>5209</v>
      </c>
      <c r="G624" s="37" t="s">
        <v>179</v>
      </c>
      <c r="H624" s="583">
        <f>IFERROR(VLOOKUP(A624,'Colar QL'!A:C,3,0),0)</f>
        <v>0</v>
      </c>
      <c r="I624" s="69">
        <f t="shared" si="198"/>
        <v>0</v>
      </c>
      <c r="J624" s="258">
        <f>'BD Temp'!E940</f>
        <v>0</v>
      </c>
      <c r="K624" s="590" t="str">
        <f t="shared" si="205"/>
        <v>47.0284.1.2.17.00.01.039.01.10.04.1</v>
      </c>
      <c r="L624" s="579" t="s">
        <v>1996</v>
      </c>
      <c r="M624" s="256" t="str">
        <f>'BD Temp'!F940</f>
        <v>-</v>
      </c>
      <c r="N624" s="255">
        <f>'BD Temp'!J940</f>
        <v>0</v>
      </c>
      <c r="O624" s="592" t="str">
        <f t="shared" si="206"/>
        <v>47.0284.1.2.17.00.01.039.01.10.04.2</v>
      </c>
      <c r="P624" s="578" t="s">
        <v>1998</v>
      </c>
      <c r="Q624" s="256" t="str">
        <f>'BD Temp'!K940</f>
        <v>-</v>
      </c>
      <c r="R624" s="255">
        <f>'BD Temp'!O940</f>
        <v>0</v>
      </c>
      <c r="S624" s="592" t="str">
        <f t="shared" si="207"/>
        <v>47.0284.1.2.17.00.01.039.01.10.04.3</v>
      </c>
      <c r="T624" s="578" t="s">
        <v>2000</v>
      </c>
      <c r="U624" s="256" t="str">
        <f>'BD Temp'!P940</f>
        <v>-</v>
      </c>
      <c r="V624" s="764"/>
      <c r="W624" s="767"/>
      <c r="X624" s="158"/>
      <c r="Y624" s="745"/>
      <c r="Z624" s="741">
        <v>0</v>
      </c>
      <c r="AA624" s="592" t="str">
        <f t="shared" si="208"/>
        <v>47.0284.1.2.17.00.01.039.01.10.04.1</v>
      </c>
      <c r="AB624" s="739" t="s">
        <v>1996</v>
      </c>
      <c r="AC624" s="738">
        <v>0</v>
      </c>
      <c r="AD624" s="592" t="str">
        <f t="shared" si="209"/>
        <v>47.0284.1.2.17.00.01.039.01.10.04.2</v>
      </c>
      <c r="AE624" s="739" t="s">
        <v>1998</v>
      </c>
      <c r="AF624" s="738">
        <v>0</v>
      </c>
      <c r="AG624" s="592" t="str">
        <f t="shared" si="210"/>
        <v>47.0284.1.2.17.00.01.039.01.10.04.3</v>
      </c>
      <c r="AH624" s="739" t="s">
        <v>2000</v>
      </c>
      <c r="AI624" s="158"/>
    </row>
    <row r="625" spans="1:35" ht="15" hidden="1" customHeight="1" outlineLevel="3">
      <c r="A625" s="93">
        <v>203040</v>
      </c>
      <c r="B625" s="93">
        <v>3486</v>
      </c>
      <c r="C625" s="93"/>
      <c r="D625" s="93"/>
      <c r="E625" s="93" t="s">
        <v>2962</v>
      </c>
      <c r="F625" s="93" t="s">
        <v>5209</v>
      </c>
      <c r="G625" s="37" t="s">
        <v>180</v>
      </c>
      <c r="H625" s="583">
        <f>IFERROR(VLOOKUP(A625,'Colar QL'!A:C,3,0),0)</f>
        <v>0</v>
      </c>
      <c r="I625" s="69">
        <f t="shared" si="198"/>
        <v>0</v>
      </c>
      <c r="J625" s="258">
        <f>'BD Temp'!E941</f>
        <v>0</v>
      </c>
      <c r="K625" s="590" t="str">
        <f t="shared" si="205"/>
        <v>47.0284.1.2.17.00.01.039.01.10.04.1</v>
      </c>
      <c r="L625" s="579" t="s">
        <v>1996</v>
      </c>
      <c r="M625" s="256" t="str">
        <f>'BD Temp'!F941</f>
        <v>-</v>
      </c>
      <c r="N625" s="255">
        <f>'BD Temp'!J941</f>
        <v>0</v>
      </c>
      <c r="O625" s="592" t="str">
        <f t="shared" si="206"/>
        <v>47.0284.1.2.17.00.01.039.01.10.04.2</v>
      </c>
      <c r="P625" s="578" t="s">
        <v>1998</v>
      </c>
      <c r="Q625" s="256" t="str">
        <f>'BD Temp'!K941</f>
        <v>-</v>
      </c>
      <c r="R625" s="255">
        <f>'BD Temp'!O941</f>
        <v>0</v>
      </c>
      <c r="S625" s="592" t="str">
        <f t="shared" si="207"/>
        <v>47.0284.1.2.17.00.01.039.01.10.04.3</v>
      </c>
      <c r="T625" s="578" t="s">
        <v>2000</v>
      </c>
      <c r="U625" s="256" t="str">
        <f>'BD Temp'!P941</f>
        <v>-</v>
      </c>
      <c r="V625" s="764"/>
      <c r="W625" s="767"/>
      <c r="X625" s="158"/>
      <c r="Y625" s="745"/>
      <c r="Z625" s="741">
        <v>0</v>
      </c>
      <c r="AA625" s="592" t="str">
        <f t="shared" si="208"/>
        <v>47.0284.1.2.17.00.01.039.01.10.04.1</v>
      </c>
      <c r="AB625" s="739" t="s">
        <v>1996</v>
      </c>
      <c r="AC625" s="738">
        <v>0</v>
      </c>
      <c r="AD625" s="592" t="str">
        <f t="shared" si="209"/>
        <v>47.0284.1.2.17.00.01.039.01.10.04.2</v>
      </c>
      <c r="AE625" s="739" t="s">
        <v>1998</v>
      </c>
      <c r="AF625" s="738">
        <v>0</v>
      </c>
      <c r="AG625" s="592" t="str">
        <f t="shared" si="210"/>
        <v>47.0284.1.2.17.00.01.039.01.10.04.3</v>
      </c>
      <c r="AH625" s="739" t="s">
        <v>2000</v>
      </c>
      <c r="AI625" s="158"/>
    </row>
    <row r="626" spans="1:35" ht="15" hidden="1" customHeight="1" outlineLevel="3">
      <c r="A626" s="93">
        <v>203045</v>
      </c>
      <c r="B626" s="93">
        <v>3486</v>
      </c>
      <c r="C626" s="93"/>
      <c r="D626" s="93"/>
      <c r="E626" s="93" t="s">
        <v>2962</v>
      </c>
      <c r="F626" s="93" t="s">
        <v>5209</v>
      </c>
      <c r="G626" s="37" t="s">
        <v>181</v>
      </c>
      <c r="H626" s="583">
        <f>IFERROR(VLOOKUP(A626,'Colar QL'!A:C,3,0),0)</f>
        <v>0</v>
      </c>
      <c r="I626" s="69">
        <f t="shared" si="198"/>
        <v>0</v>
      </c>
      <c r="J626" s="258">
        <f>'BD Temp'!E942</f>
        <v>0</v>
      </c>
      <c r="K626" s="590" t="str">
        <f t="shared" si="205"/>
        <v>47.0284.1.2.17.00.01.039.01.10.04.1</v>
      </c>
      <c r="L626" s="579" t="s">
        <v>1996</v>
      </c>
      <c r="M626" s="256" t="str">
        <f>'BD Temp'!F942</f>
        <v>-</v>
      </c>
      <c r="N626" s="255">
        <f>'BD Temp'!J942</f>
        <v>0</v>
      </c>
      <c r="O626" s="592" t="str">
        <f t="shared" si="206"/>
        <v>47.0284.1.2.17.00.01.039.01.10.04.2</v>
      </c>
      <c r="P626" s="578" t="s">
        <v>1998</v>
      </c>
      <c r="Q626" s="256" t="str">
        <f>'BD Temp'!K942</f>
        <v>-</v>
      </c>
      <c r="R626" s="255">
        <f>'BD Temp'!O942</f>
        <v>0</v>
      </c>
      <c r="S626" s="592" t="str">
        <f t="shared" si="207"/>
        <v>47.0284.1.2.17.00.01.039.01.10.04.3</v>
      </c>
      <c r="T626" s="578" t="s">
        <v>2000</v>
      </c>
      <c r="U626" s="256" t="str">
        <f>'BD Temp'!P942</f>
        <v>-</v>
      </c>
      <c r="V626" s="764"/>
      <c r="W626" s="767"/>
      <c r="X626" s="158"/>
      <c r="Y626" s="745"/>
      <c r="Z626" s="741">
        <v>0</v>
      </c>
      <c r="AA626" s="592" t="str">
        <f t="shared" si="208"/>
        <v>47.0284.1.2.17.00.01.039.01.10.04.1</v>
      </c>
      <c r="AB626" s="739" t="s">
        <v>1996</v>
      </c>
      <c r="AC626" s="738">
        <v>0</v>
      </c>
      <c r="AD626" s="592" t="str">
        <f t="shared" si="209"/>
        <v>47.0284.1.2.17.00.01.039.01.10.04.2</v>
      </c>
      <c r="AE626" s="739" t="s">
        <v>1998</v>
      </c>
      <c r="AF626" s="738">
        <v>0</v>
      </c>
      <c r="AG626" s="592" t="str">
        <f t="shared" si="210"/>
        <v>47.0284.1.2.17.00.01.039.01.10.04.3</v>
      </c>
      <c r="AH626" s="739" t="s">
        <v>2000</v>
      </c>
      <c r="AI626" s="158"/>
    </row>
    <row r="627" spans="1:35" ht="15" hidden="1" customHeight="1" outlineLevel="3">
      <c r="A627" s="93">
        <v>203050</v>
      </c>
      <c r="B627" s="93">
        <v>3486</v>
      </c>
      <c r="C627" s="93"/>
      <c r="D627" s="93"/>
      <c r="E627" s="93" t="s">
        <v>2962</v>
      </c>
      <c r="F627" s="93" t="s">
        <v>5209</v>
      </c>
      <c r="G627" s="37" t="s">
        <v>182</v>
      </c>
      <c r="H627" s="583">
        <f>IFERROR(VLOOKUP(A627,'Colar QL'!A:C,3,0),0)</f>
        <v>0</v>
      </c>
      <c r="I627" s="69">
        <f t="shared" si="198"/>
        <v>0</v>
      </c>
      <c r="J627" s="258">
        <f>'BD Temp'!E943</f>
        <v>0</v>
      </c>
      <c r="K627" s="590" t="str">
        <f t="shared" si="205"/>
        <v>47.0284.1.2.17.00.01.039.01.10.04.1</v>
      </c>
      <c r="L627" s="579" t="s">
        <v>1996</v>
      </c>
      <c r="M627" s="256" t="str">
        <f>'BD Temp'!F943</f>
        <v>-</v>
      </c>
      <c r="N627" s="255">
        <f>'BD Temp'!J943</f>
        <v>0</v>
      </c>
      <c r="O627" s="592" t="str">
        <f t="shared" si="206"/>
        <v>47.0284.1.2.17.00.01.039.01.10.04.2</v>
      </c>
      <c r="P627" s="578" t="s">
        <v>1998</v>
      </c>
      <c r="Q627" s="256" t="str">
        <f>'BD Temp'!K943</f>
        <v>-</v>
      </c>
      <c r="R627" s="255">
        <f>'BD Temp'!O943</f>
        <v>0</v>
      </c>
      <c r="S627" s="592" t="str">
        <f t="shared" si="207"/>
        <v>47.0284.1.2.17.00.01.039.01.10.04.3</v>
      </c>
      <c r="T627" s="578" t="s">
        <v>2000</v>
      </c>
      <c r="U627" s="256" t="str">
        <f>'BD Temp'!P943</f>
        <v>-</v>
      </c>
      <c r="V627" s="764"/>
      <c r="W627" s="767"/>
      <c r="X627" s="158"/>
      <c r="Y627" s="745"/>
      <c r="Z627" s="741">
        <v>0</v>
      </c>
      <c r="AA627" s="592" t="str">
        <f t="shared" si="208"/>
        <v>47.0284.1.2.17.00.01.039.01.10.04.1</v>
      </c>
      <c r="AB627" s="739" t="s">
        <v>1996</v>
      </c>
      <c r="AC627" s="738">
        <v>0</v>
      </c>
      <c r="AD627" s="592" t="str">
        <f t="shared" si="209"/>
        <v>47.0284.1.2.17.00.01.039.01.10.04.2</v>
      </c>
      <c r="AE627" s="739" t="s">
        <v>1998</v>
      </c>
      <c r="AF627" s="738">
        <v>0</v>
      </c>
      <c r="AG627" s="592" t="str">
        <f t="shared" si="210"/>
        <v>47.0284.1.2.17.00.01.039.01.10.04.3</v>
      </c>
      <c r="AH627" s="739" t="s">
        <v>2000</v>
      </c>
      <c r="AI627" s="158"/>
    </row>
    <row r="628" spans="1:35" s="26" customFormat="1" ht="15" hidden="1" customHeight="1" outlineLevel="3">
      <c r="A628" s="93">
        <v>203055</v>
      </c>
      <c r="B628" s="93">
        <v>3486</v>
      </c>
      <c r="C628" s="93"/>
      <c r="D628" s="93"/>
      <c r="E628" s="93" t="s">
        <v>2962</v>
      </c>
      <c r="F628" s="93" t="s">
        <v>5209</v>
      </c>
      <c r="G628" s="37" t="s">
        <v>58</v>
      </c>
      <c r="H628" s="583">
        <f>IFERROR(VLOOKUP(A628,'Colar QL'!A:C,3,0),0)</f>
        <v>0</v>
      </c>
      <c r="I628" s="69">
        <f t="shared" si="198"/>
        <v>0</v>
      </c>
      <c r="J628" s="258">
        <f>'BD Temp'!E944</f>
        <v>0</v>
      </c>
      <c r="K628" s="590" t="str">
        <f t="shared" si="205"/>
        <v>47.0284.1.2.17.00.01.039.01.10.04.1</v>
      </c>
      <c r="L628" s="579" t="s">
        <v>1996</v>
      </c>
      <c r="M628" s="256" t="str">
        <f>'BD Temp'!F944</f>
        <v>-</v>
      </c>
      <c r="N628" s="255">
        <f>'BD Temp'!J944</f>
        <v>0</v>
      </c>
      <c r="O628" s="592" t="str">
        <f t="shared" si="206"/>
        <v>47.0284.1.2.17.00.01.039.01.10.04.2</v>
      </c>
      <c r="P628" s="578" t="s">
        <v>1998</v>
      </c>
      <c r="Q628" s="256" t="str">
        <f>'BD Temp'!K944</f>
        <v>-</v>
      </c>
      <c r="R628" s="255">
        <f>'BD Temp'!O944</f>
        <v>0</v>
      </c>
      <c r="S628" s="592" t="str">
        <f t="shared" si="207"/>
        <v>47.0284.1.2.17.00.01.039.01.10.04.3</v>
      </c>
      <c r="T628" s="578" t="s">
        <v>2000</v>
      </c>
      <c r="U628" s="256" t="str">
        <f>'BD Temp'!P944</f>
        <v>-</v>
      </c>
      <c r="V628" s="764"/>
      <c r="W628" s="767"/>
      <c r="X628" s="158"/>
      <c r="Y628" s="745"/>
      <c r="Z628" s="741">
        <v>0</v>
      </c>
      <c r="AA628" s="592" t="str">
        <f t="shared" si="208"/>
        <v>47.0284.1.2.17.00.01.039.01.10.04.1</v>
      </c>
      <c r="AB628" s="739" t="s">
        <v>1996</v>
      </c>
      <c r="AC628" s="738">
        <v>0</v>
      </c>
      <c r="AD628" s="592" t="str">
        <f t="shared" si="209"/>
        <v>47.0284.1.2.17.00.01.039.01.10.04.2</v>
      </c>
      <c r="AE628" s="739" t="s">
        <v>1998</v>
      </c>
      <c r="AF628" s="738">
        <v>0</v>
      </c>
      <c r="AG628" s="592" t="str">
        <f t="shared" si="210"/>
        <v>47.0284.1.2.17.00.01.039.01.10.04.3</v>
      </c>
      <c r="AH628" s="739" t="s">
        <v>2000</v>
      </c>
      <c r="AI628" s="158"/>
    </row>
    <row r="629" spans="1:35" ht="15" hidden="1" customHeight="1" outlineLevel="3">
      <c r="A629" s="93">
        <v>64</v>
      </c>
      <c r="B629" s="93">
        <v>3486</v>
      </c>
      <c r="C629" s="93"/>
      <c r="D629" s="93"/>
      <c r="E629" s="93" t="s">
        <v>2963</v>
      </c>
      <c r="F629" s="93" t="s">
        <v>5210</v>
      </c>
      <c r="G629" s="37" t="s">
        <v>679</v>
      </c>
      <c r="H629" s="583">
        <f>IFERROR(VLOOKUP(A629,'Colar QL'!A:C,3,0),0)</f>
        <v>1</v>
      </c>
      <c r="I629" s="69">
        <f t="shared" si="198"/>
        <v>1</v>
      </c>
      <c r="J629" s="258">
        <f>'BD Temp'!E945</f>
        <v>1</v>
      </c>
      <c r="K629" s="590" t="str">
        <f t="shared" si="205"/>
        <v>47.0284.1.2.17.00.01.039.01.10.12.1</v>
      </c>
      <c r="L629" s="579" t="s">
        <v>1996</v>
      </c>
      <c r="M629" s="256">
        <f>'BD Temp'!F945</f>
        <v>0.39444444444444443</v>
      </c>
      <c r="N629" s="255">
        <f>'BD Temp'!J945</f>
        <v>0</v>
      </c>
      <c r="O629" s="592" t="str">
        <f t="shared" si="206"/>
        <v>47.0284.1.2.17.00.01.039.01.10.12.2</v>
      </c>
      <c r="P629" s="578" t="s">
        <v>1998</v>
      </c>
      <c r="Q629" s="256" t="str">
        <f>'BD Temp'!K945</f>
        <v>-</v>
      </c>
      <c r="R629" s="255">
        <f>'BD Temp'!O945</f>
        <v>0</v>
      </c>
      <c r="S629" s="592" t="str">
        <f t="shared" si="207"/>
        <v>47.0284.1.2.17.00.01.039.01.10.12.3</v>
      </c>
      <c r="T629" s="578" t="s">
        <v>2000</v>
      </c>
      <c r="U629" s="256" t="str">
        <f>'BD Temp'!P945</f>
        <v>-</v>
      </c>
      <c r="V629" s="764"/>
      <c r="W629" s="767"/>
      <c r="X629" s="158"/>
      <c r="Y629" s="745"/>
      <c r="Z629" s="741">
        <v>0</v>
      </c>
      <c r="AA629" s="592" t="str">
        <f t="shared" si="208"/>
        <v>47.0284.1.2.17.00.01.039.01.10.12.1</v>
      </c>
      <c r="AB629" s="739" t="s">
        <v>1996</v>
      </c>
      <c r="AC629" s="738">
        <v>0</v>
      </c>
      <c r="AD629" s="592" t="str">
        <f t="shared" si="209"/>
        <v>47.0284.1.2.17.00.01.039.01.10.12.2</v>
      </c>
      <c r="AE629" s="739" t="s">
        <v>1998</v>
      </c>
      <c r="AF629" s="738">
        <v>0</v>
      </c>
      <c r="AG629" s="592" t="str">
        <f t="shared" si="210"/>
        <v>47.0284.1.2.17.00.01.039.01.10.12.3</v>
      </c>
      <c r="AH629" s="739" t="s">
        <v>2000</v>
      </c>
      <c r="AI629" s="158"/>
    </row>
    <row r="630" spans="1:35" ht="15" hidden="1" customHeight="1" outlineLevel="3">
      <c r="A630" s="93">
        <v>65</v>
      </c>
      <c r="B630" s="93" t="s">
        <v>1075</v>
      </c>
      <c r="C630" s="93"/>
      <c r="D630" s="93"/>
      <c r="E630" s="93"/>
      <c r="F630" s="93" t="s">
        <v>1075</v>
      </c>
      <c r="G630" s="37" t="s">
        <v>14</v>
      </c>
      <c r="H630" s="583">
        <f>IFERROR(VLOOKUP(A630,'Colar QL'!A:C,3,0),0)</f>
        <v>0</v>
      </c>
      <c r="I630" s="69">
        <f t="shared" si="198"/>
        <v>0</v>
      </c>
      <c r="J630" s="258">
        <f>'BD Temp'!E946</f>
        <v>0</v>
      </c>
      <c r="K630" s="590" t="str">
        <f t="shared" si="205"/>
        <v>.1</v>
      </c>
      <c r="L630" s="579" t="s">
        <v>1996</v>
      </c>
      <c r="M630" s="256" t="str">
        <f>'BD Temp'!F946</f>
        <v>-</v>
      </c>
      <c r="N630" s="255">
        <f>'BD Temp'!J946</f>
        <v>0</v>
      </c>
      <c r="O630" s="592" t="str">
        <f t="shared" si="206"/>
        <v>.2</v>
      </c>
      <c r="P630" s="578" t="s">
        <v>1998</v>
      </c>
      <c r="Q630" s="256" t="str">
        <f>'BD Temp'!K946</f>
        <v>-</v>
      </c>
      <c r="R630" s="255">
        <f>'BD Temp'!O946</f>
        <v>0</v>
      </c>
      <c r="S630" s="592" t="str">
        <f t="shared" si="207"/>
        <v>.3</v>
      </c>
      <c r="T630" s="578" t="s">
        <v>2000</v>
      </c>
      <c r="U630" s="256" t="str">
        <f>'BD Temp'!P946</f>
        <v>-</v>
      </c>
      <c r="V630" s="764"/>
      <c r="W630" s="767"/>
      <c r="X630" s="158"/>
      <c r="Y630" s="745"/>
      <c r="Z630" s="741">
        <v>0</v>
      </c>
      <c r="AA630" s="592" t="str">
        <f t="shared" si="208"/>
        <v>.1</v>
      </c>
      <c r="AB630" s="739" t="s">
        <v>1996</v>
      </c>
      <c r="AC630" s="738">
        <v>0</v>
      </c>
      <c r="AD630" s="592" t="str">
        <f t="shared" si="209"/>
        <v>.2</v>
      </c>
      <c r="AE630" s="739" t="s">
        <v>1998</v>
      </c>
      <c r="AF630" s="738">
        <v>0</v>
      </c>
      <c r="AG630" s="592" t="str">
        <f t="shared" si="210"/>
        <v>.3</v>
      </c>
      <c r="AH630" s="739" t="s">
        <v>2000</v>
      </c>
      <c r="AI630" s="158"/>
    </row>
    <row r="631" spans="1:35" ht="15" hidden="1" customHeight="1" outlineLevel="3">
      <c r="A631" s="93">
        <v>66</v>
      </c>
      <c r="B631" s="93" t="s">
        <v>1075</v>
      </c>
      <c r="C631" s="93"/>
      <c r="D631" s="93"/>
      <c r="E631" s="93" t="s">
        <v>2960</v>
      </c>
      <c r="F631" s="93" t="s">
        <v>5208</v>
      </c>
      <c r="G631" s="37" t="s">
        <v>5393</v>
      </c>
      <c r="H631" s="583">
        <f>IFERROR(VLOOKUP(A631,'Colar QL'!A:C,3,0),0)</f>
        <v>0</v>
      </c>
      <c r="I631" s="69">
        <f t="shared" si="198"/>
        <v>2</v>
      </c>
      <c r="J631" s="258">
        <f>'BD Temp'!E947</f>
        <v>2</v>
      </c>
      <c r="K631" s="590" t="str">
        <f t="shared" si="205"/>
        <v>47.0284.1.2.17.00.01.039.01.10.01.1</v>
      </c>
      <c r="L631" s="579" t="s">
        <v>1996</v>
      </c>
      <c r="M631" s="256" t="str">
        <f>'BD Temp'!F947</f>
        <v>-</v>
      </c>
      <c r="N631" s="255">
        <f>'BD Temp'!J947</f>
        <v>0</v>
      </c>
      <c r="O631" s="592" t="str">
        <f t="shared" si="206"/>
        <v>47.0284.1.2.17.00.01.039.01.10.01.2</v>
      </c>
      <c r="P631" s="578" t="s">
        <v>1998</v>
      </c>
      <c r="Q631" s="256" t="str">
        <f>'BD Temp'!K947</f>
        <v>-</v>
      </c>
      <c r="R631" s="255">
        <f>'BD Temp'!O947</f>
        <v>0</v>
      </c>
      <c r="S631" s="592" t="str">
        <f t="shared" si="207"/>
        <v>47.0284.1.2.17.00.01.039.01.10.01.3</v>
      </c>
      <c r="T631" s="578" t="s">
        <v>2000</v>
      </c>
      <c r="U631" s="256" t="str">
        <f>'BD Temp'!P947</f>
        <v>-</v>
      </c>
      <c r="V631" s="764"/>
      <c r="W631" s="767"/>
      <c r="X631" s="158"/>
      <c r="Y631" s="745"/>
      <c r="Z631" s="741">
        <v>0</v>
      </c>
      <c r="AA631" s="592" t="str">
        <f t="shared" si="208"/>
        <v>47.0284.1.2.17.00.01.039.01.10.01.1</v>
      </c>
      <c r="AB631" s="739" t="s">
        <v>1996</v>
      </c>
      <c r="AC631" s="738">
        <v>0</v>
      </c>
      <c r="AD631" s="592" t="str">
        <f t="shared" si="209"/>
        <v>47.0284.1.2.17.00.01.039.01.10.01.2</v>
      </c>
      <c r="AE631" s="739" t="s">
        <v>1998</v>
      </c>
      <c r="AF631" s="738">
        <v>0</v>
      </c>
      <c r="AG631" s="592" t="str">
        <f t="shared" si="210"/>
        <v>47.0284.1.2.17.00.01.039.01.10.01.3</v>
      </c>
      <c r="AH631" s="739" t="s">
        <v>2000</v>
      </c>
      <c r="AI631" s="158"/>
    </row>
    <row r="632" spans="1:35" ht="15" hidden="1" customHeight="1" outlineLevel="3">
      <c r="A632" s="93">
        <v>67</v>
      </c>
      <c r="B632" s="93">
        <v>3486</v>
      </c>
      <c r="C632" s="93"/>
      <c r="D632" s="93"/>
      <c r="E632" s="93" t="s">
        <v>2961</v>
      </c>
      <c r="F632" s="93" t="s">
        <v>5211</v>
      </c>
      <c r="G632" s="37" t="s">
        <v>15</v>
      </c>
      <c r="H632" s="583">
        <f>IFERROR(VLOOKUP(A632,'Colar QL'!A:C,3,0),0)</f>
        <v>0</v>
      </c>
      <c r="I632" s="69">
        <f t="shared" si="198"/>
        <v>0</v>
      </c>
      <c r="J632" s="258">
        <f>'BD Temp'!E948</f>
        <v>0</v>
      </c>
      <c r="K632" s="590" t="str">
        <f t="shared" si="205"/>
        <v>47.0284.1.2.17.00.01.039.01.10.02.1</v>
      </c>
      <c r="L632" s="579" t="s">
        <v>1996</v>
      </c>
      <c r="M632" s="256" t="str">
        <f>'BD Temp'!F948</f>
        <v>-</v>
      </c>
      <c r="N632" s="255">
        <f>'BD Temp'!J948</f>
        <v>0</v>
      </c>
      <c r="O632" s="592" t="str">
        <f t="shared" si="206"/>
        <v>47.0284.1.2.17.00.01.039.01.10.02.2</v>
      </c>
      <c r="P632" s="578" t="s">
        <v>1998</v>
      </c>
      <c r="Q632" s="256" t="str">
        <f>'BD Temp'!K948</f>
        <v>-</v>
      </c>
      <c r="R632" s="255">
        <f>'BD Temp'!O948</f>
        <v>0</v>
      </c>
      <c r="S632" s="592" t="str">
        <f t="shared" si="207"/>
        <v>47.0284.1.2.17.00.01.039.01.10.02.3</v>
      </c>
      <c r="T632" s="578" t="s">
        <v>2000</v>
      </c>
      <c r="U632" s="256" t="str">
        <f>'BD Temp'!P948</f>
        <v>-</v>
      </c>
      <c r="V632" s="764"/>
      <c r="W632" s="767"/>
      <c r="X632" s="158"/>
      <c r="Y632" s="745"/>
      <c r="Z632" s="741">
        <v>0</v>
      </c>
      <c r="AA632" s="592" t="str">
        <f t="shared" si="208"/>
        <v>47.0284.1.2.17.00.01.039.01.10.02.1</v>
      </c>
      <c r="AB632" s="739" t="s">
        <v>1996</v>
      </c>
      <c r="AC632" s="738">
        <v>0</v>
      </c>
      <c r="AD632" s="592" t="str">
        <f t="shared" si="209"/>
        <v>47.0284.1.2.17.00.01.039.01.10.02.2</v>
      </c>
      <c r="AE632" s="739" t="s">
        <v>1998</v>
      </c>
      <c r="AF632" s="738">
        <v>0</v>
      </c>
      <c r="AG632" s="592" t="str">
        <f t="shared" si="210"/>
        <v>47.0284.1.2.17.00.01.039.01.10.02.3</v>
      </c>
      <c r="AH632" s="739" t="s">
        <v>2000</v>
      </c>
      <c r="AI632" s="158"/>
    </row>
    <row r="633" spans="1:35" ht="15" hidden="1" customHeight="1" outlineLevel="3">
      <c r="A633" s="93">
        <v>68</v>
      </c>
      <c r="B633" s="93">
        <v>3486</v>
      </c>
      <c r="C633" s="93"/>
      <c r="D633" s="93"/>
      <c r="E633" s="93" t="s">
        <v>2962</v>
      </c>
      <c r="F633" s="93" t="s">
        <v>5209</v>
      </c>
      <c r="G633" s="37" t="s">
        <v>130</v>
      </c>
      <c r="H633" s="583">
        <f>IFERROR(VLOOKUP(A633,'Colar QL'!A:C,3,0),0)</f>
        <v>0</v>
      </c>
      <c r="I633" s="69">
        <f t="shared" si="198"/>
        <v>0</v>
      </c>
      <c r="J633" s="258" t="str">
        <f>'BD Temp'!E949</f>
        <v>-</v>
      </c>
      <c r="K633" s="590" t="str">
        <f t="shared" si="205"/>
        <v>47.0284.1.2.17.00.01.039.01.10.04.1</v>
      </c>
      <c r="L633" s="579" t="s">
        <v>1996</v>
      </c>
      <c r="M633" s="256" t="str">
        <f>'BD Temp'!F949</f>
        <v>-</v>
      </c>
      <c r="N633" s="255" t="str">
        <f>'BD Temp'!J949</f>
        <v>-</v>
      </c>
      <c r="O633" s="592" t="str">
        <f t="shared" si="206"/>
        <v>47.0284.1.2.17.00.01.039.01.10.04.2</v>
      </c>
      <c r="P633" s="578" t="s">
        <v>1998</v>
      </c>
      <c r="Q633" s="256" t="str">
        <f>'BD Temp'!K949</f>
        <v>-</v>
      </c>
      <c r="R633" s="255" t="str">
        <f>'BD Temp'!O949</f>
        <v>-</v>
      </c>
      <c r="S633" s="592" t="str">
        <f t="shared" si="207"/>
        <v>47.0284.1.2.17.00.01.039.01.10.04.3</v>
      </c>
      <c r="T633" s="578" t="s">
        <v>2000</v>
      </c>
      <c r="U633" s="256">
        <f>'BD Temp'!P949</f>
        <v>0</v>
      </c>
      <c r="V633" s="764"/>
      <c r="W633" s="767"/>
      <c r="X633" s="158"/>
      <c r="Y633" s="745"/>
      <c r="Z633" s="741">
        <v>0</v>
      </c>
      <c r="AA633" s="592" t="str">
        <f t="shared" si="208"/>
        <v>47.0284.1.2.17.00.01.039.01.10.04.1</v>
      </c>
      <c r="AB633" s="739" t="s">
        <v>1996</v>
      </c>
      <c r="AC633" s="738">
        <v>0</v>
      </c>
      <c r="AD633" s="592" t="str">
        <f t="shared" si="209"/>
        <v>47.0284.1.2.17.00.01.039.01.10.04.2</v>
      </c>
      <c r="AE633" s="739" t="s">
        <v>1998</v>
      </c>
      <c r="AF633" s="738">
        <v>0</v>
      </c>
      <c r="AG633" s="592" t="str">
        <f t="shared" si="210"/>
        <v>47.0284.1.2.17.00.01.039.01.10.04.3</v>
      </c>
      <c r="AH633" s="739" t="s">
        <v>2000</v>
      </c>
      <c r="AI633" s="158"/>
    </row>
    <row r="634" spans="1:35" ht="15" hidden="1" customHeight="1" outlineLevel="3">
      <c r="A634" s="93"/>
      <c r="B634" s="93" t="s">
        <v>1075</v>
      </c>
      <c r="C634" s="93"/>
      <c r="D634" s="93"/>
      <c r="E634" s="93"/>
      <c r="F634" s="93" t="s">
        <v>1075</v>
      </c>
      <c r="G634" s="37"/>
      <c r="H634" s="79"/>
      <c r="I634" s="69">
        <f t="shared" si="198"/>
        <v>0</v>
      </c>
      <c r="J634" s="48"/>
      <c r="K634" s="590" t="str">
        <f t="shared" si="205"/>
        <v>.1</v>
      </c>
      <c r="L634" s="579" t="s">
        <v>1996</v>
      </c>
      <c r="M634" s="74"/>
      <c r="N634" s="49"/>
      <c r="O634" s="592" t="str">
        <f t="shared" si="206"/>
        <v>.2</v>
      </c>
      <c r="P634" s="578" t="s">
        <v>1998</v>
      </c>
      <c r="Q634" s="74"/>
      <c r="R634" s="49"/>
      <c r="S634" s="592" t="str">
        <f t="shared" si="207"/>
        <v>.3</v>
      </c>
      <c r="T634" s="578" t="s">
        <v>2000</v>
      </c>
      <c r="U634" s="74"/>
      <c r="V634" s="764"/>
      <c r="W634" s="764"/>
      <c r="X634" s="158"/>
      <c r="Y634" s="745"/>
      <c r="Z634" s="741">
        <v>0</v>
      </c>
      <c r="AA634" s="592" t="str">
        <f t="shared" si="208"/>
        <v>.1</v>
      </c>
      <c r="AB634" s="739" t="s">
        <v>1996</v>
      </c>
      <c r="AC634" s="738">
        <v>0</v>
      </c>
      <c r="AD634" s="592" t="str">
        <f t="shared" si="209"/>
        <v>.2</v>
      </c>
      <c r="AE634" s="739" t="s">
        <v>1998</v>
      </c>
      <c r="AF634" s="738">
        <v>0</v>
      </c>
      <c r="AG634" s="592" t="str">
        <f t="shared" si="210"/>
        <v>.3</v>
      </c>
      <c r="AH634" s="739" t="s">
        <v>2000</v>
      </c>
      <c r="AI634" s="158"/>
    </row>
    <row r="635" spans="1:35" ht="15" hidden="1" customHeight="1" outlineLevel="3">
      <c r="A635" s="99"/>
      <c r="B635" s="99" t="s">
        <v>1075</v>
      </c>
      <c r="C635" s="99"/>
      <c r="D635" s="99"/>
      <c r="E635" s="99"/>
      <c r="F635" s="99" t="s">
        <v>1075</v>
      </c>
      <c r="G635" s="39" t="s">
        <v>723</v>
      </c>
      <c r="H635" s="79"/>
      <c r="I635" s="69">
        <f t="shared" si="198"/>
        <v>0</v>
      </c>
      <c r="J635" s="48"/>
      <c r="K635" s="590" t="str">
        <f t="shared" si="205"/>
        <v>.1</v>
      </c>
      <c r="L635" s="579" t="s">
        <v>1996</v>
      </c>
      <c r="M635" s="74"/>
      <c r="N635" s="49"/>
      <c r="O635" s="592" t="str">
        <f t="shared" si="206"/>
        <v>.2</v>
      </c>
      <c r="P635" s="578" t="s">
        <v>1998</v>
      </c>
      <c r="Q635" s="74"/>
      <c r="R635" s="49"/>
      <c r="S635" s="592" t="str">
        <f t="shared" si="207"/>
        <v>.3</v>
      </c>
      <c r="T635" s="578" t="s">
        <v>2000</v>
      </c>
      <c r="U635" s="74"/>
      <c r="V635" s="764"/>
      <c r="W635" s="764"/>
      <c r="X635" s="158"/>
      <c r="Y635" s="745"/>
      <c r="Z635" s="741">
        <v>0</v>
      </c>
      <c r="AA635" s="592" t="str">
        <f t="shared" si="208"/>
        <v>.1</v>
      </c>
      <c r="AB635" s="739" t="s">
        <v>1996</v>
      </c>
      <c r="AC635" s="738">
        <v>0</v>
      </c>
      <c r="AD635" s="592" t="str">
        <f t="shared" si="209"/>
        <v>.2</v>
      </c>
      <c r="AE635" s="739" t="s">
        <v>1998</v>
      </c>
      <c r="AF635" s="738">
        <v>0</v>
      </c>
      <c r="AG635" s="592" t="str">
        <f t="shared" si="210"/>
        <v>.3</v>
      </c>
      <c r="AH635" s="739" t="s">
        <v>2000</v>
      </c>
      <c r="AI635" s="158"/>
    </row>
    <row r="636" spans="1:35" ht="15" hidden="1" customHeight="1" outlineLevel="3">
      <c r="A636" s="93"/>
      <c r="B636" s="93" t="s">
        <v>1075</v>
      </c>
      <c r="C636" s="93"/>
      <c r="D636" s="93"/>
      <c r="E636" s="93"/>
      <c r="F636" s="93" t="s">
        <v>1075</v>
      </c>
      <c r="G636" s="37"/>
      <c r="H636" s="79"/>
      <c r="I636" s="69">
        <f t="shared" si="198"/>
        <v>0</v>
      </c>
      <c r="J636" s="48"/>
      <c r="K636" s="590" t="str">
        <f t="shared" si="205"/>
        <v>.1</v>
      </c>
      <c r="L636" s="579" t="s">
        <v>1996</v>
      </c>
      <c r="M636" s="74"/>
      <c r="N636" s="49"/>
      <c r="O636" s="592" t="str">
        <f t="shared" si="206"/>
        <v>.2</v>
      </c>
      <c r="P636" s="578" t="s">
        <v>1998</v>
      </c>
      <c r="Q636" s="74"/>
      <c r="R636" s="49"/>
      <c r="S636" s="592" t="str">
        <f t="shared" si="207"/>
        <v>.3</v>
      </c>
      <c r="T636" s="578" t="s">
        <v>2000</v>
      </c>
      <c r="U636" s="74"/>
      <c r="V636" s="764"/>
      <c r="W636" s="764"/>
      <c r="X636" s="158"/>
      <c r="Y636" s="745"/>
      <c r="Z636" s="741">
        <v>0</v>
      </c>
      <c r="AA636" s="592" t="str">
        <f t="shared" si="208"/>
        <v>.1</v>
      </c>
      <c r="AB636" s="739" t="s">
        <v>1996</v>
      </c>
      <c r="AC636" s="738">
        <v>0</v>
      </c>
      <c r="AD636" s="592" t="str">
        <f t="shared" si="209"/>
        <v>.2</v>
      </c>
      <c r="AE636" s="739" t="s">
        <v>1998</v>
      </c>
      <c r="AF636" s="738">
        <v>0</v>
      </c>
      <c r="AG636" s="592" t="str">
        <f t="shared" si="210"/>
        <v>.3</v>
      </c>
      <c r="AH636" s="739" t="s">
        <v>2000</v>
      </c>
      <c r="AI636" s="158"/>
    </row>
    <row r="637" spans="1:35" ht="15" hidden="1" customHeight="1" outlineLevel="3">
      <c r="A637" s="93"/>
      <c r="B637" s="93" t="s">
        <v>1075</v>
      </c>
      <c r="C637" s="93"/>
      <c r="D637" s="93"/>
      <c r="E637" s="93"/>
      <c r="F637" s="93" t="s">
        <v>1075</v>
      </c>
      <c r="G637" s="37"/>
      <c r="H637" s="79"/>
      <c r="I637" s="69">
        <f t="shared" si="198"/>
        <v>0</v>
      </c>
      <c r="J637" s="48"/>
      <c r="K637" s="590" t="str">
        <f t="shared" si="205"/>
        <v>.1</v>
      </c>
      <c r="L637" s="579" t="s">
        <v>1996</v>
      </c>
      <c r="M637" s="74"/>
      <c r="N637" s="49"/>
      <c r="O637" s="592" t="str">
        <f t="shared" si="206"/>
        <v>.2</v>
      </c>
      <c r="P637" s="578" t="s">
        <v>1998</v>
      </c>
      <c r="Q637" s="74"/>
      <c r="R637" s="49"/>
      <c r="S637" s="592" t="str">
        <f t="shared" si="207"/>
        <v>.3</v>
      </c>
      <c r="T637" s="578" t="s">
        <v>2000</v>
      </c>
      <c r="U637" s="74"/>
      <c r="V637" s="764"/>
      <c r="W637" s="764"/>
      <c r="X637" s="158"/>
      <c r="Y637" s="745"/>
      <c r="Z637" s="741">
        <v>0</v>
      </c>
      <c r="AA637" s="592" t="str">
        <f t="shared" si="208"/>
        <v>.1</v>
      </c>
      <c r="AB637" s="739" t="s">
        <v>1996</v>
      </c>
      <c r="AC637" s="738">
        <v>0</v>
      </c>
      <c r="AD637" s="592" t="str">
        <f t="shared" si="209"/>
        <v>.2</v>
      </c>
      <c r="AE637" s="739" t="s">
        <v>1998</v>
      </c>
      <c r="AF637" s="738">
        <v>0</v>
      </c>
      <c r="AG637" s="592" t="str">
        <f t="shared" si="210"/>
        <v>.3</v>
      </c>
      <c r="AH637" s="739" t="s">
        <v>2000</v>
      </c>
      <c r="AI637" s="158"/>
    </row>
    <row r="638" spans="1:35" ht="15" hidden="1" customHeight="1" outlineLevel="3">
      <c r="A638" s="93"/>
      <c r="B638" s="93" t="s">
        <v>1075</v>
      </c>
      <c r="C638" s="93"/>
      <c r="D638" s="93"/>
      <c r="E638" s="93"/>
      <c r="F638" s="93" t="s">
        <v>1075</v>
      </c>
      <c r="G638" s="37"/>
      <c r="H638" s="79"/>
      <c r="I638" s="69">
        <f t="shared" si="198"/>
        <v>0</v>
      </c>
      <c r="J638" s="48"/>
      <c r="K638" s="590" t="str">
        <f t="shared" si="205"/>
        <v>.1</v>
      </c>
      <c r="L638" s="579" t="s">
        <v>1996</v>
      </c>
      <c r="M638" s="74"/>
      <c r="N638" s="49"/>
      <c r="O638" s="592" t="str">
        <f t="shared" si="206"/>
        <v>.2</v>
      </c>
      <c r="P638" s="578" t="s">
        <v>1998</v>
      </c>
      <c r="Q638" s="74"/>
      <c r="R638" s="49"/>
      <c r="S638" s="592" t="str">
        <f t="shared" si="207"/>
        <v>.3</v>
      </c>
      <c r="T638" s="578" t="s">
        <v>2000</v>
      </c>
      <c r="U638" s="74"/>
      <c r="V638" s="764"/>
      <c r="W638" s="764"/>
      <c r="X638" s="158"/>
      <c r="Y638" s="745"/>
      <c r="Z638" s="741">
        <v>0</v>
      </c>
      <c r="AA638" s="592" t="str">
        <f t="shared" si="208"/>
        <v>.1</v>
      </c>
      <c r="AB638" s="739" t="s">
        <v>1996</v>
      </c>
      <c r="AC638" s="738">
        <v>0</v>
      </c>
      <c r="AD638" s="592" t="str">
        <f t="shared" si="209"/>
        <v>.2</v>
      </c>
      <c r="AE638" s="739" t="s">
        <v>1998</v>
      </c>
      <c r="AF638" s="738">
        <v>0</v>
      </c>
      <c r="AG638" s="592" t="str">
        <f t="shared" si="210"/>
        <v>.3</v>
      </c>
      <c r="AH638" s="739" t="s">
        <v>2000</v>
      </c>
      <c r="AI638" s="158"/>
    </row>
    <row r="639" spans="1:35" ht="15" hidden="1" customHeight="1" outlineLevel="3">
      <c r="A639" s="93"/>
      <c r="B639" s="93" t="s">
        <v>1075</v>
      </c>
      <c r="C639" s="93"/>
      <c r="D639" s="93"/>
      <c r="E639" s="93"/>
      <c r="F639" s="93" t="s">
        <v>1075</v>
      </c>
      <c r="G639" s="37"/>
      <c r="H639" s="79"/>
      <c r="I639" s="69">
        <f t="shared" si="198"/>
        <v>0</v>
      </c>
      <c r="J639" s="48"/>
      <c r="K639" s="590" t="str">
        <f t="shared" si="205"/>
        <v>.1</v>
      </c>
      <c r="L639" s="579" t="s">
        <v>1996</v>
      </c>
      <c r="M639" s="74"/>
      <c r="N639" s="49"/>
      <c r="O639" s="592" t="str">
        <f t="shared" si="206"/>
        <v>.2</v>
      </c>
      <c r="P639" s="578" t="s">
        <v>1998</v>
      </c>
      <c r="Q639" s="74"/>
      <c r="R639" s="49"/>
      <c r="S639" s="592" t="str">
        <f t="shared" si="207"/>
        <v>.3</v>
      </c>
      <c r="T639" s="578" t="s">
        <v>2000</v>
      </c>
      <c r="U639" s="74"/>
      <c r="V639" s="764"/>
      <c r="W639" s="764"/>
      <c r="X639" s="158"/>
      <c r="Y639" s="745"/>
      <c r="Z639" s="741">
        <v>0</v>
      </c>
      <c r="AA639" s="592" t="str">
        <f t="shared" si="208"/>
        <v>.1</v>
      </c>
      <c r="AB639" s="739" t="s">
        <v>1996</v>
      </c>
      <c r="AC639" s="738">
        <v>0</v>
      </c>
      <c r="AD639" s="592" t="str">
        <f t="shared" si="209"/>
        <v>.2</v>
      </c>
      <c r="AE639" s="739" t="s">
        <v>1998</v>
      </c>
      <c r="AF639" s="738">
        <v>0</v>
      </c>
      <c r="AG639" s="592" t="str">
        <f t="shared" si="210"/>
        <v>.3</v>
      </c>
      <c r="AH639" s="739" t="s">
        <v>2000</v>
      </c>
      <c r="AI639" s="158"/>
    </row>
    <row r="640" spans="1:35" ht="15" hidden="1" customHeight="1" outlineLevel="3">
      <c r="A640" s="93"/>
      <c r="B640" s="93" t="s">
        <v>1075</v>
      </c>
      <c r="C640" s="93"/>
      <c r="D640" s="93"/>
      <c r="E640" s="93"/>
      <c r="F640" s="93" t="s">
        <v>1075</v>
      </c>
      <c r="G640" s="37"/>
      <c r="H640" s="79"/>
      <c r="I640" s="69">
        <f t="shared" si="198"/>
        <v>0</v>
      </c>
      <c r="J640" s="48"/>
      <c r="K640" s="590" t="str">
        <f t="shared" si="205"/>
        <v>.1</v>
      </c>
      <c r="L640" s="579" t="s">
        <v>1996</v>
      </c>
      <c r="M640" s="74"/>
      <c r="N640" s="49"/>
      <c r="O640" s="592" t="str">
        <f t="shared" si="206"/>
        <v>.2</v>
      </c>
      <c r="P640" s="578" t="s">
        <v>1998</v>
      </c>
      <c r="Q640" s="74"/>
      <c r="R640" s="49"/>
      <c r="S640" s="592" t="str">
        <f t="shared" si="207"/>
        <v>.3</v>
      </c>
      <c r="T640" s="578" t="s">
        <v>2000</v>
      </c>
      <c r="U640" s="74"/>
      <c r="V640" s="764"/>
      <c r="W640" s="764"/>
      <c r="X640" s="158"/>
      <c r="Y640" s="745"/>
      <c r="Z640" s="741">
        <v>0</v>
      </c>
      <c r="AA640" s="592" t="str">
        <f t="shared" si="208"/>
        <v>.1</v>
      </c>
      <c r="AB640" s="739" t="s">
        <v>1996</v>
      </c>
      <c r="AC640" s="738">
        <v>0</v>
      </c>
      <c r="AD640" s="592" t="str">
        <f t="shared" si="209"/>
        <v>.2</v>
      </c>
      <c r="AE640" s="739" t="s">
        <v>1998</v>
      </c>
      <c r="AF640" s="738">
        <v>0</v>
      </c>
      <c r="AG640" s="592" t="str">
        <f t="shared" si="210"/>
        <v>.3</v>
      </c>
      <c r="AH640" s="739" t="s">
        <v>2000</v>
      </c>
      <c r="AI640" s="158"/>
    </row>
    <row r="641" spans="1:35" ht="15" hidden="1" customHeight="1" outlineLevel="3">
      <c r="A641" s="93"/>
      <c r="B641" s="93" t="s">
        <v>1075</v>
      </c>
      <c r="C641" s="93"/>
      <c r="D641" s="93"/>
      <c r="E641" s="93"/>
      <c r="F641" s="93" t="s">
        <v>1075</v>
      </c>
      <c r="G641" s="37"/>
      <c r="H641" s="79"/>
      <c r="I641" s="69">
        <f t="shared" si="198"/>
        <v>0</v>
      </c>
      <c r="J641" s="48"/>
      <c r="K641" s="590" t="str">
        <f t="shared" si="205"/>
        <v>.1</v>
      </c>
      <c r="L641" s="579" t="s">
        <v>1996</v>
      </c>
      <c r="M641" s="74"/>
      <c r="N641" s="49"/>
      <c r="O641" s="592" t="str">
        <f t="shared" si="206"/>
        <v>.2</v>
      </c>
      <c r="P641" s="578" t="s">
        <v>1998</v>
      </c>
      <c r="Q641" s="74"/>
      <c r="R641" s="49"/>
      <c r="S641" s="592" t="str">
        <f t="shared" si="207"/>
        <v>.3</v>
      </c>
      <c r="T641" s="578" t="s">
        <v>2000</v>
      </c>
      <c r="U641" s="74"/>
      <c r="V641" s="764"/>
      <c r="W641" s="764"/>
      <c r="X641" s="158"/>
      <c r="Y641" s="745"/>
      <c r="Z641" s="741">
        <v>0</v>
      </c>
      <c r="AA641" s="592" t="str">
        <f t="shared" si="208"/>
        <v>.1</v>
      </c>
      <c r="AB641" s="739" t="s">
        <v>1996</v>
      </c>
      <c r="AC641" s="738">
        <v>0</v>
      </c>
      <c r="AD641" s="592" t="str">
        <f t="shared" si="209"/>
        <v>.2</v>
      </c>
      <c r="AE641" s="739" t="s">
        <v>1998</v>
      </c>
      <c r="AF641" s="738">
        <v>0</v>
      </c>
      <c r="AG641" s="592" t="str">
        <f t="shared" si="210"/>
        <v>.3</v>
      </c>
      <c r="AH641" s="739" t="s">
        <v>2000</v>
      </c>
      <c r="AI641" s="158"/>
    </row>
    <row r="642" spans="1:35" ht="15" hidden="1" customHeight="1" outlineLevel="2">
      <c r="A642" s="97"/>
      <c r="B642" s="97" t="s">
        <v>1075</v>
      </c>
      <c r="C642" s="97"/>
      <c r="D642" s="97"/>
      <c r="E642" s="97"/>
      <c r="F642" s="97" t="s">
        <v>1075</v>
      </c>
      <c r="G642" s="40" t="s">
        <v>235</v>
      </c>
      <c r="H642" s="78">
        <f>SUBTOTAL(9,H643:H644)</f>
        <v>0</v>
      </c>
      <c r="I642" s="68">
        <f t="shared" si="198"/>
        <v>0</v>
      </c>
      <c r="J642" s="55">
        <f>SUBTOTAL(9,J643)</f>
        <v>0</v>
      </c>
      <c r="K642" s="55"/>
      <c r="L642" s="55"/>
      <c r="M642" s="84"/>
      <c r="N642" s="56">
        <f>SUBTOTAL(9,N643)</f>
        <v>0</v>
      </c>
      <c r="O642" s="84"/>
      <c r="P642" s="84"/>
      <c r="Q642" s="84"/>
      <c r="R642" s="56">
        <f>SUBTOTAL(9,R643)</f>
        <v>0</v>
      </c>
      <c r="S642" s="84"/>
      <c r="T642" s="84"/>
      <c r="U642" s="84"/>
      <c r="V642" s="56">
        <f>SUBTOTAL(9,V643)</f>
        <v>0</v>
      </c>
      <c r="W642" s="56">
        <f>SUBTOTAL(9,W643)</f>
        <v>0</v>
      </c>
      <c r="X642" s="170"/>
      <c r="Y642" s="745"/>
      <c r="Z642" s="55">
        <f>SUBTOTAL(9,Z643)</f>
        <v>0</v>
      </c>
      <c r="AA642" s="84"/>
      <c r="AB642" s="84"/>
      <c r="AC642" s="56">
        <f>SUBTOTAL(9,AC643)</f>
        <v>0</v>
      </c>
      <c r="AD642" s="84"/>
      <c r="AE642" s="84"/>
      <c r="AF642" s="56">
        <f>SUBTOTAL(9,AF643)</f>
        <v>0</v>
      </c>
      <c r="AG642" s="84"/>
      <c r="AH642" s="84"/>
      <c r="AI642" s="170"/>
    </row>
    <row r="643" spans="1:35" ht="15" hidden="1" customHeight="1" outlineLevel="3">
      <c r="A643" s="95">
        <v>69</v>
      </c>
      <c r="B643" s="95">
        <v>3486</v>
      </c>
      <c r="C643" s="95"/>
      <c r="D643" s="95"/>
      <c r="E643" s="774" t="s">
        <v>2962</v>
      </c>
      <c r="F643" s="774" t="s">
        <v>5209</v>
      </c>
      <c r="G643" s="13" t="s">
        <v>3030</v>
      </c>
      <c r="H643" s="583">
        <f>IFERROR(VLOOKUP(A643,'Colar QL'!A:C,3,0),0)</f>
        <v>0</v>
      </c>
      <c r="I643" s="69">
        <f t="shared" si="198"/>
        <v>0</v>
      </c>
      <c r="J643" s="771">
        <f>ROUND(J616*$U$5,0)</f>
        <v>0</v>
      </c>
      <c r="K643" s="590" t="str">
        <f>F643&amp;L643</f>
        <v>47.0284.1.2.17.00.01.039.01.10.04.1</v>
      </c>
      <c r="L643" s="771" t="s">
        <v>1996</v>
      </c>
      <c r="M643" s="772"/>
      <c r="N643" s="770">
        <f>ROUND(N616*$U$5,0)</f>
        <v>0</v>
      </c>
      <c r="O643" s="592" t="str">
        <f>F643&amp;P643</f>
        <v>47.0284.1.2.17.00.01.039.01.10.04.2</v>
      </c>
      <c r="P643" s="772" t="s">
        <v>1998</v>
      </c>
      <c r="Q643" s="772"/>
      <c r="R643" s="770">
        <f>ROUND(R616*$U$5,0)</f>
        <v>0</v>
      </c>
      <c r="S643" s="592" t="str">
        <f>F643&amp;T643</f>
        <v>47.0284.1.2.17.00.01.039.01.10.04.3</v>
      </c>
      <c r="T643" s="772" t="s">
        <v>2000</v>
      </c>
      <c r="U643" s="772"/>
      <c r="V643" s="764"/>
      <c r="W643" s="764"/>
      <c r="X643" s="158"/>
      <c r="Y643" s="745"/>
      <c r="Z643" s="771">
        <f>ROUND(Z616*$U$5,0)</f>
        <v>0</v>
      </c>
      <c r="AA643" s="592" t="str">
        <f>F643&amp;AB643</f>
        <v>47.0284.1.2.17.00.01.039.01.10.04.1</v>
      </c>
      <c r="AB643" s="772" t="s">
        <v>1996</v>
      </c>
      <c r="AC643" s="770">
        <f>ROUND(AC616*$U$5,0)</f>
        <v>0</v>
      </c>
      <c r="AD643" s="592" t="str">
        <f>F643&amp;AE643</f>
        <v>47.0284.1.2.17.00.01.039.01.10.04.2</v>
      </c>
      <c r="AE643" s="772" t="s">
        <v>1998</v>
      </c>
      <c r="AF643" s="770">
        <f>ROUND(AF616*$U$5,0)</f>
        <v>0</v>
      </c>
      <c r="AG643" s="592" t="str">
        <f>F643&amp;AH643</f>
        <v>47.0284.1.2.17.00.01.039.01.10.04.3</v>
      </c>
      <c r="AH643" s="772" t="s">
        <v>2000</v>
      </c>
      <c r="AI643" s="158"/>
    </row>
    <row r="644" spans="1:35" ht="15" hidden="1" customHeight="1" outlineLevel="3">
      <c r="A644" s="95">
        <v>70</v>
      </c>
      <c r="B644" s="95" t="s">
        <v>1075</v>
      </c>
      <c r="C644" s="95"/>
      <c r="D644" s="95"/>
      <c r="E644" s="774"/>
      <c r="F644" s="774" t="s">
        <v>1075</v>
      </c>
      <c r="G644" s="13"/>
      <c r="H644" s="583"/>
      <c r="I644" s="69">
        <f t="shared" si="198"/>
        <v>0</v>
      </c>
      <c r="J644" s="771"/>
      <c r="K644" s="590" t="str">
        <f>F644&amp;L644</f>
        <v>.1</v>
      </c>
      <c r="L644" s="771" t="s">
        <v>1996</v>
      </c>
      <c r="M644" s="772"/>
      <c r="N644" s="770"/>
      <c r="O644" s="592" t="str">
        <f>F644&amp;P644</f>
        <v>.2</v>
      </c>
      <c r="P644" s="772" t="s">
        <v>1998</v>
      </c>
      <c r="Q644" s="772"/>
      <c r="R644" s="770"/>
      <c r="S644" s="592" t="str">
        <f>F644&amp;T644</f>
        <v>.3</v>
      </c>
      <c r="T644" s="772" t="s">
        <v>2000</v>
      </c>
      <c r="U644" s="772"/>
      <c r="V644" s="764"/>
      <c r="W644" s="764"/>
      <c r="X644" s="158"/>
      <c r="Y644" s="745"/>
      <c r="Z644" s="771"/>
      <c r="AA644" s="592" t="str">
        <f>F644&amp;AB644</f>
        <v>.1</v>
      </c>
      <c r="AB644" s="772" t="s">
        <v>1996</v>
      </c>
      <c r="AC644" s="770"/>
      <c r="AD644" s="592" t="str">
        <f>F644&amp;AE644</f>
        <v>.2</v>
      </c>
      <c r="AE644" s="772" t="s">
        <v>1998</v>
      </c>
      <c r="AF644" s="770"/>
      <c r="AG644" s="592" t="str">
        <f>F644&amp;AH644</f>
        <v>.3</v>
      </c>
      <c r="AH644" s="772" t="s">
        <v>2000</v>
      </c>
      <c r="AI644" s="158"/>
    </row>
    <row r="645" spans="1:35" ht="15" hidden="1" customHeight="1" outlineLevel="3">
      <c r="A645" s="95"/>
      <c r="B645" s="95" t="s">
        <v>1075</v>
      </c>
      <c r="C645" s="95"/>
      <c r="D645" s="95"/>
      <c r="E645" s="774"/>
      <c r="F645" s="774" t="s">
        <v>1075</v>
      </c>
      <c r="G645" s="13"/>
      <c r="H645" s="81"/>
      <c r="I645" s="71">
        <f t="shared" si="198"/>
        <v>0</v>
      </c>
      <c r="J645" s="48"/>
      <c r="K645" s="579"/>
      <c r="L645" s="579"/>
      <c r="M645" s="74"/>
      <c r="N645" s="49"/>
      <c r="O645" s="578"/>
      <c r="P645" s="578"/>
      <c r="Q645" s="74"/>
      <c r="R645" s="49"/>
      <c r="S645" s="578"/>
      <c r="T645" s="578"/>
      <c r="U645" s="74"/>
      <c r="V645" s="766"/>
      <c r="W645" s="766"/>
      <c r="X645" s="171"/>
      <c r="Y645" s="745"/>
      <c r="Z645" s="741"/>
      <c r="AA645" s="739"/>
      <c r="AB645" s="739"/>
      <c r="AC645" s="738"/>
      <c r="AD645" s="739"/>
      <c r="AE645" s="739"/>
      <c r="AF645" s="738"/>
      <c r="AG645" s="739"/>
      <c r="AH645" s="739"/>
      <c r="AI645" s="171"/>
    </row>
    <row r="646" spans="1:35">
      <c r="A646" s="100"/>
      <c r="B646" s="100" t="s">
        <v>1075</v>
      </c>
      <c r="C646" s="100"/>
      <c r="D646" s="100"/>
      <c r="E646" s="100"/>
      <c r="F646" s="100" t="s">
        <v>1075</v>
      </c>
      <c r="G646" s="17" t="s">
        <v>724</v>
      </c>
      <c r="H646" s="76">
        <f>ROUND(SUBTOTAL(9,H647:H673),0)</f>
        <v>4</v>
      </c>
      <c r="I646" s="64">
        <f t="shared" si="198"/>
        <v>5</v>
      </c>
      <c r="J646" s="52">
        <f>ROUND(SUBTOTAL(9,J647:J673),0)</f>
        <v>5</v>
      </c>
      <c r="K646" s="52"/>
      <c r="L646" s="52"/>
      <c r="M646" s="86"/>
      <c r="N646" s="52">
        <f>ROUND(SUBTOTAL(9,N647:N673),0)</f>
        <v>0</v>
      </c>
      <c r="O646" s="587"/>
      <c r="P646" s="587"/>
      <c r="Q646" s="86"/>
      <c r="R646" s="52">
        <f>ROUND(SUBTOTAL(9,R647:R673),0)</f>
        <v>0</v>
      </c>
      <c r="S646" s="587"/>
      <c r="T646" s="587"/>
      <c r="U646" s="86"/>
      <c r="V646" s="52">
        <f>ROUND(SUBTOTAL(9,V647:V673),0)</f>
        <v>0</v>
      </c>
      <c r="W646" s="52">
        <f>ROUND(SUBTOTAL(9,W647:W673),0)</f>
        <v>0</v>
      </c>
      <c r="X646" s="168"/>
      <c r="Y646" s="745"/>
      <c r="Z646" s="52">
        <f>ROUND(SUBTOTAL(9,Z647:Z673),0)</f>
        <v>0</v>
      </c>
      <c r="AA646" s="587"/>
      <c r="AB646" s="587"/>
      <c r="AC646" s="52">
        <f>ROUND(SUBTOTAL(9,AC647:AC673),0)</f>
        <v>0</v>
      </c>
      <c r="AD646" s="587"/>
      <c r="AE646" s="587"/>
      <c r="AF646" s="52">
        <f>ROUND(SUBTOTAL(9,AF647:AF673),0)</f>
        <v>0</v>
      </c>
      <c r="AG646" s="587"/>
      <c r="AH646" s="587"/>
      <c r="AI646" s="168"/>
    </row>
    <row r="647" spans="1:35" ht="15" customHeight="1" outlineLevel="1" collapsed="1">
      <c r="A647" s="98"/>
      <c r="B647" s="98" t="s">
        <v>1075</v>
      </c>
      <c r="C647" s="98"/>
      <c r="D647" s="98"/>
      <c r="E647" s="98"/>
      <c r="F647" s="98" t="s">
        <v>1075</v>
      </c>
      <c r="G647" s="35" t="s">
        <v>724</v>
      </c>
      <c r="H647" s="77">
        <f>SUBTOTAL(9,H648:H673)</f>
        <v>4</v>
      </c>
      <c r="I647" s="67">
        <f t="shared" si="198"/>
        <v>5</v>
      </c>
      <c r="J647" s="54">
        <f>SUBTOTAL(9,J648:J673)</f>
        <v>5</v>
      </c>
      <c r="K647" s="54"/>
      <c r="L647" s="54"/>
      <c r="M647" s="85"/>
      <c r="N647" s="54">
        <f>SUBTOTAL(9,N648:N673)</f>
        <v>0</v>
      </c>
      <c r="O647" s="90"/>
      <c r="P647" s="90"/>
      <c r="Q647" s="85"/>
      <c r="R647" s="54">
        <f>SUBTOTAL(9,R648:R673)</f>
        <v>0</v>
      </c>
      <c r="S647" s="90"/>
      <c r="T647" s="90"/>
      <c r="U647" s="85"/>
      <c r="V647" s="54">
        <f>SUBTOTAL(9,V648:V673)</f>
        <v>0</v>
      </c>
      <c r="W647" s="54">
        <f>SUBTOTAL(9,W648:W673)</f>
        <v>0</v>
      </c>
      <c r="X647" s="169"/>
      <c r="Y647" s="745"/>
      <c r="Z647" s="54">
        <f>SUBTOTAL(9,Z648:Z673)</f>
        <v>0</v>
      </c>
      <c r="AA647" s="90"/>
      <c r="AB647" s="90"/>
      <c r="AC647" s="54">
        <f>SUBTOTAL(9,AC648:AC673)</f>
        <v>0</v>
      </c>
      <c r="AD647" s="90"/>
      <c r="AE647" s="90"/>
      <c r="AF647" s="54">
        <f>SUBTOTAL(9,AF648:AF673)</f>
        <v>0</v>
      </c>
      <c r="AG647" s="90"/>
      <c r="AH647" s="90"/>
      <c r="AI647" s="169"/>
    </row>
    <row r="648" spans="1:35" ht="15" hidden="1" customHeight="1" outlineLevel="2">
      <c r="A648" s="97"/>
      <c r="B648" s="97" t="s">
        <v>1075</v>
      </c>
      <c r="C648" s="97"/>
      <c r="D648" s="97"/>
      <c r="E648" s="97"/>
      <c r="F648" s="97" t="s">
        <v>1075</v>
      </c>
      <c r="G648" s="40" t="s">
        <v>714</v>
      </c>
      <c r="H648" s="78">
        <f>SUBTOTAL(9,H649:H669)</f>
        <v>3</v>
      </c>
      <c r="I648" s="68">
        <f t="shared" si="198"/>
        <v>4</v>
      </c>
      <c r="J648" s="55">
        <f>SUBTOTAL(9,J649:J669)</f>
        <v>4</v>
      </c>
      <c r="K648" s="55"/>
      <c r="L648" s="55"/>
      <c r="M648" s="84"/>
      <c r="N648" s="55">
        <f>SUBTOTAL(9,N649:N669)</f>
        <v>0</v>
      </c>
      <c r="O648" s="91"/>
      <c r="P648" s="91"/>
      <c r="Q648" s="84"/>
      <c r="R648" s="55">
        <f>SUBTOTAL(9,R649:R669)</f>
        <v>0</v>
      </c>
      <c r="S648" s="91"/>
      <c r="T648" s="91"/>
      <c r="U648" s="84"/>
      <c r="V648" s="55">
        <f>SUBTOTAL(9,V649:V669)</f>
        <v>0</v>
      </c>
      <c r="W648" s="55">
        <f>SUBTOTAL(9,W649:W669)</f>
        <v>0</v>
      </c>
      <c r="X648" s="170"/>
      <c r="Y648" s="745"/>
      <c r="Z648" s="55">
        <f>SUBTOTAL(9,Z649:Z669)</f>
        <v>0</v>
      </c>
      <c r="AA648" s="91"/>
      <c r="AB648" s="91"/>
      <c r="AC648" s="55">
        <f>SUBTOTAL(9,AC649:AC669)</f>
        <v>0</v>
      </c>
      <c r="AD648" s="91"/>
      <c r="AE648" s="91"/>
      <c r="AF648" s="55">
        <f>SUBTOTAL(9,AF649:AF669)</f>
        <v>0</v>
      </c>
      <c r="AG648" s="91"/>
      <c r="AH648" s="91"/>
      <c r="AI648" s="170"/>
    </row>
    <row r="649" spans="1:35" ht="15" hidden="1" customHeight="1" outlineLevel="3">
      <c r="A649" s="93">
        <v>205000</v>
      </c>
      <c r="B649" s="93">
        <v>3473</v>
      </c>
      <c r="C649" s="93"/>
      <c r="D649" s="93"/>
      <c r="E649" s="93" t="s">
        <v>2964</v>
      </c>
      <c r="F649" s="93" t="s">
        <v>5212</v>
      </c>
      <c r="G649" s="37" t="s">
        <v>131</v>
      </c>
      <c r="H649" s="583">
        <f>IFERROR(VLOOKUP(A649,'Colar QL'!A:C,3,0),0)</f>
        <v>1</v>
      </c>
      <c r="I649" s="69">
        <f t="shared" si="198"/>
        <v>1</v>
      </c>
      <c r="J649" s="258">
        <f>'BD Temp'!E965-1</f>
        <v>1</v>
      </c>
      <c r="K649" s="590" t="str">
        <f t="shared" ref="K649:K669" si="211">F649&amp;L649</f>
        <v>47.0284.1.2.17.00.01.039.01.11.07.1</v>
      </c>
      <c r="L649" s="579" t="s">
        <v>1996</v>
      </c>
      <c r="M649" s="256">
        <f>'BD Temp'!F965</f>
        <v>0.95000000000000007</v>
      </c>
      <c r="N649" s="255">
        <f>'BD Temp'!J965</f>
        <v>0</v>
      </c>
      <c r="O649" s="592" t="str">
        <f t="shared" ref="O649:O669" si="212">F649&amp;P649</f>
        <v>47.0284.1.2.17.00.01.039.01.11.07.2</v>
      </c>
      <c r="P649" s="578" t="s">
        <v>1998</v>
      </c>
      <c r="Q649" s="256" t="str">
        <f>'BD Temp'!K965</f>
        <v>-</v>
      </c>
      <c r="R649" s="255">
        <f>'BD Temp'!O965</f>
        <v>0</v>
      </c>
      <c r="S649" s="592" t="str">
        <f t="shared" ref="S649:S669" si="213">F649&amp;T649</f>
        <v>47.0284.1.2.17.00.01.039.01.11.07.3</v>
      </c>
      <c r="T649" s="578" t="s">
        <v>2000</v>
      </c>
      <c r="U649" s="256" t="str">
        <f>'BD Temp'!P965</f>
        <v>-</v>
      </c>
      <c r="V649" s="764"/>
      <c r="W649" s="767"/>
      <c r="X649" s="158"/>
      <c r="Y649" s="745"/>
      <c r="Z649" s="741">
        <v>0</v>
      </c>
      <c r="AA649" s="592" t="str">
        <f t="shared" ref="AA649:AA669" si="214">F649&amp;AB649</f>
        <v>47.0284.1.2.17.00.01.039.01.11.07.1</v>
      </c>
      <c r="AB649" s="739" t="s">
        <v>1996</v>
      </c>
      <c r="AC649" s="738">
        <v>0</v>
      </c>
      <c r="AD649" s="592" t="str">
        <f t="shared" ref="AD649:AD669" si="215">F649&amp;AE649</f>
        <v>47.0284.1.2.17.00.01.039.01.11.07.2</v>
      </c>
      <c r="AE649" s="739" t="s">
        <v>1998</v>
      </c>
      <c r="AF649" s="738">
        <v>0</v>
      </c>
      <c r="AG649" s="592" t="str">
        <f t="shared" ref="AG649:AG669" si="216">F649&amp;AH649</f>
        <v>47.0284.1.2.17.00.01.039.01.11.07.3</v>
      </c>
      <c r="AH649" s="739" t="s">
        <v>2000</v>
      </c>
      <c r="AI649" s="158"/>
    </row>
    <row r="650" spans="1:35" s="26" customFormat="1" ht="15" hidden="1" customHeight="1" outlineLevel="3">
      <c r="A650" s="153">
        <v>205005</v>
      </c>
      <c r="B650" s="153">
        <v>3473</v>
      </c>
      <c r="C650" s="153"/>
      <c r="D650" s="153"/>
      <c r="E650" s="153" t="s">
        <v>2965</v>
      </c>
      <c r="F650" s="153" t="s">
        <v>5213</v>
      </c>
      <c r="G650" s="37" t="s">
        <v>132</v>
      </c>
      <c r="H650" s="583">
        <f>IFERROR(VLOOKUP(A650,'Colar QL'!A:C,3,0),0)</f>
        <v>0</v>
      </c>
      <c r="I650" s="69">
        <f t="shared" si="198"/>
        <v>0</v>
      </c>
      <c r="J650" s="258">
        <f>'BD Temp'!E966</f>
        <v>0</v>
      </c>
      <c r="K650" s="590" t="str">
        <f t="shared" si="211"/>
        <v>47.0284.1.2.17.00.01.039.01.11.02.1</v>
      </c>
      <c r="L650" s="579" t="s">
        <v>1996</v>
      </c>
      <c r="M650" s="256" t="str">
        <f>'BD Temp'!F966</f>
        <v>-</v>
      </c>
      <c r="N650" s="255">
        <f>'BD Temp'!J966</f>
        <v>0</v>
      </c>
      <c r="O650" s="592" t="str">
        <f t="shared" si="212"/>
        <v>47.0284.1.2.17.00.01.039.01.11.02.2</v>
      </c>
      <c r="P650" s="578" t="s">
        <v>1998</v>
      </c>
      <c r="Q650" s="256" t="str">
        <f>'BD Temp'!K966</f>
        <v>-</v>
      </c>
      <c r="R650" s="255">
        <f>'BD Temp'!O966</f>
        <v>0</v>
      </c>
      <c r="S650" s="592" t="str">
        <f t="shared" si="213"/>
        <v>47.0284.1.2.17.00.01.039.01.11.02.3</v>
      </c>
      <c r="T650" s="578" t="s">
        <v>2000</v>
      </c>
      <c r="U650" s="256" t="str">
        <f>'BD Temp'!P966</f>
        <v>-</v>
      </c>
      <c r="V650" s="764"/>
      <c r="W650" s="767"/>
      <c r="X650" s="158"/>
      <c r="Y650" s="745"/>
      <c r="Z650" s="741">
        <v>0</v>
      </c>
      <c r="AA650" s="592" t="str">
        <f t="shared" si="214"/>
        <v>47.0284.1.2.17.00.01.039.01.11.02.1</v>
      </c>
      <c r="AB650" s="739" t="s">
        <v>1996</v>
      </c>
      <c r="AC650" s="738">
        <v>0</v>
      </c>
      <c r="AD650" s="592" t="str">
        <f t="shared" si="215"/>
        <v>47.0284.1.2.17.00.01.039.01.11.02.2</v>
      </c>
      <c r="AE650" s="739" t="s">
        <v>1998</v>
      </c>
      <c r="AF650" s="738">
        <v>0</v>
      </c>
      <c r="AG650" s="592" t="str">
        <f t="shared" si="216"/>
        <v>47.0284.1.2.17.00.01.039.01.11.02.3</v>
      </c>
      <c r="AH650" s="739" t="s">
        <v>2000</v>
      </c>
      <c r="AI650" s="158"/>
    </row>
    <row r="651" spans="1:35" s="26" customFormat="1" ht="15" hidden="1" customHeight="1" outlineLevel="3">
      <c r="A651" s="93">
        <v>205010</v>
      </c>
      <c r="B651" s="93">
        <v>3473</v>
      </c>
      <c r="C651" s="93"/>
      <c r="D651" s="93"/>
      <c r="E651" s="93" t="s">
        <v>2966</v>
      </c>
      <c r="F651" s="93" t="s">
        <v>5214</v>
      </c>
      <c r="G651" s="37" t="s">
        <v>133</v>
      </c>
      <c r="H651" s="583">
        <f>IFERROR(VLOOKUP(A651,'Colar QL'!A:C,3,0),0)</f>
        <v>1</v>
      </c>
      <c r="I651" s="69">
        <f t="shared" si="198"/>
        <v>1</v>
      </c>
      <c r="J651" s="258">
        <f>'BD Temp'!E967</f>
        <v>1</v>
      </c>
      <c r="K651" s="590" t="str">
        <f t="shared" si="211"/>
        <v>47.0284.1.2.17.00.01.039.01.11.03.1</v>
      </c>
      <c r="L651" s="579" t="s">
        <v>1996</v>
      </c>
      <c r="M651" s="256">
        <f>'BD Temp'!F967</f>
        <v>0.8</v>
      </c>
      <c r="N651" s="255">
        <f>'BD Temp'!J967</f>
        <v>0</v>
      </c>
      <c r="O651" s="592" t="str">
        <f t="shared" si="212"/>
        <v>47.0284.1.2.17.00.01.039.01.11.03.2</v>
      </c>
      <c r="P651" s="578" t="s">
        <v>1998</v>
      </c>
      <c r="Q651" s="256" t="str">
        <f>'BD Temp'!K967</f>
        <v>-</v>
      </c>
      <c r="R651" s="255">
        <f>'BD Temp'!O967</f>
        <v>0</v>
      </c>
      <c r="S651" s="592" t="str">
        <f t="shared" si="213"/>
        <v>47.0284.1.2.17.00.01.039.01.11.03.3</v>
      </c>
      <c r="T651" s="578" t="s">
        <v>2000</v>
      </c>
      <c r="U651" s="256" t="str">
        <f>'BD Temp'!P967</f>
        <v>-</v>
      </c>
      <c r="V651" s="764"/>
      <c r="W651" s="767"/>
      <c r="X651" s="158"/>
      <c r="Y651" s="745"/>
      <c r="Z651" s="741">
        <v>0</v>
      </c>
      <c r="AA651" s="592" t="str">
        <f t="shared" si="214"/>
        <v>47.0284.1.2.17.00.01.039.01.11.03.1</v>
      </c>
      <c r="AB651" s="739" t="s">
        <v>1996</v>
      </c>
      <c r="AC651" s="738">
        <v>0</v>
      </c>
      <c r="AD651" s="592" t="str">
        <f t="shared" si="215"/>
        <v>47.0284.1.2.17.00.01.039.01.11.03.2</v>
      </c>
      <c r="AE651" s="739" t="s">
        <v>1998</v>
      </c>
      <c r="AF651" s="738">
        <v>0</v>
      </c>
      <c r="AG651" s="592" t="str">
        <f t="shared" si="216"/>
        <v>47.0284.1.2.17.00.01.039.01.11.03.3</v>
      </c>
      <c r="AH651" s="739" t="s">
        <v>2000</v>
      </c>
      <c r="AI651" s="158"/>
    </row>
    <row r="652" spans="1:35" ht="15" hidden="1" customHeight="1" outlineLevel="3">
      <c r="A652" s="94">
        <v>205015</v>
      </c>
      <c r="B652" s="94">
        <v>3473</v>
      </c>
      <c r="C652" s="94"/>
      <c r="D652" s="94"/>
      <c r="E652" s="93" t="s">
        <v>2966</v>
      </c>
      <c r="F652" s="93" t="s">
        <v>5214</v>
      </c>
      <c r="G652" s="38" t="s">
        <v>343</v>
      </c>
      <c r="H652" s="583">
        <f>IFERROR(VLOOKUP(A652,'Colar QL'!A:C,3,0),0)</f>
        <v>1</v>
      </c>
      <c r="I652" s="69">
        <f t="shared" si="198"/>
        <v>1</v>
      </c>
      <c r="J652" s="258">
        <f>'BD Temp'!E968</f>
        <v>1</v>
      </c>
      <c r="K652" s="590" t="str">
        <f t="shared" si="211"/>
        <v>47.0284.1.2.17.00.01.039.01.11.03.1</v>
      </c>
      <c r="L652" s="579" t="s">
        <v>1996</v>
      </c>
      <c r="M652" s="256">
        <f>'BD Temp'!F968</f>
        <v>0.95000000000000007</v>
      </c>
      <c r="N652" s="255">
        <v>0</v>
      </c>
      <c r="O652" s="592" t="str">
        <f t="shared" si="212"/>
        <v>47.0284.1.2.17.00.01.039.01.11.03.2</v>
      </c>
      <c r="P652" s="578" t="s">
        <v>1998</v>
      </c>
      <c r="Q652" s="256">
        <f>'BD Temp'!K968</f>
        <v>0.95000000000000007</v>
      </c>
      <c r="R652" s="255">
        <f>'BD Temp'!O968</f>
        <v>0</v>
      </c>
      <c r="S652" s="592" t="str">
        <f t="shared" si="213"/>
        <v>47.0284.1.2.17.00.01.039.01.11.03.3</v>
      </c>
      <c r="T652" s="578" t="s">
        <v>2000</v>
      </c>
      <c r="U652" s="256" t="str">
        <f>'BD Temp'!P968</f>
        <v>-</v>
      </c>
      <c r="V652" s="764"/>
      <c r="W652" s="767"/>
      <c r="X652" s="164"/>
      <c r="Y652" s="746"/>
      <c r="Z652" s="741">
        <v>0</v>
      </c>
      <c r="AA652" s="592" t="str">
        <f t="shared" si="214"/>
        <v>47.0284.1.2.17.00.01.039.01.11.03.1</v>
      </c>
      <c r="AB652" s="739" t="s">
        <v>1996</v>
      </c>
      <c r="AC652" s="738">
        <v>0</v>
      </c>
      <c r="AD652" s="592" t="str">
        <f t="shared" si="215"/>
        <v>47.0284.1.2.17.00.01.039.01.11.03.2</v>
      </c>
      <c r="AE652" s="739" t="s">
        <v>1998</v>
      </c>
      <c r="AF652" s="738">
        <v>0</v>
      </c>
      <c r="AG652" s="592" t="str">
        <f t="shared" si="216"/>
        <v>47.0284.1.2.17.00.01.039.01.11.03.3</v>
      </c>
      <c r="AH652" s="739" t="s">
        <v>2000</v>
      </c>
      <c r="AI652" s="164"/>
    </row>
    <row r="653" spans="1:35" ht="15" hidden="1" customHeight="1" outlineLevel="3">
      <c r="A653" s="93">
        <v>205020</v>
      </c>
      <c r="B653" s="93">
        <v>3473</v>
      </c>
      <c r="C653" s="93"/>
      <c r="D653" s="93"/>
      <c r="E653" s="93" t="s">
        <v>2966</v>
      </c>
      <c r="F653" s="93" t="s">
        <v>5214</v>
      </c>
      <c r="G653" s="37" t="s">
        <v>134</v>
      </c>
      <c r="H653" s="583">
        <f>IFERROR(VLOOKUP(A653,'Colar QL'!A:C,3,0),0)</f>
        <v>0</v>
      </c>
      <c r="I653" s="69">
        <f t="shared" si="198"/>
        <v>0</v>
      </c>
      <c r="J653" s="258">
        <f>'BD Temp'!E969</f>
        <v>0</v>
      </c>
      <c r="K653" s="590" t="str">
        <f t="shared" si="211"/>
        <v>47.0284.1.2.17.00.01.039.01.11.03.1</v>
      </c>
      <c r="L653" s="579" t="s">
        <v>1996</v>
      </c>
      <c r="M653" s="256" t="str">
        <f>'BD Temp'!F969</f>
        <v>-</v>
      </c>
      <c r="N653" s="255">
        <f>'BD Temp'!J969</f>
        <v>0</v>
      </c>
      <c r="O653" s="592" t="str">
        <f t="shared" si="212"/>
        <v>47.0284.1.2.17.00.01.039.01.11.03.2</v>
      </c>
      <c r="P653" s="578" t="s">
        <v>1998</v>
      </c>
      <c r="Q653" s="256" t="str">
        <f>'BD Temp'!K969</f>
        <v>-</v>
      </c>
      <c r="R653" s="255">
        <f>'BD Temp'!O969</f>
        <v>0</v>
      </c>
      <c r="S653" s="592" t="str">
        <f t="shared" si="213"/>
        <v>47.0284.1.2.17.00.01.039.01.11.03.3</v>
      </c>
      <c r="T653" s="578" t="s">
        <v>2000</v>
      </c>
      <c r="U653" s="256" t="str">
        <f>'BD Temp'!P969</f>
        <v>-</v>
      </c>
      <c r="V653" s="764"/>
      <c r="W653" s="767"/>
      <c r="X653" s="158"/>
      <c r="Y653" s="745"/>
      <c r="Z653" s="741">
        <v>0</v>
      </c>
      <c r="AA653" s="592" t="str">
        <f t="shared" si="214"/>
        <v>47.0284.1.2.17.00.01.039.01.11.03.1</v>
      </c>
      <c r="AB653" s="739" t="s">
        <v>1996</v>
      </c>
      <c r="AC653" s="738">
        <v>0</v>
      </c>
      <c r="AD653" s="592" t="str">
        <f t="shared" si="215"/>
        <v>47.0284.1.2.17.00.01.039.01.11.03.2</v>
      </c>
      <c r="AE653" s="739" t="s">
        <v>1998</v>
      </c>
      <c r="AF653" s="738">
        <v>0</v>
      </c>
      <c r="AG653" s="592" t="str">
        <f t="shared" si="216"/>
        <v>47.0284.1.2.17.00.01.039.01.11.03.3</v>
      </c>
      <c r="AH653" s="739" t="s">
        <v>2000</v>
      </c>
      <c r="AI653" s="158"/>
    </row>
    <row r="654" spans="1:35" s="26" customFormat="1" ht="15" hidden="1" customHeight="1" outlineLevel="3">
      <c r="A654" s="93">
        <v>205025</v>
      </c>
      <c r="B654" s="93">
        <v>3473</v>
      </c>
      <c r="C654" s="93"/>
      <c r="D654" s="93"/>
      <c r="E654" s="93" t="s">
        <v>2966</v>
      </c>
      <c r="F654" s="93" t="s">
        <v>5214</v>
      </c>
      <c r="G654" s="37" t="s">
        <v>135</v>
      </c>
      <c r="H654" s="583">
        <f>IFERROR(VLOOKUP(A654,'Colar QL'!A:C,3,0),0)</f>
        <v>0</v>
      </c>
      <c r="I654" s="69">
        <f t="shared" si="198"/>
        <v>0</v>
      </c>
      <c r="J654" s="258">
        <f>'BD Temp'!E970</f>
        <v>0</v>
      </c>
      <c r="K654" s="590" t="str">
        <f t="shared" si="211"/>
        <v>47.0284.1.2.17.00.01.039.01.11.03.1</v>
      </c>
      <c r="L654" s="579" t="s">
        <v>1996</v>
      </c>
      <c r="M654" s="256" t="str">
        <f>'BD Temp'!F970</f>
        <v>-</v>
      </c>
      <c r="N654" s="255">
        <f>'BD Temp'!J970</f>
        <v>0</v>
      </c>
      <c r="O654" s="592" t="str">
        <f t="shared" si="212"/>
        <v>47.0284.1.2.17.00.01.039.01.11.03.2</v>
      </c>
      <c r="P654" s="578" t="s">
        <v>1998</v>
      </c>
      <c r="Q654" s="256" t="str">
        <f>'BD Temp'!K970</f>
        <v>-</v>
      </c>
      <c r="R654" s="255">
        <f>'BD Temp'!O970</f>
        <v>0</v>
      </c>
      <c r="S654" s="592" t="str">
        <f t="shared" si="213"/>
        <v>47.0284.1.2.17.00.01.039.01.11.03.3</v>
      </c>
      <c r="T654" s="578" t="s">
        <v>2000</v>
      </c>
      <c r="U654" s="256" t="str">
        <f>'BD Temp'!P970</f>
        <v>-</v>
      </c>
      <c r="V654" s="764"/>
      <c r="W654" s="767"/>
      <c r="X654" s="158"/>
      <c r="Y654" s="745"/>
      <c r="Z654" s="741">
        <v>0</v>
      </c>
      <c r="AA654" s="592" t="str">
        <f t="shared" si="214"/>
        <v>47.0284.1.2.17.00.01.039.01.11.03.1</v>
      </c>
      <c r="AB654" s="739" t="s">
        <v>1996</v>
      </c>
      <c r="AC654" s="738">
        <v>0</v>
      </c>
      <c r="AD654" s="592" t="str">
        <f t="shared" si="215"/>
        <v>47.0284.1.2.17.00.01.039.01.11.03.2</v>
      </c>
      <c r="AE654" s="739" t="s">
        <v>1998</v>
      </c>
      <c r="AF654" s="738">
        <v>0</v>
      </c>
      <c r="AG654" s="592" t="str">
        <f t="shared" si="216"/>
        <v>47.0284.1.2.17.00.01.039.01.11.03.3</v>
      </c>
      <c r="AH654" s="739" t="s">
        <v>2000</v>
      </c>
      <c r="AI654" s="158"/>
    </row>
    <row r="655" spans="1:35" ht="15" hidden="1" customHeight="1" outlineLevel="3">
      <c r="A655" s="93">
        <v>205030</v>
      </c>
      <c r="B655" s="93">
        <v>3473</v>
      </c>
      <c r="C655" s="93"/>
      <c r="D655" s="93"/>
      <c r="E655" s="93" t="s">
        <v>2967</v>
      </c>
      <c r="F655" s="93" t="s">
        <v>5215</v>
      </c>
      <c r="G655" s="37" t="s">
        <v>136</v>
      </c>
      <c r="H655" s="583">
        <f>IFERROR(VLOOKUP(A655,'Colar QL'!A:C,3,0),0)</f>
        <v>0</v>
      </c>
      <c r="I655" s="69">
        <f t="shared" si="198"/>
        <v>0</v>
      </c>
      <c r="J655" s="258">
        <f>'BD Temp'!E971</f>
        <v>0</v>
      </c>
      <c r="K655" s="590" t="str">
        <f t="shared" si="211"/>
        <v>47.0284.1.2.17.00.01.039.01.11.06.1</v>
      </c>
      <c r="L655" s="579" t="s">
        <v>1996</v>
      </c>
      <c r="M655" s="256" t="str">
        <f>'BD Temp'!F971</f>
        <v>-</v>
      </c>
      <c r="N655" s="255">
        <f>'BD Temp'!J971</f>
        <v>0</v>
      </c>
      <c r="O655" s="592" t="str">
        <f t="shared" si="212"/>
        <v>47.0284.1.2.17.00.01.039.01.11.06.2</v>
      </c>
      <c r="P655" s="578" t="s">
        <v>1998</v>
      </c>
      <c r="Q655" s="256" t="str">
        <f>'BD Temp'!K971</f>
        <v>-</v>
      </c>
      <c r="R655" s="255">
        <f>'BD Temp'!O971</f>
        <v>0</v>
      </c>
      <c r="S655" s="592" t="str">
        <f t="shared" si="213"/>
        <v>47.0284.1.2.17.00.01.039.01.11.06.3</v>
      </c>
      <c r="T655" s="578" t="s">
        <v>2000</v>
      </c>
      <c r="U655" s="256" t="str">
        <f>'BD Temp'!P971</f>
        <v>-</v>
      </c>
      <c r="V655" s="764"/>
      <c r="W655" s="767"/>
      <c r="X655" s="158" t="s">
        <v>2881</v>
      </c>
      <c r="Y655" s="745"/>
      <c r="Z655" s="741">
        <v>0</v>
      </c>
      <c r="AA655" s="592" t="str">
        <f t="shared" si="214"/>
        <v>47.0284.1.2.17.00.01.039.01.11.06.1</v>
      </c>
      <c r="AB655" s="739" t="s">
        <v>1996</v>
      </c>
      <c r="AC655" s="738">
        <v>0</v>
      </c>
      <c r="AD655" s="592" t="str">
        <f t="shared" si="215"/>
        <v>47.0284.1.2.17.00.01.039.01.11.06.2</v>
      </c>
      <c r="AE655" s="739" t="s">
        <v>1998</v>
      </c>
      <c r="AF655" s="738">
        <v>0</v>
      </c>
      <c r="AG655" s="592" t="str">
        <f t="shared" si="216"/>
        <v>47.0284.1.2.17.00.01.039.01.11.06.3</v>
      </c>
      <c r="AH655" s="739" t="s">
        <v>2000</v>
      </c>
      <c r="AI655" s="158"/>
    </row>
    <row r="656" spans="1:35" ht="15" hidden="1" customHeight="1" outlineLevel="3">
      <c r="A656" s="93">
        <v>205035</v>
      </c>
      <c r="B656" s="93">
        <v>3473</v>
      </c>
      <c r="C656" s="93"/>
      <c r="D656" s="93"/>
      <c r="E656" s="93" t="s">
        <v>2968</v>
      </c>
      <c r="F656" s="93" t="s">
        <v>5216</v>
      </c>
      <c r="G656" s="37" t="s">
        <v>137</v>
      </c>
      <c r="H656" s="583">
        <f>IFERROR(VLOOKUP(A656,'Colar QL'!A:C,3,0),0)</f>
        <v>0</v>
      </c>
      <c r="I656" s="69">
        <f t="shared" si="198"/>
        <v>0</v>
      </c>
      <c r="J656" s="258">
        <f>'BD Temp'!E972</f>
        <v>0</v>
      </c>
      <c r="K656" s="590" t="str">
        <f t="shared" si="211"/>
        <v>47.0284.1.2.17.00.01.039.01.11.08.1</v>
      </c>
      <c r="L656" s="579" t="s">
        <v>1996</v>
      </c>
      <c r="M656" s="256" t="str">
        <f>'BD Temp'!F972</f>
        <v>-</v>
      </c>
      <c r="N656" s="255">
        <f>'BD Temp'!J972</f>
        <v>0</v>
      </c>
      <c r="O656" s="592" t="str">
        <f t="shared" si="212"/>
        <v>47.0284.1.2.17.00.01.039.01.11.08.2</v>
      </c>
      <c r="P656" s="578" t="s">
        <v>1998</v>
      </c>
      <c r="Q656" s="256" t="str">
        <f>'BD Temp'!K972</f>
        <v>-</v>
      </c>
      <c r="R656" s="255">
        <f>'BD Temp'!O972</f>
        <v>0</v>
      </c>
      <c r="S656" s="592" t="str">
        <f t="shared" si="213"/>
        <v>47.0284.1.2.17.00.01.039.01.11.08.3</v>
      </c>
      <c r="T656" s="578" t="s">
        <v>2000</v>
      </c>
      <c r="U656" s="256" t="str">
        <f>'BD Temp'!P972</f>
        <v>-</v>
      </c>
      <c r="V656" s="764"/>
      <c r="W656" s="767"/>
      <c r="X656" s="158"/>
      <c r="Y656" s="745"/>
      <c r="Z656" s="741">
        <v>0</v>
      </c>
      <c r="AA656" s="592" t="str">
        <f t="shared" si="214"/>
        <v>47.0284.1.2.17.00.01.039.01.11.08.1</v>
      </c>
      <c r="AB656" s="739" t="s">
        <v>1996</v>
      </c>
      <c r="AC656" s="738">
        <v>0</v>
      </c>
      <c r="AD656" s="592" t="str">
        <f t="shared" si="215"/>
        <v>47.0284.1.2.17.00.01.039.01.11.08.2</v>
      </c>
      <c r="AE656" s="739" t="s">
        <v>1998</v>
      </c>
      <c r="AF656" s="738">
        <v>0</v>
      </c>
      <c r="AG656" s="592" t="str">
        <f t="shared" si="216"/>
        <v>47.0284.1.2.17.00.01.039.01.11.08.3</v>
      </c>
      <c r="AH656" s="739" t="s">
        <v>2000</v>
      </c>
      <c r="AI656" s="158"/>
    </row>
    <row r="657" spans="1:35" ht="15" hidden="1" customHeight="1" outlineLevel="3">
      <c r="A657" s="93">
        <v>205040</v>
      </c>
      <c r="B657" s="93">
        <v>3473</v>
      </c>
      <c r="C657" s="93"/>
      <c r="D657" s="93"/>
      <c r="E657" s="93" t="s">
        <v>2968</v>
      </c>
      <c r="F657" s="93" t="s">
        <v>5216</v>
      </c>
      <c r="G657" s="37" t="s">
        <v>138</v>
      </c>
      <c r="H657" s="583">
        <f>IFERROR(VLOOKUP(A657,'Colar QL'!A:C,3,0),0)</f>
        <v>0</v>
      </c>
      <c r="I657" s="69">
        <f t="shared" si="198"/>
        <v>0</v>
      </c>
      <c r="J657" s="258">
        <f>'BD Temp'!E973</f>
        <v>0</v>
      </c>
      <c r="K657" s="590" t="str">
        <f t="shared" si="211"/>
        <v>47.0284.1.2.17.00.01.039.01.11.08.1</v>
      </c>
      <c r="L657" s="579" t="s">
        <v>1996</v>
      </c>
      <c r="M657" s="256" t="str">
        <f>'BD Temp'!F973</f>
        <v>-</v>
      </c>
      <c r="N657" s="255">
        <f>'BD Temp'!J973</f>
        <v>0</v>
      </c>
      <c r="O657" s="592" t="str">
        <f t="shared" si="212"/>
        <v>47.0284.1.2.17.00.01.039.01.11.08.2</v>
      </c>
      <c r="P657" s="578" t="s">
        <v>1998</v>
      </c>
      <c r="Q657" s="256" t="str">
        <f>'BD Temp'!K973</f>
        <v>-</v>
      </c>
      <c r="R657" s="255">
        <f>'BD Temp'!O973</f>
        <v>0</v>
      </c>
      <c r="S657" s="592" t="str">
        <f t="shared" si="213"/>
        <v>47.0284.1.2.17.00.01.039.01.11.08.3</v>
      </c>
      <c r="T657" s="578" t="s">
        <v>2000</v>
      </c>
      <c r="U657" s="256" t="str">
        <f>'BD Temp'!P973</f>
        <v>-</v>
      </c>
      <c r="V657" s="764"/>
      <c r="W657" s="767"/>
      <c r="X657" s="158"/>
      <c r="Y657" s="745"/>
      <c r="Z657" s="741">
        <v>0</v>
      </c>
      <c r="AA657" s="592" t="str">
        <f t="shared" si="214"/>
        <v>47.0284.1.2.17.00.01.039.01.11.08.1</v>
      </c>
      <c r="AB657" s="739" t="s">
        <v>1996</v>
      </c>
      <c r="AC657" s="738">
        <v>0</v>
      </c>
      <c r="AD657" s="592" t="str">
        <f t="shared" si="215"/>
        <v>47.0284.1.2.17.00.01.039.01.11.08.2</v>
      </c>
      <c r="AE657" s="739" t="s">
        <v>1998</v>
      </c>
      <c r="AF657" s="738">
        <v>0</v>
      </c>
      <c r="AG657" s="592" t="str">
        <f t="shared" si="216"/>
        <v>47.0284.1.2.17.00.01.039.01.11.08.3</v>
      </c>
      <c r="AH657" s="739" t="s">
        <v>2000</v>
      </c>
      <c r="AI657" s="158"/>
    </row>
    <row r="658" spans="1:35" ht="15" hidden="1" customHeight="1" outlineLevel="3">
      <c r="A658" s="93">
        <v>72</v>
      </c>
      <c r="B658" s="93">
        <v>3473</v>
      </c>
      <c r="C658" s="93"/>
      <c r="D658" s="93"/>
      <c r="E658" s="93" t="s">
        <v>2969</v>
      </c>
      <c r="F658" s="93" t="s">
        <v>5217</v>
      </c>
      <c r="G658" s="37" t="s">
        <v>680</v>
      </c>
      <c r="H658" s="583">
        <f>IFERROR(VLOOKUP(A658,'Colar QL'!A:C,3,0),0)</f>
        <v>0</v>
      </c>
      <c r="I658" s="69">
        <f t="shared" si="198"/>
        <v>0</v>
      </c>
      <c r="J658" s="258">
        <f>'BD Temp'!E974</f>
        <v>0</v>
      </c>
      <c r="K658" s="590" t="str">
        <f t="shared" si="211"/>
        <v>47.0284.1.2.17.00.01.039.01.11.09.1</v>
      </c>
      <c r="L658" s="579" t="s">
        <v>1996</v>
      </c>
      <c r="M658" s="256" t="str">
        <f>'BD Temp'!F974</f>
        <v>-</v>
      </c>
      <c r="N658" s="255">
        <f>'BD Temp'!J974</f>
        <v>0</v>
      </c>
      <c r="O658" s="592" t="str">
        <f t="shared" si="212"/>
        <v>47.0284.1.2.17.00.01.039.01.11.09.2</v>
      </c>
      <c r="P658" s="578" t="s">
        <v>1998</v>
      </c>
      <c r="Q658" s="256" t="str">
        <f>'BD Temp'!K974</f>
        <v>-</v>
      </c>
      <c r="R658" s="255">
        <f>'BD Temp'!O974</f>
        <v>0</v>
      </c>
      <c r="S658" s="592" t="str">
        <f t="shared" si="213"/>
        <v>47.0284.1.2.17.00.01.039.01.11.09.3</v>
      </c>
      <c r="T658" s="578" t="s">
        <v>2000</v>
      </c>
      <c r="U658" s="256" t="str">
        <f>'BD Temp'!P974</f>
        <v>-</v>
      </c>
      <c r="V658" s="764"/>
      <c r="W658" s="767"/>
      <c r="X658" s="158"/>
      <c r="Y658" s="745"/>
      <c r="Z658" s="741">
        <v>0</v>
      </c>
      <c r="AA658" s="592" t="str">
        <f t="shared" si="214"/>
        <v>47.0284.1.2.17.00.01.039.01.11.09.1</v>
      </c>
      <c r="AB658" s="739" t="s">
        <v>1996</v>
      </c>
      <c r="AC658" s="738">
        <v>0</v>
      </c>
      <c r="AD658" s="592" t="str">
        <f t="shared" si="215"/>
        <v>47.0284.1.2.17.00.01.039.01.11.09.2</v>
      </c>
      <c r="AE658" s="739" t="s">
        <v>1998</v>
      </c>
      <c r="AF658" s="738">
        <v>0</v>
      </c>
      <c r="AG658" s="592" t="str">
        <f t="shared" si="216"/>
        <v>47.0284.1.2.17.00.01.039.01.11.09.3</v>
      </c>
      <c r="AH658" s="739" t="s">
        <v>2000</v>
      </c>
      <c r="AI658" s="158"/>
    </row>
    <row r="659" spans="1:35" ht="15" hidden="1" customHeight="1" outlineLevel="3">
      <c r="A659" s="93">
        <v>73</v>
      </c>
      <c r="B659" s="93" t="s">
        <v>1075</v>
      </c>
      <c r="C659" s="93"/>
      <c r="D659" s="93"/>
      <c r="E659" s="93"/>
      <c r="F659" s="93" t="s">
        <v>1075</v>
      </c>
      <c r="G659" s="37" t="s">
        <v>14</v>
      </c>
      <c r="H659" s="583">
        <f>IFERROR(VLOOKUP(A659,'Colar QL'!A:C,3,0),0)</f>
        <v>0</v>
      </c>
      <c r="I659" s="69">
        <f t="shared" si="198"/>
        <v>0</v>
      </c>
      <c r="J659" s="258">
        <f>'BD Temp'!E975</f>
        <v>0</v>
      </c>
      <c r="K659" s="590" t="str">
        <f t="shared" si="211"/>
        <v>.1</v>
      </c>
      <c r="L659" s="579" t="s">
        <v>1996</v>
      </c>
      <c r="M659" s="256" t="str">
        <f>'BD Temp'!F975</f>
        <v>-</v>
      </c>
      <c r="N659" s="255">
        <f>'BD Temp'!J975</f>
        <v>0</v>
      </c>
      <c r="O659" s="592" t="str">
        <f t="shared" si="212"/>
        <v>.2</v>
      </c>
      <c r="P659" s="578" t="s">
        <v>1998</v>
      </c>
      <c r="Q659" s="256" t="str">
        <f>'BD Temp'!K975</f>
        <v>-</v>
      </c>
      <c r="R659" s="255">
        <f>'BD Temp'!O975</f>
        <v>0</v>
      </c>
      <c r="S659" s="592" t="str">
        <f t="shared" si="213"/>
        <v>.3</v>
      </c>
      <c r="T659" s="578" t="s">
        <v>2000</v>
      </c>
      <c r="U659" s="256" t="str">
        <f>'BD Temp'!P975</f>
        <v>-</v>
      </c>
      <c r="V659" s="764"/>
      <c r="W659" s="767"/>
      <c r="X659" s="158"/>
      <c r="Y659" s="745"/>
      <c r="Z659" s="741">
        <v>0</v>
      </c>
      <c r="AA659" s="592" t="str">
        <f t="shared" si="214"/>
        <v>.1</v>
      </c>
      <c r="AB659" s="739" t="s">
        <v>1996</v>
      </c>
      <c r="AC659" s="738">
        <v>0</v>
      </c>
      <c r="AD659" s="592" t="str">
        <f t="shared" si="215"/>
        <v>.2</v>
      </c>
      <c r="AE659" s="739" t="s">
        <v>1998</v>
      </c>
      <c r="AF659" s="738">
        <v>0</v>
      </c>
      <c r="AG659" s="592" t="str">
        <f t="shared" si="216"/>
        <v>.3</v>
      </c>
      <c r="AH659" s="739" t="s">
        <v>2000</v>
      </c>
      <c r="AI659" s="158"/>
    </row>
    <row r="660" spans="1:35" ht="15" hidden="1" customHeight="1" outlineLevel="3">
      <c r="A660" s="93">
        <v>74</v>
      </c>
      <c r="B660" s="93" t="s">
        <v>1075</v>
      </c>
      <c r="C660" s="93"/>
      <c r="D660" s="93"/>
      <c r="E660" s="93" t="s">
        <v>2966</v>
      </c>
      <c r="F660" s="93" t="s">
        <v>5214</v>
      </c>
      <c r="G660" s="37" t="s">
        <v>5393</v>
      </c>
      <c r="H660" s="583">
        <f>IFERROR(VLOOKUP(A660,'Colar QL'!A:C,3,0),0)</f>
        <v>0</v>
      </c>
      <c r="I660" s="69">
        <f t="shared" si="198"/>
        <v>1</v>
      </c>
      <c r="J660" s="258">
        <f>'BD Temp'!E976</f>
        <v>1</v>
      </c>
      <c r="K660" s="590" t="str">
        <f t="shared" si="211"/>
        <v>47.0284.1.2.17.00.01.039.01.11.03.1</v>
      </c>
      <c r="L660" s="579" t="s">
        <v>1996</v>
      </c>
      <c r="M660" s="256" t="str">
        <f>'BD Temp'!F976</f>
        <v>-</v>
      </c>
      <c r="N660" s="255">
        <f>'BD Temp'!J976</f>
        <v>0</v>
      </c>
      <c r="O660" s="592" t="str">
        <f t="shared" si="212"/>
        <v>47.0284.1.2.17.00.01.039.01.11.03.2</v>
      </c>
      <c r="P660" s="578" t="s">
        <v>1998</v>
      </c>
      <c r="Q660" s="256" t="str">
        <f>'BD Temp'!K976</f>
        <v>-</v>
      </c>
      <c r="R660" s="255">
        <f>'BD Temp'!O976</f>
        <v>0</v>
      </c>
      <c r="S660" s="592" t="str">
        <f t="shared" si="213"/>
        <v>47.0284.1.2.17.00.01.039.01.11.03.3</v>
      </c>
      <c r="T660" s="578" t="s">
        <v>2000</v>
      </c>
      <c r="U660" s="256" t="str">
        <f>'BD Temp'!P976</f>
        <v>-</v>
      </c>
      <c r="V660" s="764"/>
      <c r="W660" s="767"/>
      <c r="X660" s="158"/>
      <c r="Y660" s="745"/>
      <c r="Z660" s="741">
        <v>0</v>
      </c>
      <c r="AA660" s="592" t="str">
        <f t="shared" si="214"/>
        <v>47.0284.1.2.17.00.01.039.01.11.03.1</v>
      </c>
      <c r="AB660" s="739" t="s">
        <v>1996</v>
      </c>
      <c r="AC660" s="738">
        <v>0</v>
      </c>
      <c r="AD660" s="592" t="str">
        <f t="shared" si="215"/>
        <v>47.0284.1.2.17.00.01.039.01.11.03.2</v>
      </c>
      <c r="AE660" s="739" t="s">
        <v>1998</v>
      </c>
      <c r="AF660" s="738">
        <v>0</v>
      </c>
      <c r="AG660" s="592" t="str">
        <f t="shared" si="216"/>
        <v>47.0284.1.2.17.00.01.039.01.11.03.3</v>
      </c>
      <c r="AH660" s="739" t="s">
        <v>2000</v>
      </c>
      <c r="AI660" s="158"/>
    </row>
    <row r="661" spans="1:35" ht="15" hidden="1" customHeight="1" outlineLevel="3">
      <c r="A661" s="93">
        <v>75</v>
      </c>
      <c r="B661" s="93">
        <v>3473</v>
      </c>
      <c r="C661" s="93"/>
      <c r="D661" s="93"/>
      <c r="E661" s="93" t="s">
        <v>2970</v>
      </c>
      <c r="F661" s="93" t="s">
        <v>5212</v>
      </c>
      <c r="G661" s="37" t="s">
        <v>15</v>
      </c>
      <c r="H661" s="583">
        <f>IFERROR(VLOOKUP(A661,'Colar QL'!A:C,3,0),0)</f>
        <v>0</v>
      </c>
      <c r="I661" s="69">
        <f t="shared" ref="I661:I724" si="217">IFERROR((J661+N661+R661),0)</f>
        <v>0</v>
      </c>
      <c r="J661" s="258">
        <f>'BD Temp'!E977</f>
        <v>0</v>
      </c>
      <c r="K661" s="590" t="str">
        <f t="shared" si="211"/>
        <v>47.0284.1.2.17.00.01.039.01.11.07.1</v>
      </c>
      <c r="L661" s="579" t="s">
        <v>1996</v>
      </c>
      <c r="M661" s="256" t="str">
        <f>'BD Temp'!F977</f>
        <v>-</v>
      </c>
      <c r="N661" s="255">
        <f>'BD Temp'!J977</f>
        <v>0</v>
      </c>
      <c r="O661" s="592" t="str">
        <f t="shared" si="212"/>
        <v>47.0284.1.2.17.00.01.039.01.11.07.2</v>
      </c>
      <c r="P661" s="578" t="s">
        <v>1998</v>
      </c>
      <c r="Q661" s="256" t="str">
        <f>'BD Temp'!K977</f>
        <v>-</v>
      </c>
      <c r="R661" s="255">
        <f>'BD Temp'!O977</f>
        <v>0</v>
      </c>
      <c r="S661" s="592" t="str">
        <f t="shared" si="213"/>
        <v>47.0284.1.2.17.00.01.039.01.11.07.3</v>
      </c>
      <c r="T661" s="578" t="s">
        <v>2000</v>
      </c>
      <c r="U661" s="256" t="str">
        <f>'BD Temp'!P977</f>
        <v>-</v>
      </c>
      <c r="V661" s="764"/>
      <c r="W661" s="767"/>
      <c r="X661" s="158"/>
      <c r="Y661" s="745"/>
      <c r="Z661" s="741">
        <v>0</v>
      </c>
      <c r="AA661" s="592" t="str">
        <f t="shared" si="214"/>
        <v>47.0284.1.2.17.00.01.039.01.11.07.1</v>
      </c>
      <c r="AB661" s="739" t="s">
        <v>1996</v>
      </c>
      <c r="AC661" s="738">
        <v>0</v>
      </c>
      <c r="AD661" s="592" t="str">
        <f t="shared" si="215"/>
        <v>47.0284.1.2.17.00.01.039.01.11.07.2</v>
      </c>
      <c r="AE661" s="739" t="s">
        <v>1998</v>
      </c>
      <c r="AF661" s="738">
        <v>0</v>
      </c>
      <c r="AG661" s="592" t="str">
        <f t="shared" si="216"/>
        <v>47.0284.1.2.17.00.01.039.01.11.07.3</v>
      </c>
      <c r="AH661" s="739" t="s">
        <v>2000</v>
      </c>
      <c r="AI661" s="158"/>
    </row>
    <row r="662" spans="1:35" ht="15" hidden="1" customHeight="1" outlineLevel="3">
      <c r="A662" s="93"/>
      <c r="B662" s="93" t="s">
        <v>1075</v>
      </c>
      <c r="C662" s="93"/>
      <c r="D662" s="93"/>
      <c r="E662" s="93"/>
      <c r="F662" s="93" t="s">
        <v>1075</v>
      </c>
      <c r="G662" s="37"/>
      <c r="H662" s="79"/>
      <c r="I662" s="69">
        <f t="shared" si="217"/>
        <v>0</v>
      </c>
      <c r="J662" s="48"/>
      <c r="K662" s="590" t="str">
        <f t="shared" si="211"/>
        <v>.1</v>
      </c>
      <c r="L662" s="579" t="s">
        <v>1996</v>
      </c>
      <c r="M662" s="74"/>
      <c r="N662" s="49"/>
      <c r="O662" s="592" t="str">
        <f t="shared" si="212"/>
        <v>.2</v>
      </c>
      <c r="P662" s="578" t="s">
        <v>1998</v>
      </c>
      <c r="Q662" s="74"/>
      <c r="R662" s="49"/>
      <c r="S662" s="592" t="str">
        <f t="shared" si="213"/>
        <v>.3</v>
      </c>
      <c r="T662" s="578" t="s">
        <v>2000</v>
      </c>
      <c r="U662" s="74"/>
      <c r="V662" s="764"/>
      <c r="W662" s="764"/>
      <c r="X662" s="158"/>
      <c r="Y662" s="745"/>
      <c r="Z662" s="741">
        <v>0</v>
      </c>
      <c r="AA662" s="592" t="str">
        <f t="shared" si="214"/>
        <v>.1</v>
      </c>
      <c r="AB662" s="739" t="s">
        <v>1996</v>
      </c>
      <c r="AC662" s="738">
        <v>0</v>
      </c>
      <c r="AD662" s="592" t="str">
        <f t="shared" si="215"/>
        <v>.2</v>
      </c>
      <c r="AE662" s="739" t="s">
        <v>1998</v>
      </c>
      <c r="AF662" s="738">
        <v>0</v>
      </c>
      <c r="AG662" s="592" t="str">
        <f t="shared" si="216"/>
        <v>.3</v>
      </c>
      <c r="AH662" s="739" t="s">
        <v>2000</v>
      </c>
      <c r="AI662" s="158"/>
    </row>
    <row r="663" spans="1:35" ht="15" hidden="1" customHeight="1" outlineLevel="3">
      <c r="A663" s="99"/>
      <c r="B663" s="99" t="s">
        <v>1075</v>
      </c>
      <c r="C663" s="99"/>
      <c r="D663" s="99"/>
      <c r="E663" s="99"/>
      <c r="F663" s="99" t="s">
        <v>1075</v>
      </c>
      <c r="G663" s="39" t="s">
        <v>723</v>
      </c>
      <c r="H663" s="79"/>
      <c r="I663" s="69">
        <f t="shared" si="217"/>
        <v>0</v>
      </c>
      <c r="J663" s="48"/>
      <c r="K663" s="590" t="str">
        <f t="shared" si="211"/>
        <v>.1</v>
      </c>
      <c r="L663" s="579" t="s">
        <v>1996</v>
      </c>
      <c r="M663" s="74"/>
      <c r="N663" s="49"/>
      <c r="O663" s="592" t="str">
        <f t="shared" si="212"/>
        <v>.2</v>
      </c>
      <c r="P663" s="578" t="s">
        <v>1998</v>
      </c>
      <c r="Q663" s="74"/>
      <c r="R663" s="49"/>
      <c r="S663" s="592" t="str">
        <f t="shared" si="213"/>
        <v>.3</v>
      </c>
      <c r="T663" s="578" t="s">
        <v>2000</v>
      </c>
      <c r="U663" s="74"/>
      <c r="V663" s="764"/>
      <c r="W663" s="764"/>
      <c r="X663" s="158"/>
      <c r="Y663" s="745"/>
      <c r="Z663" s="741">
        <v>0</v>
      </c>
      <c r="AA663" s="592" t="str">
        <f t="shared" si="214"/>
        <v>.1</v>
      </c>
      <c r="AB663" s="739" t="s">
        <v>1996</v>
      </c>
      <c r="AC663" s="738">
        <v>0</v>
      </c>
      <c r="AD663" s="592" t="str">
        <f t="shared" si="215"/>
        <v>.2</v>
      </c>
      <c r="AE663" s="739" t="s">
        <v>1998</v>
      </c>
      <c r="AF663" s="738">
        <v>0</v>
      </c>
      <c r="AG663" s="592" t="str">
        <f t="shared" si="216"/>
        <v>.3</v>
      </c>
      <c r="AH663" s="739" t="s">
        <v>2000</v>
      </c>
      <c r="AI663" s="158"/>
    </row>
    <row r="664" spans="1:35" ht="15" hidden="1" customHeight="1" outlineLevel="3">
      <c r="A664" s="93"/>
      <c r="B664" s="93" t="s">
        <v>1075</v>
      </c>
      <c r="C664" s="93"/>
      <c r="D664" s="93"/>
      <c r="E664" s="93"/>
      <c r="F664" s="93" t="s">
        <v>1075</v>
      </c>
      <c r="G664" s="37"/>
      <c r="H664" s="79"/>
      <c r="I664" s="69">
        <f t="shared" si="217"/>
        <v>0</v>
      </c>
      <c r="J664" s="48"/>
      <c r="K664" s="590" t="str">
        <f t="shared" si="211"/>
        <v>.1</v>
      </c>
      <c r="L664" s="579" t="s">
        <v>1996</v>
      </c>
      <c r="M664" s="74"/>
      <c r="N664" s="49"/>
      <c r="O664" s="592" t="str">
        <f t="shared" si="212"/>
        <v>.2</v>
      </c>
      <c r="P664" s="578" t="s">
        <v>1998</v>
      </c>
      <c r="Q664" s="74"/>
      <c r="R664" s="49"/>
      <c r="S664" s="592" t="str">
        <f t="shared" si="213"/>
        <v>.3</v>
      </c>
      <c r="T664" s="578" t="s">
        <v>2000</v>
      </c>
      <c r="U664" s="74"/>
      <c r="V664" s="764"/>
      <c r="W664" s="764"/>
      <c r="X664" s="158"/>
      <c r="Y664" s="745"/>
      <c r="Z664" s="741">
        <v>0</v>
      </c>
      <c r="AA664" s="592" t="str">
        <f t="shared" si="214"/>
        <v>.1</v>
      </c>
      <c r="AB664" s="739" t="s">
        <v>1996</v>
      </c>
      <c r="AC664" s="738">
        <v>0</v>
      </c>
      <c r="AD664" s="592" t="str">
        <f t="shared" si="215"/>
        <v>.2</v>
      </c>
      <c r="AE664" s="739" t="s">
        <v>1998</v>
      </c>
      <c r="AF664" s="738">
        <v>0</v>
      </c>
      <c r="AG664" s="592" t="str">
        <f t="shared" si="216"/>
        <v>.3</v>
      </c>
      <c r="AH664" s="739" t="s">
        <v>2000</v>
      </c>
      <c r="AI664" s="158"/>
    </row>
    <row r="665" spans="1:35" ht="15" hidden="1" customHeight="1" outlineLevel="3">
      <c r="A665" s="93"/>
      <c r="B665" s="93" t="s">
        <v>1075</v>
      </c>
      <c r="C665" s="93"/>
      <c r="D665" s="93"/>
      <c r="E665" s="93"/>
      <c r="F665" s="93" t="s">
        <v>1075</v>
      </c>
      <c r="G665" s="37"/>
      <c r="H665" s="79"/>
      <c r="I665" s="69">
        <f t="shared" si="217"/>
        <v>0</v>
      </c>
      <c r="J665" s="48"/>
      <c r="K665" s="590" t="str">
        <f t="shared" si="211"/>
        <v>.1</v>
      </c>
      <c r="L665" s="579" t="s">
        <v>1996</v>
      </c>
      <c r="M665" s="74"/>
      <c r="N665" s="49"/>
      <c r="O665" s="592" t="str">
        <f t="shared" si="212"/>
        <v>.2</v>
      </c>
      <c r="P665" s="578" t="s">
        <v>1998</v>
      </c>
      <c r="Q665" s="74"/>
      <c r="R665" s="49"/>
      <c r="S665" s="592" t="str">
        <f t="shared" si="213"/>
        <v>.3</v>
      </c>
      <c r="T665" s="578" t="s">
        <v>2000</v>
      </c>
      <c r="U665" s="74"/>
      <c r="V665" s="764"/>
      <c r="W665" s="764"/>
      <c r="X665" s="158"/>
      <c r="Y665" s="745"/>
      <c r="Z665" s="741">
        <v>0</v>
      </c>
      <c r="AA665" s="592" t="str">
        <f t="shared" si="214"/>
        <v>.1</v>
      </c>
      <c r="AB665" s="739" t="s">
        <v>1996</v>
      </c>
      <c r="AC665" s="738">
        <v>0</v>
      </c>
      <c r="AD665" s="592" t="str">
        <f t="shared" si="215"/>
        <v>.2</v>
      </c>
      <c r="AE665" s="739" t="s">
        <v>1998</v>
      </c>
      <c r="AF665" s="738">
        <v>0</v>
      </c>
      <c r="AG665" s="592" t="str">
        <f t="shared" si="216"/>
        <v>.3</v>
      </c>
      <c r="AH665" s="739" t="s">
        <v>2000</v>
      </c>
      <c r="AI665" s="158"/>
    </row>
    <row r="666" spans="1:35" ht="15" hidden="1" customHeight="1" outlineLevel="3">
      <c r="A666" s="93"/>
      <c r="B666" s="93" t="s">
        <v>1075</v>
      </c>
      <c r="C666" s="93"/>
      <c r="D666" s="93"/>
      <c r="E666" s="93"/>
      <c r="F666" s="93" t="s">
        <v>1075</v>
      </c>
      <c r="G666" s="37"/>
      <c r="H666" s="79"/>
      <c r="I666" s="69">
        <f t="shared" si="217"/>
        <v>0</v>
      </c>
      <c r="J666" s="48"/>
      <c r="K666" s="590" t="str">
        <f t="shared" si="211"/>
        <v>.1</v>
      </c>
      <c r="L666" s="579" t="s">
        <v>1996</v>
      </c>
      <c r="M666" s="74"/>
      <c r="N666" s="49"/>
      <c r="O666" s="592" t="str">
        <f t="shared" si="212"/>
        <v>.2</v>
      </c>
      <c r="P666" s="578" t="s">
        <v>1998</v>
      </c>
      <c r="Q666" s="74"/>
      <c r="R666" s="49"/>
      <c r="S666" s="592" t="str">
        <f t="shared" si="213"/>
        <v>.3</v>
      </c>
      <c r="T666" s="578" t="s">
        <v>2000</v>
      </c>
      <c r="U666" s="74"/>
      <c r="V666" s="764"/>
      <c r="W666" s="764"/>
      <c r="X666" s="158"/>
      <c r="Y666" s="745"/>
      <c r="Z666" s="741">
        <v>0</v>
      </c>
      <c r="AA666" s="592" t="str">
        <f t="shared" si="214"/>
        <v>.1</v>
      </c>
      <c r="AB666" s="739" t="s">
        <v>1996</v>
      </c>
      <c r="AC666" s="738">
        <v>0</v>
      </c>
      <c r="AD666" s="592" t="str">
        <f t="shared" si="215"/>
        <v>.2</v>
      </c>
      <c r="AE666" s="739" t="s">
        <v>1998</v>
      </c>
      <c r="AF666" s="738">
        <v>0</v>
      </c>
      <c r="AG666" s="592" t="str">
        <f t="shared" si="216"/>
        <v>.3</v>
      </c>
      <c r="AH666" s="739" t="s">
        <v>2000</v>
      </c>
      <c r="AI666" s="158"/>
    </row>
    <row r="667" spans="1:35" ht="15" hidden="1" customHeight="1" outlineLevel="3">
      <c r="A667" s="93"/>
      <c r="B667" s="93" t="s">
        <v>1075</v>
      </c>
      <c r="C667" s="93"/>
      <c r="D667" s="93"/>
      <c r="E667" s="93"/>
      <c r="F667" s="93" t="s">
        <v>1075</v>
      </c>
      <c r="G667" s="37"/>
      <c r="H667" s="79"/>
      <c r="I667" s="69">
        <f t="shared" si="217"/>
        <v>0</v>
      </c>
      <c r="J667" s="48"/>
      <c r="K667" s="590" t="str">
        <f t="shared" si="211"/>
        <v>.1</v>
      </c>
      <c r="L667" s="579" t="s">
        <v>1996</v>
      </c>
      <c r="M667" s="74"/>
      <c r="N667" s="49"/>
      <c r="O667" s="592" t="str">
        <f t="shared" si="212"/>
        <v>.2</v>
      </c>
      <c r="P667" s="578" t="s">
        <v>1998</v>
      </c>
      <c r="Q667" s="74"/>
      <c r="R667" s="49"/>
      <c r="S667" s="592" t="str">
        <f t="shared" si="213"/>
        <v>.3</v>
      </c>
      <c r="T667" s="578" t="s">
        <v>2000</v>
      </c>
      <c r="U667" s="74"/>
      <c r="V667" s="764"/>
      <c r="W667" s="764"/>
      <c r="X667" s="158"/>
      <c r="Y667" s="745"/>
      <c r="Z667" s="741">
        <v>0</v>
      </c>
      <c r="AA667" s="592" t="str">
        <f t="shared" si="214"/>
        <v>.1</v>
      </c>
      <c r="AB667" s="739" t="s">
        <v>1996</v>
      </c>
      <c r="AC667" s="738">
        <v>0</v>
      </c>
      <c r="AD667" s="592" t="str">
        <f t="shared" si="215"/>
        <v>.2</v>
      </c>
      <c r="AE667" s="739" t="s">
        <v>1998</v>
      </c>
      <c r="AF667" s="738">
        <v>0</v>
      </c>
      <c r="AG667" s="592" t="str">
        <f t="shared" si="216"/>
        <v>.3</v>
      </c>
      <c r="AH667" s="739" t="s">
        <v>2000</v>
      </c>
      <c r="AI667" s="158"/>
    </row>
    <row r="668" spans="1:35" ht="15" hidden="1" customHeight="1" outlineLevel="3">
      <c r="A668" s="93"/>
      <c r="B668" s="93" t="s">
        <v>1075</v>
      </c>
      <c r="C668" s="93"/>
      <c r="D668" s="93"/>
      <c r="E668" s="93"/>
      <c r="F668" s="93" t="s">
        <v>1075</v>
      </c>
      <c r="G668" s="37"/>
      <c r="H668" s="79"/>
      <c r="I668" s="69">
        <f t="shared" si="217"/>
        <v>0</v>
      </c>
      <c r="J668" s="48"/>
      <c r="K668" s="590" t="str">
        <f t="shared" si="211"/>
        <v>.1</v>
      </c>
      <c r="L668" s="579" t="s">
        <v>1996</v>
      </c>
      <c r="M668" s="74"/>
      <c r="N668" s="49"/>
      <c r="O668" s="592" t="str">
        <f t="shared" si="212"/>
        <v>.2</v>
      </c>
      <c r="P668" s="578" t="s">
        <v>1998</v>
      </c>
      <c r="Q668" s="74"/>
      <c r="R668" s="49"/>
      <c r="S668" s="592" t="str">
        <f t="shared" si="213"/>
        <v>.3</v>
      </c>
      <c r="T668" s="578" t="s">
        <v>2000</v>
      </c>
      <c r="U668" s="74"/>
      <c r="V668" s="764"/>
      <c r="W668" s="764"/>
      <c r="X668" s="158"/>
      <c r="Y668" s="745"/>
      <c r="Z668" s="741">
        <v>0</v>
      </c>
      <c r="AA668" s="592" t="str">
        <f t="shared" si="214"/>
        <v>.1</v>
      </c>
      <c r="AB668" s="739" t="s">
        <v>1996</v>
      </c>
      <c r="AC668" s="738">
        <v>0</v>
      </c>
      <c r="AD668" s="592" t="str">
        <f t="shared" si="215"/>
        <v>.2</v>
      </c>
      <c r="AE668" s="739" t="s">
        <v>1998</v>
      </c>
      <c r="AF668" s="738">
        <v>0</v>
      </c>
      <c r="AG668" s="592" t="str">
        <f t="shared" si="216"/>
        <v>.3</v>
      </c>
      <c r="AH668" s="739" t="s">
        <v>2000</v>
      </c>
      <c r="AI668" s="158"/>
    </row>
    <row r="669" spans="1:35" ht="15" hidden="1" customHeight="1" outlineLevel="3">
      <c r="A669" s="93"/>
      <c r="B669" s="93" t="s">
        <v>1075</v>
      </c>
      <c r="C669" s="93"/>
      <c r="D669" s="93"/>
      <c r="E669" s="93"/>
      <c r="F669" s="93" t="s">
        <v>1075</v>
      </c>
      <c r="G669" s="37"/>
      <c r="H669" s="79"/>
      <c r="I669" s="69">
        <f t="shared" si="217"/>
        <v>0</v>
      </c>
      <c r="J669" s="48"/>
      <c r="K669" s="590" t="str">
        <f t="shared" si="211"/>
        <v>.1</v>
      </c>
      <c r="L669" s="579" t="s">
        <v>1996</v>
      </c>
      <c r="M669" s="74"/>
      <c r="N669" s="49"/>
      <c r="O669" s="592" t="str">
        <f t="shared" si="212"/>
        <v>.2</v>
      </c>
      <c r="P669" s="578" t="s">
        <v>1998</v>
      </c>
      <c r="Q669" s="74"/>
      <c r="R669" s="49"/>
      <c r="S669" s="592" t="str">
        <f t="shared" si="213"/>
        <v>.3</v>
      </c>
      <c r="T669" s="578" t="s">
        <v>2000</v>
      </c>
      <c r="U669" s="74"/>
      <c r="V669" s="764"/>
      <c r="W669" s="764"/>
      <c r="X669" s="158"/>
      <c r="Y669" s="745"/>
      <c r="Z669" s="741">
        <v>0</v>
      </c>
      <c r="AA669" s="592" t="str">
        <f t="shared" si="214"/>
        <v>.1</v>
      </c>
      <c r="AB669" s="739" t="s">
        <v>1996</v>
      </c>
      <c r="AC669" s="738">
        <v>0</v>
      </c>
      <c r="AD669" s="592" t="str">
        <f t="shared" si="215"/>
        <v>.2</v>
      </c>
      <c r="AE669" s="739" t="s">
        <v>1998</v>
      </c>
      <c r="AF669" s="738">
        <v>0</v>
      </c>
      <c r="AG669" s="592" t="str">
        <f t="shared" si="216"/>
        <v>.3</v>
      </c>
      <c r="AH669" s="739" t="s">
        <v>2000</v>
      </c>
      <c r="AI669" s="158"/>
    </row>
    <row r="670" spans="1:35" ht="15" hidden="1" customHeight="1" outlineLevel="2">
      <c r="A670" s="97"/>
      <c r="B670" s="97" t="s">
        <v>1075</v>
      </c>
      <c r="C670" s="97"/>
      <c r="D670" s="97"/>
      <c r="E670" s="97"/>
      <c r="F670" s="97" t="s">
        <v>1075</v>
      </c>
      <c r="G670" s="40" t="s">
        <v>235</v>
      </c>
      <c r="H670" s="78">
        <f>SUBTOTAL(9,H671:H672)</f>
        <v>1</v>
      </c>
      <c r="I670" s="68">
        <f t="shared" si="217"/>
        <v>1</v>
      </c>
      <c r="J670" s="55">
        <f>SUBTOTAL(9,J671)</f>
        <v>1</v>
      </c>
      <c r="K670" s="55"/>
      <c r="L670" s="55"/>
      <c r="M670" s="84"/>
      <c r="N670" s="56">
        <f>SUBTOTAL(9,N671)</f>
        <v>0</v>
      </c>
      <c r="O670" s="84"/>
      <c r="P670" s="84"/>
      <c r="Q670" s="84"/>
      <c r="R670" s="56">
        <f>SUBTOTAL(9,R671)</f>
        <v>0</v>
      </c>
      <c r="S670" s="84"/>
      <c r="T670" s="84"/>
      <c r="U670" s="84"/>
      <c r="V670" s="56">
        <f>SUBTOTAL(9,V671)</f>
        <v>0</v>
      </c>
      <c r="W670" s="56">
        <f>SUBTOTAL(9,W671)</f>
        <v>0</v>
      </c>
      <c r="X670" s="170"/>
      <c r="Y670" s="745"/>
      <c r="Z670" s="55">
        <f>SUBTOTAL(9,Z671)</f>
        <v>0</v>
      </c>
      <c r="AA670" s="84"/>
      <c r="AB670" s="84"/>
      <c r="AC670" s="56">
        <f>SUBTOTAL(9,AC671)</f>
        <v>0</v>
      </c>
      <c r="AD670" s="84"/>
      <c r="AE670" s="84"/>
      <c r="AF670" s="56">
        <f>SUBTOTAL(9,AF671)</f>
        <v>0</v>
      </c>
      <c r="AG670" s="84"/>
      <c r="AH670" s="84"/>
      <c r="AI670" s="170"/>
    </row>
    <row r="671" spans="1:35" ht="15" hidden="1" customHeight="1" outlineLevel="3">
      <c r="A671" s="95">
        <v>76</v>
      </c>
      <c r="B671" s="95">
        <v>3473</v>
      </c>
      <c r="C671" s="95"/>
      <c r="D671" s="95"/>
      <c r="E671" s="774" t="s">
        <v>2965</v>
      </c>
      <c r="F671" s="774" t="s">
        <v>5213</v>
      </c>
      <c r="G671" s="13" t="s">
        <v>3030</v>
      </c>
      <c r="H671" s="583">
        <f>IFERROR(VLOOKUP(A671,'Colar QL'!A:C,3,0),0)</f>
        <v>1</v>
      </c>
      <c r="I671" s="69">
        <f t="shared" si="217"/>
        <v>1</v>
      </c>
      <c r="J671" s="771">
        <f>ROUNDUP(J648*$U$5,0)</f>
        <v>1</v>
      </c>
      <c r="K671" s="590" t="str">
        <f>F671&amp;L671</f>
        <v>47.0284.1.2.17.00.01.039.01.11.02.1</v>
      </c>
      <c r="L671" s="771" t="s">
        <v>1996</v>
      </c>
      <c r="M671" s="772"/>
      <c r="N671" s="770">
        <f>ROUNDUP(N648*$U$5,0)</f>
        <v>0</v>
      </c>
      <c r="O671" s="592" t="str">
        <f>F671&amp;P671</f>
        <v>47.0284.1.2.17.00.01.039.01.11.02.2</v>
      </c>
      <c r="P671" s="772" t="s">
        <v>1998</v>
      </c>
      <c r="Q671" s="772"/>
      <c r="R671" s="770">
        <f>ROUND(R648*$U$5,0)</f>
        <v>0</v>
      </c>
      <c r="S671" s="592" t="str">
        <f>F671&amp;T671</f>
        <v>47.0284.1.2.17.00.01.039.01.11.02.3</v>
      </c>
      <c r="T671" s="772" t="s">
        <v>2000</v>
      </c>
      <c r="U671" s="772"/>
      <c r="V671" s="764"/>
      <c r="W671" s="764"/>
      <c r="X671" s="158"/>
      <c r="Y671" s="745"/>
      <c r="Z671" s="771">
        <f>ROUND(Z648*$U$5,0)</f>
        <v>0</v>
      </c>
      <c r="AA671" s="592" t="str">
        <f>F671&amp;AB671</f>
        <v>47.0284.1.2.17.00.01.039.01.11.02.1</v>
      </c>
      <c r="AB671" s="772" t="s">
        <v>1996</v>
      </c>
      <c r="AC671" s="770">
        <f>ROUND(AC648*$U$5,0)</f>
        <v>0</v>
      </c>
      <c r="AD671" s="592" t="str">
        <f>F671&amp;AE671</f>
        <v>47.0284.1.2.17.00.01.039.01.11.02.2</v>
      </c>
      <c r="AE671" s="772" t="s">
        <v>1998</v>
      </c>
      <c r="AF671" s="770">
        <f>ROUND(AF648*$U$5,0)</f>
        <v>0</v>
      </c>
      <c r="AG671" s="592" t="str">
        <f>F671&amp;AH671</f>
        <v>47.0284.1.2.17.00.01.039.01.11.02.3</v>
      </c>
      <c r="AH671" s="772" t="s">
        <v>2000</v>
      </c>
      <c r="AI671" s="158"/>
    </row>
    <row r="672" spans="1:35" ht="15" hidden="1" customHeight="1" outlineLevel="3">
      <c r="A672" s="95">
        <v>77</v>
      </c>
      <c r="B672" s="95" t="s">
        <v>1075</v>
      </c>
      <c r="C672" s="95"/>
      <c r="D672" s="95"/>
      <c r="E672" s="774"/>
      <c r="F672" s="774" t="s">
        <v>1075</v>
      </c>
      <c r="G672" s="13"/>
      <c r="H672" s="583"/>
      <c r="I672" s="69">
        <f t="shared" si="217"/>
        <v>0</v>
      </c>
      <c r="J672" s="771"/>
      <c r="K672" s="590" t="str">
        <f>F672&amp;L672</f>
        <v>.1</v>
      </c>
      <c r="L672" s="771" t="s">
        <v>1996</v>
      </c>
      <c r="M672" s="772"/>
      <c r="N672" s="770"/>
      <c r="O672" s="592" t="str">
        <f>F672&amp;P672</f>
        <v>.2</v>
      </c>
      <c r="P672" s="772" t="s">
        <v>1998</v>
      </c>
      <c r="Q672" s="772"/>
      <c r="R672" s="770"/>
      <c r="S672" s="592" t="str">
        <f>F672&amp;T672</f>
        <v>.3</v>
      </c>
      <c r="T672" s="772" t="s">
        <v>2000</v>
      </c>
      <c r="U672" s="772"/>
      <c r="V672" s="764"/>
      <c r="W672" s="764"/>
      <c r="X672" s="158"/>
      <c r="Y672" s="745"/>
      <c r="Z672" s="771"/>
      <c r="AA672" s="592" t="str">
        <f>F672&amp;AB672</f>
        <v>.1</v>
      </c>
      <c r="AB672" s="772" t="s">
        <v>1996</v>
      </c>
      <c r="AC672" s="770"/>
      <c r="AD672" s="592" t="str">
        <f>F672&amp;AE672</f>
        <v>.2</v>
      </c>
      <c r="AE672" s="772" t="s">
        <v>1998</v>
      </c>
      <c r="AF672" s="770"/>
      <c r="AG672" s="592" t="str">
        <f>F672&amp;AH672</f>
        <v>.3</v>
      </c>
      <c r="AH672" s="772" t="s">
        <v>2000</v>
      </c>
      <c r="AI672" s="158"/>
    </row>
    <row r="673" spans="1:35" ht="15" hidden="1" customHeight="1" outlineLevel="3">
      <c r="A673" s="95"/>
      <c r="B673" s="95" t="s">
        <v>1075</v>
      </c>
      <c r="C673" s="95"/>
      <c r="D673" s="95"/>
      <c r="E673" s="774"/>
      <c r="F673" s="774" t="s">
        <v>1075</v>
      </c>
      <c r="G673" s="13" t="s">
        <v>256</v>
      </c>
      <c r="H673" s="81"/>
      <c r="I673" s="71">
        <f t="shared" si="217"/>
        <v>0</v>
      </c>
      <c r="J673" s="48"/>
      <c r="K673" s="579"/>
      <c r="L673" s="579"/>
      <c r="M673" s="74"/>
      <c r="N673" s="49"/>
      <c r="O673" s="578"/>
      <c r="P673" s="578"/>
      <c r="Q673" s="74"/>
      <c r="R673" s="49"/>
      <c r="S673" s="578"/>
      <c r="T673" s="578"/>
      <c r="U673" s="74"/>
      <c r="V673" s="766"/>
      <c r="W673" s="766"/>
      <c r="X673" s="171"/>
      <c r="Y673" s="745"/>
      <c r="Z673" s="741"/>
      <c r="AA673" s="739"/>
      <c r="AB673" s="739"/>
      <c r="AC673" s="738"/>
      <c r="AD673" s="739"/>
      <c r="AE673" s="739"/>
      <c r="AF673" s="738"/>
      <c r="AG673" s="739"/>
      <c r="AH673" s="739"/>
      <c r="AI673" s="171"/>
    </row>
    <row r="674" spans="1:35">
      <c r="A674" s="100"/>
      <c r="B674" s="100" t="s">
        <v>1075</v>
      </c>
      <c r="C674" s="100"/>
      <c r="D674" s="100"/>
      <c r="E674" s="100"/>
      <c r="F674" s="100" t="s">
        <v>1075</v>
      </c>
      <c r="G674" s="17" t="s">
        <v>255</v>
      </c>
      <c r="H674" s="76">
        <f>ROUND(SUBTOTAL(9,H675:H777),0)</f>
        <v>25</v>
      </c>
      <c r="I674" s="64">
        <f t="shared" si="217"/>
        <v>32</v>
      </c>
      <c r="J674" s="52">
        <f>ROUND(SUBTOTAL(9,J675:J777),0)</f>
        <v>32</v>
      </c>
      <c r="K674" s="52"/>
      <c r="L674" s="52"/>
      <c r="M674" s="86"/>
      <c r="N674" s="52">
        <f>ROUND(SUBTOTAL(9,N675:N777),0)</f>
        <v>0</v>
      </c>
      <c r="O674" s="587"/>
      <c r="P674" s="587"/>
      <c r="Q674" s="86"/>
      <c r="R674" s="52">
        <f>ROUND(SUBTOTAL(9,R675:R777),0)</f>
        <v>0</v>
      </c>
      <c r="S674" s="587"/>
      <c r="T674" s="587"/>
      <c r="U674" s="86"/>
      <c r="V674" s="52">
        <f>ROUND(SUBTOTAL(9,V675:V777),0)</f>
        <v>0</v>
      </c>
      <c r="W674" s="52">
        <f>ROUND(SUBTOTAL(9,W675:W777),0)</f>
        <v>0</v>
      </c>
      <c r="X674" s="168"/>
      <c r="Y674" s="745"/>
      <c r="Z674" s="52">
        <f>ROUND(SUBTOTAL(9,Z675:Z777),0)</f>
        <v>0</v>
      </c>
      <c r="AA674" s="587"/>
      <c r="AB674" s="587"/>
      <c r="AC674" s="52">
        <f>ROUND(SUBTOTAL(9,AC675:AC777),0)</f>
        <v>0</v>
      </c>
      <c r="AD674" s="587"/>
      <c r="AE674" s="587"/>
      <c r="AF674" s="52">
        <f>ROUND(SUBTOTAL(9,AF675:AF777),0)</f>
        <v>0</v>
      </c>
      <c r="AG674" s="587"/>
      <c r="AH674" s="587"/>
      <c r="AI674" s="168"/>
    </row>
    <row r="675" spans="1:35" ht="15" customHeight="1" outlineLevel="1">
      <c r="A675" s="98"/>
      <c r="B675" s="98" t="s">
        <v>1075</v>
      </c>
      <c r="C675" s="98"/>
      <c r="D675" s="98"/>
      <c r="E675" s="98"/>
      <c r="F675" s="98" t="s">
        <v>1075</v>
      </c>
      <c r="G675" s="35" t="s">
        <v>255</v>
      </c>
      <c r="H675" s="77">
        <f>SUBTOTAL(9,H676:H777)</f>
        <v>25</v>
      </c>
      <c r="I675" s="67">
        <f>IFERROR((J675+N675+R675),0)</f>
        <v>32</v>
      </c>
      <c r="J675" s="54">
        <f>SUBTOTAL(9,J676:J777)</f>
        <v>32</v>
      </c>
      <c r="K675" s="54"/>
      <c r="L675" s="54"/>
      <c r="M675" s="85"/>
      <c r="N675" s="54">
        <f>SUBTOTAL(9,N676:N777)</f>
        <v>0</v>
      </c>
      <c r="O675" s="90"/>
      <c r="P675" s="90"/>
      <c r="Q675" s="85"/>
      <c r="R675" s="54">
        <f>SUBTOTAL(9,R676:R777)</f>
        <v>0</v>
      </c>
      <c r="S675" s="90"/>
      <c r="T675" s="90"/>
      <c r="U675" s="85"/>
      <c r="V675" s="54">
        <f>SUBTOTAL(9,V676:V777)</f>
        <v>0</v>
      </c>
      <c r="W675" s="54">
        <f>SUBTOTAL(9,W676:W777)</f>
        <v>0</v>
      </c>
      <c r="X675" s="169"/>
      <c r="Y675" s="745"/>
      <c r="Z675" s="54">
        <f>SUBTOTAL(9,Z676:Z777)</f>
        <v>0</v>
      </c>
      <c r="AA675" s="90"/>
      <c r="AB675" s="90"/>
      <c r="AC675" s="54">
        <f>SUBTOTAL(9,AC676:AC777)</f>
        <v>0</v>
      </c>
      <c r="AD675" s="90"/>
      <c r="AE675" s="90"/>
      <c r="AF675" s="54">
        <f>SUBTOTAL(9,AF676:AF777)</f>
        <v>0</v>
      </c>
      <c r="AG675" s="90"/>
      <c r="AH675" s="90"/>
      <c r="AI675" s="169"/>
    </row>
    <row r="676" spans="1:35" ht="15" customHeight="1" outlineLevel="1" collapsed="1">
      <c r="A676" s="98"/>
      <c r="B676" s="98" t="s">
        <v>1075</v>
      </c>
      <c r="C676" s="98"/>
      <c r="D676" s="98"/>
      <c r="E676" s="98"/>
      <c r="F676" s="98" t="s">
        <v>1075</v>
      </c>
      <c r="G676" s="35" t="s">
        <v>256</v>
      </c>
      <c r="H676" s="77">
        <f>SUBTOTAL(9,H677:H694)</f>
        <v>3</v>
      </c>
      <c r="I676" s="67">
        <f t="shared" si="217"/>
        <v>4</v>
      </c>
      <c r="J676" s="54">
        <f>SUBTOTAL(9,J677:J694)</f>
        <v>4</v>
      </c>
      <c r="K676" s="54"/>
      <c r="L676" s="54"/>
      <c r="M676" s="85"/>
      <c r="N676" s="54">
        <f>SUBTOTAL(9,N677:N694)</f>
        <v>0</v>
      </c>
      <c r="O676" s="90"/>
      <c r="P676" s="90"/>
      <c r="Q676" s="85"/>
      <c r="R676" s="54">
        <f>SUBTOTAL(9,R677:R694)</f>
        <v>0</v>
      </c>
      <c r="S676" s="90"/>
      <c r="T676" s="90"/>
      <c r="U676" s="85"/>
      <c r="V676" s="54">
        <f>SUBTOTAL(9,V677:V694)</f>
        <v>0</v>
      </c>
      <c r="W676" s="54">
        <f>SUBTOTAL(9,W677:W694)</f>
        <v>0</v>
      </c>
      <c r="X676" s="169"/>
      <c r="Y676" s="745"/>
      <c r="Z676" s="54">
        <f>SUBTOTAL(9,Z677:Z694)</f>
        <v>0</v>
      </c>
      <c r="AA676" s="90"/>
      <c r="AB676" s="90"/>
      <c r="AC676" s="54">
        <f>SUBTOTAL(9,AC677:AC694)</f>
        <v>0</v>
      </c>
      <c r="AD676" s="90"/>
      <c r="AE676" s="90"/>
      <c r="AF676" s="54">
        <f>SUBTOTAL(9,AF677:AF694)</f>
        <v>0</v>
      </c>
      <c r="AG676" s="90"/>
      <c r="AH676" s="90"/>
      <c r="AI676" s="169"/>
    </row>
    <row r="677" spans="1:35" ht="15" hidden="1" customHeight="1" outlineLevel="2">
      <c r="A677" s="97"/>
      <c r="B677" s="97" t="s">
        <v>1075</v>
      </c>
      <c r="C677" s="97"/>
      <c r="D677" s="97"/>
      <c r="E677" s="97"/>
      <c r="F677" s="97" t="s">
        <v>1075</v>
      </c>
      <c r="G677" s="40" t="s">
        <v>714</v>
      </c>
      <c r="H677" s="78">
        <f>SUBTOTAL(9,H678:H691)</f>
        <v>3</v>
      </c>
      <c r="I677" s="68">
        <f t="shared" si="217"/>
        <v>4</v>
      </c>
      <c r="J677" s="55">
        <f>SUBTOTAL(9,J678:J691)</f>
        <v>4</v>
      </c>
      <c r="K677" s="55"/>
      <c r="L677" s="55"/>
      <c r="M677" s="84"/>
      <c r="N677" s="55">
        <f>SUBTOTAL(9,N678:N691)</f>
        <v>0</v>
      </c>
      <c r="O677" s="91"/>
      <c r="P677" s="91"/>
      <c r="Q677" s="84"/>
      <c r="R677" s="55">
        <f>SUBTOTAL(9,R678:R691)</f>
        <v>0</v>
      </c>
      <c r="S677" s="91"/>
      <c r="T677" s="91"/>
      <c r="U677" s="84"/>
      <c r="V677" s="55">
        <f>SUBTOTAL(9,V678:V691)</f>
        <v>0</v>
      </c>
      <c r="W677" s="55">
        <f>SUBTOTAL(9,W678:W691)</f>
        <v>0</v>
      </c>
      <c r="X677" s="170"/>
      <c r="Y677" s="745"/>
      <c r="Z677" s="55">
        <f>SUBTOTAL(9,Z678:Z691)</f>
        <v>0</v>
      </c>
      <c r="AA677" s="91"/>
      <c r="AB677" s="91"/>
      <c r="AC677" s="55">
        <f>SUBTOTAL(9,AC678:AC691)</f>
        <v>0</v>
      </c>
      <c r="AD677" s="91"/>
      <c r="AE677" s="91"/>
      <c r="AF677" s="55">
        <f>SUBTOTAL(9,AF678:AF691)</f>
        <v>0</v>
      </c>
      <c r="AG677" s="91"/>
      <c r="AH677" s="91"/>
      <c r="AI677" s="170"/>
    </row>
    <row r="678" spans="1:35" ht="15" hidden="1" customHeight="1" outlineLevel="3">
      <c r="A678" s="93" t="s">
        <v>1099</v>
      </c>
      <c r="B678" s="93">
        <v>3451</v>
      </c>
      <c r="C678" s="93"/>
      <c r="D678" s="93"/>
      <c r="E678" s="93" t="s">
        <v>3071</v>
      </c>
      <c r="F678" s="93" t="s">
        <v>5172</v>
      </c>
      <c r="G678" s="37" t="s">
        <v>682</v>
      </c>
      <c r="H678" s="583">
        <f>IFERROR(VLOOKUP(A678,'Colar QL'!A:C,3,0),0)</f>
        <v>0</v>
      </c>
      <c r="I678" s="69">
        <f t="shared" si="217"/>
        <v>0</v>
      </c>
      <c r="J678" s="258">
        <f>'BD Temp'!E994</f>
        <v>0</v>
      </c>
      <c r="K678" s="590" t="str">
        <f t="shared" ref="K678:K691" si="218">F678&amp;L678</f>
        <v>47.0284.1.2.17.00.01.039.01.07.58.1</v>
      </c>
      <c r="L678" s="579" t="s">
        <v>1996</v>
      </c>
      <c r="M678" s="256" t="str">
        <f>'BD Temp'!F994</f>
        <v>-</v>
      </c>
      <c r="N678" s="255">
        <f>'BD Temp'!J994</f>
        <v>0</v>
      </c>
      <c r="O678" s="592" t="str">
        <f t="shared" ref="O678:O691" si="219">F678&amp;P678</f>
        <v>47.0284.1.2.17.00.01.039.01.07.58.2</v>
      </c>
      <c r="P678" s="578" t="s">
        <v>1998</v>
      </c>
      <c r="Q678" s="256" t="str">
        <f>'BD Temp'!K994</f>
        <v>-</v>
      </c>
      <c r="R678" s="255">
        <f>'BD Temp'!O994</f>
        <v>0</v>
      </c>
      <c r="S678" s="592" t="str">
        <f t="shared" ref="S678:S691" si="220">F678&amp;T678</f>
        <v>47.0284.1.2.17.00.01.039.01.07.58.3</v>
      </c>
      <c r="T678" s="578" t="s">
        <v>2000</v>
      </c>
      <c r="U678" s="256" t="str">
        <f>'BD Temp'!P994</f>
        <v>-</v>
      </c>
      <c r="V678" s="764"/>
      <c r="W678" s="767"/>
      <c r="X678" s="158"/>
      <c r="Y678" s="745"/>
      <c r="Z678" s="741">
        <v>0</v>
      </c>
      <c r="AA678" s="592" t="str">
        <f t="shared" ref="AA678:AA691" si="221">F678&amp;AB678</f>
        <v>47.0284.1.2.17.00.01.039.01.07.58.1</v>
      </c>
      <c r="AB678" s="739" t="s">
        <v>1996</v>
      </c>
      <c r="AC678" s="738">
        <v>0</v>
      </c>
      <c r="AD678" s="592" t="str">
        <f t="shared" ref="AD678:AD691" si="222">F678&amp;AE678</f>
        <v>47.0284.1.2.17.00.01.039.01.07.58.2</v>
      </c>
      <c r="AE678" s="739" t="s">
        <v>1998</v>
      </c>
      <c r="AF678" s="738">
        <v>0</v>
      </c>
      <c r="AG678" s="592" t="str">
        <f t="shared" ref="AG678:AG691" si="223">F678&amp;AH678</f>
        <v>47.0284.1.2.17.00.01.039.01.07.58.3</v>
      </c>
      <c r="AH678" s="739" t="s">
        <v>2000</v>
      </c>
      <c r="AI678" s="158"/>
    </row>
    <row r="679" spans="1:35" ht="15" hidden="1" customHeight="1" outlineLevel="3">
      <c r="A679" s="94">
        <v>208000</v>
      </c>
      <c r="B679" s="94">
        <v>3451</v>
      </c>
      <c r="C679" s="94"/>
      <c r="D679" s="94"/>
      <c r="E679" s="93" t="s">
        <v>3071</v>
      </c>
      <c r="F679" s="93" t="s">
        <v>5172</v>
      </c>
      <c r="G679" s="38" t="s">
        <v>684</v>
      </c>
      <c r="H679" s="583">
        <f>IFERROR(VLOOKUP(A679,'Colar QL'!A:C,3,0),0)</f>
        <v>0</v>
      </c>
      <c r="I679" s="69">
        <f t="shared" si="217"/>
        <v>0</v>
      </c>
      <c r="J679" s="258">
        <f>'BD Temp'!E995</f>
        <v>0</v>
      </c>
      <c r="K679" s="590" t="str">
        <f t="shared" si="218"/>
        <v>47.0284.1.2.17.00.01.039.01.07.58.1</v>
      </c>
      <c r="L679" s="579" t="s">
        <v>1996</v>
      </c>
      <c r="M679" s="256">
        <f>'BD Temp'!F995</f>
        <v>0</v>
      </c>
      <c r="N679" s="255">
        <f>'BD Temp'!J995</f>
        <v>0</v>
      </c>
      <c r="O679" s="592" t="str">
        <f t="shared" si="219"/>
        <v>47.0284.1.2.17.00.01.039.01.07.58.2</v>
      </c>
      <c r="P679" s="578" t="s">
        <v>1998</v>
      </c>
      <c r="Q679" s="256">
        <f>'BD Temp'!K995</f>
        <v>0</v>
      </c>
      <c r="R679" s="255">
        <f>'BD Temp'!O995</f>
        <v>0</v>
      </c>
      <c r="S679" s="592" t="str">
        <f t="shared" si="220"/>
        <v>47.0284.1.2.17.00.01.039.01.07.58.3</v>
      </c>
      <c r="T679" s="578" t="s">
        <v>2000</v>
      </c>
      <c r="U679" s="256">
        <f>'BD Temp'!P995</f>
        <v>0</v>
      </c>
      <c r="V679" s="764"/>
      <c r="W679" s="767"/>
      <c r="X679" s="164"/>
      <c r="Y679" s="746"/>
      <c r="Z679" s="741">
        <v>0</v>
      </c>
      <c r="AA679" s="592" t="str">
        <f t="shared" si="221"/>
        <v>47.0284.1.2.17.00.01.039.01.07.58.1</v>
      </c>
      <c r="AB679" s="739" t="s">
        <v>1996</v>
      </c>
      <c r="AC679" s="738">
        <v>0</v>
      </c>
      <c r="AD679" s="592" t="str">
        <f t="shared" si="222"/>
        <v>47.0284.1.2.17.00.01.039.01.07.58.2</v>
      </c>
      <c r="AE679" s="739" t="s">
        <v>1998</v>
      </c>
      <c r="AF679" s="738">
        <v>0</v>
      </c>
      <c r="AG679" s="592" t="str">
        <f t="shared" si="223"/>
        <v>47.0284.1.2.17.00.01.039.01.07.58.3</v>
      </c>
      <c r="AH679" s="739" t="s">
        <v>2000</v>
      </c>
      <c r="AI679" s="164"/>
    </row>
    <row r="680" spans="1:35" ht="15" hidden="1" customHeight="1" outlineLevel="3">
      <c r="A680" s="94">
        <v>208005</v>
      </c>
      <c r="B680" s="94">
        <v>3451</v>
      </c>
      <c r="C680" s="94"/>
      <c r="D680" s="94"/>
      <c r="E680" s="93" t="s">
        <v>3071</v>
      </c>
      <c r="F680" s="93" t="s">
        <v>5172</v>
      </c>
      <c r="G680" s="38" t="s">
        <v>266</v>
      </c>
      <c r="H680" s="583">
        <f>IFERROR(VLOOKUP(A680,'Colar QL'!A:C,3,0),0)</f>
        <v>0</v>
      </c>
      <c r="I680" s="69">
        <f t="shared" si="217"/>
        <v>0</v>
      </c>
      <c r="J680" s="771">
        <f>'BD Temp'!E1014</f>
        <v>0</v>
      </c>
      <c r="K680" s="590" t="str">
        <f t="shared" si="218"/>
        <v>47.0284.1.2.17.00.01.039.01.07.58.1</v>
      </c>
      <c r="L680" s="579" t="s">
        <v>1996</v>
      </c>
      <c r="M680" s="256" t="str">
        <f>'BD Temp'!F1014</f>
        <v>-</v>
      </c>
      <c r="N680" s="255">
        <f>'BD Temp'!J1014</f>
        <v>0</v>
      </c>
      <c r="O680" s="592" t="str">
        <f t="shared" si="219"/>
        <v>47.0284.1.2.17.00.01.039.01.07.58.2</v>
      </c>
      <c r="P680" s="578" t="s">
        <v>1998</v>
      </c>
      <c r="Q680" s="256" t="str">
        <f>'BD Temp'!K1014</f>
        <v>-</v>
      </c>
      <c r="R680" s="255">
        <f>'BD Temp'!O1014</f>
        <v>0</v>
      </c>
      <c r="S680" s="592" t="str">
        <f t="shared" si="220"/>
        <v>47.0284.1.2.17.00.01.039.01.07.58.3</v>
      </c>
      <c r="T680" s="578" t="s">
        <v>2000</v>
      </c>
      <c r="U680" s="256" t="str">
        <f>'BD Temp'!P1014</f>
        <v>-</v>
      </c>
      <c r="V680" s="764"/>
      <c r="W680" s="767"/>
      <c r="X680" s="164" t="s">
        <v>3076</v>
      </c>
      <c r="Y680" s="746"/>
      <c r="Z680" s="741">
        <v>0</v>
      </c>
      <c r="AA680" s="592" t="str">
        <f t="shared" si="221"/>
        <v>47.0284.1.2.17.00.01.039.01.07.58.1</v>
      </c>
      <c r="AB680" s="739" t="s">
        <v>1996</v>
      </c>
      <c r="AC680" s="738">
        <v>0</v>
      </c>
      <c r="AD680" s="592" t="str">
        <f t="shared" si="222"/>
        <v>47.0284.1.2.17.00.01.039.01.07.58.2</v>
      </c>
      <c r="AE680" s="739" t="s">
        <v>1998</v>
      </c>
      <c r="AF680" s="738">
        <v>0</v>
      </c>
      <c r="AG680" s="592" t="str">
        <f t="shared" si="223"/>
        <v>47.0284.1.2.17.00.01.039.01.07.58.3</v>
      </c>
      <c r="AH680" s="739" t="s">
        <v>2000</v>
      </c>
      <c r="AI680" s="164"/>
    </row>
    <row r="681" spans="1:35" ht="15" hidden="1" customHeight="1" outlineLevel="3">
      <c r="A681" s="93">
        <v>208010</v>
      </c>
      <c r="B681" s="93">
        <v>3451</v>
      </c>
      <c r="C681" s="93"/>
      <c r="D681" s="93"/>
      <c r="E681" s="93" t="s">
        <v>3071</v>
      </c>
      <c r="F681" s="93" t="s">
        <v>5172</v>
      </c>
      <c r="G681" s="37" t="s">
        <v>685</v>
      </c>
      <c r="H681" s="583">
        <f>IFERROR(VLOOKUP(A681,'Colar QL'!A:C,3,0),0)</f>
        <v>1</v>
      </c>
      <c r="I681" s="69">
        <f t="shared" si="217"/>
        <v>1</v>
      </c>
      <c r="J681" s="771">
        <f>'BD Temp'!E1015</f>
        <v>1</v>
      </c>
      <c r="K681" s="590" t="str">
        <f t="shared" si="218"/>
        <v>47.0284.1.2.17.00.01.039.01.07.58.1</v>
      </c>
      <c r="L681" s="579" t="s">
        <v>1996</v>
      </c>
      <c r="M681" s="256">
        <f>'BD Temp'!F1015</f>
        <v>0</v>
      </c>
      <c r="N681" s="255">
        <f>'BD Temp'!J1015</f>
        <v>0</v>
      </c>
      <c r="O681" s="592" t="str">
        <f t="shared" si="219"/>
        <v>47.0284.1.2.17.00.01.039.01.07.58.2</v>
      </c>
      <c r="P681" s="578" t="s">
        <v>1998</v>
      </c>
      <c r="Q681" s="256">
        <f>'BD Temp'!K1015</f>
        <v>0</v>
      </c>
      <c r="R681" s="255">
        <f>'BD Temp'!O1015</f>
        <v>0</v>
      </c>
      <c r="S681" s="592" t="str">
        <f t="shared" si="220"/>
        <v>47.0284.1.2.17.00.01.039.01.07.58.3</v>
      </c>
      <c r="T681" s="578" t="s">
        <v>2000</v>
      </c>
      <c r="U681" s="256">
        <f>'BD Temp'!P1015</f>
        <v>0</v>
      </c>
      <c r="V681" s="764"/>
      <c r="W681" s="767"/>
      <c r="X681" s="158"/>
      <c r="Y681" s="745"/>
      <c r="Z681" s="741">
        <v>0</v>
      </c>
      <c r="AA681" s="592" t="str">
        <f t="shared" si="221"/>
        <v>47.0284.1.2.17.00.01.039.01.07.58.1</v>
      </c>
      <c r="AB681" s="739" t="s">
        <v>1996</v>
      </c>
      <c r="AC681" s="738">
        <v>0</v>
      </c>
      <c r="AD681" s="592" t="str">
        <f t="shared" si="222"/>
        <v>47.0284.1.2.17.00.01.039.01.07.58.2</v>
      </c>
      <c r="AE681" s="739" t="s">
        <v>1998</v>
      </c>
      <c r="AF681" s="738">
        <v>0</v>
      </c>
      <c r="AG681" s="592" t="str">
        <f t="shared" si="223"/>
        <v>47.0284.1.2.17.00.01.039.01.07.58.3</v>
      </c>
      <c r="AH681" s="739" t="s">
        <v>2000</v>
      </c>
      <c r="AI681" s="158"/>
    </row>
    <row r="682" spans="1:35" ht="15" hidden="1" customHeight="1" outlineLevel="3">
      <c r="A682" s="153">
        <v>208015</v>
      </c>
      <c r="B682" s="153">
        <v>3451</v>
      </c>
      <c r="C682" s="153"/>
      <c r="D682" s="153"/>
      <c r="E682" s="93" t="s">
        <v>2971</v>
      </c>
      <c r="F682" s="93" t="s">
        <v>5350</v>
      </c>
      <c r="G682" s="37" t="s">
        <v>139</v>
      </c>
      <c r="H682" s="583">
        <f>IFERROR(VLOOKUP(A682,'Colar QL'!A:C,3,0),0)</f>
        <v>0</v>
      </c>
      <c r="I682" s="69">
        <f t="shared" si="217"/>
        <v>0</v>
      </c>
      <c r="J682" s="771">
        <f>'BD Temp'!E1019</f>
        <v>0</v>
      </c>
      <c r="K682" s="590" t="str">
        <f t="shared" si="218"/>
        <v>47.0284.1.2.17.00.01.039.01.20.03.1</v>
      </c>
      <c r="L682" s="579" t="s">
        <v>1996</v>
      </c>
      <c r="M682" s="256">
        <f>'BD Temp'!F1019</f>
        <v>0</v>
      </c>
      <c r="N682" s="255">
        <f>'BD Temp'!J1019</f>
        <v>0</v>
      </c>
      <c r="O682" s="592" t="str">
        <f t="shared" si="219"/>
        <v>47.0284.1.2.17.00.01.039.01.20.03.2</v>
      </c>
      <c r="P682" s="578" t="s">
        <v>1998</v>
      </c>
      <c r="Q682" s="256">
        <f>'BD Temp'!K1019</f>
        <v>0</v>
      </c>
      <c r="R682" s="255">
        <f>'BD Temp'!O1019</f>
        <v>0</v>
      </c>
      <c r="S682" s="592" t="str">
        <f t="shared" si="220"/>
        <v>47.0284.1.2.17.00.01.039.01.20.03.3</v>
      </c>
      <c r="T682" s="578" t="s">
        <v>2000</v>
      </c>
      <c r="U682" s="256">
        <f>'BD Temp'!P1019</f>
        <v>0</v>
      </c>
      <c r="V682" s="764"/>
      <c r="W682" s="767"/>
      <c r="X682" s="158"/>
      <c r="Y682" s="745"/>
      <c r="Z682" s="741">
        <v>0</v>
      </c>
      <c r="AA682" s="592" t="str">
        <f t="shared" si="221"/>
        <v>47.0284.1.2.17.00.01.039.01.20.03.1</v>
      </c>
      <c r="AB682" s="739" t="s">
        <v>1996</v>
      </c>
      <c r="AC682" s="738">
        <v>0</v>
      </c>
      <c r="AD682" s="592" t="str">
        <f t="shared" si="222"/>
        <v>47.0284.1.2.17.00.01.039.01.20.03.2</v>
      </c>
      <c r="AE682" s="739" t="s">
        <v>1998</v>
      </c>
      <c r="AF682" s="738">
        <v>0</v>
      </c>
      <c r="AG682" s="592" t="str">
        <f t="shared" si="223"/>
        <v>47.0284.1.2.17.00.01.039.01.20.03.3</v>
      </c>
      <c r="AH682" s="739" t="s">
        <v>2000</v>
      </c>
      <c r="AI682" s="158"/>
    </row>
    <row r="683" spans="1:35" ht="15" hidden="1" customHeight="1" outlineLevel="3">
      <c r="A683" s="93">
        <v>208020</v>
      </c>
      <c r="B683" s="93">
        <v>3451</v>
      </c>
      <c r="C683" s="93"/>
      <c r="D683" s="93"/>
      <c r="E683" s="93" t="s">
        <v>3071</v>
      </c>
      <c r="F683" s="93" t="s">
        <v>5172</v>
      </c>
      <c r="G683" s="37" t="s">
        <v>140</v>
      </c>
      <c r="H683" s="583">
        <f>IFERROR(VLOOKUP(A683,'Colar QL'!A:C,3,0),0)</f>
        <v>1</v>
      </c>
      <c r="I683" s="69">
        <f t="shared" si="217"/>
        <v>1</v>
      </c>
      <c r="J683" s="771">
        <f>'BD Temp'!E1023</f>
        <v>1</v>
      </c>
      <c r="K683" s="590" t="str">
        <f t="shared" si="218"/>
        <v>47.0284.1.2.17.00.01.039.01.07.58.1</v>
      </c>
      <c r="L683" s="579" t="s">
        <v>1996</v>
      </c>
      <c r="M683" s="256">
        <f>'BD Temp'!F1023</f>
        <v>0.10082585458927498</v>
      </c>
      <c r="N683" s="255">
        <f>'BD Temp'!J1023</f>
        <v>0</v>
      </c>
      <c r="O683" s="592" t="str">
        <f t="shared" si="219"/>
        <v>47.0284.1.2.17.00.01.039.01.07.58.2</v>
      </c>
      <c r="P683" s="578" t="s">
        <v>1998</v>
      </c>
      <c r="Q683" s="256">
        <f>'BD Temp'!K1023</f>
        <v>0</v>
      </c>
      <c r="R683" s="255">
        <f>'BD Temp'!O1023</f>
        <v>0</v>
      </c>
      <c r="S683" s="592" t="str">
        <f t="shared" si="220"/>
        <v>47.0284.1.2.17.00.01.039.01.07.58.3</v>
      </c>
      <c r="T683" s="578" t="s">
        <v>2000</v>
      </c>
      <c r="U683" s="256">
        <f>'BD Temp'!P1023</f>
        <v>0</v>
      </c>
      <c r="V683" s="764"/>
      <c r="W683" s="767"/>
      <c r="X683" s="158"/>
      <c r="Y683" s="745"/>
      <c r="Z683" s="741">
        <v>0</v>
      </c>
      <c r="AA683" s="592" t="str">
        <f t="shared" si="221"/>
        <v>47.0284.1.2.17.00.01.039.01.07.58.1</v>
      </c>
      <c r="AB683" s="739" t="s">
        <v>1996</v>
      </c>
      <c r="AC683" s="738">
        <v>0</v>
      </c>
      <c r="AD683" s="592" t="str">
        <f t="shared" si="222"/>
        <v>47.0284.1.2.17.00.01.039.01.07.58.2</v>
      </c>
      <c r="AE683" s="739" t="s">
        <v>1998</v>
      </c>
      <c r="AF683" s="738">
        <v>0</v>
      </c>
      <c r="AG683" s="592" t="str">
        <f t="shared" si="223"/>
        <v>47.0284.1.2.17.00.01.039.01.07.58.3</v>
      </c>
      <c r="AH683" s="739" t="s">
        <v>2000</v>
      </c>
      <c r="AI683" s="158"/>
    </row>
    <row r="684" spans="1:35" ht="15" hidden="1" customHeight="1" outlineLevel="3">
      <c r="A684" s="93">
        <v>208025</v>
      </c>
      <c r="B684" s="93">
        <v>3451</v>
      </c>
      <c r="C684" s="93"/>
      <c r="D684" s="93"/>
      <c r="E684" s="93" t="s">
        <v>3071</v>
      </c>
      <c r="F684" s="93" t="s">
        <v>5172</v>
      </c>
      <c r="G684" s="37" t="s">
        <v>267</v>
      </c>
      <c r="H684" s="583">
        <f>IFERROR(VLOOKUP(A684,'Colar QL'!A:C,3,0),0)</f>
        <v>0</v>
      </c>
      <c r="I684" s="69">
        <f t="shared" si="217"/>
        <v>0</v>
      </c>
      <c r="J684" s="258">
        <f>'BD Temp'!E1028</f>
        <v>0</v>
      </c>
      <c r="K684" s="590" t="str">
        <f t="shared" si="218"/>
        <v>47.0284.1.2.17.00.01.039.01.07.58.1</v>
      </c>
      <c r="L684" s="579" t="s">
        <v>1996</v>
      </c>
      <c r="M684" s="256" t="str">
        <f>'BD Temp'!F1028</f>
        <v>-</v>
      </c>
      <c r="N684" s="255">
        <f>'BD Temp'!J1028</f>
        <v>0</v>
      </c>
      <c r="O684" s="592" t="str">
        <f t="shared" si="219"/>
        <v>47.0284.1.2.17.00.01.039.01.07.58.2</v>
      </c>
      <c r="P684" s="578" t="s">
        <v>1998</v>
      </c>
      <c r="Q684" s="256" t="str">
        <f>'BD Temp'!K1028</f>
        <v>-</v>
      </c>
      <c r="R684" s="255">
        <f>'BD Temp'!O1028</f>
        <v>0</v>
      </c>
      <c r="S684" s="592" t="str">
        <f t="shared" si="220"/>
        <v>47.0284.1.2.17.00.01.039.01.07.58.3</v>
      </c>
      <c r="T684" s="578" t="s">
        <v>2000</v>
      </c>
      <c r="U684" s="256" t="str">
        <f>'BD Temp'!P1028</f>
        <v>-</v>
      </c>
      <c r="V684" s="764"/>
      <c r="W684" s="764"/>
      <c r="X684" s="158"/>
      <c r="Y684" s="745"/>
      <c r="Z684" s="741">
        <v>0</v>
      </c>
      <c r="AA684" s="592" t="str">
        <f t="shared" si="221"/>
        <v>47.0284.1.2.17.00.01.039.01.07.58.1</v>
      </c>
      <c r="AB684" s="739" t="s">
        <v>1996</v>
      </c>
      <c r="AC684" s="738">
        <v>0</v>
      </c>
      <c r="AD684" s="592" t="str">
        <f t="shared" si="222"/>
        <v>47.0284.1.2.17.00.01.039.01.07.58.2</v>
      </c>
      <c r="AE684" s="739" t="s">
        <v>1998</v>
      </c>
      <c r="AF684" s="738">
        <v>0</v>
      </c>
      <c r="AG684" s="592" t="str">
        <f t="shared" si="223"/>
        <v>47.0284.1.2.17.00.01.039.01.07.58.3</v>
      </c>
      <c r="AH684" s="739" t="s">
        <v>2000</v>
      </c>
      <c r="AI684" s="158"/>
    </row>
    <row r="685" spans="1:35" ht="15" hidden="1" customHeight="1" outlineLevel="3">
      <c r="A685" s="93">
        <v>208030</v>
      </c>
      <c r="B685" s="93">
        <v>3451</v>
      </c>
      <c r="C685" s="93"/>
      <c r="D685" s="93"/>
      <c r="E685" s="93" t="s">
        <v>3071</v>
      </c>
      <c r="F685" s="93" t="s">
        <v>5172</v>
      </c>
      <c r="G685" s="37" t="s">
        <v>58</v>
      </c>
      <c r="H685" s="583">
        <f>IFERROR(VLOOKUP(A685,'Colar QL'!A:C,3,0),0)</f>
        <v>0</v>
      </c>
      <c r="I685" s="69">
        <f t="shared" si="217"/>
        <v>0</v>
      </c>
      <c r="J685" s="771">
        <f>'BD Temp'!E1001</f>
        <v>0</v>
      </c>
      <c r="K685" s="590" t="str">
        <f t="shared" si="218"/>
        <v>47.0284.1.2.17.00.01.039.01.07.58.1</v>
      </c>
      <c r="L685" s="579" t="s">
        <v>1996</v>
      </c>
      <c r="M685" s="256" t="str">
        <f>'BD Temp'!F1029</f>
        <v>-</v>
      </c>
      <c r="N685" s="255">
        <f>'BD Temp'!J1029</f>
        <v>0</v>
      </c>
      <c r="O685" s="592" t="str">
        <f t="shared" si="219"/>
        <v>47.0284.1.2.17.00.01.039.01.07.58.2</v>
      </c>
      <c r="P685" s="578" t="s">
        <v>1998</v>
      </c>
      <c r="Q685" s="256" t="str">
        <f>'BD Temp'!K1029</f>
        <v>-</v>
      </c>
      <c r="R685" s="255">
        <f>'BD Temp'!O1029</f>
        <v>0</v>
      </c>
      <c r="S685" s="592" t="str">
        <f t="shared" si="220"/>
        <v>47.0284.1.2.17.00.01.039.01.07.58.3</v>
      </c>
      <c r="T685" s="578" t="s">
        <v>2000</v>
      </c>
      <c r="U685" s="256" t="str">
        <f>'BD Temp'!P1029</f>
        <v>-</v>
      </c>
      <c r="V685" s="764"/>
      <c r="W685" s="767"/>
      <c r="X685" s="164"/>
      <c r="Y685" s="745"/>
      <c r="Z685" s="741">
        <v>0</v>
      </c>
      <c r="AA685" s="592" t="str">
        <f t="shared" si="221"/>
        <v>47.0284.1.2.17.00.01.039.01.07.58.1</v>
      </c>
      <c r="AB685" s="739" t="s">
        <v>1996</v>
      </c>
      <c r="AC685" s="738">
        <v>0</v>
      </c>
      <c r="AD685" s="592" t="str">
        <f t="shared" si="222"/>
        <v>47.0284.1.2.17.00.01.039.01.07.58.2</v>
      </c>
      <c r="AE685" s="739" t="s">
        <v>1998</v>
      </c>
      <c r="AF685" s="738">
        <v>0</v>
      </c>
      <c r="AG685" s="592" t="str">
        <f t="shared" si="223"/>
        <v>47.0284.1.2.17.00.01.039.01.07.58.3</v>
      </c>
      <c r="AH685" s="739" t="s">
        <v>2000</v>
      </c>
      <c r="AI685" s="158"/>
    </row>
    <row r="686" spans="1:35" ht="15" hidden="1" customHeight="1" outlineLevel="3">
      <c r="A686" s="93">
        <v>208035</v>
      </c>
      <c r="B686" s="93">
        <v>3451</v>
      </c>
      <c r="C686" s="93"/>
      <c r="D686" s="93"/>
      <c r="E686" s="93" t="s">
        <v>2971</v>
      </c>
      <c r="F686" s="93" t="s">
        <v>5350</v>
      </c>
      <c r="G686" s="37" t="s">
        <v>686</v>
      </c>
      <c r="H686" s="583">
        <f>IFERROR(VLOOKUP(A686,'Colar QL'!A:C,3,0),0)</f>
        <v>1</v>
      </c>
      <c r="I686" s="69">
        <f t="shared" si="217"/>
        <v>1</v>
      </c>
      <c r="J686" s="771">
        <f>'BD Temp'!E1030</f>
        <v>1</v>
      </c>
      <c r="K686" s="590" t="str">
        <f t="shared" si="218"/>
        <v>47.0284.1.2.17.00.01.039.01.20.03.1</v>
      </c>
      <c r="L686" s="579" t="s">
        <v>1996</v>
      </c>
      <c r="M686" s="256">
        <f>'BD Temp'!F1030</f>
        <v>0.95000000000000007</v>
      </c>
      <c r="N686" s="255">
        <f>'BD Temp'!J1030</f>
        <v>0</v>
      </c>
      <c r="O686" s="592" t="str">
        <f t="shared" si="219"/>
        <v>47.0284.1.2.17.00.01.039.01.20.03.2</v>
      </c>
      <c r="P686" s="578" t="s">
        <v>1998</v>
      </c>
      <c r="Q686" s="256">
        <f>'BD Temp'!K1030</f>
        <v>0</v>
      </c>
      <c r="R686" s="255">
        <f>'BD Temp'!O1030</f>
        <v>0</v>
      </c>
      <c r="S686" s="592" t="str">
        <f t="shared" si="220"/>
        <v>47.0284.1.2.17.00.01.039.01.20.03.3</v>
      </c>
      <c r="T686" s="578" t="s">
        <v>2000</v>
      </c>
      <c r="U686" s="256">
        <f>'BD Temp'!P1030</f>
        <v>0</v>
      </c>
      <c r="V686" s="764"/>
      <c r="W686" s="767"/>
      <c r="X686" s="158"/>
      <c r="Y686" s="745"/>
      <c r="Z686" s="741">
        <v>0</v>
      </c>
      <c r="AA686" s="592" t="str">
        <f t="shared" si="221"/>
        <v>47.0284.1.2.17.00.01.039.01.20.03.1</v>
      </c>
      <c r="AB686" s="739" t="s">
        <v>1996</v>
      </c>
      <c r="AC686" s="738">
        <v>0</v>
      </c>
      <c r="AD686" s="592" t="str">
        <f t="shared" si="222"/>
        <v>47.0284.1.2.17.00.01.039.01.20.03.2</v>
      </c>
      <c r="AE686" s="739" t="s">
        <v>1998</v>
      </c>
      <c r="AF686" s="738">
        <v>0</v>
      </c>
      <c r="AG686" s="592" t="str">
        <f t="shared" si="223"/>
        <v>47.0284.1.2.17.00.01.039.01.20.03.3</v>
      </c>
      <c r="AH686" s="739" t="s">
        <v>2000</v>
      </c>
      <c r="AI686" s="158"/>
    </row>
    <row r="687" spans="1:35" ht="15" hidden="1" customHeight="1" outlineLevel="3">
      <c r="A687" s="93">
        <v>208040</v>
      </c>
      <c r="B687" s="93">
        <v>3451</v>
      </c>
      <c r="C687" s="93"/>
      <c r="D687" s="93"/>
      <c r="E687" s="93" t="s">
        <v>3071</v>
      </c>
      <c r="F687" s="93" t="s">
        <v>5172</v>
      </c>
      <c r="G687" s="37" t="s">
        <v>141</v>
      </c>
      <c r="H687" s="583">
        <f>IFERROR(VLOOKUP(A687,'Colar QL'!A:C,3,0),0)</f>
        <v>0</v>
      </c>
      <c r="I687" s="69">
        <f t="shared" si="217"/>
        <v>0</v>
      </c>
      <c r="J687" s="771">
        <f>'BD Temp'!E1036</f>
        <v>0</v>
      </c>
      <c r="K687" s="590" t="str">
        <f t="shared" si="218"/>
        <v>47.0284.1.2.17.00.01.039.01.07.58.1</v>
      </c>
      <c r="L687" s="579" t="s">
        <v>1996</v>
      </c>
      <c r="M687" s="256" t="str">
        <f>'BD Temp'!F1036</f>
        <v>-</v>
      </c>
      <c r="N687" s="255">
        <f>'BD Temp'!J1036</f>
        <v>0</v>
      </c>
      <c r="O687" s="592" t="str">
        <f t="shared" si="219"/>
        <v>47.0284.1.2.17.00.01.039.01.07.58.2</v>
      </c>
      <c r="P687" s="578" t="s">
        <v>1998</v>
      </c>
      <c r="Q687" s="256" t="str">
        <f>'BD Temp'!K1036</f>
        <v>-</v>
      </c>
      <c r="R687" s="255">
        <f>'BD Temp'!O1036</f>
        <v>0</v>
      </c>
      <c r="S687" s="592" t="str">
        <f t="shared" si="220"/>
        <v>47.0284.1.2.17.00.01.039.01.07.58.3</v>
      </c>
      <c r="T687" s="578" t="s">
        <v>2000</v>
      </c>
      <c r="U687" s="256" t="str">
        <f>'BD Temp'!P1036</f>
        <v>-</v>
      </c>
      <c r="V687" s="764"/>
      <c r="W687" s="767"/>
      <c r="X687" s="158" t="s">
        <v>3087</v>
      </c>
      <c r="Y687" s="745"/>
      <c r="Z687" s="741">
        <v>0</v>
      </c>
      <c r="AA687" s="592" t="str">
        <f t="shared" si="221"/>
        <v>47.0284.1.2.17.00.01.039.01.07.58.1</v>
      </c>
      <c r="AB687" s="739" t="s">
        <v>1996</v>
      </c>
      <c r="AC687" s="738">
        <v>0</v>
      </c>
      <c r="AD687" s="592" t="str">
        <f t="shared" si="222"/>
        <v>47.0284.1.2.17.00.01.039.01.07.58.2</v>
      </c>
      <c r="AE687" s="739" t="s">
        <v>1998</v>
      </c>
      <c r="AF687" s="738">
        <v>0</v>
      </c>
      <c r="AG687" s="592" t="str">
        <f t="shared" si="223"/>
        <v>47.0284.1.2.17.00.01.039.01.07.58.3</v>
      </c>
      <c r="AH687" s="739" t="s">
        <v>2000</v>
      </c>
      <c r="AI687" s="158"/>
    </row>
    <row r="688" spans="1:35" ht="15" hidden="1" customHeight="1" outlineLevel="3">
      <c r="A688" s="95"/>
      <c r="B688" s="95" t="s">
        <v>1075</v>
      </c>
      <c r="C688" s="95"/>
      <c r="D688" s="95"/>
      <c r="E688" s="774"/>
      <c r="F688" s="774" t="s">
        <v>1075</v>
      </c>
      <c r="G688" s="13"/>
      <c r="H688" s="81"/>
      <c r="I688" s="71">
        <f t="shared" si="217"/>
        <v>0</v>
      </c>
      <c r="J688" s="48"/>
      <c r="K688" s="590" t="str">
        <f t="shared" si="218"/>
        <v>.1</v>
      </c>
      <c r="L688" s="579" t="s">
        <v>1996</v>
      </c>
      <c r="M688" s="74"/>
      <c r="N688" s="49"/>
      <c r="O688" s="592" t="str">
        <f t="shared" si="219"/>
        <v>.2</v>
      </c>
      <c r="P688" s="578" t="s">
        <v>1998</v>
      </c>
      <c r="Q688" s="74"/>
      <c r="R688" s="49"/>
      <c r="S688" s="592" t="str">
        <f t="shared" si="220"/>
        <v>.3</v>
      </c>
      <c r="T688" s="578" t="s">
        <v>2000</v>
      </c>
      <c r="U688" s="74"/>
      <c r="V688" s="766"/>
      <c r="W688" s="766"/>
      <c r="X688" s="171"/>
      <c r="Y688" s="745"/>
      <c r="Z688" s="741">
        <v>0</v>
      </c>
      <c r="AA688" s="592" t="str">
        <f t="shared" si="221"/>
        <v>.1</v>
      </c>
      <c r="AB688" s="739" t="s">
        <v>1996</v>
      </c>
      <c r="AC688" s="738">
        <v>0</v>
      </c>
      <c r="AD688" s="592" t="str">
        <f t="shared" si="222"/>
        <v>.2</v>
      </c>
      <c r="AE688" s="739" t="s">
        <v>1998</v>
      </c>
      <c r="AF688" s="738">
        <v>0</v>
      </c>
      <c r="AG688" s="592" t="str">
        <f t="shared" si="223"/>
        <v>.3</v>
      </c>
      <c r="AH688" s="739" t="s">
        <v>2000</v>
      </c>
      <c r="AI688" s="171"/>
    </row>
    <row r="689" spans="1:35" ht="15" hidden="1" customHeight="1" outlineLevel="3">
      <c r="A689" s="96"/>
      <c r="B689" s="96" t="s">
        <v>1075</v>
      </c>
      <c r="C689" s="96"/>
      <c r="D689" s="96"/>
      <c r="E689" s="96"/>
      <c r="F689" s="96" t="s">
        <v>1075</v>
      </c>
      <c r="G689" s="36" t="s">
        <v>723</v>
      </c>
      <c r="H689" s="81"/>
      <c r="I689" s="71">
        <f t="shared" si="217"/>
        <v>0</v>
      </c>
      <c r="J689" s="48"/>
      <c r="K689" s="590" t="str">
        <f t="shared" si="218"/>
        <v>.1</v>
      </c>
      <c r="L689" s="579" t="s">
        <v>1996</v>
      </c>
      <c r="M689" s="74"/>
      <c r="N689" s="49"/>
      <c r="O689" s="592" t="str">
        <f t="shared" si="219"/>
        <v>.2</v>
      </c>
      <c r="P689" s="578" t="s">
        <v>1998</v>
      </c>
      <c r="Q689" s="74"/>
      <c r="R689" s="49"/>
      <c r="S689" s="592" t="str">
        <f t="shared" si="220"/>
        <v>.3</v>
      </c>
      <c r="T689" s="578" t="s">
        <v>2000</v>
      </c>
      <c r="U689" s="74"/>
      <c r="V689" s="766"/>
      <c r="W689" s="766"/>
      <c r="X689" s="171"/>
      <c r="Y689" s="745"/>
      <c r="Z689" s="741">
        <v>0</v>
      </c>
      <c r="AA689" s="592" t="str">
        <f t="shared" si="221"/>
        <v>.1</v>
      </c>
      <c r="AB689" s="739" t="s">
        <v>1996</v>
      </c>
      <c r="AC689" s="738">
        <v>0</v>
      </c>
      <c r="AD689" s="592" t="str">
        <f t="shared" si="222"/>
        <v>.2</v>
      </c>
      <c r="AE689" s="739" t="s">
        <v>1998</v>
      </c>
      <c r="AF689" s="738">
        <v>0</v>
      </c>
      <c r="AG689" s="592" t="str">
        <f t="shared" si="223"/>
        <v>.3</v>
      </c>
      <c r="AH689" s="739" t="s">
        <v>2000</v>
      </c>
      <c r="AI689" s="171"/>
    </row>
    <row r="690" spans="1:35" ht="15" hidden="1" customHeight="1" outlineLevel="3">
      <c r="A690" s="911" t="s">
        <v>2301</v>
      </c>
      <c r="B690" s="94">
        <v>3451</v>
      </c>
      <c r="C690" s="93"/>
      <c r="D690" s="93"/>
      <c r="E690" s="93" t="s">
        <v>3071</v>
      </c>
      <c r="F690" s="93" t="s">
        <v>5172</v>
      </c>
      <c r="G690" s="37" t="s">
        <v>5393</v>
      </c>
      <c r="H690" s="707">
        <f>IFERROR(VLOOKUP(A690,'Colar QL'!A:C,3,0),0)</f>
        <v>0</v>
      </c>
      <c r="I690" s="69">
        <f t="shared" ref="I690" si="224">IFERROR((J690+N690+R690),0)</f>
        <v>1</v>
      </c>
      <c r="J690" s="771">
        <f>'BD Temp'!E1039</f>
        <v>1</v>
      </c>
      <c r="K690" s="590" t="str">
        <f t="shared" ref="K690" si="225">F690&amp;L690</f>
        <v>47.0284.1.2.17.00.01.039.01.07.58.1</v>
      </c>
      <c r="L690" s="771" t="s">
        <v>1996</v>
      </c>
      <c r="M690" s="772" t="str">
        <f>'BD Temp'!F1039</f>
        <v>-</v>
      </c>
      <c r="N690" s="770">
        <f>'BD Temp'!J1039</f>
        <v>0</v>
      </c>
      <c r="O690" s="592" t="str">
        <f t="shared" ref="O690" si="226">F690&amp;P690</f>
        <v>47.0284.1.2.17.00.01.039.01.07.58.2</v>
      </c>
      <c r="P690" s="772" t="s">
        <v>1998</v>
      </c>
      <c r="Q690" s="772" t="str">
        <f>'BD Temp'!K1039</f>
        <v>-</v>
      </c>
      <c r="R690" s="770">
        <f>'BD Temp'!O1039</f>
        <v>0</v>
      </c>
      <c r="S690" s="592" t="str">
        <f t="shared" ref="S690" si="227">F690&amp;T690</f>
        <v>47.0284.1.2.17.00.01.039.01.07.58.3</v>
      </c>
      <c r="T690" s="772" t="s">
        <v>2000</v>
      </c>
      <c r="U690" s="772" t="str">
        <f>'BD Temp'!P1039</f>
        <v>-</v>
      </c>
      <c r="V690" s="764"/>
      <c r="W690" s="767"/>
      <c r="X690" s="158" t="s">
        <v>3087</v>
      </c>
      <c r="Y690" s="745"/>
      <c r="Z690" s="771">
        <v>0</v>
      </c>
      <c r="AA690" s="592" t="str">
        <f t="shared" ref="AA690" si="228">F690&amp;AB690</f>
        <v>47.0284.1.2.17.00.01.039.01.07.58.1</v>
      </c>
      <c r="AB690" s="772" t="s">
        <v>1996</v>
      </c>
      <c r="AC690" s="770">
        <v>0</v>
      </c>
      <c r="AD690" s="592" t="str">
        <f t="shared" ref="AD690" si="229">F690&amp;AE690</f>
        <v>47.0284.1.2.17.00.01.039.01.07.58.2</v>
      </c>
      <c r="AE690" s="772" t="s">
        <v>1998</v>
      </c>
      <c r="AF690" s="770">
        <v>0</v>
      </c>
      <c r="AG690" s="592" t="str">
        <f t="shared" ref="AG690" si="230">F690&amp;AH690</f>
        <v>47.0284.1.2.17.00.01.039.01.07.58.3</v>
      </c>
      <c r="AH690" s="772" t="s">
        <v>2000</v>
      </c>
      <c r="AI690" s="158"/>
    </row>
    <row r="691" spans="1:35" ht="15" hidden="1" customHeight="1" outlineLevel="3">
      <c r="A691" s="95"/>
      <c r="B691" s="95" t="s">
        <v>1075</v>
      </c>
      <c r="C691" s="95"/>
      <c r="D691" s="95"/>
      <c r="E691" s="774"/>
      <c r="F691" s="774" t="s">
        <v>1075</v>
      </c>
      <c r="G691" s="13"/>
      <c r="H691" s="79"/>
      <c r="I691" s="71">
        <f t="shared" si="217"/>
        <v>0</v>
      </c>
      <c r="J691" s="48"/>
      <c r="K691" s="590" t="str">
        <f t="shared" si="218"/>
        <v>.1</v>
      </c>
      <c r="L691" s="579" t="s">
        <v>1996</v>
      </c>
      <c r="M691" s="74"/>
      <c r="N691" s="49"/>
      <c r="O691" s="592" t="str">
        <f t="shared" si="219"/>
        <v>.2</v>
      </c>
      <c r="P691" s="578" t="s">
        <v>1998</v>
      </c>
      <c r="Q691" s="74"/>
      <c r="R691" s="49"/>
      <c r="S691" s="592" t="str">
        <f t="shared" si="220"/>
        <v>.3</v>
      </c>
      <c r="T691" s="578" t="s">
        <v>2000</v>
      </c>
      <c r="U691" s="74"/>
      <c r="V691" s="766"/>
      <c r="W691" s="766"/>
      <c r="X691" s="171"/>
      <c r="Y691" s="745"/>
      <c r="Z691" s="741">
        <v>0</v>
      </c>
      <c r="AA691" s="592" t="str">
        <f t="shared" si="221"/>
        <v>.1</v>
      </c>
      <c r="AB691" s="739" t="s">
        <v>1996</v>
      </c>
      <c r="AC691" s="738">
        <v>0</v>
      </c>
      <c r="AD691" s="592" t="str">
        <f t="shared" si="222"/>
        <v>.2</v>
      </c>
      <c r="AE691" s="739" t="s">
        <v>1998</v>
      </c>
      <c r="AF691" s="738">
        <v>0</v>
      </c>
      <c r="AG691" s="592" t="str">
        <f t="shared" si="223"/>
        <v>.3</v>
      </c>
      <c r="AH691" s="739" t="s">
        <v>2000</v>
      </c>
      <c r="AI691" s="171"/>
    </row>
    <row r="692" spans="1:35" ht="15" hidden="1" customHeight="1" outlineLevel="2">
      <c r="A692" s="97"/>
      <c r="B692" s="97" t="s">
        <v>1075</v>
      </c>
      <c r="C692" s="97"/>
      <c r="D692" s="97"/>
      <c r="E692" s="97"/>
      <c r="F692" s="97" t="s">
        <v>1075</v>
      </c>
      <c r="G692" s="40" t="s">
        <v>235</v>
      </c>
      <c r="H692" s="78">
        <f>SUBTOTAL(9,H693:H694)</f>
        <v>0</v>
      </c>
      <c r="I692" s="68">
        <f t="shared" si="217"/>
        <v>0</v>
      </c>
      <c r="J692" s="55">
        <f>SUBTOTAL(9,J693)</f>
        <v>0</v>
      </c>
      <c r="K692" s="55"/>
      <c r="L692" s="55"/>
      <c r="M692" s="84"/>
      <c r="N692" s="56">
        <f>SUBTOTAL(9,N693)</f>
        <v>0</v>
      </c>
      <c r="O692" s="84"/>
      <c r="P692" s="84"/>
      <c r="Q692" s="84"/>
      <c r="R692" s="56">
        <f>SUBTOTAL(9,R693)</f>
        <v>0</v>
      </c>
      <c r="S692" s="84"/>
      <c r="T692" s="84"/>
      <c r="U692" s="84"/>
      <c r="V692" s="56">
        <f>SUBTOTAL(9,V693)</f>
        <v>0</v>
      </c>
      <c r="W692" s="56">
        <f>SUBTOTAL(9,W693)</f>
        <v>0</v>
      </c>
      <c r="X692" s="170"/>
      <c r="Y692" s="745"/>
      <c r="Z692" s="55">
        <f>SUBTOTAL(9,Z693)</f>
        <v>0</v>
      </c>
      <c r="AA692" s="84"/>
      <c r="AB692" s="84"/>
      <c r="AC692" s="56">
        <f>SUBTOTAL(9,AC693)</f>
        <v>0</v>
      </c>
      <c r="AD692" s="84"/>
      <c r="AE692" s="84"/>
      <c r="AF692" s="56">
        <f>SUBTOTAL(9,AF693)</f>
        <v>0</v>
      </c>
      <c r="AG692" s="84"/>
      <c r="AH692" s="84"/>
      <c r="AI692" s="170"/>
    </row>
    <row r="693" spans="1:35" ht="15" hidden="1" customHeight="1" outlineLevel="3">
      <c r="A693" s="94" t="s">
        <v>2300</v>
      </c>
      <c r="B693" s="94">
        <v>3451</v>
      </c>
      <c r="C693" s="94"/>
      <c r="D693" s="94"/>
      <c r="E693" s="93" t="s">
        <v>2971</v>
      </c>
      <c r="F693" s="93" t="s">
        <v>5350</v>
      </c>
      <c r="G693" s="13" t="s">
        <v>3030</v>
      </c>
      <c r="H693" s="633">
        <f>IFERROR(VLOOKUP(A693,'Colar QL'!A:C,3,0),0)</f>
        <v>0</v>
      </c>
      <c r="I693" s="69">
        <f t="shared" si="217"/>
        <v>0</v>
      </c>
      <c r="J693" s="771">
        <f>ROUND(J677*$U$5,0)</f>
        <v>0</v>
      </c>
      <c r="K693" s="590" t="str">
        <f>F693&amp;L693</f>
        <v>47.0284.1.2.17.00.01.039.01.20.03.1</v>
      </c>
      <c r="L693" s="771" t="s">
        <v>1996</v>
      </c>
      <c r="M693" s="772"/>
      <c r="N693" s="770">
        <f>ROUND(N677*$U$5,0)</f>
        <v>0</v>
      </c>
      <c r="O693" s="592" t="str">
        <f>F693&amp;P693</f>
        <v>47.0284.1.2.17.00.01.039.01.20.03.2</v>
      </c>
      <c r="P693" s="772" t="s">
        <v>1998</v>
      </c>
      <c r="Q693" s="772"/>
      <c r="R693" s="770">
        <f>ROUND(R677*$U$5,0)</f>
        <v>0</v>
      </c>
      <c r="S693" s="592" t="str">
        <f>F693&amp;T693</f>
        <v>47.0284.1.2.17.00.01.039.01.20.03.3</v>
      </c>
      <c r="T693" s="772" t="s">
        <v>2000</v>
      </c>
      <c r="U693" s="772"/>
      <c r="V693" s="766"/>
      <c r="W693" s="766"/>
      <c r="X693" s="171"/>
      <c r="Y693" s="745"/>
      <c r="Z693" s="771">
        <v>0</v>
      </c>
      <c r="AA693" s="592" t="str">
        <f>F693&amp;AB693</f>
        <v>47.0284.1.2.17.00.01.039.01.20.03.1</v>
      </c>
      <c r="AB693" s="772" t="s">
        <v>1996</v>
      </c>
      <c r="AC693" s="770">
        <f>ROUND(AC677*$U$5,0)</f>
        <v>0</v>
      </c>
      <c r="AD693" s="592" t="str">
        <f>F693&amp;AE693</f>
        <v>47.0284.1.2.17.00.01.039.01.20.03.2</v>
      </c>
      <c r="AE693" s="772" t="s">
        <v>1998</v>
      </c>
      <c r="AF693" s="770">
        <f>ROUND(AF677*$U$5,0)</f>
        <v>0</v>
      </c>
      <c r="AG693" s="592" t="str">
        <f>F693&amp;AH693</f>
        <v>47.0284.1.2.17.00.01.039.01.20.03.3</v>
      </c>
      <c r="AH693" s="772" t="s">
        <v>2000</v>
      </c>
      <c r="AI693" s="171"/>
    </row>
    <row r="694" spans="1:35" ht="15" hidden="1" customHeight="1" outlineLevel="3">
      <c r="A694" s="95"/>
      <c r="B694" s="95"/>
      <c r="C694" s="95"/>
      <c r="D694" s="95"/>
      <c r="E694" s="774"/>
      <c r="F694" s="774" t="s">
        <v>1075</v>
      </c>
      <c r="G694" s="13"/>
      <c r="H694" s="633"/>
      <c r="I694" s="71">
        <f t="shared" si="217"/>
        <v>0</v>
      </c>
      <c r="J694" s="771"/>
      <c r="K694" s="590" t="str">
        <f>F694&amp;L694</f>
        <v>.1</v>
      </c>
      <c r="L694" s="771" t="s">
        <v>1996</v>
      </c>
      <c r="M694" s="772"/>
      <c r="N694" s="770"/>
      <c r="O694" s="592" t="str">
        <f>F694&amp;P694</f>
        <v>.2</v>
      </c>
      <c r="P694" s="772" t="s">
        <v>1998</v>
      </c>
      <c r="Q694" s="772"/>
      <c r="R694" s="770"/>
      <c r="S694" s="592" t="str">
        <f>F694&amp;T694</f>
        <v>.3</v>
      </c>
      <c r="T694" s="772" t="s">
        <v>2000</v>
      </c>
      <c r="U694" s="772"/>
      <c r="V694" s="766"/>
      <c r="W694" s="766"/>
      <c r="X694" s="171"/>
      <c r="Y694" s="745"/>
      <c r="Z694" s="771"/>
      <c r="AA694" s="592" t="str">
        <f>F694&amp;AB694</f>
        <v>.1</v>
      </c>
      <c r="AB694" s="772" t="s">
        <v>1996</v>
      </c>
      <c r="AC694" s="770"/>
      <c r="AD694" s="592" t="str">
        <f>F694&amp;AE694</f>
        <v>.2</v>
      </c>
      <c r="AE694" s="772" t="s">
        <v>1998</v>
      </c>
      <c r="AF694" s="770"/>
      <c r="AG694" s="592" t="str">
        <f>F694&amp;AH694</f>
        <v>.3</v>
      </c>
      <c r="AH694" s="772" t="s">
        <v>2000</v>
      </c>
      <c r="AI694" s="171"/>
    </row>
    <row r="695" spans="1:35" ht="15" customHeight="1" outlineLevel="1" collapsed="1">
      <c r="A695" s="98"/>
      <c r="B695" s="98" t="s">
        <v>1075</v>
      </c>
      <c r="C695" s="98"/>
      <c r="D695" s="98"/>
      <c r="E695" s="98"/>
      <c r="F695" s="98" t="s">
        <v>1075</v>
      </c>
      <c r="G695" s="35" t="s">
        <v>259</v>
      </c>
      <c r="H695" s="77">
        <f>SUBTOTAL(9,H696:H706)</f>
        <v>0</v>
      </c>
      <c r="I695" s="67">
        <f t="shared" si="217"/>
        <v>0</v>
      </c>
      <c r="J695" s="54">
        <f>SUBTOTAL(9,J696:J706)</f>
        <v>0</v>
      </c>
      <c r="K695" s="54"/>
      <c r="L695" s="54"/>
      <c r="M695" s="85"/>
      <c r="N695" s="54">
        <f>SUBTOTAL(9,N696:N706)</f>
        <v>0</v>
      </c>
      <c r="O695" s="90"/>
      <c r="P695" s="90"/>
      <c r="Q695" s="85"/>
      <c r="R695" s="54">
        <f>SUBTOTAL(9,R696:R706)</f>
        <v>0</v>
      </c>
      <c r="S695" s="90"/>
      <c r="T695" s="90"/>
      <c r="U695" s="85"/>
      <c r="V695" s="54">
        <f>SUBTOTAL(9,V696:V706)</f>
        <v>0</v>
      </c>
      <c r="W695" s="54">
        <f>SUBTOTAL(9,W696:W706)</f>
        <v>0</v>
      </c>
      <c r="X695" s="169"/>
      <c r="Y695" s="745"/>
      <c r="Z695" s="54">
        <f>SUBTOTAL(9,Z696:Z706)</f>
        <v>0</v>
      </c>
      <c r="AA695" s="90"/>
      <c r="AB695" s="90"/>
      <c r="AC695" s="54">
        <f>SUBTOTAL(9,AC696:AC706)</f>
        <v>0</v>
      </c>
      <c r="AD695" s="90"/>
      <c r="AE695" s="90"/>
      <c r="AF695" s="54">
        <f>SUBTOTAL(9,AF696:AF706)</f>
        <v>0</v>
      </c>
      <c r="AG695" s="90"/>
      <c r="AH695" s="90"/>
      <c r="AI695" s="169"/>
    </row>
    <row r="696" spans="1:35" ht="15" hidden="1" customHeight="1" outlineLevel="2">
      <c r="A696" s="97"/>
      <c r="B696" s="97" t="s">
        <v>1075</v>
      </c>
      <c r="C696" s="97"/>
      <c r="D696" s="97"/>
      <c r="E696" s="97"/>
      <c r="F696" s="97" t="s">
        <v>1075</v>
      </c>
      <c r="G696" s="40" t="s">
        <v>714</v>
      </c>
      <c r="H696" s="78">
        <f>SUBTOTAL(9,H697:H703)</f>
        <v>0</v>
      </c>
      <c r="I696" s="68">
        <f t="shared" si="217"/>
        <v>0</v>
      </c>
      <c r="J696" s="55">
        <f>SUBTOTAL(9,J697:J703)</f>
        <v>0</v>
      </c>
      <c r="K696" s="55"/>
      <c r="L696" s="55"/>
      <c r="M696" s="84"/>
      <c r="N696" s="55">
        <f>SUBTOTAL(9,N697:N703)</f>
        <v>0</v>
      </c>
      <c r="O696" s="91"/>
      <c r="P696" s="91"/>
      <c r="Q696" s="84"/>
      <c r="R696" s="55">
        <f>SUBTOTAL(9,R697:R703)</f>
        <v>0</v>
      </c>
      <c r="S696" s="91"/>
      <c r="T696" s="91"/>
      <c r="U696" s="84"/>
      <c r="V696" s="55">
        <f>SUBTOTAL(9,V697:V703)</f>
        <v>0</v>
      </c>
      <c r="W696" s="55">
        <f>SUBTOTAL(9,W697:W703)</f>
        <v>0</v>
      </c>
      <c r="X696" s="170"/>
      <c r="Y696" s="745"/>
      <c r="Z696" s="55">
        <f>SUBTOTAL(9,Z697:Z703)</f>
        <v>0</v>
      </c>
      <c r="AA696" s="91"/>
      <c r="AB696" s="91"/>
      <c r="AC696" s="55">
        <f>SUBTOTAL(9,AC697:AC703)</f>
        <v>0</v>
      </c>
      <c r="AD696" s="91"/>
      <c r="AE696" s="91"/>
      <c r="AF696" s="55">
        <f>SUBTOTAL(9,AF697:AF703)</f>
        <v>0</v>
      </c>
      <c r="AG696" s="91"/>
      <c r="AH696" s="91"/>
      <c r="AI696" s="170"/>
    </row>
    <row r="697" spans="1:35" ht="15" hidden="1" customHeight="1" outlineLevel="3">
      <c r="A697" s="93">
        <v>208045</v>
      </c>
      <c r="B697" s="93">
        <v>3451</v>
      </c>
      <c r="C697" s="93"/>
      <c r="D697" s="93"/>
      <c r="E697" s="93" t="s">
        <v>2928</v>
      </c>
      <c r="F697" s="93" t="s">
        <v>5218</v>
      </c>
      <c r="G697" s="37" t="s">
        <v>142</v>
      </c>
      <c r="H697" s="583">
        <f>IFERROR(VLOOKUP(A697,'Colar QL'!A:C,3,0),0)</f>
        <v>0</v>
      </c>
      <c r="I697" s="69">
        <f t="shared" si="217"/>
        <v>0</v>
      </c>
      <c r="J697" s="258">
        <f>'BD Temp'!E1046</f>
        <v>0</v>
      </c>
      <c r="K697" s="590" t="str">
        <f t="shared" ref="K697:K703" si="231">F697&amp;L697</f>
        <v>47.0284.1.2.17.00.01.039.01.07.32.1</v>
      </c>
      <c r="L697" s="579" t="s">
        <v>1996</v>
      </c>
      <c r="M697" s="256" t="str">
        <f>'BD Temp'!F1046</f>
        <v>-</v>
      </c>
      <c r="N697" s="255">
        <f>'BD Temp'!J1046</f>
        <v>0</v>
      </c>
      <c r="O697" s="592" t="str">
        <f t="shared" ref="O697:O703" si="232">F697&amp;P697</f>
        <v>47.0284.1.2.17.00.01.039.01.07.32.2</v>
      </c>
      <c r="P697" s="578" t="s">
        <v>1998</v>
      </c>
      <c r="Q697" s="256" t="str">
        <f>'BD Temp'!K1046</f>
        <v>-</v>
      </c>
      <c r="R697" s="255">
        <f>'BD Temp'!O1046</f>
        <v>0</v>
      </c>
      <c r="S697" s="592" t="str">
        <f t="shared" ref="S697:S703" si="233">F697&amp;T697</f>
        <v>47.0284.1.2.17.00.01.039.01.07.32.3</v>
      </c>
      <c r="T697" s="578" t="s">
        <v>2000</v>
      </c>
      <c r="U697" s="256" t="str">
        <f>'BD Temp'!P1046</f>
        <v>-</v>
      </c>
      <c r="V697" s="764"/>
      <c r="W697" s="767"/>
      <c r="X697" s="158"/>
      <c r="Y697" s="745"/>
      <c r="Z697" s="741">
        <v>0</v>
      </c>
      <c r="AA697" s="592" t="str">
        <f t="shared" ref="AA697:AA703" si="234">F697&amp;AB697</f>
        <v>47.0284.1.2.17.00.01.039.01.07.32.1</v>
      </c>
      <c r="AB697" s="739" t="s">
        <v>1996</v>
      </c>
      <c r="AC697" s="738">
        <v>0</v>
      </c>
      <c r="AD697" s="592" t="str">
        <f t="shared" ref="AD697:AD703" si="235">F697&amp;AE697</f>
        <v>47.0284.1.2.17.00.01.039.01.07.32.2</v>
      </c>
      <c r="AE697" s="739" t="s">
        <v>1998</v>
      </c>
      <c r="AF697" s="738">
        <v>0</v>
      </c>
      <c r="AG697" s="592" t="str">
        <f t="shared" ref="AG697:AG703" si="236">F697&amp;AH697</f>
        <v>47.0284.1.2.17.00.01.039.01.07.32.3</v>
      </c>
      <c r="AH697" s="739" t="s">
        <v>2000</v>
      </c>
      <c r="AI697" s="158"/>
    </row>
    <row r="698" spans="1:35" ht="15" hidden="1" customHeight="1" outlineLevel="3">
      <c r="A698" s="93">
        <v>208050</v>
      </c>
      <c r="B698" s="93">
        <v>3451</v>
      </c>
      <c r="C698" s="93"/>
      <c r="D698" s="93"/>
      <c r="E698" s="93" t="s">
        <v>2928</v>
      </c>
      <c r="F698" s="93" t="s">
        <v>5218</v>
      </c>
      <c r="G698" s="37" t="s">
        <v>143</v>
      </c>
      <c r="H698" s="583">
        <f>IFERROR(VLOOKUP(A698,'Colar QL'!A:C,3,0),0)</f>
        <v>0</v>
      </c>
      <c r="I698" s="69">
        <f t="shared" si="217"/>
        <v>0</v>
      </c>
      <c r="J698" s="258">
        <f>'BD Temp'!E1047</f>
        <v>0</v>
      </c>
      <c r="K698" s="590" t="str">
        <f t="shared" si="231"/>
        <v>47.0284.1.2.17.00.01.039.01.07.32.1</v>
      </c>
      <c r="L698" s="579" t="s">
        <v>1996</v>
      </c>
      <c r="M698" s="256" t="str">
        <f>'BD Temp'!F1047</f>
        <v>-</v>
      </c>
      <c r="N698" s="255">
        <f>'BD Temp'!J1047</f>
        <v>0</v>
      </c>
      <c r="O698" s="592" t="str">
        <f t="shared" si="232"/>
        <v>47.0284.1.2.17.00.01.039.01.07.32.2</v>
      </c>
      <c r="P698" s="578" t="s">
        <v>1998</v>
      </c>
      <c r="Q698" s="256" t="str">
        <f>'BD Temp'!K1047</f>
        <v>-</v>
      </c>
      <c r="R698" s="255">
        <f>'BD Temp'!O1047</f>
        <v>0</v>
      </c>
      <c r="S698" s="592" t="str">
        <f t="shared" si="233"/>
        <v>47.0284.1.2.17.00.01.039.01.07.32.3</v>
      </c>
      <c r="T698" s="578" t="s">
        <v>2000</v>
      </c>
      <c r="U698" s="256" t="str">
        <f>'BD Temp'!P1047</f>
        <v>-</v>
      </c>
      <c r="V698" s="764"/>
      <c r="W698" s="767"/>
      <c r="X698" s="158"/>
      <c r="Y698" s="745"/>
      <c r="Z698" s="741">
        <v>0</v>
      </c>
      <c r="AA698" s="592" t="str">
        <f t="shared" si="234"/>
        <v>47.0284.1.2.17.00.01.039.01.07.32.1</v>
      </c>
      <c r="AB698" s="739" t="s">
        <v>1996</v>
      </c>
      <c r="AC698" s="738">
        <v>0</v>
      </c>
      <c r="AD698" s="592" t="str">
        <f t="shared" si="235"/>
        <v>47.0284.1.2.17.00.01.039.01.07.32.2</v>
      </c>
      <c r="AE698" s="739" t="s">
        <v>1998</v>
      </c>
      <c r="AF698" s="738">
        <v>0</v>
      </c>
      <c r="AG698" s="592" t="str">
        <f t="shared" si="236"/>
        <v>47.0284.1.2.17.00.01.039.01.07.32.3</v>
      </c>
      <c r="AH698" s="739" t="s">
        <v>2000</v>
      </c>
      <c r="AI698" s="158"/>
    </row>
    <row r="699" spans="1:35" ht="15" hidden="1" customHeight="1" outlineLevel="3">
      <c r="A699" s="93">
        <v>208055</v>
      </c>
      <c r="B699" s="93">
        <v>3451</v>
      </c>
      <c r="C699" s="93"/>
      <c r="D699" s="93"/>
      <c r="E699" s="93" t="s">
        <v>2929</v>
      </c>
      <c r="F699" s="93" t="s">
        <v>5219</v>
      </c>
      <c r="G699" s="37" t="s">
        <v>144</v>
      </c>
      <c r="H699" s="583">
        <f>IFERROR(VLOOKUP(A699,'Colar QL'!A:C,3,0),0)</f>
        <v>0</v>
      </c>
      <c r="I699" s="69">
        <f t="shared" si="217"/>
        <v>0</v>
      </c>
      <c r="J699" s="258">
        <f>'BD Temp'!E1048</f>
        <v>0</v>
      </c>
      <c r="K699" s="590" t="str">
        <f t="shared" si="231"/>
        <v>47.0284.1.2.17.00.01.039.01.07.34.1</v>
      </c>
      <c r="L699" s="579" t="s">
        <v>1996</v>
      </c>
      <c r="M699" s="256" t="str">
        <f>'BD Temp'!F1048</f>
        <v>-</v>
      </c>
      <c r="N699" s="255">
        <f>'BD Temp'!J1048</f>
        <v>0</v>
      </c>
      <c r="O699" s="592" t="str">
        <f t="shared" si="232"/>
        <v>47.0284.1.2.17.00.01.039.01.07.34.2</v>
      </c>
      <c r="P699" s="578" t="s">
        <v>1998</v>
      </c>
      <c r="Q699" s="256" t="str">
        <f>'BD Temp'!K1048</f>
        <v>-</v>
      </c>
      <c r="R699" s="255">
        <f>'BD Temp'!O1048</f>
        <v>0</v>
      </c>
      <c r="S699" s="592" t="str">
        <f t="shared" si="233"/>
        <v>47.0284.1.2.17.00.01.039.01.07.34.3</v>
      </c>
      <c r="T699" s="578" t="s">
        <v>2000</v>
      </c>
      <c r="U699" s="256" t="str">
        <f>'BD Temp'!P1048</f>
        <v>-</v>
      </c>
      <c r="V699" s="764"/>
      <c r="W699" s="767"/>
      <c r="X699" s="158"/>
      <c r="Y699" s="745"/>
      <c r="Z699" s="741">
        <v>0</v>
      </c>
      <c r="AA699" s="592" t="str">
        <f t="shared" si="234"/>
        <v>47.0284.1.2.17.00.01.039.01.07.34.1</v>
      </c>
      <c r="AB699" s="739" t="s">
        <v>1996</v>
      </c>
      <c r="AC699" s="738">
        <v>0</v>
      </c>
      <c r="AD699" s="592" t="str">
        <f t="shared" si="235"/>
        <v>47.0284.1.2.17.00.01.039.01.07.34.2</v>
      </c>
      <c r="AE699" s="739" t="s">
        <v>1998</v>
      </c>
      <c r="AF699" s="738">
        <v>0</v>
      </c>
      <c r="AG699" s="592" t="str">
        <f t="shared" si="236"/>
        <v>47.0284.1.2.17.00.01.039.01.07.34.3</v>
      </c>
      <c r="AH699" s="739" t="s">
        <v>2000</v>
      </c>
      <c r="AI699" s="158"/>
    </row>
    <row r="700" spans="1:35" ht="15" hidden="1" customHeight="1" outlineLevel="3">
      <c r="A700" s="93"/>
      <c r="B700" s="93" t="s">
        <v>1075</v>
      </c>
      <c r="C700" s="93"/>
      <c r="D700" s="93"/>
      <c r="E700" s="93"/>
      <c r="F700" s="93" t="s">
        <v>1075</v>
      </c>
      <c r="G700" s="37"/>
      <c r="H700" s="79"/>
      <c r="I700" s="69">
        <f t="shared" si="217"/>
        <v>0</v>
      </c>
      <c r="J700" s="48"/>
      <c r="K700" s="590" t="str">
        <f t="shared" si="231"/>
        <v>.1</v>
      </c>
      <c r="L700" s="579" t="s">
        <v>1996</v>
      </c>
      <c r="M700" s="74"/>
      <c r="N700" s="49"/>
      <c r="O700" s="592" t="str">
        <f t="shared" si="232"/>
        <v>.2</v>
      </c>
      <c r="P700" s="578" t="s">
        <v>1998</v>
      </c>
      <c r="Q700" s="74"/>
      <c r="R700" s="49"/>
      <c r="S700" s="592" t="str">
        <f t="shared" si="233"/>
        <v>.3</v>
      </c>
      <c r="T700" s="578" t="s">
        <v>2000</v>
      </c>
      <c r="U700" s="74"/>
      <c r="V700" s="764"/>
      <c r="W700" s="764"/>
      <c r="X700" s="158"/>
      <c r="Y700" s="745"/>
      <c r="Z700" s="741">
        <v>0</v>
      </c>
      <c r="AA700" s="592" t="str">
        <f t="shared" si="234"/>
        <v>.1</v>
      </c>
      <c r="AB700" s="739" t="s">
        <v>1996</v>
      </c>
      <c r="AC700" s="738">
        <v>0</v>
      </c>
      <c r="AD700" s="592" t="str">
        <f t="shared" si="235"/>
        <v>.2</v>
      </c>
      <c r="AE700" s="739" t="s">
        <v>1998</v>
      </c>
      <c r="AF700" s="738">
        <v>0</v>
      </c>
      <c r="AG700" s="592" t="str">
        <f t="shared" si="236"/>
        <v>.3</v>
      </c>
      <c r="AH700" s="739" t="s">
        <v>2000</v>
      </c>
      <c r="AI700" s="158"/>
    </row>
    <row r="701" spans="1:35" ht="15" hidden="1" customHeight="1" outlineLevel="3">
      <c r="A701" s="99"/>
      <c r="B701" s="99" t="s">
        <v>1075</v>
      </c>
      <c r="C701" s="99"/>
      <c r="D701" s="99"/>
      <c r="E701" s="99"/>
      <c r="F701" s="99" t="s">
        <v>1075</v>
      </c>
      <c r="G701" s="39" t="s">
        <v>723</v>
      </c>
      <c r="H701" s="79"/>
      <c r="I701" s="69">
        <f t="shared" si="217"/>
        <v>0</v>
      </c>
      <c r="J701" s="48"/>
      <c r="K701" s="590" t="str">
        <f t="shared" si="231"/>
        <v>.1</v>
      </c>
      <c r="L701" s="579" t="s">
        <v>1996</v>
      </c>
      <c r="M701" s="74"/>
      <c r="N701" s="49"/>
      <c r="O701" s="592" t="str">
        <f t="shared" si="232"/>
        <v>.2</v>
      </c>
      <c r="P701" s="578" t="s">
        <v>1998</v>
      </c>
      <c r="Q701" s="74"/>
      <c r="R701" s="49"/>
      <c r="S701" s="592" t="str">
        <f t="shared" si="233"/>
        <v>.3</v>
      </c>
      <c r="T701" s="578" t="s">
        <v>2000</v>
      </c>
      <c r="U701" s="74"/>
      <c r="V701" s="764"/>
      <c r="W701" s="764"/>
      <c r="X701" s="158"/>
      <c r="Y701" s="745"/>
      <c r="Z701" s="741">
        <v>0</v>
      </c>
      <c r="AA701" s="592" t="str">
        <f t="shared" si="234"/>
        <v>.1</v>
      </c>
      <c r="AB701" s="739" t="s">
        <v>1996</v>
      </c>
      <c r="AC701" s="738">
        <v>0</v>
      </c>
      <c r="AD701" s="592" t="str">
        <f t="shared" si="235"/>
        <v>.2</v>
      </c>
      <c r="AE701" s="739" t="s">
        <v>1998</v>
      </c>
      <c r="AF701" s="738">
        <v>0</v>
      </c>
      <c r="AG701" s="592" t="str">
        <f t="shared" si="236"/>
        <v>.3</v>
      </c>
      <c r="AH701" s="739" t="s">
        <v>2000</v>
      </c>
      <c r="AI701" s="158"/>
    </row>
    <row r="702" spans="1:35" ht="15" hidden="1" customHeight="1" outlineLevel="3">
      <c r="A702" s="93"/>
      <c r="B702" s="93" t="s">
        <v>1075</v>
      </c>
      <c r="C702" s="93"/>
      <c r="D702" s="93"/>
      <c r="E702" s="93"/>
      <c r="F702" s="93" t="s">
        <v>1075</v>
      </c>
      <c r="G702" s="37"/>
      <c r="H702" s="79"/>
      <c r="I702" s="69">
        <f t="shared" si="217"/>
        <v>0</v>
      </c>
      <c r="J702" s="48"/>
      <c r="K702" s="590" t="str">
        <f t="shared" si="231"/>
        <v>.1</v>
      </c>
      <c r="L702" s="579" t="s">
        <v>1996</v>
      </c>
      <c r="M702" s="74"/>
      <c r="N702" s="49"/>
      <c r="O702" s="592" t="str">
        <f t="shared" si="232"/>
        <v>.2</v>
      </c>
      <c r="P702" s="578" t="s">
        <v>1998</v>
      </c>
      <c r="Q702" s="74"/>
      <c r="R702" s="49"/>
      <c r="S702" s="592" t="str">
        <f t="shared" si="233"/>
        <v>.3</v>
      </c>
      <c r="T702" s="578" t="s">
        <v>2000</v>
      </c>
      <c r="U702" s="74"/>
      <c r="V702" s="764"/>
      <c r="W702" s="764"/>
      <c r="X702" s="158"/>
      <c r="Y702" s="745"/>
      <c r="Z702" s="741">
        <v>0</v>
      </c>
      <c r="AA702" s="592" t="str">
        <f t="shared" si="234"/>
        <v>.1</v>
      </c>
      <c r="AB702" s="739" t="s">
        <v>1996</v>
      </c>
      <c r="AC702" s="738">
        <v>0</v>
      </c>
      <c r="AD702" s="592" t="str">
        <f t="shared" si="235"/>
        <v>.2</v>
      </c>
      <c r="AE702" s="739" t="s">
        <v>1998</v>
      </c>
      <c r="AF702" s="738">
        <v>0</v>
      </c>
      <c r="AG702" s="592" t="str">
        <f t="shared" si="236"/>
        <v>.3</v>
      </c>
      <c r="AH702" s="739" t="s">
        <v>2000</v>
      </c>
      <c r="AI702" s="158"/>
    </row>
    <row r="703" spans="1:35" ht="15" hidden="1" customHeight="1" outlineLevel="3">
      <c r="A703" s="93"/>
      <c r="B703" s="93" t="s">
        <v>1075</v>
      </c>
      <c r="C703" s="93"/>
      <c r="D703" s="93"/>
      <c r="E703" s="93"/>
      <c r="F703" s="93" t="s">
        <v>1075</v>
      </c>
      <c r="G703" s="37"/>
      <c r="H703" s="79"/>
      <c r="I703" s="69">
        <f t="shared" si="217"/>
        <v>0</v>
      </c>
      <c r="J703" s="48"/>
      <c r="K703" s="590" t="str">
        <f t="shared" si="231"/>
        <v>.1</v>
      </c>
      <c r="L703" s="579" t="s">
        <v>1996</v>
      </c>
      <c r="M703" s="74"/>
      <c r="N703" s="49"/>
      <c r="O703" s="592" t="str">
        <f t="shared" si="232"/>
        <v>.2</v>
      </c>
      <c r="P703" s="578" t="s">
        <v>1998</v>
      </c>
      <c r="Q703" s="74"/>
      <c r="R703" s="49"/>
      <c r="S703" s="592" t="str">
        <f t="shared" si="233"/>
        <v>.3</v>
      </c>
      <c r="T703" s="578" t="s">
        <v>2000</v>
      </c>
      <c r="U703" s="74"/>
      <c r="V703" s="764"/>
      <c r="W703" s="764"/>
      <c r="X703" s="158"/>
      <c r="Y703" s="745"/>
      <c r="Z703" s="741">
        <v>0</v>
      </c>
      <c r="AA703" s="592" t="str">
        <f t="shared" si="234"/>
        <v>.1</v>
      </c>
      <c r="AB703" s="739" t="s">
        <v>1996</v>
      </c>
      <c r="AC703" s="738">
        <v>0</v>
      </c>
      <c r="AD703" s="592" t="str">
        <f t="shared" si="235"/>
        <v>.2</v>
      </c>
      <c r="AE703" s="739" t="s">
        <v>1998</v>
      </c>
      <c r="AF703" s="738">
        <v>0</v>
      </c>
      <c r="AG703" s="592" t="str">
        <f t="shared" si="236"/>
        <v>.3</v>
      </c>
      <c r="AH703" s="739" t="s">
        <v>2000</v>
      </c>
      <c r="AI703" s="158"/>
    </row>
    <row r="704" spans="1:35" ht="15" hidden="1" customHeight="1" outlineLevel="2">
      <c r="A704" s="97"/>
      <c r="B704" s="97" t="s">
        <v>1075</v>
      </c>
      <c r="C704" s="97"/>
      <c r="D704" s="97"/>
      <c r="E704" s="97"/>
      <c r="F704" s="97" t="s">
        <v>1075</v>
      </c>
      <c r="G704" s="40" t="s">
        <v>235</v>
      </c>
      <c r="H704" s="78">
        <f>SUBTOTAL(9,H705:H706)</f>
        <v>0</v>
      </c>
      <c r="I704" s="68">
        <f t="shared" si="217"/>
        <v>0</v>
      </c>
      <c r="J704" s="55">
        <f>SUBTOTAL(9,J705)</f>
        <v>0</v>
      </c>
      <c r="K704" s="55"/>
      <c r="L704" s="55"/>
      <c r="M704" s="84"/>
      <c r="N704" s="56">
        <f>SUBTOTAL(9,N705)</f>
        <v>0</v>
      </c>
      <c r="O704" s="84"/>
      <c r="P704" s="84"/>
      <c r="Q704" s="84"/>
      <c r="R704" s="56">
        <f>SUBTOTAL(9,R705)</f>
        <v>0</v>
      </c>
      <c r="S704" s="84"/>
      <c r="T704" s="84"/>
      <c r="U704" s="84"/>
      <c r="V704" s="56">
        <f>SUBTOTAL(9,V705)</f>
        <v>0</v>
      </c>
      <c r="W704" s="56">
        <f>SUBTOTAL(9,W705)</f>
        <v>0</v>
      </c>
      <c r="X704" s="170"/>
      <c r="Y704" s="745"/>
      <c r="Z704" s="55">
        <f>SUBTOTAL(9,Z705)</f>
        <v>0</v>
      </c>
      <c r="AA704" s="84"/>
      <c r="AB704" s="84"/>
      <c r="AC704" s="56">
        <f>SUBTOTAL(9,AC705)</f>
        <v>0</v>
      </c>
      <c r="AD704" s="84"/>
      <c r="AE704" s="84"/>
      <c r="AF704" s="56">
        <f>SUBTOTAL(9,AF705)</f>
        <v>0</v>
      </c>
      <c r="AG704" s="84"/>
      <c r="AH704" s="84"/>
      <c r="AI704" s="170"/>
    </row>
    <row r="705" spans="1:37" ht="15" hidden="1" customHeight="1" outlineLevel="3">
      <c r="A705" s="95" t="s">
        <v>2302</v>
      </c>
      <c r="B705" s="93">
        <v>3451</v>
      </c>
      <c r="C705" s="93"/>
      <c r="D705" s="93"/>
      <c r="E705" s="93" t="s">
        <v>2928</v>
      </c>
      <c r="F705" s="93" t="s">
        <v>5218</v>
      </c>
      <c r="G705" s="13" t="s">
        <v>3030</v>
      </c>
      <c r="H705" s="633">
        <f>IFERROR(VLOOKUP(A705,'Colar QL'!A:C,3,0),0)</f>
        <v>0</v>
      </c>
      <c r="I705" s="69">
        <f t="shared" si="217"/>
        <v>0</v>
      </c>
      <c r="J705" s="771">
        <f>ROUND(J696*$U$5,0)</f>
        <v>0</v>
      </c>
      <c r="K705" s="590" t="str">
        <f>F705&amp;L705</f>
        <v>47.0284.1.2.17.00.01.039.01.07.32.1</v>
      </c>
      <c r="L705" s="771" t="s">
        <v>1996</v>
      </c>
      <c r="M705" s="772"/>
      <c r="N705" s="770">
        <f>ROUND(N696*$U$5,0)</f>
        <v>0</v>
      </c>
      <c r="O705" s="592" t="str">
        <f>F705&amp;P705</f>
        <v>47.0284.1.2.17.00.01.039.01.07.32.2</v>
      </c>
      <c r="P705" s="772" t="s">
        <v>1998</v>
      </c>
      <c r="Q705" s="772"/>
      <c r="R705" s="770">
        <f>ROUND(R696*$U$5,0)</f>
        <v>0</v>
      </c>
      <c r="S705" s="592" t="str">
        <f>F705&amp;T705</f>
        <v>47.0284.1.2.17.00.01.039.01.07.32.3</v>
      </c>
      <c r="T705" s="772" t="s">
        <v>2000</v>
      </c>
      <c r="U705" s="772"/>
      <c r="V705" s="764"/>
      <c r="W705" s="764"/>
      <c r="X705" s="158"/>
      <c r="Y705" s="745"/>
      <c r="Z705" s="771">
        <f>ROUND(Z696*$U$5,0)</f>
        <v>0</v>
      </c>
      <c r="AA705" s="592" t="str">
        <f>F705&amp;AB705</f>
        <v>47.0284.1.2.17.00.01.039.01.07.32.1</v>
      </c>
      <c r="AB705" s="772" t="s">
        <v>1996</v>
      </c>
      <c r="AC705" s="770">
        <f>ROUND(AC696*$U$5,0)</f>
        <v>0</v>
      </c>
      <c r="AD705" s="592" t="str">
        <f>F705&amp;AE705</f>
        <v>47.0284.1.2.17.00.01.039.01.07.32.2</v>
      </c>
      <c r="AE705" s="772" t="s">
        <v>1998</v>
      </c>
      <c r="AF705" s="770">
        <f>ROUND(AF696*$U$5,0)</f>
        <v>0</v>
      </c>
      <c r="AG705" s="592" t="str">
        <f>F705&amp;AH705</f>
        <v>47.0284.1.2.17.00.01.039.01.07.32.3</v>
      </c>
      <c r="AH705" s="772" t="s">
        <v>2000</v>
      </c>
      <c r="AI705" s="158"/>
    </row>
    <row r="706" spans="1:37" ht="15" hidden="1" customHeight="1" outlineLevel="3">
      <c r="A706" s="95" t="s">
        <v>2303</v>
      </c>
      <c r="B706" s="95" t="s">
        <v>1075</v>
      </c>
      <c r="C706" s="95"/>
      <c r="D706" s="95"/>
      <c r="E706" s="774"/>
      <c r="F706" s="774" t="s">
        <v>1075</v>
      </c>
      <c r="G706" s="13"/>
      <c r="H706" s="633"/>
      <c r="I706" s="69">
        <f t="shared" si="217"/>
        <v>0</v>
      </c>
      <c r="J706" s="771"/>
      <c r="K706" s="590" t="str">
        <f>F706&amp;L706</f>
        <v>.1</v>
      </c>
      <c r="L706" s="771" t="s">
        <v>1996</v>
      </c>
      <c r="M706" s="772"/>
      <c r="N706" s="770"/>
      <c r="O706" s="592" t="str">
        <f>F706&amp;P706</f>
        <v>.2</v>
      </c>
      <c r="P706" s="772" t="s">
        <v>1998</v>
      </c>
      <c r="Q706" s="772"/>
      <c r="R706" s="770"/>
      <c r="S706" s="592" t="str">
        <f>F706&amp;T706</f>
        <v>.3</v>
      </c>
      <c r="T706" s="772" t="s">
        <v>2000</v>
      </c>
      <c r="U706" s="772"/>
      <c r="V706" s="764"/>
      <c r="W706" s="764"/>
      <c r="X706" s="158"/>
      <c r="Y706" s="745"/>
      <c r="Z706" s="771"/>
      <c r="AA706" s="592" t="str">
        <f>F706&amp;AB706</f>
        <v>.1</v>
      </c>
      <c r="AB706" s="772" t="s">
        <v>1996</v>
      </c>
      <c r="AC706" s="770"/>
      <c r="AD706" s="592" t="str">
        <f>F706&amp;AE706</f>
        <v>.2</v>
      </c>
      <c r="AE706" s="772" t="s">
        <v>1998</v>
      </c>
      <c r="AF706" s="770"/>
      <c r="AG706" s="592" t="str">
        <f>F706&amp;AH706</f>
        <v>.3</v>
      </c>
      <c r="AH706" s="772" t="s">
        <v>2000</v>
      </c>
      <c r="AI706" s="158"/>
    </row>
    <row r="707" spans="1:37" ht="15" customHeight="1" outlineLevel="1" collapsed="1">
      <c r="A707" s="98"/>
      <c r="B707" s="98" t="s">
        <v>1075</v>
      </c>
      <c r="C707" s="98"/>
      <c r="D707" s="98"/>
      <c r="E707" s="98"/>
      <c r="F707" s="98" t="s">
        <v>1075</v>
      </c>
      <c r="G707" s="35" t="s">
        <v>260</v>
      </c>
      <c r="H707" s="77">
        <f>SUBTOTAL(9,H708:H726)</f>
        <v>0</v>
      </c>
      <c r="I707" s="67">
        <f t="shared" si="217"/>
        <v>0</v>
      </c>
      <c r="J707" s="54">
        <f>SUBTOTAL(9,J708:J726)</f>
        <v>0</v>
      </c>
      <c r="K707" s="54"/>
      <c r="L707" s="54"/>
      <c r="M707" s="85"/>
      <c r="N707" s="54">
        <f>SUBTOTAL(9,N708:N726)</f>
        <v>0</v>
      </c>
      <c r="O707" s="90"/>
      <c r="P707" s="90"/>
      <c r="Q707" s="85"/>
      <c r="R707" s="54">
        <f>SUBTOTAL(9,R708:R726)</f>
        <v>0</v>
      </c>
      <c r="S707" s="90"/>
      <c r="T707" s="90"/>
      <c r="U707" s="85"/>
      <c r="V707" s="54">
        <f>SUBTOTAL(9,V708:V726)</f>
        <v>0</v>
      </c>
      <c r="W707" s="54">
        <f>SUBTOTAL(9,W708:W726)</f>
        <v>0</v>
      </c>
      <c r="X707" s="169"/>
      <c r="Y707" s="745"/>
      <c r="Z707" s="54">
        <f>SUBTOTAL(9,Z708:Z726)</f>
        <v>0</v>
      </c>
      <c r="AA707" s="90"/>
      <c r="AB707" s="90"/>
      <c r="AC707" s="54">
        <f>SUBTOTAL(9,AC708:AC726)</f>
        <v>0</v>
      </c>
      <c r="AD707" s="90"/>
      <c r="AE707" s="90"/>
      <c r="AF707" s="54">
        <f>SUBTOTAL(9,AF708:AF726)</f>
        <v>0</v>
      </c>
      <c r="AG707" s="90"/>
      <c r="AH707" s="90"/>
      <c r="AI707" s="169"/>
    </row>
    <row r="708" spans="1:37" ht="15" hidden="1" customHeight="1" outlineLevel="2">
      <c r="A708" s="97"/>
      <c r="B708" s="97" t="s">
        <v>1075</v>
      </c>
      <c r="C708" s="97"/>
      <c r="D708" s="97"/>
      <c r="E708" s="97"/>
      <c r="F708" s="97" t="s">
        <v>1075</v>
      </c>
      <c r="G708" s="40" t="s">
        <v>714</v>
      </c>
      <c r="H708" s="78">
        <f>SUBTOTAL(9,H709:H723)</f>
        <v>0</v>
      </c>
      <c r="I708" s="68">
        <f t="shared" si="217"/>
        <v>0</v>
      </c>
      <c r="J708" s="55">
        <f>SUBTOTAL(9,J709:J723)</f>
        <v>0</v>
      </c>
      <c r="K708" s="55"/>
      <c r="L708" s="55"/>
      <c r="M708" s="84"/>
      <c r="N708" s="55">
        <f>SUBTOTAL(9,N709:N723)</f>
        <v>0</v>
      </c>
      <c r="O708" s="91"/>
      <c r="P708" s="91"/>
      <c r="Q708" s="84"/>
      <c r="R708" s="55">
        <f>SUBTOTAL(9,R709:R723)</f>
        <v>0</v>
      </c>
      <c r="S708" s="91"/>
      <c r="T708" s="91"/>
      <c r="U708" s="84"/>
      <c r="V708" s="55">
        <f>SUBTOTAL(9,V709:V723)</f>
        <v>0</v>
      </c>
      <c r="W708" s="55">
        <f>SUBTOTAL(9,W709:W723)</f>
        <v>0</v>
      </c>
      <c r="X708" s="170"/>
      <c r="Y708" s="745"/>
      <c r="Z708" s="55">
        <f>SUBTOTAL(9,Z709:Z723)</f>
        <v>0</v>
      </c>
      <c r="AA708" s="91"/>
      <c r="AB708" s="91"/>
      <c r="AC708" s="55">
        <f>SUBTOTAL(9,AC709:AC723)</f>
        <v>0</v>
      </c>
      <c r="AD708" s="91"/>
      <c r="AE708" s="91"/>
      <c r="AF708" s="55">
        <f>SUBTOTAL(9,AF709:AF723)</f>
        <v>0</v>
      </c>
      <c r="AG708" s="91"/>
      <c r="AH708" s="91"/>
      <c r="AI708" s="170"/>
    </row>
    <row r="709" spans="1:37" s="123" customFormat="1" ht="15" hidden="1" customHeight="1" outlineLevel="3">
      <c r="A709" s="153">
        <v>208065</v>
      </c>
      <c r="B709" s="153">
        <v>3483</v>
      </c>
      <c r="C709" s="153"/>
      <c r="D709" s="153"/>
      <c r="E709" s="153" t="s">
        <v>2973</v>
      </c>
      <c r="F709" s="153" t="s">
        <v>5220</v>
      </c>
      <c r="G709" s="154" t="s">
        <v>688</v>
      </c>
      <c r="H709" s="583">
        <f>IFERROR(VLOOKUP(A709,'Colar QL'!A:C,3,0),0)</f>
        <v>0</v>
      </c>
      <c r="I709" s="69">
        <f t="shared" si="217"/>
        <v>0</v>
      </c>
      <c r="J709" s="258">
        <f>'BD Temp'!E1058</f>
        <v>0</v>
      </c>
      <c r="K709" s="590" t="str">
        <f t="shared" ref="K709:K723" si="237">F709&amp;L709</f>
        <v>47.0284.1.2.17.00.01.039.01.12.05.1</v>
      </c>
      <c r="L709" s="579" t="s">
        <v>1996</v>
      </c>
      <c r="M709" s="256">
        <f>'BD Temp'!F1058</f>
        <v>0</v>
      </c>
      <c r="N709" s="255">
        <f>'BD Temp'!J1058</f>
        <v>0</v>
      </c>
      <c r="O709" s="592" t="str">
        <f t="shared" ref="O709:O723" si="238">F709&amp;P709</f>
        <v>47.0284.1.2.17.00.01.039.01.12.05.2</v>
      </c>
      <c r="P709" s="578" t="s">
        <v>1998</v>
      </c>
      <c r="Q709" s="256">
        <f>'BD Temp'!K1058</f>
        <v>0</v>
      </c>
      <c r="R709" s="255">
        <f>'BD Temp'!O1058</f>
        <v>0</v>
      </c>
      <c r="S709" s="592" t="str">
        <f t="shared" ref="S709:S723" si="239">F709&amp;T709</f>
        <v>47.0284.1.2.17.00.01.039.01.12.05.2</v>
      </c>
      <c r="T709" s="578" t="s">
        <v>1998</v>
      </c>
      <c r="U709" s="256">
        <f>'BD Temp'!P1058</f>
        <v>0</v>
      </c>
      <c r="V709" s="764"/>
      <c r="W709" s="767"/>
      <c r="X709" s="158" t="s">
        <v>3162</v>
      </c>
      <c r="Y709" s="745"/>
      <c r="Z709" s="741">
        <v>0</v>
      </c>
      <c r="AA709" s="592" t="str">
        <f t="shared" ref="AA709:AA723" si="240">F709&amp;AB709</f>
        <v>47.0284.1.2.17.00.01.039.01.12.05.1</v>
      </c>
      <c r="AB709" s="739" t="s">
        <v>1996</v>
      </c>
      <c r="AC709" s="738">
        <v>0</v>
      </c>
      <c r="AD709" s="592" t="str">
        <f t="shared" ref="AD709:AD723" si="241">F709&amp;AE709</f>
        <v>47.0284.1.2.17.00.01.039.01.12.05.2</v>
      </c>
      <c r="AE709" s="739" t="s">
        <v>1998</v>
      </c>
      <c r="AF709" s="738">
        <v>0</v>
      </c>
      <c r="AG709" s="592" t="str">
        <f t="shared" ref="AG709:AG723" si="242">F709&amp;AH709</f>
        <v>47.0284.1.2.17.00.01.039.01.12.05.3</v>
      </c>
      <c r="AH709" s="739" t="s">
        <v>2000</v>
      </c>
      <c r="AI709" s="158"/>
    </row>
    <row r="710" spans="1:37" s="123" customFormat="1" ht="15" hidden="1" customHeight="1" outlineLevel="3">
      <c r="A710" s="93">
        <v>208095</v>
      </c>
      <c r="B710" s="93">
        <v>3483</v>
      </c>
      <c r="C710" s="93"/>
      <c r="D710" s="93"/>
      <c r="E710" s="153" t="s">
        <v>2973</v>
      </c>
      <c r="F710" s="153" t="s">
        <v>5220</v>
      </c>
      <c r="G710" s="37" t="s">
        <v>693</v>
      </c>
      <c r="H710" s="583">
        <f>IFERROR(VLOOKUP(A710,'Colar QL'!A:C,3,0),0)</f>
        <v>0</v>
      </c>
      <c r="I710" s="69">
        <f t="shared" si="217"/>
        <v>0</v>
      </c>
      <c r="J710" s="258">
        <f>'BD Temp'!E1061</f>
        <v>0</v>
      </c>
      <c r="K710" s="590" t="str">
        <f t="shared" si="237"/>
        <v>47.0284.1.2.17.00.01.039.01.12.05.1</v>
      </c>
      <c r="L710" s="579" t="s">
        <v>1996</v>
      </c>
      <c r="M710" s="256" t="str">
        <f>'BD Temp'!F1061</f>
        <v>-</v>
      </c>
      <c r="N710" s="255">
        <f>'BD Temp'!J1061</f>
        <v>0</v>
      </c>
      <c r="O710" s="592" t="str">
        <f t="shared" si="238"/>
        <v>47.0284.1.2.17.00.01.039.01.12.05.2</v>
      </c>
      <c r="P710" s="578" t="s">
        <v>1998</v>
      </c>
      <c r="Q710" s="256" t="str">
        <f>'BD Temp'!K1061</f>
        <v>-</v>
      </c>
      <c r="R710" s="255">
        <f>'BD Temp'!O1061</f>
        <v>0</v>
      </c>
      <c r="S710" s="592" t="str">
        <f t="shared" si="239"/>
        <v>47.0284.1.2.17.00.01.039.01.12.05.2</v>
      </c>
      <c r="T710" s="578" t="s">
        <v>1998</v>
      </c>
      <c r="U710" s="256" t="str">
        <f>'BD Temp'!P1061</f>
        <v>-</v>
      </c>
      <c r="V710" s="764"/>
      <c r="W710" s="767"/>
      <c r="X710" s="158"/>
      <c r="Y710" s="745"/>
      <c r="Z710" s="741">
        <v>0</v>
      </c>
      <c r="AA710" s="592" t="str">
        <f t="shared" si="240"/>
        <v>47.0284.1.2.17.00.01.039.01.12.05.1</v>
      </c>
      <c r="AB710" s="739" t="s">
        <v>1996</v>
      </c>
      <c r="AC710" s="738">
        <v>0</v>
      </c>
      <c r="AD710" s="592" t="str">
        <f t="shared" si="241"/>
        <v>47.0284.1.2.17.00.01.039.01.12.05.2</v>
      </c>
      <c r="AE710" s="739" t="s">
        <v>1998</v>
      </c>
      <c r="AF710" s="738">
        <v>0</v>
      </c>
      <c r="AG710" s="592" t="str">
        <f t="shared" si="242"/>
        <v>47.0284.1.2.17.00.01.039.01.12.05.3</v>
      </c>
      <c r="AH710" s="739" t="s">
        <v>2000</v>
      </c>
      <c r="AI710" s="158"/>
    </row>
    <row r="711" spans="1:37" s="26" customFormat="1" ht="15" hidden="1" customHeight="1" outlineLevel="3">
      <c r="A711" s="93">
        <v>208060</v>
      </c>
      <c r="B711" s="93">
        <v>3483</v>
      </c>
      <c r="C711" s="93"/>
      <c r="D711" s="93"/>
      <c r="E711" s="153" t="s">
        <v>2973</v>
      </c>
      <c r="F711" s="153" t="s">
        <v>5220</v>
      </c>
      <c r="G711" s="37" t="s">
        <v>687</v>
      </c>
      <c r="H711" s="583">
        <f>IFERROR(VLOOKUP(A711,'Colar QL'!A:C,3,0),0)</f>
        <v>0</v>
      </c>
      <c r="I711" s="69">
        <f t="shared" si="217"/>
        <v>0</v>
      </c>
      <c r="J711" s="258">
        <f>'BD Temp'!E1062</f>
        <v>0</v>
      </c>
      <c r="K711" s="590" t="str">
        <f t="shared" si="237"/>
        <v>47.0284.1.2.17.00.01.039.01.12.05.1</v>
      </c>
      <c r="L711" s="579" t="s">
        <v>1996</v>
      </c>
      <c r="M711" s="256" t="str">
        <f>'BD Temp'!F1062</f>
        <v>-</v>
      </c>
      <c r="N711" s="255">
        <f>'BD Temp'!J1062</f>
        <v>0</v>
      </c>
      <c r="O711" s="592" t="str">
        <f t="shared" si="238"/>
        <v>47.0284.1.2.17.00.01.039.01.12.05.2</v>
      </c>
      <c r="P711" s="578" t="s">
        <v>1998</v>
      </c>
      <c r="Q711" s="256" t="str">
        <f>'BD Temp'!K1062</f>
        <v>-</v>
      </c>
      <c r="R711" s="255">
        <f>'BD Temp'!O1062</f>
        <v>0</v>
      </c>
      <c r="S711" s="592" t="str">
        <f t="shared" si="239"/>
        <v>47.0284.1.2.17.00.01.039.01.12.05.2</v>
      </c>
      <c r="T711" s="772" t="s">
        <v>1998</v>
      </c>
      <c r="U711" s="256" t="str">
        <f>'BD Temp'!P1062</f>
        <v>-</v>
      </c>
      <c r="V711" s="764"/>
      <c r="W711" s="767"/>
      <c r="X711" s="158"/>
      <c r="Y711" s="745"/>
      <c r="Z711" s="741">
        <v>0</v>
      </c>
      <c r="AA711" s="592" t="str">
        <f t="shared" si="240"/>
        <v>47.0284.1.2.17.00.01.039.01.12.05.1</v>
      </c>
      <c r="AB711" s="739" t="s">
        <v>1996</v>
      </c>
      <c r="AC711" s="738">
        <v>0</v>
      </c>
      <c r="AD711" s="592" t="str">
        <f t="shared" si="241"/>
        <v>47.0284.1.2.17.00.01.039.01.12.05.2</v>
      </c>
      <c r="AE711" s="739" t="s">
        <v>1998</v>
      </c>
      <c r="AF711" s="738">
        <v>0</v>
      </c>
      <c r="AG711" s="592" t="str">
        <f t="shared" si="242"/>
        <v>47.0284.1.2.17.00.01.039.01.12.05.3</v>
      </c>
      <c r="AH711" s="739" t="s">
        <v>2000</v>
      </c>
      <c r="AI711" s="158"/>
      <c r="AK711" s="26">
        <f>4000*0.85</f>
        <v>3400</v>
      </c>
    </row>
    <row r="712" spans="1:37" s="26" customFormat="1" ht="15" hidden="1" customHeight="1" outlineLevel="3">
      <c r="A712" s="153">
        <v>208070</v>
      </c>
      <c r="B712" s="153">
        <v>3483</v>
      </c>
      <c r="C712" s="153"/>
      <c r="D712" s="153"/>
      <c r="E712" s="153" t="s">
        <v>2973</v>
      </c>
      <c r="F712" s="153" t="s">
        <v>5220</v>
      </c>
      <c r="G712" s="37" t="s">
        <v>856</v>
      </c>
      <c r="H712" s="583">
        <f>IFERROR(VLOOKUP(A712,'Colar QL'!A:C,3,0),0)</f>
        <v>0</v>
      </c>
      <c r="I712" s="69">
        <f t="shared" si="217"/>
        <v>0</v>
      </c>
      <c r="J712" s="258">
        <f>'BD Temp'!E1063</f>
        <v>0</v>
      </c>
      <c r="K712" s="590" t="str">
        <f t="shared" si="237"/>
        <v>47.0284.1.2.17.00.01.039.01.12.05.1</v>
      </c>
      <c r="L712" s="579" t="s">
        <v>1996</v>
      </c>
      <c r="M712" s="256" t="str">
        <f>'BD Temp'!F1063</f>
        <v>-</v>
      </c>
      <c r="N712" s="255">
        <f>'BD Temp'!J1063</f>
        <v>0</v>
      </c>
      <c r="O712" s="592" t="str">
        <f t="shared" si="238"/>
        <v>47.0284.1.2.17.00.01.039.01.12.05.2</v>
      </c>
      <c r="P712" s="578" t="s">
        <v>1998</v>
      </c>
      <c r="Q712" s="256" t="str">
        <f>'BD Temp'!K1063</f>
        <v>-</v>
      </c>
      <c r="R712" s="255">
        <f>'BD Temp'!O1063</f>
        <v>0</v>
      </c>
      <c r="S712" s="592" t="str">
        <f t="shared" si="239"/>
        <v>47.0284.1.2.17.00.01.039.01.12.05.2</v>
      </c>
      <c r="T712" s="772" t="s">
        <v>1998</v>
      </c>
      <c r="U712" s="256" t="str">
        <f>'BD Temp'!P1063</f>
        <v>-</v>
      </c>
      <c r="V712" s="764"/>
      <c r="W712" s="767"/>
      <c r="X712" s="158" t="s">
        <v>3033</v>
      </c>
      <c r="Y712" s="745"/>
      <c r="Z712" s="741">
        <v>0</v>
      </c>
      <c r="AA712" s="592" t="str">
        <f t="shared" si="240"/>
        <v>47.0284.1.2.17.00.01.039.01.12.05.1</v>
      </c>
      <c r="AB712" s="739" t="s">
        <v>1996</v>
      </c>
      <c r="AC712" s="738">
        <v>0</v>
      </c>
      <c r="AD712" s="592" t="str">
        <f t="shared" si="241"/>
        <v>47.0284.1.2.17.00.01.039.01.12.05.2</v>
      </c>
      <c r="AE712" s="739" t="s">
        <v>1998</v>
      </c>
      <c r="AF712" s="738">
        <v>0</v>
      </c>
      <c r="AG712" s="592" t="str">
        <f t="shared" si="242"/>
        <v>47.0284.1.2.17.00.01.039.01.12.05.3</v>
      </c>
      <c r="AH712" s="739" t="s">
        <v>2000</v>
      </c>
      <c r="AI712" s="158"/>
      <c r="AK712" s="26">
        <f>75000/AK711</f>
        <v>22.058823529411764</v>
      </c>
    </row>
    <row r="713" spans="1:37" s="123" customFormat="1" ht="15" hidden="1" customHeight="1" outlineLevel="3">
      <c r="A713" s="153">
        <v>208075</v>
      </c>
      <c r="B713" s="153">
        <v>3483</v>
      </c>
      <c r="C713" s="153"/>
      <c r="D713" s="153"/>
      <c r="E713" s="153" t="s">
        <v>2973</v>
      </c>
      <c r="F713" s="153" t="s">
        <v>5220</v>
      </c>
      <c r="G713" s="154" t="s">
        <v>689</v>
      </c>
      <c r="H713" s="583">
        <f>IFERROR(VLOOKUP(A713,'Colar QL'!A:C,3,0),0)</f>
        <v>0</v>
      </c>
      <c r="I713" s="69">
        <f t="shared" si="217"/>
        <v>0</v>
      </c>
      <c r="J713" s="258">
        <f>'BD Temp'!E1064</f>
        <v>0</v>
      </c>
      <c r="K713" s="590" t="str">
        <f t="shared" si="237"/>
        <v>47.0284.1.2.17.00.01.039.01.12.05.1</v>
      </c>
      <c r="L713" s="579" t="s">
        <v>1996</v>
      </c>
      <c r="M713" s="256">
        <f>'BD Temp'!F1064</f>
        <v>0</v>
      </c>
      <c r="N713" s="255">
        <f>'BD Temp'!J1064</f>
        <v>0</v>
      </c>
      <c r="O713" s="592" t="str">
        <f t="shared" si="238"/>
        <v>47.0284.1.2.17.00.01.039.01.12.05.2</v>
      </c>
      <c r="P713" s="578" t="s">
        <v>1998</v>
      </c>
      <c r="Q713" s="256">
        <f>'BD Temp'!K1064</f>
        <v>0</v>
      </c>
      <c r="R713" s="255">
        <f>'BD Temp'!O1064</f>
        <v>0</v>
      </c>
      <c r="S713" s="592" t="str">
        <f t="shared" si="239"/>
        <v>47.0284.1.2.17.00.01.039.01.12.05.2</v>
      </c>
      <c r="T713" s="772" t="s">
        <v>1998</v>
      </c>
      <c r="U713" s="256">
        <f>'BD Temp'!P1064</f>
        <v>0</v>
      </c>
      <c r="V713" s="764"/>
      <c r="W713" s="767"/>
      <c r="X713" s="158"/>
      <c r="Y713" s="745"/>
      <c r="Z713" s="741">
        <v>0</v>
      </c>
      <c r="AA713" s="592" t="str">
        <f t="shared" si="240"/>
        <v>47.0284.1.2.17.00.01.039.01.12.05.1</v>
      </c>
      <c r="AB713" s="739" t="s">
        <v>1996</v>
      </c>
      <c r="AC713" s="738">
        <v>0</v>
      </c>
      <c r="AD713" s="592" t="str">
        <f t="shared" si="241"/>
        <v>47.0284.1.2.17.00.01.039.01.12.05.2</v>
      </c>
      <c r="AE713" s="739" t="s">
        <v>1998</v>
      </c>
      <c r="AF713" s="738">
        <v>0</v>
      </c>
      <c r="AG713" s="592" t="str">
        <f t="shared" si="242"/>
        <v>47.0284.1.2.17.00.01.039.01.12.05.3</v>
      </c>
      <c r="AH713" s="739" t="s">
        <v>2000</v>
      </c>
      <c r="AI713" s="158"/>
    </row>
    <row r="714" spans="1:37" s="123" customFormat="1" ht="15" hidden="1" customHeight="1" outlineLevel="3">
      <c r="A714" s="153">
        <v>208080</v>
      </c>
      <c r="B714" s="153">
        <v>3483</v>
      </c>
      <c r="C714" s="153"/>
      <c r="D714" s="153"/>
      <c r="E714" s="153" t="s">
        <v>2973</v>
      </c>
      <c r="F714" s="153" t="s">
        <v>5220</v>
      </c>
      <c r="G714" s="154" t="s">
        <v>690</v>
      </c>
      <c r="H714" s="583">
        <f>IFERROR(VLOOKUP(A714,'Colar QL'!A:C,3,0),0)</f>
        <v>0</v>
      </c>
      <c r="I714" s="69">
        <f t="shared" si="217"/>
        <v>0</v>
      </c>
      <c r="J714" s="258">
        <f>'BD Temp'!E1092</f>
        <v>0</v>
      </c>
      <c r="K714" s="590" t="str">
        <f t="shared" si="237"/>
        <v>47.0284.1.2.17.00.01.039.01.12.05.1</v>
      </c>
      <c r="L714" s="579" t="s">
        <v>1996</v>
      </c>
      <c r="M714" s="256" t="str">
        <f>'BD Temp'!F1092</f>
        <v>-</v>
      </c>
      <c r="N714" s="255">
        <f>'BD Temp'!J1092</f>
        <v>0</v>
      </c>
      <c r="O714" s="592" t="str">
        <f t="shared" si="238"/>
        <v>47.0284.1.2.17.00.01.039.01.12.05.2</v>
      </c>
      <c r="P714" s="578" t="s">
        <v>1998</v>
      </c>
      <c r="Q714" s="256" t="str">
        <f>'BD Temp'!K1092</f>
        <v>-</v>
      </c>
      <c r="R714" s="255">
        <f>'BD Temp'!O1092</f>
        <v>0</v>
      </c>
      <c r="S714" s="592" t="str">
        <f t="shared" si="239"/>
        <v>47.0284.1.2.17.00.01.039.01.12.05.2</v>
      </c>
      <c r="T714" s="772" t="s">
        <v>1998</v>
      </c>
      <c r="U714" s="256" t="str">
        <f>'BD Temp'!P1092</f>
        <v>-</v>
      </c>
      <c r="V714" s="764"/>
      <c r="W714" s="767"/>
      <c r="X714" s="158" t="s">
        <v>3031</v>
      </c>
      <c r="Y714" s="745"/>
      <c r="Z714" s="741">
        <v>0</v>
      </c>
      <c r="AA714" s="592" t="str">
        <f t="shared" si="240"/>
        <v>47.0284.1.2.17.00.01.039.01.12.05.1</v>
      </c>
      <c r="AB714" s="739" t="s">
        <v>1996</v>
      </c>
      <c r="AC714" s="738">
        <v>0</v>
      </c>
      <c r="AD714" s="592" t="str">
        <f t="shared" si="241"/>
        <v>47.0284.1.2.17.00.01.039.01.12.05.2</v>
      </c>
      <c r="AE714" s="739" t="s">
        <v>1998</v>
      </c>
      <c r="AF714" s="738">
        <v>0</v>
      </c>
      <c r="AG714" s="592" t="str">
        <f t="shared" si="242"/>
        <v>47.0284.1.2.17.00.01.039.01.12.05.3</v>
      </c>
      <c r="AH714" s="739" t="s">
        <v>2000</v>
      </c>
      <c r="AI714" s="158"/>
    </row>
    <row r="715" spans="1:37" s="123" customFormat="1" ht="15" hidden="1" customHeight="1" outlineLevel="3">
      <c r="A715" s="153">
        <v>208085</v>
      </c>
      <c r="B715" s="153">
        <v>3483</v>
      </c>
      <c r="C715" s="153"/>
      <c r="D715" s="153"/>
      <c r="E715" s="153" t="s">
        <v>2973</v>
      </c>
      <c r="F715" s="153" t="s">
        <v>5220</v>
      </c>
      <c r="G715" s="154" t="s">
        <v>691</v>
      </c>
      <c r="H715" s="583">
        <f>IFERROR(VLOOKUP(A715,'Colar QL'!A:C,3,0),0)</f>
        <v>0</v>
      </c>
      <c r="I715" s="69">
        <f t="shared" si="217"/>
        <v>0</v>
      </c>
      <c r="J715" s="258">
        <f>'BD Temp'!E1093</f>
        <v>0</v>
      </c>
      <c r="K715" s="590" t="str">
        <f t="shared" si="237"/>
        <v>47.0284.1.2.17.00.01.039.01.12.05.1</v>
      </c>
      <c r="L715" s="579" t="s">
        <v>1996</v>
      </c>
      <c r="M715" s="256">
        <f>'BD Temp'!F1093</f>
        <v>0</v>
      </c>
      <c r="N715" s="255">
        <f>'BD Temp'!J1093</f>
        <v>0</v>
      </c>
      <c r="O715" s="592" t="str">
        <f t="shared" si="238"/>
        <v>47.0284.1.2.17.00.01.039.01.12.05.2</v>
      </c>
      <c r="P715" s="578" t="s">
        <v>1998</v>
      </c>
      <c r="Q715" s="256">
        <f>'BD Temp'!K1093</f>
        <v>0</v>
      </c>
      <c r="R715" s="255">
        <f>'BD Temp'!O1093</f>
        <v>0</v>
      </c>
      <c r="S715" s="592" t="str">
        <f t="shared" si="239"/>
        <v>47.0284.1.2.17.00.01.039.01.12.05.2</v>
      </c>
      <c r="T715" s="772" t="s">
        <v>1998</v>
      </c>
      <c r="U715" s="256">
        <f>'BD Temp'!P1093</f>
        <v>0</v>
      </c>
      <c r="V715" s="764"/>
      <c r="W715" s="767"/>
      <c r="X715" s="158" t="s">
        <v>2756</v>
      </c>
      <c r="Y715" s="745"/>
      <c r="Z715" s="741">
        <v>0</v>
      </c>
      <c r="AA715" s="592" t="str">
        <f t="shared" si="240"/>
        <v>47.0284.1.2.17.00.01.039.01.12.05.1</v>
      </c>
      <c r="AB715" s="739" t="s">
        <v>1996</v>
      </c>
      <c r="AC715" s="738">
        <v>0</v>
      </c>
      <c r="AD715" s="592" t="str">
        <f t="shared" si="241"/>
        <v>47.0284.1.2.17.00.01.039.01.12.05.2</v>
      </c>
      <c r="AE715" s="739" t="s">
        <v>1998</v>
      </c>
      <c r="AF715" s="738">
        <v>0</v>
      </c>
      <c r="AG715" s="592" t="str">
        <f t="shared" si="242"/>
        <v>47.0284.1.2.17.00.01.039.01.12.05.3</v>
      </c>
      <c r="AH715" s="739" t="s">
        <v>2000</v>
      </c>
      <c r="AI715" s="158"/>
    </row>
    <row r="716" spans="1:37" s="123" customFormat="1" ht="15" hidden="1" customHeight="1" outlineLevel="3">
      <c r="A716" s="153">
        <v>208090</v>
      </c>
      <c r="B716" s="153">
        <v>3483</v>
      </c>
      <c r="C716" s="153"/>
      <c r="D716" s="153"/>
      <c r="E716" s="153" t="s">
        <v>2973</v>
      </c>
      <c r="F716" s="153" t="s">
        <v>5220</v>
      </c>
      <c r="G716" s="37" t="s">
        <v>692</v>
      </c>
      <c r="H716" s="583">
        <f>IFERROR(VLOOKUP(A716,'Colar QL'!A:C,3,0),0)</f>
        <v>0</v>
      </c>
      <c r="I716" s="69">
        <f t="shared" si="217"/>
        <v>0</v>
      </c>
      <c r="J716" s="258">
        <f>'BD Temp'!E1096</f>
        <v>0</v>
      </c>
      <c r="K716" s="590" t="str">
        <f t="shared" si="237"/>
        <v>47.0284.1.2.17.00.01.039.01.12.05.1</v>
      </c>
      <c r="L716" s="579" t="s">
        <v>1996</v>
      </c>
      <c r="M716" s="256" t="str">
        <f>'BD Temp'!F1096</f>
        <v>-</v>
      </c>
      <c r="N716" s="255">
        <f>'BD Temp'!J1096</f>
        <v>0</v>
      </c>
      <c r="O716" s="592" t="str">
        <f t="shared" si="238"/>
        <v>47.0284.1.2.17.00.01.039.01.12.05.2</v>
      </c>
      <c r="P716" s="578" t="s">
        <v>1998</v>
      </c>
      <c r="Q716" s="256" t="str">
        <f>'BD Temp'!K1096</f>
        <v>-</v>
      </c>
      <c r="R716" s="255">
        <f>'BD Temp'!O1096</f>
        <v>0</v>
      </c>
      <c r="S716" s="592" t="str">
        <f t="shared" si="239"/>
        <v>47.0284.1.2.17.00.01.039.01.12.05.2</v>
      </c>
      <c r="T716" s="772" t="s">
        <v>1998</v>
      </c>
      <c r="U716" s="256" t="str">
        <f>'BD Temp'!P1096</f>
        <v>-</v>
      </c>
      <c r="V716" s="764"/>
      <c r="W716" s="767"/>
      <c r="X716" s="158" t="s">
        <v>3085</v>
      </c>
      <c r="Y716" s="745"/>
      <c r="Z716" s="741">
        <v>0</v>
      </c>
      <c r="AA716" s="592" t="str">
        <f t="shared" si="240"/>
        <v>47.0284.1.2.17.00.01.039.01.12.05.1</v>
      </c>
      <c r="AB716" s="739" t="s">
        <v>1996</v>
      </c>
      <c r="AC716" s="738">
        <v>0</v>
      </c>
      <c r="AD716" s="592" t="str">
        <f t="shared" si="241"/>
        <v>47.0284.1.2.17.00.01.039.01.12.05.2</v>
      </c>
      <c r="AE716" s="739" t="s">
        <v>1998</v>
      </c>
      <c r="AF716" s="738">
        <v>0</v>
      </c>
      <c r="AG716" s="592" t="str">
        <f t="shared" si="242"/>
        <v>47.0284.1.2.17.00.01.039.01.12.05.3</v>
      </c>
      <c r="AH716" s="739" t="s">
        <v>2000</v>
      </c>
      <c r="AI716" s="158"/>
    </row>
    <row r="717" spans="1:37" s="26" customFormat="1" ht="15" hidden="1" customHeight="1" outlineLevel="3">
      <c r="A717" s="93">
        <v>208105</v>
      </c>
      <c r="B717" s="93">
        <v>3483</v>
      </c>
      <c r="C717" s="93"/>
      <c r="D717" s="93"/>
      <c r="E717" s="93" t="s">
        <v>2973</v>
      </c>
      <c r="F717" s="93" t="s">
        <v>5220</v>
      </c>
      <c r="G717" s="37" t="s">
        <v>695</v>
      </c>
      <c r="H717" s="583">
        <f>IFERROR(VLOOKUP(A717,'Colar QL'!A:C,3,0),0)</f>
        <v>0</v>
      </c>
      <c r="I717" s="69">
        <f t="shared" si="217"/>
        <v>0</v>
      </c>
      <c r="J717" s="258">
        <f>'BD Temp'!E1097</f>
        <v>0</v>
      </c>
      <c r="K717" s="590" t="str">
        <f t="shared" si="237"/>
        <v>47.0284.1.2.17.00.01.039.01.12.05.1</v>
      </c>
      <c r="L717" s="579" t="s">
        <v>1996</v>
      </c>
      <c r="M717" s="256" t="str">
        <f>'BD Temp'!F1097</f>
        <v>-</v>
      </c>
      <c r="N717" s="255">
        <f>'BD Temp'!J1097</f>
        <v>0</v>
      </c>
      <c r="O717" s="592" t="str">
        <f t="shared" si="238"/>
        <v>47.0284.1.2.17.00.01.039.01.12.05.2</v>
      </c>
      <c r="P717" s="578" t="s">
        <v>1998</v>
      </c>
      <c r="Q717" s="256" t="str">
        <f>'BD Temp'!K1097</f>
        <v>-</v>
      </c>
      <c r="R717" s="255">
        <f>'BD Temp'!O1097</f>
        <v>0</v>
      </c>
      <c r="S717" s="592" t="str">
        <f t="shared" si="239"/>
        <v>47.0284.1.2.17.00.01.039.01.12.05.2</v>
      </c>
      <c r="T717" s="772" t="s">
        <v>1998</v>
      </c>
      <c r="U717" s="256" t="str">
        <f>'BD Temp'!P1097</f>
        <v>-</v>
      </c>
      <c r="V717" s="764"/>
      <c r="W717" s="767"/>
      <c r="X717" s="158"/>
      <c r="Y717" s="745"/>
      <c r="Z717" s="741">
        <v>0</v>
      </c>
      <c r="AA717" s="592" t="str">
        <f t="shared" si="240"/>
        <v>47.0284.1.2.17.00.01.039.01.12.05.1</v>
      </c>
      <c r="AB717" s="739" t="s">
        <v>1996</v>
      </c>
      <c r="AC717" s="738">
        <v>0</v>
      </c>
      <c r="AD717" s="592" t="str">
        <f t="shared" si="241"/>
        <v>47.0284.1.2.17.00.01.039.01.12.05.2</v>
      </c>
      <c r="AE717" s="739" t="s">
        <v>1998</v>
      </c>
      <c r="AF717" s="738">
        <v>0</v>
      </c>
      <c r="AG717" s="592" t="str">
        <f t="shared" si="242"/>
        <v>47.0284.1.2.17.00.01.039.01.12.05.3</v>
      </c>
      <c r="AH717" s="739" t="s">
        <v>2000</v>
      </c>
      <c r="AI717" s="158"/>
    </row>
    <row r="718" spans="1:37" ht="15" hidden="1" customHeight="1" outlineLevel="3">
      <c r="A718" s="153">
        <v>208100</v>
      </c>
      <c r="B718" s="153">
        <v>3483</v>
      </c>
      <c r="C718" s="153"/>
      <c r="D718" s="153"/>
      <c r="E718" s="153" t="s">
        <v>2972</v>
      </c>
      <c r="F718" s="153" t="s">
        <v>5221</v>
      </c>
      <c r="G718" s="37" t="s">
        <v>694</v>
      </c>
      <c r="H718" s="583">
        <f>IFERROR(VLOOKUP(A718,'Colar QL'!A:C,3,0),0)</f>
        <v>0</v>
      </c>
      <c r="I718" s="69">
        <f t="shared" si="217"/>
        <v>0</v>
      </c>
      <c r="J718" s="258">
        <f>'BD Temp'!E1098</f>
        <v>0</v>
      </c>
      <c r="K718" s="590" t="str">
        <f t="shared" si="237"/>
        <v>47.0284.1.2.17.00.01.039.01.12.01.1</v>
      </c>
      <c r="L718" s="579" t="s">
        <v>1996</v>
      </c>
      <c r="M718" s="256" t="str">
        <f>'BD Temp'!F1098</f>
        <v>-</v>
      </c>
      <c r="N718" s="255">
        <f>'BD Temp'!J1098</f>
        <v>0</v>
      </c>
      <c r="O718" s="592" t="str">
        <f t="shared" si="238"/>
        <v>47.0284.1.2.17.00.01.039.01.12.01.2</v>
      </c>
      <c r="P718" s="578" t="s">
        <v>1998</v>
      </c>
      <c r="Q718" s="256" t="str">
        <f>'BD Temp'!K1098</f>
        <v>-</v>
      </c>
      <c r="R718" s="255">
        <f>'BD Temp'!O1098</f>
        <v>0</v>
      </c>
      <c r="S718" s="592" t="str">
        <f t="shared" si="239"/>
        <v>47.0284.1.2.17.00.01.039.01.12.01.2</v>
      </c>
      <c r="T718" s="772" t="s">
        <v>1998</v>
      </c>
      <c r="U718" s="256" t="str">
        <f>'BD Temp'!P1098</f>
        <v>-</v>
      </c>
      <c r="V718" s="764"/>
      <c r="W718" s="767"/>
      <c r="X718" s="158" t="s">
        <v>3032</v>
      </c>
      <c r="Y718" s="745"/>
      <c r="Z718" s="741">
        <v>0</v>
      </c>
      <c r="AA718" s="592" t="str">
        <f t="shared" si="240"/>
        <v>47.0284.1.2.17.00.01.039.01.12.01.1</v>
      </c>
      <c r="AB718" s="739" t="s">
        <v>1996</v>
      </c>
      <c r="AC718" s="738">
        <v>0</v>
      </c>
      <c r="AD718" s="592" t="str">
        <f t="shared" si="241"/>
        <v>47.0284.1.2.17.00.01.039.01.12.01.2</v>
      </c>
      <c r="AE718" s="739" t="s">
        <v>1998</v>
      </c>
      <c r="AF718" s="738">
        <v>0</v>
      </c>
      <c r="AG718" s="592" t="str">
        <f t="shared" si="242"/>
        <v>47.0284.1.2.17.00.01.039.01.12.01.3</v>
      </c>
      <c r="AH718" s="739" t="s">
        <v>2000</v>
      </c>
      <c r="AI718" s="158"/>
    </row>
    <row r="719" spans="1:37" ht="15" hidden="1" customHeight="1" outlineLevel="3">
      <c r="A719" s="93"/>
      <c r="B719" s="93" t="s">
        <v>1075</v>
      </c>
      <c r="C719" s="93"/>
      <c r="D719" s="93"/>
      <c r="E719" s="93"/>
      <c r="F719" s="93" t="s">
        <v>1075</v>
      </c>
      <c r="G719" s="37"/>
      <c r="H719" s="79"/>
      <c r="I719" s="69">
        <f t="shared" si="217"/>
        <v>0</v>
      </c>
      <c r="J719" s="127"/>
      <c r="K719" s="590" t="str">
        <f t="shared" si="237"/>
        <v>.1</v>
      </c>
      <c r="L719" s="579" t="s">
        <v>1996</v>
      </c>
      <c r="M719" s="74"/>
      <c r="N719" s="126"/>
      <c r="O719" s="592" t="str">
        <f t="shared" si="238"/>
        <v>.2</v>
      </c>
      <c r="P719" s="578" t="s">
        <v>1998</v>
      </c>
      <c r="Q719" s="74"/>
      <c r="R719" s="49"/>
      <c r="S719" s="592" t="str">
        <f t="shared" si="239"/>
        <v>.2</v>
      </c>
      <c r="T719" s="772" t="s">
        <v>1998</v>
      </c>
      <c r="U719" s="74"/>
      <c r="V719" s="764"/>
      <c r="W719" s="764"/>
      <c r="X719" s="158"/>
      <c r="Y719" s="745"/>
      <c r="Z719" s="741">
        <v>0</v>
      </c>
      <c r="AA719" s="592" t="str">
        <f t="shared" si="240"/>
        <v>.1</v>
      </c>
      <c r="AB719" s="739" t="s">
        <v>1996</v>
      </c>
      <c r="AC719" s="738">
        <v>0</v>
      </c>
      <c r="AD719" s="592" t="str">
        <f t="shared" si="241"/>
        <v>.2</v>
      </c>
      <c r="AE719" s="739" t="s">
        <v>1998</v>
      </c>
      <c r="AF719" s="738">
        <v>0</v>
      </c>
      <c r="AG719" s="592" t="str">
        <f t="shared" si="242"/>
        <v>.3</v>
      </c>
      <c r="AH719" s="739" t="s">
        <v>2000</v>
      </c>
      <c r="AI719" s="158"/>
    </row>
    <row r="720" spans="1:37" ht="15" hidden="1" customHeight="1" outlineLevel="3">
      <c r="A720" s="99"/>
      <c r="B720" s="99" t="s">
        <v>1075</v>
      </c>
      <c r="C720" s="99"/>
      <c r="D720" s="99"/>
      <c r="E720" s="99"/>
      <c r="F720" s="99" t="s">
        <v>1075</v>
      </c>
      <c r="G720" s="39" t="s">
        <v>723</v>
      </c>
      <c r="H720" s="79"/>
      <c r="I720" s="69">
        <f t="shared" si="217"/>
        <v>0</v>
      </c>
      <c r="J720" s="48"/>
      <c r="K720" s="590" t="str">
        <f t="shared" si="237"/>
        <v>.1</v>
      </c>
      <c r="L720" s="579" t="s">
        <v>1996</v>
      </c>
      <c r="M720" s="74"/>
      <c r="N720" s="49"/>
      <c r="O720" s="592" t="str">
        <f t="shared" si="238"/>
        <v>.2</v>
      </c>
      <c r="P720" s="578" t="s">
        <v>1998</v>
      </c>
      <c r="Q720" s="74"/>
      <c r="R720" s="49"/>
      <c r="S720" s="592" t="str">
        <f t="shared" si="239"/>
        <v>.2</v>
      </c>
      <c r="T720" s="772" t="s">
        <v>1998</v>
      </c>
      <c r="U720" s="74"/>
      <c r="V720" s="764"/>
      <c r="W720" s="764"/>
      <c r="X720" s="158"/>
      <c r="Y720" s="745"/>
      <c r="Z720" s="741">
        <v>0</v>
      </c>
      <c r="AA720" s="592" t="str">
        <f t="shared" si="240"/>
        <v>.1</v>
      </c>
      <c r="AB720" s="739" t="s">
        <v>1996</v>
      </c>
      <c r="AC720" s="738">
        <v>0</v>
      </c>
      <c r="AD720" s="592" t="str">
        <f t="shared" si="241"/>
        <v>.2</v>
      </c>
      <c r="AE720" s="739" t="s">
        <v>1998</v>
      </c>
      <c r="AF720" s="738">
        <v>0</v>
      </c>
      <c r="AG720" s="592" t="str">
        <f t="shared" si="242"/>
        <v>.3</v>
      </c>
      <c r="AH720" s="739" t="s">
        <v>2000</v>
      </c>
      <c r="AI720" s="158"/>
    </row>
    <row r="721" spans="1:35" ht="15" hidden="1" customHeight="1" outlineLevel="3">
      <c r="A721" s="153" t="s">
        <v>1971</v>
      </c>
      <c r="B721" s="153">
        <v>3483</v>
      </c>
      <c r="C721" s="153"/>
      <c r="D721" s="153"/>
      <c r="E721" s="153" t="s">
        <v>2972</v>
      </c>
      <c r="F721" s="153" t="s">
        <v>5221</v>
      </c>
      <c r="G721" s="37" t="s">
        <v>1990</v>
      </c>
      <c r="H721" s="583">
        <f>IFERROR(VLOOKUP(A721,'Colar QL'!A:C,3,0),0)</f>
        <v>0</v>
      </c>
      <c r="I721" s="69">
        <f t="shared" si="217"/>
        <v>0</v>
      </c>
      <c r="J721" s="258">
        <f>'BD Temp'!E1101</f>
        <v>0</v>
      </c>
      <c r="K721" s="590" t="str">
        <f t="shared" si="237"/>
        <v>47.0284.1.2.17.00.01.039.01.12.01.1</v>
      </c>
      <c r="L721" s="579" t="s">
        <v>1996</v>
      </c>
      <c r="M721" s="256" t="str">
        <f>'BD Temp'!F1101</f>
        <v>-</v>
      </c>
      <c r="N721" s="255">
        <f>'BD Temp'!J1101</f>
        <v>0</v>
      </c>
      <c r="O721" s="592" t="str">
        <f t="shared" si="238"/>
        <v>47.0284.1.2.17.00.01.039.01.12.01.2</v>
      </c>
      <c r="P721" s="578" t="s">
        <v>1998</v>
      </c>
      <c r="Q721" s="256" t="str">
        <f>'BD Temp'!K1101</f>
        <v>-</v>
      </c>
      <c r="R721" s="255">
        <f>'BD Temp'!O1101</f>
        <v>0</v>
      </c>
      <c r="S721" s="592" t="str">
        <f t="shared" si="239"/>
        <v>47.0284.1.2.17.00.01.039.01.12.01.2</v>
      </c>
      <c r="T721" s="772" t="s">
        <v>1998</v>
      </c>
      <c r="U721" s="256" t="str">
        <f>'BD Temp'!P1101</f>
        <v>-</v>
      </c>
      <c r="V721" s="764"/>
      <c r="W721" s="767"/>
      <c r="X721" s="158"/>
      <c r="Y721" s="745"/>
      <c r="Z721" s="741">
        <v>0</v>
      </c>
      <c r="AA721" s="592" t="str">
        <f t="shared" si="240"/>
        <v>47.0284.1.2.17.00.01.039.01.12.01.1</v>
      </c>
      <c r="AB721" s="739" t="s">
        <v>1996</v>
      </c>
      <c r="AC721" s="738">
        <v>0</v>
      </c>
      <c r="AD721" s="592" t="str">
        <f t="shared" si="241"/>
        <v>47.0284.1.2.17.00.01.039.01.12.01.2</v>
      </c>
      <c r="AE721" s="739" t="s">
        <v>1998</v>
      </c>
      <c r="AF721" s="738">
        <v>0</v>
      </c>
      <c r="AG721" s="592" t="str">
        <f t="shared" si="242"/>
        <v>47.0284.1.2.17.00.01.039.01.12.01.3</v>
      </c>
      <c r="AH721" s="739" t="s">
        <v>2000</v>
      </c>
      <c r="AI721" s="158"/>
    </row>
    <row r="722" spans="1:35" s="26" customFormat="1" ht="15" hidden="1" customHeight="1" outlineLevel="3">
      <c r="A722" s="93" t="s">
        <v>1972</v>
      </c>
      <c r="B722" s="93">
        <v>3483</v>
      </c>
      <c r="C722" s="93"/>
      <c r="D722" s="93"/>
      <c r="E722" s="93" t="s">
        <v>2973</v>
      </c>
      <c r="F722" s="93" t="s">
        <v>5220</v>
      </c>
      <c r="G722" s="37" t="s">
        <v>972</v>
      </c>
      <c r="H722" s="583">
        <f>IFERROR(VLOOKUP(A722,'Colar QL'!A:C,3,0),0)</f>
        <v>0</v>
      </c>
      <c r="I722" s="69">
        <f t="shared" si="217"/>
        <v>0</v>
      </c>
      <c r="J722" s="258">
        <f>'BD Temp'!E1102</f>
        <v>0</v>
      </c>
      <c r="K722" s="590" t="str">
        <f t="shared" si="237"/>
        <v>47.0284.1.2.17.00.01.039.01.12.05.1</v>
      </c>
      <c r="L722" s="579" t="s">
        <v>1996</v>
      </c>
      <c r="M722" s="256" t="str">
        <f>'BD Temp'!F1102</f>
        <v>-</v>
      </c>
      <c r="N722" s="255">
        <f>'BD Temp'!J1102</f>
        <v>0</v>
      </c>
      <c r="O722" s="592" t="str">
        <f t="shared" si="238"/>
        <v>47.0284.1.2.17.00.01.039.01.12.05.2</v>
      </c>
      <c r="P722" s="578" t="s">
        <v>1998</v>
      </c>
      <c r="Q722" s="256" t="str">
        <f>'BD Temp'!K1102</f>
        <v>-</v>
      </c>
      <c r="R722" s="255">
        <f>'BD Temp'!O1102</f>
        <v>0</v>
      </c>
      <c r="S722" s="592" t="str">
        <f t="shared" si="239"/>
        <v>47.0284.1.2.17.00.01.039.01.12.05.2</v>
      </c>
      <c r="T722" s="772" t="s">
        <v>1998</v>
      </c>
      <c r="U722" s="256" t="str">
        <f>'BD Temp'!P1102</f>
        <v>-</v>
      </c>
      <c r="V722" s="764"/>
      <c r="W722" s="767"/>
      <c r="X722" s="158" t="s">
        <v>3086</v>
      </c>
      <c r="Y722" s="745"/>
      <c r="Z722" s="741">
        <v>0</v>
      </c>
      <c r="AA722" s="592" t="str">
        <f t="shared" si="240"/>
        <v>47.0284.1.2.17.00.01.039.01.12.05.1</v>
      </c>
      <c r="AB722" s="739" t="s">
        <v>1996</v>
      </c>
      <c r="AC722" s="738">
        <v>0</v>
      </c>
      <c r="AD722" s="592" t="str">
        <f t="shared" si="241"/>
        <v>47.0284.1.2.17.00.01.039.01.12.05.2</v>
      </c>
      <c r="AE722" s="739" t="s">
        <v>1998</v>
      </c>
      <c r="AF722" s="738">
        <v>0</v>
      </c>
      <c r="AG722" s="592" t="str">
        <f t="shared" si="242"/>
        <v>47.0284.1.2.17.00.01.039.01.12.05.3</v>
      </c>
      <c r="AH722" s="739" t="s">
        <v>2000</v>
      </c>
      <c r="AI722" s="158"/>
    </row>
    <row r="723" spans="1:35" ht="15" hidden="1" customHeight="1" outlineLevel="3">
      <c r="A723" s="93" t="s">
        <v>1973</v>
      </c>
      <c r="B723" s="93">
        <v>3483</v>
      </c>
      <c r="C723" s="93"/>
      <c r="D723" s="93"/>
      <c r="E723" s="93" t="s">
        <v>2973</v>
      </c>
      <c r="F723" s="93" t="s">
        <v>5220</v>
      </c>
      <c r="G723" s="37" t="s">
        <v>977</v>
      </c>
      <c r="H723" s="583">
        <f>IFERROR(VLOOKUP(A723,'Colar QL'!A:C,3,0),0)</f>
        <v>0</v>
      </c>
      <c r="I723" s="69">
        <f t="shared" si="217"/>
        <v>0</v>
      </c>
      <c r="J723" s="258">
        <f>'BD Temp'!E1103</f>
        <v>0</v>
      </c>
      <c r="K723" s="590" t="str">
        <f t="shared" si="237"/>
        <v>47.0284.1.2.17.00.01.039.01.12.05.1</v>
      </c>
      <c r="L723" s="579" t="s">
        <v>1996</v>
      </c>
      <c r="M723" s="256">
        <f>'BD Temp'!F1103</f>
        <v>0</v>
      </c>
      <c r="N723" s="255">
        <f>'BD Temp'!J1103</f>
        <v>0</v>
      </c>
      <c r="O723" s="592" t="str">
        <f t="shared" si="238"/>
        <v>47.0284.1.2.17.00.01.039.01.12.05.2</v>
      </c>
      <c r="P723" s="578" t="s">
        <v>1998</v>
      </c>
      <c r="Q723" s="256">
        <f>'BD Temp'!K1103</f>
        <v>0</v>
      </c>
      <c r="R723" s="255">
        <f>'BD Temp'!O1103</f>
        <v>0</v>
      </c>
      <c r="S723" s="592" t="str">
        <f t="shared" si="239"/>
        <v>47.0284.1.2.17.00.01.039.01.12.05.2</v>
      </c>
      <c r="T723" s="772" t="s">
        <v>1998</v>
      </c>
      <c r="U723" s="256">
        <f>'BD Temp'!P1103</f>
        <v>0</v>
      </c>
      <c r="V723" s="764"/>
      <c r="W723" s="767"/>
      <c r="X723" s="158"/>
      <c r="Y723" s="745"/>
      <c r="Z723" s="741">
        <v>0</v>
      </c>
      <c r="AA723" s="592" t="str">
        <f t="shared" si="240"/>
        <v>47.0284.1.2.17.00.01.039.01.12.05.1</v>
      </c>
      <c r="AB723" s="739" t="s">
        <v>1996</v>
      </c>
      <c r="AC723" s="738">
        <v>0</v>
      </c>
      <c r="AD723" s="592" t="str">
        <f t="shared" si="241"/>
        <v>47.0284.1.2.17.00.01.039.01.12.05.2</v>
      </c>
      <c r="AE723" s="739" t="s">
        <v>1998</v>
      </c>
      <c r="AF723" s="738">
        <v>0</v>
      </c>
      <c r="AG723" s="592" t="str">
        <f t="shared" si="242"/>
        <v>47.0284.1.2.17.00.01.039.01.12.05.3</v>
      </c>
      <c r="AH723" s="739" t="s">
        <v>2000</v>
      </c>
      <c r="AI723" s="158"/>
    </row>
    <row r="724" spans="1:35" ht="15" hidden="1" customHeight="1" outlineLevel="2">
      <c r="A724" s="97"/>
      <c r="B724" s="97" t="s">
        <v>1075</v>
      </c>
      <c r="C724" s="97"/>
      <c r="D724" s="97"/>
      <c r="E724" s="97"/>
      <c r="F724" s="97" t="s">
        <v>1075</v>
      </c>
      <c r="G724" s="40" t="s">
        <v>235</v>
      </c>
      <c r="H724" s="78">
        <f>SUBTOTAL(9,H725:H726)</f>
        <v>0</v>
      </c>
      <c r="I724" s="68">
        <f t="shared" si="217"/>
        <v>0</v>
      </c>
      <c r="J724" s="55">
        <f>SUBTOTAL(9,J725)</f>
        <v>0</v>
      </c>
      <c r="K724" s="55"/>
      <c r="L724" s="55"/>
      <c r="M724" s="84"/>
      <c r="N724" s="56">
        <f>SUBTOTAL(9,N725)</f>
        <v>0</v>
      </c>
      <c r="O724" s="84"/>
      <c r="P724" s="84"/>
      <c r="Q724" s="84"/>
      <c r="R724" s="56">
        <f>SUBTOTAL(9,R725)</f>
        <v>0</v>
      </c>
      <c r="S724" s="84"/>
      <c r="T724" s="84"/>
      <c r="U724" s="84"/>
      <c r="V724" s="56">
        <f>SUBTOTAL(9,V725)</f>
        <v>0</v>
      </c>
      <c r="W724" s="56">
        <f>SUBTOTAL(9,W725)</f>
        <v>0</v>
      </c>
      <c r="X724" s="170"/>
      <c r="Y724" s="745"/>
      <c r="Z724" s="55">
        <f>SUBTOTAL(9,Z725)</f>
        <v>0</v>
      </c>
      <c r="AA724" s="84"/>
      <c r="AB724" s="84"/>
      <c r="AC724" s="56">
        <f>SUBTOTAL(9,AC725)</f>
        <v>0</v>
      </c>
      <c r="AD724" s="84"/>
      <c r="AE724" s="84"/>
      <c r="AF724" s="56">
        <f>SUBTOTAL(9,AF725)</f>
        <v>0</v>
      </c>
      <c r="AG724" s="84"/>
      <c r="AH724" s="84"/>
      <c r="AI724" s="170"/>
    </row>
    <row r="725" spans="1:35" ht="15" hidden="1" customHeight="1" outlineLevel="3">
      <c r="A725" s="95" t="s">
        <v>2304</v>
      </c>
      <c r="B725" s="93">
        <v>3483</v>
      </c>
      <c r="C725" s="93"/>
      <c r="D725" s="93"/>
      <c r="E725" s="153" t="s">
        <v>2973</v>
      </c>
      <c r="F725" s="153" t="s">
        <v>5220</v>
      </c>
      <c r="G725" s="13" t="s">
        <v>3030</v>
      </c>
      <c r="H725" s="633">
        <f>IFERROR(VLOOKUP(A725,'Colar QL'!A:C,3,0),0)</f>
        <v>0</v>
      </c>
      <c r="I725" s="69">
        <f t="shared" ref="I725:I788" si="243">IFERROR((J725+N725+R725),0)</f>
        <v>0</v>
      </c>
      <c r="J725" s="771">
        <f>ROUND(J708*$U$5,0)</f>
        <v>0</v>
      </c>
      <c r="K725" s="590" t="str">
        <f>F725&amp;L725</f>
        <v>47.0284.1.2.17.00.01.039.01.12.05.1</v>
      </c>
      <c r="L725" s="771" t="s">
        <v>1996</v>
      </c>
      <c r="M725" s="772"/>
      <c r="N725" s="770">
        <f>ROUND(N708*$U$5,0)</f>
        <v>0</v>
      </c>
      <c r="O725" s="592" t="str">
        <f>F725&amp;P725</f>
        <v>47.0284.1.2.17.00.01.039.01.12.05.2</v>
      </c>
      <c r="P725" s="772" t="s">
        <v>1998</v>
      </c>
      <c r="Q725" s="772"/>
      <c r="R725" s="770">
        <f>ROUND(R708*$U$5,0)</f>
        <v>0</v>
      </c>
      <c r="S725" s="592" t="str">
        <f>F725&amp;T725</f>
        <v>47.0284.1.2.17.00.01.039.01.12.05.2</v>
      </c>
      <c r="T725" s="772" t="s">
        <v>1998</v>
      </c>
      <c r="U725" s="772"/>
      <c r="V725" s="764"/>
      <c r="W725" s="764"/>
      <c r="X725" s="158"/>
      <c r="Y725" s="745"/>
      <c r="Z725" s="771">
        <f>ROUND(Z708*$U$5,0)</f>
        <v>0</v>
      </c>
      <c r="AA725" s="592" t="str">
        <f>F725&amp;AB725</f>
        <v>47.0284.1.2.17.00.01.039.01.12.05.1</v>
      </c>
      <c r="AB725" s="772" t="s">
        <v>1996</v>
      </c>
      <c r="AC725" s="770">
        <f>ROUND(AC708*$U$5,0)</f>
        <v>0</v>
      </c>
      <c r="AD725" s="592" t="str">
        <f>F725&amp;AE725</f>
        <v>47.0284.1.2.17.00.01.039.01.12.05.2</v>
      </c>
      <c r="AE725" s="772" t="s">
        <v>1998</v>
      </c>
      <c r="AF725" s="770">
        <f>ROUND(AF708*$U$5,0)</f>
        <v>0</v>
      </c>
      <c r="AG725" s="592" t="str">
        <f>F725&amp;AH725</f>
        <v>47.0284.1.2.17.00.01.039.01.12.05.3</v>
      </c>
      <c r="AH725" s="772" t="s">
        <v>2000</v>
      </c>
      <c r="AI725" s="158"/>
    </row>
    <row r="726" spans="1:35" ht="15" hidden="1" customHeight="1" outlineLevel="3">
      <c r="A726" s="95" t="s">
        <v>2305</v>
      </c>
      <c r="B726" s="95" t="s">
        <v>1075</v>
      </c>
      <c r="C726" s="95"/>
      <c r="D726" s="95"/>
      <c r="E726" s="774"/>
      <c r="F726" s="774" t="s">
        <v>1075</v>
      </c>
      <c r="G726" s="13"/>
      <c r="H726" s="633"/>
      <c r="I726" s="69"/>
      <c r="J726" s="771"/>
      <c r="K726" s="590" t="str">
        <f>F726&amp;L726</f>
        <v>.1</v>
      </c>
      <c r="L726" s="771" t="s">
        <v>1996</v>
      </c>
      <c r="M726" s="772"/>
      <c r="N726" s="770"/>
      <c r="O726" s="592" t="str">
        <f>F726&amp;P726</f>
        <v>.2</v>
      </c>
      <c r="P726" s="772" t="s">
        <v>1998</v>
      </c>
      <c r="Q726" s="772"/>
      <c r="R726" s="770"/>
      <c r="S726" s="592" t="str">
        <f>F726&amp;T726</f>
        <v>.3</v>
      </c>
      <c r="T726" s="772" t="s">
        <v>2000</v>
      </c>
      <c r="U726" s="772"/>
      <c r="V726" s="764"/>
      <c r="W726" s="764"/>
      <c r="X726" s="158"/>
      <c r="Y726" s="745"/>
      <c r="Z726" s="771">
        <v>0</v>
      </c>
      <c r="AA726" s="592" t="str">
        <f>F726&amp;AB726</f>
        <v>.1</v>
      </c>
      <c r="AB726" s="772" t="s">
        <v>1996</v>
      </c>
      <c r="AC726" s="770">
        <v>0</v>
      </c>
      <c r="AD726" s="592" t="str">
        <f>F726&amp;AE726</f>
        <v>.2</v>
      </c>
      <c r="AE726" s="772" t="s">
        <v>1998</v>
      </c>
      <c r="AF726" s="770"/>
      <c r="AG726" s="592" t="str">
        <f>F726&amp;AH726</f>
        <v>.3</v>
      </c>
      <c r="AH726" s="772" t="s">
        <v>2000</v>
      </c>
      <c r="AI726" s="158"/>
    </row>
    <row r="727" spans="1:35" ht="15" customHeight="1" outlineLevel="1" collapsed="1">
      <c r="A727" s="98"/>
      <c r="B727" s="98" t="s">
        <v>1075</v>
      </c>
      <c r="C727" s="98"/>
      <c r="D727" s="98"/>
      <c r="E727" s="98"/>
      <c r="F727" s="98" t="s">
        <v>1075</v>
      </c>
      <c r="G727" s="35" t="s">
        <v>261</v>
      </c>
      <c r="H727" s="77">
        <f>SUBTOTAL(9,H729:H741)</f>
        <v>10</v>
      </c>
      <c r="I727" s="67">
        <f t="shared" si="243"/>
        <v>13</v>
      </c>
      <c r="J727" s="54">
        <f>SUBTOTAL(9,J729:J741)</f>
        <v>13</v>
      </c>
      <c r="K727" s="54"/>
      <c r="L727" s="54"/>
      <c r="M727" s="85"/>
      <c r="N727" s="54">
        <f>SUBTOTAL(9,N729:N741)</f>
        <v>0</v>
      </c>
      <c r="O727" s="90"/>
      <c r="P727" s="90"/>
      <c r="Q727" s="85"/>
      <c r="R727" s="54">
        <f>SUBTOTAL(9,R729:R741)</f>
        <v>0</v>
      </c>
      <c r="S727" s="90"/>
      <c r="T727" s="90"/>
      <c r="U727" s="85"/>
      <c r="V727" s="54">
        <f>SUBTOTAL(9,V729:V741)</f>
        <v>0</v>
      </c>
      <c r="W727" s="54">
        <f>SUBTOTAL(9,W729:W741)</f>
        <v>0</v>
      </c>
      <c r="X727" s="169"/>
      <c r="Y727" s="745"/>
      <c r="Z727" s="54">
        <f>SUBTOTAL(9,Z729:Z741)</f>
        <v>0</v>
      </c>
      <c r="AA727" s="90"/>
      <c r="AB727" s="90"/>
      <c r="AC727" s="54">
        <f>SUBTOTAL(9,AC729:AC741)</f>
        <v>0</v>
      </c>
      <c r="AD727" s="90"/>
      <c r="AE727" s="90"/>
      <c r="AF727" s="54">
        <f>SUBTOTAL(9,AF729:AF741)</f>
        <v>0</v>
      </c>
      <c r="AG727" s="90"/>
      <c r="AH727" s="90"/>
      <c r="AI727" s="169"/>
    </row>
    <row r="728" spans="1:35" ht="15" hidden="1" customHeight="1" outlineLevel="2">
      <c r="A728" s="97"/>
      <c r="B728" s="97" t="s">
        <v>1075</v>
      </c>
      <c r="C728" s="97"/>
      <c r="D728" s="97"/>
      <c r="E728" s="97"/>
      <c r="F728" s="97" t="s">
        <v>1075</v>
      </c>
      <c r="G728" s="40" t="s">
        <v>714</v>
      </c>
      <c r="H728" s="78">
        <f>SUBTOTAL(9,H729:H738)</f>
        <v>9</v>
      </c>
      <c r="I728" s="68">
        <f t="shared" si="243"/>
        <v>12</v>
      </c>
      <c r="J728" s="55">
        <f>SUBTOTAL(9,J729:J738)</f>
        <v>12</v>
      </c>
      <c r="K728" s="55"/>
      <c r="L728" s="55"/>
      <c r="M728" s="84"/>
      <c r="N728" s="55">
        <f>SUBTOTAL(9,N729:N738)</f>
        <v>0</v>
      </c>
      <c r="O728" s="91"/>
      <c r="P728" s="91"/>
      <c r="Q728" s="84"/>
      <c r="R728" s="55">
        <f>SUBTOTAL(9,R729:R738)</f>
        <v>0</v>
      </c>
      <c r="S728" s="91"/>
      <c r="T728" s="91"/>
      <c r="U728" s="84"/>
      <c r="V728" s="55">
        <f>SUBTOTAL(9,V729:V738)</f>
        <v>0</v>
      </c>
      <c r="W728" s="55">
        <f>SUBTOTAL(9,W729:W738)</f>
        <v>0</v>
      </c>
      <c r="X728" s="170"/>
      <c r="Y728" s="745"/>
      <c r="Z728" s="55">
        <f>SUBTOTAL(9,Z729:Z738)</f>
        <v>0</v>
      </c>
      <c r="AA728" s="91"/>
      <c r="AB728" s="91"/>
      <c r="AC728" s="55">
        <f>SUBTOTAL(9,AC729:AC738)</f>
        <v>0</v>
      </c>
      <c r="AD728" s="91"/>
      <c r="AE728" s="91"/>
      <c r="AF728" s="55">
        <f>SUBTOTAL(9,AF729:AF738)</f>
        <v>0</v>
      </c>
      <c r="AG728" s="91"/>
      <c r="AH728" s="91"/>
      <c r="AI728" s="170"/>
    </row>
    <row r="729" spans="1:35" ht="15" hidden="1" customHeight="1" outlineLevel="3">
      <c r="A729" s="93">
        <v>208115</v>
      </c>
      <c r="B729" s="93">
        <v>3483</v>
      </c>
      <c r="C729" s="93"/>
      <c r="D729" s="93"/>
      <c r="E729" s="93" t="s">
        <v>2974</v>
      </c>
      <c r="F729" s="93" t="s">
        <v>5222</v>
      </c>
      <c r="G729" s="37" t="s">
        <v>145</v>
      </c>
      <c r="H729" s="583">
        <f>IFERROR(VLOOKUP(A729,'Colar QL'!A:C,3,0),0)</f>
        <v>0</v>
      </c>
      <c r="I729" s="69">
        <f t="shared" si="243"/>
        <v>0</v>
      </c>
      <c r="J729" s="258">
        <f>'BD Temp'!E1106</f>
        <v>0</v>
      </c>
      <c r="K729" s="590" t="str">
        <f t="shared" ref="K729:K738" si="244">F729&amp;L729</f>
        <v>47.0284.1.2.17.00.01.039.01.12.09.1</v>
      </c>
      <c r="L729" s="579" t="s">
        <v>1996</v>
      </c>
      <c r="M729" s="256" t="str">
        <f>'BD Temp'!F1106</f>
        <v>-</v>
      </c>
      <c r="N729" s="255">
        <f>'BD Temp'!J1106</f>
        <v>0</v>
      </c>
      <c r="O729" s="592" t="str">
        <f t="shared" ref="O729:O738" si="245">F729&amp;P729</f>
        <v>47.0284.1.2.17.00.01.039.01.12.09.2</v>
      </c>
      <c r="P729" s="578" t="s">
        <v>1998</v>
      </c>
      <c r="Q729" s="256" t="str">
        <f>'BD Temp'!K1106</f>
        <v>-</v>
      </c>
      <c r="R729" s="255">
        <f>'BD Temp'!O1106</f>
        <v>0</v>
      </c>
      <c r="S729" s="592" t="str">
        <f t="shared" ref="S729:S738" si="246">F729&amp;T729</f>
        <v>47.0284.1.2.17.00.01.039.01.12.09.3</v>
      </c>
      <c r="T729" s="578" t="s">
        <v>2000</v>
      </c>
      <c r="U729" s="256" t="str">
        <f>'BD Temp'!P1106</f>
        <v>-</v>
      </c>
      <c r="V729" s="764"/>
      <c r="W729" s="764"/>
      <c r="X729" s="158"/>
      <c r="Y729" s="745"/>
      <c r="Z729" s="741">
        <v>0</v>
      </c>
      <c r="AA729" s="592" t="str">
        <f t="shared" ref="AA729:AA738" si="247">F729&amp;AB729</f>
        <v>47.0284.1.2.17.00.01.039.01.12.09.1</v>
      </c>
      <c r="AB729" s="739" t="s">
        <v>1996</v>
      </c>
      <c r="AC729" s="738">
        <v>0</v>
      </c>
      <c r="AD729" s="592" t="str">
        <f t="shared" ref="AD729:AD738" si="248">F729&amp;AE729</f>
        <v>47.0284.1.2.17.00.01.039.01.12.09.2</v>
      </c>
      <c r="AE729" s="739" t="s">
        <v>1998</v>
      </c>
      <c r="AF729" s="738">
        <v>0</v>
      </c>
      <c r="AG729" s="592" t="str">
        <f t="shared" ref="AG729:AG738" si="249">F729&amp;AH729</f>
        <v>47.0284.1.2.17.00.01.039.01.12.09.3</v>
      </c>
      <c r="AH729" s="739" t="s">
        <v>2000</v>
      </c>
      <c r="AI729" s="158"/>
    </row>
    <row r="730" spans="1:35" ht="15" hidden="1" customHeight="1" outlineLevel="3">
      <c r="A730" s="93">
        <v>208110</v>
      </c>
      <c r="B730" s="93">
        <v>3483</v>
      </c>
      <c r="C730" s="93"/>
      <c r="D730" s="93"/>
      <c r="E730" s="93" t="s">
        <v>2974</v>
      </c>
      <c r="F730" s="93" t="s">
        <v>5222</v>
      </c>
      <c r="G730" s="37" t="s">
        <v>225</v>
      </c>
      <c r="H730" s="583">
        <f>IFERROR(VLOOKUP(A730,'Colar QL'!A:C,3,0),0)</f>
        <v>0</v>
      </c>
      <c r="I730" s="69">
        <f t="shared" si="243"/>
        <v>0</v>
      </c>
      <c r="J730" s="258">
        <f>'BD Temp'!E1107</f>
        <v>0</v>
      </c>
      <c r="K730" s="590" t="str">
        <f t="shared" si="244"/>
        <v>47.0284.1.2.17.00.01.039.01.12.09.1</v>
      </c>
      <c r="L730" s="579" t="s">
        <v>1996</v>
      </c>
      <c r="M730" s="256" t="str">
        <f>'BD Temp'!F1107</f>
        <v>-</v>
      </c>
      <c r="N730" s="255">
        <f>'BD Temp'!J1107</f>
        <v>0</v>
      </c>
      <c r="O730" s="592" t="str">
        <f t="shared" si="245"/>
        <v>47.0284.1.2.17.00.01.039.01.12.09.2</v>
      </c>
      <c r="P730" s="578" t="s">
        <v>1998</v>
      </c>
      <c r="Q730" s="256" t="str">
        <f>'BD Temp'!K1107</f>
        <v>-</v>
      </c>
      <c r="R730" s="255">
        <f>'BD Temp'!O1107</f>
        <v>0</v>
      </c>
      <c r="S730" s="592" t="str">
        <f t="shared" si="246"/>
        <v>47.0284.1.2.17.00.01.039.01.12.09.3</v>
      </c>
      <c r="T730" s="578" t="s">
        <v>2000</v>
      </c>
      <c r="U730" s="256" t="str">
        <f>'BD Temp'!P1107</f>
        <v>-</v>
      </c>
      <c r="V730" s="764"/>
      <c r="W730" s="764"/>
      <c r="X730" s="158"/>
      <c r="Y730" s="745"/>
      <c r="Z730" s="741">
        <v>0</v>
      </c>
      <c r="AA730" s="592" t="str">
        <f t="shared" si="247"/>
        <v>47.0284.1.2.17.00.01.039.01.12.09.1</v>
      </c>
      <c r="AB730" s="739" t="s">
        <v>1996</v>
      </c>
      <c r="AC730" s="738">
        <v>0</v>
      </c>
      <c r="AD730" s="592" t="str">
        <f t="shared" si="248"/>
        <v>47.0284.1.2.17.00.01.039.01.12.09.2</v>
      </c>
      <c r="AE730" s="739" t="s">
        <v>1998</v>
      </c>
      <c r="AF730" s="738">
        <v>0</v>
      </c>
      <c r="AG730" s="592" t="str">
        <f t="shared" si="249"/>
        <v>47.0284.1.2.17.00.01.039.01.12.09.3</v>
      </c>
      <c r="AH730" s="739" t="s">
        <v>2000</v>
      </c>
      <c r="AI730" s="158"/>
    </row>
    <row r="731" spans="1:35" ht="15" hidden="1" customHeight="1" outlineLevel="3">
      <c r="A731" s="93">
        <v>208120</v>
      </c>
      <c r="B731" s="93">
        <v>3483</v>
      </c>
      <c r="C731" s="93"/>
      <c r="D731" s="93"/>
      <c r="E731" s="93" t="s">
        <v>2974</v>
      </c>
      <c r="F731" s="93" t="s">
        <v>5222</v>
      </c>
      <c r="G731" s="37" t="s">
        <v>257</v>
      </c>
      <c r="H731" s="583">
        <f>IFERROR(VLOOKUP(A731,'Colar QL'!A:C,3,0),0)</f>
        <v>2</v>
      </c>
      <c r="I731" s="69">
        <f t="shared" si="243"/>
        <v>2</v>
      </c>
      <c r="J731" s="258">
        <f>'BD Temp'!E1108</f>
        <v>2</v>
      </c>
      <c r="K731" s="590" t="str">
        <f t="shared" si="244"/>
        <v>47.0284.1.2.17.00.01.039.01.12.09.1</v>
      </c>
      <c r="L731" s="579" t="s">
        <v>1996</v>
      </c>
      <c r="M731" s="256">
        <f>'BD Temp'!F1108</f>
        <v>0.78539171411741637</v>
      </c>
      <c r="N731" s="255">
        <f>'BD Temp'!J1108</f>
        <v>0</v>
      </c>
      <c r="O731" s="592" t="str">
        <f t="shared" si="245"/>
        <v>47.0284.1.2.17.00.01.039.01.12.09.2</v>
      </c>
      <c r="P731" s="578" t="s">
        <v>1998</v>
      </c>
      <c r="Q731" s="256" t="str">
        <f>'BD Temp'!K1108</f>
        <v>-</v>
      </c>
      <c r="R731" s="255">
        <f>'BD Temp'!O1108</f>
        <v>0</v>
      </c>
      <c r="S731" s="592" t="str">
        <f t="shared" si="246"/>
        <v>47.0284.1.2.17.00.01.039.01.12.09.3</v>
      </c>
      <c r="T731" s="578" t="s">
        <v>2000</v>
      </c>
      <c r="U731" s="256" t="str">
        <f>'BD Temp'!P1108</f>
        <v>-</v>
      </c>
      <c r="V731" s="764"/>
      <c r="W731" s="764"/>
      <c r="X731" s="158" t="s">
        <v>5370</v>
      </c>
      <c r="Y731" s="745"/>
      <c r="Z731" s="741">
        <v>0</v>
      </c>
      <c r="AA731" s="592" t="str">
        <f t="shared" si="247"/>
        <v>47.0284.1.2.17.00.01.039.01.12.09.1</v>
      </c>
      <c r="AB731" s="739" t="s">
        <v>1996</v>
      </c>
      <c r="AC731" s="738">
        <v>0</v>
      </c>
      <c r="AD731" s="592" t="str">
        <f t="shared" si="248"/>
        <v>47.0284.1.2.17.00.01.039.01.12.09.2</v>
      </c>
      <c r="AE731" s="739" t="s">
        <v>1998</v>
      </c>
      <c r="AF731" s="738">
        <v>0</v>
      </c>
      <c r="AG731" s="592" t="str">
        <f t="shared" si="249"/>
        <v>47.0284.1.2.17.00.01.039.01.12.09.3</v>
      </c>
      <c r="AH731" s="739" t="s">
        <v>2000</v>
      </c>
      <c r="AI731" s="158"/>
    </row>
    <row r="732" spans="1:35" ht="15" hidden="1" customHeight="1" outlineLevel="3">
      <c r="A732" s="93">
        <v>208125</v>
      </c>
      <c r="B732" s="93">
        <v>3483</v>
      </c>
      <c r="C732" s="93"/>
      <c r="D732" s="93"/>
      <c r="E732" s="93" t="s">
        <v>2974</v>
      </c>
      <c r="F732" s="93" t="s">
        <v>5222</v>
      </c>
      <c r="G732" s="37" t="s">
        <v>258</v>
      </c>
      <c r="H732" s="583">
        <f>IFERROR(VLOOKUP(A732,'Colar QL'!A:C,3,0),0)</f>
        <v>7</v>
      </c>
      <c r="I732" s="69">
        <f t="shared" si="243"/>
        <v>7</v>
      </c>
      <c r="J732" s="258">
        <f>'BD Temp'!E1109</f>
        <v>7</v>
      </c>
      <c r="K732" s="590" t="str">
        <f t="shared" si="244"/>
        <v>47.0284.1.2.17.00.01.039.01.12.09.1</v>
      </c>
      <c r="L732" s="579" t="s">
        <v>1996</v>
      </c>
      <c r="M732" s="256">
        <f>'BD Temp'!F1109</f>
        <v>0.92095934819289138</v>
      </c>
      <c r="N732" s="255">
        <f>'BD Temp'!J1109</f>
        <v>0</v>
      </c>
      <c r="O732" s="592" t="str">
        <f t="shared" si="245"/>
        <v>47.0284.1.2.17.00.01.039.01.12.09.2</v>
      </c>
      <c r="P732" s="578" t="s">
        <v>1998</v>
      </c>
      <c r="Q732" s="256" t="str">
        <f>'BD Temp'!K1109</f>
        <v>-</v>
      </c>
      <c r="R732" s="255">
        <f>'BD Temp'!O1109</f>
        <v>0</v>
      </c>
      <c r="S732" s="592" t="str">
        <f t="shared" si="246"/>
        <v>47.0284.1.2.17.00.01.039.01.12.09.3</v>
      </c>
      <c r="T732" s="578" t="s">
        <v>2000</v>
      </c>
      <c r="U732" s="256" t="str">
        <f>'BD Temp'!P1109</f>
        <v>-</v>
      </c>
      <c r="V732" s="764"/>
      <c r="W732" s="764"/>
      <c r="X732" s="158" t="s">
        <v>5371</v>
      </c>
      <c r="Y732" s="745"/>
      <c r="Z732" s="741">
        <v>0</v>
      </c>
      <c r="AA732" s="592" t="str">
        <f t="shared" si="247"/>
        <v>47.0284.1.2.17.00.01.039.01.12.09.1</v>
      </c>
      <c r="AB732" s="739" t="s">
        <v>1996</v>
      </c>
      <c r="AC732" s="738">
        <v>0</v>
      </c>
      <c r="AD732" s="592" t="str">
        <f t="shared" si="248"/>
        <v>47.0284.1.2.17.00.01.039.01.12.09.2</v>
      </c>
      <c r="AE732" s="739" t="s">
        <v>1998</v>
      </c>
      <c r="AF732" s="738">
        <v>0</v>
      </c>
      <c r="AG732" s="592" t="str">
        <f t="shared" si="249"/>
        <v>47.0284.1.2.17.00.01.039.01.12.09.3</v>
      </c>
      <c r="AH732" s="739" t="s">
        <v>2000</v>
      </c>
      <c r="AI732" s="158"/>
    </row>
    <row r="733" spans="1:35" ht="15" hidden="1" customHeight="1" outlineLevel="3">
      <c r="A733" s="93">
        <v>208130</v>
      </c>
      <c r="B733" s="93">
        <v>3483</v>
      </c>
      <c r="C733" s="93"/>
      <c r="D733" s="93"/>
      <c r="E733" s="93" t="s">
        <v>2974</v>
      </c>
      <c r="F733" s="93" t="s">
        <v>5222</v>
      </c>
      <c r="G733" s="37" t="s">
        <v>226</v>
      </c>
      <c r="H733" s="583">
        <f>IFERROR(VLOOKUP(A733,'Colar QL'!A:C,3,0),0)</f>
        <v>0</v>
      </c>
      <c r="I733" s="69">
        <f t="shared" si="243"/>
        <v>0</v>
      </c>
      <c r="J733" s="258">
        <f>'BD Temp'!E1114</f>
        <v>0</v>
      </c>
      <c r="K733" s="590" t="str">
        <f t="shared" si="244"/>
        <v>47.0284.1.2.17.00.01.039.01.12.09.1</v>
      </c>
      <c r="L733" s="579" t="s">
        <v>1996</v>
      </c>
      <c r="M733" s="256">
        <f>'BD Temp'!F1114</f>
        <v>0</v>
      </c>
      <c r="N733" s="255">
        <f>'BD Temp'!J1114</f>
        <v>0</v>
      </c>
      <c r="O733" s="592" t="str">
        <f t="shared" si="245"/>
        <v>47.0284.1.2.17.00.01.039.01.12.09.2</v>
      </c>
      <c r="P733" s="578" t="s">
        <v>1998</v>
      </c>
      <c r="Q733" s="256">
        <f>'BD Temp'!K1114</f>
        <v>0</v>
      </c>
      <c r="R733" s="255">
        <f>'BD Temp'!O1114</f>
        <v>0</v>
      </c>
      <c r="S733" s="592" t="str">
        <f t="shared" si="246"/>
        <v>47.0284.1.2.17.00.01.039.01.12.09.3</v>
      </c>
      <c r="T733" s="578" t="s">
        <v>2000</v>
      </c>
      <c r="U733" s="256">
        <f>'BD Temp'!P1114</f>
        <v>0</v>
      </c>
      <c r="V733" s="764"/>
      <c r="W733" s="764"/>
      <c r="X733" s="158"/>
      <c r="Y733" s="745"/>
      <c r="Z733" s="741">
        <v>0</v>
      </c>
      <c r="AA733" s="592" t="str">
        <f t="shared" si="247"/>
        <v>47.0284.1.2.17.00.01.039.01.12.09.1</v>
      </c>
      <c r="AB733" s="739" t="s">
        <v>1996</v>
      </c>
      <c r="AC733" s="738">
        <v>0</v>
      </c>
      <c r="AD733" s="592" t="str">
        <f t="shared" si="248"/>
        <v>47.0284.1.2.17.00.01.039.01.12.09.2</v>
      </c>
      <c r="AE733" s="739" t="s">
        <v>1998</v>
      </c>
      <c r="AF733" s="738">
        <v>0</v>
      </c>
      <c r="AG733" s="592" t="str">
        <f t="shared" si="249"/>
        <v>47.0284.1.2.17.00.01.039.01.12.09.3</v>
      </c>
      <c r="AH733" s="739" t="s">
        <v>2000</v>
      </c>
      <c r="AI733" s="158"/>
    </row>
    <row r="734" spans="1:35" ht="15" hidden="1" customHeight="1" outlineLevel="3">
      <c r="A734" s="93">
        <v>208135</v>
      </c>
      <c r="B734" s="93">
        <v>3483</v>
      </c>
      <c r="C734" s="93"/>
      <c r="D734" s="93"/>
      <c r="E734" s="93" t="s">
        <v>2974</v>
      </c>
      <c r="F734" s="93" t="s">
        <v>5222</v>
      </c>
      <c r="G734" s="37" t="s">
        <v>5393</v>
      </c>
      <c r="H734" s="583">
        <f>IFERROR(VLOOKUP(A734,'Colar QL'!A:C,3,0),0)</f>
        <v>0</v>
      </c>
      <c r="I734" s="69">
        <f t="shared" si="243"/>
        <v>3</v>
      </c>
      <c r="J734" s="258">
        <f>'BD Temp'!E1252</f>
        <v>3</v>
      </c>
      <c r="K734" s="590" t="str">
        <f t="shared" si="244"/>
        <v>47.0284.1.2.17.00.01.039.01.12.09.1</v>
      </c>
      <c r="L734" s="579" t="s">
        <v>1996</v>
      </c>
      <c r="M734" s="256" t="str">
        <f>'BD Temp'!F1252</f>
        <v>-</v>
      </c>
      <c r="N734" s="255">
        <f>'BD Temp'!J1252</f>
        <v>0</v>
      </c>
      <c r="O734" s="592" t="str">
        <f t="shared" si="245"/>
        <v>47.0284.1.2.17.00.01.039.01.12.09.2</v>
      </c>
      <c r="P734" s="578" t="s">
        <v>1998</v>
      </c>
      <c r="Q734" s="256" t="str">
        <f>'BD Temp'!K1252</f>
        <v>-</v>
      </c>
      <c r="R734" s="255">
        <f>'BD Temp'!O1252</f>
        <v>0</v>
      </c>
      <c r="S734" s="592" t="str">
        <f t="shared" si="246"/>
        <v>47.0284.1.2.17.00.01.039.01.12.09.3</v>
      </c>
      <c r="T734" s="578" t="s">
        <v>2000</v>
      </c>
      <c r="U734" s="256" t="str">
        <f>'BD Temp'!P1252</f>
        <v>-</v>
      </c>
      <c r="V734" s="764"/>
      <c r="W734" s="764"/>
      <c r="X734" s="158"/>
      <c r="Y734" s="745"/>
      <c r="Z734" s="741">
        <v>0</v>
      </c>
      <c r="AA734" s="592" t="str">
        <f t="shared" si="247"/>
        <v>47.0284.1.2.17.00.01.039.01.12.09.1</v>
      </c>
      <c r="AB734" s="739" t="s">
        <v>1996</v>
      </c>
      <c r="AC734" s="738">
        <v>0</v>
      </c>
      <c r="AD734" s="592" t="str">
        <f t="shared" si="248"/>
        <v>47.0284.1.2.17.00.01.039.01.12.09.2</v>
      </c>
      <c r="AE734" s="739" t="s">
        <v>1998</v>
      </c>
      <c r="AF734" s="738">
        <v>0</v>
      </c>
      <c r="AG734" s="592" t="str">
        <f t="shared" si="249"/>
        <v>47.0284.1.2.17.00.01.039.01.12.09.3</v>
      </c>
      <c r="AH734" s="739" t="s">
        <v>2000</v>
      </c>
      <c r="AI734" s="158"/>
    </row>
    <row r="735" spans="1:35" ht="15" hidden="1" customHeight="1" outlineLevel="3">
      <c r="A735" s="93">
        <v>208140</v>
      </c>
      <c r="B735" s="93">
        <v>3483</v>
      </c>
      <c r="C735" s="93"/>
      <c r="D735" s="93"/>
      <c r="E735" s="93" t="s">
        <v>2974</v>
      </c>
      <c r="F735" s="93" t="s">
        <v>5222</v>
      </c>
      <c r="G735" s="37" t="s">
        <v>227</v>
      </c>
      <c r="H735" s="583">
        <f>IFERROR(VLOOKUP(A735,'Colar QL'!A:C,3,0),0)</f>
        <v>0</v>
      </c>
      <c r="I735" s="69">
        <f t="shared" si="243"/>
        <v>0</v>
      </c>
      <c r="J735" s="258">
        <f>'BD Temp'!E1253</f>
        <v>0</v>
      </c>
      <c r="K735" s="590" t="str">
        <f t="shared" si="244"/>
        <v>47.0284.1.2.17.00.01.039.01.12.09.1</v>
      </c>
      <c r="L735" s="579" t="s">
        <v>1996</v>
      </c>
      <c r="M735" s="256" t="str">
        <f>'BD Temp'!F1253</f>
        <v>-</v>
      </c>
      <c r="N735" s="255">
        <f>'BD Temp'!J1253</f>
        <v>0</v>
      </c>
      <c r="O735" s="592" t="str">
        <f t="shared" si="245"/>
        <v>47.0284.1.2.17.00.01.039.01.12.09.2</v>
      </c>
      <c r="P735" s="578" t="s">
        <v>1998</v>
      </c>
      <c r="Q735" s="256" t="str">
        <f>'BD Temp'!K1253</f>
        <v>-</v>
      </c>
      <c r="R735" s="255">
        <f>'BD Temp'!O1253</f>
        <v>0</v>
      </c>
      <c r="S735" s="592" t="str">
        <f t="shared" si="246"/>
        <v>47.0284.1.2.17.00.01.039.01.12.09.3</v>
      </c>
      <c r="T735" s="578" t="s">
        <v>2000</v>
      </c>
      <c r="U735" s="256" t="str">
        <f>'BD Temp'!P1253</f>
        <v>-</v>
      </c>
      <c r="V735" s="764"/>
      <c r="W735" s="764"/>
      <c r="X735" s="158"/>
      <c r="Y735" s="745"/>
      <c r="Z735" s="741">
        <v>0</v>
      </c>
      <c r="AA735" s="592" t="str">
        <f t="shared" si="247"/>
        <v>47.0284.1.2.17.00.01.039.01.12.09.1</v>
      </c>
      <c r="AB735" s="739" t="s">
        <v>1996</v>
      </c>
      <c r="AC735" s="738">
        <v>0</v>
      </c>
      <c r="AD735" s="592" t="str">
        <f t="shared" si="248"/>
        <v>47.0284.1.2.17.00.01.039.01.12.09.2</v>
      </c>
      <c r="AE735" s="739" t="s">
        <v>1998</v>
      </c>
      <c r="AF735" s="738">
        <v>0</v>
      </c>
      <c r="AG735" s="592" t="str">
        <f t="shared" si="249"/>
        <v>47.0284.1.2.17.00.01.039.01.12.09.3</v>
      </c>
      <c r="AH735" s="739" t="s">
        <v>2000</v>
      </c>
      <c r="AI735" s="158"/>
    </row>
    <row r="736" spans="1:35" ht="15" hidden="1" customHeight="1" outlineLevel="3">
      <c r="A736" s="93"/>
      <c r="B736" s="93" t="s">
        <v>1075</v>
      </c>
      <c r="C736" s="93"/>
      <c r="D736" s="93"/>
      <c r="E736" s="93"/>
      <c r="F736" s="93" t="s">
        <v>1075</v>
      </c>
      <c r="G736" s="37"/>
      <c r="H736" s="79"/>
      <c r="I736" s="69">
        <f t="shared" si="243"/>
        <v>0</v>
      </c>
      <c r="J736" s="48"/>
      <c r="K736" s="590" t="str">
        <f t="shared" si="244"/>
        <v>.1</v>
      </c>
      <c r="L736" s="579" t="s">
        <v>1996</v>
      </c>
      <c r="M736" s="74"/>
      <c r="N736" s="49"/>
      <c r="O736" s="592" t="str">
        <f t="shared" si="245"/>
        <v>.2</v>
      </c>
      <c r="P736" s="578" t="s">
        <v>1998</v>
      </c>
      <c r="Q736" s="74"/>
      <c r="R736" s="49"/>
      <c r="S736" s="592" t="str">
        <f t="shared" si="246"/>
        <v>.3</v>
      </c>
      <c r="T736" s="578" t="s">
        <v>2000</v>
      </c>
      <c r="U736" s="74"/>
      <c r="V736" s="764"/>
      <c r="W736" s="764"/>
      <c r="X736" s="158"/>
      <c r="Y736" s="745"/>
      <c r="Z736" s="741">
        <v>0</v>
      </c>
      <c r="AA736" s="592" t="str">
        <f t="shared" si="247"/>
        <v>.1</v>
      </c>
      <c r="AB736" s="739" t="s">
        <v>1996</v>
      </c>
      <c r="AC736" s="738">
        <v>0</v>
      </c>
      <c r="AD736" s="592" t="str">
        <f t="shared" si="248"/>
        <v>.2</v>
      </c>
      <c r="AE736" s="739" t="s">
        <v>1998</v>
      </c>
      <c r="AF736" s="738">
        <v>0</v>
      </c>
      <c r="AG736" s="592" t="str">
        <f t="shared" si="249"/>
        <v>.3</v>
      </c>
      <c r="AH736" s="739" t="s">
        <v>2000</v>
      </c>
      <c r="AI736" s="158"/>
    </row>
    <row r="737" spans="1:35" ht="15" hidden="1" customHeight="1" outlineLevel="3">
      <c r="A737" s="99"/>
      <c r="B737" s="99" t="s">
        <v>1075</v>
      </c>
      <c r="C737" s="99"/>
      <c r="D737" s="99"/>
      <c r="E737" s="99"/>
      <c r="F737" s="99" t="s">
        <v>1075</v>
      </c>
      <c r="G737" s="39" t="s">
        <v>723</v>
      </c>
      <c r="H737" s="79"/>
      <c r="I737" s="69">
        <f t="shared" si="243"/>
        <v>0</v>
      </c>
      <c r="J737" s="48"/>
      <c r="K737" s="590" t="str">
        <f t="shared" si="244"/>
        <v>.1</v>
      </c>
      <c r="L737" s="579" t="s">
        <v>1996</v>
      </c>
      <c r="M737" s="74"/>
      <c r="N737" s="49"/>
      <c r="O737" s="592" t="str">
        <f t="shared" si="245"/>
        <v>.2</v>
      </c>
      <c r="P737" s="578" t="s">
        <v>1998</v>
      </c>
      <c r="Q737" s="74"/>
      <c r="R737" s="49"/>
      <c r="S737" s="592" t="str">
        <f t="shared" si="246"/>
        <v>.3</v>
      </c>
      <c r="T737" s="578" t="s">
        <v>2000</v>
      </c>
      <c r="U737" s="74"/>
      <c r="V737" s="764"/>
      <c r="W737" s="764"/>
      <c r="X737" s="158"/>
      <c r="Y737" s="745"/>
      <c r="Z737" s="741">
        <v>0</v>
      </c>
      <c r="AA737" s="592" t="str">
        <f t="shared" si="247"/>
        <v>.1</v>
      </c>
      <c r="AB737" s="739" t="s">
        <v>1996</v>
      </c>
      <c r="AC737" s="738">
        <v>0</v>
      </c>
      <c r="AD737" s="592" t="str">
        <f t="shared" si="248"/>
        <v>.2</v>
      </c>
      <c r="AE737" s="739" t="s">
        <v>1998</v>
      </c>
      <c r="AF737" s="738">
        <v>0</v>
      </c>
      <c r="AG737" s="592" t="str">
        <f t="shared" si="249"/>
        <v>.3</v>
      </c>
      <c r="AH737" s="739" t="s">
        <v>2000</v>
      </c>
      <c r="AI737" s="158"/>
    </row>
    <row r="738" spans="1:35" ht="15" hidden="1" customHeight="1" outlineLevel="3">
      <c r="A738" s="93"/>
      <c r="B738" s="93" t="s">
        <v>1075</v>
      </c>
      <c r="C738" s="93"/>
      <c r="D738" s="93"/>
      <c r="E738" s="93"/>
      <c r="F738" s="93" t="s">
        <v>1075</v>
      </c>
      <c r="G738" s="37"/>
      <c r="H738" s="79"/>
      <c r="I738" s="69">
        <f t="shared" si="243"/>
        <v>0</v>
      </c>
      <c r="J738" s="48"/>
      <c r="K738" s="590" t="str">
        <f t="shared" si="244"/>
        <v>.1</v>
      </c>
      <c r="L738" s="579" t="s">
        <v>1996</v>
      </c>
      <c r="M738" s="74"/>
      <c r="N738" s="49"/>
      <c r="O738" s="592" t="str">
        <f t="shared" si="245"/>
        <v>.2</v>
      </c>
      <c r="P738" s="578" t="s">
        <v>1998</v>
      </c>
      <c r="Q738" s="74"/>
      <c r="R738" s="49"/>
      <c r="S738" s="592" t="str">
        <f t="shared" si="246"/>
        <v>.3</v>
      </c>
      <c r="T738" s="578" t="s">
        <v>2000</v>
      </c>
      <c r="U738" s="74"/>
      <c r="V738" s="764"/>
      <c r="W738" s="764"/>
      <c r="X738" s="158"/>
      <c r="Y738" s="745"/>
      <c r="Z738" s="741">
        <v>0</v>
      </c>
      <c r="AA738" s="592" t="str">
        <f t="shared" si="247"/>
        <v>.1</v>
      </c>
      <c r="AB738" s="739" t="s">
        <v>1996</v>
      </c>
      <c r="AC738" s="738">
        <v>0</v>
      </c>
      <c r="AD738" s="592" t="str">
        <f t="shared" si="248"/>
        <v>.2</v>
      </c>
      <c r="AE738" s="739" t="s">
        <v>1998</v>
      </c>
      <c r="AF738" s="738">
        <v>0</v>
      </c>
      <c r="AG738" s="592" t="str">
        <f t="shared" si="249"/>
        <v>.3</v>
      </c>
      <c r="AH738" s="739" t="s">
        <v>2000</v>
      </c>
      <c r="AI738" s="158"/>
    </row>
    <row r="739" spans="1:35" ht="15" hidden="1" customHeight="1" outlineLevel="2">
      <c r="A739" s="97"/>
      <c r="B739" s="97" t="s">
        <v>1075</v>
      </c>
      <c r="C739" s="97"/>
      <c r="D739" s="97"/>
      <c r="E739" s="97"/>
      <c r="F739" s="97" t="s">
        <v>1075</v>
      </c>
      <c r="G739" s="40" t="s">
        <v>235</v>
      </c>
      <c r="H739" s="78">
        <f>SUBTOTAL(9,H740:H741)</f>
        <v>1</v>
      </c>
      <c r="I739" s="68">
        <f t="shared" si="243"/>
        <v>1</v>
      </c>
      <c r="J739" s="55">
        <f>SUBTOTAL(9,J740)</f>
        <v>1</v>
      </c>
      <c r="K739" s="55"/>
      <c r="L739" s="55"/>
      <c r="M739" s="84"/>
      <c r="N739" s="56">
        <f>SUBTOTAL(9,N740)</f>
        <v>0</v>
      </c>
      <c r="O739" s="84"/>
      <c r="P739" s="84"/>
      <c r="Q739" s="84"/>
      <c r="R739" s="56">
        <f>SUBTOTAL(9,R740)</f>
        <v>0</v>
      </c>
      <c r="S739" s="84"/>
      <c r="T739" s="84"/>
      <c r="U739" s="84"/>
      <c r="V739" s="56">
        <f>SUBTOTAL(9,V740)</f>
        <v>0</v>
      </c>
      <c r="W739" s="56">
        <f>SUBTOTAL(9,W740)</f>
        <v>0</v>
      </c>
      <c r="X739" s="170"/>
      <c r="Y739" s="745"/>
      <c r="Z739" s="55">
        <f>SUBTOTAL(9,Z740)</f>
        <v>0</v>
      </c>
      <c r="AA739" s="84"/>
      <c r="AB739" s="84"/>
      <c r="AC739" s="56">
        <f>SUBTOTAL(9,AC740)</f>
        <v>0</v>
      </c>
      <c r="AD739" s="84"/>
      <c r="AE739" s="84"/>
      <c r="AF739" s="56">
        <f>SUBTOTAL(9,AF740)</f>
        <v>0</v>
      </c>
      <c r="AG739" s="84"/>
      <c r="AH739" s="84"/>
      <c r="AI739" s="170"/>
    </row>
    <row r="740" spans="1:35" ht="15" hidden="1" customHeight="1" outlineLevel="3">
      <c r="A740" s="95" t="s">
        <v>2306</v>
      </c>
      <c r="B740" s="93">
        <v>3483</v>
      </c>
      <c r="C740" s="93"/>
      <c r="D740" s="93"/>
      <c r="E740" s="93" t="s">
        <v>2974</v>
      </c>
      <c r="F740" s="93" t="s">
        <v>5222</v>
      </c>
      <c r="G740" s="13" t="s">
        <v>3030</v>
      </c>
      <c r="H740" s="633">
        <f>IFERROR(VLOOKUP(A740,'Colar QL'!A:C,3,0),0)</f>
        <v>1</v>
      </c>
      <c r="I740" s="69">
        <f t="shared" si="243"/>
        <v>1</v>
      </c>
      <c r="J740" s="771">
        <f>ROUND(J728*$U$5,0)</f>
        <v>1</v>
      </c>
      <c r="K740" s="590" t="str">
        <f>F740&amp;L740</f>
        <v>47.0284.1.2.17.00.01.039.01.12.09.1</v>
      </c>
      <c r="L740" s="771" t="s">
        <v>1996</v>
      </c>
      <c r="M740" s="772"/>
      <c r="N740" s="770">
        <f>ROUND(N728*$U$5,0)</f>
        <v>0</v>
      </c>
      <c r="O740" s="592" t="str">
        <f>F740&amp;P740</f>
        <v>47.0284.1.2.17.00.01.039.01.12.09.2</v>
      </c>
      <c r="P740" s="772" t="s">
        <v>1998</v>
      </c>
      <c r="Q740" s="772"/>
      <c r="R740" s="770">
        <f>ROUND(R728*$U$5,0)</f>
        <v>0</v>
      </c>
      <c r="S740" s="592" t="str">
        <f>F740&amp;T740</f>
        <v>47.0284.1.2.17.00.01.039.01.12.09.3</v>
      </c>
      <c r="T740" s="772" t="s">
        <v>2000</v>
      </c>
      <c r="U740" s="772"/>
      <c r="V740" s="764"/>
      <c r="W740" s="764"/>
      <c r="X740" s="158"/>
      <c r="Y740" s="745"/>
      <c r="Z740" s="771">
        <v>0</v>
      </c>
      <c r="AA740" s="592" t="str">
        <f>F740&amp;AB740</f>
        <v>47.0284.1.2.17.00.01.039.01.12.09.1</v>
      </c>
      <c r="AB740" s="772" t="s">
        <v>1996</v>
      </c>
      <c r="AC740" s="770">
        <f>ROUND(AC728*$U$5,0)</f>
        <v>0</v>
      </c>
      <c r="AD740" s="592" t="str">
        <f>F740&amp;AE740</f>
        <v>47.0284.1.2.17.00.01.039.01.12.09.2</v>
      </c>
      <c r="AE740" s="772" t="s">
        <v>1998</v>
      </c>
      <c r="AF740" s="770">
        <f>ROUND(AF728*$U$5,0)</f>
        <v>0</v>
      </c>
      <c r="AG740" s="592" t="str">
        <f>F740&amp;AH740</f>
        <v>47.0284.1.2.17.00.01.039.01.12.09.3</v>
      </c>
      <c r="AH740" s="772" t="s">
        <v>2000</v>
      </c>
      <c r="AI740" s="158"/>
    </row>
    <row r="741" spans="1:35" ht="15" hidden="1" customHeight="1" outlineLevel="3">
      <c r="A741" s="95" t="s">
        <v>2307</v>
      </c>
      <c r="B741" s="95" t="s">
        <v>1075</v>
      </c>
      <c r="C741" s="95"/>
      <c r="D741" s="95"/>
      <c r="E741" s="774"/>
      <c r="F741" s="774" t="s">
        <v>1075</v>
      </c>
      <c r="G741" s="13"/>
      <c r="H741" s="633"/>
      <c r="I741" s="69">
        <f t="shared" si="243"/>
        <v>0</v>
      </c>
      <c r="J741" s="771"/>
      <c r="K741" s="590" t="str">
        <f>F741&amp;L741</f>
        <v>.1</v>
      </c>
      <c r="L741" s="771" t="s">
        <v>1996</v>
      </c>
      <c r="M741" s="772"/>
      <c r="N741" s="770"/>
      <c r="O741" s="592" t="str">
        <f>F741&amp;P741</f>
        <v>.2</v>
      </c>
      <c r="P741" s="772" t="s">
        <v>1998</v>
      </c>
      <c r="Q741" s="772"/>
      <c r="R741" s="770"/>
      <c r="S741" s="592" t="str">
        <f>F741&amp;T741</f>
        <v>.3</v>
      </c>
      <c r="T741" s="772" t="s">
        <v>2000</v>
      </c>
      <c r="U741" s="772"/>
      <c r="V741" s="764"/>
      <c r="W741" s="764"/>
      <c r="X741" s="158"/>
      <c r="Y741" s="745"/>
      <c r="Z741" s="771"/>
      <c r="AA741" s="592" t="str">
        <f>F741&amp;AB741</f>
        <v>.1</v>
      </c>
      <c r="AB741" s="772" t="s">
        <v>1996</v>
      </c>
      <c r="AC741" s="770"/>
      <c r="AD741" s="592" t="str">
        <f>F741&amp;AE741</f>
        <v>.2</v>
      </c>
      <c r="AE741" s="772" t="s">
        <v>1998</v>
      </c>
      <c r="AF741" s="770"/>
      <c r="AG741" s="592" t="str">
        <f>F741&amp;AH741</f>
        <v>.3</v>
      </c>
      <c r="AH741" s="772" t="s">
        <v>2000</v>
      </c>
      <c r="AI741" s="158"/>
    </row>
    <row r="742" spans="1:35" ht="15" customHeight="1" outlineLevel="1" collapsed="1">
      <c r="A742" s="98"/>
      <c r="B742" s="98" t="s">
        <v>1075</v>
      </c>
      <c r="C742" s="98"/>
      <c r="D742" s="98"/>
      <c r="E742" s="98"/>
      <c r="F742" s="98" t="s">
        <v>1075</v>
      </c>
      <c r="G742" s="35" t="s">
        <v>262</v>
      </c>
      <c r="H742" s="77">
        <f>SUBTOTAL(9,H743:H776)</f>
        <v>12</v>
      </c>
      <c r="I742" s="67">
        <f t="shared" si="243"/>
        <v>15</v>
      </c>
      <c r="J742" s="54">
        <f>SUBTOTAL(9,J743:J776)</f>
        <v>15</v>
      </c>
      <c r="K742" s="54"/>
      <c r="L742" s="54"/>
      <c r="M742" s="85"/>
      <c r="N742" s="54">
        <f>SUBTOTAL(9,N743:N776)</f>
        <v>0</v>
      </c>
      <c r="O742" s="90"/>
      <c r="P742" s="90"/>
      <c r="Q742" s="85"/>
      <c r="R742" s="54">
        <f>SUBTOTAL(9,R743:R776)</f>
        <v>0</v>
      </c>
      <c r="S742" s="90"/>
      <c r="T742" s="90"/>
      <c r="U742" s="85"/>
      <c r="V742" s="54">
        <f>SUBTOTAL(9,V743:V776)</f>
        <v>0</v>
      </c>
      <c r="W742" s="54">
        <f>SUBTOTAL(9,W743:W776)</f>
        <v>0</v>
      </c>
      <c r="X742" s="169"/>
      <c r="Y742" s="745"/>
      <c r="Z742" s="54">
        <f>SUBTOTAL(9,Z743:Z776)</f>
        <v>0</v>
      </c>
      <c r="AA742" s="90"/>
      <c r="AB742" s="90"/>
      <c r="AC742" s="54">
        <f>SUBTOTAL(9,AC743:AC776)</f>
        <v>0</v>
      </c>
      <c r="AD742" s="90"/>
      <c r="AE742" s="90"/>
      <c r="AF742" s="54">
        <f>SUBTOTAL(9,AF743:AF776)</f>
        <v>0</v>
      </c>
      <c r="AG742" s="90"/>
      <c r="AH742" s="90"/>
      <c r="AI742" s="169"/>
    </row>
    <row r="743" spans="1:35" ht="15" hidden="1" customHeight="1" outlineLevel="2">
      <c r="A743" s="97"/>
      <c r="B743" s="97" t="s">
        <v>1075</v>
      </c>
      <c r="C743" s="97"/>
      <c r="D743" s="97"/>
      <c r="E743" s="97"/>
      <c r="F743" s="97" t="s">
        <v>1075</v>
      </c>
      <c r="G743" s="40" t="s">
        <v>714</v>
      </c>
      <c r="H743" s="78">
        <f>SUBTOTAL(9,H744:H773)</f>
        <v>11</v>
      </c>
      <c r="I743" s="68">
        <f t="shared" si="243"/>
        <v>14</v>
      </c>
      <c r="J743" s="55">
        <f>SUBTOTAL(9,J744:J773)</f>
        <v>14</v>
      </c>
      <c r="K743" s="55"/>
      <c r="L743" s="55"/>
      <c r="M743" s="84"/>
      <c r="N743" s="55">
        <f>SUBTOTAL(9,N744:N773)</f>
        <v>0</v>
      </c>
      <c r="O743" s="91"/>
      <c r="P743" s="91"/>
      <c r="Q743" s="84"/>
      <c r="R743" s="55">
        <f>SUBTOTAL(9,R744:R773)</f>
        <v>0</v>
      </c>
      <c r="S743" s="91"/>
      <c r="T743" s="91"/>
      <c r="U743" s="84"/>
      <c r="V743" s="55">
        <f>SUBTOTAL(9,V744:V773)</f>
        <v>0</v>
      </c>
      <c r="W743" s="55">
        <f>SUBTOTAL(9,W744:W773)</f>
        <v>0</v>
      </c>
      <c r="X743" s="170"/>
      <c r="Y743" s="745"/>
      <c r="Z743" s="55">
        <f>SUBTOTAL(9,Z744:Z773)</f>
        <v>0</v>
      </c>
      <c r="AA743" s="91"/>
      <c r="AB743" s="91"/>
      <c r="AC743" s="55">
        <f>SUBTOTAL(9,AC744:AC773)</f>
        <v>0</v>
      </c>
      <c r="AD743" s="91"/>
      <c r="AE743" s="91"/>
      <c r="AF743" s="55">
        <f>SUBTOTAL(9,AF744:AF773)</f>
        <v>0</v>
      </c>
      <c r="AG743" s="91"/>
      <c r="AH743" s="91"/>
      <c r="AI743" s="170"/>
    </row>
    <row r="744" spans="1:35" ht="15" hidden="1" customHeight="1" outlineLevel="3">
      <c r="A744" s="93">
        <v>208145</v>
      </c>
      <c r="B744" s="93">
        <v>3483</v>
      </c>
      <c r="C744" s="93"/>
      <c r="D744" s="93"/>
      <c r="E744" s="93" t="s">
        <v>2975</v>
      </c>
      <c r="F744" s="93" t="s">
        <v>5223</v>
      </c>
      <c r="G744" s="37" t="s">
        <v>228</v>
      </c>
      <c r="H744" s="583">
        <f>IFERROR(VLOOKUP(A744,'Colar QL'!A:C,3,0),0)</f>
        <v>0</v>
      </c>
      <c r="I744" s="69">
        <f t="shared" si="243"/>
        <v>0</v>
      </c>
      <c r="J744" s="258">
        <v>0</v>
      </c>
      <c r="K744" s="590" t="str">
        <f t="shared" ref="K744:K773" si="250">F744&amp;L744</f>
        <v>47.0284.1.2.17.00.01.039.01.12.20.1</v>
      </c>
      <c r="L744" s="579" t="s">
        <v>1996</v>
      </c>
      <c r="M744" s="256">
        <f>'BD Temp'!F1263</f>
        <v>0.56548203416453979</v>
      </c>
      <c r="N744" s="255">
        <v>0</v>
      </c>
      <c r="O744" s="592" t="str">
        <f t="shared" ref="O744:O773" si="251">F744&amp;P744</f>
        <v>47.0284.1.2.17.00.01.039.01.12.20.2</v>
      </c>
      <c r="P744" s="578" t="s">
        <v>1998</v>
      </c>
      <c r="Q744" s="256">
        <f>'BD Temp'!K1263</f>
        <v>0.56548203416453979</v>
      </c>
      <c r="R744" s="255">
        <f>'BD Temp'!O1263</f>
        <v>0</v>
      </c>
      <c r="S744" s="592" t="str">
        <f t="shared" ref="S744:S773" si="252">F744&amp;T744</f>
        <v>47.0284.1.2.17.00.01.039.01.12.20.3</v>
      </c>
      <c r="T744" s="578" t="s">
        <v>2000</v>
      </c>
      <c r="U744" s="256" t="str">
        <f>'BD Temp'!P1263</f>
        <v>-</v>
      </c>
      <c r="V744" s="764"/>
      <c r="W744" s="764"/>
      <c r="X744" s="174"/>
      <c r="Y744" s="339"/>
      <c r="Z744" s="741">
        <v>0</v>
      </c>
      <c r="AA744" s="592" t="str">
        <f t="shared" ref="AA744:AA773" si="253">F744&amp;AB744</f>
        <v>47.0284.1.2.17.00.01.039.01.12.20.1</v>
      </c>
      <c r="AB744" s="739" t="s">
        <v>1996</v>
      </c>
      <c r="AC744" s="738">
        <v>0</v>
      </c>
      <c r="AD744" s="592" t="str">
        <f t="shared" ref="AD744:AD773" si="254">F744&amp;AE744</f>
        <v>47.0284.1.2.17.00.01.039.01.12.20.2</v>
      </c>
      <c r="AE744" s="739" t="s">
        <v>1998</v>
      </c>
      <c r="AF744" s="738">
        <v>0</v>
      </c>
      <c r="AG744" s="592" t="str">
        <f t="shared" ref="AG744:AG773" si="255">F744&amp;AH744</f>
        <v>47.0284.1.2.17.00.01.039.01.12.20.3</v>
      </c>
      <c r="AH744" s="739" t="s">
        <v>2000</v>
      </c>
      <c r="AI744" s="174"/>
    </row>
    <row r="745" spans="1:35" ht="15" hidden="1" customHeight="1" outlineLevel="3">
      <c r="A745" s="93">
        <v>208150</v>
      </c>
      <c r="B745" s="93">
        <v>3483</v>
      </c>
      <c r="C745" s="93"/>
      <c r="D745" s="93"/>
      <c r="E745" s="93" t="s">
        <v>2975</v>
      </c>
      <c r="F745" s="93" t="s">
        <v>5223</v>
      </c>
      <c r="G745" s="37" t="s">
        <v>229</v>
      </c>
      <c r="H745" s="583">
        <f>IFERROR(VLOOKUP(A745,'Colar QL'!A:C,3,0),0)</f>
        <v>0</v>
      </c>
      <c r="I745" s="69">
        <f t="shared" si="243"/>
        <v>0</v>
      </c>
      <c r="J745" s="258">
        <f>'BD Temp'!E1264</f>
        <v>0</v>
      </c>
      <c r="K745" s="590" t="str">
        <f t="shared" si="250"/>
        <v>47.0284.1.2.17.00.01.039.01.12.20.1</v>
      </c>
      <c r="L745" s="579" t="s">
        <v>1996</v>
      </c>
      <c r="M745" s="256" t="str">
        <f>'BD Temp'!F1264</f>
        <v>-</v>
      </c>
      <c r="N745" s="255">
        <f>'BD Temp'!J1264</f>
        <v>0</v>
      </c>
      <c r="O745" s="592" t="str">
        <f t="shared" si="251"/>
        <v>47.0284.1.2.17.00.01.039.01.12.20.2</v>
      </c>
      <c r="P745" s="578" t="s">
        <v>1998</v>
      </c>
      <c r="Q745" s="256" t="str">
        <f>'BD Temp'!K1264</f>
        <v>-</v>
      </c>
      <c r="R745" s="255">
        <f>'BD Temp'!O1264</f>
        <v>0</v>
      </c>
      <c r="S745" s="592" t="str">
        <f t="shared" si="252"/>
        <v>47.0284.1.2.17.00.01.039.01.12.20.3</v>
      </c>
      <c r="T745" s="578" t="s">
        <v>2000</v>
      </c>
      <c r="U745" s="256" t="str">
        <f>'BD Temp'!P1264</f>
        <v>-</v>
      </c>
      <c r="V745" s="764"/>
      <c r="W745" s="764"/>
      <c r="X745" s="174"/>
      <c r="Y745" s="339"/>
      <c r="Z745" s="741">
        <v>0</v>
      </c>
      <c r="AA745" s="592" t="str">
        <f t="shared" si="253"/>
        <v>47.0284.1.2.17.00.01.039.01.12.20.1</v>
      </c>
      <c r="AB745" s="739" t="s">
        <v>1996</v>
      </c>
      <c r="AC745" s="738">
        <v>0</v>
      </c>
      <c r="AD745" s="592" t="str">
        <f t="shared" si="254"/>
        <v>47.0284.1.2.17.00.01.039.01.12.20.2</v>
      </c>
      <c r="AE745" s="739" t="s">
        <v>1998</v>
      </c>
      <c r="AF745" s="738">
        <v>0</v>
      </c>
      <c r="AG745" s="592" t="str">
        <f t="shared" si="255"/>
        <v>47.0284.1.2.17.00.01.039.01.12.20.3</v>
      </c>
      <c r="AH745" s="739" t="s">
        <v>2000</v>
      </c>
      <c r="AI745" s="174"/>
    </row>
    <row r="746" spans="1:35" ht="15" hidden="1" customHeight="1" outlineLevel="3">
      <c r="A746" s="93">
        <v>208155</v>
      </c>
      <c r="B746" s="93">
        <v>3483</v>
      </c>
      <c r="C746" s="93"/>
      <c r="D746" s="93"/>
      <c r="E746" s="93" t="s">
        <v>2975</v>
      </c>
      <c r="F746" s="93" t="s">
        <v>5223</v>
      </c>
      <c r="G746" s="37" t="s">
        <v>230</v>
      </c>
      <c r="H746" s="583">
        <f>IFERROR(VLOOKUP(A746,'Colar QL'!A:C,3,0),0)</f>
        <v>0</v>
      </c>
      <c r="I746" s="69">
        <f t="shared" si="243"/>
        <v>0</v>
      </c>
      <c r="J746" s="258">
        <f>'BD Temp'!E1265</f>
        <v>0</v>
      </c>
      <c r="K746" s="590" t="str">
        <f t="shared" si="250"/>
        <v>47.0284.1.2.17.00.01.039.01.12.20.1</v>
      </c>
      <c r="L746" s="579" t="s">
        <v>1996</v>
      </c>
      <c r="M746" s="256" t="str">
        <f>'BD Temp'!F1265</f>
        <v>-</v>
      </c>
      <c r="N746" s="255">
        <f>'BD Temp'!J1265</f>
        <v>0</v>
      </c>
      <c r="O746" s="592" t="str">
        <f t="shared" si="251"/>
        <v>47.0284.1.2.17.00.01.039.01.12.20.2</v>
      </c>
      <c r="P746" s="578" t="s">
        <v>1998</v>
      </c>
      <c r="Q746" s="256" t="str">
        <f>'BD Temp'!K1265</f>
        <v>-</v>
      </c>
      <c r="R746" s="255">
        <f>'BD Temp'!O1265</f>
        <v>0</v>
      </c>
      <c r="S746" s="592" t="str">
        <f t="shared" si="252"/>
        <v>47.0284.1.2.17.00.01.039.01.12.20.3</v>
      </c>
      <c r="T746" s="578" t="s">
        <v>2000</v>
      </c>
      <c r="U746" s="256" t="str">
        <f>'BD Temp'!P1265</f>
        <v>-</v>
      </c>
      <c r="V746" s="764"/>
      <c r="W746" s="764"/>
      <c r="X746" s="158"/>
      <c r="Y746" s="745"/>
      <c r="Z746" s="741">
        <v>0</v>
      </c>
      <c r="AA746" s="592" t="str">
        <f t="shared" si="253"/>
        <v>47.0284.1.2.17.00.01.039.01.12.20.1</v>
      </c>
      <c r="AB746" s="739" t="s">
        <v>1996</v>
      </c>
      <c r="AC746" s="738">
        <v>0</v>
      </c>
      <c r="AD746" s="592" t="str">
        <f t="shared" si="254"/>
        <v>47.0284.1.2.17.00.01.039.01.12.20.2</v>
      </c>
      <c r="AE746" s="739" t="s">
        <v>1998</v>
      </c>
      <c r="AF746" s="738">
        <v>0</v>
      </c>
      <c r="AG746" s="592" t="str">
        <f t="shared" si="255"/>
        <v>47.0284.1.2.17.00.01.039.01.12.20.3</v>
      </c>
      <c r="AH746" s="739" t="s">
        <v>2000</v>
      </c>
      <c r="AI746" s="158"/>
    </row>
    <row r="747" spans="1:35" ht="15" hidden="1" customHeight="1" outlineLevel="3">
      <c r="A747" s="93">
        <v>208160</v>
      </c>
      <c r="B747" s="93">
        <v>3483</v>
      </c>
      <c r="C747" s="93"/>
      <c r="D747" s="93"/>
      <c r="E747" s="93" t="s">
        <v>4370</v>
      </c>
      <c r="F747" s="93" t="s">
        <v>5349</v>
      </c>
      <c r="G747" s="37" t="s">
        <v>231</v>
      </c>
      <c r="H747" s="583">
        <f>IFERROR(VLOOKUP(A747,'Colar QL'!A:C,3,0),0)</f>
        <v>2</v>
      </c>
      <c r="I747" s="69">
        <f t="shared" si="243"/>
        <v>2</v>
      </c>
      <c r="J747" s="771">
        <f>'BD Temp'!E1266</f>
        <v>2</v>
      </c>
      <c r="K747" s="590" t="str">
        <f t="shared" si="250"/>
        <v>47.0284.1.2.17.00.01.039.01.12.17.1</v>
      </c>
      <c r="L747" s="579" t="s">
        <v>1996</v>
      </c>
      <c r="M747" s="256">
        <f>'BD Temp'!F1266</f>
        <v>0.52228548988808188</v>
      </c>
      <c r="N747" s="255">
        <f>'BD Temp'!J1266</f>
        <v>0</v>
      </c>
      <c r="O747" s="592" t="str">
        <f t="shared" si="251"/>
        <v>47.0284.1.2.17.00.01.039.01.12.17.2</v>
      </c>
      <c r="P747" s="578" t="s">
        <v>1998</v>
      </c>
      <c r="Q747" s="256" t="str">
        <f>'BD Temp'!K1266</f>
        <v>-</v>
      </c>
      <c r="R747" s="255">
        <f>'BD Temp'!O1266</f>
        <v>0</v>
      </c>
      <c r="S747" s="592" t="str">
        <f t="shared" si="252"/>
        <v>47.0284.1.2.17.00.01.039.01.12.17.3</v>
      </c>
      <c r="T747" s="578" t="s">
        <v>2000</v>
      </c>
      <c r="U747" s="256" t="str">
        <f>'BD Temp'!P1266</f>
        <v>-</v>
      </c>
      <c r="V747" s="764"/>
      <c r="W747" s="764"/>
      <c r="X747" s="158" t="s">
        <v>5373</v>
      </c>
      <c r="Y747" s="745"/>
      <c r="Z747" s="741">
        <v>0</v>
      </c>
      <c r="AA747" s="592" t="str">
        <f t="shared" si="253"/>
        <v>47.0284.1.2.17.00.01.039.01.12.17.1</v>
      </c>
      <c r="AB747" s="739" t="s">
        <v>1996</v>
      </c>
      <c r="AC747" s="738">
        <v>0</v>
      </c>
      <c r="AD747" s="592" t="str">
        <f t="shared" si="254"/>
        <v>47.0284.1.2.17.00.01.039.01.12.17.2</v>
      </c>
      <c r="AE747" s="739" t="s">
        <v>1998</v>
      </c>
      <c r="AF747" s="738">
        <v>0</v>
      </c>
      <c r="AG747" s="592" t="str">
        <f t="shared" si="255"/>
        <v>47.0284.1.2.17.00.01.039.01.12.17.3</v>
      </c>
      <c r="AH747" s="739" t="s">
        <v>2000</v>
      </c>
      <c r="AI747" s="158"/>
    </row>
    <row r="748" spans="1:35" ht="15" hidden="1" customHeight="1" outlineLevel="3">
      <c r="A748" s="93">
        <v>208165</v>
      </c>
      <c r="B748" s="93">
        <v>3483</v>
      </c>
      <c r="C748" s="93"/>
      <c r="D748" s="93"/>
      <c r="E748" s="93" t="s">
        <v>2975</v>
      </c>
      <c r="F748" s="93" t="s">
        <v>5223</v>
      </c>
      <c r="G748" s="154" t="s">
        <v>232</v>
      </c>
      <c r="H748" s="583">
        <f>IFERROR(VLOOKUP(A748,'Colar QL'!A:C,3,0),0)</f>
        <v>0</v>
      </c>
      <c r="I748" s="69">
        <f t="shared" si="243"/>
        <v>0</v>
      </c>
      <c r="J748" s="258">
        <f>'BD Temp'!E1267</f>
        <v>0</v>
      </c>
      <c r="K748" s="590" t="str">
        <f t="shared" si="250"/>
        <v>47.0284.1.2.17.00.01.039.01.12.20.1</v>
      </c>
      <c r="L748" s="579" t="s">
        <v>1996</v>
      </c>
      <c r="M748" s="256" t="str">
        <f>'BD Temp'!F1267</f>
        <v>-</v>
      </c>
      <c r="N748" s="255">
        <f>'BD Temp'!J1267</f>
        <v>0</v>
      </c>
      <c r="O748" s="592" t="str">
        <f t="shared" si="251"/>
        <v>47.0284.1.2.17.00.01.039.01.12.20.2</v>
      </c>
      <c r="P748" s="578" t="s">
        <v>1998</v>
      </c>
      <c r="Q748" s="256" t="str">
        <f>'BD Temp'!K1267</f>
        <v>-</v>
      </c>
      <c r="R748" s="255">
        <f>'BD Temp'!O1267</f>
        <v>0</v>
      </c>
      <c r="S748" s="592" t="str">
        <f t="shared" si="252"/>
        <v>47.0284.1.2.17.00.01.039.01.12.20.3</v>
      </c>
      <c r="T748" s="578" t="s">
        <v>2000</v>
      </c>
      <c r="U748" s="256" t="str">
        <f>'BD Temp'!P1267</f>
        <v>-</v>
      </c>
      <c r="V748" s="764"/>
      <c r="W748" s="764"/>
      <c r="X748" s="158"/>
      <c r="Y748" s="745"/>
      <c r="Z748" s="741">
        <v>0</v>
      </c>
      <c r="AA748" s="592" t="str">
        <f t="shared" si="253"/>
        <v>47.0284.1.2.17.00.01.039.01.12.20.1</v>
      </c>
      <c r="AB748" s="739" t="s">
        <v>1996</v>
      </c>
      <c r="AC748" s="738">
        <v>0</v>
      </c>
      <c r="AD748" s="592" t="str">
        <f t="shared" si="254"/>
        <v>47.0284.1.2.17.00.01.039.01.12.20.2</v>
      </c>
      <c r="AE748" s="739" t="s">
        <v>1998</v>
      </c>
      <c r="AF748" s="738">
        <v>0</v>
      </c>
      <c r="AG748" s="592" t="str">
        <f t="shared" si="255"/>
        <v>47.0284.1.2.17.00.01.039.01.12.20.3</v>
      </c>
      <c r="AH748" s="739" t="s">
        <v>2000</v>
      </c>
      <c r="AI748" s="158"/>
    </row>
    <row r="749" spans="1:35" ht="15" hidden="1" customHeight="1" outlineLevel="3">
      <c r="A749" s="93">
        <v>208170</v>
      </c>
      <c r="B749" s="93">
        <v>3483</v>
      </c>
      <c r="C749" s="93"/>
      <c r="D749" s="93"/>
      <c r="E749" s="93" t="s">
        <v>4370</v>
      </c>
      <c r="F749" s="93" t="s">
        <v>5349</v>
      </c>
      <c r="G749" s="37" t="s">
        <v>146</v>
      </c>
      <c r="H749" s="583">
        <f>IFERROR(VLOOKUP(A749,'Colar QL'!A:C,3,0),0)</f>
        <v>1</v>
      </c>
      <c r="I749" s="69">
        <f t="shared" si="243"/>
        <v>1</v>
      </c>
      <c r="J749" s="258">
        <f>'BD Temp'!E1268</f>
        <v>1</v>
      </c>
      <c r="K749" s="590" t="str">
        <f t="shared" si="250"/>
        <v>47.0284.1.2.17.00.01.039.01.12.17.1</v>
      </c>
      <c r="L749" s="579" t="s">
        <v>1996</v>
      </c>
      <c r="M749" s="256">
        <f>'BD Temp'!F1268</f>
        <v>0.18849401138817992</v>
      </c>
      <c r="N749" s="255">
        <f>'BD Temp'!J1268</f>
        <v>0</v>
      </c>
      <c r="O749" s="592" t="str">
        <f t="shared" si="251"/>
        <v>47.0284.1.2.17.00.01.039.01.12.17.2</v>
      </c>
      <c r="P749" s="578" t="s">
        <v>1998</v>
      </c>
      <c r="Q749" s="256" t="str">
        <f>'BD Temp'!K1268</f>
        <v>-</v>
      </c>
      <c r="R749" s="255">
        <f>'BD Temp'!O1268</f>
        <v>0</v>
      </c>
      <c r="S749" s="592" t="str">
        <f t="shared" si="252"/>
        <v>47.0284.1.2.17.00.01.039.01.12.17.3</v>
      </c>
      <c r="T749" s="578" t="s">
        <v>2000</v>
      </c>
      <c r="U749" s="256" t="str">
        <f>'BD Temp'!P1268</f>
        <v>-</v>
      </c>
      <c r="V749" s="764"/>
      <c r="W749" s="764"/>
      <c r="X749" s="158" t="s">
        <v>5372</v>
      </c>
      <c r="Y749" s="745"/>
      <c r="Z749" s="741">
        <v>0</v>
      </c>
      <c r="AA749" s="592" t="str">
        <f t="shared" si="253"/>
        <v>47.0284.1.2.17.00.01.039.01.12.17.1</v>
      </c>
      <c r="AB749" s="739" t="s">
        <v>1996</v>
      </c>
      <c r="AC749" s="738">
        <v>0</v>
      </c>
      <c r="AD749" s="592" t="str">
        <f t="shared" si="254"/>
        <v>47.0284.1.2.17.00.01.039.01.12.17.2</v>
      </c>
      <c r="AE749" s="739" t="s">
        <v>1998</v>
      </c>
      <c r="AF749" s="738">
        <v>0</v>
      </c>
      <c r="AG749" s="592" t="str">
        <f t="shared" si="255"/>
        <v>47.0284.1.2.17.00.01.039.01.12.17.3</v>
      </c>
      <c r="AH749" s="739" t="s">
        <v>2000</v>
      </c>
      <c r="AI749" s="158"/>
    </row>
    <row r="750" spans="1:35" s="123" customFormat="1" ht="15" hidden="1" customHeight="1" outlineLevel="3">
      <c r="A750" s="153">
        <v>208175</v>
      </c>
      <c r="B750" s="153">
        <v>3483</v>
      </c>
      <c r="C750" s="153"/>
      <c r="D750" s="153"/>
      <c r="E750" s="153" t="s">
        <v>2975</v>
      </c>
      <c r="F750" s="153" t="s">
        <v>5223</v>
      </c>
      <c r="G750" s="155" t="s">
        <v>147</v>
      </c>
      <c r="H750" s="583">
        <f>IFERROR(VLOOKUP(A750,'Colar QL'!A:C,3,0),0)</f>
        <v>4</v>
      </c>
      <c r="I750" s="69">
        <f t="shared" si="243"/>
        <v>4</v>
      </c>
      <c r="J750" s="771">
        <f>'BD Temp'!E1269</f>
        <v>4</v>
      </c>
      <c r="K750" s="590" t="str">
        <f t="shared" si="250"/>
        <v>47.0284.1.2.17.00.01.039.01.12.20.1</v>
      </c>
      <c r="L750" s="579" t="s">
        <v>1996</v>
      </c>
      <c r="M750" s="256">
        <f>'BD Temp'!F1269</f>
        <v>0.78209129184309822</v>
      </c>
      <c r="N750" s="255">
        <f>'BD Temp'!J1269</f>
        <v>0</v>
      </c>
      <c r="O750" s="592" t="str">
        <f t="shared" si="251"/>
        <v>47.0284.1.2.17.00.01.039.01.12.20.2</v>
      </c>
      <c r="P750" s="578" t="s">
        <v>1998</v>
      </c>
      <c r="Q750" s="256" t="str">
        <f>'BD Temp'!K1269</f>
        <v>-</v>
      </c>
      <c r="R750" s="255">
        <f>'BD Temp'!O1269</f>
        <v>0</v>
      </c>
      <c r="S750" s="592" t="str">
        <f t="shared" si="252"/>
        <v>47.0284.1.2.17.00.01.039.01.12.20.3</v>
      </c>
      <c r="T750" s="578" t="s">
        <v>2000</v>
      </c>
      <c r="U750" s="256" t="str">
        <f>'BD Temp'!P1269</f>
        <v>-</v>
      </c>
      <c r="V750" s="764"/>
      <c r="W750" s="765"/>
      <c r="X750" s="206"/>
      <c r="Y750" s="745"/>
      <c r="Z750" s="741">
        <v>0</v>
      </c>
      <c r="AA750" s="592" t="str">
        <f t="shared" si="253"/>
        <v>47.0284.1.2.17.00.01.039.01.12.20.1</v>
      </c>
      <c r="AB750" s="739" t="s">
        <v>1996</v>
      </c>
      <c r="AC750" s="738">
        <v>0</v>
      </c>
      <c r="AD750" s="592" t="str">
        <f t="shared" si="254"/>
        <v>47.0284.1.2.17.00.01.039.01.12.20.2</v>
      </c>
      <c r="AE750" s="739" t="s">
        <v>1998</v>
      </c>
      <c r="AF750" s="738">
        <v>0</v>
      </c>
      <c r="AG750" s="592" t="str">
        <f t="shared" si="255"/>
        <v>47.0284.1.2.17.00.01.039.01.12.20.3</v>
      </c>
      <c r="AH750" s="739" t="s">
        <v>2000</v>
      </c>
      <c r="AI750" s="375"/>
    </row>
    <row r="751" spans="1:35" ht="15" hidden="1" customHeight="1" outlineLevel="3">
      <c r="A751" s="93">
        <v>208180</v>
      </c>
      <c r="B751" s="93">
        <v>3483</v>
      </c>
      <c r="C751" s="93"/>
      <c r="D751" s="93"/>
      <c r="E751" s="93" t="s">
        <v>2976</v>
      </c>
      <c r="F751" s="93" t="s">
        <v>5224</v>
      </c>
      <c r="G751" s="37" t="s">
        <v>233</v>
      </c>
      <c r="H751" s="583">
        <f>IFERROR(VLOOKUP(A751,'Colar QL'!A:C,3,0),0)</f>
        <v>0</v>
      </c>
      <c r="I751" s="69">
        <f t="shared" si="243"/>
        <v>0</v>
      </c>
      <c r="J751" s="258">
        <f>'BD Temp'!E1270</f>
        <v>0</v>
      </c>
      <c r="K751" s="590" t="str">
        <f t="shared" si="250"/>
        <v>47.0284.1.2.17.00.01.039.01.12.19.1</v>
      </c>
      <c r="L751" s="579" t="s">
        <v>1996</v>
      </c>
      <c r="M751" s="256" t="str">
        <f>'BD Temp'!F1270</f>
        <v>-</v>
      </c>
      <c r="N751" s="255">
        <f>'BD Temp'!J1270</f>
        <v>0</v>
      </c>
      <c r="O751" s="592" t="str">
        <f t="shared" si="251"/>
        <v>47.0284.1.2.17.00.01.039.01.12.19.2</v>
      </c>
      <c r="P751" s="578" t="s">
        <v>1998</v>
      </c>
      <c r="Q751" s="256" t="str">
        <f>'BD Temp'!K1270</f>
        <v>-</v>
      </c>
      <c r="R751" s="255">
        <f>'BD Temp'!O1270</f>
        <v>0</v>
      </c>
      <c r="S751" s="592" t="str">
        <f t="shared" si="252"/>
        <v>47.0284.1.2.17.00.01.039.01.12.19.3</v>
      </c>
      <c r="T751" s="578" t="s">
        <v>2000</v>
      </c>
      <c r="U751" s="256" t="str">
        <f>'BD Temp'!P1270</f>
        <v>-</v>
      </c>
      <c r="V751" s="764"/>
      <c r="W751" s="764"/>
      <c r="X751" s="158" t="s">
        <v>2883</v>
      </c>
      <c r="Y751" s="745"/>
      <c r="Z751" s="741">
        <v>0</v>
      </c>
      <c r="AA751" s="592" t="str">
        <f t="shared" si="253"/>
        <v>47.0284.1.2.17.00.01.039.01.12.19.1</v>
      </c>
      <c r="AB751" s="739" t="s">
        <v>1996</v>
      </c>
      <c r="AC751" s="738">
        <v>0</v>
      </c>
      <c r="AD751" s="592" t="str">
        <f t="shared" si="254"/>
        <v>47.0284.1.2.17.00.01.039.01.12.19.2</v>
      </c>
      <c r="AE751" s="739" t="s">
        <v>1998</v>
      </c>
      <c r="AF751" s="738">
        <v>0</v>
      </c>
      <c r="AG751" s="592" t="str">
        <f t="shared" si="255"/>
        <v>47.0284.1.2.17.00.01.039.01.12.19.3</v>
      </c>
      <c r="AH751" s="739" t="s">
        <v>2000</v>
      </c>
      <c r="AI751" s="158"/>
    </row>
    <row r="752" spans="1:35" ht="15" hidden="1" customHeight="1" outlineLevel="3">
      <c r="A752" s="93">
        <v>208185</v>
      </c>
      <c r="B752" s="93">
        <v>3483</v>
      </c>
      <c r="C752" s="93"/>
      <c r="D752" s="93"/>
      <c r="E752" s="93" t="s">
        <v>2975</v>
      </c>
      <c r="F752" s="93" t="s">
        <v>5223</v>
      </c>
      <c r="G752" s="154" t="s">
        <v>696</v>
      </c>
      <c r="H752" s="583">
        <f>IFERROR(VLOOKUP(A752,'Colar QL'!A:C,3,0),0)</f>
        <v>0</v>
      </c>
      <c r="I752" s="69">
        <f t="shared" si="243"/>
        <v>0</v>
      </c>
      <c r="J752" s="771">
        <f>'BD Temp'!E1271</f>
        <v>0</v>
      </c>
      <c r="K752" s="590" t="str">
        <f t="shared" si="250"/>
        <v>47.0284.1.2.17.00.01.039.01.12.20.1</v>
      </c>
      <c r="L752" s="579" t="s">
        <v>1996</v>
      </c>
      <c r="M752" s="256" t="str">
        <f>'BD Temp'!F1271</f>
        <v>-</v>
      </c>
      <c r="N752" s="255">
        <f>'BD Temp'!J1271</f>
        <v>0</v>
      </c>
      <c r="O752" s="592" t="str">
        <f t="shared" si="251"/>
        <v>47.0284.1.2.17.00.01.039.01.12.20.2</v>
      </c>
      <c r="P752" s="578" t="s">
        <v>1998</v>
      </c>
      <c r="Q752" s="256" t="str">
        <f>'BD Temp'!K1271</f>
        <v>-</v>
      </c>
      <c r="R752" s="255">
        <f>'BD Temp'!O1271</f>
        <v>0</v>
      </c>
      <c r="S752" s="592" t="str">
        <f t="shared" si="252"/>
        <v>47.0284.1.2.17.00.01.039.01.12.20.3</v>
      </c>
      <c r="T752" s="578" t="s">
        <v>2000</v>
      </c>
      <c r="U752" s="256" t="str">
        <f>'BD Temp'!P1271</f>
        <v>-</v>
      </c>
      <c r="V752" s="764"/>
      <c r="W752" s="764"/>
      <c r="X752" s="158"/>
      <c r="Y752" s="745"/>
      <c r="Z752" s="741">
        <v>0</v>
      </c>
      <c r="AA752" s="592" t="str">
        <f t="shared" si="253"/>
        <v>47.0284.1.2.17.00.01.039.01.12.20.1</v>
      </c>
      <c r="AB752" s="739" t="s">
        <v>1996</v>
      </c>
      <c r="AC752" s="738">
        <v>0</v>
      </c>
      <c r="AD752" s="592" t="str">
        <f t="shared" si="254"/>
        <v>47.0284.1.2.17.00.01.039.01.12.20.2</v>
      </c>
      <c r="AE752" s="739" t="s">
        <v>1998</v>
      </c>
      <c r="AF752" s="738">
        <v>0</v>
      </c>
      <c r="AG752" s="592" t="str">
        <f t="shared" si="255"/>
        <v>47.0284.1.2.17.00.01.039.01.12.20.3</v>
      </c>
      <c r="AH752" s="739" t="s">
        <v>2000</v>
      </c>
      <c r="AI752" s="158"/>
    </row>
    <row r="753" spans="1:35" ht="15" hidden="1" customHeight="1" outlineLevel="3">
      <c r="A753" s="93">
        <v>208190</v>
      </c>
      <c r="B753" s="93">
        <v>3483</v>
      </c>
      <c r="C753" s="93"/>
      <c r="D753" s="93"/>
      <c r="E753" s="93" t="s">
        <v>2975</v>
      </c>
      <c r="F753" s="93" t="s">
        <v>5223</v>
      </c>
      <c r="G753" s="37" t="s">
        <v>148</v>
      </c>
      <c r="H753" s="583">
        <f>IFERROR(VLOOKUP(A753,'Colar QL'!A:C,3,0),0)</f>
        <v>0</v>
      </c>
      <c r="I753" s="69">
        <f t="shared" si="243"/>
        <v>0</v>
      </c>
      <c r="J753" s="258">
        <v>0</v>
      </c>
      <c r="K753" s="590" t="str">
        <f t="shared" si="250"/>
        <v>47.0284.1.2.17.00.01.039.01.12.20.1</v>
      </c>
      <c r="L753" s="579" t="s">
        <v>1996</v>
      </c>
      <c r="M753" s="256" t="str">
        <f>'BD Temp'!F1272</f>
        <v>-</v>
      </c>
      <c r="N753" s="255">
        <v>0</v>
      </c>
      <c r="O753" s="592" t="str">
        <f t="shared" si="251"/>
        <v>47.0284.1.2.17.00.01.039.01.12.20.2</v>
      </c>
      <c r="P753" s="578" t="s">
        <v>1998</v>
      </c>
      <c r="Q753" s="256" t="str">
        <f>'BD Temp'!K1272</f>
        <v>-</v>
      </c>
      <c r="R753" s="255">
        <f>'BD Temp'!O1272</f>
        <v>0</v>
      </c>
      <c r="S753" s="592" t="str">
        <f t="shared" si="252"/>
        <v>47.0284.1.2.17.00.01.039.01.12.20.3</v>
      </c>
      <c r="T753" s="578" t="s">
        <v>2000</v>
      </c>
      <c r="U753" s="256" t="str">
        <f>'BD Temp'!P1272</f>
        <v>-</v>
      </c>
      <c r="V753" s="764"/>
      <c r="W753" s="764"/>
      <c r="X753" s="158"/>
      <c r="Y753" s="745"/>
      <c r="Z753" s="741">
        <v>0</v>
      </c>
      <c r="AA753" s="592" t="str">
        <f t="shared" si="253"/>
        <v>47.0284.1.2.17.00.01.039.01.12.20.1</v>
      </c>
      <c r="AB753" s="739" t="s">
        <v>1996</v>
      </c>
      <c r="AC753" s="738">
        <v>0</v>
      </c>
      <c r="AD753" s="592" t="str">
        <f t="shared" si="254"/>
        <v>47.0284.1.2.17.00.01.039.01.12.20.2</v>
      </c>
      <c r="AE753" s="739" t="s">
        <v>1998</v>
      </c>
      <c r="AF753" s="738">
        <v>0</v>
      </c>
      <c r="AG753" s="592" t="str">
        <f t="shared" si="255"/>
        <v>47.0284.1.2.17.00.01.039.01.12.20.3</v>
      </c>
      <c r="AH753" s="739" t="s">
        <v>2000</v>
      </c>
      <c r="AI753" s="158"/>
    </row>
    <row r="754" spans="1:35" ht="15" hidden="1" customHeight="1" outlineLevel="3">
      <c r="A754" s="93">
        <v>208195</v>
      </c>
      <c r="B754" s="93">
        <v>3483</v>
      </c>
      <c r="C754" s="93"/>
      <c r="D754" s="93"/>
      <c r="E754" s="93" t="s">
        <v>4366</v>
      </c>
      <c r="F754" s="93" t="s">
        <v>5348</v>
      </c>
      <c r="G754" s="37" t="s">
        <v>149</v>
      </c>
      <c r="H754" s="583">
        <f>IFERROR(VLOOKUP(A754,'Colar QL'!A:C,3,0),0)</f>
        <v>1</v>
      </c>
      <c r="I754" s="69">
        <f t="shared" si="243"/>
        <v>1</v>
      </c>
      <c r="J754" s="258">
        <f>'BD Temp'!E1273</f>
        <v>1</v>
      </c>
      <c r="K754" s="590" t="str">
        <f t="shared" si="250"/>
        <v>47.0284.1.2.17.00.01.039.01.12.28.1</v>
      </c>
      <c r="L754" s="579" t="s">
        <v>1996</v>
      </c>
      <c r="M754" s="256">
        <f>'BD Temp'!F1273</f>
        <v>0.6168894918158615</v>
      </c>
      <c r="N754" s="255">
        <f>'BD Temp'!J1273</f>
        <v>0</v>
      </c>
      <c r="O754" s="592" t="str">
        <f t="shared" si="251"/>
        <v>47.0284.1.2.17.00.01.039.01.12.28.2</v>
      </c>
      <c r="P754" s="578" t="s">
        <v>1998</v>
      </c>
      <c r="Q754" s="256" t="str">
        <f>'BD Temp'!K1273</f>
        <v>-</v>
      </c>
      <c r="R754" s="255">
        <f>'BD Temp'!O1273</f>
        <v>0</v>
      </c>
      <c r="S754" s="592" t="str">
        <f t="shared" si="252"/>
        <v>47.0284.1.2.17.00.01.039.01.12.28.3</v>
      </c>
      <c r="T754" s="578" t="s">
        <v>2000</v>
      </c>
      <c r="U754" s="256" t="str">
        <f>'BD Temp'!P1273</f>
        <v>-</v>
      </c>
      <c r="V754" s="764"/>
      <c r="W754" s="764"/>
      <c r="X754" s="158"/>
      <c r="Y754" s="745"/>
      <c r="Z754" s="741">
        <v>0</v>
      </c>
      <c r="AA754" s="592" t="str">
        <f t="shared" si="253"/>
        <v>47.0284.1.2.17.00.01.039.01.12.28.1</v>
      </c>
      <c r="AB754" s="739" t="s">
        <v>1996</v>
      </c>
      <c r="AC754" s="738">
        <v>0</v>
      </c>
      <c r="AD754" s="592" t="str">
        <f t="shared" si="254"/>
        <v>47.0284.1.2.17.00.01.039.01.12.28.2</v>
      </c>
      <c r="AE754" s="739" t="s">
        <v>1998</v>
      </c>
      <c r="AF754" s="738">
        <v>0</v>
      </c>
      <c r="AG754" s="592" t="str">
        <f t="shared" si="255"/>
        <v>47.0284.1.2.17.00.01.039.01.12.28.3</v>
      </c>
      <c r="AH754" s="739" t="s">
        <v>2000</v>
      </c>
      <c r="AI754" s="158"/>
    </row>
    <row r="755" spans="1:35" ht="15" hidden="1" customHeight="1" outlineLevel="3">
      <c r="A755" s="93">
        <v>208200</v>
      </c>
      <c r="B755" s="93">
        <v>3485</v>
      </c>
      <c r="C755" s="93"/>
      <c r="D755" s="93"/>
      <c r="E755" s="93" t="s">
        <v>4366</v>
      </c>
      <c r="F755" s="93" t="s">
        <v>5348</v>
      </c>
      <c r="G755" s="37" t="s">
        <v>150</v>
      </c>
      <c r="H755" s="583">
        <f>IFERROR(VLOOKUP(A755,'Colar QL'!A:C,3,0),0)</f>
        <v>1</v>
      </c>
      <c r="I755" s="69">
        <f t="shared" si="243"/>
        <v>1</v>
      </c>
      <c r="J755" s="258">
        <f>'BD Temp'!E1274</f>
        <v>1</v>
      </c>
      <c r="K755" s="590" t="str">
        <f t="shared" si="250"/>
        <v>47.0284.1.2.17.00.01.039.01.12.28.1</v>
      </c>
      <c r="L755" s="579" t="s">
        <v>1996</v>
      </c>
      <c r="M755" s="256">
        <f>'BD Temp'!F1274</f>
        <v>0.48213040532443185</v>
      </c>
      <c r="N755" s="255">
        <f>'BD Temp'!J1274</f>
        <v>0</v>
      </c>
      <c r="O755" s="592" t="str">
        <f t="shared" si="251"/>
        <v>47.0284.1.2.17.00.01.039.01.12.28.2</v>
      </c>
      <c r="P755" s="578" t="s">
        <v>1998</v>
      </c>
      <c r="Q755" s="256">
        <f>'BD Temp'!K1274</f>
        <v>0</v>
      </c>
      <c r="R755" s="255">
        <f>'BD Temp'!O1274</f>
        <v>0</v>
      </c>
      <c r="S755" s="592" t="str">
        <f t="shared" si="252"/>
        <v>47.0284.1.2.17.00.01.039.01.12.28.2</v>
      </c>
      <c r="T755" s="578" t="s">
        <v>1998</v>
      </c>
      <c r="U755" s="256">
        <f>'BD Temp'!P1274</f>
        <v>0</v>
      </c>
      <c r="V755" s="764"/>
      <c r="W755" s="764"/>
      <c r="X755" s="158"/>
      <c r="Y755" s="745"/>
      <c r="Z755" s="741">
        <v>0</v>
      </c>
      <c r="AA755" s="592" t="str">
        <f t="shared" si="253"/>
        <v>47.0284.1.2.17.00.01.039.01.12.28.1</v>
      </c>
      <c r="AB755" s="739" t="s">
        <v>1996</v>
      </c>
      <c r="AC755" s="738">
        <v>0</v>
      </c>
      <c r="AD755" s="592" t="str">
        <f t="shared" si="254"/>
        <v>47.0284.1.2.17.00.01.039.01.12.28.2</v>
      </c>
      <c r="AE755" s="739" t="s">
        <v>1998</v>
      </c>
      <c r="AF755" s="738">
        <v>0</v>
      </c>
      <c r="AG755" s="592" t="str">
        <f t="shared" si="255"/>
        <v>47.0284.1.2.17.00.01.039.01.12.28.3</v>
      </c>
      <c r="AH755" s="739" t="s">
        <v>2000</v>
      </c>
      <c r="AI755" s="158"/>
    </row>
    <row r="756" spans="1:35" ht="15" hidden="1" customHeight="1" outlineLevel="3">
      <c r="A756" s="93">
        <v>208205</v>
      </c>
      <c r="B756" s="93">
        <v>3483</v>
      </c>
      <c r="C756" s="93"/>
      <c r="D756" s="93"/>
      <c r="E756" s="93" t="s">
        <v>2975</v>
      </c>
      <c r="F756" s="93" t="s">
        <v>5223</v>
      </c>
      <c r="G756" s="37" t="s">
        <v>71</v>
      </c>
      <c r="H756" s="583">
        <f>IFERROR(VLOOKUP(A756,'Colar QL'!A:C,3,0),0)</f>
        <v>0</v>
      </c>
      <c r="I756" s="69">
        <f t="shared" si="243"/>
        <v>0</v>
      </c>
      <c r="J756" s="258">
        <f>'BD Temp'!E1277</f>
        <v>0</v>
      </c>
      <c r="K756" s="590" t="str">
        <f t="shared" si="250"/>
        <v>47.0284.1.2.17.00.01.039.01.12.20.1</v>
      </c>
      <c r="L756" s="579" t="s">
        <v>1996</v>
      </c>
      <c r="M756" s="256" t="str">
        <f>'BD Temp'!F1277</f>
        <v>-</v>
      </c>
      <c r="N756" s="255">
        <f>'BD Temp'!J1277</f>
        <v>0</v>
      </c>
      <c r="O756" s="592" t="str">
        <f t="shared" si="251"/>
        <v>47.0284.1.2.17.00.01.039.01.12.20.2</v>
      </c>
      <c r="P756" s="578" t="s">
        <v>1998</v>
      </c>
      <c r="Q756" s="256" t="str">
        <f>'BD Temp'!K1277</f>
        <v>-</v>
      </c>
      <c r="R756" s="255">
        <f>'BD Temp'!O1277</f>
        <v>0</v>
      </c>
      <c r="S756" s="592" t="str">
        <f t="shared" si="252"/>
        <v>47.0284.1.2.17.00.01.039.01.12.20.3</v>
      </c>
      <c r="T756" s="578" t="s">
        <v>2000</v>
      </c>
      <c r="U756" s="256" t="str">
        <f>'BD Temp'!P1277</f>
        <v>-</v>
      </c>
      <c r="V756" s="764"/>
      <c r="W756" s="764"/>
      <c r="X756" s="158"/>
      <c r="Y756" s="745"/>
      <c r="Z756" s="741">
        <v>0</v>
      </c>
      <c r="AA756" s="592" t="str">
        <f t="shared" si="253"/>
        <v>47.0284.1.2.17.00.01.039.01.12.20.1</v>
      </c>
      <c r="AB756" s="739" t="s">
        <v>1996</v>
      </c>
      <c r="AC756" s="738">
        <v>0</v>
      </c>
      <c r="AD756" s="592" t="str">
        <f t="shared" si="254"/>
        <v>47.0284.1.2.17.00.01.039.01.12.20.2</v>
      </c>
      <c r="AE756" s="739" t="s">
        <v>1998</v>
      </c>
      <c r="AF756" s="738">
        <v>0</v>
      </c>
      <c r="AG756" s="592" t="str">
        <f t="shared" si="255"/>
        <v>47.0284.1.2.17.00.01.039.01.12.20.3</v>
      </c>
      <c r="AH756" s="739" t="s">
        <v>2000</v>
      </c>
      <c r="AI756" s="158"/>
    </row>
    <row r="757" spans="1:35" ht="15" hidden="1" customHeight="1" outlineLevel="3">
      <c r="A757" s="93">
        <v>208210</v>
      </c>
      <c r="B757" s="93">
        <v>3483</v>
      </c>
      <c r="C757" s="93"/>
      <c r="D757" s="93"/>
      <c r="E757" s="93" t="s">
        <v>2975</v>
      </c>
      <c r="F757" s="93" t="s">
        <v>5223</v>
      </c>
      <c r="G757" s="37" t="s">
        <v>151</v>
      </c>
      <c r="H757" s="583">
        <f>IFERROR(VLOOKUP(A757,'Colar QL'!A:C,3,0),0)</f>
        <v>0</v>
      </c>
      <c r="I757" s="69">
        <f t="shared" si="243"/>
        <v>0</v>
      </c>
      <c r="J757" s="258">
        <f>'BD Temp'!E1278</f>
        <v>0</v>
      </c>
      <c r="K757" s="590" t="str">
        <f t="shared" si="250"/>
        <v>47.0284.1.2.17.00.01.039.01.12.20.1</v>
      </c>
      <c r="L757" s="579" t="s">
        <v>1996</v>
      </c>
      <c r="M757" s="256" t="str">
        <f>'BD Temp'!F1278</f>
        <v>-</v>
      </c>
      <c r="N757" s="255">
        <f>'BD Temp'!J1278</f>
        <v>0</v>
      </c>
      <c r="O757" s="592" t="str">
        <f t="shared" si="251"/>
        <v>47.0284.1.2.17.00.01.039.01.12.20.2</v>
      </c>
      <c r="P757" s="578" t="s">
        <v>1998</v>
      </c>
      <c r="Q757" s="256" t="str">
        <f>'BD Temp'!K1278</f>
        <v>-</v>
      </c>
      <c r="R757" s="255">
        <f>'BD Temp'!O1278</f>
        <v>0</v>
      </c>
      <c r="S757" s="592" t="str">
        <f t="shared" si="252"/>
        <v>47.0284.1.2.17.00.01.039.01.12.20.3</v>
      </c>
      <c r="T757" s="578" t="s">
        <v>2000</v>
      </c>
      <c r="U757" s="256" t="str">
        <f>'BD Temp'!P1278</f>
        <v>-</v>
      </c>
      <c r="V757" s="764"/>
      <c r="W757" s="764"/>
      <c r="X757" s="158" t="s">
        <v>3088</v>
      </c>
      <c r="Y757" s="745"/>
      <c r="Z757" s="741">
        <v>0</v>
      </c>
      <c r="AA757" s="592" t="str">
        <f t="shared" si="253"/>
        <v>47.0284.1.2.17.00.01.039.01.12.20.1</v>
      </c>
      <c r="AB757" s="739" t="s">
        <v>1996</v>
      </c>
      <c r="AC757" s="738">
        <v>0</v>
      </c>
      <c r="AD757" s="592" t="str">
        <f t="shared" si="254"/>
        <v>47.0284.1.2.17.00.01.039.01.12.20.2</v>
      </c>
      <c r="AE757" s="739" t="s">
        <v>1998</v>
      </c>
      <c r="AF757" s="738">
        <v>0</v>
      </c>
      <c r="AG757" s="592" t="str">
        <f t="shared" si="255"/>
        <v>47.0284.1.2.17.00.01.039.01.12.20.3</v>
      </c>
      <c r="AH757" s="739" t="s">
        <v>2000</v>
      </c>
      <c r="AI757" s="158"/>
    </row>
    <row r="758" spans="1:35" ht="15" hidden="1" customHeight="1" outlineLevel="3">
      <c r="A758" s="93">
        <v>208215</v>
      </c>
      <c r="B758" s="93">
        <v>3483</v>
      </c>
      <c r="C758" s="93"/>
      <c r="D758" s="93"/>
      <c r="E758" s="93" t="s">
        <v>2975</v>
      </c>
      <c r="F758" s="93" t="s">
        <v>5223</v>
      </c>
      <c r="G758" s="37" t="s">
        <v>152</v>
      </c>
      <c r="H758" s="583">
        <f>IFERROR(VLOOKUP(A758,'Colar QL'!A:C,3,0),0)</f>
        <v>0</v>
      </c>
      <c r="I758" s="69">
        <f t="shared" si="243"/>
        <v>0</v>
      </c>
      <c r="J758" s="258">
        <f>'BD Temp'!E1279</f>
        <v>0</v>
      </c>
      <c r="K758" s="590" t="str">
        <f t="shared" si="250"/>
        <v>47.0284.1.2.17.00.01.039.01.12.20.1</v>
      </c>
      <c r="L758" s="579" t="s">
        <v>1996</v>
      </c>
      <c r="M758" s="256" t="str">
        <f>'BD Temp'!F1279</f>
        <v>-</v>
      </c>
      <c r="N758" s="255">
        <f>'BD Temp'!J1279</f>
        <v>0</v>
      </c>
      <c r="O758" s="592" t="str">
        <f t="shared" si="251"/>
        <v>47.0284.1.2.17.00.01.039.01.12.20.2</v>
      </c>
      <c r="P758" s="578" t="s">
        <v>1998</v>
      </c>
      <c r="Q758" s="256" t="str">
        <f>'BD Temp'!K1279</f>
        <v>-</v>
      </c>
      <c r="R758" s="255">
        <f>'BD Temp'!O1279</f>
        <v>0</v>
      </c>
      <c r="S758" s="592" t="str">
        <f t="shared" si="252"/>
        <v>47.0284.1.2.17.00.01.039.01.12.20.3</v>
      </c>
      <c r="T758" s="578" t="s">
        <v>2000</v>
      </c>
      <c r="U758" s="256" t="str">
        <f>'BD Temp'!P1279</f>
        <v>-</v>
      </c>
      <c r="V758" s="764"/>
      <c r="W758" s="764"/>
      <c r="X758" s="158"/>
      <c r="Y758" s="745"/>
      <c r="Z758" s="741">
        <v>0</v>
      </c>
      <c r="AA758" s="592" t="str">
        <f t="shared" si="253"/>
        <v>47.0284.1.2.17.00.01.039.01.12.20.1</v>
      </c>
      <c r="AB758" s="739" t="s">
        <v>1996</v>
      </c>
      <c r="AC758" s="738">
        <v>0</v>
      </c>
      <c r="AD758" s="592" t="str">
        <f t="shared" si="254"/>
        <v>47.0284.1.2.17.00.01.039.01.12.20.2</v>
      </c>
      <c r="AE758" s="739" t="s">
        <v>1998</v>
      </c>
      <c r="AF758" s="738">
        <v>0</v>
      </c>
      <c r="AG758" s="592" t="str">
        <f t="shared" si="255"/>
        <v>47.0284.1.2.17.00.01.039.01.12.20.3</v>
      </c>
      <c r="AH758" s="739" t="s">
        <v>2000</v>
      </c>
      <c r="AI758" s="158"/>
    </row>
    <row r="759" spans="1:35" ht="15" hidden="1" customHeight="1" outlineLevel="3">
      <c r="A759" s="93">
        <v>80</v>
      </c>
      <c r="B759" s="93">
        <v>3483</v>
      </c>
      <c r="C759" s="93"/>
      <c r="D759" s="93"/>
      <c r="E759" s="93" t="s">
        <v>2977</v>
      </c>
      <c r="F759" s="93" t="s">
        <v>5225</v>
      </c>
      <c r="G759" s="37" t="s">
        <v>857</v>
      </c>
      <c r="H759" s="583">
        <f>IFERROR(VLOOKUP(A759,'Colar QL'!A:C,3,0),0)</f>
        <v>1</v>
      </c>
      <c r="I759" s="69">
        <f t="shared" si="243"/>
        <v>1</v>
      </c>
      <c r="J759" s="771">
        <f>'BD Temp'!E1280</f>
        <v>1</v>
      </c>
      <c r="K759" s="590" t="str">
        <f t="shared" si="250"/>
        <v>47.0284.1.2.17.00.01.039.01.12.31.1</v>
      </c>
      <c r="L759" s="579" t="s">
        <v>1996</v>
      </c>
      <c r="M759" s="256">
        <f>'BD Temp'!F1280</f>
        <v>0.38</v>
      </c>
      <c r="N759" s="255">
        <f>'BD Temp'!J1280</f>
        <v>0</v>
      </c>
      <c r="O759" s="592" t="str">
        <f t="shared" si="251"/>
        <v>47.0284.1.2.17.00.01.039.01.12.31.2</v>
      </c>
      <c r="P759" s="578" t="s">
        <v>1998</v>
      </c>
      <c r="Q759" s="256" t="str">
        <f>'BD Temp'!K1280</f>
        <v>-</v>
      </c>
      <c r="R759" s="255">
        <f>'BD Temp'!O1280</f>
        <v>0</v>
      </c>
      <c r="S759" s="592" t="str">
        <f t="shared" si="252"/>
        <v>47.0284.1.2.17.00.01.039.01.12.31.3</v>
      </c>
      <c r="T759" s="578" t="s">
        <v>2000</v>
      </c>
      <c r="U759" s="256" t="str">
        <f>'BD Temp'!P1280</f>
        <v>-</v>
      </c>
      <c r="V759" s="764"/>
      <c r="W759" s="764"/>
      <c r="X759" s="158"/>
      <c r="Y759" s="745"/>
      <c r="Z759" s="741">
        <v>0</v>
      </c>
      <c r="AA759" s="592" t="str">
        <f t="shared" si="253"/>
        <v>47.0284.1.2.17.00.01.039.01.12.31.1</v>
      </c>
      <c r="AB759" s="739" t="s">
        <v>1996</v>
      </c>
      <c r="AC759" s="738">
        <v>0</v>
      </c>
      <c r="AD759" s="592" t="str">
        <f t="shared" si="254"/>
        <v>47.0284.1.2.17.00.01.039.01.12.31.2</v>
      </c>
      <c r="AE759" s="739" t="s">
        <v>1998</v>
      </c>
      <c r="AF759" s="738">
        <v>0</v>
      </c>
      <c r="AG759" s="592" t="str">
        <f t="shared" si="255"/>
        <v>47.0284.1.2.17.00.01.039.01.12.31.3</v>
      </c>
      <c r="AH759" s="739" t="s">
        <v>2000</v>
      </c>
      <c r="AI759" s="158"/>
    </row>
    <row r="760" spans="1:35" ht="15" hidden="1" customHeight="1" outlineLevel="3">
      <c r="A760" s="93">
        <v>81</v>
      </c>
      <c r="B760" s="93">
        <v>3483</v>
      </c>
      <c r="C760" s="93"/>
      <c r="D760" s="93"/>
      <c r="E760" s="93" t="s">
        <v>2977</v>
      </c>
      <c r="F760" s="93" t="s">
        <v>5225</v>
      </c>
      <c r="G760" s="37" t="s">
        <v>697</v>
      </c>
      <c r="H760" s="583">
        <f>IFERROR(VLOOKUP(A760,'Colar QL'!A:C,3,0),0)</f>
        <v>0</v>
      </c>
      <c r="I760" s="69">
        <f t="shared" si="243"/>
        <v>0</v>
      </c>
      <c r="J760" s="258">
        <f>'BD Temp'!E1281</f>
        <v>0</v>
      </c>
      <c r="K760" s="590" t="str">
        <f t="shared" si="250"/>
        <v>47.0284.1.2.17.00.01.039.01.12.31.1</v>
      </c>
      <c r="L760" s="579" t="s">
        <v>1996</v>
      </c>
      <c r="M760" s="256" t="str">
        <f>'BD Temp'!F1281</f>
        <v>-</v>
      </c>
      <c r="N760" s="255">
        <f>'BD Temp'!J1281</f>
        <v>0</v>
      </c>
      <c r="O760" s="592" t="str">
        <f t="shared" si="251"/>
        <v>47.0284.1.2.17.00.01.039.01.12.31.2</v>
      </c>
      <c r="P760" s="578" t="s">
        <v>1998</v>
      </c>
      <c r="Q760" s="256" t="str">
        <f>'BD Temp'!K1281</f>
        <v>-</v>
      </c>
      <c r="R760" s="255">
        <f>'BD Temp'!O1281</f>
        <v>0</v>
      </c>
      <c r="S760" s="592" t="str">
        <f t="shared" si="252"/>
        <v>47.0284.1.2.17.00.01.039.01.12.31.2</v>
      </c>
      <c r="T760" s="578" t="s">
        <v>1998</v>
      </c>
      <c r="U760" s="256" t="str">
        <f>'BD Temp'!P1281</f>
        <v>-</v>
      </c>
      <c r="V760" s="764"/>
      <c r="W760" s="764"/>
      <c r="X760" s="158"/>
      <c r="Y760" s="745"/>
      <c r="Z760" s="741">
        <v>0</v>
      </c>
      <c r="AA760" s="592" t="str">
        <f t="shared" si="253"/>
        <v>47.0284.1.2.17.00.01.039.01.12.31.1</v>
      </c>
      <c r="AB760" s="739" t="s">
        <v>1996</v>
      </c>
      <c r="AC760" s="738">
        <v>0</v>
      </c>
      <c r="AD760" s="592" t="str">
        <f t="shared" si="254"/>
        <v>47.0284.1.2.17.00.01.039.01.12.31.2</v>
      </c>
      <c r="AE760" s="739" t="s">
        <v>1998</v>
      </c>
      <c r="AF760" s="738">
        <v>0</v>
      </c>
      <c r="AG760" s="592" t="str">
        <f t="shared" si="255"/>
        <v>47.0284.1.2.17.00.01.039.01.12.31.3</v>
      </c>
      <c r="AH760" s="739" t="s">
        <v>2000</v>
      </c>
      <c r="AI760" s="158"/>
    </row>
    <row r="761" spans="1:35" ht="15" hidden="1" customHeight="1" outlineLevel="3">
      <c r="A761" s="93">
        <v>82</v>
      </c>
      <c r="B761" s="93">
        <v>3483</v>
      </c>
      <c r="C761" s="93"/>
      <c r="D761" s="93"/>
      <c r="E761" s="93" t="s">
        <v>2977</v>
      </c>
      <c r="F761" s="93" t="s">
        <v>5225</v>
      </c>
      <c r="G761" s="37" t="s">
        <v>858</v>
      </c>
      <c r="H761" s="583">
        <f>IFERROR(VLOOKUP(A761,'Colar QL'!A:C,3,0),0)</f>
        <v>0</v>
      </c>
      <c r="I761" s="69">
        <f t="shared" si="243"/>
        <v>0</v>
      </c>
      <c r="J761" s="258">
        <f>'BD Temp'!E1282</f>
        <v>0</v>
      </c>
      <c r="K761" s="590" t="str">
        <f t="shared" si="250"/>
        <v>47.0284.1.2.17.00.01.039.01.12.31.1</v>
      </c>
      <c r="L761" s="579" t="s">
        <v>1996</v>
      </c>
      <c r="M761" s="256" t="str">
        <f>'BD Temp'!F1282</f>
        <v>-</v>
      </c>
      <c r="N761" s="255">
        <f>'BD Temp'!J1282</f>
        <v>0</v>
      </c>
      <c r="O761" s="592" t="str">
        <f t="shared" si="251"/>
        <v>47.0284.1.2.17.00.01.039.01.12.31.2</v>
      </c>
      <c r="P761" s="578" t="s">
        <v>1998</v>
      </c>
      <c r="Q761" s="256" t="str">
        <f>'BD Temp'!K1282</f>
        <v>-</v>
      </c>
      <c r="R761" s="255">
        <f>'BD Temp'!O1282</f>
        <v>0</v>
      </c>
      <c r="S761" s="592" t="str">
        <f t="shared" si="252"/>
        <v>47.0284.1.2.17.00.01.039.01.12.31.3</v>
      </c>
      <c r="T761" s="578" t="s">
        <v>2000</v>
      </c>
      <c r="U761" s="256" t="str">
        <f>'BD Temp'!P1282</f>
        <v>-</v>
      </c>
      <c r="V761" s="764"/>
      <c r="W761" s="764"/>
      <c r="X761" s="158"/>
      <c r="Y761" s="745"/>
      <c r="Z761" s="741">
        <v>0</v>
      </c>
      <c r="AA761" s="592" t="str">
        <f t="shared" si="253"/>
        <v>47.0284.1.2.17.00.01.039.01.12.31.1</v>
      </c>
      <c r="AB761" s="739" t="s">
        <v>1996</v>
      </c>
      <c r="AC761" s="738">
        <v>0</v>
      </c>
      <c r="AD761" s="592" t="str">
        <f t="shared" si="254"/>
        <v>47.0284.1.2.17.00.01.039.01.12.31.2</v>
      </c>
      <c r="AE761" s="739" t="s">
        <v>1998</v>
      </c>
      <c r="AF761" s="738">
        <v>0</v>
      </c>
      <c r="AG761" s="592" t="str">
        <f t="shared" si="255"/>
        <v>47.0284.1.2.17.00.01.039.01.12.31.3</v>
      </c>
      <c r="AH761" s="739" t="s">
        <v>2000</v>
      </c>
      <c r="AI761" s="158"/>
    </row>
    <row r="762" spans="1:35" ht="15" hidden="1" customHeight="1" outlineLevel="3">
      <c r="A762" s="93">
        <v>83</v>
      </c>
      <c r="B762" s="93">
        <v>3483</v>
      </c>
      <c r="C762" s="93"/>
      <c r="D762" s="93"/>
      <c r="E762" s="93" t="s">
        <v>2978</v>
      </c>
      <c r="F762" s="93" t="s">
        <v>5226</v>
      </c>
      <c r="G762" s="37" t="s">
        <v>3121</v>
      </c>
      <c r="H762" s="583">
        <f>IFERROR(VLOOKUP(A762,'Colar QL'!A:C,3,0),0)</f>
        <v>1</v>
      </c>
      <c r="I762" s="69">
        <f t="shared" si="243"/>
        <v>1</v>
      </c>
      <c r="J762" s="258">
        <f>'BD Temp'!E1283</f>
        <v>1</v>
      </c>
      <c r="K762" s="590" t="str">
        <f t="shared" si="250"/>
        <v>47.0284.1.2.17.00.01.039.01.12.29.1</v>
      </c>
      <c r="L762" s="579" t="s">
        <v>1996</v>
      </c>
      <c r="M762" s="256">
        <f>'BD Temp'!F1283</f>
        <v>0.3133333333333333</v>
      </c>
      <c r="N762" s="255">
        <f>'BD Temp'!J1283</f>
        <v>0</v>
      </c>
      <c r="O762" s="592" t="str">
        <f t="shared" si="251"/>
        <v>47.0284.1.2.17.00.01.039.01.12.29.2</v>
      </c>
      <c r="P762" s="578" t="s">
        <v>1998</v>
      </c>
      <c r="Q762" s="256" t="str">
        <f>'BD Temp'!K1283</f>
        <v>-</v>
      </c>
      <c r="R762" s="255">
        <f>'BD Temp'!O1283</f>
        <v>0</v>
      </c>
      <c r="S762" s="592" t="str">
        <f t="shared" si="252"/>
        <v>47.0284.1.2.17.00.01.039.01.12.29.3</v>
      </c>
      <c r="T762" s="578" t="s">
        <v>2000</v>
      </c>
      <c r="U762" s="256" t="str">
        <f>'BD Temp'!P1283</f>
        <v>-</v>
      </c>
      <c r="V762" s="764"/>
      <c r="W762" s="764"/>
      <c r="X762" s="158"/>
      <c r="Y762" s="745"/>
      <c r="Z762" s="741">
        <v>0</v>
      </c>
      <c r="AA762" s="592" t="str">
        <f t="shared" si="253"/>
        <v>47.0284.1.2.17.00.01.039.01.12.29.1</v>
      </c>
      <c r="AB762" s="739" t="s">
        <v>1996</v>
      </c>
      <c r="AC762" s="738">
        <v>0</v>
      </c>
      <c r="AD762" s="592" t="str">
        <f t="shared" si="254"/>
        <v>47.0284.1.2.17.00.01.039.01.12.29.2</v>
      </c>
      <c r="AE762" s="739" t="s">
        <v>1998</v>
      </c>
      <c r="AF762" s="738">
        <v>0</v>
      </c>
      <c r="AG762" s="592" t="str">
        <f t="shared" si="255"/>
        <v>47.0284.1.2.17.00.01.039.01.12.29.3</v>
      </c>
      <c r="AH762" s="739" t="s">
        <v>2000</v>
      </c>
      <c r="AI762" s="158"/>
    </row>
    <row r="763" spans="1:35" ht="15" hidden="1" customHeight="1" outlineLevel="3">
      <c r="A763" s="93">
        <v>84</v>
      </c>
      <c r="B763" s="93">
        <v>3483</v>
      </c>
      <c r="C763" s="93"/>
      <c r="D763" s="93"/>
      <c r="E763" s="93" t="s">
        <v>2978</v>
      </c>
      <c r="F763" s="93" t="s">
        <v>5226</v>
      </c>
      <c r="G763" s="37" t="s">
        <v>3122</v>
      </c>
      <c r="H763" s="583">
        <f>IFERROR(VLOOKUP(A763,'Colar QL'!A:C,3,0),0)</f>
        <v>0</v>
      </c>
      <c r="I763" s="69">
        <f t="shared" si="243"/>
        <v>0</v>
      </c>
      <c r="J763" s="258">
        <v>0</v>
      </c>
      <c r="K763" s="590" t="str">
        <f t="shared" si="250"/>
        <v>47.0284.1.2.17.00.01.039.01.12.29.1</v>
      </c>
      <c r="L763" s="579" t="s">
        <v>1996</v>
      </c>
      <c r="M763" s="256">
        <f>'BD Temp'!F1284</f>
        <v>0.32666666666666666</v>
      </c>
      <c r="N763" s="255">
        <f>'BD Temp'!J1284</f>
        <v>0</v>
      </c>
      <c r="O763" s="592" t="str">
        <f t="shared" si="251"/>
        <v>47.0284.1.2.17.00.01.039.01.12.29.2</v>
      </c>
      <c r="P763" s="578" t="s">
        <v>1998</v>
      </c>
      <c r="Q763" s="256" t="str">
        <f>'BD Temp'!K1284</f>
        <v>-</v>
      </c>
      <c r="R763" s="255">
        <f>'BD Temp'!O1284</f>
        <v>0</v>
      </c>
      <c r="S763" s="592" t="str">
        <f t="shared" si="252"/>
        <v>47.0284.1.2.17.00.01.039.01.12.29.3</v>
      </c>
      <c r="T763" s="578" t="s">
        <v>2000</v>
      </c>
      <c r="U763" s="256" t="str">
        <f>'BD Temp'!P1284</f>
        <v>-</v>
      </c>
      <c r="V763" s="764"/>
      <c r="W763" s="764"/>
      <c r="X763" s="158"/>
      <c r="Y763" s="745"/>
      <c r="Z763" s="741">
        <v>0</v>
      </c>
      <c r="AA763" s="592" t="str">
        <f t="shared" si="253"/>
        <v>47.0284.1.2.17.00.01.039.01.12.29.1</v>
      </c>
      <c r="AB763" s="739" t="s">
        <v>1996</v>
      </c>
      <c r="AC763" s="738">
        <v>0</v>
      </c>
      <c r="AD763" s="592" t="str">
        <f t="shared" si="254"/>
        <v>47.0284.1.2.17.00.01.039.01.12.29.2</v>
      </c>
      <c r="AE763" s="739" t="s">
        <v>1998</v>
      </c>
      <c r="AF763" s="738">
        <v>0</v>
      </c>
      <c r="AG763" s="592" t="str">
        <f t="shared" si="255"/>
        <v>47.0284.1.2.17.00.01.039.01.12.29.3</v>
      </c>
      <c r="AH763" s="739" t="s">
        <v>2000</v>
      </c>
      <c r="AI763" s="158"/>
    </row>
    <row r="764" spans="1:35" ht="15" hidden="1" customHeight="1" outlineLevel="3">
      <c r="A764" s="93">
        <v>85</v>
      </c>
      <c r="B764" s="93">
        <v>3483</v>
      </c>
      <c r="C764" s="93"/>
      <c r="D764" s="93"/>
      <c r="E764" s="93" t="s">
        <v>3118</v>
      </c>
      <c r="F764" s="93" t="s">
        <v>5163</v>
      </c>
      <c r="G764" s="37" t="s">
        <v>15</v>
      </c>
      <c r="H764" s="583">
        <f>IFERROR(VLOOKUP(A764,'Colar QL'!A:C,3,0),0)</f>
        <v>0</v>
      </c>
      <c r="I764" s="69">
        <f t="shared" si="243"/>
        <v>0</v>
      </c>
      <c r="J764" s="258">
        <f>'BD Temp'!E1285</f>
        <v>0</v>
      </c>
      <c r="K764" s="590" t="str">
        <f t="shared" si="250"/>
        <v>47.0284.1.2.17.00.01.039.01.35.02.1</v>
      </c>
      <c r="L764" s="579" t="s">
        <v>1996</v>
      </c>
      <c r="M764" s="256" t="str">
        <f>'BD Temp'!F1285</f>
        <v>-</v>
      </c>
      <c r="N764" s="255">
        <f>'BD Temp'!J1285</f>
        <v>0</v>
      </c>
      <c r="O764" s="592" t="str">
        <f t="shared" si="251"/>
        <v>47.0284.1.2.17.00.01.039.01.35.02.2</v>
      </c>
      <c r="P764" s="578" t="s">
        <v>1998</v>
      </c>
      <c r="Q764" s="256" t="str">
        <f>'BD Temp'!K1285</f>
        <v>-</v>
      </c>
      <c r="R764" s="255">
        <f>'BD Temp'!O1285</f>
        <v>0</v>
      </c>
      <c r="S764" s="592" t="str">
        <f t="shared" si="252"/>
        <v>47.0284.1.2.17.00.01.039.01.35.02.3</v>
      </c>
      <c r="T764" s="578" t="s">
        <v>2000</v>
      </c>
      <c r="U764" s="256" t="str">
        <f>'BD Temp'!P1285</f>
        <v>-</v>
      </c>
      <c r="V764" s="764"/>
      <c r="W764" s="764"/>
      <c r="X764" s="158"/>
      <c r="Y764" s="745"/>
      <c r="Z764" s="771">
        <v>0</v>
      </c>
      <c r="AA764" s="592" t="str">
        <f t="shared" ref="AA764" si="256">F764&amp;AB764</f>
        <v>47.0284.1.2.17.00.01.039.01.35.02.1</v>
      </c>
      <c r="AB764" s="772" t="s">
        <v>1996</v>
      </c>
      <c r="AC764" s="770">
        <v>0</v>
      </c>
      <c r="AD764" s="592" t="str">
        <f t="shared" ref="AD764" si="257">F764&amp;AE764</f>
        <v>47.0284.1.2.17.00.01.039.01.35.02.2</v>
      </c>
      <c r="AE764" s="772" t="s">
        <v>1998</v>
      </c>
      <c r="AF764" s="770">
        <v>0</v>
      </c>
      <c r="AG764" s="592" t="str">
        <f t="shared" ref="AG764" si="258">F764&amp;AH764</f>
        <v>47.0284.1.2.17.00.01.039.01.35.02.3</v>
      </c>
      <c r="AH764" s="772" t="s">
        <v>2000</v>
      </c>
      <c r="AI764" s="158"/>
    </row>
    <row r="765" spans="1:35" s="26" customFormat="1" ht="15" hidden="1" customHeight="1" outlineLevel="3">
      <c r="A765" s="93">
        <v>88</v>
      </c>
      <c r="B765" s="93">
        <v>3483</v>
      </c>
      <c r="C765" s="93"/>
      <c r="D765" s="93"/>
      <c r="E765" s="93" t="s">
        <v>2975</v>
      </c>
      <c r="F765" s="93" t="s">
        <v>5223</v>
      </c>
      <c r="G765" s="37" t="s">
        <v>130</v>
      </c>
      <c r="H765" s="583">
        <f>IFERROR(VLOOKUP(A765,'Colar QL'!A:C,3,0),0)</f>
        <v>0</v>
      </c>
      <c r="I765" s="69">
        <f t="shared" si="243"/>
        <v>3</v>
      </c>
      <c r="J765" s="771">
        <f>'BD Temp'!E1286-J789</f>
        <v>3</v>
      </c>
      <c r="K765" s="590" t="str">
        <f t="shared" si="250"/>
        <v>47.0284.1.2.17.00.01.039.01.12.20.1</v>
      </c>
      <c r="L765" s="579" t="s">
        <v>1996</v>
      </c>
      <c r="M765" s="256" t="str">
        <f>'BD Temp'!F1286</f>
        <v>-</v>
      </c>
      <c r="N765" s="255">
        <f>'BD Temp'!J1286</f>
        <v>0</v>
      </c>
      <c r="O765" s="592" t="str">
        <f t="shared" si="251"/>
        <v>47.0284.1.2.17.00.01.039.01.12.20.2</v>
      </c>
      <c r="P765" s="578" t="s">
        <v>1998</v>
      </c>
      <c r="Q765" s="256" t="str">
        <f>'BD Temp'!K1286</f>
        <v>-</v>
      </c>
      <c r="R765" s="255">
        <f>'BD Temp'!O1286</f>
        <v>0</v>
      </c>
      <c r="S765" s="592" t="str">
        <f t="shared" si="252"/>
        <v>47.0284.1.2.17.00.01.039.01.12.20.3</v>
      </c>
      <c r="T765" s="578" t="s">
        <v>2000</v>
      </c>
      <c r="U765" s="256" t="str">
        <f>'BD Temp'!P1286</f>
        <v>-</v>
      </c>
      <c r="V765" s="764"/>
      <c r="W765" s="764"/>
      <c r="X765" s="158"/>
      <c r="Y765" s="745"/>
      <c r="Z765" s="741">
        <v>0</v>
      </c>
      <c r="AA765" s="592" t="str">
        <f t="shared" si="253"/>
        <v>47.0284.1.2.17.00.01.039.01.12.20.1</v>
      </c>
      <c r="AB765" s="739" t="s">
        <v>1996</v>
      </c>
      <c r="AC765" s="738">
        <v>0</v>
      </c>
      <c r="AD765" s="592" t="str">
        <f t="shared" si="254"/>
        <v>47.0284.1.2.17.00.01.039.01.12.20.2</v>
      </c>
      <c r="AE765" s="739" t="s">
        <v>1998</v>
      </c>
      <c r="AF765" s="738">
        <v>0</v>
      </c>
      <c r="AG765" s="592" t="str">
        <f t="shared" si="255"/>
        <v>47.0284.1.2.17.00.01.039.01.12.20.3</v>
      </c>
      <c r="AH765" s="739" t="s">
        <v>2000</v>
      </c>
      <c r="AI765" s="158"/>
    </row>
    <row r="766" spans="1:35" ht="15" hidden="1" customHeight="1" outlineLevel="3">
      <c r="A766" s="93"/>
      <c r="B766" s="93" t="s">
        <v>1075</v>
      </c>
      <c r="C766" s="93"/>
      <c r="D766" s="93"/>
      <c r="E766" s="93"/>
      <c r="F766" s="93" t="s">
        <v>1075</v>
      </c>
      <c r="G766" s="37"/>
      <c r="H766" s="79"/>
      <c r="I766" s="69">
        <f t="shared" si="243"/>
        <v>0</v>
      </c>
      <c r="J766" s="48"/>
      <c r="K766" s="590" t="str">
        <f t="shared" si="250"/>
        <v>.1</v>
      </c>
      <c r="L766" s="579" t="s">
        <v>1996</v>
      </c>
      <c r="M766" s="74"/>
      <c r="N766" s="49"/>
      <c r="O766" s="592" t="str">
        <f t="shared" si="251"/>
        <v>.2</v>
      </c>
      <c r="P766" s="578" t="s">
        <v>1998</v>
      </c>
      <c r="Q766" s="74"/>
      <c r="R766" s="49"/>
      <c r="S766" s="592" t="str">
        <f t="shared" si="252"/>
        <v>.3</v>
      </c>
      <c r="T766" s="578" t="s">
        <v>2000</v>
      </c>
      <c r="U766" s="74"/>
      <c r="V766" s="764"/>
      <c r="W766" s="764"/>
      <c r="X766" s="158"/>
      <c r="Y766" s="745"/>
      <c r="Z766" s="741">
        <v>0</v>
      </c>
      <c r="AA766" s="592" t="str">
        <f t="shared" si="253"/>
        <v>.1</v>
      </c>
      <c r="AB766" s="739" t="s">
        <v>1996</v>
      </c>
      <c r="AC766" s="738">
        <v>0</v>
      </c>
      <c r="AD766" s="592" t="str">
        <f t="shared" si="254"/>
        <v>.2</v>
      </c>
      <c r="AE766" s="739" t="s">
        <v>1998</v>
      </c>
      <c r="AF766" s="738">
        <v>0</v>
      </c>
      <c r="AG766" s="592" t="str">
        <f t="shared" si="255"/>
        <v>.3</v>
      </c>
      <c r="AH766" s="739" t="s">
        <v>2000</v>
      </c>
      <c r="AI766" s="158"/>
    </row>
    <row r="767" spans="1:35" ht="15" hidden="1" customHeight="1" outlineLevel="3">
      <c r="A767" s="99"/>
      <c r="B767" s="99" t="s">
        <v>1075</v>
      </c>
      <c r="C767" s="99"/>
      <c r="D767" s="99"/>
      <c r="E767" s="99"/>
      <c r="F767" s="99" t="s">
        <v>1075</v>
      </c>
      <c r="G767" s="39" t="s">
        <v>723</v>
      </c>
      <c r="H767" s="79"/>
      <c r="I767" s="69">
        <f t="shared" si="243"/>
        <v>0</v>
      </c>
      <c r="J767" s="48"/>
      <c r="K767" s="590" t="str">
        <f t="shared" si="250"/>
        <v>.1</v>
      </c>
      <c r="L767" s="579" t="s">
        <v>1996</v>
      </c>
      <c r="M767" s="74"/>
      <c r="N767" s="49"/>
      <c r="O767" s="592" t="str">
        <f t="shared" si="251"/>
        <v>.2</v>
      </c>
      <c r="P767" s="578" t="s">
        <v>1998</v>
      </c>
      <c r="Q767" s="74"/>
      <c r="R767" s="49"/>
      <c r="S767" s="592" t="str">
        <f t="shared" si="252"/>
        <v>.3</v>
      </c>
      <c r="T767" s="578" t="s">
        <v>2000</v>
      </c>
      <c r="U767" s="74"/>
      <c r="V767" s="764"/>
      <c r="W767" s="764"/>
      <c r="X767" s="158"/>
      <c r="Y767" s="745"/>
      <c r="Z767" s="741">
        <v>0</v>
      </c>
      <c r="AA767" s="592" t="str">
        <f t="shared" si="253"/>
        <v>.1</v>
      </c>
      <c r="AB767" s="739" t="s">
        <v>1996</v>
      </c>
      <c r="AC767" s="738">
        <v>0</v>
      </c>
      <c r="AD767" s="592" t="str">
        <f t="shared" si="254"/>
        <v>.2</v>
      </c>
      <c r="AE767" s="739" t="s">
        <v>1998</v>
      </c>
      <c r="AF767" s="738">
        <v>0</v>
      </c>
      <c r="AG767" s="592" t="str">
        <f t="shared" si="255"/>
        <v>.3</v>
      </c>
      <c r="AH767" s="739" t="s">
        <v>2000</v>
      </c>
      <c r="AI767" s="158"/>
    </row>
    <row r="768" spans="1:35" ht="15" hidden="1" customHeight="1" outlineLevel="3">
      <c r="A768" s="93"/>
      <c r="B768" s="93" t="s">
        <v>1075</v>
      </c>
      <c r="C768" s="93"/>
      <c r="D768" s="93"/>
      <c r="E768" s="93"/>
      <c r="F768" s="93" t="s">
        <v>1075</v>
      </c>
      <c r="G768" s="37"/>
      <c r="H768" s="79"/>
      <c r="I768" s="69">
        <f t="shared" si="243"/>
        <v>0</v>
      </c>
      <c r="J768" s="48"/>
      <c r="K768" s="590" t="str">
        <f t="shared" si="250"/>
        <v>.1</v>
      </c>
      <c r="L768" s="579" t="s">
        <v>1996</v>
      </c>
      <c r="M768" s="74"/>
      <c r="N768" s="49"/>
      <c r="O768" s="592" t="str">
        <f t="shared" si="251"/>
        <v>.2</v>
      </c>
      <c r="P768" s="578" t="s">
        <v>1998</v>
      </c>
      <c r="Q768" s="74"/>
      <c r="R768" s="49"/>
      <c r="S768" s="592" t="str">
        <f t="shared" si="252"/>
        <v>.3</v>
      </c>
      <c r="T768" s="578" t="s">
        <v>2000</v>
      </c>
      <c r="U768" s="74"/>
      <c r="V768" s="764"/>
      <c r="W768" s="764"/>
      <c r="X768" s="158"/>
      <c r="Y768" s="745"/>
      <c r="Z768" s="741">
        <v>0</v>
      </c>
      <c r="AA768" s="592" t="str">
        <f t="shared" si="253"/>
        <v>.1</v>
      </c>
      <c r="AB768" s="739" t="s">
        <v>1996</v>
      </c>
      <c r="AC768" s="738">
        <v>0</v>
      </c>
      <c r="AD768" s="592" t="str">
        <f t="shared" si="254"/>
        <v>.2</v>
      </c>
      <c r="AE768" s="739" t="s">
        <v>1998</v>
      </c>
      <c r="AF768" s="738">
        <v>0</v>
      </c>
      <c r="AG768" s="592" t="str">
        <f t="shared" si="255"/>
        <v>.3</v>
      </c>
      <c r="AH768" s="739" t="s">
        <v>2000</v>
      </c>
      <c r="AI768" s="158"/>
    </row>
    <row r="769" spans="1:35" ht="15" hidden="1" customHeight="1" outlineLevel="3">
      <c r="A769" s="93"/>
      <c r="B769" s="93" t="s">
        <v>1075</v>
      </c>
      <c r="C769" s="93"/>
      <c r="D769" s="93"/>
      <c r="E769" s="93"/>
      <c r="F769" s="93" t="s">
        <v>1075</v>
      </c>
      <c r="G769" s="37"/>
      <c r="H769" s="79"/>
      <c r="I769" s="69">
        <f t="shared" si="243"/>
        <v>0</v>
      </c>
      <c r="J769" s="48"/>
      <c r="K769" s="590" t="str">
        <f t="shared" si="250"/>
        <v>.1</v>
      </c>
      <c r="L769" s="579" t="s">
        <v>1996</v>
      </c>
      <c r="M769" s="74"/>
      <c r="N769" s="49"/>
      <c r="O769" s="592" t="str">
        <f t="shared" si="251"/>
        <v>.2</v>
      </c>
      <c r="P769" s="578" t="s">
        <v>1998</v>
      </c>
      <c r="Q769" s="74"/>
      <c r="R769" s="49"/>
      <c r="S769" s="592" t="str">
        <f t="shared" si="252"/>
        <v>.3</v>
      </c>
      <c r="T769" s="578" t="s">
        <v>2000</v>
      </c>
      <c r="U769" s="74"/>
      <c r="V769" s="764"/>
      <c r="W769" s="764"/>
      <c r="X769" s="158"/>
      <c r="Y769" s="745"/>
      <c r="Z769" s="741">
        <v>0</v>
      </c>
      <c r="AA769" s="592" t="str">
        <f t="shared" si="253"/>
        <v>.1</v>
      </c>
      <c r="AB769" s="739" t="s">
        <v>1996</v>
      </c>
      <c r="AC769" s="738">
        <v>0</v>
      </c>
      <c r="AD769" s="592" t="str">
        <f t="shared" si="254"/>
        <v>.2</v>
      </c>
      <c r="AE769" s="739" t="s">
        <v>1998</v>
      </c>
      <c r="AF769" s="738">
        <v>0</v>
      </c>
      <c r="AG769" s="592" t="str">
        <f t="shared" si="255"/>
        <v>.3</v>
      </c>
      <c r="AH769" s="739" t="s">
        <v>2000</v>
      </c>
      <c r="AI769" s="158"/>
    </row>
    <row r="770" spans="1:35" ht="15" hidden="1" customHeight="1" outlineLevel="3">
      <c r="A770" s="93"/>
      <c r="B770" s="93" t="s">
        <v>1075</v>
      </c>
      <c r="C770" s="93"/>
      <c r="D770" s="93"/>
      <c r="E770" s="93"/>
      <c r="F770" s="93" t="s">
        <v>1075</v>
      </c>
      <c r="G770" s="154"/>
      <c r="H770" s="79"/>
      <c r="I770" s="69">
        <f t="shared" si="243"/>
        <v>0</v>
      </c>
      <c r="J770" s="48"/>
      <c r="K770" s="590" t="str">
        <f t="shared" si="250"/>
        <v>.1</v>
      </c>
      <c r="L770" s="579" t="s">
        <v>1996</v>
      </c>
      <c r="M770" s="74"/>
      <c r="N770" s="49"/>
      <c r="O770" s="592" t="str">
        <f t="shared" si="251"/>
        <v>.2</v>
      </c>
      <c r="P770" s="578" t="s">
        <v>1998</v>
      </c>
      <c r="Q770" s="74"/>
      <c r="R770" s="49"/>
      <c r="S770" s="592" t="str">
        <f t="shared" si="252"/>
        <v>.3</v>
      </c>
      <c r="T770" s="578" t="s">
        <v>2000</v>
      </c>
      <c r="U770" s="74"/>
      <c r="V770" s="764"/>
      <c r="W770" s="764"/>
      <c r="X770" s="158"/>
      <c r="Y770" s="745"/>
      <c r="Z770" s="741">
        <v>0</v>
      </c>
      <c r="AA770" s="592" t="str">
        <f t="shared" si="253"/>
        <v>.1</v>
      </c>
      <c r="AB770" s="739" t="s">
        <v>1996</v>
      </c>
      <c r="AC770" s="738">
        <v>0</v>
      </c>
      <c r="AD770" s="592" t="str">
        <f t="shared" si="254"/>
        <v>.2</v>
      </c>
      <c r="AE770" s="739" t="s">
        <v>1998</v>
      </c>
      <c r="AF770" s="738">
        <v>0</v>
      </c>
      <c r="AG770" s="592" t="str">
        <f t="shared" si="255"/>
        <v>.3</v>
      </c>
      <c r="AH770" s="739" t="s">
        <v>2000</v>
      </c>
      <c r="AI770" s="158"/>
    </row>
    <row r="771" spans="1:35" ht="15" hidden="1" customHeight="1" outlineLevel="3">
      <c r="A771" s="93"/>
      <c r="B771" s="93" t="s">
        <v>1075</v>
      </c>
      <c r="C771" s="93"/>
      <c r="D771" s="93"/>
      <c r="E771" s="93"/>
      <c r="F771" s="93" t="s">
        <v>1075</v>
      </c>
      <c r="G771" s="154"/>
      <c r="H771" s="79"/>
      <c r="I771" s="69">
        <f t="shared" si="243"/>
        <v>0</v>
      </c>
      <c r="J771" s="48"/>
      <c r="K771" s="590" t="str">
        <f t="shared" si="250"/>
        <v>.1</v>
      </c>
      <c r="L771" s="579" t="s">
        <v>1996</v>
      </c>
      <c r="M771" s="74"/>
      <c r="N771" s="49"/>
      <c r="O771" s="592" t="str">
        <f t="shared" si="251"/>
        <v>.2</v>
      </c>
      <c r="P771" s="578" t="s">
        <v>1998</v>
      </c>
      <c r="Q771" s="74"/>
      <c r="R771" s="49"/>
      <c r="S771" s="592" t="str">
        <f t="shared" si="252"/>
        <v>.3</v>
      </c>
      <c r="T771" s="578" t="s">
        <v>2000</v>
      </c>
      <c r="U771" s="74"/>
      <c r="V771" s="764"/>
      <c r="W771" s="764"/>
      <c r="X771" s="158"/>
      <c r="Y771" s="745"/>
      <c r="Z771" s="741">
        <v>0</v>
      </c>
      <c r="AA771" s="592" t="str">
        <f t="shared" si="253"/>
        <v>.1</v>
      </c>
      <c r="AB771" s="739" t="s">
        <v>1996</v>
      </c>
      <c r="AC771" s="738">
        <v>0</v>
      </c>
      <c r="AD771" s="592" t="str">
        <f t="shared" si="254"/>
        <v>.2</v>
      </c>
      <c r="AE771" s="739" t="s">
        <v>1998</v>
      </c>
      <c r="AF771" s="738">
        <v>0</v>
      </c>
      <c r="AG771" s="592" t="str">
        <f t="shared" si="255"/>
        <v>.3</v>
      </c>
      <c r="AH771" s="739" t="s">
        <v>2000</v>
      </c>
      <c r="AI771" s="158"/>
    </row>
    <row r="772" spans="1:35" ht="15" hidden="1" customHeight="1" outlineLevel="3">
      <c r="A772" s="93"/>
      <c r="B772" s="93" t="s">
        <v>1075</v>
      </c>
      <c r="C772" s="93"/>
      <c r="D772" s="93"/>
      <c r="E772" s="93"/>
      <c r="F772" s="93" t="s">
        <v>1075</v>
      </c>
      <c r="G772" s="37"/>
      <c r="H772" s="79"/>
      <c r="I772" s="69">
        <f t="shared" si="243"/>
        <v>0</v>
      </c>
      <c r="J772" s="48"/>
      <c r="K772" s="590" t="str">
        <f t="shared" si="250"/>
        <v>.1</v>
      </c>
      <c r="L772" s="579" t="s">
        <v>1996</v>
      </c>
      <c r="M772" s="74"/>
      <c r="N772" s="49"/>
      <c r="O772" s="592" t="str">
        <f t="shared" si="251"/>
        <v>.2</v>
      </c>
      <c r="P772" s="578" t="s">
        <v>1998</v>
      </c>
      <c r="Q772" s="74"/>
      <c r="R772" s="49"/>
      <c r="S772" s="592" t="str">
        <f t="shared" si="252"/>
        <v>.3</v>
      </c>
      <c r="T772" s="578" t="s">
        <v>2000</v>
      </c>
      <c r="U772" s="74"/>
      <c r="V772" s="764"/>
      <c r="W772" s="764"/>
      <c r="X772" s="158"/>
      <c r="Y772" s="745"/>
      <c r="Z772" s="741">
        <v>0</v>
      </c>
      <c r="AA772" s="592" t="str">
        <f t="shared" si="253"/>
        <v>.1</v>
      </c>
      <c r="AB772" s="739" t="s">
        <v>1996</v>
      </c>
      <c r="AC772" s="738">
        <v>0</v>
      </c>
      <c r="AD772" s="592" t="str">
        <f t="shared" si="254"/>
        <v>.2</v>
      </c>
      <c r="AE772" s="739" t="s">
        <v>1998</v>
      </c>
      <c r="AF772" s="738">
        <v>0</v>
      </c>
      <c r="AG772" s="592" t="str">
        <f t="shared" si="255"/>
        <v>.3</v>
      </c>
      <c r="AH772" s="739" t="s">
        <v>2000</v>
      </c>
      <c r="AI772" s="158"/>
    </row>
    <row r="773" spans="1:35" ht="15" hidden="1" customHeight="1" outlineLevel="3">
      <c r="A773" s="93"/>
      <c r="B773" s="93" t="s">
        <v>1075</v>
      </c>
      <c r="C773" s="93"/>
      <c r="D773" s="93"/>
      <c r="E773" s="93"/>
      <c r="F773" s="93" t="s">
        <v>1075</v>
      </c>
      <c r="G773" s="37"/>
      <c r="H773" s="79"/>
      <c r="I773" s="69">
        <f t="shared" si="243"/>
        <v>0</v>
      </c>
      <c r="J773" s="48"/>
      <c r="K773" s="590" t="str">
        <f t="shared" si="250"/>
        <v>.1</v>
      </c>
      <c r="L773" s="579" t="s">
        <v>1996</v>
      </c>
      <c r="M773" s="74"/>
      <c r="N773" s="49"/>
      <c r="O773" s="592" t="str">
        <f t="shared" si="251"/>
        <v>.2</v>
      </c>
      <c r="P773" s="578" t="s">
        <v>1998</v>
      </c>
      <c r="Q773" s="74"/>
      <c r="R773" s="49"/>
      <c r="S773" s="592" t="str">
        <f t="shared" si="252"/>
        <v>.3</v>
      </c>
      <c r="T773" s="578" t="s">
        <v>2000</v>
      </c>
      <c r="U773" s="74"/>
      <c r="V773" s="764"/>
      <c r="W773" s="764"/>
      <c r="X773" s="158"/>
      <c r="Y773" s="745"/>
      <c r="Z773" s="741">
        <v>0</v>
      </c>
      <c r="AA773" s="592" t="str">
        <f t="shared" si="253"/>
        <v>.1</v>
      </c>
      <c r="AB773" s="739" t="s">
        <v>1996</v>
      </c>
      <c r="AC773" s="738">
        <v>0</v>
      </c>
      <c r="AD773" s="592" t="str">
        <f t="shared" si="254"/>
        <v>.2</v>
      </c>
      <c r="AE773" s="739" t="s">
        <v>1998</v>
      </c>
      <c r="AF773" s="738">
        <v>0</v>
      </c>
      <c r="AG773" s="592" t="str">
        <f t="shared" si="255"/>
        <v>.3</v>
      </c>
      <c r="AH773" s="739" t="s">
        <v>2000</v>
      </c>
      <c r="AI773" s="158"/>
    </row>
    <row r="774" spans="1:35" ht="15" hidden="1" customHeight="1" outlineLevel="2">
      <c r="A774" s="97"/>
      <c r="B774" s="97" t="s">
        <v>1075</v>
      </c>
      <c r="C774" s="97"/>
      <c r="D774" s="97"/>
      <c r="E774" s="97"/>
      <c r="F774" s="97" t="s">
        <v>1075</v>
      </c>
      <c r="G774" s="40" t="s">
        <v>235</v>
      </c>
      <c r="H774" s="78">
        <f>SUBTOTAL(9,H775:H776)</f>
        <v>1</v>
      </c>
      <c r="I774" s="68">
        <f t="shared" si="243"/>
        <v>1</v>
      </c>
      <c r="J774" s="55">
        <f>SUBTOTAL(9,J775)</f>
        <v>1</v>
      </c>
      <c r="K774" s="55"/>
      <c r="L774" s="55"/>
      <c r="M774" s="84"/>
      <c r="N774" s="56">
        <f>SUBTOTAL(9,N775)</f>
        <v>0</v>
      </c>
      <c r="O774" s="84"/>
      <c r="P774" s="84"/>
      <c r="Q774" s="84"/>
      <c r="R774" s="56">
        <f>SUBTOTAL(9,R775)</f>
        <v>0</v>
      </c>
      <c r="S774" s="84"/>
      <c r="T774" s="84"/>
      <c r="U774" s="84"/>
      <c r="V774" s="56">
        <f>SUBTOTAL(9,V775)</f>
        <v>0</v>
      </c>
      <c r="W774" s="56">
        <f>SUBTOTAL(9,W775)</f>
        <v>0</v>
      </c>
      <c r="X774" s="170"/>
      <c r="Y774" s="745"/>
      <c r="Z774" s="55">
        <f>SUBTOTAL(9,Z775)</f>
        <v>0</v>
      </c>
      <c r="AA774" s="84"/>
      <c r="AB774" s="84"/>
      <c r="AC774" s="56">
        <f>SUBTOTAL(9,AC775)</f>
        <v>0</v>
      </c>
      <c r="AD774" s="84"/>
      <c r="AE774" s="84"/>
      <c r="AF774" s="56">
        <f>SUBTOTAL(9,AF775)</f>
        <v>0</v>
      </c>
      <c r="AG774" s="84"/>
      <c r="AH774" s="84"/>
      <c r="AI774" s="170"/>
    </row>
    <row r="775" spans="1:35" ht="15" hidden="1" customHeight="1" outlineLevel="3">
      <c r="A775" s="95">
        <v>86</v>
      </c>
      <c r="B775" s="95">
        <v>3483</v>
      </c>
      <c r="C775" s="95"/>
      <c r="D775" s="95"/>
      <c r="E775" s="774" t="s">
        <v>2975</v>
      </c>
      <c r="F775" s="774" t="s">
        <v>5223</v>
      </c>
      <c r="G775" s="13" t="s">
        <v>3030</v>
      </c>
      <c r="H775" s="583">
        <f>IFERROR(VLOOKUP(A775,'Colar QL'!A:C,3,0),0)</f>
        <v>1</v>
      </c>
      <c r="I775" s="69">
        <f t="shared" si="243"/>
        <v>1</v>
      </c>
      <c r="J775" s="771">
        <f>ROUNDUP(J743*$U$5,0)</f>
        <v>1</v>
      </c>
      <c r="K775" s="590" t="str">
        <f>F775&amp;L775</f>
        <v>47.0284.1.2.17.00.01.039.01.12.20.1</v>
      </c>
      <c r="L775" s="771" t="s">
        <v>1996</v>
      </c>
      <c r="M775" s="772"/>
      <c r="N775" s="770">
        <f>ROUND(N743*$U$5,0)</f>
        <v>0</v>
      </c>
      <c r="O775" s="592" t="str">
        <f>F775&amp;P775</f>
        <v>47.0284.1.2.17.00.01.039.01.12.20.2</v>
      </c>
      <c r="P775" s="772" t="s">
        <v>1998</v>
      </c>
      <c r="Q775" s="772"/>
      <c r="R775" s="770">
        <f>ROUND(R743*$U$5,0)</f>
        <v>0</v>
      </c>
      <c r="S775" s="592" t="str">
        <f>F775&amp;T775</f>
        <v>47.0284.1.2.17.00.01.039.01.12.20.3</v>
      </c>
      <c r="T775" s="772" t="s">
        <v>2000</v>
      </c>
      <c r="U775" s="772"/>
      <c r="V775" s="764"/>
      <c r="W775" s="764"/>
      <c r="X775" s="158"/>
      <c r="Y775" s="745"/>
      <c r="Z775" s="771">
        <f>ROUND(Z743*$U$5,0)</f>
        <v>0</v>
      </c>
      <c r="AA775" s="592" t="str">
        <f>F775&amp;AB775</f>
        <v>47.0284.1.2.17.00.01.039.01.12.20.1</v>
      </c>
      <c r="AB775" s="772" t="s">
        <v>1996</v>
      </c>
      <c r="AC775" s="770">
        <f>ROUND(AC743*$U$5,0)</f>
        <v>0</v>
      </c>
      <c r="AD775" s="592" t="str">
        <f>F775&amp;AE775</f>
        <v>47.0284.1.2.17.00.01.039.01.12.20.2</v>
      </c>
      <c r="AE775" s="772" t="s">
        <v>1998</v>
      </c>
      <c r="AF775" s="770">
        <f>ROUND(AF743*$U$5,0)</f>
        <v>0</v>
      </c>
      <c r="AG775" s="592" t="str">
        <f>F775&amp;AH775</f>
        <v>47.0284.1.2.17.00.01.039.01.12.20.3</v>
      </c>
      <c r="AH775" s="772" t="s">
        <v>2000</v>
      </c>
      <c r="AI775" s="158"/>
    </row>
    <row r="776" spans="1:35" ht="15" hidden="1" customHeight="1" outlineLevel="3">
      <c r="A776" s="95">
        <v>87</v>
      </c>
      <c r="B776" s="95" t="s">
        <v>1075</v>
      </c>
      <c r="C776" s="95"/>
      <c r="D776" s="95"/>
      <c r="E776" s="774"/>
      <c r="F776" s="774" t="s">
        <v>1075</v>
      </c>
      <c r="G776" s="13"/>
      <c r="H776" s="583"/>
      <c r="I776" s="69">
        <f t="shared" si="243"/>
        <v>0</v>
      </c>
      <c r="J776" s="771"/>
      <c r="K776" s="590" t="str">
        <f>F776&amp;L776</f>
        <v>.1</v>
      </c>
      <c r="L776" s="771" t="s">
        <v>1996</v>
      </c>
      <c r="M776" s="772"/>
      <c r="N776" s="770"/>
      <c r="O776" s="592" t="str">
        <f>F776&amp;P776</f>
        <v>.2</v>
      </c>
      <c r="P776" s="772" t="s">
        <v>1998</v>
      </c>
      <c r="Q776" s="772"/>
      <c r="R776" s="770"/>
      <c r="S776" s="592" t="str">
        <f>F776&amp;T776</f>
        <v>.3</v>
      </c>
      <c r="T776" s="772" t="s">
        <v>2000</v>
      </c>
      <c r="U776" s="772"/>
      <c r="V776" s="764"/>
      <c r="W776" s="764"/>
      <c r="X776" s="158"/>
      <c r="Y776" s="745"/>
      <c r="Z776" s="771"/>
      <c r="AA776" s="592" t="str">
        <f>F776&amp;AB776</f>
        <v>.1</v>
      </c>
      <c r="AB776" s="772" t="s">
        <v>1996</v>
      </c>
      <c r="AC776" s="770"/>
      <c r="AD776" s="592" t="str">
        <f>F776&amp;AE776</f>
        <v>.2</v>
      </c>
      <c r="AE776" s="772" t="s">
        <v>1998</v>
      </c>
      <c r="AF776" s="770"/>
      <c r="AG776" s="592" t="str">
        <f>F776&amp;AH776</f>
        <v>.3</v>
      </c>
      <c r="AH776" s="772" t="s">
        <v>2000</v>
      </c>
      <c r="AI776" s="158"/>
    </row>
    <row r="777" spans="1:35" ht="15" hidden="1" customHeight="1" outlineLevel="3">
      <c r="A777" s="95"/>
      <c r="B777" s="95" t="s">
        <v>1075</v>
      </c>
      <c r="C777" s="95"/>
      <c r="D777" s="95"/>
      <c r="E777" s="774"/>
      <c r="F777" s="774" t="s">
        <v>1075</v>
      </c>
      <c r="G777" s="13"/>
      <c r="H777" s="81"/>
      <c r="I777" s="71">
        <f t="shared" si="243"/>
        <v>0</v>
      </c>
      <c r="J777" s="48"/>
      <c r="K777" s="579"/>
      <c r="L777" s="579"/>
      <c r="M777" s="74"/>
      <c r="N777" s="49"/>
      <c r="O777" s="578"/>
      <c r="P777" s="578"/>
      <c r="Q777" s="74"/>
      <c r="R777" s="49"/>
      <c r="S777" s="578"/>
      <c r="T777" s="578"/>
      <c r="U777" s="74"/>
      <c r="V777" s="766"/>
      <c r="W777" s="766"/>
      <c r="X777" s="171"/>
      <c r="Y777" s="745"/>
      <c r="Z777" s="741"/>
      <c r="AA777" s="739"/>
      <c r="AB777" s="739"/>
      <c r="AC777" s="738"/>
      <c r="AD777" s="739"/>
      <c r="AE777" s="739"/>
      <c r="AF777" s="738"/>
      <c r="AG777" s="739"/>
      <c r="AH777" s="739"/>
      <c r="AI777" s="171"/>
    </row>
    <row r="778" spans="1:35">
      <c r="A778" s="100"/>
      <c r="B778" s="100" t="s">
        <v>1075</v>
      </c>
      <c r="C778" s="100"/>
      <c r="D778" s="100"/>
      <c r="E778" s="100"/>
      <c r="F778" s="100" t="s">
        <v>1075</v>
      </c>
      <c r="G778" s="17" t="s">
        <v>153</v>
      </c>
      <c r="H778" s="76">
        <f>ROUND(SUBTOTAL(9,H779:H801),0)</f>
        <v>3</v>
      </c>
      <c r="I778" s="64">
        <f t="shared" si="243"/>
        <v>4</v>
      </c>
      <c r="J778" s="52">
        <f>ROUND(SUBTOTAL(9,J779:J801),0)</f>
        <v>3</v>
      </c>
      <c r="K778" s="52"/>
      <c r="L778" s="52"/>
      <c r="M778" s="86"/>
      <c r="N778" s="52">
        <f>ROUND(SUBTOTAL(9,N779:N801),0)</f>
        <v>1</v>
      </c>
      <c r="O778" s="587"/>
      <c r="P778" s="587"/>
      <c r="Q778" s="86"/>
      <c r="R778" s="52">
        <f>ROUND(SUBTOTAL(9,R779:R801),0)</f>
        <v>0</v>
      </c>
      <c r="S778" s="587"/>
      <c r="T778" s="587"/>
      <c r="U778" s="86"/>
      <c r="V778" s="52">
        <f>ROUND(SUBTOTAL(9,V779:V801),0)</f>
        <v>0</v>
      </c>
      <c r="W778" s="52">
        <f>ROUND(SUBTOTAL(9,W779:W801),0)</f>
        <v>0</v>
      </c>
      <c r="X778" s="168"/>
      <c r="Y778" s="745"/>
      <c r="Z778" s="52">
        <f>ROUND(SUBTOTAL(9,Z779:Z801),0)</f>
        <v>0</v>
      </c>
      <c r="AA778" s="587"/>
      <c r="AB778" s="587"/>
      <c r="AC778" s="52">
        <f>ROUND(SUBTOTAL(9,AC779:AC801),0)</f>
        <v>0</v>
      </c>
      <c r="AD778" s="587"/>
      <c r="AE778" s="587"/>
      <c r="AF778" s="52">
        <f>ROUND(SUBTOTAL(9,AF779:AF801),0)</f>
        <v>0</v>
      </c>
      <c r="AG778" s="587"/>
      <c r="AH778" s="587"/>
      <c r="AI778" s="168"/>
    </row>
    <row r="779" spans="1:35" ht="15" customHeight="1" outlineLevel="1" collapsed="1">
      <c r="A779" s="98"/>
      <c r="B779" s="98" t="s">
        <v>1075</v>
      </c>
      <c r="C779" s="98"/>
      <c r="D779" s="98"/>
      <c r="E779" s="98"/>
      <c r="F779" s="98" t="s">
        <v>1075</v>
      </c>
      <c r="G779" s="35" t="s">
        <v>153</v>
      </c>
      <c r="H779" s="77">
        <f>SUBTOTAL(9,H780:H801)</f>
        <v>3</v>
      </c>
      <c r="I779" s="67">
        <f t="shared" si="243"/>
        <v>4</v>
      </c>
      <c r="J779" s="54">
        <f>SUBTOTAL(9,J780:J801)</f>
        <v>3</v>
      </c>
      <c r="K779" s="54"/>
      <c r="L779" s="54"/>
      <c r="M779" s="85"/>
      <c r="N779" s="54">
        <f>SUBTOTAL(9,N780:N801)</f>
        <v>1</v>
      </c>
      <c r="O779" s="90"/>
      <c r="P779" s="90"/>
      <c r="Q779" s="85"/>
      <c r="R779" s="54">
        <f>SUBTOTAL(9,R780:R801)</f>
        <v>0</v>
      </c>
      <c r="S779" s="90"/>
      <c r="T779" s="90"/>
      <c r="U779" s="85"/>
      <c r="V779" s="54">
        <f>SUBTOTAL(9,V780:V801)</f>
        <v>0</v>
      </c>
      <c r="W779" s="54">
        <f>SUBTOTAL(9,W780:W801)</f>
        <v>0</v>
      </c>
      <c r="X779" s="169"/>
      <c r="Y779" s="745"/>
      <c r="Z779" s="54">
        <f>SUBTOTAL(9,Z780:Z801)</f>
        <v>0</v>
      </c>
      <c r="AA779" s="90"/>
      <c r="AB779" s="90"/>
      <c r="AC779" s="54">
        <f>SUBTOTAL(9,AC780:AC801)</f>
        <v>0</v>
      </c>
      <c r="AD779" s="90"/>
      <c r="AE779" s="90"/>
      <c r="AF779" s="54">
        <f>SUBTOTAL(9,AF780:AF801)</f>
        <v>0</v>
      </c>
      <c r="AG779" s="90"/>
      <c r="AH779" s="90"/>
      <c r="AI779" s="169"/>
    </row>
    <row r="780" spans="1:35" ht="15" hidden="1" customHeight="1" outlineLevel="2">
      <c r="A780" s="97"/>
      <c r="B780" s="97" t="s">
        <v>1075</v>
      </c>
      <c r="C780" s="97"/>
      <c r="D780" s="97"/>
      <c r="E780" s="97" t="s">
        <v>2885</v>
      </c>
      <c r="F780" s="97" t="s">
        <v>1075</v>
      </c>
      <c r="G780" s="40" t="s">
        <v>714</v>
      </c>
      <c r="H780" s="78">
        <f>SUBTOTAL(9,H781:H797)</f>
        <v>3</v>
      </c>
      <c r="I780" s="68">
        <f t="shared" si="243"/>
        <v>4</v>
      </c>
      <c r="J780" s="55">
        <f>SUBTOTAL(9,J781:J797)</f>
        <v>3</v>
      </c>
      <c r="K780" s="55"/>
      <c r="L780" s="55"/>
      <c r="M780" s="84"/>
      <c r="N780" s="55">
        <f>SUBTOTAL(9,N781:N797)</f>
        <v>1</v>
      </c>
      <c r="O780" s="91"/>
      <c r="P780" s="91"/>
      <c r="Q780" s="84"/>
      <c r="R780" s="55">
        <f>SUBTOTAL(9,R781:R797)</f>
        <v>0</v>
      </c>
      <c r="S780" s="91"/>
      <c r="T780" s="91"/>
      <c r="U780" s="84"/>
      <c r="V780" s="55">
        <f>SUBTOTAL(9,V781:V797)</f>
        <v>0</v>
      </c>
      <c r="W780" s="55">
        <f>SUBTOTAL(9,W781:W797)</f>
        <v>0</v>
      </c>
      <c r="X780" s="170"/>
      <c r="Y780" s="745"/>
      <c r="Z780" s="55">
        <f>SUBTOTAL(9,Z781:Z797)</f>
        <v>0</v>
      </c>
      <c r="AA780" s="91"/>
      <c r="AB780" s="91"/>
      <c r="AC780" s="55">
        <f>SUBTOTAL(9,AC781:AC797)</f>
        <v>0</v>
      </c>
      <c r="AD780" s="91"/>
      <c r="AE780" s="91"/>
      <c r="AF780" s="55">
        <f>SUBTOTAL(9,AF781:AF797)</f>
        <v>0</v>
      </c>
      <c r="AG780" s="91"/>
      <c r="AH780" s="91"/>
      <c r="AI780" s="170"/>
    </row>
    <row r="781" spans="1:35" ht="15" hidden="1" customHeight="1" outlineLevel="3">
      <c r="A781" s="93">
        <v>211000</v>
      </c>
      <c r="B781" s="93">
        <v>3485</v>
      </c>
      <c r="C781" s="93"/>
      <c r="D781" s="93"/>
      <c r="E781" s="93" t="s">
        <v>2979</v>
      </c>
      <c r="F781" s="93" t="s">
        <v>5227</v>
      </c>
      <c r="G781" s="37" t="s">
        <v>263</v>
      </c>
      <c r="H781" s="583">
        <f>IFERROR(VLOOKUP(A781,'Colar QL'!A:C,3,0),0)</f>
        <v>3</v>
      </c>
      <c r="I781" s="69">
        <f t="shared" si="243"/>
        <v>3</v>
      </c>
      <c r="J781" s="258">
        <f>'BD Temp'!E1302+1</f>
        <v>2</v>
      </c>
      <c r="K781" s="590" t="str">
        <f t="shared" ref="K781:K797" si="259">F781&amp;L781</f>
        <v>47.0284.1.2.17.00.01.039.01.13.01.1</v>
      </c>
      <c r="L781" s="579" t="s">
        <v>1996</v>
      </c>
      <c r="M781" s="256">
        <f>'BD Temp'!F1302</f>
        <v>0.78888888888888886</v>
      </c>
      <c r="N781" s="255">
        <f>'BD Temp'!J1302+1</f>
        <v>1</v>
      </c>
      <c r="O781" s="592" t="str">
        <f t="shared" ref="O781:O797" si="260">F781&amp;P781</f>
        <v>47.0284.1.2.17.00.01.039.01.13.01.2</v>
      </c>
      <c r="P781" s="578" t="s">
        <v>1998</v>
      </c>
      <c r="Q781" s="256" t="str">
        <f>'BD Temp'!K1302</f>
        <v>-</v>
      </c>
      <c r="R781" s="255">
        <f>'BD Temp'!O1302</f>
        <v>0</v>
      </c>
      <c r="S781" s="592" t="str">
        <f t="shared" ref="S781:S797" si="261">F781&amp;T781</f>
        <v>47.0284.1.2.17.00.01.039.01.13.01.3</v>
      </c>
      <c r="T781" s="578" t="s">
        <v>2000</v>
      </c>
      <c r="U781" s="256" t="str">
        <f>'BD Temp'!P1302</f>
        <v>-</v>
      </c>
      <c r="V781" s="764"/>
      <c r="W781" s="764"/>
      <c r="X781" s="158"/>
      <c r="Y781" s="745"/>
      <c r="Z781" s="741">
        <v>0</v>
      </c>
      <c r="AA781" s="592" t="str">
        <f t="shared" ref="AA781:AA797" si="262">F781&amp;AB781</f>
        <v>47.0284.1.2.17.00.01.039.01.13.01.1</v>
      </c>
      <c r="AB781" s="739" t="s">
        <v>1996</v>
      </c>
      <c r="AC781" s="738">
        <v>0</v>
      </c>
      <c r="AD781" s="592" t="str">
        <f t="shared" ref="AD781:AD797" si="263">F781&amp;AE781</f>
        <v>47.0284.1.2.17.00.01.039.01.13.01.2</v>
      </c>
      <c r="AE781" s="739" t="s">
        <v>1998</v>
      </c>
      <c r="AF781" s="738">
        <v>0</v>
      </c>
      <c r="AG781" s="592" t="str">
        <f t="shared" ref="AG781:AG797" si="264">F781&amp;AH781</f>
        <v>47.0284.1.2.17.00.01.039.01.13.01.3</v>
      </c>
      <c r="AH781" s="739" t="s">
        <v>2000</v>
      </c>
      <c r="AI781" s="158"/>
    </row>
    <row r="782" spans="1:35" ht="15" hidden="1" customHeight="1" outlineLevel="3">
      <c r="A782" s="93">
        <v>211005</v>
      </c>
      <c r="B782" s="93">
        <v>3485</v>
      </c>
      <c r="C782" s="93"/>
      <c r="D782" s="93"/>
      <c r="E782" s="93" t="s">
        <v>2980</v>
      </c>
      <c r="F782" s="93" t="s">
        <v>5228</v>
      </c>
      <c r="G782" s="37" t="s">
        <v>154</v>
      </c>
      <c r="H782" s="583">
        <f>IFERROR(VLOOKUP(A782,'Colar QL'!A:C,3,0),0)</f>
        <v>0</v>
      </c>
      <c r="I782" s="69">
        <f t="shared" si="243"/>
        <v>0</v>
      </c>
      <c r="J782" s="258">
        <f>'BD Temp'!E1303</f>
        <v>0</v>
      </c>
      <c r="K782" s="590" t="str">
        <f t="shared" si="259"/>
        <v>47.0284.1.2.17.00.01.039.01.13.02.1</v>
      </c>
      <c r="L782" s="579" t="s">
        <v>1996</v>
      </c>
      <c r="M782" s="256" t="str">
        <f>'BD Temp'!F1303</f>
        <v>-</v>
      </c>
      <c r="N782" s="255">
        <f>'BD Temp'!J1303</f>
        <v>0</v>
      </c>
      <c r="O782" s="592" t="str">
        <f t="shared" si="260"/>
        <v>47.0284.1.2.17.00.01.039.01.13.02.2</v>
      </c>
      <c r="P782" s="578" t="s">
        <v>1998</v>
      </c>
      <c r="Q782" s="256" t="str">
        <f>'BD Temp'!K1303</f>
        <v>-</v>
      </c>
      <c r="R782" s="255">
        <f>'BD Temp'!O1303</f>
        <v>0</v>
      </c>
      <c r="S782" s="592" t="str">
        <f t="shared" si="261"/>
        <v>47.0284.1.2.17.00.01.039.01.13.02.3</v>
      </c>
      <c r="T782" s="578" t="s">
        <v>2000</v>
      </c>
      <c r="U782" s="256" t="str">
        <f>'BD Temp'!P1303</f>
        <v>-</v>
      </c>
      <c r="V782" s="764"/>
      <c r="W782" s="764"/>
      <c r="X782" s="158"/>
      <c r="Y782" s="745"/>
      <c r="Z782" s="741">
        <v>0</v>
      </c>
      <c r="AA782" s="592" t="str">
        <f t="shared" si="262"/>
        <v>47.0284.1.2.17.00.01.039.01.13.02.1</v>
      </c>
      <c r="AB782" s="739" t="s">
        <v>1996</v>
      </c>
      <c r="AC782" s="738">
        <v>0</v>
      </c>
      <c r="AD782" s="592" t="str">
        <f t="shared" si="263"/>
        <v>47.0284.1.2.17.00.01.039.01.13.02.2</v>
      </c>
      <c r="AE782" s="739" t="s">
        <v>1998</v>
      </c>
      <c r="AF782" s="738">
        <v>0</v>
      </c>
      <c r="AG782" s="592" t="str">
        <f t="shared" si="264"/>
        <v>47.0284.1.2.17.00.01.039.01.13.02.3</v>
      </c>
      <c r="AH782" s="739" t="s">
        <v>2000</v>
      </c>
      <c r="AI782" s="158"/>
    </row>
    <row r="783" spans="1:35" s="26" customFormat="1" ht="15" hidden="1" customHeight="1" outlineLevel="3">
      <c r="A783" s="93">
        <v>211010</v>
      </c>
      <c r="B783" s="93">
        <v>3485</v>
      </c>
      <c r="C783" s="93"/>
      <c r="D783" s="93"/>
      <c r="E783" s="93" t="s">
        <v>2981</v>
      </c>
      <c r="F783" s="93" t="s">
        <v>5229</v>
      </c>
      <c r="G783" s="37" t="s">
        <v>155</v>
      </c>
      <c r="H783" s="583">
        <f>IFERROR(VLOOKUP(A783,'Colar QL'!A:C,3,0),0)</f>
        <v>0</v>
      </c>
      <c r="I783" s="69">
        <f t="shared" si="243"/>
        <v>0</v>
      </c>
      <c r="J783" s="258">
        <f>'BD Temp'!E1304</f>
        <v>0</v>
      </c>
      <c r="K783" s="590" t="str">
        <f t="shared" si="259"/>
        <v>47.0284.1.2.17.00.01.039.01.13.04.1</v>
      </c>
      <c r="L783" s="579" t="s">
        <v>1996</v>
      </c>
      <c r="M783" s="256" t="str">
        <f>'BD Temp'!F1304</f>
        <v>-</v>
      </c>
      <c r="N783" s="255">
        <f>'BD Temp'!J1304</f>
        <v>0</v>
      </c>
      <c r="O783" s="592" t="str">
        <f t="shared" si="260"/>
        <v>47.0284.1.2.17.00.01.039.01.13.04.2</v>
      </c>
      <c r="P783" s="578" t="s">
        <v>1998</v>
      </c>
      <c r="Q783" s="256" t="str">
        <f>'BD Temp'!K1304</f>
        <v>-</v>
      </c>
      <c r="R783" s="255">
        <f>'BD Temp'!O1304</f>
        <v>0</v>
      </c>
      <c r="S783" s="592" t="str">
        <f t="shared" si="261"/>
        <v>47.0284.1.2.17.00.01.039.01.13.04.3</v>
      </c>
      <c r="T783" s="578" t="s">
        <v>2000</v>
      </c>
      <c r="U783" s="256" t="str">
        <f>'BD Temp'!P1304</f>
        <v>-</v>
      </c>
      <c r="V783" s="764"/>
      <c r="W783" s="764"/>
      <c r="X783" s="158"/>
      <c r="Y783" s="745"/>
      <c r="Z783" s="741">
        <v>0</v>
      </c>
      <c r="AA783" s="592" t="str">
        <f t="shared" si="262"/>
        <v>47.0284.1.2.17.00.01.039.01.13.04.1</v>
      </c>
      <c r="AB783" s="739" t="s">
        <v>1996</v>
      </c>
      <c r="AC783" s="738">
        <v>0</v>
      </c>
      <c r="AD783" s="592" t="str">
        <f t="shared" si="263"/>
        <v>47.0284.1.2.17.00.01.039.01.13.04.2</v>
      </c>
      <c r="AE783" s="739" t="s">
        <v>1998</v>
      </c>
      <c r="AF783" s="738">
        <v>0</v>
      </c>
      <c r="AG783" s="592" t="str">
        <f t="shared" si="264"/>
        <v>47.0284.1.2.17.00.01.039.01.13.04.3</v>
      </c>
      <c r="AH783" s="739" t="s">
        <v>2000</v>
      </c>
      <c r="AI783" s="158"/>
    </row>
    <row r="784" spans="1:35" ht="15" hidden="1" customHeight="1" outlineLevel="3">
      <c r="A784" s="93">
        <v>211025</v>
      </c>
      <c r="B784" s="93">
        <v>3485</v>
      </c>
      <c r="C784" s="93"/>
      <c r="D784" s="93"/>
      <c r="E784" s="93" t="s">
        <v>2981</v>
      </c>
      <c r="F784" s="93" t="s">
        <v>5229</v>
      </c>
      <c r="G784" s="37" t="s">
        <v>264</v>
      </c>
      <c r="H784" s="583">
        <f>IFERROR(VLOOKUP(A784,'Colar QL'!A:C,3,0),0)</f>
        <v>0</v>
      </c>
      <c r="I784" s="69">
        <f t="shared" si="243"/>
        <v>0</v>
      </c>
      <c r="J784" s="258">
        <f>'BD Temp'!E1305</f>
        <v>0</v>
      </c>
      <c r="K784" s="590" t="str">
        <f t="shared" si="259"/>
        <v>47.0284.1.2.17.00.01.039.01.13.04.1</v>
      </c>
      <c r="L784" s="579" t="s">
        <v>1996</v>
      </c>
      <c r="M784" s="256" t="str">
        <f>'BD Temp'!F1305</f>
        <v>-</v>
      </c>
      <c r="N784" s="255">
        <f>'BD Temp'!J1305</f>
        <v>0</v>
      </c>
      <c r="O784" s="592" t="str">
        <f t="shared" si="260"/>
        <v>47.0284.1.2.17.00.01.039.01.13.04.2</v>
      </c>
      <c r="P784" s="578" t="s">
        <v>1998</v>
      </c>
      <c r="Q784" s="256" t="str">
        <f>'BD Temp'!K1305</f>
        <v>-</v>
      </c>
      <c r="R784" s="255">
        <f>'BD Temp'!O1305</f>
        <v>0</v>
      </c>
      <c r="S784" s="592" t="str">
        <f t="shared" si="261"/>
        <v>47.0284.1.2.17.00.01.039.01.13.04.3</v>
      </c>
      <c r="T784" s="578" t="s">
        <v>2000</v>
      </c>
      <c r="U784" s="256" t="str">
        <f>'BD Temp'!P1305</f>
        <v>-</v>
      </c>
      <c r="V784" s="764"/>
      <c r="W784" s="764"/>
      <c r="X784" s="158"/>
      <c r="Y784" s="745"/>
      <c r="Z784" s="741">
        <v>0</v>
      </c>
      <c r="AA784" s="592" t="str">
        <f t="shared" si="262"/>
        <v>47.0284.1.2.17.00.01.039.01.13.04.1</v>
      </c>
      <c r="AB784" s="739" t="s">
        <v>1996</v>
      </c>
      <c r="AC784" s="738">
        <v>0</v>
      </c>
      <c r="AD784" s="592" t="str">
        <f t="shared" si="263"/>
        <v>47.0284.1.2.17.00.01.039.01.13.04.2</v>
      </c>
      <c r="AE784" s="739" t="s">
        <v>1998</v>
      </c>
      <c r="AF784" s="738">
        <v>0</v>
      </c>
      <c r="AG784" s="592" t="str">
        <f t="shared" si="264"/>
        <v>47.0284.1.2.17.00.01.039.01.13.04.3</v>
      </c>
      <c r="AH784" s="739" t="s">
        <v>2000</v>
      </c>
      <c r="AI784" s="158"/>
    </row>
    <row r="785" spans="1:35" ht="15" hidden="1" customHeight="1" outlineLevel="3">
      <c r="A785" s="93">
        <v>90</v>
      </c>
      <c r="B785" s="93">
        <v>3485</v>
      </c>
      <c r="C785" s="93"/>
      <c r="D785" s="93"/>
      <c r="E785" s="93" t="s">
        <v>2981</v>
      </c>
      <c r="F785" s="93" t="s">
        <v>5229</v>
      </c>
      <c r="G785" s="37" t="s">
        <v>13</v>
      </c>
      <c r="H785" s="583">
        <f>IFERROR(VLOOKUP(A785,'Colar QL'!A:C,3,0),0)</f>
        <v>0</v>
      </c>
      <c r="I785" s="69">
        <f t="shared" si="243"/>
        <v>0</v>
      </c>
      <c r="J785" s="258">
        <f>'BD Temp'!E1306</f>
        <v>0</v>
      </c>
      <c r="K785" s="590" t="str">
        <f t="shared" si="259"/>
        <v>47.0284.1.2.17.00.01.039.01.13.04.1</v>
      </c>
      <c r="L785" s="579" t="s">
        <v>1996</v>
      </c>
      <c r="M785" s="256" t="str">
        <f>'BD Temp'!F1306</f>
        <v>-</v>
      </c>
      <c r="N785" s="255">
        <f>'BD Temp'!J1306</f>
        <v>0</v>
      </c>
      <c r="O785" s="592" t="str">
        <f t="shared" si="260"/>
        <v>47.0284.1.2.17.00.01.039.01.13.04.2</v>
      </c>
      <c r="P785" s="578" t="s">
        <v>1998</v>
      </c>
      <c r="Q785" s="256" t="str">
        <f>'BD Temp'!K1306</f>
        <v>-</v>
      </c>
      <c r="R785" s="255">
        <f>'BD Temp'!O1306</f>
        <v>0</v>
      </c>
      <c r="S785" s="592" t="str">
        <f t="shared" si="261"/>
        <v>47.0284.1.2.17.00.01.039.01.13.04.3</v>
      </c>
      <c r="T785" s="578" t="s">
        <v>2000</v>
      </c>
      <c r="U785" s="256" t="str">
        <f>'BD Temp'!P1306</f>
        <v>-</v>
      </c>
      <c r="V785" s="764"/>
      <c r="W785" s="764"/>
      <c r="X785" s="158"/>
      <c r="Y785" s="745"/>
      <c r="Z785" s="741">
        <v>0</v>
      </c>
      <c r="AA785" s="592" t="str">
        <f t="shared" si="262"/>
        <v>47.0284.1.2.17.00.01.039.01.13.04.1</v>
      </c>
      <c r="AB785" s="739" t="s">
        <v>1996</v>
      </c>
      <c r="AC785" s="738">
        <v>0</v>
      </c>
      <c r="AD785" s="592" t="str">
        <f t="shared" si="263"/>
        <v>47.0284.1.2.17.00.01.039.01.13.04.2</v>
      </c>
      <c r="AE785" s="739" t="s">
        <v>1998</v>
      </c>
      <c r="AF785" s="738">
        <v>0</v>
      </c>
      <c r="AG785" s="592" t="str">
        <f t="shared" si="264"/>
        <v>47.0284.1.2.17.00.01.039.01.13.04.3</v>
      </c>
      <c r="AH785" s="739" t="s">
        <v>2000</v>
      </c>
      <c r="AI785" s="158"/>
    </row>
    <row r="786" spans="1:35" ht="15" hidden="1" customHeight="1" outlineLevel="3">
      <c r="A786" s="93">
        <v>91</v>
      </c>
      <c r="B786" s="93" t="s">
        <v>1075</v>
      </c>
      <c r="C786" s="93"/>
      <c r="D786" s="93"/>
      <c r="E786" s="93"/>
      <c r="F786" s="93" t="s">
        <v>1075</v>
      </c>
      <c r="G786" s="37" t="s">
        <v>14</v>
      </c>
      <c r="H786" s="583">
        <f>IFERROR(VLOOKUP(A786,'Colar QL'!A:C,3,0),0)</f>
        <v>0</v>
      </c>
      <c r="I786" s="69">
        <f t="shared" si="243"/>
        <v>0</v>
      </c>
      <c r="J786" s="258">
        <f>'BD Temp'!E1307</f>
        <v>0</v>
      </c>
      <c r="K786" s="590" t="str">
        <f t="shared" si="259"/>
        <v>.1</v>
      </c>
      <c r="L786" s="579" t="s">
        <v>1996</v>
      </c>
      <c r="M786" s="256" t="str">
        <f>'BD Temp'!F1307</f>
        <v>-</v>
      </c>
      <c r="N786" s="255">
        <f>'BD Temp'!J1307</f>
        <v>0</v>
      </c>
      <c r="O786" s="592" t="str">
        <f t="shared" si="260"/>
        <v>.2</v>
      </c>
      <c r="P786" s="578" t="s">
        <v>1998</v>
      </c>
      <c r="Q786" s="256" t="str">
        <f>'BD Temp'!K1307</f>
        <v>-</v>
      </c>
      <c r="R786" s="255">
        <f>'BD Temp'!O1307</f>
        <v>0</v>
      </c>
      <c r="S786" s="592" t="str">
        <f t="shared" si="261"/>
        <v>.3</v>
      </c>
      <c r="T786" s="578" t="s">
        <v>2000</v>
      </c>
      <c r="U786" s="256" t="str">
        <f>'BD Temp'!P1307</f>
        <v>-</v>
      </c>
      <c r="V786" s="764"/>
      <c r="W786" s="764"/>
      <c r="X786" s="158"/>
      <c r="Y786" s="745"/>
      <c r="Z786" s="741">
        <v>0</v>
      </c>
      <c r="AA786" s="592" t="str">
        <f t="shared" si="262"/>
        <v>.1</v>
      </c>
      <c r="AB786" s="739" t="s">
        <v>1996</v>
      </c>
      <c r="AC786" s="738">
        <v>0</v>
      </c>
      <c r="AD786" s="592" t="str">
        <f t="shared" si="263"/>
        <v>.2</v>
      </c>
      <c r="AE786" s="739" t="s">
        <v>1998</v>
      </c>
      <c r="AF786" s="738">
        <v>0</v>
      </c>
      <c r="AG786" s="592" t="str">
        <f t="shared" si="264"/>
        <v>.3</v>
      </c>
      <c r="AH786" s="739" t="s">
        <v>2000</v>
      </c>
      <c r="AI786" s="158"/>
    </row>
    <row r="787" spans="1:35" ht="15" hidden="1" customHeight="1" outlineLevel="3">
      <c r="A787" s="93">
        <v>92</v>
      </c>
      <c r="B787" s="93" t="s">
        <v>1075</v>
      </c>
      <c r="C787" s="93"/>
      <c r="D787" s="93"/>
      <c r="E787" s="93"/>
      <c r="F787" s="93" t="s">
        <v>1075</v>
      </c>
      <c r="G787" s="37" t="s">
        <v>0</v>
      </c>
      <c r="H787" s="583">
        <f>IFERROR(VLOOKUP(A787,'Colar QL'!A:C,3,0),0)</f>
        <v>0</v>
      </c>
      <c r="I787" s="69">
        <f t="shared" si="243"/>
        <v>0</v>
      </c>
      <c r="J787" s="258">
        <f>'BD Temp'!E1308</f>
        <v>0</v>
      </c>
      <c r="K787" s="590" t="str">
        <f t="shared" si="259"/>
        <v>.1</v>
      </c>
      <c r="L787" s="579" t="s">
        <v>1996</v>
      </c>
      <c r="M787" s="256" t="str">
        <f>'BD Temp'!F1308</f>
        <v>-</v>
      </c>
      <c r="N787" s="255">
        <f>'BD Temp'!J1308</f>
        <v>0</v>
      </c>
      <c r="O787" s="592" t="str">
        <f t="shared" si="260"/>
        <v>.2</v>
      </c>
      <c r="P787" s="578" t="s">
        <v>1998</v>
      </c>
      <c r="Q787" s="256" t="str">
        <f>'BD Temp'!K1308</f>
        <v>-</v>
      </c>
      <c r="R787" s="255">
        <f>'BD Temp'!O1308</f>
        <v>0</v>
      </c>
      <c r="S787" s="592" t="str">
        <f t="shared" si="261"/>
        <v>.3</v>
      </c>
      <c r="T787" s="578" t="s">
        <v>2000</v>
      </c>
      <c r="U787" s="256" t="str">
        <f>'BD Temp'!P1308</f>
        <v>-</v>
      </c>
      <c r="V787" s="764"/>
      <c r="W787" s="764"/>
      <c r="X787" s="158"/>
      <c r="Y787" s="745"/>
      <c r="Z787" s="741">
        <v>0</v>
      </c>
      <c r="AA787" s="592" t="str">
        <f t="shared" si="262"/>
        <v>.1</v>
      </c>
      <c r="AB787" s="739" t="s">
        <v>1996</v>
      </c>
      <c r="AC787" s="738">
        <v>0</v>
      </c>
      <c r="AD787" s="592" t="str">
        <f t="shared" si="263"/>
        <v>.2</v>
      </c>
      <c r="AE787" s="739" t="s">
        <v>1998</v>
      </c>
      <c r="AF787" s="738">
        <v>0</v>
      </c>
      <c r="AG787" s="592" t="str">
        <f t="shared" si="264"/>
        <v>.3</v>
      </c>
      <c r="AH787" s="739" t="s">
        <v>2000</v>
      </c>
      <c r="AI787" s="158"/>
    </row>
    <row r="788" spans="1:35" ht="15" hidden="1" customHeight="1" outlineLevel="3">
      <c r="A788" s="93">
        <v>93</v>
      </c>
      <c r="B788" s="93">
        <v>3485</v>
      </c>
      <c r="C788" s="93"/>
      <c r="D788" s="93"/>
      <c r="E788" s="93" t="s">
        <v>2981</v>
      </c>
      <c r="F788" s="93" t="s">
        <v>5229</v>
      </c>
      <c r="G788" s="37" t="s">
        <v>15</v>
      </c>
      <c r="H788" s="583">
        <f>IFERROR(VLOOKUP(A788,'Colar QL'!A:C,3,0),0)</f>
        <v>0</v>
      </c>
      <c r="I788" s="69">
        <f t="shared" si="243"/>
        <v>0</v>
      </c>
      <c r="J788" s="258">
        <f>'BD Temp'!E1309</f>
        <v>0</v>
      </c>
      <c r="K788" s="590" t="str">
        <f t="shared" si="259"/>
        <v>47.0284.1.2.17.00.01.039.01.13.04.1</v>
      </c>
      <c r="L788" s="579" t="s">
        <v>1996</v>
      </c>
      <c r="M788" s="256" t="str">
        <f>'BD Temp'!F1309</f>
        <v>-</v>
      </c>
      <c r="N788" s="255">
        <f>'BD Temp'!J1309</f>
        <v>0</v>
      </c>
      <c r="O788" s="592" t="str">
        <f t="shared" si="260"/>
        <v>47.0284.1.2.17.00.01.039.01.13.04.2</v>
      </c>
      <c r="P788" s="578" t="s">
        <v>1998</v>
      </c>
      <c r="Q788" s="256" t="str">
        <f>'BD Temp'!K1309</f>
        <v>-</v>
      </c>
      <c r="R788" s="255">
        <f>'BD Temp'!O1309</f>
        <v>0</v>
      </c>
      <c r="S788" s="592" t="str">
        <f t="shared" si="261"/>
        <v>47.0284.1.2.17.00.01.039.01.13.04.3</v>
      </c>
      <c r="T788" s="578" t="s">
        <v>2000</v>
      </c>
      <c r="U788" s="256" t="str">
        <f>'BD Temp'!P1309</f>
        <v>-</v>
      </c>
      <c r="V788" s="764"/>
      <c r="W788" s="764"/>
      <c r="X788" s="158"/>
      <c r="Y788" s="745"/>
      <c r="Z788" s="741">
        <v>0</v>
      </c>
      <c r="AA788" s="592" t="str">
        <f t="shared" si="262"/>
        <v>47.0284.1.2.17.00.01.039.01.13.04.1</v>
      </c>
      <c r="AB788" s="739" t="s">
        <v>1996</v>
      </c>
      <c r="AC788" s="738">
        <v>0</v>
      </c>
      <c r="AD788" s="592" t="str">
        <f t="shared" si="263"/>
        <v>47.0284.1.2.17.00.01.039.01.13.04.2</v>
      </c>
      <c r="AE788" s="739" t="s">
        <v>1998</v>
      </c>
      <c r="AF788" s="738">
        <v>0</v>
      </c>
      <c r="AG788" s="592" t="str">
        <f t="shared" si="264"/>
        <v>47.0284.1.2.17.00.01.039.01.13.04.3</v>
      </c>
      <c r="AH788" s="739" t="s">
        <v>2000</v>
      </c>
      <c r="AI788" s="158"/>
    </row>
    <row r="789" spans="1:35" ht="15" hidden="1" customHeight="1" outlineLevel="3">
      <c r="A789" s="93">
        <v>96</v>
      </c>
      <c r="B789" s="93">
        <v>3485</v>
      </c>
      <c r="C789" s="93"/>
      <c r="D789" s="93"/>
      <c r="E789" s="93" t="s">
        <v>2979</v>
      </c>
      <c r="F789" s="93" t="s">
        <v>5227</v>
      </c>
      <c r="G789" s="37" t="s">
        <v>130</v>
      </c>
      <c r="H789" s="583">
        <f>IFERROR(VLOOKUP(A789,'Colar QL'!A:C,3,0),0)</f>
        <v>0</v>
      </c>
      <c r="I789" s="69">
        <f t="shared" ref="I789:I859" si="265">IFERROR((J789+N789+R789),0)</f>
        <v>1</v>
      </c>
      <c r="J789" s="258">
        <f>'BD Temp'!E1310</f>
        <v>1</v>
      </c>
      <c r="K789" s="590" t="str">
        <f t="shared" si="259"/>
        <v>47.0284.1.2.17.00.01.039.01.13.01.1</v>
      </c>
      <c r="L789" s="579" t="s">
        <v>1996</v>
      </c>
      <c r="M789" s="256" t="str">
        <f>'BD Temp'!F1310</f>
        <v>-</v>
      </c>
      <c r="N789" s="255">
        <f>'BD Temp'!J1310</f>
        <v>0</v>
      </c>
      <c r="O789" s="592" t="str">
        <f t="shared" si="260"/>
        <v>47.0284.1.2.17.00.01.039.01.13.01.2</v>
      </c>
      <c r="P789" s="578" t="s">
        <v>1998</v>
      </c>
      <c r="Q789" s="256" t="str">
        <f>'BD Temp'!K1310</f>
        <v>-</v>
      </c>
      <c r="R789" s="255">
        <f>'BD Temp'!O1310</f>
        <v>0</v>
      </c>
      <c r="S789" s="592" t="str">
        <f t="shared" si="261"/>
        <v>47.0284.1.2.17.00.01.039.01.13.01.3</v>
      </c>
      <c r="T789" s="578" t="s">
        <v>2000</v>
      </c>
      <c r="U789" s="256" t="str">
        <f>'BD Temp'!P1310</f>
        <v>-</v>
      </c>
      <c r="V789" s="764"/>
      <c r="W789" s="764"/>
      <c r="X789" s="158"/>
      <c r="Y789" s="745"/>
      <c r="Z789" s="741">
        <v>0</v>
      </c>
      <c r="AA789" s="592" t="str">
        <f t="shared" si="262"/>
        <v>47.0284.1.2.17.00.01.039.01.13.01.1</v>
      </c>
      <c r="AB789" s="739" t="s">
        <v>1996</v>
      </c>
      <c r="AC789" s="738">
        <v>0</v>
      </c>
      <c r="AD789" s="592" t="str">
        <f t="shared" si="263"/>
        <v>47.0284.1.2.17.00.01.039.01.13.01.2</v>
      </c>
      <c r="AE789" s="739" t="s">
        <v>1998</v>
      </c>
      <c r="AF789" s="738">
        <v>0</v>
      </c>
      <c r="AG789" s="592" t="str">
        <f t="shared" si="264"/>
        <v>47.0284.1.2.17.00.01.039.01.13.01.3</v>
      </c>
      <c r="AH789" s="739" t="s">
        <v>2000</v>
      </c>
      <c r="AI789" s="158"/>
    </row>
    <row r="790" spans="1:35" ht="15" hidden="1" customHeight="1" outlineLevel="3">
      <c r="A790" s="93"/>
      <c r="B790" s="93" t="s">
        <v>1075</v>
      </c>
      <c r="C790" s="93"/>
      <c r="D790" s="93"/>
      <c r="E790" s="93"/>
      <c r="F790" s="93" t="s">
        <v>1075</v>
      </c>
      <c r="G790" s="37"/>
      <c r="H790" s="79"/>
      <c r="I790" s="69">
        <f t="shared" si="265"/>
        <v>0</v>
      </c>
      <c r="J790" s="48"/>
      <c r="K790" s="590" t="str">
        <f t="shared" si="259"/>
        <v>.1</v>
      </c>
      <c r="L790" s="579" t="s">
        <v>1996</v>
      </c>
      <c r="M790" s="74"/>
      <c r="N790" s="49"/>
      <c r="O790" s="592" t="str">
        <f t="shared" si="260"/>
        <v>.2</v>
      </c>
      <c r="P790" s="578" t="s">
        <v>1998</v>
      </c>
      <c r="Q790" s="74"/>
      <c r="R790" s="49"/>
      <c r="S790" s="592" t="str">
        <f t="shared" si="261"/>
        <v>.3</v>
      </c>
      <c r="T790" s="578" t="s">
        <v>2000</v>
      </c>
      <c r="U790" s="74"/>
      <c r="V790" s="764"/>
      <c r="W790" s="764"/>
      <c r="X790" s="158"/>
      <c r="Y790" s="745"/>
      <c r="Z790" s="741">
        <v>0</v>
      </c>
      <c r="AA790" s="592" t="str">
        <f t="shared" si="262"/>
        <v>.1</v>
      </c>
      <c r="AB790" s="739" t="s">
        <v>1996</v>
      </c>
      <c r="AC790" s="738">
        <v>0</v>
      </c>
      <c r="AD790" s="592" t="str">
        <f t="shared" si="263"/>
        <v>.2</v>
      </c>
      <c r="AE790" s="739" t="s">
        <v>1998</v>
      </c>
      <c r="AF790" s="738">
        <v>0</v>
      </c>
      <c r="AG790" s="592" t="str">
        <f t="shared" si="264"/>
        <v>.3</v>
      </c>
      <c r="AH790" s="739" t="s">
        <v>2000</v>
      </c>
      <c r="AI790" s="158"/>
    </row>
    <row r="791" spans="1:35" ht="15" hidden="1" customHeight="1" outlineLevel="3">
      <c r="A791" s="99"/>
      <c r="B791" s="99" t="s">
        <v>1075</v>
      </c>
      <c r="C791" s="99"/>
      <c r="D791" s="99"/>
      <c r="E791" s="99"/>
      <c r="F791" s="99" t="s">
        <v>1075</v>
      </c>
      <c r="G791" s="39" t="s">
        <v>723</v>
      </c>
      <c r="H791" s="79"/>
      <c r="I791" s="69">
        <f t="shared" si="265"/>
        <v>0</v>
      </c>
      <c r="J791" s="48"/>
      <c r="K791" s="590" t="str">
        <f t="shared" si="259"/>
        <v>.1</v>
      </c>
      <c r="L791" s="579" t="s">
        <v>1996</v>
      </c>
      <c r="M791" s="74"/>
      <c r="N791" s="49"/>
      <c r="O791" s="592" t="str">
        <f t="shared" si="260"/>
        <v>.2</v>
      </c>
      <c r="P791" s="578" t="s">
        <v>1998</v>
      </c>
      <c r="Q791" s="74"/>
      <c r="R791" s="49"/>
      <c r="S791" s="592" t="str">
        <f t="shared" si="261"/>
        <v>.3</v>
      </c>
      <c r="T791" s="578" t="s">
        <v>2000</v>
      </c>
      <c r="U791" s="74"/>
      <c r="V791" s="764"/>
      <c r="W791" s="764"/>
      <c r="X791" s="158"/>
      <c r="Y791" s="745"/>
      <c r="Z791" s="741">
        <v>0</v>
      </c>
      <c r="AA791" s="592" t="str">
        <f t="shared" si="262"/>
        <v>.1</v>
      </c>
      <c r="AB791" s="739" t="s">
        <v>1996</v>
      </c>
      <c r="AC791" s="738">
        <v>0</v>
      </c>
      <c r="AD791" s="592" t="str">
        <f t="shared" si="263"/>
        <v>.2</v>
      </c>
      <c r="AE791" s="739" t="s">
        <v>1998</v>
      </c>
      <c r="AF791" s="738">
        <v>0</v>
      </c>
      <c r="AG791" s="592" t="str">
        <f t="shared" si="264"/>
        <v>.3</v>
      </c>
      <c r="AH791" s="739" t="s">
        <v>2000</v>
      </c>
      <c r="AI791" s="158"/>
    </row>
    <row r="792" spans="1:35" ht="15" hidden="1" customHeight="1" outlineLevel="3">
      <c r="A792" s="93"/>
      <c r="B792" s="93" t="s">
        <v>1075</v>
      </c>
      <c r="C792" s="93"/>
      <c r="D792" s="93"/>
      <c r="E792" s="93"/>
      <c r="F792" s="93" t="s">
        <v>1075</v>
      </c>
      <c r="G792" s="37"/>
      <c r="H792" s="79"/>
      <c r="I792" s="69">
        <f t="shared" si="265"/>
        <v>0</v>
      </c>
      <c r="J792" s="48"/>
      <c r="K792" s="590" t="str">
        <f t="shared" si="259"/>
        <v>.1</v>
      </c>
      <c r="L792" s="579" t="s">
        <v>1996</v>
      </c>
      <c r="M792" s="74"/>
      <c r="N792" s="49"/>
      <c r="O792" s="592" t="str">
        <f t="shared" si="260"/>
        <v>.2</v>
      </c>
      <c r="P792" s="578" t="s">
        <v>1998</v>
      </c>
      <c r="Q792" s="74"/>
      <c r="R792" s="49"/>
      <c r="S792" s="592" t="str">
        <f t="shared" si="261"/>
        <v>.3</v>
      </c>
      <c r="T792" s="578" t="s">
        <v>2000</v>
      </c>
      <c r="U792" s="74"/>
      <c r="V792" s="764"/>
      <c r="W792" s="764"/>
      <c r="X792" s="158"/>
      <c r="Y792" s="745"/>
      <c r="Z792" s="741">
        <v>0</v>
      </c>
      <c r="AA792" s="592" t="str">
        <f t="shared" si="262"/>
        <v>.1</v>
      </c>
      <c r="AB792" s="739" t="s">
        <v>1996</v>
      </c>
      <c r="AC792" s="738">
        <v>0</v>
      </c>
      <c r="AD792" s="592" t="str">
        <f t="shared" si="263"/>
        <v>.2</v>
      </c>
      <c r="AE792" s="739" t="s">
        <v>1998</v>
      </c>
      <c r="AF792" s="738">
        <v>0</v>
      </c>
      <c r="AG792" s="592" t="str">
        <f t="shared" si="264"/>
        <v>.3</v>
      </c>
      <c r="AH792" s="739" t="s">
        <v>2000</v>
      </c>
      <c r="AI792" s="158"/>
    </row>
    <row r="793" spans="1:35" ht="15" hidden="1" customHeight="1" outlineLevel="3">
      <c r="A793" s="93"/>
      <c r="B793" s="93" t="s">
        <v>1075</v>
      </c>
      <c r="C793" s="93"/>
      <c r="D793" s="93"/>
      <c r="E793" s="93"/>
      <c r="F793" s="93" t="s">
        <v>1075</v>
      </c>
      <c r="G793" s="37"/>
      <c r="H793" s="79"/>
      <c r="I793" s="69">
        <f t="shared" si="265"/>
        <v>0</v>
      </c>
      <c r="J793" s="48"/>
      <c r="K793" s="590" t="str">
        <f t="shared" si="259"/>
        <v>.1</v>
      </c>
      <c r="L793" s="579" t="s">
        <v>1996</v>
      </c>
      <c r="M793" s="74"/>
      <c r="N793" s="49"/>
      <c r="O793" s="592" t="str">
        <f t="shared" si="260"/>
        <v>.2</v>
      </c>
      <c r="P793" s="578" t="s">
        <v>1998</v>
      </c>
      <c r="Q793" s="74"/>
      <c r="R793" s="49"/>
      <c r="S793" s="592" t="str">
        <f t="shared" si="261"/>
        <v>.3</v>
      </c>
      <c r="T793" s="578" t="s">
        <v>2000</v>
      </c>
      <c r="U793" s="74"/>
      <c r="V793" s="764"/>
      <c r="W793" s="764"/>
      <c r="X793" s="158"/>
      <c r="Y793" s="745"/>
      <c r="Z793" s="741">
        <v>0</v>
      </c>
      <c r="AA793" s="592" t="str">
        <f t="shared" si="262"/>
        <v>.1</v>
      </c>
      <c r="AB793" s="739" t="s">
        <v>1996</v>
      </c>
      <c r="AC793" s="738">
        <v>0</v>
      </c>
      <c r="AD793" s="592" t="str">
        <f t="shared" si="263"/>
        <v>.2</v>
      </c>
      <c r="AE793" s="739" t="s">
        <v>1998</v>
      </c>
      <c r="AF793" s="738">
        <v>0</v>
      </c>
      <c r="AG793" s="592" t="str">
        <f t="shared" si="264"/>
        <v>.3</v>
      </c>
      <c r="AH793" s="739" t="s">
        <v>2000</v>
      </c>
      <c r="AI793" s="158"/>
    </row>
    <row r="794" spans="1:35" ht="15" hidden="1" customHeight="1" outlineLevel="3">
      <c r="A794" s="93"/>
      <c r="B794" s="93" t="s">
        <v>1075</v>
      </c>
      <c r="C794" s="93"/>
      <c r="D794" s="93"/>
      <c r="E794" s="93"/>
      <c r="F794" s="93" t="s">
        <v>1075</v>
      </c>
      <c r="G794" s="37"/>
      <c r="H794" s="79"/>
      <c r="I794" s="69">
        <f t="shared" si="265"/>
        <v>0</v>
      </c>
      <c r="J794" s="48"/>
      <c r="K794" s="590" t="str">
        <f t="shared" si="259"/>
        <v>.1</v>
      </c>
      <c r="L794" s="579" t="s">
        <v>1996</v>
      </c>
      <c r="M794" s="74"/>
      <c r="N794" s="49"/>
      <c r="O794" s="592" t="str">
        <f t="shared" si="260"/>
        <v>.2</v>
      </c>
      <c r="P794" s="578" t="s">
        <v>1998</v>
      </c>
      <c r="Q794" s="74"/>
      <c r="R794" s="49"/>
      <c r="S794" s="592" t="str">
        <f t="shared" si="261"/>
        <v>.3</v>
      </c>
      <c r="T794" s="578" t="s">
        <v>2000</v>
      </c>
      <c r="U794" s="74"/>
      <c r="V794" s="764"/>
      <c r="W794" s="764"/>
      <c r="X794" s="158"/>
      <c r="Y794" s="745"/>
      <c r="Z794" s="741">
        <v>0</v>
      </c>
      <c r="AA794" s="592" t="str">
        <f t="shared" si="262"/>
        <v>.1</v>
      </c>
      <c r="AB794" s="739" t="s">
        <v>1996</v>
      </c>
      <c r="AC794" s="738">
        <v>0</v>
      </c>
      <c r="AD794" s="592" t="str">
        <f t="shared" si="263"/>
        <v>.2</v>
      </c>
      <c r="AE794" s="739" t="s">
        <v>1998</v>
      </c>
      <c r="AF794" s="738">
        <v>0</v>
      </c>
      <c r="AG794" s="592" t="str">
        <f t="shared" si="264"/>
        <v>.3</v>
      </c>
      <c r="AH794" s="739" t="s">
        <v>2000</v>
      </c>
      <c r="AI794" s="158"/>
    </row>
    <row r="795" spans="1:35" ht="15" hidden="1" customHeight="1" outlineLevel="3">
      <c r="A795" s="93"/>
      <c r="B795" s="93" t="s">
        <v>1075</v>
      </c>
      <c r="C795" s="93"/>
      <c r="D795" s="93"/>
      <c r="E795" s="93"/>
      <c r="F795" s="93" t="s">
        <v>1075</v>
      </c>
      <c r="G795" s="37"/>
      <c r="H795" s="79"/>
      <c r="I795" s="69">
        <f t="shared" si="265"/>
        <v>0</v>
      </c>
      <c r="J795" s="48"/>
      <c r="K795" s="590" t="str">
        <f t="shared" si="259"/>
        <v>.1</v>
      </c>
      <c r="L795" s="579" t="s">
        <v>1996</v>
      </c>
      <c r="M795" s="74"/>
      <c r="N795" s="49"/>
      <c r="O795" s="592" t="str">
        <f t="shared" si="260"/>
        <v>.2</v>
      </c>
      <c r="P795" s="578" t="s">
        <v>1998</v>
      </c>
      <c r="Q795" s="74"/>
      <c r="R795" s="49"/>
      <c r="S795" s="592" t="str">
        <f t="shared" si="261"/>
        <v>.3</v>
      </c>
      <c r="T795" s="578" t="s">
        <v>2000</v>
      </c>
      <c r="U795" s="74"/>
      <c r="V795" s="764"/>
      <c r="W795" s="764"/>
      <c r="X795" s="158"/>
      <c r="Y795" s="745"/>
      <c r="Z795" s="741">
        <v>0</v>
      </c>
      <c r="AA795" s="592" t="str">
        <f t="shared" si="262"/>
        <v>.1</v>
      </c>
      <c r="AB795" s="739" t="s">
        <v>1996</v>
      </c>
      <c r="AC795" s="738">
        <v>0</v>
      </c>
      <c r="AD795" s="592" t="str">
        <f t="shared" si="263"/>
        <v>.2</v>
      </c>
      <c r="AE795" s="739" t="s">
        <v>1998</v>
      </c>
      <c r="AF795" s="738">
        <v>0</v>
      </c>
      <c r="AG795" s="592" t="str">
        <f t="shared" si="264"/>
        <v>.3</v>
      </c>
      <c r="AH795" s="739" t="s">
        <v>2000</v>
      </c>
      <c r="AI795" s="158"/>
    </row>
    <row r="796" spans="1:35" ht="15" hidden="1" customHeight="1" outlineLevel="3">
      <c r="A796" s="93"/>
      <c r="B796" s="93" t="s">
        <v>1075</v>
      </c>
      <c r="C796" s="93"/>
      <c r="D796" s="93"/>
      <c r="E796" s="93"/>
      <c r="F796" s="93" t="s">
        <v>1075</v>
      </c>
      <c r="G796" s="37"/>
      <c r="H796" s="79"/>
      <c r="I796" s="69">
        <f t="shared" si="265"/>
        <v>0</v>
      </c>
      <c r="J796" s="48"/>
      <c r="K796" s="590" t="str">
        <f t="shared" si="259"/>
        <v>.1</v>
      </c>
      <c r="L796" s="579" t="s">
        <v>1996</v>
      </c>
      <c r="M796" s="74"/>
      <c r="N796" s="49"/>
      <c r="O796" s="592" t="str">
        <f t="shared" si="260"/>
        <v>.2</v>
      </c>
      <c r="P796" s="578" t="s">
        <v>1998</v>
      </c>
      <c r="Q796" s="74"/>
      <c r="R796" s="49"/>
      <c r="S796" s="592" t="str">
        <f t="shared" si="261"/>
        <v>.3</v>
      </c>
      <c r="T796" s="578" t="s">
        <v>2000</v>
      </c>
      <c r="U796" s="74"/>
      <c r="V796" s="764"/>
      <c r="W796" s="764"/>
      <c r="X796" s="158"/>
      <c r="Y796" s="745"/>
      <c r="Z796" s="741">
        <v>0</v>
      </c>
      <c r="AA796" s="592" t="str">
        <f t="shared" si="262"/>
        <v>.1</v>
      </c>
      <c r="AB796" s="739" t="s">
        <v>1996</v>
      </c>
      <c r="AC796" s="738">
        <v>0</v>
      </c>
      <c r="AD796" s="592" t="str">
        <f t="shared" si="263"/>
        <v>.2</v>
      </c>
      <c r="AE796" s="739" t="s">
        <v>1998</v>
      </c>
      <c r="AF796" s="738">
        <v>0</v>
      </c>
      <c r="AG796" s="592" t="str">
        <f t="shared" si="264"/>
        <v>.3</v>
      </c>
      <c r="AH796" s="739" t="s">
        <v>2000</v>
      </c>
      <c r="AI796" s="158"/>
    </row>
    <row r="797" spans="1:35" ht="15" hidden="1" customHeight="1" outlineLevel="3">
      <c r="A797" s="93"/>
      <c r="B797" s="93" t="s">
        <v>1075</v>
      </c>
      <c r="C797" s="93"/>
      <c r="D797" s="93"/>
      <c r="E797" s="93"/>
      <c r="F797" s="93" t="s">
        <v>1075</v>
      </c>
      <c r="G797" s="37"/>
      <c r="H797" s="79"/>
      <c r="I797" s="69">
        <f t="shared" si="265"/>
        <v>0</v>
      </c>
      <c r="J797" s="48"/>
      <c r="K797" s="590" t="str">
        <f t="shared" si="259"/>
        <v>.1</v>
      </c>
      <c r="L797" s="579" t="s">
        <v>1996</v>
      </c>
      <c r="M797" s="74"/>
      <c r="N797" s="49"/>
      <c r="O797" s="592" t="str">
        <f t="shared" si="260"/>
        <v>.2</v>
      </c>
      <c r="P797" s="578" t="s">
        <v>1998</v>
      </c>
      <c r="Q797" s="74"/>
      <c r="R797" s="49"/>
      <c r="S797" s="592" t="str">
        <f t="shared" si="261"/>
        <v>.3</v>
      </c>
      <c r="T797" s="578" t="s">
        <v>2000</v>
      </c>
      <c r="U797" s="74"/>
      <c r="V797" s="764"/>
      <c r="W797" s="764"/>
      <c r="X797" s="158"/>
      <c r="Y797" s="745"/>
      <c r="Z797" s="741">
        <v>0</v>
      </c>
      <c r="AA797" s="592" t="str">
        <f t="shared" si="262"/>
        <v>.1</v>
      </c>
      <c r="AB797" s="739" t="s">
        <v>1996</v>
      </c>
      <c r="AC797" s="738">
        <v>0</v>
      </c>
      <c r="AD797" s="592" t="str">
        <f t="shared" si="263"/>
        <v>.2</v>
      </c>
      <c r="AE797" s="739" t="s">
        <v>1998</v>
      </c>
      <c r="AF797" s="738">
        <v>0</v>
      </c>
      <c r="AG797" s="592" t="str">
        <f t="shared" si="264"/>
        <v>.3</v>
      </c>
      <c r="AH797" s="739" t="s">
        <v>2000</v>
      </c>
      <c r="AI797" s="158"/>
    </row>
    <row r="798" spans="1:35" ht="15" hidden="1" customHeight="1" outlineLevel="2">
      <c r="A798" s="97"/>
      <c r="B798" s="97" t="s">
        <v>1075</v>
      </c>
      <c r="C798" s="97"/>
      <c r="D798" s="97"/>
      <c r="E798" s="97"/>
      <c r="F798" s="97" t="s">
        <v>1075</v>
      </c>
      <c r="G798" s="40" t="s">
        <v>235</v>
      </c>
      <c r="H798" s="78">
        <f>SUBTOTAL(9,H799:H800)</f>
        <v>0</v>
      </c>
      <c r="I798" s="68">
        <f t="shared" si="265"/>
        <v>0</v>
      </c>
      <c r="J798" s="55">
        <f>SUBTOTAL(9,J799)</f>
        <v>0</v>
      </c>
      <c r="K798" s="55"/>
      <c r="L798" s="55"/>
      <c r="M798" s="84"/>
      <c r="N798" s="56">
        <f>SUBTOTAL(9,N799)</f>
        <v>0</v>
      </c>
      <c r="O798" s="84"/>
      <c r="P798" s="84"/>
      <c r="Q798" s="84"/>
      <c r="R798" s="56">
        <f>SUBTOTAL(9,R799)</f>
        <v>0</v>
      </c>
      <c r="S798" s="84"/>
      <c r="T798" s="84"/>
      <c r="U798" s="84"/>
      <c r="V798" s="56">
        <f>SUBTOTAL(9,V799)</f>
        <v>0</v>
      </c>
      <c r="W798" s="56">
        <f>SUBTOTAL(9,W799)</f>
        <v>0</v>
      </c>
      <c r="X798" s="170"/>
      <c r="Y798" s="745"/>
      <c r="Z798" s="55">
        <f>SUBTOTAL(9,Z799)</f>
        <v>0</v>
      </c>
      <c r="AA798" s="84"/>
      <c r="AB798" s="84"/>
      <c r="AC798" s="56">
        <f>SUBTOTAL(9,AC799)</f>
        <v>0</v>
      </c>
      <c r="AD798" s="84"/>
      <c r="AE798" s="84"/>
      <c r="AF798" s="56">
        <f>SUBTOTAL(9,AF799)</f>
        <v>0</v>
      </c>
      <c r="AG798" s="84"/>
      <c r="AH798" s="84"/>
      <c r="AI798" s="170"/>
    </row>
    <row r="799" spans="1:35" ht="15" hidden="1" customHeight="1" outlineLevel="3">
      <c r="A799" s="95">
        <v>94</v>
      </c>
      <c r="B799" s="95">
        <v>3485</v>
      </c>
      <c r="C799" s="95"/>
      <c r="D799" s="95"/>
      <c r="E799" s="774" t="s">
        <v>2975</v>
      </c>
      <c r="F799" s="774" t="s">
        <v>5223</v>
      </c>
      <c r="G799" s="13" t="s">
        <v>3030</v>
      </c>
      <c r="H799" s="583">
        <f>IFERROR(VLOOKUP(A799,'Colar QL'!A:C,3,0),0)</f>
        <v>0</v>
      </c>
      <c r="I799" s="69">
        <f t="shared" si="265"/>
        <v>0</v>
      </c>
      <c r="J799" s="771">
        <f>ROUND(J780*$U$5,0)</f>
        <v>0</v>
      </c>
      <c r="K799" s="590" t="str">
        <f>F799&amp;L799</f>
        <v>47.0284.1.2.17.00.01.039.01.12.20.1</v>
      </c>
      <c r="L799" s="771" t="s">
        <v>1996</v>
      </c>
      <c r="M799" s="772"/>
      <c r="N799" s="770">
        <f>ROUND(N780*$U$5,0)</f>
        <v>0</v>
      </c>
      <c r="O799" s="592" t="str">
        <f>F799&amp;P799</f>
        <v>47.0284.1.2.17.00.01.039.01.12.20.2</v>
      </c>
      <c r="P799" s="772" t="s">
        <v>1998</v>
      </c>
      <c r="Q799" s="772"/>
      <c r="R799" s="770">
        <f>ROUND(R780*$U$5,0)</f>
        <v>0</v>
      </c>
      <c r="S799" s="592" t="str">
        <f>F799&amp;T799</f>
        <v>47.0284.1.2.17.00.01.039.01.12.20.3</v>
      </c>
      <c r="T799" s="772" t="s">
        <v>2000</v>
      </c>
      <c r="U799" s="772"/>
      <c r="V799" s="764"/>
      <c r="W799" s="764"/>
      <c r="X799" s="158"/>
      <c r="Y799" s="745"/>
      <c r="Z799" s="771">
        <f>ROUND(Z780*$U$5,0)</f>
        <v>0</v>
      </c>
      <c r="AA799" s="592" t="str">
        <f>F799&amp;AB799</f>
        <v>47.0284.1.2.17.00.01.039.01.12.20.1</v>
      </c>
      <c r="AB799" s="772" t="s">
        <v>1996</v>
      </c>
      <c r="AC799" s="770">
        <f>ROUND(AC780*$U$5,0)</f>
        <v>0</v>
      </c>
      <c r="AD799" s="592" t="str">
        <f>F799&amp;AE799</f>
        <v>47.0284.1.2.17.00.01.039.01.12.20.2</v>
      </c>
      <c r="AE799" s="772" t="s">
        <v>1998</v>
      </c>
      <c r="AF799" s="770">
        <f>ROUND(AF780*$U$5,0)</f>
        <v>0</v>
      </c>
      <c r="AG799" s="592" t="str">
        <f>F799&amp;AH799</f>
        <v>47.0284.1.2.17.00.01.039.01.12.20.3</v>
      </c>
      <c r="AH799" s="772" t="s">
        <v>2000</v>
      </c>
      <c r="AI799" s="158"/>
    </row>
    <row r="800" spans="1:35" ht="15" hidden="1" customHeight="1" outlineLevel="3">
      <c r="A800" s="95">
        <v>95</v>
      </c>
      <c r="B800" s="95" t="s">
        <v>1075</v>
      </c>
      <c r="C800" s="95"/>
      <c r="D800" s="95"/>
      <c r="E800" s="774"/>
      <c r="F800" s="774" t="s">
        <v>1075</v>
      </c>
      <c r="G800" s="13"/>
      <c r="H800" s="583"/>
      <c r="I800" s="69">
        <f t="shared" si="265"/>
        <v>0</v>
      </c>
      <c r="J800" s="771"/>
      <c r="K800" s="590" t="str">
        <f>F800&amp;L800</f>
        <v>.1</v>
      </c>
      <c r="L800" s="771" t="s">
        <v>1996</v>
      </c>
      <c r="M800" s="772"/>
      <c r="N800" s="770"/>
      <c r="O800" s="592" t="str">
        <f>F800&amp;P800</f>
        <v>.2</v>
      </c>
      <c r="P800" s="772" t="s">
        <v>1998</v>
      </c>
      <c r="Q800" s="772"/>
      <c r="R800" s="770"/>
      <c r="S800" s="592" t="str">
        <f>F800&amp;T800</f>
        <v>.3</v>
      </c>
      <c r="T800" s="772" t="s">
        <v>2000</v>
      </c>
      <c r="U800" s="772"/>
      <c r="V800" s="764"/>
      <c r="W800" s="764"/>
      <c r="X800" s="158"/>
      <c r="Y800" s="745"/>
      <c r="Z800" s="771"/>
      <c r="AA800" s="592" t="str">
        <f>F800&amp;AB800</f>
        <v>.1</v>
      </c>
      <c r="AB800" s="772" t="s">
        <v>1996</v>
      </c>
      <c r="AC800" s="770"/>
      <c r="AD800" s="592" t="str">
        <f>F800&amp;AE800</f>
        <v>.2</v>
      </c>
      <c r="AE800" s="772" t="s">
        <v>1998</v>
      </c>
      <c r="AF800" s="770"/>
      <c r="AG800" s="592" t="str">
        <f>F800&amp;AH800</f>
        <v>.3</v>
      </c>
      <c r="AH800" s="772" t="s">
        <v>2000</v>
      </c>
      <c r="AI800" s="158"/>
    </row>
    <row r="801" spans="1:35" ht="15" hidden="1" customHeight="1" outlineLevel="3">
      <c r="A801" s="95"/>
      <c r="B801" s="95" t="s">
        <v>1075</v>
      </c>
      <c r="C801" s="95"/>
      <c r="D801" s="95"/>
      <c r="E801" s="774"/>
      <c r="F801" s="774" t="s">
        <v>1075</v>
      </c>
      <c r="G801" s="13"/>
      <c r="H801" s="81"/>
      <c r="I801" s="71">
        <f t="shared" si="265"/>
        <v>0</v>
      </c>
      <c r="J801" s="48"/>
      <c r="K801" s="579"/>
      <c r="L801" s="579"/>
      <c r="M801" s="74"/>
      <c r="N801" s="49"/>
      <c r="O801" s="578"/>
      <c r="P801" s="578"/>
      <c r="Q801" s="74"/>
      <c r="R801" s="49"/>
      <c r="S801" s="578"/>
      <c r="T801" s="578"/>
      <c r="U801" s="74"/>
      <c r="V801" s="766"/>
      <c r="W801" s="766"/>
      <c r="X801" s="171"/>
      <c r="Y801" s="745"/>
      <c r="Z801" s="741"/>
      <c r="AA801" s="739"/>
      <c r="AB801" s="739"/>
      <c r="AC801" s="738"/>
      <c r="AD801" s="739"/>
      <c r="AE801" s="739"/>
      <c r="AF801" s="738"/>
      <c r="AG801" s="739"/>
      <c r="AH801" s="739"/>
      <c r="AI801" s="171"/>
    </row>
    <row r="802" spans="1:35">
      <c r="A802" s="100"/>
      <c r="B802" s="100" t="s">
        <v>1075</v>
      </c>
      <c r="C802" s="100"/>
      <c r="D802" s="100"/>
      <c r="E802" s="100"/>
      <c r="F802" s="100" t="s">
        <v>1075</v>
      </c>
      <c r="G802" s="17" t="s">
        <v>156</v>
      </c>
      <c r="H802" s="76">
        <f>ROUND(SUBTOTAL(9,H803:H829),0)</f>
        <v>17</v>
      </c>
      <c r="I802" s="64">
        <f t="shared" si="265"/>
        <v>17</v>
      </c>
      <c r="J802" s="52">
        <f>ROUND(SUBTOTAL(9,J803:J829),0)</f>
        <v>17</v>
      </c>
      <c r="K802" s="52"/>
      <c r="L802" s="52"/>
      <c r="M802" s="86"/>
      <c r="N802" s="52">
        <f>ROUND(SUBTOTAL(9,N803:N829),0)</f>
        <v>0</v>
      </c>
      <c r="O802" s="587"/>
      <c r="P802" s="587"/>
      <c r="Q802" s="86"/>
      <c r="R802" s="52">
        <f>ROUND(SUBTOTAL(9,R803:R829),0)</f>
        <v>0</v>
      </c>
      <c r="S802" s="587"/>
      <c r="T802" s="587"/>
      <c r="U802" s="86"/>
      <c r="V802" s="52">
        <f>ROUND(SUBTOTAL(9,V803:V829),0)</f>
        <v>0</v>
      </c>
      <c r="W802" s="52">
        <f>ROUND(SUBTOTAL(9,W803:W829),0)</f>
        <v>0</v>
      </c>
      <c r="X802" s="168"/>
      <c r="Y802" s="745"/>
      <c r="Z802" s="52">
        <f>ROUND(SUBTOTAL(9,Z803:Z829),0)</f>
        <v>0</v>
      </c>
      <c r="AA802" s="587"/>
      <c r="AB802" s="587"/>
      <c r="AC802" s="52">
        <f>ROUND(SUBTOTAL(9,AC803:AC829),0)</f>
        <v>0</v>
      </c>
      <c r="AD802" s="587"/>
      <c r="AE802" s="587"/>
      <c r="AF802" s="52">
        <f>ROUND(SUBTOTAL(9,AF803:AF829),0)</f>
        <v>0</v>
      </c>
      <c r="AG802" s="587"/>
      <c r="AH802" s="587"/>
      <c r="AI802" s="168"/>
    </row>
    <row r="803" spans="1:35" ht="15" customHeight="1" outlineLevel="1" collapsed="1">
      <c r="A803" s="98"/>
      <c r="B803" s="98" t="s">
        <v>1075</v>
      </c>
      <c r="C803" s="98"/>
      <c r="D803" s="98"/>
      <c r="E803" s="98"/>
      <c r="F803" s="98" t="s">
        <v>1075</v>
      </c>
      <c r="G803" s="35" t="s">
        <v>156</v>
      </c>
      <c r="H803" s="77">
        <f>SUBTOTAL(9,H804:H829)</f>
        <v>17</v>
      </c>
      <c r="I803" s="67">
        <f t="shared" si="265"/>
        <v>17</v>
      </c>
      <c r="J803" s="54">
        <f>SUBTOTAL(9,J804:J829)</f>
        <v>17</v>
      </c>
      <c r="K803" s="54"/>
      <c r="L803" s="54"/>
      <c r="M803" s="85"/>
      <c r="N803" s="54">
        <f>SUBTOTAL(9,N804:N829)</f>
        <v>0</v>
      </c>
      <c r="O803" s="90"/>
      <c r="P803" s="90"/>
      <c r="Q803" s="85"/>
      <c r="R803" s="54">
        <f>SUBTOTAL(9,R804:R829)</f>
        <v>0</v>
      </c>
      <c r="S803" s="90"/>
      <c r="T803" s="90"/>
      <c r="U803" s="85"/>
      <c r="V803" s="54">
        <f>SUBTOTAL(9,V804:V829)</f>
        <v>0</v>
      </c>
      <c r="W803" s="54">
        <f>SUBTOTAL(9,W804:W829)</f>
        <v>0</v>
      </c>
      <c r="X803" s="169"/>
      <c r="Y803" s="745"/>
      <c r="Z803" s="54">
        <f>SUBTOTAL(9,Z804:Z829)</f>
        <v>0</v>
      </c>
      <c r="AA803" s="90"/>
      <c r="AB803" s="90"/>
      <c r="AC803" s="54">
        <f>SUBTOTAL(9,AC804:AC829)</f>
        <v>0</v>
      </c>
      <c r="AD803" s="90"/>
      <c r="AE803" s="90"/>
      <c r="AF803" s="54">
        <f>SUBTOTAL(9,AF804:AF829)</f>
        <v>0</v>
      </c>
      <c r="AG803" s="90"/>
      <c r="AH803" s="90"/>
      <c r="AI803" s="169"/>
    </row>
    <row r="804" spans="1:35" ht="15" hidden="1" customHeight="1" outlineLevel="2">
      <c r="A804" s="97"/>
      <c r="B804" s="97" t="s">
        <v>1075</v>
      </c>
      <c r="C804" s="97"/>
      <c r="D804" s="97"/>
      <c r="E804" s="97"/>
      <c r="F804" s="97" t="s">
        <v>1075</v>
      </c>
      <c r="G804" s="40" t="s">
        <v>714</v>
      </c>
      <c r="H804" s="68">
        <f>SUBTOTAL(9,H805:H825)</f>
        <v>17</v>
      </c>
      <c r="I804" s="68">
        <f t="shared" si="265"/>
        <v>17</v>
      </c>
      <c r="J804" s="55">
        <f>SUBTOTAL(9,J805:J825)</f>
        <v>17</v>
      </c>
      <c r="K804" s="55"/>
      <c r="L804" s="55"/>
      <c r="M804" s="84"/>
      <c r="N804" s="55">
        <f>SUBTOTAL(9,N805:N825)</f>
        <v>0</v>
      </c>
      <c r="O804" s="91"/>
      <c r="P804" s="91"/>
      <c r="Q804" s="84"/>
      <c r="R804" s="55">
        <f>SUBTOTAL(9,R805:R825)</f>
        <v>0</v>
      </c>
      <c r="S804" s="91"/>
      <c r="T804" s="91"/>
      <c r="U804" s="84"/>
      <c r="V804" s="55">
        <f>SUBTOTAL(9,V805:V825)</f>
        <v>0</v>
      </c>
      <c r="W804" s="55">
        <f>SUBTOTAL(9,W805:W825)</f>
        <v>0</v>
      </c>
      <c r="X804" s="170"/>
      <c r="Y804" s="745"/>
      <c r="Z804" s="55">
        <f>SUBTOTAL(9,Z805:Z825)</f>
        <v>0</v>
      </c>
      <c r="AA804" s="91"/>
      <c r="AB804" s="91"/>
      <c r="AC804" s="55">
        <f>SUBTOTAL(9,AC805:AC825)</f>
        <v>0</v>
      </c>
      <c r="AD804" s="91"/>
      <c r="AE804" s="91"/>
      <c r="AF804" s="55">
        <f>SUBTOTAL(9,AF805:AF825)</f>
        <v>0</v>
      </c>
      <c r="AG804" s="91"/>
      <c r="AH804" s="91"/>
      <c r="AI804" s="170"/>
    </row>
    <row r="805" spans="1:35" ht="15" hidden="1" customHeight="1" outlineLevel="3">
      <c r="A805" s="93">
        <v>212000</v>
      </c>
      <c r="B805" s="93" t="s">
        <v>1075</v>
      </c>
      <c r="C805" s="93"/>
      <c r="D805" s="93"/>
      <c r="E805" s="93" t="s">
        <v>5326</v>
      </c>
      <c r="F805" s="93" t="s">
        <v>5334</v>
      </c>
      <c r="G805" s="37" t="s">
        <v>5313</v>
      </c>
      <c r="H805" s="707">
        <f>IFERROR(VLOOKUP(A805,'Colar QL'!A:C,3,0),0)</f>
        <v>4</v>
      </c>
      <c r="I805" s="69">
        <f t="shared" si="265"/>
        <v>4</v>
      </c>
      <c r="J805" s="258">
        <v>4</v>
      </c>
      <c r="K805" s="590" t="str">
        <f t="shared" ref="K805:K825" si="266">F805&amp;L805</f>
        <v>47.0284.1.3.03.00.01.039.08.01.04.1</v>
      </c>
      <c r="L805" s="579" t="s">
        <v>1996</v>
      </c>
      <c r="M805" s="256"/>
      <c r="N805" s="255"/>
      <c r="O805" s="592" t="str">
        <f t="shared" ref="O805:O825" si="267">F805&amp;P805</f>
        <v>47.0284.1.3.03.00.01.039.08.01.04.2</v>
      </c>
      <c r="P805" s="578" t="s">
        <v>1998</v>
      </c>
      <c r="Q805" s="256"/>
      <c r="R805" s="255"/>
      <c r="S805" s="592" t="str">
        <f t="shared" ref="S805:S825" si="268">F805&amp;T805</f>
        <v>47.0284.1.3.03.00.01.039.08.01.04.3</v>
      </c>
      <c r="T805" s="578" t="s">
        <v>2000</v>
      </c>
      <c r="U805" s="256"/>
      <c r="V805" s="764"/>
      <c r="W805" s="764"/>
      <c r="X805" s="158"/>
      <c r="Y805" s="745"/>
      <c r="Z805" s="741">
        <v>0</v>
      </c>
      <c r="AA805" s="592" t="str">
        <f t="shared" ref="AA805:AA825" si="269">F805&amp;AB805</f>
        <v>47.0284.1.3.03.00.01.039.08.01.04.1</v>
      </c>
      <c r="AB805" s="739" t="s">
        <v>1996</v>
      </c>
      <c r="AC805" s="738">
        <v>0</v>
      </c>
      <c r="AD805" s="592" t="str">
        <f t="shared" ref="AD805:AD825" si="270">F805&amp;AE805</f>
        <v>47.0284.1.3.03.00.01.039.08.01.04.2</v>
      </c>
      <c r="AE805" s="739" t="s">
        <v>1998</v>
      </c>
      <c r="AF805" s="738">
        <v>0</v>
      </c>
      <c r="AG805" s="592" t="str">
        <f t="shared" ref="AG805:AG825" si="271">F805&amp;AH805</f>
        <v>47.0284.1.3.03.00.01.039.08.01.04.3</v>
      </c>
      <c r="AH805" s="739" t="s">
        <v>2000</v>
      </c>
      <c r="AI805" s="158"/>
    </row>
    <row r="806" spans="1:35" ht="15" hidden="1" customHeight="1" outlineLevel="3">
      <c r="A806" s="93">
        <v>212005</v>
      </c>
      <c r="B806" s="93" t="s">
        <v>1075</v>
      </c>
      <c r="C806" s="93"/>
      <c r="D806" s="93"/>
      <c r="E806" s="93" t="s">
        <v>5328</v>
      </c>
      <c r="F806" s="93" t="s">
        <v>5335</v>
      </c>
      <c r="G806" s="37" t="s">
        <v>5314</v>
      </c>
      <c r="H806" s="707">
        <f>IFERROR(VLOOKUP(A806,'Colar QL'!A:C,3,0),0)</f>
        <v>2</v>
      </c>
      <c r="I806" s="69">
        <f t="shared" si="265"/>
        <v>2</v>
      </c>
      <c r="J806" s="258">
        <v>2</v>
      </c>
      <c r="K806" s="590" t="str">
        <f t="shared" si="266"/>
        <v>47.0284.1.3.03.00.01.039.08.01.05.1</v>
      </c>
      <c r="L806" s="579" t="s">
        <v>1996</v>
      </c>
      <c r="M806" s="256"/>
      <c r="N806" s="255"/>
      <c r="O806" s="592" t="str">
        <f t="shared" si="267"/>
        <v>47.0284.1.3.03.00.01.039.08.01.05.2</v>
      </c>
      <c r="P806" s="578" t="s">
        <v>1998</v>
      </c>
      <c r="Q806" s="256"/>
      <c r="R806" s="255"/>
      <c r="S806" s="592" t="str">
        <f t="shared" si="268"/>
        <v>47.0284.1.3.03.00.01.039.08.01.05.3</v>
      </c>
      <c r="T806" s="578" t="s">
        <v>2000</v>
      </c>
      <c r="U806" s="256"/>
      <c r="V806" s="764"/>
      <c r="W806" s="764"/>
      <c r="X806" s="158"/>
      <c r="Y806" s="745"/>
      <c r="Z806" s="741">
        <v>0</v>
      </c>
      <c r="AA806" s="592" t="str">
        <f t="shared" si="269"/>
        <v>47.0284.1.3.03.00.01.039.08.01.05.1</v>
      </c>
      <c r="AB806" s="739" t="s">
        <v>1996</v>
      </c>
      <c r="AC806" s="738">
        <v>0</v>
      </c>
      <c r="AD806" s="592" t="str">
        <f t="shared" si="270"/>
        <v>47.0284.1.3.03.00.01.039.08.01.05.2</v>
      </c>
      <c r="AE806" s="739" t="s">
        <v>1998</v>
      </c>
      <c r="AF806" s="738">
        <v>0</v>
      </c>
      <c r="AG806" s="592" t="str">
        <f t="shared" si="271"/>
        <v>47.0284.1.3.03.00.01.039.08.01.05.3</v>
      </c>
      <c r="AH806" s="739" t="s">
        <v>2000</v>
      </c>
      <c r="AI806" s="158"/>
    </row>
    <row r="807" spans="1:35" ht="15" hidden="1" customHeight="1" outlineLevel="3">
      <c r="A807" s="93">
        <v>212010</v>
      </c>
      <c r="B807" s="93" t="s">
        <v>1075</v>
      </c>
      <c r="C807" s="93"/>
      <c r="D807" s="93"/>
      <c r="E807" s="93" t="s">
        <v>5322</v>
      </c>
      <c r="F807" s="93" t="s">
        <v>5332</v>
      </c>
      <c r="G807" s="37" t="s">
        <v>158</v>
      </c>
      <c r="H807" s="707">
        <f>IFERROR(VLOOKUP(A807,'Colar QL'!A:C,3,0),0)</f>
        <v>4</v>
      </c>
      <c r="I807" s="69">
        <f t="shared" si="265"/>
        <v>4</v>
      </c>
      <c r="J807" s="258">
        <v>4</v>
      </c>
      <c r="K807" s="590" t="str">
        <f t="shared" si="266"/>
        <v>47.0284.1.3.03.00.01.039.08.01.02.1</v>
      </c>
      <c r="L807" s="579" t="s">
        <v>1996</v>
      </c>
      <c r="M807" s="256"/>
      <c r="N807" s="255"/>
      <c r="O807" s="592" t="str">
        <f t="shared" si="267"/>
        <v>47.0284.1.3.03.00.01.039.08.01.02.2</v>
      </c>
      <c r="P807" s="578" t="s">
        <v>1998</v>
      </c>
      <c r="Q807" s="256"/>
      <c r="R807" s="255"/>
      <c r="S807" s="592" t="str">
        <f t="shared" si="268"/>
        <v>47.0284.1.3.03.00.01.039.08.01.02.3</v>
      </c>
      <c r="T807" s="578" t="s">
        <v>2000</v>
      </c>
      <c r="U807" s="256"/>
      <c r="V807" s="764"/>
      <c r="W807" s="764"/>
      <c r="X807" s="158"/>
      <c r="Y807" s="745"/>
      <c r="Z807" s="741">
        <v>0</v>
      </c>
      <c r="AA807" s="592" t="str">
        <f t="shared" si="269"/>
        <v>47.0284.1.3.03.00.01.039.08.01.02.1</v>
      </c>
      <c r="AB807" s="739" t="s">
        <v>1996</v>
      </c>
      <c r="AC807" s="738">
        <v>0</v>
      </c>
      <c r="AD807" s="592" t="str">
        <f t="shared" si="270"/>
        <v>47.0284.1.3.03.00.01.039.08.01.02.2</v>
      </c>
      <c r="AE807" s="739" t="s">
        <v>1998</v>
      </c>
      <c r="AF807" s="738">
        <v>0</v>
      </c>
      <c r="AG807" s="592" t="str">
        <f t="shared" si="271"/>
        <v>47.0284.1.3.03.00.01.039.08.01.02.3</v>
      </c>
      <c r="AH807" s="739" t="s">
        <v>2000</v>
      </c>
      <c r="AI807" s="158"/>
    </row>
    <row r="808" spans="1:35" ht="15" hidden="1" customHeight="1" outlineLevel="3">
      <c r="A808" s="93">
        <v>212015</v>
      </c>
      <c r="B808" s="93" t="s">
        <v>1075</v>
      </c>
      <c r="C808" s="93"/>
      <c r="D808" s="93"/>
      <c r="E808" s="93" t="s">
        <v>5320</v>
      </c>
      <c r="F808" s="93" t="s">
        <v>5331</v>
      </c>
      <c r="G808" s="37" t="s">
        <v>9</v>
      </c>
      <c r="H808" s="707">
        <f>IFERROR(VLOOKUP(A808,'Colar QL'!A:C,3,0),0)</f>
        <v>1</v>
      </c>
      <c r="I808" s="69">
        <f t="shared" si="265"/>
        <v>1</v>
      </c>
      <c r="J808" s="258">
        <v>1</v>
      </c>
      <c r="K808" s="590" t="str">
        <f t="shared" si="266"/>
        <v>47.0284.1.3.03.00.01.039.08.01.01.1</v>
      </c>
      <c r="L808" s="579" t="s">
        <v>1996</v>
      </c>
      <c r="M808" s="256"/>
      <c r="N808" s="255"/>
      <c r="O808" s="592" t="str">
        <f t="shared" si="267"/>
        <v>47.0284.1.3.03.00.01.039.08.01.01.2</v>
      </c>
      <c r="P808" s="578" t="s">
        <v>1998</v>
      </c>
      <c r="Q808" s="256"/>
      <c r="R808" s="255"/>
      <c r="S808" s="592" t="str">
        <f t="shared" si="268"/>
        <v>47.0284.1.3.03.00.01.039.08.01.01.3</v>
      </c>
      <c r="T808" s="578" t="s">
        <v>2000</v>
      </c>
      <c r="U808" s="256"/>
      <c r="V808" s="764"/>
      <c r="W808" s="764"/>
      <c r="X808" s="158"/>
      <c r="Y808" s="745"/>
      <c r="Z808" s="741">
        <v>0</v>
      </c>
      <c r="AA808" s="592" t="str">
        <f t="shared" si="269"/>
        <v>47.0284.1.3.03.00.01.039.08.01.01.1</v>
      </c>
      <c r="AB808" s="739" t="s">
        <v>1996</v>
      </c>
      <c r="AC808" s="738">
        <v>0</v>
      </c>
      <c r="AD808" s="592" t="str">
        <f t="shared" si="270"/>
        <v>47.0284.1.3.03.00.01.039.08.01.01.2</v>
      </c>
      <c r="AE808" s="739" t="s">
        <v>1998</v>
      </c>
      <c r="AF808" s="738">
        <v>0</v>
      </c>
      <c r="AG808" s="592" t="str">
        <f t="shared" si="271"/>
        <v>47.0284.1.3.03.00.01.039.08.01.01.3</v>
      </c>
      <c r="AH808" s="739" t="s">
        <v>2000</v>
      </c>
      <c r="AI808" s="158"/>
    </row>
    <row r="809" spans="1:35" ht="15" hidden="1" customHeight="1" outlineLevel="3">
      <c r="A809" s="93">
        <v>212020</v>
      </c>
      <c r="B809" s="93" t="s">
        <v>1075</v>
      </c>
      <c r="C809" s="93"/>
      <c r="D809" s="93"/>
      <c r="E809" s="93"/>
      <c r="F809" s="93" t="s">
        <v>1075</v>
      </c>
      <c r="G809" s="37" t="s">
        <v>161</v>
      </c>
      <c r="H809" s="707">
        <f>IFERROR(VLOOKUP(A809,'Colar QL'!A:C,3,0),0)</f>
        <v>0</v>
      </c>
      <c r="I809" s="69">
        <f t="shared" si="265"/>
        <v>0</v>
      </c>
      <c r="J809" s="258">
        <v>0</v>
      </c>
      <c r="K809" s="590" t="str">
        <f t="shared" si="266"/>
        <v>.1</v>
      </c>
      <c r="L809" s="579" t="s">
        <v>1996</v>
      </c>
      <c r="M809" s="256"/>
      <c r="N809" s="255"/>
      <c r="O809" s="592" t="str">
        <f t="shared" si="267"/>
        <v>.2</v>
      </c>
      <c r="P809" s="578" t="s">
        <v>1998</v>
      </c>
      <c r="Q809" s="256"/>
      <c r="R809" s="255"/>
      <c r="S809" s="592" t="str">
        <f t="shared" si="268"/>
        <v>.3</v>
      </c>
      <c r="T809" s="578" t="s">
        <v>2000</v>
      </c>
      <c r="U809" s="256"/>
      <c r="V809" s="764"/>
      <c r="W809" s="764"/>
      <c r="X809" s="158"/>
      <c r="Y809" s="745"/>
      <c r="Z809" s="741">
        <v>0</v>
      </c>
      <c r="AA809" s="592" t="str">
        <f t="shared" si="269"/>
        <v>.1</v>
      </c>
      <c r="AB809" s="739" t="s">
        <v>1996</v>
      </c>
      <c r="AC809" s="738">
        <v>0</v>
      </c>
      <c r="AD809" s="592" t="str">
        <f t="shared" si="270"/>
        <v>.2</v>
      </c>
      <c r="AE809" s="739" t="s">
        <v>1998</v>
      </c>
      <c r="AF809" s="738">
        <v>0</v>
      </c>
      <c r="AG809" s="592" t="str">
        <f t="shared" si="271"/>
        <v>.3</v>
      </c>
      <c r="AH809" s="739" t="s">
        <v>2000</v>
      </c>
      <c r="AI809" s="158"/>
    </row>
    <row r="810" spans="1:35" ht="15" hidden="1" customHeight="1" outlineLevel="3">
      <c r="A810" s="93">
        <v>212025</v>
      </c>
      <c r="B810" s="93" t="s">
        <v>1075</v>
      </c>
      <c r="C810" s="93"/>
      <c r="D810" s="93"/>
      <c r="E810" s="93" t="s">
        <v>5324</v>
      </c>
      <c r="F810" s="93" t="s">
        <v>5333</v>
      </c>
      <c r="G810" s="37" t="s">
        <v>5315</v>
      </c>
      <c r="H810" s="707">
        <f>IFERROR(VLOOKUP(A810,'Colar QL'!A:C,3,0),0)</f>
        <v>1</v>
      </c>
      <c r="I810" s="69">
        <f t="shared" si="265"/>
        <v>1</v>
      </c>
      <c r="J810" s="258">
        <v>1</v>
      </c>
      <c r="K810" s="590" t="str">
        <f t="shared" si="266"/>
        <v>47.0284.1.2.03.00.01.039.08.01.06.1</v>
      </c>
      <c r="L810" s="579" t="s">
        <v>1996</v>
      </c>
      <c r="M810" s="256"/>
      <c r="N810" s="255"/>
      <c r="O810" s="592" t="str">
        <f t="shared" si="267"/>
        <v>47.0284.1.2.03.00.01.039.08.01.06.2</v>
      </c>
      <c r="P810" s="578" t="s">
        <v>1998</v>
      </c>
      <c r="Q810" s="256"/>
      <c r="R810" s="255"/>
      <c r="S810" s="592" t="str">
        <f t="shared" si="268"/>
        <v>47.0284.1.2.03.00.01.039.08.01.06.3</v>
      </c>
      <c r="T810" s="578" t="s">
        <v>2000</v>
      </c>
      <c r="U810" s="256"/>
      <c r="V810" s="764"/>
      <c r="W810" s="764"/>
      <c r="X810" s="158"/>
      <c r="Y810" s="745"/>
      <c r="Z810" s="741">
        <v>0</v>
      </c>
      <c r="AA810" s="592" t="str">
        <f t="shared" si="269"/>
        <v>47.0284.1.2.03.00.01.039.08.01.06.1</v>
      </c>
      <c r="AB810" s="739" t="s">
        <v>1996</v>
      </c>
      <c r="AC810" s="738">
        <v>0</v>
      </c>
      <c r="AD810" s="592" t="str">
        <f t="shared" si="270"/>
        <v>47.0284.1.2.03.00.01.039.08.01.06.2</v>
      </c>
      <c r="AE810" s="739" t="s">
        <v>1998</v>
      </c>
      <c r="AF810" s="738">
        <v>0</v>
      </c>
      <c r="AG810" s="592" t="str">
        <f t="shared" si="271"/>
        <v>47.0284.1.2.03.00.01.039.08.01.06.3</v>
      </c>
      <c r="AH810" s="739" t="s">
        <v>2000</v>
      </c>
      <c r="AI810" s="158"/>
    </row>
    <row r="811" spans="1:35" ht="15" hidden="1" customHeight="1" outlineLevel="3">
      <c r="A811" s="93">
        <v>98</v>
      </c>
      <c r="B811" s="93" t="s">
        <v>1075</v>
      </c>
      <c r="C811" s="93"/>
      <c r="D811" s="93"/>
      <c r="E811" s="93"/>
      <c r="F811" s="93" t="s">
        <v>1075</v>
      </c>
      <c r="G811" s="37" t="s">
        <v>861</v>
      </c>
      <c r="H811" s="707">
        <f>IFERROR(VLOOKUP(A811,'Colar QL'!A:C,3,0),0)</f>
        <v>0</v>
      </c>
      <c r="I811" s="69">
        <f t="shared" si="265"/>
        <v>0</v>
      </c>
      <c r="J811" s="258"/>
      <c r="K811" s="590" t="str">
        <f t="shared" si="266"/>
        <v>.1</v>
      </c>
      <c r="L811" s="579" t="s">
        <v>1996</v>
      </c>
      <c r="M811" s="256"/>
      <c r="N811" s="255"/>
      <c r="O811" s="592" t="str">
        <f t="shared" si="267"/>
        <v>.2</v>
      </c>
      <c r="P811" s="578" t="s">
        <v>1998</v>
      </c>
      <c r="Q811" s="256"/>
      <c r="R811" s="255"/>
      <c r="S811" s="592" t="str">
        <f t="shared" si="268"/>
        <v>.3</v>
      </c>
      <c r="T811" s="578" t="s">
        <v>2000</v>
      </c>
      <c r="U811" s="256"/>
      <c r="V811" s="764"/>
      <c r="W811" s="764"/>
      <c r="X811" s="158"/>
      <c r="Y811" s="745"/>
      <c r="Z811" s="741">
        <v>0</v>
      </c>
      <c r="AA811" s="592" t="str">
        <f t="shared" si="269"/>
        <v>.1</v>
      </c>
      <c r="AB811" s="739" t="s">
        <v>1996</v>
      </c>
      <c r="AC811" s="738">
        <v>0</v>
      </c>
      <c r="AD811" s="592" t="str">
        <f t="shared" si="270"/>
        <v>.2</v>
      </c>
      <c r="AE811" s="739" t="s">
        <v>1998</v>
      </c>
      <c r="AF811" s="738">
        <v>0</v>
      </c>
      <c r="AG811" s="592" t="str">
        <f t="shared" si="271"/>
        <v>.3</v>
      </c>
      <c r="AH811" s="739" t="s">
        <v>2000</v>
      </c>
      <c r="AI811" s="158"/>
    </row>
    <row r="812" spans="1:35" ht="15" hidden="1" customHeight="1" outlineLevel="3">
      <c r="A812" s="93"/>
      <c r="B812" s="93" t="s">
        <v>1075</v>
      </c>
      <c r="C812" s="93"/>
      <c r="D812" s="93"/>
      <c r="E812" s="93"/>
      <c r="F812" s="93" t="s">
        <v>1075</v>
      </c>
      <c r="G812" s="37"/>
      <c r="H812" s="254"/>
      <c r="I812" s="69">
        <f t="shared" si="265"/>
        <v>0</v>
      </c>
      <c r="J812" s="258"/>
      <c r="K812" s="590" t="str">
        <f t="shared" si="266"/>
        <v>.1</v>
      </c>
      <c r="L812" s="579" t="s">
        <v>1996</v>
      </c>
      <c r="M812" s="256"/>
      <c r="N812" s="255"/>
      <c r="O812" s="592" t="str">
        <f t="shared" si="267"/>
        <v>.2</v>
      </c>
      <c r="P812" s="578" t="s">
        <v>1998</v>
      </c>
      <c r="Q812" s="256"/>
      <c r="R812" s="255"/>
      <c r="S812" s="592" t="str">
        <f t="shared" si="268"/>
        <v>.3</v>
      </c>
      <c r="T812" s="578" t="s">
        <v>2000</v>
      </c>
      <c r="U812" s="256"/>
      <c r="V812" s="764"/>
      <c r="W812" s="764"/>
      <c r="X812" s="158"/>
      <c r="Y812" s="745"/>
      <c r="Z812" s="741">
        <v>0</v>
      </c>
      <c r="AA812" s="592" t="str">
        <f t="shared" si="269"/>
        <v>.1</v>
      </c>
      <c r="AB812" s="739" t="s">
        <v>1996</v>
      </c>
      <c r="AC812" s="738">
        <v>0</v>
      </c>
      <c r="AD812" s="592" t="str">
        <f t="shared" si="270"/>
        <v>.2</v>
      </c>
      <c r="AE812" s="739" t="s">
        <v>1998</v>
      </c>
      <c r="AF812" s="738">
        <v>0</v>
      </c>
      <c r="AG812" s="592" t="str">
        <f t="shared" si="271"/>
        <v>.3</v>
      </c>
      <c r="AH812" s="739" t="s">
        <v>2000</v>
      </c>
      <c r="AI812" s="158"/>
    </row>
    <row r="813" spans="1:35" ht="15" hidden="1" customHeight="1" outlineLevel="3">
      <c r="A813" s="93"/>
      <c r="B813" s="93" t="s">
        <v>1075</v>
      </c>
      <c r="C813" s="93"/>
      <c r="D813" s="93"/>
      <c r="E813" s="93"/>
      <c r="F813" s="93" t="s">
        <v>1075</v>
      </c>
      <c r="G813" s="37"/>
      <c r="H813" s="254"/>
      <c r="I813" s="69">
        <f t="shared" si="265"/>
        <v>0</v>
      </c>
      <c r="J813" s="258"/>
      <c r="K813" s="590" t="str">
        <f t="shared" si="266"/>
        <v>.1</v>
      </c>
      <c r="L813" s="579" t="s">
        <v>1996</v>
      </c>
      <c r="M813" s="256"/>
      <c r="N813" s="255"/>
      <c r="O813" s="592" t="str">
        <f t="shared" si="267"/>
        <v>.2</v>
      </c>
      <c r="P813" s="578" t="s">
        <v>1998</v>
      </c>
      <c r="Q813" s="256"/>
      <c r="R813" s="255"/>
      <c r="S813" s="592" t="str">
        <f t="shared" si="268"/>
        <v>.3</v>
      </c>
      <c r="T813" s="578" t="s">
        <v>2000</v>
      </c>
      <c r="U813" s="256"/>
      <c r="V813" s="764"/>
      <c r="W813" s="764"/>
      <c r="X813" s="158"/>
      <c r="Y813" s="745"/>
      <c r="Z813" s="741">
        <v>0</v>
      </c>
      <c r="AA813" s="592" t="str">
        <f t="shared" si="269"/>
        <v>.1</v>
      </c>
      <c r="AB813" s="739" t="s">
        <v>1996</v>
      </c>
      <c r="AC813" s="738">
        <v>0</v>
      </c>
      <c r="AD813" s="592" t="str">
        <f t="shared" si="270"/>
        <v>.2</v>
      </c>
      <c r="AE813" s="739" t="s">
        <v>1998</v>
      </c>
      <c r="AF813" s="738">
        <v>0</v>
      </c>
      <c r="AG813" s="592" t="str">
        <f t="shared" si="271"/>
        <v>.3</v>
      </c>
      <c r="AH813" s="739" t="s">
        <v>2000</v>
      </c>
      <c r="AI813" s="158"/>
    </row>
    <row r="814" spans="1:35" ht="15" hidden="1" customHeight="1" outlineLevel="3">
      <c r="A814" s="93"/>
      <c r="B814" s="93" t="s">
        <v>1075</v>
      </c>
      <c r="C814" s="93"/>
      <c r="D814" s="93"/>
      <c r="E814" s="93"/>
      <c r="F814" s="93" t="s">
        <v>1075</v>
      </c>
      <c r="G814" s="37"/>
      <c r="H814" s="254"/>
      <c r="I814" s="69">
        <f t="shared" si="265"/>
        <v>0</v>
      </c>
      <c r="J814" s="258"/>
      <c r="K814" s="590" t="str">
        <f t="shared" si="266"/>
        <v>.1</v>
      </c>
      <c r="L814" s="579" t="s">
        <v>1996</v>
      </c>
      <c r="M814" s="256"/>
      <c r="N814" s="255"/>
      <c r="O814" s="592" t="str">
        <f t="shared" si="267"/>
        <v>.2</v>
      </c>
      <c r="P814" s="578" t="s">
        <v>1998</v>
      </c>
      <c r="Q814" s="256"/>
      <c r="R814" s="255"/>
      <c r="S814" s="592" t="str">
        <f t="shared" si="268"/>
        <v>.3</v>
      </c>
      <c r="T814" s="578" t="s">
        <v>2000</v>
      </c>
      <c r="U814" s="256"/>
      <c r="V814" s="764"/>
      <c r="W814" s="764"/>
      <c r="X814" s="158"/>
      <c r="Y814" s="745"/>
      <c r="Z814" s="741">
        <v>0</v>
      </c>
      <c r="AA814" s="592" t="str">
        <f t="shared" si="269"/>
        <v>.1</v>
      </c>
      <c r="AB814" s="739" t="s">
        <v>1996</v>
      </c>
      <c r="AC814" s="738">
        <v>0</v>
      </c>
      <c r="AD814" s="592" t="str">
        <f t="shared" si="270"/>
        <v>.2</v>
      </c>
      <c r="AE814" s="739" t="s">
        <v>1998</v>
      </c>
      <c r="AF814" s="738">
        <v>0</v>
      </c>
      <c r="AG814" s="592" t="str">
        <f t="shared" si="271"/>
        <v>.3</v>
      </c>
      <c r="AH814" s="739" t="s">
        <v>2000</v>
      </c>
      <c r="AI814" s="158"/>
    </row>
    <row r="815" spans="1:35" ht="15" hidden="1" customHeight="1" outlineLevel="3">
      <c r="A815" s="93"/>
      <c r="B815" s="93" t="s">
        <v>1075</v>
      </c>
      <c r="C815" s="93"/>
      <c r="D815" s="93"/>
      <c r="E815" s="93"/>
      <c r="F815" s="93" t="s">
        <v>1075</v>
      </c>
      <c r="G815" s="37"/>
      <c r="H815" s="254"/>
      <c r="I815" s="69">
        <f t="shared" si="265"/>
        <v>0</v>
      </c>
      <c r="J815" s="258"/>
      <c r="K815" s="590" t="str">
        <f t="shared" si="266"/>
        <v>.1</v>
      </c>
      <c r="L815" s="579" t="s">
        <v>1996</v>
      </c>
      <c r="M815" s="256"/>
      <c r="N815" s="255"/>
      <c r="O815" s="592" t="str">
        <f t="shared" si="267"/>
        <v>.2</v>
      </c>
      <c r="P815" s="578" t="s">
        <v>1998</v>
      </c>
      <c r="Q815" s="256"/>
      <c r="R815" s="255"/>
      <c r="S815" s="592" t="str">
        <f t="shared" si="268"/>
        <v>.3</v>
      </c>
      <c r="T815" s="578" t="s">
        <v>2000</v>
      </c>
      <c r="U815" s="256"/>
      <c r="V815" s="764"/>
      <c r="W815" s="764"/>
      <c r="X815" s="158"/>
      <c r="Y815" s="745"/>
      <c r="Z815" s="741">
        <v>0</v>
      </c>
      <c r="AA815" s="592" t="str">
        <f t="shared" si="269"/>
        <v>.1</v>
      </c>
      <c r="AB815" s="739" t="s">
        <v>1996</v>
      </c>
      <c r="AC815" s="738">
        <v>0</v>
      </c>
      <c r="AD815" s="592" t="str">
        <f t="shared" si="270"/>
        <v>.2</v>
      </c>
      <c r="AE815" s="739" t="s">
        <v>1998</v>
      </c>
      <c r="AF815" s="738">
        <v>0</v>
      </c>
      <c r="AG815" s="592" t="str">
        <f t="shared" si="271"/>
        <v>.3</v>
      </c>
      <c r="AH815" s="739" t="s">
        <v>2000</v>
      </c>
      <c r="AI815" s="158"/>
    </row>
    <row r="816" spans="1:35" ht="15" hidden="1" customHeight="1" outlineLevel="3">
      <c r="A816" s="93"/>
      <c r="B816" s="93" t="s">
        <v>1075</v>
      </c>
      <c r="C816" s="93"/>
      <c r="D816" s="93"/>
      <c r="E816" s="93"/>
      <c r="F816" s="93" t="s">
        <v>1075</v>
      </c>
      <c r="G816" s="37"/>
      <c r="H816" s="254"/>
      <c r="I816" s="69">
        <f t="shared" si="265"/>
        <v>0</v>
      </c>
      <c r="J816" s="258"/>
      <c r="K816" s="590" t="str">
        <f t="shared" si="266"/>
        <v>.1</v>
      </c>
      <c r="L816" s="579" t="s">
        <v>1996</v>
      </c>
      <c r="M816" s="256"/>
      <c r="N816" s="255"/>
      <c r="O816" s="592" t="str">
        <f t="shared" si="267"/>
        <v>.2</v>
      </c>
      <c r="P816" s="578" t="s">
        <v>1998</v>
      </c>
      <c r="Q816" s="256"/>
      <c r="R816" s="255"/>
      <c r="S816" s="592" t="str">
        <f t="shared" si="268"/>
        <v>.3</v>
      </c>
      <c r="T816" s="578" t="s">
        <v>2000</v>
      </c>
      <c r="U816" s="256"/>
      <c r="V816" s="764"/>
      <c r="W816" s="764"/>
      <c r="X816" s="158"/>
      <c r="Y816" s="745"/>
      <c r="Z816" s="741">
        <v>0</v>
      </c>
      <c r="AA816" s="592" t="str">
        <f t="shared" si="269"/>
        <v>.1</v>
      </c>
      <c r="AB816" s="739" t="s">
        <v>1996</v>
      </c>
      <c r="AC816" s="738">
        <v>0</v>
      </c>
      <c r="AD816" s="592" t="str">
        <f t="shared" si="270"/>
        <v>.2</v>
      </c>
      <c r="AE816" s="739" t="s">
        <v>1998</v>
      </c>
      <c r="AF816" s="738">
        <v>0</v>
      </c>
      <c r="AG816" s="592" t="str">
        <f t="shared" si="271"/>
        <v>.3</v>
      </c>
      <c r="AH816" s="739" t="s">
        <v>2000</v>
      </c>
      <c r="AI816" s="158"/>
    </row>
    <row r="817" spans="1:35" ht="15" hidden="1" customHeight="1" outlineLevel="3">
      <c r="A817" s="93"/>
      <c r="B817" s="93" t="s">
        <v>1075</v>
      </c>
      <c r="C817" s="93"/>
      <c r="D817" s="93"/>
      <c r="E817" s="93"/>
      <c r="F817" s="93" t="s">
        <v>1075</v>
      </c>
      <c r="G817" s="39" t="s">
        <v>723</v>
      </c>
      <c r="H817" s="254"/>
      <c r="I817" s="69">
        <f t="shared" si="265"/>
        <v>0</v>
      </c>
      <c r="J817" s="258"/>
      <c r="K817" s="590" t="str">
        <f t="shared" si="266"/>
        <v>.1</v>
      </c>
      <c r="L817" s="579" t="s">
        <v>1996</v>
      </c>
      <c r="M817" s="256"/>
      <c r="N817" s="255"/>
      <c r="O817" s="592" t="str">
        <f t="shared" si="267"/>
        <v>.2</v>
      </c>
      <c r="P817" s="578" t="s">
        <v>1998</v>
      </c>
      <c r="Q817" s="256"/>
      <c r="R817" s="255"/>
      <c r="S817" s="592" t="str">
        <f t="shared" si="268"/>
        <v>.3</v>
      </c>
      <c r="T817" s="578" t="s">
        <v>2000</v>
      </c>
      <c r="U817" s="256"/>
      <c r="V817" s="764"/>
      <c r="W817" s="764"/>
      <c r="X817" s="158"/>
      <c r="Y817" s="745"/>
      <c r="Z817" s="741">
        <v>0</v>
      </c>
      <c r="AA817" s="592" t="str">
        <f t="shared" si="269"/>
        <v>.1</v>
      </c>
      <c r="AB817" s="739" t="s">
        <v>1996</v>
      </c>
      <c r="AC817" s="738">
        <v>0</v>
      </c>
      <c r="AD817" s="592" t="str">
        <f t="shared" si="270"/>
        <v>.2</v>
      </c>
      <c r="AE817" s="739" t="s">
        <v>1998</v>
      </c>
      <c r="AF817" s="738">
        <v>0</v>
      </c>
      <c r="AG817" s="592" t="str">
        <f t="shared" si="271"/>
        <v>.3</v>
      </c>
      <c r="AH817" s="739" t="s">
        <v>2000</v>
      </c>
      <c r="AI817" s="158"/>
    </row>
    <row r="818" spans="1:35" ht="15" hidden="1" customHeight="1" outlineLevel="3">
      <c r="A818" s="93">
        <v>99</v>
      </c>
      <c r="B818" s="93" t="s">
        <v>1075</v>
      </c>
      <c r="C818" s="93"/>
      <c r="D818" s="93"/>
      <c r="E818" s="93" t="s">
        <v>5337</v>
      </c>
      <c r="F818" s="93" t="s">
        <v>5338</v>
      </c>
      <c r="G818" s="37" t="s">
        <v>5316</v>
      </c>
      <c r="H818" s="707">
        <f>IFERROR(VLOOKUP(A818,'Colar QL'!A:C,3,0),0)</f>
        <v>2</v>
      </c>
      <c r="I818" s="69">
        <f t="shared" si="265"/>
        <v>2</v>
      </c>
      <c r="J818" s="124">
        <v>2</v>
      </c>
      <c r="K818" s="590" t="str">
        <f t="shared" si="266"/>
        <v>47.0284.1.3.03.00.01.039.08.01.00.1</v>
      </c>
      <c r="L818" s="579" t="s">
        <v>1996</v>
      </c>
      <c r="M818" s="74"/>
      <c r="N818" s="49"/>
      <c r="O818" s="592" t="str">
        <f t="shared" si="267"/>
        <v>47.0284.1.3.03.00.01.039.08.01.00.2</v>
      </c>
      <c r="P818" s="578" t="s">
        <v>1998</v>
      </c>
      <c r="Q818" s="74"/>
      <c r="R818" s="49"/>
      <c r="S818" s="592" t="str">
        <f t="shared" si="268"/>
        <v>47.0284.1.3.03.00.01.039.08.01.00.3</v>
      </c>
      <c r="T818" s="578" t="s">
        <v>2000</v>
      </c>
      <c r="U818" s="74"/>
      <c r="V818" s="764"/>
      <c r="W818" s="764"/>
      <c r="X818" s="158"/>
      <c r="Y818" s="745"/>
      <c r="Z818" s="741">
        <v>0</v>
      </c>
      <c r="AA818" s="592" t="str">
        <f t="shared" si="269"/>
        <v>47.0284.1.3.03.00.01.039.08.01.00.1</v>
      </c>
      <c r="AB818" s="739" t="s">
        <v>1996</v>
      </c>
      <c r="AC818" s="738">
        <v>0</v>
      </c>
      <c r="AD818" s="592" t="str">
        <f t="shared" si="270"/>
        <v>47.0284.1.3.03.00.01.039.08.01.00.2</v>
      </c>
      <c r="AE818" s="739" t="s">
        <v>1998</v>
      </c>
      <c r="AF818" s="738">
        <v>0</v>
      </c>
      <c r="AG818" s="592" t="str">
        <f t="shared" si="271"/>
        <v>47.0284.1.3.03.00.01.039.08.01.00.3</v>
      </c>
      <c r="AH818" s="739" t="s">
        <v>2000</v>
      </c>
      <c r="AI818" s="158"/>
    </row>
    <row r="819" spans="1:35" ht="15" hidden="1" customHeight="1" outlineLevel="3">
      <c r="A819" s="93">
        <v>100</v>
      </c>
      <c r="B819" s="99" t="s">
        <v>1075</v>
      </c>
      <c r="C819" s="99"/>
      <c r="D819" s="99"/>
      <c r="E819" s="99"/>
      <c r="F819" s="99" t="s">
        <v>1075</v>
      </c>
      <c r="G819" s="37" t="s">
        <v>5317</v>
      </c>
      <c r="H819" s="707">
        <f>IFERROR(VLOOKUP(A819,'Colar QL'!A:C,3,0),0)</f>
        <v>0</v>
      </c>
      <c r="I819" s="69">
        <f t="shared" si="265"/>
        <v>0</v>
      </c>
      <c r="J819" s="124">
        <v>0</v>
      </c>
      <c r="K819" s="590" t="str">
        <f t="shared" si="266"/>
        <v>.1</v>
      </c>
      <c r="L819" s="579" t="s">
        <v>1996</v>
      </c>
      <c r="M819" s="74"/>
      <c r="N819" s="49"/>
      <c r="O819" s="592" t="str">
        <f t="shared" si="267"/>
        <v>.2</v>
      </c>
      <c r="P819" s="578" t="s">
        <v>1998</v>
      </c>
      <c r="Q819" s="74"/>
      <c r="R819" s="49"/>
      <c r="S819" s="592" t="str">
        <f t="shared" si="268"/>
        <v>.3</v>
      </c>
      <c r="T819" s="578" t="s">
        <v>2000</v>
      </c>
      <c r="U819" s="74"/>
      <c r="V819" s="764"/>
      <c r="W819" s="764"/>
      <c r="X819" s="158"/>
      <c r="Y819" s="745"/>
      <c r="Z819" s="741">
        <v>0</v>
      </c>
      <c r="AA819" s="592" t="str">
        <f t="shared" si="269"/>
        <v>.1</v>
      </c>
      <c r="AB819" s="739" t="s">
        <v>1996</v>
      </c>
      <c r="AC819" s="738">
        <v>0</v>
      </c>
      <c r="AD819" s="592" t="str">
        <f t="shared" si="270"/>
        <v>.2</v>
      </c>
      <c r="AE819" s="739" t="s">
        <v>1998</v>
      </c>
      <c r="AF819" s="738">
        <v>0</v>
      </c>
      <c r="AG819" s="592" t="str">
        <f t="shared" si="271"/>
        <v>.3</v>
      </c>
      <c r="AH819" s="739" t="s">
        <v>2000</v>
      </c>
      <c r="AI819" s="158"/>
    </row>
    <row r="820" spans="1:35" ht="15" hidden="1" customHeight="1" outlineLevel="3">
      <c r="A820" s="93">
        <v>101</v>
      </c>
      <c r="B820" s="93" t="s">
        <v>1075</v>
      </c>
      <c r="C820" s="93"/>
      <c r="D820" s="93"/>
      <c r="E820" s="93" t="s">
        <v>5330</v>
      </c>
      <c r="F820" s="93" t="s">
        <v>5336</v>
      </c>
      <c r="G820" s="37" t="s">
        <v>5318</v>
      </c>
      <c r="H820" s="707">
        <f>IFERROR(VLOOKUP(A820,'Colar QL'!A:C,3,0),0)</f>
        <v>3</v>
      </c>
      <c r="I820" s="69">
        <f t="shared" si="265"/>
        <v>3</v>
      </c>
      <c r="J820" s="124">
        <v>3</v>
      </c>
      <c r="K820" s="590" t="str">
        <f t="shared" si="266"/>
        <v>47.0284.1.3.03.00.01.039.08.03.01.1</v>
      </c>
      <c r="L820" s="579" t="s">
        <v>1996</v>
      </c>
      <c r="M820" s="74"/>
      <c r="N820" s="49"/>
      <c r="O820" s="592" t="str">
        <f t="shared" si="267"/>
        <v>47.0284.1.3.03.00.01.039.08.03.01.2</v>
      </c>
      <c r="P820" s="578" t="s">
        <v>1998</v>
      </c>
      <c r="Q820" s="74"/>
      <c r="R820" s="49"/>
      <c r="S820" s="592" t="str">
        <f t="shared" si="268"/>
        <v>47.0284.1.3.03.00.01.039.08.03.01.3</v>
      </c>
      <c r="T820" s="578" t="s">
        <v>2000</v>
      </c>
      <c r="U820" s="74"/>
      <c r="V820" s="764"/>
      <c r="W820" s="764"/>
      <c r="X820" s="158"/>
      <c r="Y820" s="745"/>
      <c r="Z820" s="741">
        <v>0</v>
      </c>
      <c r="AA820" s="592" t="str">
        <f t="shared" si="269"/>
        <v>47.0284.1.3.03.00.01.039.08.03.01.1</v>
      </c>
      <c r="AB820" s="739" t="s">
        <v>1996</v>
      </c>
      <c r="AC820" s="738">
        <v>0</v>
      </c>
      <c r="AD820" s="592" t="str">
        <f t="shared" si="270"/>
        <v>47.0284.1.3.03.00.01.039.08.03.01.2</v>
      </c>
      <c r="AE820" s="739" t="s">
        <v>1998</v>
      </c>
      <c r="AF820" s="738">
        <v>0</v>
      </c>
      <c r="AG820" s="592" t="str">
        <f t="shared" si="271"/>
        <v>47.0284.1.3.03.00.01.039.08.03.01.3</v>
      </c>
      <c r="AH820" s="739" t="s">
        <v>2000</v>
      </c>
      <c r="AI820" s="158"/>
    </row>
    <row r="821" spans="1:35" ht="15" hidden="1" customHeight="1" outlineLevel="3">
      <c r="A821" s="93">
        <v>102</v>
      </c>
      <c r="B821" s="93" t="s">
        <v>1075</v>
      </c>
      <c r="C821" s="93"/>
      <c r="D821" s="93"/>
      <c r="E821" s="93" t="s">
        <v>5339</v>
      </c>
      <c r="F821" s="93" t="s">
        <v>5340</v>
      </c>
      <c r="G821" s="37" t="s">
        <v>163</v>
      </c>
      <c r="H821" s="707">
        <f>IFERROR(VLOOKUP(A821,'Colar QL'!A:C,3,0),0)</f>
        <v>0</v>
      </c>
      <c r="I821" s="69">
        <f t="shared" si="265"/>
        <v>0</v>
      </c>
      <c r="J821" s="124">
        <v>0</v>
      </c>
      <c r="K821" s="590" t="str">
        <f t="shared" si="266"/>
        <v>47.0284.1.3.03.00.01.039.00.47.01.1</v>
      </c>
      <c r="L821" s="579" t="s">
        <v>1996</v>
      </c>
      <c r="M821" s="74"/>
      <c r="N821" s="49"/>
      <c r="O821" s="592" t="str">
        <f t="shared" si="267"/>
        <v>47.0284.1.3.03.00.01.039.00.47.01.2</v>
      </c>
      <c r="P821" s="578" t="s">
        <v>1998</v>
      </c>
      <c r="Q821" s="74"/>
      <c r="R821" s="49"/>
      <c r="S821" s="592" t="str">
        <f t="shared" si="268"/>
        <v>47.0284.1.3.03.00.01.039.00.47.01.3</v>
      </c>
      <c r="T821" s="578" t="s">
        <v>2000</v>
      </c>
      <c r="U821" s="74"/>
      <c r="V821" s="764"/>
      <c r="W821" s="764"/>
      <c r="X821" s="158"/>
      <c r="Y821" s="745"/>
      <c r="Z821" s="741">
        <v>0</v>
      </c>
      <c r="AA821" s="592" t="str">
        <f t="shared" si="269"/>
        <v>47.0284.1.3.03.00.01.039.00.47.01.1</v>
      </c>
      <c r="AB821" s="739" t="s">
        <v>1996</v>
      </c>
      <c r="AC821" s="738">
        <v>0</v>
      </c>
      <c r="AD821" s="592" t="str">
        <f t="shared" si="270"/>
        <v>47.0284.1.3.03.00.01.039.00.47.01.2</v>
      </c>
      <c r="AE821" s="739" t="s">
        <v>1998</v>
      </c>
      <c r="AF821" s="738">
        <v>0</v>
      </c>
      <c r="AG821" s="592" t="str">
        <f t="shared" si="271"/>
        <v>47.0284.1.3.03.00.01.039.00.47.01.3</v>
      </c>
      <c r="AH821" s="739" t="s">
        <v>2000</v>
      </c>
      <c r="AI821" s="158"/>
    </row>
    <row r="822" spans="1:35" ht="15" hidden="1" customHeight="1" outlineLevel="3">
      <c r="A822" s="93">
        <v>103</v>
      </c>
      <c r="B822" s="93" t="s">
        <v>1075</v>
      </c>
      <c r="C822" s="93"/>
      <c r="D822" s="93"/>
      <c r="E822" s="93"/>
      <c r="F822" s="93" t="s">
        <v>1075</v>
      </c>
      <c r="G822" s="37"/>
      <c r="H822" s="79"/>
      <c r="I822" s="69">
        <f t="shared" si="265"/>
        <v>0</v>
      </c>
      <c r="J822" s="124"/>
      <c r="K822" s="590" t="str">
        <f t="shared" si="266"/>
        <v>.1</v>
      </c>
      <c r="L822" s="579" t="s">
        <v>1996</v>
      </c>
      <c r="M822" s="74"/>
      <c r="N822" s="49"/>
      <c r="O822" s="592" t="str">
        <f t="shared" si="267"/>
        <v>.2</v>
      </c>
      <c r="P822" s="578" t="s">
        <v>1998</v>
      </c>
      <c r="Q822" s="74"/>
      <c r="R822" s="49"/>
      <c r="S822" s="592" t="str">
        <f t="shared" si="268"/>
        <v>.3</v>
      </c>
      <c r="T822" s="578" t="s">
        <v>2000</v>
      </c>
      <c r="U822" s="74"/>
      <c r="V822" s="764"/>
      <c r="W822" s="764"/>
      <c r="X822" s="158"/>
      <c r="Y822" s="745"/>
      <c r="Z822" s="741">
        <v>0</v>
      </c>
      <c r="AA822" s="592" t="str">
        <f t="shared" si="269"/>
        <v>.1</v>
      </c>
      <c r="AB822" s="739" t="s">
        <v>1996</v>
      </c>
      <c r="AC822" s="738">
        <v>0</v>
      </c>
      <c r="AD822" s="592" t="str">
        <f t="shared" si="270"/>
        <v>.2</v>
      </c>
      <c r="AE822" s="739" t="s">
        <v>1998</v>
      </c>
      <c r="AF822" s="738">
        <v>0</v>
      </c>
      <c r="AG822" s="592" t="str">
        <f t="shared" si="271"/>
        <v>.3</v>
      </c>
      <c r="AH822" s="739" t="s">
        <v>2000</v>
      </c>
      <c r="AI822" s="158"/>
    </row>
    <row r="823" spans="1:35" ht="15" hidden="1" customHeight="1" outlineLevel="3">
      <c r="A823" s="93">
        <v>104</v>
      </c>
      <c r="B823" s="93" t="s">
        <v>1075</v>
      </c>
      <c r="C823" s="93"/>
      <c r="D823" s="93"/>
      <c r="E823" s="93"/>
      <c r="F823" s="93" t="s">
        <v>1075</v>
      </c>
      <c r="G823" s="37"/>
      <c r="H823" s="79"/>
      <c r="I823" s="69">
        <f t="shared" si="265"/>
        <v>0</v>
      </c>
      <c r="J823" s="124"/>
      <c r="K823" s="590" t="str">
        <f t="shared" si="266"/>
        <v>.1</v>
      </c>
      <c r="L823" s="579" t="s">
        <v>1996</v>
      </c>
      <c r="M823" s="74"/>
      <c r="N823" s="49"/>
      <c r="O823" s="592" t="str">
        <f t="shared" si="267"/>
        <v>.2</v>
      </c>
      <c r="P823" s="578" t="s">
        <v>1998</v>
      </c>
      <c r="Q823" s="74"/>
      <c r="R823" s="49"/>
      <c r="S823" s="592" t="str">
        <f t="shared" si="268"/>
        <v>.3</v>
      </c>
      <c r="T823" s="578" t="s">
        <v>2000</v>
      </c>
      <c r="U823" s="74"/>
      <c r="V823" s="764"/>
      <c r="W823" s="764"/>
      <c r="X823" s="158"/>
      <c r="Y823" s="745"/>
      <c r="Z823" s="741">
        <v>0</v>
      </c>
      <c r="AA823" s="592" t="str">
        <f t="shared" si="269"/>
        <v>.1</v>
      </c>
      <c r="AB823" s="739" t="s">
        <v>1996</v>
      </c>
      <c r="AC823" s="738">
        <v>0</v>
      </c>
      <c r="AD823" s="592" t="str">
        <f t="shared" si="270"/>
        <v>.2</v>
      </c>
      <c r="AE823" s="739" t="s">
        <v>1998</v>
      </c>
      <c r="AF823" s="738">
        <v>0</v>
      </c>
      <c r="AG823" s="592" t="str">
        <f t="shared" si="271"/>
        <v>.3</v>
      </c>
      <c r="AH823" s="739" t="s">
        <v>2000</v>
      </c>
      <c r="AI823" s="158"/>
    </row>
    <row r="824" spans="1:35" ht="15" hidden="1" customHeight="1" outlineLevel="3">
      <c r="A824" s="93"/>
      <c r="B824" s="93" t="s">
        <v>1075</v>
      </c>
      <c r="C824" s="93"/>
      <c r="D824" s="93"/>
      <c r="E824" s="93"/>
      <c r="F824" s="93" t="s">
        <v>1075</v>
      </c>
      <c r="G824" s="37"/>
      <c r="H824" s="79"/>
      <c r="I824" s="69">
        <f t="shared" si="265"/>
        <v>0</v>
      </c>
      <c r="J824" s="48"/>
      <c r="K824" s="590" t="str">
        <f t="shared" si="266"/>
        <v>.1</v>
      </c>
      <c r="L824" s="579" t="s">
        <v>1996</v>
      </c>
      <c r="M824" s="74"/>
      <c r="N824" s="49"/>
      <c r="O824" s="592" t="str">
        <f t="shared" si="267"/>
        <v>.2</v>
      </c>
      <c r="P824" s="578" t="s">
        <v>1998</v>
      </c>
      <c r="Q824" s="74"/>
      <c r="R824" s="49"/>
      <c r="S824" s="592" t="str">
        <f t="shared" si="268"/>
        <v>.3</v>
      </c>
      <c r="T824" s="578" t="s">
        <v>2000</v>
      </c>
      <c r="U824" s="74"/>
      <c r="V824" s="764"/>
      <c r="W824" s="764"/>
      <c r="X824" s="158"/>
      <c r="Y824" s="745"/>
      <c r="Z824" s="741">
        <v>0</v>
      </c>
      <c r="AA824" s="592" t="str">
        <f t="shared" si="269"/>
        <v>.1</v>
      </c>
      <c r="AB824" s="739" t="s">
        <v>1996</v>
      </c>
      <c r="AC824" s="738">
        <v>0</v>
      </c>
      <c r="AD824" s="592" t="str">
        <f t="shared" si="270"/>
        <v>.2</v>
      </c>
      <c r="AE824" s="739" t="s">
        <v>1998</v>
      </c>
      <c r="AF824" s="738">
        <v>0</v>
      </c>
      <c r="AG824" s="592" t="str">
        <f t="shared" si="271"/>
        <v>.3</v>
      </c>
      <c r="AH824" s="739" t="s">
        <v>2000</v>
      </c>
      <c r="AI824" s="158"/>
    </row>
    <row r="825" spans="1:35" ht="15" hidden="1" customHeight="1" outlineLevel="3">
      <c r="A825" s="95"/>
      <c r="B825" s="95" t="s">
        <v>1075</v>
      </c>
      <c r="C825" s="95"/>
      <c r="D825" s="95"/>
      <c r="E825" s="774"/>
      <c r="F825" s="774" t="s">
        <v>1075</v>
      </c>
      <c r="G825" s="13"/>
      <c r="H825" s="81"/>
      <c r="I825" s="71">
        <f t="shared" si="265"/>
        <v>0</v>
      </c>
      <c r="J825" s="48"/>
      <c r="K825" s="590" t="str">
        <f t="shared" si="266"/>
        <v>.1</v>
      </c>
      <c r="L825" s="579" t="s">
        <v>1996</v>
      </c>
      <c r="M825" s="74"/>
      <c r="N825" s="49"/>
      <c r="O825" s="592" t="str">
        <f t="shared" si="267"/>
        <v>.2</v>
      </c>
      <c r="P825" s="578" t="s">
        <v>1998</v>
      </c>
      <c r="Q825" s="74"/>
      <c r="R825" s="49"/>
      <c r="S825" s="592" t="str">
        <f t="shared" si="268"/>
        <v>.3</v>
      </c>
      <c r="T825" s="578" t="s">
        <v>2000</v>
      </c>
      <c r="U825" s="74"/>
      <c r="V825" s="766"/>
      <c r="W825" s="766"/>
      <c r="X825" s="171"/>
      <c r="Y825" s="745"/>
      <c r="Z825" s="741">
        <v>0</v>
      </c>
      <c r="AA825" s="592" t="str">
        <f t="shared" si="269"/>
        <v>.1</v>
      </c>
      <c r="AB825" s="739" t="s">
        <v>1996</v>
      </c>
      <c r="AC825" s="738">
        <v>0</v>
      </c>
      <c r="AD825" s="592" t="str">
        <f t="shared" si="270"/>
        <v>.2</v>
      </c>
      <c r="AE825" s="739" t="s">
        <v>1998</v>
      </c>
      <c r="AF825" s="738">
        <v>0</v>
      </c>
      <c r="AG825" s="592" t="str">
        <f t="shared" si="271"/>
        <v>.3</v>
      </c>
      <c r="AH825" s="739" t="s">
        <v>2000</v>
      </c>
      <c r="AI825" s="171"/>
    </row>
    <row r="826" spans="1:35" ht="15" hidden="1" customHeight="1" outlineLevel="2">
      <c r="A826" s="97"/>
      <c r="B826" s="97" t="s">
        <v>1075</v>
      </c>
      <c r="C826" s="97"/>
      <c r="D826" s="97"/>
      <c r="E826" s="97"/>
      <c r="F826" s="97" t="s">
        <v>1075</v>
      </c>
      <c r="G826" s="40" t="s">
        <v>235</v>
      </c>
      <c r="H826" s="78">
        <f>SUBTOTAL(9,H827:H828)</f>
        <v>0</v>
      </c>
      <c r="I826" s="68">
        <f t="shared" si="265"/>
        <v>0</v>
      </c>
      <c r="J826" s="55">
        <f>SUBTOTAL(9,J827)</f>
        <v>0</v>
      </c>
      <c r="K826" s="55"/>
      <c r="L826" s="55"/>
      <c r="M826" s="84"/>
      <c r="N826" s="56">
        <f>SUBTOTAL(9,N827)</f>
        <v>0</v>
      </c>
      <c r="O826" s="84"/>
      <c r="P826" s="84"/>
      <c r="Q826" s="84"/>
      <c r="R826" s="56">
        <f>SUBTOTAL(9,R827)</f>
        <v>0</v>
      </c>
      <c r="S826" s="84"/>
      <c r="T826" s="84"/>
      <c r="U826" s="84"/>
      <c r="V826" s="56">
        <f>SUBTOTAL(9,V827)</f>
        <v>0</v>
      </c>
      <c r="W826" s="56">
        <f>SUBTOTAL(9,W827)</f>
        <v>0</v>
      </c>
      <c r="X826" s="170"/>
      <c r="Y826" s="745"/>
      <c r="Z826" s="55">
        <f>SUBTOTAL(9,Z827)</f>
        <v>0</v>
      </c>
      <c r="AA826" s="84"/>
      <c r="AB826" s="84"/>
      <c r="AC826" s="56">
        <f>SUBTOTAL(9,AC827)</f>
        <v>0</v>
      </c>
      <c r="AD826" s="84"/>
      <c r="AE826" s="84"/>
      <c r="AF826" s="56">
        <f>SUBTOTAL(9,AF827)</f>
        <v>0</v>
      </c>
      <c r="AG826" s="84"/>
      <c r="AH826" s="84"/>
      <c r="AI826" s="170"/>
    </row>
    <row r="827" spans="1:35" ht="15" hidden="1" customHeight="1" outlineLevel="3">
      <c r="A827" s="95">
        <v>105</v>
      </c>
      <c r="B827" s="95" t="s">
        <v>1075</v>
      </c>
      <c r="C827" s="95"/>
      <c r="D827" s="95"/>
      <c r="E827" s="774"/>
      <c r="F827" s="774" t="s">
        <v>1075</v>
      </c>
      <c r="G827" s="13" t="s">
        <v>3030</v>
      </c>
      <c r="H827" s="583">
        <f>IFERROR(VLOOKUP(A827,'Colar QL'!A:C,3,0),0)</f>
        <v>0</v>
      </c>
      <c r="I827" s="69">
        <f t="shared" si="265"/>
        <v>0</v>
      </c>
      <c r="J827" s="771">
        <v>0</v>
      </c>
      <c r="K827" s="590" t="str">
        <f>F827&amp;L827</f>
        <v>.1</v>
      </c>
      <c r="L827" s="771" t="s">
        <v>1996</v>
      </c>
      <c r="M827" s="772"/>
      <c r="N827" s="770">
        <f>ROUND(N804*$U$5,0)</f>
        <v>0</v>
      </c>
      <c r="O827" s="592" t="str">
        <f>F827&amp;P827</f>
        <v>.2</v>
      </c>
      <c r="P827" s="772" t="s">
        <v>1998</v>
      </c>
      <c r="Q827" s="772"/>
      <c r="R827" s="770">
        <f>ROUND(R804*$U$5,0)</f>
        <v>0</v>
      </c>
      <c r="S827" s="592" t="str">
        <f>F827&amp;T827</f>
        <v>.3</v>
      </c>
      <c r="T827" s="772" t="s">
        <v>2000</v>
      </c>
      <c r="U827" s="772"/>
      <c r="V827" s="764"/>
      <c r="W827" s="764"/>
      <c r="X827" s="158"/>
      <c r="Y827" s="745"/>
      <c r="Z827" s="771">
        <f>ROUND(Z804*$U$5,0)</f>
        <v>0</v>
      </c>
      <c r="AA827" s="592" t="str">
        <f>F827&amp;AB827</f>
        <v>.1</v>
      </c>
      <c r="AB827" s="772" t="s">
        <v>1996</v>
      </c>
      <c r="AC827" s="770">
        <f>ROUND(AC804*$U$5,0)</f>
        <v>0</v>
      </c>
      <c r="AD827" s="592" t="str">
        <f>F827&amp;AE827</f>
        <v>.2</v>
      </c>
      <c r="AE827" s="772" t="s">
        <v>1998</v>
      </c>
      <c r="AF827" s="770">
        <f>ROUND(AF804*$U$5,0)</f>
        <v>0</v>
      </c>
      <c r="AG827" s="592" t="str">
        <f>F827&amp;AH827</f>
        <v>.3</v>
      </c>
      <c r="AH827" s="772" t="s">
        <v>2000</v>
      </c>
      <c r="AI827" s="158"/>
    </row>
    <row r="828" spans="1:35" ht="15" hidden="1" customHeight="1" outlineLevel="3">
      <c r="A828" s="95">
        <v>106</v>
      </c>
      <c r="B828" s="95" t="s">
        <v>1075</v>
      </c>
      <c r="C828" s="95"/>
      <c r="D828" s="95"/>
      <c r="E828" s="774"/>
      <c r="F828" s="774" t="s">
        <v>1075</v>
      </c>
      <c r="G828" s="13"/>
      <c r="H828" s="583"/>
      <c r="I828" s="69">
        <f t="shared" si="265"/>
        <v>0</v>
      </c>
      <c r="J828" s="771"/>
      <c r="K828" s="590" t="str">
        <f>F828&amp;L828</f>
        <v>.1</v>
      </c>
      <c r="L828" s="771" t="s">
        <v>1996</v>
      </c>
      <c r="M828" s="772"/>
      <c r="N828" s="770"/>
      <c r="O828" s="592" t="str">
        <f>F828&amp;P828</f>
        <v>.2</v>
      </c>
      <c r="P828" s="772" t="s">
        <v>1998</v>
      </c>
      <c r="Q828" s="772"/>
      <c r="R828" s="770"/>
      <c r="S828" s="592" t="str">
        <f>F828&amp;T828</f>
        <v>.3</v>
      </c>
      <c r="T828" s="772" t="s">
        <v>2000</v>
      </c>
      <c r="U828" s="772"/>
      <c r="V828" s="764"/>
      <c r="W828" s="764"/>
      <c r="X828" s="158"/>
      <c r="Y828" s="745"/>
      <c r="Z828" s="771"/>
      <c r="AA828" s="592" t="str">
        <f>F828&amp;AB828</f>
        <v>.1</v>
      </c>
      <c r="AB828" s="772" t="s">
        <v>1996</v>
      </c>
      <c r="AC828" s="770"/>
      <c r="AD828" s="592" t="str">
        <f>F828&amp;AE828</f>
        <v>.2</v>
      </c>
      <c r="AE828" s="772" t="s">
        <v>1998</v>
      </c>
      <c r="AF828" s="770"/>
      <c r="AG828" s="592" t="str">
        <f>F828&amp;AH828</f>
        <v>.3</v>
      </c>
      <c r="AH828" s="772" t="s">
        <v>2000</v>
      </c>
      <c r="AI828" s="158"/>
    </row>
    <row r="829" spans="1:35" ht="15" hidden="1" customHeight="1" outlineLevel="3">
      <c r="A829" s="95"/>
      <c r="B829" s="95" t="s">
        <v>1075</v>
      </c>
      <c r="C829" s="95"/>
      <c r="D829" s="95"/>
      <c r="E829" s="774"/>
      <c r="F829" s="774" t="s">
        <v>1075</v>
      </c>
      <c r="G829" s="13"/>
      <c r="H829" s="81"/>
      <c r="I829" s="71">
        <f t="shared" si="265"/>
        <v>0</v>
      </c>
      <c r="J829" s="48"/>
      <c r="K829" s="579"/>
      <c r="L829" s="579"/>
      <c r="M829" s="74"/>
      <c r="N829" s="49"/>
      <c r="O829" s="578"/>
      <c r="P829" s="578"/>
      <c r="Q829" s="74"/>
      <c r="R829" s="49"/>
      <c r="S829" s="578"/>
      <c r="T829" s="578"/>
      <c r="U829" s="74"/>
      <c r="V829" s="766"/>
      <c r="W829" s="766"/>
      <c r="X829" s="171"/>
      <c r="Y829" s="745"/>
      <c r="Z829" s="741"/>
      <c r="AA829" s="739"/>
      <c r="AB829" s="739"/>
      <c r="AC829" s="738"/>
      <c r="AD829" s="739"/>
      <c r="AE829" s="739"/>
      <c r="AF829" s="738"/>
      <c r="AG829" s="739"/>
      <c r="AH829" s="739"/>
      <c r="AI829" s="171"/>
    </row>
    <row r="830" spans="1:35">
      <c r="A830" s="100"/>
      <c r="B830" s="100" t="s">
        <v>1075</v>
      </c>
      <c r="C830" s="100"/>
      <c r="D830" s="100"/>
      <c r="E830" s="100"/>
      <c r="F830" s="100" t="s">
        <v>1075</v>
      </c>
      <c r="G830" s="17" t="s">
        <v>268</v>
      </c>
      <c r="H830" s="76">
        <f>ROUND(SUBTOTAL(9,H831:H841),0)</f>
        <v>10</v>
      </c>
      <c r="I830" s="64">
        <f t="shared" si="265"/>
        <v>10</v>
      </c>
      <c r="J830" s="52">
        <f>ROUND(SUBTOTAL(9,J831:J841),0)</f>
        <v>10</v>
      </c>
      <c r="K830" s="52"/>
      <c r="L830" s="52"/>
      <c r="M830" s="86"/>
      <c r="N830" s="52">
        <f>ROUND(SUBTOTAL(9,N831:N841),0)</f>
        <v>0</v>
      </c>
      <c r="O830" s="587"/>
      <c r="P830" s="587"/>
      <c r="Q830" s="86"/>
      <c r="R830" s="52">
        <f>ROUND(SUBTOTAL(9,R831:R841),0)</f>
        <v>0</v>
      </c>
      <c r="S830" s="587"/>
      <c r="T830" s="587"/>
      <c r="U830" s="86"/>
      <c r="V830" s="52">
        <f>ROUND(SUBTOTAL(9,V831:V841),0)</f>
        <v>0</v>
      </c>
      <c r="W830" s="52">
        <f>ROUND(SUBTOTAL(9,W831:W841),0)</f>
        <v>0</v>
      </c>
      <c r="X830" s="168"/>
      <c r="Y830" s="745"/>
      <c r="Z830" s="52">
        <f>ROUND(SUBTOTAL(9,Z831:Z841),0)</f>
        <v>0</v>
      </c>
      <c r="AA830" s="587"/>
      <c r="AB830" s="587"/>
      <c r="AC830" s="52">
        <f>ROUND(SUBTOTAL(9,AC831:AC841),0)</f>
        <v>0</v>
      </c>
      <c r="AD830" s="587"/>
      <c r="AE830" s="587"/>
      <c r="AF830" s="52">
        <f>ROUND(SUBTOTAL(9,AF831:AF841),0)</f>
        <v>0</v>
      </c>
      <c r="AG830" s="587"/>
      <c r="AH830" s="587"/>
      <c r="AI830" s="168"/>
    </row>
    <row r="831" spans="1:35" ht="15" customHeight="1" outlineLevel="1" collapsed="1">
      <c r="A831" s="98"/>
      <c r="B831" s="98" t="s">
        <v>1075</v>
      </c>
      <c r="C831" s="98"/>
      <c r="D831" s="98"/>
      <c r="E831" s="98"/>
      <c r="F831" s="98" t="s">
        <v>1075</v>
      </c>
      <c r="G831" s="35" t="s">
        <v>268</v>
      </c>
      <c r="H831" s="77">
        <f>SUBTOTAL(9,H832:H841)</f>
        <v>10</v>
      </c>
      <c r="I831" s="67">
        <f t="shared" si="265"/>
        <v>10</v>
      </c>
      <c r="J831" s="54">
        <f>SUBTOTAL(9,J832:J841)</f>
        <v>10</v>
      </c>
      <c r="K831" s="54"/>
      <c r="L831" s="54"/>
      <c r="M831" s="85"/>
      <c r="N831" s="54">
        <f>SUBTOTAL(9,N832:N841)</f>
        <v>0</v>
      </c>
      <c r="O831" s="90"/>
      <c r="P831" s="90"/>
      <c r="Q831" s="85"/>
      <c r="R831" s="54">
        <f>SUBTOTAL(9,R832:R841)</f>
        <v>0</v>
      </c>
      <c r="S831" s="90"/>
      <c r="T831" s="90"/>
      <c r="U831" s="85"/>
      <c r="V831" s="54">
        <f>SUBTOTAL(9,V832:V841)</f>
        <v>0</v>
      </c>
      <c r="W831" s="54">
        <f>SUBTOTAL(9,W832:W841)</f>
        <v>0</v>
      </c>
      <c r="X831" s="169"/>
      <c r="Y831" s="745"/>
      <c r="Z831" s="54">
        <f>SUBTOTAL(9,Z832:Z841)</f>
        <v>0</v>
      </c>
      <c r="AA831" s="90"/>
      <c r="AB831" s="90"/>
      <c r="AC831" s="54">
        <f>SUBTOTAL(9,AC832:AC841)</f>
        <v>0</v>
      </c>
      <c r="AD831" s="90"/>
      <c r="AE831" s="90"/>
      <c r="AF831" s="54">
        <f>SUBTOTAL(9,AF832:AF841)</f>
        <v>0</v>
      </c>
      <c r="AG831" s="90"/>
      <c r="AH831" s="90"/>
      <c r="AI831" s="169"/>
    </row>
    <row r="832" spans="1:35" ht="15" hidden="1" customHeight="1" outlineLevel="2">
      <c r="A832" s="97"/>
      <c r="B832" s="97" t="s">
        <v>1075</v>
      </c>
      <c r="C832" s="97"/>
      <c r="D832" s="97"/>
      <c r="E832" s="97"/>
      <c r="F832" s="97" t="s">
        <v>1075</v>
      </c>
      <c r="G832" s="40" t="s">
        <v>714</v>
      </c>
      <c r="H832" s="78">
        <f>SUBTOTAL(9,H833:H837)</f>
        <v>10</v>
      </c>
      <c r="I832" s="68">
        <f t="shared" si="265"/>
        <v>10</v>
      </c>
      <c r="J832" s="55">
        <f>SUBTOTAL(9,J833:J837)</f>
        <v>10</v>
      </c>
      <c r="K832" s="55"/>
      <c r="L832" s="55"/>
      <c r="M832" s="91"/>
      <c r="N832" s="55">
        <f>SUBTOTAL(9,N833:N837)</f>
        <v>0</v>
      </c>
      <c r="O832" s="91"/>
      <c r="P832" s="91"/>
      <c r="Q832" s="84"/>
      <c r="R832" s="55">
        <f>SUBTOTAL(9,R833:R837)</f>
        <v>0</v>
      </c>
      <c r="S832" s="91"/>
      <c r="T832" s="91"/>
      <c r="U832" s="84"/>
      <c r="V832" s="55">
        <f>SUBTOTAL(9,V833:V837)</f>
        <v>0</v>
      </c>
      <c r="W832" s="55">
        <f>SUBTOTAL(9,W833:W837)</f>
        <v>0</v>
      </c>
      <c r="X832" s="170"/>
      <c r="Y832" s="745"/>
      <c r="Z832" s="55">
        <f>SUBTOTAL(9,Z833:Z837)</f>
        <v>0</v>
      </c>
      <c r="AA832" s="91"/>
      <c r="AB832" s="91"/>
      <c r="AC832" s="55">
        <f>SUBTOTAL(9,AC833:AC837)</f>
        <v>0</v>
      </c>
      <c r="AD832" s="91"/>
      <c r="AE832" s="91"/>
      <c r="AF832" s="55">
        <f>SUBTOTAL(9,AF833:AF837)</f>
        <v>0</v>
      </c>
      <c r="AG832" s="91"/>
      <c r="AH832" s="91"/>
      <c r="AI832" s="170"/>
    </row>
    <row r="833" spans="1:35" ht="15" hidden="1" customHeight="1" outlineLevel="3">
      <c r="A833" s="95" t="s">
        <v>1974</v>
      </c>
      <c r="B833" s="95">
        <v>3035</v>
      </c>
      <c r="C833" s="95"/>
      <c r="D833" s="95"/>
      <c r="E833" s="774" t="s">
        <v>5250</v>
      </c>
      <c r="F833" s="774" t="s">
        <v>5230</v>
      </c>
      <c r="G833" s="13" t="s">
        <v>3157</v>
      </c>
      <c r="H833" s="707">
        <f>IFERROR(VLOOKUP(A833,'Colar QL'!A:C,3,0),0)</f>
        <v>10</v>
      </c>
      <c r="I833" s="69">
        <f t="shared" si="265"/>
        <v>10</v>
      </c>
      <c r="J833" s="771">
        <v>10</v>
      </c>
      <c r="K833" s="590" t="str">
        <f t="shared" ref="K833:K837" si="272">F833&amp;L833</f>
        <v>47.0284.1.2.17.00.01.039.01.14.03.1</v>
      </c>
      <c r="L833" s="771" t="s">
        <v>1996</v>
      </c>
      <c r="M833" s="772" t="str">
        <f>'BD Temp'!F889</f>
        <v>-</v>
      </c>
      <c r="N833" s="770">
        <v>0</v>
      </c>
      <c r="O833" s="592" t="str">
        <f t="shared" ref="O833:O837" si="273">F833&amp;P833</f>
        <v>47.0284.1.2.17.00.01.039.01.14.03.2</v>
      </c>
      <c r="P833" s="772" t="s">
        <v>1998</v>
      </c>
      <c r="Q833" s="772" t="str">
        <f>'BD Temp'!K889</f>
        <v>-</v>
      </c>
      <c r="R833" s="770">
        <v>0</v>
      </c>
      <c r="S833" s="592" t="str">
        <f t="shared" ref="S833:S837" si="274">F833&amp;T833</f>
        <v>47.0284.1.2.17.00.01.039.01.14.03.3</v>
      </c>
      <c r="T833" s="772" t="s">
        <v>2000</v>
      </c>
      <c r="U833" s="772" t="str">
        <f>'BD Temp'!P889</f>
        <v>-</v>
      </c>
      <c r="V833" s="764"/>
      <c r="W833" s="764"/>
      <c r="X833" s="158"/>
      <c r="Y833" s="745"/>
      <c r="Z833" s="771">
        <v>0</v>
      </c>
      <c r="AA833" s="592" t="str">
        <f t="shared" ref="AA833:AA837" si="275">F833&amp;AB833</f>
        <v>47.0284.1.2.17.00.01.039.01.14.03.1</v>
      </c>
      <c r="AB833" s="772" t="s">
        <v>1996</v>
      </c>
      <c r="AC833" s="770">
        <v>0</v>
      </c>
      <c r="AD833" s="592" t="str">
        <f t="shared" ref="AD833:AD837" si="276">F833&amp;AE833</f>
        <v>47.0284.1.2.17.00.01.039.01.14.03.2</v>
      </c>
      <c r="AE833" s="772" t="s">
        <v>1998</v>
      </c>
      <c r="AF833" s="770">
        <v>0</v>
      </c>
      <c r="AG833" s="592" t="str">
        <f t="shared" ref="AG833:AG837" si="277">F833&amp;AH833</f>
        <v>47.0284.1.2.17.00.01.039.01.14.03.3</v>
      </c>
      <c r="AH833" s="772" t="s">
        <v>2000</v>
      </c>
      <c r="AI833" s="158"/>
    </row>
    <row r="834" spans="1:35" ht="15" hidden="1" customHeight="1" outlineLevel="3">
      <c r="A834" s="813" t="s">
        <v>1975</v>
      </c>
      <c r="B834" s="813">
        <v>3035</v>
      </c>
      <c r="C834" s="95"/>
      <c r="D834" s="95"/>
      <c r="E834" s="774" t="s">
        <v>5246</v>
      </c>
      <c r="F834" s="774" t="s">
        <v>5231</v>
      </c>
      <c r="G834" s="13" t="s">
        <v>3158</v>
      </c>
      <c r="H834" s="707">
        <f>IFERROR(VLOOKUP(A834,'Colar QL'!A:C,3,0),0)</f>
        <v>0</v>
      </c>
      <c r="I834" s="69">
        <f t="shared" si="265"/>
        <v>0</v>
      </c>
      <c r="J834" s="771">
        <f>'BD Temp'!E890</f>
        <v>0</v>
      </c>
      <c r="K834" s="590" t="str">
        <f t="shared" si="272"/>
        <v>47.0284.1.2.17.00.01.039.01.14.02.1</v>
      </c>
      <c r="L834" s="771" t="s">
        <v>1996</v>
      </c>
      <c r="M834" s="772" t="str">
        <f>'BD Temp'!F890</f>
        <v>-</v>
      </c>
      <c r="N834" s="770">
        <f>'BD Temp'!J890</f>
        <v>0</v>
      </c>
      <c r="O834" s="592" t="str">
        <f t="shared" si="273"/>
        <v>47.0284.1.2.17.00.01.039.01.14.02.2</v>
      </c>
      <c r="P834" s="772" t="s">
        <v>1998</v>
      </c>
      <c r="Q834" s="772" t="str">
        <f>'BD Temp'!K890</f>
        <v>-</v>
      </c>
      <c r="R834" s="770">
        <v>0</v>
      </c>
      <c r="S834" s="592" t="str">
        <f t="shared" si="274"/>
        <v>47.0284.1.2.17.00.01.039.01.14.02.3</v>
      </c>
      <c r="T834" s="772" t="s">
        <v>2000</v>
      </c>
      <c r="U834" s="772" t="str">
        <f>'BD Temp'!P890</f>
        <v>-</v>
      </c>
      <c r="V834" s="764"/>
      <c r="W834" s="764"/>
      <c r="X834" s="158"/>
      <c r="Y834" s="745"/>
      <c r="Z834" s="771">
        <v>0</v>
      </c>
      <c r="AA834" s="592" t="str">
        <f t="shared" si="275"/>
        <v>47.0284.1.2.17.00.01.039.01.14.02.1</v>
      </c>
      <c r="AB834" s="772" t="s">
        <v>1996</v>
      </c>
      <c r="AC834" s="770">
        <v>0</v>
      </c>
      <c r="AD834" s="592" t="str">
        <f t="shared" si="276"/>
        <v>47.0284.1.2.17.00.01.039.01.14.02.2</v>
      </c>
      <c r="AE834" s="772" t="s">
        <v>1998</v>
      </c>
      <c r="AF834" s="770">
        <v>0</v>
      </c>
      <c r="AG834" s="592" t="str">
        <f t="shared" si="277"/>
        <v>47.0284.1.2.17.00.01.039.01.14.02.3</v>
      </c>
      <c r="AH834" s="772" t="s">
        <v>2000</v>
      </c>
      <c r="AI834" s="158"/>
    </row>
    <row r="835" spans="1:35" ht="15" hidden="1" customHeight="1" outlineLevel="3">
      <c r="A835" s="813" t="s">
        <v>1976</v>
      </c>
      <c r="B835" s="813">
        <v>3035</v>
      </c>
      <c r="C835" s="95"/>
      <c r="D835" s="95"/>
      <c r="E835" s="774" t="s">
        <v>5248</v>
      </c>
      <c r="F835" s="774" t="s">
        <v>5247</v>
      </c>
      <c r="G835" s="13" t="s">
        <v>3159</v>
      </c>
      <c r="H835" s="707">
        <f>IFERROR(VLOOKUP(A835,'Colar QL'!A:C,3,0),0)</f>
        <v>0</v>
      </c>
      <c r="I835" s="69">
        <f t="shared" si="265"/>
        <v>0</v>
      </c>
      <c r="J835" s="771">
        <v>0</v>
      </c>
      <c r="K835" s="590" t="str">
        <f t="shared" si="272"/>
        <v>47.0284.1.2.17.00.01.039.01.14.01.1</v>
      </c>
      <c r="L835" s="771" t="s">
        <v>1996</v>
      </c>
      <c r="M835" s="772" t="str">
        <f>'BD Temp'!F891</f>
        <v>-</v>
      </c>
      <c r="N835" s="770">
        <f>'BD Temp'!J891</f>
        <v>0</v>
      </c>
      <c r="O835" s="592" t="str">
        <f t="shared" si="273"/>
        <v>47.0284.1.2.17.00.01.039.01.14.01.2</v>
      </c>
      <c r="P835" s="772" t="s">
        <v>1998</v>
      </c>
      <c r="Q835" s="772" t="str">
        <f>'BD Temp'!K891</f>
        <v>-</v>
      </c>
      <c r="R835" s="770">
        <f>'BD Temp'!O891</f>
        <v>0</v>
      </c>
      <c r="S835" s="592" t="str">
        <f t="shared" si="274"/>
        <v>47.0284.1.2.17.00.01.039.01.14.01.3</v>
      </c>
      <c r="T835" s="772" t="s">
        <v>2000</v>
      </c>
      <c r="U835" s="772" t="str">
        <f>'BD Temp'!P891</f>
        <v>-</v>
      </c>
      <c r="V835" s="764"/>
      <c r="W835" s="764"/>
      <c r="X835" s="158"/>
      <c r="Y835" s="745"/>
      <c r="Z835" s="771">
        <v>0</v>
      </c>
      <c r="AA835" s="592" t="str">
        <f t="shared" si="275"/>
        <v>47.0284.1.2.17.00.01.039.01.14.01.1</v>
      </c>
      <c r="AB835" s="772" t="s">
        <v>1996</v>
      </c>
      <c r="AC835" s="770">
        <v>0</v>
      </c>
      <c r="AD835" s="592" t="str">
        <f t="shared" si="276"/>
        <v>47.0284.1.2.17.00.01.039.01.14.01.2</v>
      </c>
      <c r="AE835" s="772" t="s">
        <v>1998</v>
      </c>
      <c r="AF835" s="770">
        <v>0</v>
      </c>
      <c r="AG835" s="592" t="str">
        <f t="shared" si="277"/>
        <v>47.0284.1.2.17.00.01.039.01.14.01.3</v>
      </c>
      <c r="AH835" s="772" t="s">
        <v>2000</v>
      </c>
      <c r="AI835" s="158"/>
    </row>
    <row r="836" spans="1:35" ht="15" hidden="1" customHeight="1" outlineLevel="3">
      <c r="A836" s="813" t="s">
        <v>1977</v>
      </c>
      <c r="B836" s="813">
        <v>3035</v>
      </c>
      <c r="C836" s="813"/>
      <c r="D836" s="813"/>
      <c r="E836" s="813" t="s">
        <v>5244</v>
      </c>
      <c r="F836" s="813" t="s">
        <v>5245</v>
      </c>
      <c r="G836" s="13" t="s">
        <v>3160</v>
      </c>
      <c r="H836" s="707">
        <f>IFERROR(VLOOKUP(A836,'Colar QL'!A:C,3,0),0)</f>
        <v>0</v>
      </c>
      <c r="I836" s="69">
        <f t="shared" si="265"/>
        <v>0</v>
      </c>
      <c r="J836" s="771">
        <v>0</v>
      </c>
      <c r="K836" s="590" t="str">
        <f t="shared" si="272"/>
        <v>47.0284.1.2.17.00.01.039.01.14.06.1</v>
      </c>
      <c r="L836" s="771" t="s">
        <v>1996</v>
      </c>
      <c r="M836" s="772">
        <f>'BD Temp'!F892</f>
        <v>1.4720151910752436E-2</v>
      </c>
      <c r="N836" s="770">
        <v>0</v>
      </c>
      <c r="O836" s="592" t="str">
        <f t="shared" si="273"/>
        <v>47.0284.1.2.17.00.01.039.01.14.06.2</v>
      </c>
      <c r="P836" s="772" t="s">
        <v>1998</v>
      </c>
      <c r="Q836" s="772" t="str">
        <f>'BD Temp'!K892</f>
        <v>-</v>
      </c>
      <c r="R836" s="770">
        <v>0</v>
      </c>
      <c r="S836" s="592" t="str">
        <f t="shared" si="274"/>
        <v>47.0284.1.2.17.00.01.039.01.14.06.3</v>
      </c>
      <c r="T836" s="772" t="s">
        <v>2000</v>
      </c>
      <c r="U836" s="772" t="str">
        <f>'BD Temp'!P892</f>
        <v>-</v>
      </c>
      <c r="V836" s="764"/>
      <c r="W836" s="764"/>
      <c r="X836" s="158"/>
      <c r="Y836" s="745"/>
      <c r="Z836" s="771">
        <v>0</v>
      </c>
      <c r="AA836" s="592" t="str">
        <f t="shared" si="275"/>
        <v>47.0284.1.2.17.00.01.039.01.14.06.1</v>
      </c>
      <c r="AB836" s="772" t="s">
        <v>1996</v>
      </c>
      <c r="AC836" s="770">
        <v>0</v>
      </c>
      <c r="AD836" s="592" t="str">
        <f t="shared" si="276"/>
        <v>47.0284.1.2.17.00.01.039.01.14.06.2</v>
      </c>
      <c r="AE836" s="772" t="s">
        <v>1998</v>
      </c>
      <c r="AF836" s="770">
        <v>0</v>
      </c>
      <c r="AG836" s="592" t="str">
        <f t="shared" si="277"/>
        <v>47.0284.1.2.17.00.01.039.01.14.06.3</v>
      </c>
      <c r="AH836" s="772" t="s">
        <v>2000</v>
      </c>
      <c r="AI836" s="158"/>
    </row>
    <row r="837" spans="1:35" ht="15" hidden="1" customHeight="1" outlineLevel="3">
      <c r="A837" s="813" t="s">
        <v>1978</v>
      </c>
      <c r="B837" s="813">
        <v>3035</v>
      </c>
      <c r="C837" s="95"/>
      <c r="D837" s="95"/>
      <c r="E837" s="774" t="s">
        <v>5249</v>
      </c>
      <c r="F837" s="774" t="s">
        <v>5232</v>
      </c>
      <c r="G837" s="13" t="s">
        <v>3161</v>
      </c>
      <c r="H837" s="707">
        <f>IFERROR(VLOOKUP(A837,'Colar QL'!A:C,3,0),0)</f>
        <v>0</v>
      </c>
      <c r="I837" s="69">
        <f t="shared" si="265"/>
        <v>0</v>
      </c>
      <c r="J837" s="771">
        <v>0</v>
      </c>
      <c r="K837" s="590" t="str">
        <f t="shared" si="272"/>
        <v>47.0284.1.2.17.00.01.039.01.14.00.1</v>
      </c>
      <c r="L837" s="771" t="s">
        <v>1996</v>
      </c>
      <c r="M837" s="772">
        <f>'BD Temp'!F893</f>
        <v>0.30805407201518681</v>
      </c>
      <c r="N837" s="770">
        <v>0</v>
      </c>
      <c r="O837" s="592" t="str">
        <f t="shared" si="273"/>
        <v>47.0284.1.2.17.00.01.039.01.14.00.2</v>
      </c>
      <c r="P837" s="772" t="s">
        <v>1998</v>
      </c>
      <c r="Q837" s="772" t="str">
        <f>'BD Temp'!K893</f>
        <v>-</v>
      </c>
      <c r="R837" s="770">
        <v>0</v>
      </c>
      <c r="S837" s="592" t="str">
        <f t="shared" si="274"/>
        <v>47.0284.1.2.17.00.01.039.01.14.00.3</v>
      </c>
      <c r="T837" s="772" t="s">
        <v>2000</v>
      </c>
      <c r="U837" s="772" t="str">
        <f>'BD Temp'!P893</f>
        <v>-</v>
      </c>
      <c r="V837" s="764"/>
      <c r="W837" s="764"/>
      <c r="X837" s="158"/>
      <c r="Y837" s="745"/>
      <c r="Z837" s="771">
        <v>0</v>
      </c>
      <c r="AA837" s="592" t="str">
        <f t="shared" si="275"/>
        <v>47.0284.1.2.17.00.01.039.01.14.00.1</v>
      </c>
      <c r="AB837" s="772" t="s">
        <v>1996</v>
      </c>
      <c r="AC837" s="770">
        <v>0</v>
      </c>
      <c r="AD837" s="592" t="str">
        <f t="shared" si="276"/>
        <v>47.0284.1.2.17.00.01.039.01.14.00.2</v>
      </c>
      <c r="AE837" s="772" t="s">
        <v>1998</v>
      </c>
      <c r="AF837" s="770">
        <v>0</v>
      </c>
      <c r="AG837" s="592" t="str">
        <f t="shared" si="277"/>
        <v>47.0284.1.2.17.00.01.039.01.14.00.3</v>
      </c>
      <c r="AH837" s="772" t="s">
        <v>2000</v>
      </c>
      <c r="AI837" s="158"/>
    </row>
    <row r="838" spans="1:35" ht="15" hidden="1" customHeight="1" outlineLevel="2">
      <c r="A838" s="97"/>
      <c r="B838" s="97" t="s">
        <v>1075</v>
      </c>
      <c r="C838" s="97"/>
      <c r="D838" s="97"/>
      <c r="E838" s="97"/>
      <c r="F838" s="97" t="s">
        <v>1075</v>
      </c>
      <c r="G838" s="40" t="s">
        <v>235</v>
      </c>
      <c r="H838" s="78">
        <f>SUBTOTAL(9,H839:H840)</f>
        <v>0</v>
      </c>
      <c r="I838" s="68">
        <f t="shared" si="265"/>
        <v>0</v>
      </c>
      <c r="J838" s="55">
        <f>SUBTOTAL(9,J839)</f>
        <v>0</v>
      </c>
      <c r="K838" s="55"/>
      <c r="L838" s="55"/>
      <c r="M838" s="84"/>
      <c r="N838" s="56">
        <f>SUBTOTAL(9,N839)</f>
        <v>0</v>
      </c>
      <c r="O838" s="84"/>
      <c r="P838" s="84"/>
      <c r="Q838" s="84"/>
      <c r="R838" s="56">
        <f>SUBTOTAL(9,R839)</f>
        <v>0</v>
      </c>
      <c r="S838" s="84"/>
      <c r="T838" s="84"/>
      <c r="U838" s="84"/>
      <c r="V838" s="56">
        <f>SUBTOTAL(9,V839)</f>
        <v>0</v>
      </c>
      <c r="W838" s="56">
        <f>SUBTOTAL(9,W839)</f>
        <v>0</v>
      </c>
      <c r="X838" s="170"/>
      <c r="Y838" s="745"/>
      <c r="Z838" s="55">
        <f>SUBTOTAL(9,Z839)</f>
        <v>0</v>
      </c>
      <c r="AA838" s="84"/>
      <c r="AB838" s="84"/>
      <c r="AC838" s="56">
        <f>SUBTOTAL(9,AC839)</f>
        <v>0</v>
      </c>
      <c r="AD838" s="84"/>
      <c r="AE838" s="84"/>
      <c r="AF838" s="56">
        <f>SUBTOTAL(9,AF839)</f>
        <v>0</v>
      </c>
      <c r="AG838" s="84"/>
      <c r="AH838" s="84"/>
      <c r="AI838" s="170"/>
    </row>
    <row r="839" spans="1:35" ht="15" hidden="1" customHeight="1" outlineLevel="3">
      <c r="A839" s="95" t="s">
        <v>1979</v>
      </c>
      <c r="B839" s="95" t="s">
        <v>1075</v>
      </c>
      <c r="C839" s="95"/>
      <c r="D839" s="95"/>
      <c r="E839" s="817" t="s">
        <v>5250</v>
      </c>
      <c r="F839" s="817" t="s">
        <v>5230</v>
      </c>
      <c r="G839" s="13" t="s">
        <v>3030</v>
      </c>
      <c r="H839" s="707">
        <f>IFERROR(VLOOKUP(A839,'Colar QL'!A:C,3,0),0)</f>
        <v>0</v>
      </c>
      <c r="I839" s="69">
        <f t="shared" si="265"/>
        <v>0</v>
      </c>
      <c r="J839" s="771">
        <f>'BD Temp'!E895</f>
        <v>0</v>
      </c>
      <c r="K839" s="590" t="str">
        <f t="shared" ref="K839:K840" si="278">F839&amp;L839</f>
        <v>47.0284.1.2.17.00.01.039.01.14.03.1</v>
      </c>
      <c r="L839" s="771" t="s">
        <v>1996</v>
      </c>
      <c r="M839" s="772" t="str">
        <f>'BD Temp'!F895</f>
        <v>-</v>
      </c>
      <c r="N839" s="770">
        <f>'BD Temp'!J895</f>
        <v>0</v>
      </c>
      <c r="O839" s="592" t="str">
        <f t="shared" ref="O839:O840" si="279">F839&amp;P839</f>
        <v>47.0284.1.2.17.00.01.039.01.14.03.2</v>
      </c>
      <c r="P839" s="772" t="s">
        <v>1998</v>
      </c>
      <c r="Q839" s="772" t="str">
        <f>'BD Temp'!K895</f>
        <v>-</v>
      </c>
      <c r="R839" s="770">
        <f>'BD Temp'!O895</f>
        <v>0</v>
      </c>
      <c r="S839" s="592" t="str">
        <f t="shared" ref="S839:S840" si="280">F839&amp;T839</f>
        <v>47.0284.1.2.17.00.01.039.01.14.03.3</v>
      </c>
      <c r="T839" s="772" t="s">
        <v>2000</v>
      </c>
      <c r="U839" s="772" t="str">
        <f>'BD Temp'!P895</f>
        <v>-</v>
      </c>
      <c r="V839" s="764"/>
      <c r="W839" s="764"/>
      <c r="X839" s="158"/>
      <c r="Y839" s="745"/>
      <c r="Z839" s="771">
        <v>0</v>
      </c>
      <c r="AA839" s="592" t="str">
        <f t="shared" ref="AA839:AA840" si="281">F839&amp;AB839</f>
        <v>47.0284.1.2.17.00.01.039.01.14.03.1</v>
      </c>
      <c r="AB839" s="772" t="s">
        <v>1996</v>
      </c>
      <c r="AC839" s="770">
        <v>0</v>
      </c>
      <c r="AD839" s="592" t="str">
        <f t="shared" ref="AD839:AD840" si="282">F839&amp;AE839</f>
        <v>47.0284.1.2.17.00.01.039.01.14.03.2</v>
      </c>
      <c r="AE839" s="772" t="s">
        <v>1998</v>
      </c>
      <c r="AF839" s="770">
        <v>0</v>
      </c>
      <c r="AG839" s="592" t="str">
        <f t="shared" ref="AG839:AG840" si="283">F839&amp;AH839</f>
        <v>47.0284.1.2.17.00.01.039.01.14.03.3</v>
      </c>
      <c r="AH839" s="772" t="s">
        <v>2000</v>
      </c>
      <c r="AI839" s="158"/>
    </row>
    <row r="840" spans="1:35" ht="15" hidden="1" customHeight="1" outlineLevel="3">
      <c r="A840" s="95"/>
      <c r="B840" s="95" t="s">
        <v>1075</v>
      </c>
      <c r="C840" s="95"/>
      <c r="D840" s="95"/>
      <c r="E840" s="774"/>
      <c r="F840" s="774" t="s">
        <v>1075</v>
      </c>
      <c r="G840" s="13"/>
      <c r="H840" s="707">
        <f>IFERROR(VLOOKUP(A840,'Colar QL'!A:C,3,0),0)</f>
        <v>0</v>
      </c>
      <c r="I840" s="69">
        <f t="shared" si="265"/>
        <v>0</v>
      </c>
      <c r="J840" s="771">
        <v>0</v>
      </c>
      <c r="K840" s="590" t="str">
        <f t="shared" si="278"/>
        <v>.1</v>
      </c>
      <c r="L840" s="771" t="s">
        <v>1996</v>
      </c>
      <c r="M840" s="772" t="str">
        <f>'BD Temp'!F896</f>
        <v>-</v>
      </c>
      <c r="N840" s="770">
        <v>0</v>
      </c>
      <c r="O840" s="592" t="str">
        <f t="shared" si="279"/>
        <v>.2</v>
      </c>
      <c r="P840" s="772" t="s">
        <v>1998</v>
      </c>
      <c r="Q840" s="772" t="str">
        <f>'BD Temp'!K896</f>
        <v>-</v>
      </c>
      <c r="R840" s="770">
        <f>'BD Temp'!O896</f>
        <v>0</v>
      </c>
      <c r="S840" s="592" t="str">
        <f t="shared" si="280"/>
        <v>.3</v>
      </c>
      <c r="T840" s="772" t="s">
        <v>2000</v>
      </c>
      <c r="U840" s="772" t="str">
        <f>'BD Temp'!P896</f>
        <v>-</v>
      </c>
      <c r="V840" s="764"/>
      <c r="W840" s="764"/>
      <c r="X840" s="158"/>
      <c r="Y840" s="745"/>
      <c r="Z840" s="771">
        <v>0</v>
      </c>
      <c r="AA840" s="592" t="str">
        <f t="shared" si="281"/>
        <v>.1</v>
      </c>
      <c r="AB840" s="772" t="s">
        <v>1996</v>
      </c>
      <c r="AC840" s="770">
        <v>0</v>
      </c>
      <c r="AD840" s="592" t="str">
        <f t="shared" si="282"/>
        <v>.2</v>
      </c>
      <c r="AE840" s="772" t="s">
        <v>1998</v>
      </c>
      <c r="AF840" s="770">
        <v>0</v>
      </c>
      <c r="AG840" s="592" t="str">
        <f t="shared" si="283"/>
        <v>.3</v>
      </c>
      <c r="AH840" s="772" t="s">
        <v>2000</v>
      </c>
      <c r="AI840" s="158"/>
    </row>
    <row r="841" spans="1:35" ht="15" hidden="1" customHeight="1" outlineLevel="3">
      <c r="A841" s="95"/>
      <c r="B841" s="95" t="s">
        <v>1075</v>
      </c>
      <c r="C841" s="95"/>
      <c r="D841" s="95"/>
      <c r="E841" s="774"/>
      <c r="F841" s="774" t="s">
        <v>1075</v>
      </c>
      <c r="G841" s="13"/>
      <c r="H841" s="81"/>
      <c r="I841" s="71">
        <f t="shared" si="265"/>
        <v>0</v>
      </c>
      <c r="J841" s="48"/>
      <c r="K841" s="579"/>
      <c r="L841" s="579"/>
      <c r="M841" s="74"/>
      <c r="N841" s="49"/>
      <c r="O841" s="578"/>
      <c r="P841" s="578"/>
      <c r="Q841" s="74"/>
      <c r="R841" s="49"/>
      <c r="S841" s="578"/>
      <c r="T841" s="578"/>
      <c r="U841" s="74"/>
      <c r="V841" s="766"/>
      <c r="W841" s="766"/>
      <c r="X841" s="171"/>
      <c r="Y841" s="745"/>
      <c r="Z841" s="741"/>
      <c r="AA841" s="739"/>
      <c r="AB841" s="739"/>
      <c r="AC841" s="738"/>
      <c r="AD841" s="739"/>
      <c r="AE841" s="739"/>
      <c r="AF841" s="738"/>
      <c r="AG841" s="739"/>
      <c r="AH841" s="739"/>
      <c r="AI841" s="171"/>
    </row>
    <row r="842" spans="1:35">
      <c r="A842" s="100"/>
      <c r="B842" s="100" t="s">
        <v>1075</v>
      </c>
      <c r="C842" s="100"/>
      <c r="D842" s="100"/>
      <c r="E842" s="100"/>
      <c r="F842" s="100" t="s">
        <v>1075</v>
      </c>
      <c r="G842" s="17" t="s">
        <v>269</v>
      </c>
      <c r="H842" s="76">
        <f>ROUND(SUBTOTAL(9,H843:H863),0)</f>
        <v>2</v>
      </c>
      <c r="I842" s="64">
        <f t="shared" si="265"/>
        <v>2</v>
      </c>
      <c r="J842" s="52">
        <f>ROUND(SUBTOTAL(9,J843:J863),0)</f>
        <v>2</v>
      </c>
      <c r="K842" s="52"/>
      <c r="L842" s="52"/>
      <c r="M842" s="86"/>
      <c r="N842" s="52">
        <f>ROUND(SUBTOTAL(9,N843:N863),0)</f>
        <v>0</v>
      </c>
      <c r="O842" s="587"/>
      <c r="P842" s="587"/>
      <c r="Q842" s="86"/>
      <c r="R842" s="52">
        <f>ROUND(SUBTOTAL(9,R843:R863),0)</f>
        <v>0</v>
      </c>
      <c r="S842" s="587"/>
      <c r="T842" s="587"/>
      <c r="U842" s="86"/>
      <c r="V842" s="52">
        <f>ROUND(SUBTOTAL(9,V843:V863),0)</f>
        <v>0</v>
      </c>
      <c r="W842" s="52">
        <f>ROUND(SUBTOTAL(9,W843:W863),0)</f>
        <v>0</v>
      </c>
      <c r="X842" s="168"/>
      <c r="Y842" s="745"/>
      <c r="Z842" s="52">
        <f>ROUND(SUBTOTAL(9,Z843:Z863),0)</f>
        <v>0</v>
      </c>
      <c r="AA842" s="587"/>
      <c r="AB842" s="587"/>
      <c r="AC842" s="52">
        <f>ROUND(SUBTOTAL(9,AC843:AC863),0)</f>
        <v>0</v>
      </c>
      <c r="AD842" s="587"/>
      <c r="AE842" s="587"/>
      <c r="AF842" s="52">
        <f>ROUND(SUBTOTAL(9,AF843:AF863),0)</f>
        <v>0</v>
      </c>
      <c r="AG842" s="587"/>
      <c r="AH842" s="587"/>
      <c r="AI842" s="168"/>
    </row>
    <row r="843" spans="1:35" ht="15" customHeight="1" outlineLevel="1" collapsed="1">
      <c r="A843" s="98"/>
      <c r="B843" s="98" t="s">
        <v>1075</v>
      </c>
      <c r="C843" s="98"/>
      <c r="D843" s="98"/>
      <c r="E843" s="98"/>
      <c r="F843" s="98" t="s">
        <v>1075</v>
      </c>
      <c r="G843" s="35" t="s">
        <v>269</v>
      </c>
      <c r="H843" s="77">
        <f>SUBTOTAL(9,H844:H863)</f>
        <v>2</v>
      </c>
      <c r="I843" s="67">
        <f t="shared" si="265"/>
        <v>2</v>
      </c>
      <c r="J843" s="54">
        <f>SUBTOTAL(9,J844:J863)</f>
        <v>2</v>
      </c>
      <c r="K843" s="54"/>
      <c r="L843" s="54"/>
      <c r="M843" s="85"/>
      <c r="N843" s="54">
        <f>SUBTOTAL(9,N844:N863)</f>
        <v>0</v>
      </c>
      <c r="O843" s="90"/>
      <c r="P843" s="90"/>
      <c r="Q843" s="85"/>
      <c r="R843" s="54">
        <f>SUBTOTAL(9,R844:R863)</f>
        <v>0</v>
      </c>
      <c r="S843" s="90"/>
      <c r="T843" s="90"/>
      <c r="U843" s="85"/>
      <c r="V843" s="54">
        <f>SUBTOTAL(9,V844:V863)</f>
        <v>0</v>
      </c>
      <c r="W843" s="54">
        <f>SUBTOTAL(9,W844:W863)</f>
        <v>0</v>
      </c>
      <c r="X843" s="169"/>
      <c r="Y843" s="745"/>
      <c r="Z843" s="54">
        <f>SUBTOTAL(9,Z844:Z863)</f>
        <v>0</v>
      </c>
      <c r="AA843" s="90"/>
      <c r="AB843" s="90"/>
      <c r="AC843" s="54">
        <f>SUBTOTAL(9,AC844:AC863)</f>
        <v>0</v>
      </c>
      <c r="AD843" s="90"/>
      <c r="AE843" s="90"/>
      <c r="AF843" s="54">
        <f>SUBTOTAL(9,AF844:AF863)</f>
        <v>0</v>
      </c>
      <c r="AG843" s="90"/>
      <c r="AH843" s="90"/>
      <c r="AI843" s="169"/>
    </row>
    <row r="844" spans="1:35" ht="15" hidden="1" customHeight="1" outlineLevel="2">
      <c r="A844" s="97"/>
      <c r="B844" s="97" t="s">
        <v>1075</v>
      </c>
      <c r="C844" s="97"/>
      <c r="D844" s="97"/>
      <c r="E844" s="97"/>
      <c r="F844" s="97" t="s">
        <v>1075</v>
      </c>
      <c r="G844" s="40" t="s">
        <v>714</v>
      </c>
      <c r="H844" s="78">
        <f>SUBTOTAL(9,H845:H860)</f>
        <v>2</v>
      </c>
      <c r="I844" s="68">
        <f t="shared" si="265"/>
        <v>2</v>
      </c>
      <c r="J844" s="55">
        <f>SUBTOTAL(9,J845:J860)</f>
        <v>2</v>
      </c>
      <c r="K844" s="55"/>
      <c r="L844" s="55"/>
      <c r="M844" s="84"/>
      <c r="N844" s="55">
        <f>SUBTOTAL(9,N845:N860)</f>
        <v>0</v>
      </c>
      <c r="O844" s="91"/>
      <c r="P844" s="91"/>
      <c r="Q844" s="84"/>
      <c r="R844" s="55">
        <f>SUBTOTAL(9,R845:R860)</f>
        <v>0</v>
      </c>
      <c r="S844" s="91"/>
      <c r="T844" s="91"/>
      <c r="U844" s="84"/>
      <c r="V844" s="55">
        <f>SUBTOTAL(9,V845:V860)</f>
        <v>0</v>
      </c>
      <c r="W844" s="55">
        <f>SUBTOTAL(9,W845:W860)</f>
        <v>0</v>
      </c>
      <c r="X844" s="170"/>
      <c r="Y844" s="745"/>
      <c r="Z844" s="55">
        <f>SUBTOTAL(9,Z845:Z860)</f>
        <v>0</v>
      </c>
      <c r="AA844" s="91"/>
      <c r="AB844" s="91"/>
      <c r="AC844" s="55">
        <f>SUBTOTAL(9,AC845:AC860)</f>
        <v>0</v>
      </c>
      <c r="AD844" s="91"/>
      <c r="AE844" s="91"/>
      <c r="AF844" s="55">
        <f>SUBTOTAL(9,AF845:AF860)</f>
        <v>0</v>
      </c>
      <c r="AG844" s="91"/>
      <c r="AH844" s="91"/>
      <c r="AI844" s="170"/>
    </row>
    <row r="845" spans="1:35" ht="15" hidden="1" customHeight="1" outlineLevel="3">
      <c r="A845" s="98"/>
      <c r="B845" s="98" t="s">
        <v>1075</v>
      </c>
      <c r="C845" s="98"/>
      <c r="D845" s="98"/>
      <c r="E845" s="98"/>
      <c r="F845" s="98" t="s">
        <v>1075</v>
      </c>
      <c r="G845" s="35" t="s">
        <v>270</v>
      </c>
      <c r="H845" s="77">
        <f>SUBTOTAL(9,H846:H849)</f>
        <v>0</v>
      </c>
      <c r="I845" s="67">
        <f t="shared" si="265"/>
        <v>0</v>
      </c>
      <c r="J845" s="54">
        <f>SUBTOTAL(9,J846:J849)</f>
        <v>0</v>
      </c>
      <c r="K845" s="54"/>
      <c r="L845" s="54"/>
      <c r="M845" s="85"/>
      <c r="N845" s="54">
        <f>SUBTOTAL(9,N846:N849)</f>
        <v>0</v>
      </c>
      <c r="O845" s="90"/>
      <c r="P845" s="90"/>
      <c r="Q845" s="85"/>
      <c r="R845" s="54">
        <f>SUBTOTAL(9,R846:R849)</f>
        <v>0</v>
      </c>
      <c r="S845" s="90"/>
      <c r="T845" s="90"/>
      <c r="U845" s="85"/>
      <c r="V845" s="54">
        <f>SUBTOTAL(9,V846:V849)</f>
        <v>0</v>
      </c>
      <c r="W845" s="54">
        <f>SUBTOTAL(9,W846:W849)</f>
        <v>0</v>
      </c>
      <c r="X845" s="169"/>
      <c r="Y845" s="745"/>
      <c r="Z845" s="54">
        <f>SUBTOTAL(9,Z846:Z849)</f>
        <v>0</v>
      </c>
      <c r="AA845" s="90"/>
      <c r="AB845" s="90"/>
      <c r="AC845" s="54">
        <f>SUBTOTAL(9,AC846:AC849)</f>
        <v>0</v>
      </c>
      <c r="AD845" s="90"/>
      <c r="AE845" s="90"/>
      <c r="AF845" s="54">
        <f>SUBTOTAL(9,AF846:AF849)</f>
        <v>0</v>
      </c>
      <c r="AG845" s="90"/>
      <c r="AH845" s="90"/>
      <c r="AI845" s="169"/>
    </row>
    <row r="846" spans="1:35" ht="15" hidden="1" customHeight="1" outlineLevel="4">
      <c r="A846" s="95" t="s">
        <v>1981</v>
      </c>
      <c r="B846" s="95">
        <v>3487</v>
      </c>
      <c r="C846" s="95"/>
      <c r="D846" s="95"/>
      <c r="E846" s="774" t="s">
        <v>5264</v>
      </c>
      <c r="F846" s="774" t="s">
        <v>5265</v>
      </c>
      <c r="G846" s="13" t="s">
        <v>1991</v>
      </c>
      <c r="H846" s="583">
        <f>IFERROR(VLOOKUP(A846,'Colar QL'!A:C,3,0),0)</f>
        <v>0</v>
      </c>
      <c r="I846" s="69">
        <f t="shared" si="265"/>
        <v>0</v>
      </c>
      <c r="J846" s="258">
        <f>'BD Temp'!E1366</f>
        <v>0</v>
      </c>
      <c r="K846" s="590" t="str">
        <f>F846&amp;L846</f>
        <v>47.0284.1.2.17.00.01.039.01.15.01.1</v>
      </c>
      <c r="L846" s="579" t="s">
        <v>1996</v>
      </c>
      <c r="M846" s="256">
        <f>'BD Temp'!F1366</f>
        <v>0</v>
      </c>
      <c r="N846" s="255">
        <f>'BD Temp'!J1366</f>
        <v>0</v>
      </c>
      <c r="O846" s="592" t="str">
        <f>F846&amp;P846</f>
        <v>47.0284.1.2.17.00.01.039.01.15.01.2</v>
      </c>
      <c r="P846" s="578" t="s">
        <v>1998</v>
      </c>
      <c r="Q846" s="256">
        <f>'BD Temp'!K1366</f>
        <v>0</v>
      </c>
      <c r="R846" s="255">
        <f>'BD Temp'!O1366</f>
        <v>0</v>
      </c>
      <c r="S846" s="592" t="str">
        <f>F846&amp;T846</f>
        <v>47.0284.1.2.17.00.01.039.01.15.01.3</v>
      </c>
      <c r="T846" s="578" t="s">
        <v>2000</v>
      </c>
      <c r="U846" s="256">
        <f>'BD Temp'!P1366</f>
        <v>0</v>
      </c>
      <c r="V846" s="764"/>
      <c r="W846" s="764"/>
      <c r="X846" s="158"/>
      <c r="Y846" s="745"/>
      <c r="Z846" s="741">
        <v>0</v>
      </c>
      <c r="AA846" s="592" t="str">
        <f>F846&amp;AB846</f>
        <v>47.0284.1.2.17.00.01.039.01.15.01.1</v>
      </c>
      <c r="AB846" s="739" t="s">
        <v>1996</v>
      </c>
      <c r="AC846" s="738">
        <v>0</v>
      </c>
      <c r="AD846" s="592" t="str">
        <f>F846&amp;AE846</f>
        <v>47.0284.1.2.17.00.01.039.01.15.01.2</v>
      </c>
      <c r="AE846" s="739" t="s">
        <v>1998</v>
      </c>
      <c r="AF846" s="738">
        <v>0</v>
      </c>
      <c r="AG846" s="592" t="str">
        <f>F846&amp;AH846</f>
        <v>47.0284.1.2.17.00.01.039.01.15.01.3</v>
      </c>
      <c r="AH846" s="739" t="s">
        <v>2000</v>
      </c>
      <c r="AI846" s="158"/>
    </row>
    <row r="847" spans="1:35" ht="15" hidden="1" customHeight="1" outlineLevel="4">
      <c r="A847" s="95"/>
      <c r="B847" s="95" t="s">
        <v>1075</v>
      </c>
      <c r="C847" s="95"/>
      <c r="D847" s="95"/>
      <c r="E847" s="774"/>
      <c r="F847" s="774"/>
      <c r="G847" s="13"/>
      <c r="H847" s="583">
        <f>IFERROR(VLOOKUP(A847,'Colar QL'!A:C,3,0),0)</f>
        <v>0</v>
      </c>
      <c r="I847" s="69">
        <f t="shared" si="265"/>
        <v>0</v>
      </c>
      <c r="J847" s="258">
        <f>'BD Temp'!E1367</f>
        <v>0</v>
      </c>
      <c r="K847" s="590" t="str">
        <f>F847&amp;L847</f>
        <v>.1</v>
      </c>
      <c r="L847" s="579" t="s">
        <v>1996</v>
      </c>
      <c r="M847" s="256">
        <f>'BD Temp'!F1367</f>
        <v>0</v>
      </c>
      <c r="N847" s="255">
        <f>'BD Temp'!J1367</f>
        <v>0</v>
      </c>
      <c r="O847" s="592" t="str">
        <f>F847&amp;P847</f>
        <v>.2</v>
      </c>
      <c r="P847" s="578" t="s">
        <v>1998</v>
      </c>
      <c r="Q847" s="256">
        <f>'BD Temp'!K1367</f>
        <v>0</v>
      </c>
      <c r="R847" s="255">
        <f>'BD Temp'!O1367</f>
        <v>0</v>
      </c>
      <c r="S847" s="592" t="str">
        <f>F847&amp;T847</f>
        <v>.3</v>
      </c>
      <c r="T847" s="578" t="s">
        <v>2000</v>
      </c>
      <c r="U847" s="256">
        <f>'BD Temp'!P1367</f>
        <v>0</v>
      </c>
      <c r="V847" s="764"/>
      <c r="W847" s="764"/>
      <c r="X847" s="158"/>
      <c r="Y847" s="745"/>
      <c r="Z847" s="741">
        <v>0</v>
      </c>
      <c r="AA847" s="592" t="str">
        <f>F847&amp;AB847</f>
        <v>.1</v>
      </c>
      <c r="AB847" s="739" t="s">
        <v>1996</v>
      </c>
      <c r="AC847" s="738">
        <v>0</v>
      </c>
      <c r="AD847" s="592" t="str">
        <f>F847&amp;AE847</f>
        <v>.2</v>
      </c>
      <c r="AE847" s="739" t="s">
        <v>1998</v>
      </c>
      <c r="AF847" s="738">
        <v>0</v>
      </c>
      <c r="AG847" s="592" t="str">
        <f>F847&amp;AH847</f>
        <v>.3</v>
      </c>
      <c r="AH847" s="739" t="s">
        <v>2000</v>
      </c>
      <c r="AI847" s="158"/>
    </row>
    <row r="848" spans="1:35" ht="15" hidden="1" customHeight="1" outlineLevel="4">
      <c r="A848" s="95"/>
      <c r="B848" s="95" t="s">
        <v>1075</v>
      </c>
      <c r="C848" s="95"/>
      <c r="D848" s="95"/>
      <c r="E848" s="774"/>
      <c r="F848" s="774"/>
      <c r="G848" s="13"/>
      <c r="H848" s="583">
        <f>IFERROR(VLOOKUP(A848,'Colar QL'!A:C,3,0),0)</f>
        <v>0</v>
      </c>
      <c r="I848" s="69">
        <f t="shared" si="265"/>
        <v>0</v>
      </c>
      <c r="J848" s="258">
        <f>'BD Temp'!E1368</f>
        <v>0</v>
      </c>
      <c r="K848" s="590" t="str">
        <f>F848&amp;L848</f>
        <v>.1</v>
      </c>
      <c r="L848" s="579" t="s">
        <v>1996</v>
      </c>
      <c r="M848" s="256">
        <f>'BD Temp'!F1368</f>
        <v>0</v>
      </c>
      <c r="N848" s="255">
        <f>'BD Temp'!J1368</f>
        <v>0</v>
      </c>
      <c r="O848" s="592" t="str">
        <f>F848&amp;P848</f>
        <v>.2</v>
      </c>
      <c r="P848" s="578" t="s">
        <v>1998</v>
      </c>
      <c r="Q848" s="256">
        <f>'BD Temp'!K1368</f>
        <v>0</v>
      </c>
      <c r="R848" s="255">
        <f>'BD Temp'!O1368</f>
        <v>0</v>
      </c>
      <c r="S848" s="592" t="str">
        <f>F848&amp;T848</f>
        <v>.3</v>
      </c>
      <c r="T848" s="578" t="s">
        <v>2000</v>
      </c>
      <c r="U848" s="256">
        <f>'BD Temp'!P1368</f>
        <v>0</v>
      </c>
      <c r="V848" s="764"/>
      <c r="W848" s="764"/>
      <c r="X848" s="158"/>
      <c r="Y848" s="745"/>
      <c r="Z848" s="741">
        <v>0</v>
      </c>
      <c r="AA848" s="592" t="str">
        <f>F848&amp;AB848</f>
        <v>.1</v>
      </c>
      <c r="AB848" s="739" t="s">
        <v>1996</v>
      </c>
      <c r="AC848" s="738">
        <v>0</v>
      </c>
      <c r="AD848" s="592" t="str">
        <f>F848&amp;AE848</f>
        <v>.2</v>
      </c>
      <c r="AE848" s="739" t="s">
        <v>1998</v>
      </c>
      <c r="AF848" s="738">
        <v>0</v>
      </c>
      <c r="AG848" s="592" t="str">
        <f>F848&amp;AH848</f>
        <v>.3</v>
      </c>
      <c r="AH848" s="739" t="s">
        <v>2000</v>
      </c>
      <c r="AI848" s="158"/>
    </row>
    <row r="849" spans="1:35" ht="15" hidden="1" customHeight="1" outlineLevel="4">
      <c r="A849" s="95"/>
      <c r="B849" s="95" t="s">
        <v>1075</v>
      </c>
      <c r="C849" s="95"/>
      <c r="D849" s="95"/>
      <c r="E849" s="774"/>
      <c r="F849" s="774"/>
      <c r="G849" s="13"/>
      <c r="H849" s="81"/>
      <c r="I849" s="71">
        <f t="shared" si="265"/>
        <v>0</v>
      </c>
      <c r="J849" s="48"/>
      <c r="K849" s="590" t="str">
        <f>F849&amp;L849</f>
        <v>.1</v>
      </c>
      <c r="L849" s="579" t="s">
        <v>1996</v>
      </c>
      <c r="M849" s="74"/>
      <c r="N849" s="49"/>
      <c r="O849" s="592" t="str">
        <f>F849&amp;P849</f>
        <v>.2</v>
      </c>
      <c r="P849" s="578" t="s">
        <v>1998</v>
      </c>
      <c r="Q849" s="74"/>
      <c r="R849" s="49"/>
      <c r="S849" s="592" t="str">
        <f>F849&amp;T849</f>
        <v>.3</v>
      </c>
      <c r="T849" s="578" t="s">
        <v>2000</v>
      </c>
      <c r="U849" s="74"/>
      <c r="V849" s="766"/>
      <c r="W849" s="766"/>
      <c r="X849" s="171"/>
      <c r="Y849" s="745"/>
      <c r="Z849" s="741">
        <v>0</v>
      </c>
      <c r="AA849" s="592" t="str">
        <f>F849&amp;AB849</f>
        <v>.1</v>
      </c>
      <c r="AB849" s="739" t="s">
        <v>1996</v>
      </c>
      <c r="AC849" s="738">
        <v>0</v>
      </c>
      <c r="AD849" s="592" t="str">
        <f>F849&amp;AE849</f>
        <v>.2</v>
      </c>
      <c r="AE849" s="739" t="s">
        <v>1998</v>
      </c>
      <c r="AF849" s="738">
        <v>0</v>
      </c>
      <c r="AG849" s="592" t="str">
        <f>F849&amp;AH849</f>
        <v>.3</v>
      </c>
      <c r="AH849" s="739" t="s">
        <v>2000</v>
      </c>
      <c r="AI849" s="171"/>
    </row>
    <row r="850" spans="1:35" ht="15" hidden="1" customHeight="1" outlineLevel="3">
      <c r="A850" s="98"/>
      <c r="B850" s="98" t="s">
        <v>1075</v>
      </c>
      <c r="C850" s="98"/>
      <c r="D850" s="98"/>
      <c r="E850" s="98"/>
      <c r="F850" s="98"/>
      <c r="G850" s="35" t="s">
        <v>271</v>
      </c>
      <c r="H850" s="77">
        <f>SUBTOTAL(9,H851:H860)</f>
        <v>2</v>
      </c>
      <c r="I850" s="67">
        <f t="shared" si="265"/>
        <v>2</v>
      </c>
      <c r="J850" s="54">
        <f>SUBTOTAL(9,J851:J860)</f>
        <v>2</v>
      </c>
      <c r="K850" s="54"/>
      <c r="L850" s="54"/>
      <c r="M850" s="85"/>
      <c r="N850" s="54">
        <f>SUBTOTAL(9,N851:N860)</f>
        <v>0</v>
      </c>
      <c r="O850" s="90"/>
      <c r="P850" s="90"/>
      <c r="Q850" s="85"/>
      <c r="R850" s="54">
        <f>SUBTOTAL(9,R851:R860)</f>
        <v>0</v>
      </c>
      <c r="S850" s="90"/>
      <c r="T850" s="90"/>
      <c r="U850" s="85"/>
      <c r="V850" s="54">
        <f>SUBTOTAL(9,V851:V860)</f>
        <v>0</v>
      </c>
      <c r="W850" s="54">
        <f>SUBTOTAL(9,W851:W860)</f>
        <v>0</v>
      </c>
      <c r="X850" s="169"/>
      <c r="Y850" s="745"/>
      <c r="Z850" s="54">
        <f>SUBTOTAL(9,Z851:Z860)</f>
        <v>0</v>
      </c>
      <c r="AA850" s="90"/>
      <c r="AB850" s="90"/>
      <c r="AC850" s="54">
        <f>SUBTOTAL(9,AC851:AC860)</f>
        <v>0</v>
      </c>
      <c r="AD850" s="90"/>
      <c r="AE850" s="90"/>
      <c r="AF850" s="54">
        <f>SUBTOTAL(9,AF851:AF860)</f>
        <v>0</v>
      </c>
      <c r="AG850" s="90"/>
      <c r="AH850" s="90"/>
      <c r="AI850" s="169"/>
    </row>
    <row r="851" spans="1:35" ht="15" hidden="1" customHeight="1" outlineLevel="4">
      <c r="A851" s="95" t="s">
        <v>5266</v>
      </c>
      <c r="B851" s="95">
        <v>3487</v>
      </c>
      <c r="C851" s="95"/>
      <c r="D851" s="823"/>
      <c r="E851" s="824" t="s">
        <v>5357</v>
      </c>
      <c r="F851" s="93" t="s">
        <v>5359</v>
      </c>
      <c r="G851" s="13" t="s">
        <v>1992</v>
      </c>
      <c r="H851" s="583">
        <f>IFERROR(VLOOKUP(A851,'Colar QL'!A:C,3,0),0)</f>
        <v>2</v>
      </c>
      <c r="I851" s="69">
        <f t="shared" si="265"/>
        <v>2</v>
      </c>
      <c r="J851" s="258">
        <v>2</v>
      </c>
      <c r="K851" s="590" t="str">
        <f t="shared" ref="K851:K859" si="284">F851&amp;L851</f>
        <v>47.0284.1.2.17.00.01.039.01.02.27.1</v>
      </c>
      <c r="L851" s="579" t="s">
        <v>1996</v>
      </c>
      <c r="M851" s="256">
        <f>'BD Temp'!F1371</f>
        <v>0</v>
      </c>
      <c r="N851" s="255">
        <v>0</v>
      </c>
      <c r="O851" s="592" t="str">
        <f t="shared" ref="O851:O859" si="285">F851&amp;P851</f>
        <v>47.0284.1.2.17.00.01.039.01.02.27.2</v>
      </c>
      <c r="P851" s="578" t="s">
        <v>1998</v>
      </c>
      <c r="Q851" s="256">
        <f>'BD Temp'!K1371</f>
        <v>0</v>
      </c>
      <c r="R851" s="255">
        <v>0</v>
      </c>
      <c r="S851" s="592" t="str">
        <f t="shared" ref="S851:S859" si="286">F851&amp;T851</f>
        <v>47.0284.1.2.17.00.01.039.01.02.27.3</v>
      </c>
      <c r="T851" s="578" t="s">
        <v>2000</v>
      </c>
      <c r="U851" s="256">
        <f>'BD Temp'!P1371</f>
        <v>0</v>
      </c>
      <c r="V851" s="764"/>
      <c r="W851" s="764"/>
      <c r="X851" s="158"/>
      <c r="Y851" s="745"/>
      <c r="Z851" s="741">
        <v>0</v>
      </c>
      <c r="AA851" s="592" t="str">
        <f t="shared" ref="AA851:AA859" si="287">F851&amp;AB851</f>
        <v>47.0284.1.2.17.00.01.039.01.02.27.1</v>
      </c>
      <c r="AB851" s="739" t="s">
        <v>1996</v>
      </c>
      <c r="AC851" s="738">
        <v>0</v>
      </c>
      <c r="AD851" s="592" t="str">
        <f t="shared" ref="AD851:AD859" si="288">F851&amp;AE851</f>
        <v>47.0284.1.2.17.00.01.039.01.02.27.2</v>
      </c>
      <c r="AE851" s="739" t="s">
        <v>1998</v>
      </c>
      <c r="AF851" s="738">
        <v>0</v>
      </c>
      <c r="AG851" s="592" t="str">
        <f t="shared" ref="AG851:AG859" si="289">F851&amp;AH851</f>
        <v>47.0284.1.2.17.00.01.039.01.02.27.3</v>
      </c>
      <c r="AH851" s="739" t="s">
        <v>2000</v>
      </c>
      <c r="AI851" s="158"/>
    </row>
    <row r="852" spans="1:35" ht="15" hidden="1" customHeight="1" outlineLevel="4">
      <c r="A852" s="95" t="s">
        <v>5267</v>
      </c>
      <c r="B852" s="95">
        <v>3487</v>
      </c>
      <c r="C852" s="95"/>
      <c r="D852" s="95"/>
      <c r="E852" s="824" t="s">
        <v>5257</v>
      </c>
      <c r="F852" s="774" t="s">
        <v>5258</v>
      </c>
      <c r="G852" s="13" t="s">
        <v>5239</v>
      </c>
      <c r="H852" s="583">
        <f>IFERROR(VLOOKUP(A852,'Colar QL'!A:C,3,0),0)</f>
        <v>0</v>
      </c>
      <c r="I852" s="69">
        <f t="shared" si="265"/>
        <v>0</v>
      </c>
      <c r="J852" s="258">
        <v>0</v>
      </c>
      <c r="K852" s="590" t="str">
        <f t="shared" si="284"/>
        <v>47.0284.1.2.17.00.01.039.02.11.01.1</v>
      </c>
      <c r="L852" s="579" t="s">
        <v>1996</v>
      </c>
      <c r="M852" s="256">
        <f>'BD Temp'!F1372</f>
        <v>0</v>
      </c>
      <c r="N852" s="255">
        <v>0</v>
      </c>
      <c r="O852" s="592" t="str">
        <f t="shared" si="285"/>
        <v>47.0284.1.2.17.00.01.039.02.11.01.2</v>
      </c>
      <c r="P852" s="578" t="s">
        <v>1998</v>
      </c>
      <c r="Q852" s="256">
        <f>'BD Temp'!K1372</f>
        <v>0</v>
      </c>
      <c r="R852" s="255">
        <v>0</v>
      </c>
      <c r="S852" s="592" t="str">
        <f t="shared" si="286"/>
        <v>47.0284.1.2.17.00.01.039.02.11.01.3</v>
      </c>
      <c r="T852" s="578" t="s">
        <v>2000</v>
      </c>
      <c r="U852" s="256">
        <f>'BD Temp'!P1372</f>
        <v>0</v>
      </c>
      <c r="V852" s="764"/>
      <c r="W852" s="764"/>
      <c r="X852" s="158"/>
      <c r="Y852" s="745"/>
      <c r="Z852" s="741">
        <v>0</v>
      </c>
      <c r="AA852" s="592" t="str">
        <f t="shared" si="287"/>
        <v>47.0284.1.2.17.00.01.039.02.11.01.1</v>
      </c>
      <c r="AB852" s="739" t="s">
        <v>1996</v>
      </c>
      <c r="AC852" s="738">
        <v>0</v>
      </c>
      <c r="AD852" s="592" t="str">
        <f t="shared" si="288"/>
        <v>47.0284.1.2.17.00.01.039.02.11.01.2</v>
      </c>
      <c r="AE852" s="739" t="s">
        <v>1998</v>
      </c>
      <c r="AF852" s="738">
        <v>0</v>
      </c>
      <c r="AG852" s="592" t="str">
        <f t="shared" si="289"/>
        <v>47.0284.1.2.17.00.01.039.02.11.01.3</v>
      </c>
      <c r="AH852" s="739" t="s">
        <v>2000</v>
      </c>
      <c r="AI852" s="158"/>
    </row>
    <row r="853" spans="1:35" ht="15" hidden="1" customHeight="1" outlineLevel="4">
      <c r="A853" s="817" t="s">
        <v>5268</v>
      </c>
      <c r="B853" s="817">
        <v>3487</v>
      </c>
      <c r="C853" s="817"/>
      <c r="D853" s="817"/>
      <c r="E853" s="348" t="s">
        <v>5255</v>
      </c>
      <c r="F853" s="817" t="s">
        <v>5256</v>
      </c>
      <c r="G853" s="13" t="s">
        <v>5240</v>
      </c>
      <c r="H853" s="707">
        <f>IFERROR(VLOOKUP(A853,'Colar QL'!A:C,3,0),0)</f>
        <v>0</v>
      </c>
      <c r="I853" s="69">
        <f t="shared" ref="I853:I854" si="290">IFERROR((J853+N853+R853),0)</f>
        <v>0</v>
      </c>
      <c r="J853" s="771">
        <v>0</v>
      </c>
      <c r="K853" s="590" t="str">
        <f t="shared" ref="K853:K854" si="291">F853&amp;L853</f>
        <v>47.0284.1.2.17.00.01.039.02.10.01.1</v>
      </c>
      <c r="L853" s="771" t="s">
        <v>1996</v>
      </c>
      <c r="M853" s="772">
        <f>'BD Temp'!F1373</f>
        <v>0</v>
      </c>
      <c r="N853" s="770">
        <v>0</v>
      </c>
      <c r="O853" s="592" t="str">
        <f t="shared" ref="O853:O854" si="292">F853&amp;P853</f>
        <v>47.0284.1.2.17.00.01.039.02.10.01.2</v>
      </c>
      <c r="P853" s="772" t="s">
        <v>1998</v>
      </c>
      <c r="Q853" s="772">
        <f>'BD Temp'!K1373</f>
        <v>0</v>
      </c>
      <c r="R853" s="770">
        <v>0</v>
      </c>
      <c r="S853" s="592" t="str">
        <f t="shared" ref="S853:S854" si="293">F853&amp;T853</f>
        <v>47.0284.1.2.17.00.01.039.02.10.01.3</v>
      </c>
      <c r="T853" s="772" t="s">
        <v>2000</v>
      </c>
      <c r="U853" s="772">
        <f>'BD Temp'!P1373</f>
        <v>0</v>
      </c>
      <c r="V853" s="764"/>
      <c r="W853" s="764"/>
      <c r="X853" s="158"/>
      <c r="Y853" s="745"/>
      <c r="Z853" s="771">
        <v>0</v>
      </c>
      <c r="AA853" s="592" t="str">
        <f t="shared" ref="AA853:AA854" si="294">F853&amp;AB853</f>
        <v>47.0284.1.2.17.00.01.039.02.10.01.1</v>
      </c>
      <c r="AB853" s="772" t="s">
        <v>1996</v>
      </c>
      <c r="AC853" s="770">
        <v>0</v>
      </c>
      <c r="AD853" s="592" t="str">
        <f t="shared" ref="AD853:AD854" si="295">F853&amp;AE853</f>
        <v>47.0284.1.2.17.00.01.039.02.10.01.2</v>
      </c>
      <c r="AE853" s="772" t="s">
        <v>1998</v>
      </c>
      <c r="AF853" s="770">
        <v>0</v>
      </c>
      <c r="AG853" s="592" t="str">
        <f t="shared" ref="AG853:AG854" si="296">F853&amp;AH853</f>
        <v>47.0284.1.2.17.00.01.039.02.10.01.3</v>
      </c>
      <c r="AH853" s="772" t="s">
        <v>2000</v>
      </c>
      <c r="AI853" s="158"/>
    </row>
    <row r="854" spans="1:35" ht="15" hidden="1" customHeight="1" outlineLevel="4">
      <c r="A854" s="817" t="s">
        <v>5269</v>
      </c>
      <c r="B854" s="817">
        <v>3487</v>
      </c>
      <c r="C854" s="817"/>
      <c r="D854" s="817"/>
      <c r="E854" s="824" t="s">
        <v>5259</v>
      </c>
      <c r="F854" s="817" t="s">
        <v>5260</v>
      </c>
      <c r="G854" s="13" t="s">
        <v>1993</v>
      </c>
      <c r="H854" s="707">
        <f>IFERROR(VLOOKUP(A854,'Colar QL'!A:C,3,0),0)</f>
        <v>0</v>
      </c>
      <c r="I854" s="69">
        <f t="shared" si="290"/>
        <v>0</v>
      </c>
      <c r="J854" s="771">
        <v>0</v>
      </c>
      <c r="K854" s="590" t="str">
        <f t="shared" si="291"/>
        <v>47.0284.1.2.17.00.01.039.01.15.03.1</v>
      </c>
      <c r="L854" s="771" t="s">
        <v>1996</v>
      </c>
      <c r="M854" s="772">
        <f>'BD Temp'!F1374</f>
        <v>0</v>
      </c>
      <c r="N854" s="770">
        <v>0</v>
      </c>
      <c r="O854" s="592" t="str">
        <f t="shared" si="292"/>
        <v>47.0284.1.2.17.00.01.039.01.15.03.2</v>
      </c>
      <c r="P854" s="772" t="s">
        <v>1998</v>
      </c>
      <c r="Q854" s="772">
        <f>'BD Temp'!K1374</f>
        <v>0</v>
      </c>
      <c r="R854" s="770">
        <v>0</v>
      </c>
      <c r="S854" s="592" t="str">
        <f t="shared" si="293"/>
        <v>47.0284.1.2.17.00.01.039.01.15.03.3</v>
      </c>
      <c r="T854" s="772" t="s">
        <v>2000</v>
      </c>
      <c r="U854" s="772">
        <f>'BD Temp'!P1374</f>
        <v>0</v>
      </c>
      <c r="V854" s="764"/>
      <c r="W854" s="764"/>
      <c r="X854" s="158"/>
      <c r="Y854" s="745"/>
      <c r="Z854" s="771">
        <v>0</v>
      </c>
      <c r="AA854" s="592" t="str">
        <f t="shared" si="294"/>
        <v>47.0284.1.2.17.00.01.039.01.15.03.1</v>
      </c>
      <c r="AB854" s="772" t="s">
        <v>1996</v>
      </c>
      <c r="AC854" s="770">
        <v>0</v>
      </c>
      <c r="AD854" s="592" t="str">
        <f t="shared" si="295"/>
        <v>47.0284.1.2.17.00.01.039.01.15.03.2</v>
      </c>
      <c r="AE854" s="772" t="s">
        <v>1998</v>
      </c>
      <c r="AF854" s="770">
        <v>0</v>
      </c>
      <c r="AG854" s="592" t="str">
        <f t="shared" si="296"/>
        <v>47.0284.1.2.17.00.01.039.01.15.03.3</v>
      </c>
      <c r="AH854" s="772" t="s">
        <v>2000</v>
      </c>
      <c r="AI854" s="158"/>
    </row>
    <row r="855" spans="1:35" ht="15" hidden="1" customHeight="1" outlineLevel="4">
      <c r="A855" s="817"/>
      <c r="B855" s="817"/>
      <c r="C855" s="817"/>
      <c r="D855" s="817"/>
      <c r="E855" s="824" t="s">
        <v>5259</v>
      </c>
      <c r="F855" s="820" t="s">
        <v>5260</v>
      </c>
      <c r="G855" s="13"/>
      <c r="H855" s="707"/>
      <c r="I855" s="69"/>
      <c r="J855" s="771"/>
      <c r="K855" s="590"/>
      <c r="L855" s="771"/>
      <c r="M855" s="772"/>
      <c r="N855" s="770"/>
      <c r="O855" s="592"/>
      <c r="P855" s="772"/>
      <c r="Q855" s="772"/>
      <c r="R855" s="770"/>
      <c r="S855" s="592"/>
      <c r="T855" s="772"/>
      <c r="U855" s="772"/>
      <c r="V855" s="764"/>
      <c r="W855" s="764"/>
      <c r="X855" s="158"/>
      <c r="Y855" s="745"/>
      <c r="Z855" s="771"/>
      <c r="AA855" s="592"/>
      <c r="AB855" s="772"/>
      <c r="AC855" s="770"/>
      <c r="AD855" s="592"/>
      <c r="AE855" s="772"/>
      <c r="AF855" s="770"/>
      <c r="AG855" s="592"/>
      <c r="AH855" s="772"/>
      <c r="AI855" s="158"/>
    </row>
    <row r="856" spans="1:35" ht="15" hidden="1" customHeight="1" outlineLevel="4">
      <c r="A856" s="817"/>
      <c r="B856" s="817"/>
      <c r="C856" s="817"/>
      <c r="D856" s="817"/>
      <c r="E856" s="824"/>
      <c r="F856" s="817"/>
      <c r="G856" s="816" t="s">
        <v>234</v>
      </c>
      <c r="H856" s="707"/>
      <c r="I856" s="69"/>
      <c r="J856" s="771"/>
      <c r="K856" s="590"/>
      <c r="L856" s="771"/>
      <c r="M856" s="772"/>
      <c r="N856" s="770"/>
      <c r="O856" s="592"/>
      <c r="P856" s="772"/>
      <c r="Q856" s="772"/>
      <c r="R856" s="770"/>
      <c r="S856" s="592"/>
      <c r="T856" s="772"/>
      <c r="U856" s="772"/>
      <c r="V856" s="764"/>
      <c r="W856" s="764"/>
      <c r="X856" s="158"/>
      <c r="Y856" s="745"/>
      <c r="Z856" s="771"/>
      <c r="AA856" s="592"/>
      <c r="AB856" s="772"/>
      <c r="AC856" s="770"/>
      <c r="AD856" s="592"/>
      <c r="AE856" s="772"/>
      <c r="AF856" s="770"/>
      <c r="AG856" s="592"/>
      <c r="AH856" s="772"/>
      <c r="AI856" s="158"/>
    </row>
    <row r="857" spans="1:35" ht="15" hidden="1" customHeight="1" outlineLevel="4">
      <c r="A857" s="817" t="s">
        <v>5270</v>
      </c>
      <c r="B857" s="817">
        <v>3487</v>
      </c>
      <c r="C857" s="817"/>
      <c r="D857" s="817"/>
      <c r="E857" s="824" t="s">
        <v>5253</v>
      </c>
      <c r="F857" s="817" t="s">
        <v>5254</v>
      </c>
      <c r="G857" s="13" t="s">
        <v>5241</v>
      </c>
      <c r="H857" s="707">
        <f>IFERROR(VLOOKUP(A857,'Colar QL'!A:C,3,0),0)</f>
        <v>0</v>
      </c>
      <c r="I857" s="69">
        <f t="shared" ref="I857:I858" si="297">IFERROR((J857+N857+R857),0)</f>
        <v>0</v>
      </c>
      <c r="J857" s="771">
        <v>0</v>
      </c>
      <c r="K857" s="590" t="str">
        <f t="shared" ref="K857:K858" si="298">F857&amp;L857</f>
        <v>47.0284.1.2.17.00.01.039.01.15.09.1</v>
      </c>
      <c r="L857" s="771" t="s">
        <v>1996</v>
      </c>
      <c r="M857" s="772">
        <f>'BD Temp'!F1377</f>
        <v>0</v>
      </c>
      <c r="N857" s="770">
        <v>0</v>
      </c>
      <c r="O857" s="592" t="str">
        <f t="shared" ref="O857:O858" si="299">F857&amp;P857</f>
        <v>47.0284.1.2.17.00.01.039.01.15.09.2</v>
      </c>
      <c r="P857" s="772" t="s">
        <v>1998</v>
      </c>
      <c r="Q857" s="772">
        <f>'BD Temp'!K1377</f>
        <v>0</v>
      </c>
      <c r="R857" s="770">
        <v>0</v>
      </c>
      <c r="S857" s="592" t="str">
        <f t="shared" ref="S857:S858" si="300">F857&amp;T857</f>
        <v>47.0284.1.2.17.00.01.039.01.15.09.3</v>
      </c>
      <c r="T857" s="772" t="s">
        <v>2000</v>
      </c>
      <c r="U857" s="772">
        <f>'BD Temp'!P1377</f>
        <v>0</v>
      </c>
      <c r="V857" s="764"/>
      <c r="W857" s="764"/>
      <c r="X857" s="158"/>
      <c r="Y857" s="745"/>
      <c r="Z857" s="771">
        <v>0</v>
      </c>
      <c r="AA857" s="592" t="str">
        <f t="shared" ref="AA857:AA858" si="301">F857&amp;AB857</f>
        <v>47.0284.1.2.17.00.01.039.01.15.09.1</v>
      </c>
      <c r="AB857" s="772" t="s">
        <v>1996</v>
      </c>
      <c r="AC857" s="770">
        <v>0</v>
      </c>
      <c r="AD857" s="592" t="str">
        <f t="shared" ref="AD857:AD858" si="302">F857&amp;AE857</f>
        <v>47.0284.1.2.17.00.01.039.01.15.09.2</v>
      </c>
      <c r="AE857" s="772" t="s">
        <v>1998</v>
      </c>
      <c r="AF857" s="770">
        <v>0</v>
      </c>
      <c r="AG857" s="592" t="str">
        <f t="shared" ref="AG857:AG858" si="303">F857&amp;AH857</f>
        <v>47.0284.1.2.17.00.01.039.01.15.09.3</v>
      </c>
      <c r="AH857" s="772" t="s">
        <v>2000</v>
      </c>
      <c r="AI857" s="158"/>
    </row>
    <row r="858" spans="1:35" ht="15" hidden="1" customHeight="1" outlineLevel="4">
      <c r="A858" s="817" t="s">
        <v>5271</v>
      </c>
      <c r="B858" s="817">
        <v>3487</v>
      </c>
      <c r="C858" s="817"/>
      <c r="D858" s="817"/>
      <c r="E858" s="824"/>
      <c r="F858" s="817"/>
      <c r="G858" s="13" t="s">
        <v>5242</v>
      </c>
      <c r="H858" s="707">
        <f>IFERROR(VLOOKUP(A858,'Colar QL'!A:C,3,0),0)</f>
        <v>0</v>
      </c>
      <c r="I858" s="69">
        <f t="shared" si="297"/>
        <v>0</v>
      </c>
      <c r="J858" s="771">
        <v>0</v>
      </c>
      <c r="K858" s="590" t="str">
        <f t="shared" si="298"/>
        <v>.1</v>
      </c>
      <c r="L858" s="771" t="s">
        <v>1996</v>
      </c>
      <c r="M858" s="772">
        <f>'BD Temp'!F1378</f>
        <v>0</v>
      </c>
      <c r="N858" s="770">
        <v>0</v>
      </c>
      <c r="O858" s="592" t="str">
        <f t="shared" si="299"/>
        <v>.2</v>
      </c>
      <c r="P858" s="772" t="s">
        <v>1998</v>
      </c>
      <c r="Q858" s="772">
        <f>'BD Temp'!K1378</f>
        <v>0</v>
      </c>
      <c r="R858" s="770">
        <v>0</v>
      </c>
      <c r="S858" s="592" t="str">
        <f t="shared" si="300"/>
        <v>.3</v>
      </c>
      <c r="T858" s="772" t="s">
        <v>2000</v>
      </c>
      <c r="U858" s="772">
        <f>'BD Temp'!P1378</f>
        <v>0</v>
      </c>
      <c r="V858" s="764"/>
      <c r="W858" s="764"/>
      <c r="X858" s="158"/>
      <c r="Y858" s="745"/>
      <c r="Z858" s="771">
        <v>0</v>
      </c>
      <c r="AA858" s="592" t="str">
        <f t="shared" si="301"/>
        <v>.1</v>
      </c>
      <c r="AB858" s="772" t="s">
        <v>1996</v>
      </c>
      <c r="AC858" s="770">
        <v>0</v>
      </c>
      <c r="AD858" s="592" t="str">
        <f t="shared" si="302"/>
        <v>.2</v>
      </c>
      <c r="AE858" s="772" t="s">
        <v>1998</v>
      </c>
      <c r="AF858" s="770">
        <v>0</v>
      </c>
      <c r="AG858" s="592" t="str">
        <f t="shared" si="303"/>
        <v>.3</v>
      </c>
      <c r="AH858" s="772" t="s">
        <v>2000</v>
      </c>
      <c r="AI858" s="158"/>
    </row>
    <row r="859" spans="1:35" ht="15" hidden="1" customHeight="1" outlineLevel="4">
      <c r="A859" s="95" t="s">
        <v>5272</v>
      </c>
      <c r="B859" s="95">
        <v>3487</v>
      </c>
      <c r="C859" s="95"/>
      <c r="D859" s="95"/>
      <c r="E859" s="824" t="s">
        <v>5261</v>
      </c>
      <c r="F859" s="774" t="s">
        <v>5262</v>
      </c>
      <c r="G859" s="13" t="s">
        <v>5243</v>
      </c>
      <c r="H859" s="583">
        <f>IFERROR(VLOOKUP(A859,'Colar QL'!A:C,3,0),0)</f>
        <v>0</v>
      </c>
      <c r="I859" s="69">
        <f t="shared" si="265"/>
        <v>0</v>
      </c>
      <c r="J859" s="258">
        <v>0</v>
      </c>
      <c r="K859" s="590" t="str">
        <f t="shared" si="284"/>
        <v>47.0284.1.2.17.00.01.039.01.15.05.1</v>
      </c>
      <c r="L859" s="579" t="s">
        <v>1996</v>
      </c>
      <c r="M859" s="256">
        <f>'BD Temp'!F1373</f>
        <v>0</v>
      </c>
      <c r="N859" s="255">
        <f>'BD Temp'!J1373</f>
        <v>0</v>
      </c>
      <c r="O859" s="592" t="str">
        <f t="shared" si="285"/>
        <v>47.0284.1.2.17.00.01.039.01.15.05.2</v>
      </c>
      <c r="P859" s="578" t="s">
        <v>1998</v>
      </c>
      <c r="Q859" s="256">
        <f>'BD Temp'!K1373</f>
        <v>0</v>
      </c>
      <c r="R859" s="255">
        <f>'BD Temp'!O1373</f>
        <v>0</v>
      </c>
      <c r="S859" s="592" t="str">
        <f t="shared" si="286"/>
        <v>47.0284.1.2.17.00.01.039.01.15.05.3</v>
      </c>
      <c r="T859" s="578" t="s">
        <v>2000</v>
      </c>
      <c r="U859" s="256">
        <f>'BD Temp'!P1373</f>
        <v>0</v>
      </c>
      <c r="V859" s="764"/>
      <c r="W859" s="764"/>
      <c r="X859" s="158"/>
      <c r="Y859" s="745"/>
      <c r="Z859" s="741">
        <v>0</v>
      </c>
      <c r="AA859" s="592" t="str">
        <f t="shared" si="287"/>
        <v>47.0284.1.2.17.00.01.039.01.15.05.1</v>
      </c>
      <c r="AB859" s="739" t="s">
        <v>1996</v>
      </c>
      <c r="AC859" s="738">
        <v>0</v>
      </c>
      <c r="AD859" s="592" t="str">
        <f t="shared" si="288"/>
        <v>47.0284.1.2.17.00.01.039.01.15.05.2</v>
      </c>
      <c r="AE859" s="739" t="s">
        <v>1998</v>
      </c>
      <c r="AF859" s="738">
        <v>0</v>
      </c>
      <c r="AG859" s="592" t="str">
        <f t="shared" si="289"/>
        <v>47.0284.1.2.17.00.01.039.01.15.05.3</v>
      </c>
      <c r="AH859" s="739" t="s">
        <v>2000</v>
      </c>
      <c r="AI859" s="158"/>
    </row>
    <row r="860" spans="1:35" ht="15" hidden="1" customHeight="1" outlineLevel="4">
      <c r="A860" s="95" t="s">
        <v>5273</v>
      </c>
      <c r="B860" s="95">
        <v>3487</v>
      </c>
      <c r="C860" s="95"/>
      <c r="D860" s="95"/>
      <c r="E860" s="824" t="s">
        <v>5251</v>
      </c>
      <c r="F860" s="774" t="s">
        <v>5252</v>
      </c>
      <c r="G860" s="13" t="s">
        <v>954</v>
      </c>
      <c r="H860" s="707">
        <f>IFERROR(VLOOKUP(A860,'Colar QL'!A:C,3,0),0)</f>
        <v>0</v>
      </c>
      <c r="I860" s="69">
        <f t="shared" ref="I860" si="304">IFERROR((J860+N860+R860),0)</f>
        <v>0</v>
      </c>
      <c r="J860" s="771">
        <v>0</v>
      </c>
      <c r="K860" s="590" t="str">
        <f t="shared" ref="K860" si="305">F860&amp;L860</f>
        <v>47.0284.1.2.17.00.01.039.01.15.00.1</v>
      </c>
      <c r="L860" s="771" t="s">
        <v>1996</v>
      </c>
      <c r="M860" s="772">
        <f>'BD Temp'!F1374</f>
        <v>0</v>
      </c>
      <c r="N860" s="770">
        <f>'BD Temp'!J1374</f>
        <v>0</v>
      </c>
      <c r="O860" s="592" t="str">
        <f t="shared" ref="O860" si="306">F860&amp;P860</f>
        <v>47.0284.1.2.17.00.01.039.01.15.00.2</v>
      </c>
      <c r="P860" s="772" t="s">
        <v>1998</v>
      </c>
      <c r="Q860" s="772">
        <f>'BD Temp'!K1374</f>
        <v>0</v>
      </c>
      <c r="R860" s="770">
        <f>'BD Temp'!O1374</f>
        <v>0</v>
      </c>
      <c r="S860" s="592" t="str">
        <f t="shared" ref="S860" si="307">F860&amp;T860</f>
        <v>47.0284.1.2.17.00.01.039.01.15.00.3</v>
      </c>
      <c r="T860" s="772" t="s">
        <v>2000</v>
      </c>
      <c r="U860" s="772">
        <f>'BD Temp'!P1374</f>
        <v>0</v>
      </c>
      <c r="V860" s="764"/>
      <c r="W860" s="764"/>
      <c r="X860" s="158"/>
      <c r="Y860" s="745"/>
      <c r="Z860" s="771">
        <v>0</v>
      </c>
      <c r="AA860" s="592" t="str">
        <f t="shared" ref="AA860" si="308">F860&amp;AB860</f>
        <v>47.0284.1.2.17.00.01.039.01.15.00.1</v>
      </c>
      <c r="AB860" s="772" t="s">
        <v>1996</v>
      </c>
      <c r="AC860" s="770">
        <v>0</v>
      </c>
      <c r="AD860" s="592" t="str">
        <f t="shared" ref="AD860" si="309">F860&amp;AE860</f>
        <v>47.0284.1.2.17.00.01.039.01.15.00.2</v>
      </c>
      <c r="AE860" s="772" t="s">
        <v>1998</v>
      </c>
      <c r="AF860" s="770">
        <v>0</v>
      </c>
      <c r="AG860" s="592" t="str">
        <f t="shared" ref="AG860" si="310">F860&amp;AH860</f>
        <v>47.0284.1.2.17.00.01.039.01.15.00.3</v>
      </c>
      <c r="AH860" s="772" t="s">
        <v>2000</v>
      </c>
      <c r="AI860" s="158"/>
    </row>
    <row r="861" spans="1:35" ht="15" hidden="1" customHeight="1" outlineLevel="2">
      <c r="A861" s="97"/>
      <c r="B861" s="97" t="s">
        <v>1075</v>
      </c>
      <c r="C861" s="97"/>
      <c r="D861" s="97"/>
      <c r="E861" s="825"/>
      <c r="F861" s="97"/>
      <c r="G861" s="40" t="s">
        <v>235</v>
      </c>
      <c r="H861" s="78">
        <f>SUBTOTAL(9,H862:H862)</f>
        <v>0</v>
      </c>
      <c r="I861" s="68">
        <f t="shared" ref="I861:I862" si="311">IFERROR((J861+N861+R861),0)</f>
        <v>0</v>
      </c>
      <c r="J861" s="55">
        <f>SUBTOTAL(9,J862)</f>
        <v>0</v>
      </c>
      <c r="K861" s="55"/>
      <c r="L861" s="55"/>
      <c r="M861" s="84"/>
      <c r="N861" s="56">
        <f>SUBTOTAL(9,N862)</f>
        <v>0</v>
      </c>
      <c r="O861" s="84"/>
      <c r="P861" s="84"/>
      <c r="Q861" s="84"/>
      <c r="R861" s="56">
        <f>SUBTOTAL(9,R862)</f>
        <v>0</v>
      </c>
      <c r="S861" s="84"/>
      <c r="T861" s="84"/>
      <c r="U861" s="84"/>
      <c r="V861" s="56">
        <f>SUBTOTAL(9,V862)</f>
        <v>0</v>
      </c>
      <c r="W861" s="56">
        <f>SUBTOTAL(9,W862)</f>
        <v>0</v>
      </c>
      <c r="X861" s="170"/>
      <c r="Y861" s="745"/>
      <c r="Z861" s="55">
        <f>SUBTOTAL(9,Z862)</f>
        <v>0</v>
      </c>
      <c r="AA861" s="84"/>
      <c r="AB861" s="84"/>
      <c r="AC861" s="56">
        <f>SUBTOTAL(9,AC862)</f>
        <v>0</v>
      </c>
      <c r="AD861" s="84"/>
      <c r="AE861" s="84"/>
      <c r="AF861" s="56">
        <f>SUBTOTAL(9,AF862)</f>
        <v>0</v>
      </c>
      <c r="AG861" s="84"/>
      <c r="AH861" s="84"/>
      <c r="AI861" s="170"/>
    </row>
    <row r="862" spans="1:35" ht="15" hidden="1" customHeight="1" outlineLevel="3">
      <c r="A862" s="95" t="s">
        <v>5274</v>
      </c>
      <c r="B862" s="95">
        <v>3487</v>
      </c>
      <c r="C862" s="95"/>
      <c r="D862" s="95"/>
      <c r="E862" s="824" t="s">
        <v>5263</v>
      </c>
      <c r="F862" s="817" t="s">
        <v>5233</v>
      </c>
      <c r="G862" s="13" t="s">
        <v>3030</v>
      </c>
      <c r="H862" s="583">
        <f>IFERROR(VLOOKUP(A862,'Colar QL'!A:C,3,0),0)</f>
        <v>0</v>
      </c>
      <c r="I862" s="69">
        <f t="shared" si="311"/>
        <v>0</v>
      </c>
      <c r="J862" s="771">
        <v>0</v>
      </c>
      <c r="K862" s="590" t="str">
        <f>F862&amp;L862</f>
        <v>47.0284.1.2.17.00.01.039.01.15.02.1</v>
      </c>
      <c r="L862" s="771" t="s">
        <v>1996</v>
      </c>
      <c r="M862" s="772"/>
      <c r="N862" s="770">
        <v>0</v>
      </c>
      <c r="O862" s="592" t="str">
        <f>F862&amp;P862</f>
        <v>47.0284.1.2.17.00.01.039.01.15.02.2</v>
      </c>
      <c r="P862" s="772" t="s">
        <v>1998</v>
      </c>
      <c r="Q862" s="772"/>
      <c r="R862" s="770">
        <f>ROUND(R844*$U$5,0)</f>
        <v>0</v>
      </c>
      <c r="S862" s="592" t="str">
        <f>F862&amp;T862</f>
        <v>47.0284.1.2.17.00.01.039.01.15.02.3</v>
      </c>
      <c r="T862" s="772" t="s">
        <v>2000</v>
      </c>
      <c r="U862" s="772"/>
      <c r="V862" s="764"/>
      <c r="W862" s="764"/>
      <c r="X862" s="158"/>
      <c r="Y862" s="745"/>
      <c r="Z862" s="771">
        <f>ROUND(Z844*$U$5,0)</f>
        <v>0</v>
      </c>
      <c r="AA862" s="592" t="str">
        <f>F862&amp;AB862</f>
        <v>47.0284.1.2.17.00.01.039.01.15.02.1</v>
      </c>
      <c r="AB862" s="772" t="s">
        <v>1996</v>
      </c>
      <c r="AC862" s="770">
        <f>ROUND(AC844*$U$5,0)</f>
        <v>0</v>
      </c>
      <c r="AD862" s="592" t="str">
        <f>F862&amp;AE862</f>
        <v>47.0284.1.2.17.00.01.039.01.15.02.2</v>
      </c>
      <c r="AE862" s="772" t="s">
        <v>1998</v>
      </c>
      <c r="AF862" s="770">
        <f>ROUND(AF844*$U$5,0)</f>
        <v>0</v>
      </c>
      <c r="AG862" s="592" t="str">
        <f>F862&amp;AH862</f>
        <v>47.0284.1.2.17.00.01.039.01.15.02.3</v>
      </c>
      <c r="AH862" s="772" t="s">
        <v>2000</v>
      </c>
      <c r="AI862" s="158"/>
    </row>
    <row r="863" spans="1:35" ht="15" hidden="1" customHeight="1" outlineLevel="3">
      <c r="A863" s="95"/>
      <c r="B863" s="95" t="s">
        <v>1075</v>
      </c>
      <c r="C863" s="95"/>
      <c r="D863" s="95"/>
      <c r="E863" s="774"/>
      <c r="F863" s="774" t="s">
        <v>1075</v>
      </c>
      <c r="G863" s="13"/>
      <c r="H863" s="637"/>
      <c r="I863" s="637"/>
      <c r="J863" s="771"/>
      <c r="K863" s="590" t="str">
        <f>F863&amp;L863</f>
        <v>.1</v>
      </c>
      <c r="L863" s="771" t="s">
        <v>1996</v>
      </c>
      <c r="M863" s="772"/>
      <c r="N863" s="770"/>
      <c r="O863" s="592" t="str">
        <f>F863&amp;P863</f>
        <v>.2</v>
      </c>
      <c r="P863" s="772" t="s">
        <v>1998</v>
      </c>
      <c r="Q863" s="772"/>
      <c r="R863" s="770"/>
      <c r="S863" s="592" t="str">
        <f>F863&amp;T863</f>
        <v>.3</v>
      </c>
      <c r="T863" s="772" t="s">
        <v>2000</v>
      </c>
      <c r="U863" s="772"/>
      <c r="V863" s="764"/>
      <c r="W863" s="764"/>
      <c r="X863" s="158"/>
      <c r="Y863" s="745"/>
      <c r="Z863" s="771"/>
      <c r="AA863" s="592" t="str">
        <f>F863&amp;AB863</f>
        <v>.1</v>
      </c>
      <c r="AB863" s="772" t="s">
        <v>1996</v>
      </c>
      <c r="AC863" s="770"/>
      <c r="AD863" s="592" t="str">
        <f>F863&amp;AE863</f>
        <v>.2</v>
      </c>
      <c r="AE863" s="772" t="s">
        <v>1998</v>
      </c>
      <c r="AF863" s="770"/>
      <c r="AG863" s="592" t="str">
        <f>F863&amp;AH863</f>
        <v>.3</v>
      </c>
      <c r="AH863" s="772" t="s">
        <v>2000</v>
      </c>
      <c r="AI863" s="158"/>
    </row>
    <row r="864" spans="1:35">
      <c r="B864" s="202" t="s">
        <v>1075</v>
      </c>
      <c r="E864" s="202" t="s">
        <v>1075</v>
      </c>
      <c r="F864" s="202" t="s">
        <v>2288</v>
      </c>
      <c r="G864" s="4"/>
      <c r="H864" s="4"/>
      <c r="I864" s="4"/>
      <c r="J864" s="4"/>
      <c r="K864" s="43"/>
      <c r="L864" s="43"/>
      <c r="M864" s="4"/>
      <c r="N864" s="4"/>
      <c r="O864" s="43"/>
      <c r="P864" s="43"/>
      <c r="Q864" s="4"/>
      <c r="R864" s="4"/>
      <c r="S864" s="4"/>
      <c r="T864" s="4"/>
      <c r="U864" s="4"/>
      <c r="V864" s="43"/>
      <c r="W864" s="4"/>
      <c r="X864" s="175"/>
      <c r="Y864" s="749"/>
      <c r="Z864" s="4"/>
      <c r="AA864" s="43"/>
      <c r="AB864" s="43"/>
      <c r="AC864" s="4"/>
      <c r="AD864" s="43"/>
      <c r="AE864" s="43"/>
      <c r="AF864" s="4"/>
      <c r="AG864" s="4"/>
      <c r="AH864" s="4"/>
      <c r="AI864" s="175"/>
    </row>
    <row r="865" spans="2:25">
      <c r="B865" s="202" t="s">
        <v>1075</v>
      </c>
      <c r="E865" s="202" t="s">
        <v>1075</v>
      </c>
      <c r="F865" s="202" t="s">
        <v>2288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3"/>
      <c r="W865" s="4"/>
      <c r="X865" s="175"/>
      <c r="Y865" s="749"/>
    </row>
    <row r="866" spans="2:25">
      <c r="B866" s="202" t="s">
        <v>1075</v>
      </c>
      <c r="E866" s="202" t="s">
        <v>1075</v>
      </c>
      <c r="F866" s="202" t="s">
        <v>2288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3"/>
      <c r="W866" s="4"/>
      <c r="X866" s="175"/>
      <c r="Y866" s="749"/>
    </row>
    <row r="867" spans="2:25">
      <c r="B867" s="202" t="s">
        <v>1075</v>
      </c>
      <c r="E867" s="202" t="s">
        <v>1075</v>
      </c>
      <c r="F867" s="202" t="s">
        <v>2288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3"/>
      <c r="W867" s="4"/>
      <c r="X867" s="175"/>
      <c r="Y867" s="749"/>
    </row>
    <row r="868" spans="2:25">
      <c r="B868" s="202" t="s">
        <v>1075</v>
      </c>
      <c r="E868" s="202" t="s">
        <v>1075</v>
      </c>
      <c r="F868" s="202" t="s">
        <v>2288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3"/>
      <c r="W868" s="4"/>
      <c r="X868" s="175"/>
      <c r="Y868" s="749"/>
    </row>
    <row r="869" spans="2:25">
      <c r="B869" s="202" t="s">
        <v>1075</v>
      </c>
      <c r="E869" s="202" t="s">
        <v>1075</v>
      </c>
      <c r="F869" s="202" t="s">
        <v>2288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3"/>
      <c r="W869" s="4"/>
      <c r="X869" s="175"/>
      <c r="Y869" s="749"/>
    </row>
    <row r="870" spans="2:25">
      <c r="B870" s="202" t="s">
        <v>1075</v>
      </c>
      <c r="E870" s="202" t="s">
        <v>1075</v>
      </c>
      <c r="F870" s="202" t="s">
        <v>2288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3"/>
      <c r="W870" s="4"/>
      <c r="X870" s="175"/>
      <c r="Y870" s="749"/>
    </row>
    <row r="871" spans="2:25">
      <c r="B871" s="202" t="s">
        <v>1075</v>
      </c>
      <c r="E871" s="202" t="s">
        <v>1075</v>
      </c>
      <c r="F871" s="202" t="s">
        <v>2288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3"/>
      <c r="W871" s="4"/>
      <c r="X871" s="175"/>
      <c r="Y871" s="749"/>
    </row>
    <row r="872" spans="2:25">
      <c r="B872" s="202" t="s">
        <v>1075</v>
      </c>
      <c r="E872" s="202" t="s">
        <v>1075</v>
      </c>
      <c r="F872" s="202" t="s">
        <v>2288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3"/>
      <c r="W872" s="4"/>
      <c r="X872" s="175"/>
      <c r="Y872" s="749"/>
    </row>
    <row r="873" spans="2:25">
      <c r="B873" s="202" t="s">
        <v>1075</v>
      </c>
      <c r="E873" s="202" t="s">
        <v>1075</v>
      </c>
      <c r="F873" s="202" t="s">
        <v>2288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3"/>
      <c r="W873" s="4"/>
      <c r="X873" s="175"/>
      <c r="Y873" s="749"/>
    </row>
    <row r="874" spans="2:25">
      <c r="B874" s="202" t="s">
        <v>1075</v>
      </c>
      <c r="E874" s="202" t="s">
        <v>1075</v>
      </c>
      <c r="F874" s="202" t="s">
        <v>2288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3"/>
      <c r="W874" s="4"/>
      <c r="X874" s="175"/>
      <c r="Y874" s="749"/>
    </row>
    <row r="875" spans="2:25">
      <c r="B875" s="202" t="s">
        <v>1075</v>
      </c>
      <c r="E875" s="202" t="s">
        <v>1075</v>
      </c>
      <c r="F875" s="202" t="s">
        <v>2288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3"/>
      <c r="W875" s="4"/>
      <c r="X875" s="175"/>
      <c r="Y875" s="749"/>
    </row>
    <row r="876" spans="2:25">
      <c r="B876" s="202" t="s">
        <v>1075</v>
      </c>
      <c r="E876" s="202" t="s">
        <v>1075</v>
      </c>
      <c r="F876" s="202" t="s">
        <v>2288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3"/>
      <c r="W876" s="4"/>
      <c r="X876" s="175"/>
      <c r="Y876" s="749"/>
    </row>
    <row r="877" spans="2:25">
      <c r="B877" s="202" t="s">
        <v>1075</v>
      </c>
      <c r="E877" s="202" t="s">
        <v>1075</v>
      </c>
      <c r="F877" s="202" t="s">
        <v>2288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3"/>
      <c r="W877" s="4"/>
      <c r="X877" s="175"/>
      <c r="Y877" s="749"/>
    </row>
    <row r="878" spans="2:25">
      <c r="B878" s="202" t="s">
        <v>1075</v>
      </c>
      <c r="E878" s="202" t="s">
        <v>1075</v>
      </c>
      <c r="F878" s="202" t="s">
        <v>2288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3"/>
      <c r="W878" s="4"/>
      <c r="X878" s="175"/>
      <c r="Y878" s="749"/>
    </row>
    <row r="879" spans="2:25">
      <c r="B879" s="202" t="s">
        <v>1075</v>
      </c>
      <c r="E879" s="202" t="s">
        <v>1075</v>
      </c>
      <c r="F879" s="202" t="s">
        <v>2288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3"/>
      <c r="W879" s="4"/>
      <c r="X879" s="175"/>
      <c r="Y879" s="749"/>
    </row>
    <row r="880" spans="2:25">
      <c r="B880" s="202" t="s">
        <v>1075</v>
      </c>
      <c r="E880" s="202" t="s">
        <v>1075</v>
      </c>
      <c r="F880" s="202" t="s">
        <v>2288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3"/>
      <c r="W880" s="4"/>
      <c r="X880" s="175"/>
      <c r="Y880" s="749"/>
    </row>
    <row r="881" spans="2:25">
      <c r="B881" s="202" t="s">
        <v>1075</v>
      </c>
      <c r="E881" s="202" t="s">
        <v>1075</v>
      </c>
      <c r="F881" s="202" t="s">
        <v>2288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3"/>
      <c r="W881" s="4"/>
      <c r="X881" s="175"/>
      <c r="Y881" s="749"/>
    </row>
    <row r="882" spans="2:25">
      <c r="B882" s="202" t="s">
        <v>1075</v>
      </c>
      <c r="E882" s="202" t="s">
        <v>1075</v>
      </c>
      <c r="F882" s="202" t="s">
        <v>2288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3"/>
      <c r="W882" s="4"/>
      <c r="X882" s="175"/>
      <c r="Y882" s="749"/>
    </row>
    <row r="883" spans="2:25">
      <c r="B883" s="202" t="s">
        <v>1075</v>
      </c>
      <c r="E883" s="202" t="s">
        <v>1075</v>
      </c>
      <c r="F883" s="202" t="s">
        <v>2288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3"/>
      <c r="W883" s="4"/>
      <c r="X883" s="175"/>
      <c r="Y883" s="749"/>
    </row>
    <row r="884" spans="2:25">
      <c r="B884" s="202" t="s">
        <v>1075</v>
      </c>
      <c r="E884" s="202" t="s">
        <v>1075</v>
      </c>
      <c r="F884" s="202" t="s">
        <v>2288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3"/>
      <c r="W884" s="4"/>
      <c r="X884" s="175"/>
      <c r="Y884" s="749"/>
    </row>
    <row r="885" spans="2:25">
      <c r="B885" s="202" t="s">
        <v>1075</v>
      </c>
      <c r="E885" s="202" t="s">
        <v>1075</v>
      </c>
      <c r="F885" s="202" t="s">
        <v>2288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3"/>
      <c r="W885" s="4"/>
      <c r="X885" s="175"/>
      <c r="Y885" s="749"/>
    </row>
    <row r="886" spans="2:25">
      <c r="B886" s="202" t="s">
        <v>1075</v>
      </c>
      <c r="E886" s="202" t="s">
        <v>1075</v>
      </c>
      <c r="F886" s="202" t="s">
        <v>2288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3"/>
      <c r="W886" s="4"/>
      <c r="X886" s="175"/>
      <c r="Y886" s="749"/>
    </row>
    <row r="887" spans="2:25">
      <c r="B887" s="202" t="s">
        <v>1075</v>
      </c>
      <c r="E887" s="202" t="s">
        <v>1075</v>
      </c>
      <c r="F887" s="202" t="s">
        <v>2288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3"/>
      <c r="W887" s="4"/>
      <c r="X887" s="175"/>
      <c r="Y887" s="749"/>
    </row>
    <row r="888" spans="2:25">
      <c r="B888" s="202" t="s">
        <v>1075</v>
      </c>
      <c r="E888" s="202" t="s">
        <v>1075</v>
      </c>
      <c r="F888" s="202" t="s">
        <v>2288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3"/>
      <c r="W888" s="4"/>
      <c r="X888" s="175"/>
      <c r="Y888" s="749"/>
    </row>
    <row r="889" spans="2:25">
      <c r="B889" s="202" t="s">
        <v>1075</v>
      </c>
      <c r="E889" s="202" t="s">
        <v>1075</v>
      </c>
      <c r="F889" s="202" t="s">
        <v>2288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3"/>
      <c r="W889" s="4"/>
      <c r="X889" s="175"/>
      <c r="Y889" s="749"/>
    </row>
    <row r="890" spans="2:25">
      <c r="B890" s="202" t="s">
        <v>1075</v>
      </c>
      <c r="E890" s="202" t="s">
        <v>1075</v>
      </c>
      <c r="F890" s="202" t="s">
        <v>2288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3"/>
      <c r="W890" s="4"/>
      <c r="X890" s="175"/>
      <c r="Y890" s="749"/>
    </row>
    <row r="891" spans="2:25">
      <c r="B891" s="202" t="s">
        <v>1075</v>
      </c>
      <c r="E891" s="202" t="s">
        <v>1075</v>
      </c>
      <c r="F891" s="202" t="s">
        <v>2288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3"/>
      <c r="W891" s="4"/>
      <c r="X891" s="175"/>
      <c r="Y891" s="749"/>
    </row>
    <row r="892" spans="2:25">
      <c r="B892" s="202" t="s">
        <v>1075</v>
      </c>
      <c r="E892" s="202" t="s">
        <v>1075</v>
      </c>
      <c r="F892" s="202" t="s">
        <v>2288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3"/>
      <c r="W892" s="4"/>
      <c r="X892" s="175"/>
      <c r="Y892" s="749"/>
    </row>
    <row r="893" spans="2:25">
      <c r="B893" s="202" t="s">
        <v>1075</v>
      </c>
      <c r="E893" s="202" t="s">
        <v>1075</v>
      </c>
      <c r="F893" s="202" t="s">
        <v>2288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3"/>
      <c r="W893" s="4"/>
      <c r="X893" s="175"/>
      <c r="Y893" s="749"/>
    </row>
    <row r="894" spans="2:25">
      <c r="B894" s="202" t="s">
        <v>1075</v>
      </c>
      <c r="E894" s="202" t="s">
        <v>1075</v>
      </c>
      <c r="F894" s="202" t="s">
        <v>2288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3"/>
      <c r="W894" s="4"/>
      <c r="X894" s="175"/>
      <c r="Y894" s="749"/>
    </row>
    <row r="895" spans="2:25">
      <c r="B895" s="202" t="s">
        <v>1075</v>
      </c>
      <c r="E895" s="202" t="s">
        <v>1075</v>
      </c>
      <c r="F895" s="202" t="s">
        <v>2288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3"/>
      <c r="W895" s="4"/>
      <c r="X895" s="175"/>
      <c r="Y895" s="749"/>
    </row>
    <row r="896" spans="2:25">
      <c r="B896" s="202" t="s">
        <v>1075</v>
      </c>
      <c r="E896" s="202" t="s">
        <v>1075</v>
      </c>
      <c r="F896" s="202" t="s">
        <v>2288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3"/>
      <c r="W896" s="4"/>
      <c r="X896" s="175"/>
      <c r="Y896" s="749"/>
    </row>
    <row r="897" spans="2:25">
      <c r="B897" s="202" t="s">
        <v>1075</v>
      </c>
      <c r="E897" s="202" t="s">
        <v>1075</v>
      </c>
      <c r="F897" s="202" t="s">
        <v>2288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3"/>
      <c r="W897" s="4"/>
      <c r="X897" s="175"/>
      <c r="Y897" s="749"/>
    </row>
    <row r="898" spans="2:25">
      <c r="B898" s="202" t="s">
        <v>1075</v>
      </c>
      <c r="E898" s="202" t="s">
        <v>1075</v>
      </c>
      <c r="F898" s="202" t="s">
        <v>2288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3"/>
      <c r="W898" s="4"/>
      <c r="X898" s="175"/>
      <c r="Y898" s="749"/>
    </row>
    <row r="899" spans="2:25">
      <c r="B899" s="202" t="s">
        <v>1075</v>
      </c>
      <c r="E899" s="202" t="s">
        <v>1075</v>
      </c>
      <c r="F899" s="202" t="s">
        <v>2288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3"/>
      <c r="W899" s="4"/>
      <c r="X899" s="175"/>
      <c r="Y899" s="749"/>
    </row>
    <row r="900" spans="2:25">
      <c r="B900" s="202" t="s">
        <v>1075</v>
      </c>
      <c r="E900" s="202" t="s">
        <v>1075</v>
      </c>
      <c r="F900" s="202" t="s">
        <v>2288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3"/>
      <c r="W900" s="4"/>
      <c r="X900" s="175"/>
      <c r="Y900" s="749"/>
    </row>
    <row r="901" spans="2:25">
      <c r="B901" s="202" t="s">
        <v>1075</v>
      </c>
      <c r="E901" s="202" t="s">
        <v>1075</v>
      </c>
      <c r="F901" s="202" t="s">
        <v>2288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3"/>
      <c r="W901" s="4"/>
      <c r="X901" s="175"/>
      <c r="Y901" s="749"/>
    </row>
    <row r="902" spans="2:25">
      <c r="B902" s="202" t="s">
        <v>1075</v>
      </c>
      <c r="E902" s="202" t="s">
        <v>1075</v>
      </c>
      <c r="F902" s="202" t="s">
        <v>2288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3"/>
      <c r="W902" s="4"/>
      <c r="X902" s="175"/>
      <c r="Y902" s="749"/>
    </row>
    <row r="903" spans="2:25">
      <c r="B903" s="202" t="s">
        <v>1075</v>
      </c>
      <c r="E903" s="202" t="s">
        <v>1075</v>
      </c>
      <c r="F903" s="202" t="s">
        <v>2288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3"/>
      <c r="W903" s="4"/>
      <c r="X903" s="175"/>
      <c r="Y903" s="749"/>
    </row>
    <row r="904" spans="2:25">
      <c r="B904" s="202" t="s">
        <v>1075</v>
      </c>
      <c r="E904" s="202" t="s">
        <v>1075</v>
      </c>
      <c r="F904" s="202" t="s">
        <v>2288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3"/>
      <c r="W904" s="4"/>
      <c r="X904" s="175"/>
      <c r="Y904" s="749"/>
    </row>
    <row r="905" spans="2:25">
      <c r="B905" s="202" t="s">
        <v>1075</v>
      </c>
      <c r="E905" s="202" t="s">
        <v>1075</v>
      </c>
      <c r="F905" s="202" t="s">
        <v>2288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3"/>
      <c r="W905" s="4"/>
      <c r="X905" s="175"/>
      <c r="Y905" s="749"/>
    </row>
    <row r="906" spans="2:25">
      <c r="B906" s="202" t="s">
        <v>1075</v>
      </c>
      <c r="E906" s="202" t="s">
        <v>1075</v>
      </c>
      <c r="F906" s="202" t="s">
        <v>2288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3"/>
      <c r="W906" s="4"/>
      <c r="X906" s="175"/>
      <c r="Y906" s="749"/>
    </row>
    <row r="907" spans="2:25">
      <c r="B907" s="202" t="s">
        <v>1075</v>
      </c>
      <c r="E907" s="202" t="s">
        <v>1075</v>
      </c>
      <c r="F907" s="202" t="s">
        <v>2288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3"/>
      <c r="W907" s="4"/>
      <c r="X907" s="175"/>
      <c r="Y907" s="749"/>
    </row>
    <row r="908" spans="2:25">
      <c r="B908" s="202" t="s">
        <v>1075</v>
      </c>
      <c r="E908" s="202" t="s">
        <v>1075</v>
      </c>
      <c r="F908" s="202" t="s">
        <v>2288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3"/>
      <c r="W908" s="4"/>
      <c r="X908" s="175"/>
      <c r="Y908" s="749"/>
    </row>
    <row r="909" spans="2:25">
      <c r="B909" s="202" t="s">
        <v>1075</v>
      </c>
      <c r="E909" s="202" t="s">
        <v>1075</v>
      </c>
      <c r="F909" s="202" t="s">
        <v>2288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3"/>
      <c r="W909" s="4"/>
      <c r="X909" s="175"/>
      <c r="Y909" s="749"/>
    </row>
    <row r="910" spans="2:25">
      <c r="B910" s="202" t="s">
        <v>1075</v>
      </c>
      <c r="E910" s="202" t="s">
        <v>1075</v>
      </c>
      <c r="F910" s="202" t="s">
        <v>2288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3"/>
      <c r="W910" s="4"/>
      <c r="X910" s="175"/>
      <c r="Y910" s="749"/>
    </row>
    <row r="911" spans="2:25">
      <c r="B911" s="202" t="s">
        <v>1075</v>
      </c>
      <c r="E911" s="202" t="s">
        <v>1075</v>
      </c>
      <c r="F911" s="202" t="s">
        <v>2288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3"/>
      <c r="W911" s="4"/>
      <c r="X911" s="175"/>
      <c r="Y911" s="749"/>
    </row>
    <row r="912" spans="2:25">
      <c r="B912" s="202" t="s">
        <v>1075</v>
      </c>
      <c r="E912" s="202" t="s">
        <v>1075</v>
      </c>
      <c r="F912" s="202" t="s">
        <v>2288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3"/>
      <c r="W912" s="4"/>
      <c r="X912" s="175"/>
      <c r="Y912" s="749"/>
    </row>
    <row r="913" spans="2:25">
      <c r="B913" s="202" t="s">
        <v>1075</v>
      </c>
      <c r="E913" s="202" t="s">
        <v>1075</v>
      </c>
      <c r="F913" s="202" t="s">
        <v>2288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3"/>
      <c r="W913" s="4"/>
      <c r="X913" s="175"/>
      <c r="Y913" s="749"/>
    </row>
    <row r="914" spans="2:25">
      <c r="B914" s="202" t="s">
        <v>1075</v>
      </c>
      <c r="E914" s="202" t="s">
        <v>1075</v>
      </c>
      <c r="F914" s="202" t="s">
        <v>2288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3"/>
      <c r="W914" s="4"/>
      <c r="X914" s="175"/>
      <c r="Y914" s="749"/>
    </row>
    <row r="915" spans="2:25">
      <c r="B915" s="202" t="s">
        <v>1075</v>
      </c>
      <c r="E915" s="202" t="s">
        <v>1075</v>
      </c>
      <c r="F915" s="202" t="s">
        <v>2288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3"/>
      <c r="W915" s="4"/>
      <c r="X915" s="175"/>
      <c r="Y915" s="749"/>
    </row>
    <row r="916" spans="2:25">
      <c r="B916" s="202" t="s">
        <v>1075</v>
      </c>
      <c r="E916" s="202" t="s">
        <v>1075</v>
      </c>
      <c r="F916" s="202" t="s">
        <v>2288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3"/>
      <c r="W916" s="4"/>
      <c r="X916" s="175"/>
      <c r="Y916" s="749"/>
    </row>
    <row r="917" spans="2:25">
      <c r="B917" s="202" t="s">
        <v>1075</v>
      </c>
      <c r="E917" s="202" t="s">
        <v>1075</v>
      </c>
      <c r="F917" s="202" t="s">
        <v>2288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3"/>
      <c r="W917" s="4"/>
      <c r="X917" s="175"/>
      <c r="Y917" s="749"/>
    </row>
    <row r="918" spans="2:25">
      <c r="B918" s="202" t="s">
        <v>1075</v>
      </c>
      <c r="E918" s="202" t="s">
        <v>1075</v>
      </c>
      <c r="F918" s="202" t="s">
        <v>2288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3"/>
      <c r="W918" s="4"/>
      <c r="X918" s="175"/>
      <c r="Y918" s="749"/>
    </row>
    <row r="919" spans="2:25">
      <c r="B919" s="202" t="s">
        <v>1075</v>
      </c>
      <c r="E919" s="202" t="s">
        <v>1075</v>
      </c>
      <c r="F919" s="202" t="s">
        <v>2288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3"/>
      <c r="W919" s="4"/>
      <c r="X919" s="175"/>
      <c r="Y919" s="749"/>
    </row>
    <row r="920" spans="2:25">
      <c r="B920" s="202" t="s">
        <v>1075</v>
      </c>
      <c r="E920" s="202" t="s">
        <v>1075</v>
      </c>
      <c r="F920" s="202" t="s">
        <v>2288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3"/>
      <c r="W920" s="4"/>
      <c r="X920" s="175"/>
      <c r="Y920" s="749"/>
    </row>
    <row r="921" spans="2:25">
      <c r="B921" s="202" t="s">
        <v>1075</v>
      </c>
      <c r="E921" s="202" t="s">
        <v>1075</v>
      </c>
      <c r="F921" s="202" t="s">
        <v>2288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3"/>
      <c r="W921" s="4"/>
      <c r="X921" s="175"/>
      <c r="Y921" s="749"/>
    </row>
    <row r="922" spans="2:25">
      <c r="B922" s="202" t="s">
        <v>1075</v>
      </c>
      <c r="E922" s="202" t="s">
        <v>1075</v>
      </c>
      <c r="F922" s="202" t="s">
        <v>2288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3"/>
      <c r="W922" s="4"/>
      <c r="X922" s="175"/>
      <c r="Y922" s="749"/>
    </row>
    <row r="923" spans="2:25">
      <c r="B923" s="202" t="s">
        <v>1075</v>
      </c>
      <c r="E923" s="202" t="s">
        <v>1075</v>
      </c>
      <c r="F923" s="202" t="s">
        <v>2288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3"/>
      <c r="W923" s="4"/>
      <c r="X923" s="175"/>
      <c r="Y923" s="749"/>
    </row>
    <row r="924" spans="2:25">
      <c r="B924" s="202" t="s">
        <v>1075</v>
      </c>
      <c r="E924" s="202" t="s">
        <v>1075</v>
      </c>
      <c r="F924" s="202" t="s">
        <v>2288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3"/>
      <c r="W924" s="4"/>
      <c r="X924" s="175"/>
      <c r="Y924" s="749"/>
    </row>
    <row r="925" spans="2:25">
      <c r="B925" s="202" t="s">
        <v>1075</v>
      </c>
      <c r="E925" s="202" t="s">
        <v>1075</v>
      </c>
      <c r="F925" s="202" t="s">
        <v>2288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3"/>
      <c r="W925" s="4"/>
      <c r="X925" s="175"/>
      <c r="Y925" s="749"/>
    </row>
    <row r="926" spans="2:25">
      <c r="B926" s="202" t="s">
        <v>1075</v>
      </c>
      <c r="E926" s="202" t="s">
        <v>1075</v>
      </c>
      <c r="F926" s="202" t="s">
        <v>2288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3"/>
      <c r="W926" s="4"/>
      <c r="X926" s="175"/>
      <c r="Y926" s="749"/>
    </row>
    <row r="927" spans="2:25">
      <c r="B927" s="202" t="s">
        <v>1075</v>
      </c>
      <c r="E927" s="202" t="s">
        <v>1075</v>
      </c>
      <c r="F927" s="202" t="s">
        <v>2288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3"/>
      <c r="W927" s="4"/>
      <c r="X927" s="175"/>
      <c r="Y927" s="749"/>
    </row>
    <row r="928" spans="2:25">
      <c r="B928" s="202" t="s">
        <v>1075</v>
      </c>
      <c r="E928" s="202" t="s">
        <v>1075</v>
      </c>
      <c r="F928" s="202" t="s">
        <v>2288</v>
      </c>
      <c r="G928" s="4"/>
      <c r="H928" s="4"/>
      <c r="I928" s="4"/>
      <c r="J928" s="4"/>
      <c r="M928" s="4"/>
      <c r="N928" s="4"/>
      <c r="Q928" s="4"/>
      <c r="R928" s="4"/>
      <c r="U928" s="4"/>
      <c r="V928" s="43"/>
      <c r="W928" s="4"/>
      <c r="X928" s="175"/>
      <c r="Y928" s="749"/>
    </row>
    <row r="929" spans="2:25">
      <c r="B929" s="202" t="s">
        <v>1075</v>
      </c>
      <c r="E929" s="202" t="s">
        <v>1075</v>
      </c>
      <c r="F929" s="202" t="s">
        <v>2288</v>
      </c>
      <c r="G929" s="4"/>
      <c r="H929" s="4"/>
      <c r="I929" s="4"/>
      <c r="J929" s="4"/>
      <c r="M929" s="4"/>
      <c r="N929" s="4"/>
      <c r="Q929" s="4"/>
      <c r="R929" s="4"/>
      <c r="U929" s="4"/>
      <c r="V929" s="43"/>
      <c r="W929" s="4"/>
      <c r="X929" s="175"/>
      <c r="Y929" s="749"/>
    </row>
    <row r="930" spans="2:25">
      <c r="B930" s="202" t="s">
        <v>1075</v>
      </c>
      <c r="E930" s="202" t="s">
        <v>1075</v>
      </c>
      <c r="F930" s="202" t="s">
        <v>2288</v>
      </c>
      <c r="G930" s="4"/>
      <c r="H930" s="4"/>
      <c r="I930" s="4"/>
      <c r="J930" s="4"/>
      <c r="M930" s="4"/>
      <c r="N930" s="4"/>
      <c r="Q930" s="4"/>
      <c r="R930" s="4"/>
      <c r="U930" s="4"/>
      <c r="V930" s="43"/>
      <c r="W930" s="4"/>
      <c r="X930" s="175"/>
      <c r="Y930" s="749"/>
    </row>
    <row r="931" spans="2:25">
      <c r="B931" s="202" t="s">
        <v>1075</v>
      </c>
      <c r="E931" s="202" t="s">
        <v>1075</v>
      </c>
      <c r="F931" s="202" t="s">
        <v>2288</v>
      </c>
      <c r="G931" s="4"/>
      <c r="H931" s="4"/>
      <c r="I931" s="4"/>
      <c r="J931" s="4"/>
      <c r="M931" s="4"/>
      <c r="N931" s="4"/>
      <c r="Q931" s="4"/>
      <c r="R931" s="4"/>
      <c r="U931" s="4"/>
      <c r="V931" s="43"/>
      <c r="W931" s="4"/>
      <c r="X931" s="175"/>
      <c r="Y931" s="749"/>
    </row>
    <row r="932" spans="2:25">
      <c r="B932" s="202" t="s">
        <v>1075</v>
      </c>
      <c r="E932" s="202" t="s">
        <v>1075</v>
      </c>
      <c r="F932" s="202" t="s">
        <v>2288</v>
      </c>
      <c r="G932" s="4"/>
      <c r="H932" s="4"/>
      <c r="I932" s="4"/>
      <c r="J932" s="4"/>
      <c r="M932" s="4"/>
      <c r="N932" s="4"/>
      <c r="Q932" s="4"/>
      <c r="R932" s="4"/>
      <c r="U932" s="4"/>
      <c r="V932" s="43"/>
      <c r="W932" s="4"/>
      <c r="X932" s="175"/>
      <c r="Y932" s="749"/>
    </row>
    <row r="933" spans="2:25">
      <c r="B933" s="202" t="s">
        <v>1075</v>
      </c>
      <c r="E933" s="202" t="s">
        <v>1075</v>
      </c>
      <c r="F933" s="202" t="s">
        <v>2288</v>
      </c>
      <c r="G933" s="4"/>
      <c r="H933" s="4"/>
      <c r="I933" s="4"/>
      <c r="J933" s="4"/>
      <c r="M933" s="4"/>
      <c r="N933" s="4"/>
      <c r="Q933" s="4"/>
      <c r="R933" s="4"/>
      <c r="U933" s="4"/>
      <c r="V933" s="43"/>
      <c r="W933" s="4"/>
      <c r="X933" s="175"/>
      <c r="Y933" s="749"/>
    </row>
    <row r="934" spans="2:25">
      <c r="B934" s="202" t="s">
        <v>1075</v>
      </c>
      <c r="E934" s="202" t="s">
        <v>1075</v>
      </c>
      <c r="F934" s="202" t="s">
        <v>2288</v>
      </c>
      <c r="G934" s="4"/>
      <c r="H934" s="4"/>
      <c r="I934" s="4"/>
      <c r="J934" s="4"/>
      <c r="M934" s="4"/>
      <c r="N934" s="4"/>
      <c r="Q934" s="4"/>
      <c r="R934" s="4"/>
      <c r="U934" s="4"/>
      <c r="V934" s="43"/>
      <c r="W934" s="4"/>
      <c r="X934" s="175"/>
      <c r="Y934" s="749"/>
    </row>
    <row r="935" spans="2:25">
      <c r="B935" s="202" t="s">
        <v>1075</v>
      </c>
      <c r="E935" s="202" t="s">
        <v>1075</v>
      </c>
      <c r="F935" s="202" t="s">
        <v>2288</v>
      </c>
      <c r="G935" s="4"/>
      <c r="H935" s="4"/>
      <c r="I935" s="4"/>
      <c r="J935" s="4"/>
      <c r="M935" s="4"/>
      <c r="N935" s="4"/>
      <c r="Q935" s="4"/>
      <c r="R935" s="4"/>
      <c r="U935" s="4"/>
      <c r="V935" s="43"/>
      <c r="W935" s="4"/>
      <c r="X935" s="175"/>
      <c r="Y935" s="749"/>
    </row>
    <row r="936" spans="2:25">
      <c r="B936" s="202" t="s">
        <v>1075</v>
      </c>
      <c r="E936" s="202" t="s">
        <v>1075</v>
      </c>
      <c r="F936" s="202" t="s">
        <v>2288</v>
      </c>
      <c r="G936" s="4"/>
      <c r="H936" s="4"/>
      <c r="I936" s="4"/>
      <c r="J936" s="4"/>
      <c r="M936" s="4"/>
      <c r="N936" s="4"/>
      <c r="Q936" s="4"/>
      <c r="R936" s="4"/>
      <c r="U936" s="4"/>
      <c r="V936" s="43"/>
      <c r="W936" s="4"/>
      <c r="X936" s="175"/>
      <c r="Y936" s="749"/>
    </row>
    <row r="937" spans="2:25">
      <c r="B937" s="202" t="s">
        <v>1075</v>
      </c>
      <c r="E937" s="202" t="s">
        <v>1075</v>
      </c>
      <c r="F937" s="202" t="s">
        <v>2288</v>
      </c>
      <c r="G937" s="4"/>
      <c r="H937" s="4"/>
      <c r="I937" s="4"/>
      <c r="J937" s="4"/>
      <c r="M937" s="4"/>
      <c r="N937" s="4"/>
      <c r="Q937" s="4"/>
      <c r="R937" s="4"/>
      <c r="U937" s="4"/>
      <c r="V937" s="43"/>
      <c r="W937" s="4"/>
      <c r="X937" s="175"/>
      <c r="Y937" s="749"/>
    </row>
    <row r="938" spans="2:25">
      <c r="B938" s="202" t="s">
        <v>1075</v>
      </c>
      <c r="E938" s="202" t="s">
        <v>1075</v>
      </c>
      <c r="F938" s="202" t="s">
        <v>2288</v>
      </c>
      <c r="G938" s="4"/>
      <c r="H938" s="4"/>
      <c r="I938" s="4"/>
      <c r="J938" s="4"/>
      <c r="M938" s="4"/>
      <c r="N938" s="4"/>
      <c r="Q938" s="4"/>
      <c r="R938" s="4"/>
      <c r="U938" s="4"/>
      <c r="V938" s="43"/>
      <c r="W938" s="4"/>
      <c r="X938" s="175"/>
      <c r="Y938" s="749"/>
    </row>
    <row r="939" spans="2:25">
      <c r="B939" s="202" t="s">
        <v>1075</v>
      </c>
      <c r="E939" s="202" t="s">
        <v>1075</v>
      </c>
      <c r="F939" s="202" t="s">
        <v>2288</v>
      </c>
      <c r="G939" s="4"/>
      <c r="H939" s="4"/>
      <c r="I939" s="4"/>
      <c r="J939" s="4"/>
      <c r="M939" s="4"/>
      <c r="N939" s="4"/>
      <c r="Q939" s="4"/>
      <c r="R939" s="4"/>
      <c r="U939" s="4"/>
      <c r="V939" s="43"/>
      <c r="W939" s="4"/>
      <c r="X939" s="175"/>
      <c r="Y939" s="749"/>
    </row>
    <row r="940" spans="2:25">
      <c r="B940" s="202" t="s">
        <v>1075</v>
      </c>
      <c r="E940" s="202" t="s">
        <v>1075</v>
      </c>
      <c r="F940" s="202" t="s">
        <v>2288</v>
      </c>
      <c r="G940" s="4"/>
      <c r="H940" s="4"/>
      <c r="I940" s="4"/>
      <c r="J940" s="4"/>
      <c r="M940" s="4"/>
      <c r="N940" s="4"/>
      <c r="Q940" s="4"/>
      <c r="R940" s="4"/>
      <c r="U940" s="4"/>
      <c r="V940" s="43"/>
      <c r="W940" s="4"/>
      <c r="X940" s="175"/>
      <c r="Y940" s="749"/>
    </row>
    <row r="941" spans="2:25">
      <c r="B941" s="202" t="s">
        <v>1075</v>
      </c>
      <c r="E941" s="202" t="s">
        <v>1075</v>
      </c>
      <c r="F941" s="202" t="s">
        <v>2288</v>
      </c>
      <c r="G941" s="4"/>
      <c r="H941" s="4"/>
      <c r="I941" s="4"/>
      <c r="J941" s="4"/>
      <c r="M941" s="4"/>
      <c r="N941" s="4"/>
      <c r="Q941" s="4"/>
      <c r="R941" s="4"/>
      <c r="U941" s="4"/>
      <c r="V941" s="43"/>
      <c r="W941" s="4"/>
      <c r="X941" s="175"/>
      <c r="Y941" s="749"/>
    </row>
    <row r="942" spans="2:25">
      <c r="B942" s="202" t="s">
        <v>1075</v>
      </c>
      <c r="E942" s="202" t="s">
        <v>1075</v>
      </c>
      <c r="F942" s="202" t="s">
        <v>2288</v>
      </c>
      <c r="G942" s="4"/>
      <c r="H942" s="4"/>
      <c r="I942" s="4"/>
      <c r="J942" s="4"/>
      <c r="M942" s="4"/>
      <c r="N942" s="4"/>
      <c r="Q942" s="4"/>
      <c r="R942" s="4"/>
      <c r="U942" s="4"/>
      <c r="V942" s="43"/>
      <c r="W942" s="4"/>
      <c r="X942" s="175"/>
      <c r="Y942" s="749"/>
    </row>
    <row r="943" spans="2:25">
      <c r="B943" s="202" t="s">
        <v>1075</v>
      </c>
      <c r="E943" s="202" t="s">
        <v>1075</v>
      </c>
      <c r="F943" s="202" t="s">
        <v>2288</v>
      </c>
      <c r="G943" s="4"/>
      <c r="H943" s="4"/>
      <c r="I943" s="4"/>
      <c r="J943" s="4"/>
      <c r="M943" s="4"/>
      <c r="N943" s="4"/>
      <c r="Q943" s="4"/>
      <c r="R943" s="4"/>
      <c r="U943" s="4"/>
      <c r="V943" s="43"/>
      <c r="W943" s="4"/>
      <c r="X943" s="175"/>
      <c r="Y943" s="749"/>
    </row>
    <row r="944" spans="2:25">
      <c r="B944" s="202" t="s">
        <v>1075</v>
      </c>
      <c r="E944" s="202" t="s">
        <v>1075</v>
      </c>
      <c r="F944" s="202" t="s">
        <v>2288</v>
      </c>
      <c r="G944" s="4"/>
      <c r="H944" s="4"/>
      <c r="I944" s="4"/>
      <c r="J944" s="4"/>
      <c r="M944" s="4"/>
      <c r="N944" s="4"/>
      <c r="Q944" s="4"/>
      <c r="R944" s="4"/>
      <c r="U944" s="4"/>
      <c r="V944" s="43"/>
      <c r="W944" s="4"/>
      <c r="X944" s="175"/>
      <c r="Y944" s="749"/>
    </row>
    <row r="945" spans="2:25">
      <c r="B945" s="202" t="s">
        <v>1075</v>
      </c>
      <c r="E945" s="202" t="s">
        <v>1075</v>
      </c>
      <c r="F945" s="202" t="s">
        <v>2288</v>
      </c>
      <c r="G945" s="4"/>
      <c r="H945" s="4"/>
      <c r="I945" s="4"/>
      <c r="J945" s="4"/>
      <c r="M945" s="4"/>
      <c r="N945" s="4"/>
      <c r="Q945" s="4"/>
      <c r="R945" s="4"/>
      <c r="U945" s="4"/>
      <c r="V945" s="43"/>
      <c r="W945" s="4"/>
      <c r="X945" s="175"/>
      <c r="Y945" s="749"/>
    </row>
    <row r="946" spans="2:25">
      <c r="B946" s="202" t="s">
        <v>1075</v>
      </c>
      <c r="E946" s="202" t="s">
        <v>1075</v>
      </c>
      <c r="F946" s="202" t="s">
        <v>2288</v>
      </c>
      <c r="G946" s="4"/>
      <c r="H946" s="4"/>
      <c r="I946" s="4"/>
      <c r="J946" s="4"/>
      <c r="M946" s="4"/>
      <c r="N946" s="4"/>
      <c r="Q946" s="4"/>
      <c r="R946" s="4"/>
      <c r="U946" s="4"/>
      <c r="V946" s="43"/>
      <c r="W946" s="4"/>
      <c r="X946" s="175"/>
      <c r="Y946" s="749"/>
    </row>
    <row r="947" spans="2:25">
      <c r="B947" s="202" t="s">
        <v>1075</v>
      </c>
      <c r="E947" s="202" t="s">
        <v>1075</v>
      </c>
      <c r="F947" s="202" t="s">
        <v>2288</v>
      </c>
      <c r="G947" s="4"/>
      <c r="H947" s="4"/>
      <c r="I947" s="4"/>
      <c r="J947" s="4"/>
      <c r="M947" s="4"/>
      <c r="N947" s="4"/>
      <c r="Q947" s="4"/>
      <c r="R947" s="4"/>
      <c r="U947" s="4"/>
      <c r="V947" s="43"/>
      <c r="W947" s="4"/>
      <c r="X947" s="175"/>
      <c r="Y947" s="749"/>
    </row>
    <row r="948" spans="2:25">
      <c r="B948" s="202" t="s">
        <v>1075</v>
      </c>
      <c r="E948" s="202" t="s">
        <v>1075</v>
      </c>
      <c r="F948" s="202" t="s">
        <v>2288</v>
      </c>
      <c r="G948" s="4"/>
      <c r="H948" s="4"/>
      <c r="I948" s="4"/>
      <c r="J948" s="4"/>
      <c r="M948" s="4"/>
      <c r="N948" s="4"/>
      <c r="Q948" s="4"/>
      <c r="R948" s="4"/>
      <c r="U948" s="4"/>
      <c r="V948" s="43"/>
      <c r="W948" s="4"/>
      <c r="X948" s="175"/>
      <c r="Y948" s="749"/>
    </row>
    <row r="949" spans="2:25">
      <c r="B949" s="202" t="s">
        <v>1075</v>
      </c>
      <c r="E949" s="202" t="s">
        <v>1075</v>
      </c>
      <c r="F949" s="202" t="s">
        <v>2288</v>
      </c>
      <c r="G949" s="4"/>
      <c r="H949" s="4"/>
      <c r="I949" s="4"/>
      <c r="J949" s="4"/>
      <c r="M949" s="4"/>
      <c r="N949" s="4"/>
      <c r="Q949" s="4"/>
      <c r="R949" s="4"/>
      <c r="U949" s="4"/>
      <c r="V949" s="43"/>
      <c r="W949" s="4"/>
      <c r="X949" s="175"/>
      <c r="Y949" s="749"/>
    </row>
    <row r="950" spans="2:25">
      <c r="B950" s="202" t="s">
        <v>1075</v>
      </c>
      <c r="E950" s="202" t="s">
        <v>1075</v>
      </c>
      <c r="F950" s="202" t="s">
        <v>2288</v>
      </c>
      <c r="G950" s="4"/>
      <c r="H950" s="4"/>
      <c r="I950" s="4"/>
      <c r="J950" s="4"/>
      <c r="M950" s="4"/>
      <c r="N950" s="4"/>
      <c r="Q950" s="4"/>
      <c r="R950" s="4"/>
      <c r="U950" s="4"/>
      <c r="V950" s="43"/>
      <c r="W950" s="4"/>
      <c r="X950" s="175"/>
      <c r="Y950" s="749"/>
    </row>
    <row r="951" spans="2:25">
      <c r="B951" s="202" t="s">
        <v>1075</v>
      </c>
      <c r="E951" s="202" t="s">
        <v>1075</v>
      </c>
      <c r="F951" s="202" t="s">
        <v>2288</v>
      </c>
      <c r="G951" s="4"/>
      <c r="H951" s="4"/>
      <c r="I951" s="4"/>
      <c r="J951" s="4"/>
      <c r="M951" s="4"/>
      <c r="N951" s="4"/>
      <c r="Q951" s="4"/>
      <c r="R951" s="4"/>
      <c r="U951" s="4"/>
      <c r="V951" s="43"/>
      <c r="W951" s="4"/>
      <c r="X951" s="175"/>
      <c r="Y951" s="749"/>
    </row>
    <row r="952" spans="2:25">
      <c r="B952" s="202" t="s">
        <v>1075</v>
      </c>
      <c r="E952" s="202" t="s">
        <v>1075</v>
      </c>
      <c r="F952" s="202" t="s">
        <v>2288</v>
      </c>
      <c r="G952" s="4"/>
      <c r="H952" s="4"/>
      <c r="I952" s="4"/>
      <c r="J952" s="4"/>
      <c r="M952" s="4"/>
      <c r="N952" s="4"/>
      <c r="Q952" s="4"/>
      <c r="R952" s="4"/>
      <c r="U952" s="4"/>
      <c r="V952" s="43"/>
      <c r="W952" s="4"/>
      <c r="X952" s="175"/>
      <c r="Y952" s="749"/>
    </row>
    <row r="953" spans="2:25">
      <c r="B953" s="202" t="s">
        <v>1075</v>
      </c>
      <c r="E953" s="202" t="s">
        <v>1075</v>
      </c>
      <c r="F953" s="202" t="s">
        <v>2288</v>
      </c>
      <c r="G953" s="4"/>
      <c r="H953" s="4"/>
      <c r="I953" s="4"/>
      <c r="J953" s="4"/>
      <c r="M953" s="4"/>
      <c r="N953" s="4"/>
      <c r="Q953" s="4"/>
      <c r="R953" s="4"/>
      <c r="U953" s="4"/>
      <c r="V953" s="43"/>
      <c r="W953" s="4"/>
      <c r="X953" s="175"/>
      <c r="Y953" s="749"/>
    </row>
    <row r="954" spans="2:25">
      <c r="B954" s="202" t="s">
        <v>1075</v>
      </c>
      <c r="E954" s="202" t="s">
        <v>1075</v>
      </c>
      <c r="F954" s="202" t="s">
        <v>2288</v>
      </c>
      <c r="G954" s="4"/>
      <c r="H954" s="4"/>
      <c r="I954" s="4"/>
      <c r="J954" s="4"/>
      <c r="M954" s="4"/>
      <c r="N954" s="4"/>
      <c r="Q954" s="4"/>
      <c r="R954" s="4"/>
      <c r="U954" s="4"/>
      <c r="V954" s="43"/>
      <c r="W954" s="4"/>
      <c r="X954" s="175"/>
      <c r="Y954" s="749"/>
    </row>
    <row r="955" spans="2:25">
      <c r="B955" s="202" t="s">
        <v>1075</v>
      </c>
      <c r="E955" s="202" t="s">
        <v>1075</v>
      </c>
      <c r="F955" s="202" t="s">
        <v>2288</v>
      </c>
      <c r="G955" s="4"/>
      <c r="H955" s="4"/>
      <c r="I955" s="4"/>
      <c r="J955" s="4"/>
      <c r="M955" s="4"/>
      <c r="N955" s="4"/>
      <c r="Q955" s="4"/>
      <c r="R955" s="4"/>
      <c r="U955" s="4"/>
      <c r="V955" s="43"/>
      <c r="W955" s="4"/>
      <c r="X955" s="175"/>
      <c r="Y955" s="749"/>
    </row>
    <row r="956" spans="2:25">
      <c r="B956" s="202" t="s">
        <v>1075</v>
      </c>
      <c r="E956" s="202" t="s">
        <v>1075</v>
      </c>
      <c r="F956" s="202" t="s">
        <v>2288</v>
      </c>
      <c r="G956" s="4"/>
      <c r="H956" s="4"/>
      <c r="I956" s="4"/>
      <c r="J956" s="4"/>
      <c r="M956" s="4"/>
      <c r="N956" s="4"/>
      <c r="Q956" s="4"/>
      <c r="R956" s="4"/>
      <c r="U956" s="4"/>
      <c r="V956" s="43"/>
      <c r="W956" s="4"/>
      <c r="X956" s="175"/>
      <c r="Y956" s="749"/>
    </row>
    <row r="957" spans="2:25">
      <c r="B957" s="202" t="s">
        <v>1075</v>
      </c>
      <c r="E957" s="202" t="s">
        <v>1075</v>
      </c>
      <c r="F957" s="202" t="s">
        <v>2288</v>
      </c>
      <c r="G957" s="4"/>
      <c r="H957" s="4"/>
      <c r="I957" s="4"/>
      <c r="J957" s="4"/>
      <c r="M957" s="4"/>
      <c r="N957" s="4"/>
      <c r="Q957" s="4"/>
      <c r="R957" s="4"/>
      <c r="U957" s="4"/>
      <c r="V957" s="43"/>
      <c r="W957" s="4"/>
      <c r="X957" s="175"/>
      <c r="Y957" s="749"/>
    </row>
    <row r="958" spans="2:25">
      <c r="B958" s="202" t="s">
        <v>1075</v>
      </c>
      <c r="E958" s="202" t="s">
        <v>1075</v>
      </c>
      <c r="F958" s="202" t="s">
        <v>2288</v>
      </c>
      <c r="G958" s="4"/>
      <c r="H958" s="4"/>
      <c r="I958" s="4"/>
      <c r="J958" s="4"/>
      <c r="M958" s="4"/>
      <c r="N958" s="4"/>
      <c r="Q958" s="4"/>
      <c r="R958" s="4"/>
      <c r="U958" s="4"/>
      <c r="V958" s="43"/>
      <c r="W958" s="4"/>
      <c r="X958" s="175"/>
      <c r="Y958" s="749"/>
    </row>
    <row r="959" spans="2:25">
      <c r="B959" s="202" t="s">
        <v>1075</v>
      </c>
      <c r="E959" s="202" t="s">
        <v>1075</v>
      </c>
      <c r="F959" s="202" t="s">
        <v>2288</v>
      </c>
      <c r="G959" s="4"/>
      <c r="H959" s="4"/>
      <c r="I959" s="4"/>
      <c r="J959" s="4"/>
      <c r="M959" s="4"/>
      <c r="N959" s="4"/>
      <c r="Q959" s="4"/>
      <c r="R959" s="4"/>
      <c r="U959" s="4"/>
      <c r="V959" s="43"/>
      <c r="W959" s="4"/>
      <c r="X959" s="175"/>
      <c r="Y959" s="749"/>
    </row>
    <row r="960" spans="2:25">
      <c r="B960" s="202" t="s">
        <v>1075</v>
      </c>
      <c r="E960" s="202" t="s">
        <v>1075</v>
      </c>
      <c r="F960" s="202" t="s">
        <v>2288</v>
      </c>
      <c r="G960" s="4"/>
      <c r="H960" s="4"/>
      <c r="I960" s="4"/>
      <c r="J960" s="4"/>
      <c r="M960" s="4"/>
      <c r="N960" s="4"/>
      <c r="Q960" s="4"/>
      <c r="R960" s="4"/>
      <c r="U960" s="4"/>
      <c r="V960" s="43"/>
      <c r="W960" s="4"/>
      <c r="X960" s="175"/>
      <c r="Y960" s="749"/>
    </row>
    <row r="961" spans="2:25">
      <c r="B961" s="202" t="s">
        <v>1075</v>
      </c>
      <c r="E961" s="202" t="s">
        <v>1075</v>
      </c>
      <c r="F961" s="202" t="s">
        <v>2288</v>
      </c>
      <c r="G961" s="4"/>
      <c r="H961" s="4"/>
      <c r="I961" s="4"/>
      <c r="J961" s="4"/>
      <c r="M961" s="4"/>
      <c r="N961" s="4"/>
      <c r="Q961" s="4"/>
      <c r="R961" s="4"/>
      <c r="U961" s="4"/>
      <c r="V961" s="43"/>
      <c r="W961" s="4"/>
      <c r="X961" s="175"/>
      <c r="Y961" s="749"/>
    </row>
    <row r="962" spans="2:25">
      <c r="B962" s="202" t="s">
        <v>1075</v>
      </c>
      <c r="E962" s="202" t="s">
        <v>1075</v>
      </c>
      <c r="F962" s="202" t="s">
        <v>2288</v>
      </c>
      <c r="G962" s="4"/>
      <c r="H962" s="4"/>
      <c r="I962" s="4"/>
      <c r="J962" s="4"/>
      <c r="M962" s="4"/>
      <c r="N962" s="4"/>
      <c r="Q962" s="4"/>
      <c r="R962" s="4"/>
      <c r="U962" s="4"/>
      <c r="V962" s="43"/>
      <c r="W962" s="4"/>
      <c r="X962" s="175"/>
      <c r="Y962" s="749"/>
    </row>
    <row r="963" spans="2:25">
      <c r="B963" s="202" t="s">
        <v>1075</v>
      </c>
      <c r="E963" s="202" t="s">
        <v>1075</v>
      </c>
      <c r="F963" s="202" t="s">
        <v>2288</v>
      </c>
      <c r="G963" s="4"/>
      <c r="H963" s="4"/>
      <c r="I963" s="4"/>
      <c r="J963" s="4"/>
      <c r="M963" s="4"/>
      <c r="N963" s="4"/>
      <c r="Q963" s="4"/>
      <c r="R963" s="4"/>
      <c r="U963" s="4"/>
      <c r="V963" s="43"/>
      <c r="W963" s="4"/>
      <c r="X963" s="175"/>
      <c r="Y963" s="749"/>
    </row>
    <row r="964" spans="2:25">
      <c r="B964" s="202" t="s">
        <v>1075</v>
      </c>
      <c r="E964" s="202" t="s">
        <v>1075</v>
      </c>
      <c r="F964" s="202" t="s">
        <v>2288</v>
      </c>
      <c r="G964" s="4"/>
      <c r="H964" s="4"/>
      <c r="I964" s="4"/>
      <c r="J964" s="4"/>
      <c r="M964" s="4"/>
      <c r="N964" s="4"/>
      <c r="Q964" s="4"/>
      <c r="R964" s="4"/>
      <c r="U964" s="4"/>
      <c r="V964" s="43"/>
      <c r="W964" s="4"/>
      <c r="X964" s="175"/>
      <c r="Y964" s="749"/>
    </row>
    <row r="965" spans="2:25">
      <c r="B965" s="202" t="s">
        <v>1075</v>
      </c>
      <c r="E965" s="202" t="s">
        <v>1075</v>
      </c>
      <c r="F965" s="202" t="s">
        <v>2288</v>
      </c>
      <c r="G965" s="4"/>
      <c r="H965" s="4"/>
      <c r="I965" s="4"/>
      <c r="J965" s="4"/>
      <c r="M965" s="4"/>
      <c r="N965" s="4"/>
      <c r="Q965" s="4"/>
      <c r="R965" s="4"/>
      <c r="U965" s="4"/>
      <c r="V965" s="43"/>
      <c r="W965" s="4"/>
      <c r="X965" s="175"/>
      <c r="Y965" s="749"/>
    </row>
    <row r="966" spans="2:25">
      <c r="B966" s="202" t="s">
        <v>1075</v>
      </c>
      <c r="E966" s="202" t="s">
        <v>1075</v>
      </c>
      <c r="F966" s="202" t="s">
        <v>2288</v>
      </c>
      <c r="G966" s="4"/>
      <c r="H966" s="4"/>
      <c r="I966" s="4"/>
      <c r="J966" s="4"/>
      <c r="M966" s="4"/>
      <c r="N966" s="4"/>
      <c r="Q966" s="4"/>
      <c r="R966" s="4"/>
      <c r="U966" s="4"/>
      <c r="V966" s="43"/>
      <c r="W966" s="4"/>
      <c r="X966" s="175"/>
      <c r="Y966" s="749"/>
    </row>
    <row r="967" spans="2:25">
      <c r="B967" s="202" t="s">
        <v>1075</v>
      </c>
      <c r="E967" s="202" t="s">
        <v>1075</v>
      </c>
      <c r="F967" s="202" t="s">
        <v>2288</v>
      </c>
      <c r="G967" s="4"/>
      <c r="H967" s="4"/>
      <c r="I967" s="4"/>
      <c r="J967" s="4"/>
      <c r="M967" s="4"/>
      <c r="N967" s="4"/>
      <c r="Q967" s="4"/>
      <c r="R967" s="4"/>
      <c r="U967" s="4"/>
      <c r="V967" s="43"/>
      <c r="W967" s="4"/>
      <c r="X967" s="175"/>
      <c r="Y967" s="749"/>
    </row>
    <row r="968" spans="2:25">
      <c r="B968" s="202" t="s">
        <v>1075</v>
      </c>
      <c r="E968" s="202" t="s">
        <v>1075</v>
      </c>
      <c r="F968" s="202" t="s">
        <v>2288</v>
      </c>
      <c r="G968" s="4"/>
      <c r="H968" s="4"/>
      <c r="I968" s="4"/>
      <c r="J968" s="4"/>
      <c r="M968" s="4"/>
      <c r="N968" s="4"/>
      <c r="Q968" s="4"/>
      <c r="R968" s="4"/>
      <c r="U968" s="4"/>
      <c r="V968" s="43"/>
      <c r="W968" s="4"/>
      <c r="X968" s="175"/>
      <c r="Y968" s="749"/>
    </row>
    <row r="969" spans="2:25">
      <c r="B969" s="202" t="s">
        <v>1075</v>
      </c>
      <c r="E969" s="202" t="s">
        <v>1075</v>
      </c>
      <c r="F969" s="202" t="s">
        <v>2288</v>
      </c>
      <c r="G969" s="4"/>
      <c r="H969" s="4"/>
      <c r="I969" s="4"/>
      <c r="J969" s="4"/>
      <c r="M969" s="4"/>
      <c r="N969" s="4"/>
      <c r="Q969" s="4"/>
      <c r="R969" s="4"/>
      <c r="U969" s="4"/>
      <c r="V969" s="43"/>
      <c r="W969" s="4"/>
      <c r="X969" s="175"/>
      <c r="Y969" s="749"/>
    </row>
    <row r="970" spans="2:25">
      <c r="B970" s="202" t="s">
        <v>1075</v>
      </c>
      <c r="E970" s="202" t="s">
        <v>1075</v>
      </c>
      <c r="F970" s="202" t="s">
        <v>2288</v>
      </c>
      <c r="G970" s="4"/>
      <c r="H970" s="4"/>
      <c r="I970" s="4"/>
      <c r="J970" s="4"/>
      <c r="M970" s="4"/>
      <c r="N970" s="4"/>
      <c r="Q970" s="4"/>
      <c r="R970" s="4"/>
      <c r="U970" s="4"/>
      <c r="V970" s="43"/>
      <c r="W970" s="4"/>
      <c r="X970" s="175"/>
      <c r="Y970" s="749"/>
    </row>
    <row r="971" spans="2:25">
      <c r="B971" s="202" t="s">
        <v>1075</v>
      </c>
      <c r="E971" s="202" t="s">
        <v>1075</v>
      </c>
      <c r="F971" s="202" t="s">
        <v>2288</v>
      </c>
      <c r="G971" s="4"/>
      <c r="H971" s="4"/>
      <c r="I971" s="4"/>
      <c r="J971" s="4"/>
      <c r="M971" s="4"/>
      <c r="N971" s="4"/>
      <c r="Q971" s="4"/>
      <c r="R971" s="4"/>
      <c r="U971" s="4"/>
      <c r="V971" s="43"/>
      <c r="W971" s="4"/>
      <c r="X971" s="175"/>
      <c r="Y971" s="749"/>
    </row>
    <row r="972" spans="2:25">
      <c r="B972" s="202" t="s">
        <v>1075</v>
      </c>
      <c r="E972" s="202" t="s">
        <v>1075</v>
      </c>
      <c r="F972" s="202" t="s">
        <v>2288</v>
      </c>
      <c r="G972" s="4"/>
      <c r="H972" s="4"/>
      <c r="I972" s="4"/>
      <c r="J972" s="4"/>
      <c r="M972" s="4"/>
      <c r="N972" s="4"/>
      <c r="Q972" s="4"/>
      <c r="R972" s="4"/>
      <c r="U972" s="4"/>
      <c r="V972" s="43"/>
      <c r="W972" s="4"/>
      <c r="X972" s="175"/>
      <c r="Y972" s="749"/>
    </row>
    <row r="973" spans="2:25">
      <c r="B973" s="202" t="s">
        <v>1075</v>
      </c>
      <c r="E973" s="202" t="s">
        <v>1075</v>
      </c>
      <c r="F973" s="202" t="s">
        <v>2288</v>
      </c>
      <c r="G973" s="4"/>
      <c r="H973" s="4"/>
      <c r="I973" s="4"/>
      <c r="J973" s="4"/>
      <c r="M973" s="4"/>
      <c r="N973" s="4"/>
      <c r="Q973" s="4"/>
      <c r="R973" s="4"/>
      <c r="U973" s="4"/>
      <c r="V973" s="43"/>
      <c r="W973" s="4"/>
      <c r="X973" s="175"/>
      <c r="Y973" s="749"/>
    </row>
    <row r="974" spans="2:25">
      <c r="B974" s="202" t="s">
        <v>1075</v>
      </c>
      <c r="E974" s="202" t="s">
        <v>1075</v>
      </c>
      <c r="F974" s="202" t="s">
        <v>2288</v>
      </c>
      <c r="G974" s="4"/>
      <c r="H974" s="4"/>
      <c r="I974" s="4"/>
      <c r="J974" s="4"/>
      <c r="M974" s="4"/>
      <c r="N974" s="4"/>
      <c r="Q974" s="4"/>
      <c r="R974" s="4"/>
      <c r="U974" s="4"/>
      <c r="V974" s="43"/>
      <c r="W974" s="4"/>
      <c r="X974" s="175"/>
      <c r="Y974" s="749"/>
    </row>
    <row r="975" spans="2:25">
      <c r="B975" s="202" t="s">
        <v>1075</v>
      </c>
      <c r="E975" s="202" t="s">
        <v>1075</v>
      </c>
      <c r="F975" s="202" t="s">
        <v>2288</v>
      </c>
      <c r="G975" s="4"/>
      <c r="H975" s="4"/>
      <c r="I975" s="4"/>
      <c r="J975" s="4"/>
      <c r="M975" s="4"/>
      <c r="N975" s="4"/>
      <c r="Q975" s="4"/>
      <c r="R975" s="4"/>
      <c r="U975" s="4"/>
      <c r="V975" s="43"/>
      <c r="W975" s="4"/>
      <c r="X975" s="175"/>
      <c r="Y975" s="749"/>
    </row>
    <row r="976" spans="2:25">
      <c r="B976" s="202" t="s">
        <v>1075</v>
      </c>
      <c r="E976" s="202" t="s">
        <v>1075</v>
      </c>
      <c r="F976" s="202" t="s">
        <v>2288</v>
      </c>
      <c r="G976" s="4"/>
      <c r="H976" s="4"/>
      <c r="I976" s="4"/>
      <c r="J976" s="4"/>
      <c r="M976" s="4"/>
      <c r="N976" s="4"/>
      <c r="Q976" s="4"/>
      <c r="R976" s="4"/>
      <c r="U976" s="4"/>
      <c r="V976" s="43"/>
      <c r="W976" s="4"/>
      <c r="X976" s="175"/>
      <c r="Y976" s="749"/>
    </row>
    <row r="977" spans="2:25">
      <c r="B977" s="202" t="s">
        <v>1075</v>
      </c>
      <c r="E977" s="202" t="s">
        <v>1075</v>
      </c>
      <c r="F977" s="202" t="s">
        <v>2288</v>
      </c>
      <c r="G977" s="4"/>
      <c r="H977" s="4"/>
      <c r="I977" s="4"/>
      <c r="J977" s="4"/>
      <c r="M977" s="4"/>
      <c r="N977" s="4"/>
      <c r="Q977" s="4"/>
      <c r="R977" s="4"/>
      <c r="U977" s="4"/>
      <c r="V977" s="43"/>
      <c r="W977" s="4"/>
      <c r="X977" s="175"/>
      <c r="Y977" s="749"/>
    </row>
    <row r="978" spans="2:25">
      <c r="B978" s="202" t="s">
        <v>1075</v>
      </c>
      <c r="E978" s="202" t="s">
        <v>1075</v>
      </c>
      <c r="F978" s="202" t="s">
        <v>2288</v>
      </c>
      <c r="G978" s="4"/>
      <c r="H978" s="4"/>
      <c r="I978" s="4"/>
      <c r="J978" s="4"/>
      <c r="M978" s="4"/>
      <c r="N978" s="4"/>
      <c r="Q978" s="4"/>
      <c r="R978" s="4"/>
      <c r="U978" s="4"/>
      <c r="V978" s="43"/>
      <c r="W978" s="4"/>
      <c r="X978" s="175"/>
      <c r="Y978" s="749"/>
    </row>
    <row r="979" spans="2:25">
      <c r="B979" s="202" t="s">
        <v>1075</v>
      </c>
      <c r="E979" s="202" t="s">
        <v>1075</v>
      </c>
      <c r="F979" s="202" t="s">
        <v>2288</v>
      </c>
      <c r="G979" s="4"/>
      <c r="H979" s="4"/>
      <c r="I979" s="4"/>
      <c r="J979" s="4"/>
      <c r="M979" s="4"/>
      <c r="N979" s="4"/>
      <c r="Q979" s="4"/>
      <c r="R979" s="4"/>
      <c r="U979" s="4"/>
      <c r="V979" s="43"/>
      <c r="W979" s="4"/>
      <c r="X979" s="175"/>
      <c r="Y979" s="749"/>
    </row>
    <row r="980" spans="2:25">
      <c r="B980" s="202" t="s">
        <v>1075</v>
      </c>
      <c r="E980" s="202" t="s">
        <v>1075</v>
      </c>
      <c r="F980" s="202" t="s">
        <v>2288</v>
      </c>
      <c r="G980" s="4"/>
      <c r="H980" s="4"/>
      <c r="I980" s="4"/>
      <c r="J980" s="4"/>
      <c r="M980" s="4"/>
      <c r="N980" s="4"/>
      <c r="Q980" s="4"/>
      <c r="R980" s="4"/>
      <c r="U980" s="4"/>
      <c r="V980" s="43"/>
      <c r="W980" s="4"/>
      <c r="X980" s="175"/>
      <c r="Y980" s="749"/>
    </row>
    <row r="981" spans="2:25">
      <c r="B981" s="202" t="s">
        <v>1075</v>
      </c>
      <c r="E981" s="202" t="s">
        <v>1075</v>
      </c>
      <c r="F981" s="202" t="s">
        <v>2288</v>
      </c>
      <c r="G981" s="4"/>
      <c r="H981" s="4"/>
      <c r="I981" s="4"/>
      <c r="J981" s="4"/>
      <c r="M981" s="4"/>
      <c r="N981" s="4"/>
      <c r="Q981" s="4"/>
      <c r="R981" s="4"/>
      <c r="U981" s="4"/>
      <c r="V981" s="43"/>
      <c r="W981" s="4"/>
      <c r="X981" s="175"/>
      <c r="Y981" s="749"/>
    </row>
    <row r="982" spans="2:25">
      <c r="B982" s="202" t="s">
        <v>1075</v>
      </c>
      <c r="E982" s="202" t="s">
        <v>1075</v>
      </c>
      <c r="F982" s="202" t="s">
        <v>2288</v>
      </c>
      <c r="G982" s="4"/>
      <c r="H982" s="4"/>
      <c r="I982" s="4"/>
      <c r="J982" s="4"/>
      <c r="M982" s="4"/>
      <c r="N982" s="4"/>
      <c r="Q982" s="4"/>
      <c r="R982" s="4"/>
      <c r="U982" s="4"/>
      <c r="V982" s="43"/>
      <c r="W982" s="4"/>
      <c r="X982" s="175"/>
      <c r="Y982" s="749"/>
    </row>
    <row r="983" spans="2:25">
      <c r="B983" s="202" t="s">
        <v>1075</v>
      </c>
      <c r="E983" s="202" t="s">
        <v>1075</v>
      </c>
      <c r="F983" s="202" t="s">
        <v>2288</v>
      </c>
      <c r="G983" s="4"/>
      <c r="H983" s="4"/>
      <c r="I983" s="4"/>
      <c r="J983" s="4"/>
      <c r="M983" s="4"/>
      <c r="N983" s="4"/>
      <c r="Q983" s="4"/>
      <c r="R983" s="4"/>
      <c r="U983" s="4"/>
      <c r="V983" s="43"/>
      <c r="W983" s="4"/>
      <c r="X983" s="175"/>
      <c r="Y983" s="749"/>
    </row>
    <row r="984" spans="2:25">
      <c r="B984" s="202" t="s">
        <v>1075</v>
      </c>
      <c r="E984" s="202" t="s">
        <v>1075</v>
      </c>
      <c r="F984" s="202" t="s">
        <v>2288</v>
      </c>
      <c r="G984" s="4"/>
      <c r="H984" s="4"/>
      <c r="I984" s="4"/>
      <c r="J984" s="4"/>
      <c r="M984" s="4"/>
      <c r="N984" s="4"/>
      <c r="Q984" s="4"/>
      <c r="R984" s="4"/>
      <c r="U984" s="4"/>
      <c r="V984" s="43"/>
      <c r="W984" s="4"/>
      <c r="X984" s="175"/>
      <c r="Y984" s="749"/>
    </row>
    <row r="985" spans="2:25">
      <c r="B985" s="202" t="s">
        <v>1075</v>
      </c>
      <c r="E985" s="202" t="s">
        <v>1075</v>
      </c>
      <c r="F985" s="202" t="s">
        <v>2288</v>
      </c>
      <c r="G985" s="4"/>
      <c r="H985" s="4"/>
      <c r="I985" s="4"/>
      <c r="J985" s="4"/>
      <c r="M985" s="4"/>
      <c r="N985" s="4"/>
      <c r="Q985" s="4"/>
      <c r="R985" s="4"/>
      <c r="U985" s="4"/>
      <c r="V985" s="43"/>
      <c r="W985" s="4"/>
      <c r="X985" s="175"/>
      <c r="Y985" s="749"/>
    </row>
    <row r="986" spans="2:25">
      <c r="B986" s="202" t="s">
        <v>1075</v>
      </c>
      <c r="E986" s="202" t="s">
        <v>1075</v>
      </c>
      <c r="F986" s="202" t="s">
        <v>2288</v>
      </c>
      <c r="G986" s="4"/>
      <c r="H986" s="4"/>
      <c r="I986" s="4"/>
      <c r="J986" s="4"/>
      <c r="M986" s="4"/>
      <c r="N986" s="4"/>
      <c r="Q986" s="4"/>
      <c r="R986" s="4"/>
      <c r="U986" s="4"/>
      <c r="V986" s="43"/>
      <c r="W986" s="4"/>
      <c r="X986" s="175"/>
      <c r="Y986" s="749"/>
    </row>
    <row r="987" spans="2:25">
      <c r="B987" s="202" t="s">
        <v>1075</v>
      </c>
      <c r="E987" s="202" t="s">
        <v>1075</v>
      </c>
      <c r="F987" s="202" t="s">
        <v>2288</v>
      </c>
      <c r="G987" s="4"/>
      <c r="H987" s="4"/>
      <c r="I987" s="4"/>
      <c r="J987" s="4"/>
      <c r="M987" s="4"/>
      <c r="N987" s="4"/>
      <c r="Q987" s="4"/>
      <c r="R987" s="4"/>
      <c r="U987" s="4"/>
      <c r="V987" s="43"/>
      <c r="W987" s="4"/>
      <c r="X987" s="175"/>
      <c r="Y987" s="749"/>
    </row>
    <row r="988" spans="2:25">
      <c r="B988" s="202" t="s">
        <v>1075</v>
      </c>
      <c r="E988" s="202" t="s">
        <v>1075</v>
      </c>
      <c r="F988" s="202" t="s">
        <v>2288</v>
      </c>
      <c r="G988" s="4"/>
      <c r="H988" s="4"/>
      <c r="I988" s="4"/>
      <c r="J988" s="4"/>
      <c r="M988" s="4"/>
      <c r="N988" s="4"/>
      <c r="Q988" s="4"/>
      <c r="R988" s="4"/>
      <c r="U988" s="4"/>
      <c r="V988" s="43"/>
      <c r="W988" s="4"/>
      <c r="X988" s="175"/>
      <c r="Y988" s="749"/>
    </row>
    <row r="989" spans="2:25">
      <c r="B989" s="202" t="s">
        <v>1075</v>
      </c>
      <c r="E989" s="202" t="s">
        <v>1075</v>
      </c>
      <c r="F989" s="202" t="s">
        <v>2288</v>
      </c>
      <c r="G989" s="4"/>
      <c r="H989" s="4"/>
      <c r="I989" s="4"/>
      <c r="J989" s="4"/>
      <c r="M989" s="4"/>
      <c r="N989" s="4"/>
      <c r="Q989" s="4"/>
      <c r="R989" s="4"/>
      <c r="U989" s="4"/>
      <c r="V989" s="43"/>
      <c r="W989" s="4"/>
      <c r="X989" s="175"/>
      <c r="Y989" s="749"/>
    </row>
    <row r="990" spans="2:25">
      <c r="B990" s="202" t="s">
        <v>1075</v>
      </c>
      <c r="E990" s="202" t="s">
        <v>1075</v>
      </c>
      <c r="F990" s="202" t="s">
        <v>2288</v>
      </c>
      <c r="G990" s="4"/>
      <c r="H990" s="4"/>
      <c r="I990" s="4"/>
      <c r="J990" s="4"/>
      <c r="M990" s="4"/>
      <c r="N990" s="4"/>
      <c r="Q990" s="4"/>
      <c r="R990" s="4"/>
      <c r="U990" s="4"/>
      <c r="V990" s="43"/>
      <c r="W990" s="4"/>
      <c r="X990" s="175"/>
      <c r="Y990" s="749"/>
    </row>
    <row r="991" spans="2:25">
      <c r="B991" s="202" t="s">
        <v>1075</v>
      </c>
      <c r="E991" s="202" t="s">
        <v>1075</v>
      </c>
      <c r="F991" s="202" t="s">
        <v>2288</v>
      </c>
      <c r="G991" s="4"/>
      <c r="H991" s="4"/>
      <c r="I991" s="4"/>
      <c r="J991" s="4"/>
      <c r="M991" s="4"/>
      <c r="N991" s="4"/>
      <c r="Q991" s="4"/>
      <c r="R991" s="4"/>
      <c r="U991" s="4"/>
      <c r="V991" s="43"/>
      <c r="W991" s="4"/>
      <c r="X991" s="175"/>
      <c r="Y991" s="749"/>
    </row>
    <row r="992" spans="2:25">
      <c r="B992" s="202" t="s">
        <v>1075</v>
      </c>
      <c r="E992" s="202" t="s">
        <v>1075</v>
      </c>
      <c r="F992" s="202" t="s">
        <v>2288</v>
      </c>
      <c r="G992" s="4"/>
      <c r="H992" s="4"/>
      <c r="I992" s="4"/>
      <c r="J992" s="4"/>
      <c r="M992" s="4"/>
      <c r="N992" s="4"/>
      <c r="Q992" s="4"/>
      <c r="R992" s="4"/>
      <c r="U992" s="4"/>
      <c r="V992" s="43"/>
      <c r="W992" s="4"/>
      <c r="X992" s="175"/>
      <c r="Y992" s="749"/>
    </row>
    <row r="993" spans="2:25">
      <c r="B993" s="202" t="s">
        <v>1075</v>
      </c>
      <c r="E993" s="202" t="s">
        <v>1075</v>
      </c>
      <c r="F993" s="202" t="s">
        <v>2288</v>
      </c>
      <c r="G993" s="4"/>
      <c r="H993" s="4"/>
      <c r="I993" s="4"/>
      <c r="J993" s="4"/>
      <c r="M993" s="4"/>
      <c r="N993" s="4"/>
      <c r="Q993" s="4"/>
      <c r="R993" s="4"/>
      <c r="U993" s="4"/>
      <c r="V993" s="43"/>
      <c r="W993" s="4"/>
      <c r="X993" s="175"/>
      <c r="Y993" s="749"/>
    </row>
    <row r="994" spans="2:25">
      <c r="B994" s="202" t="s">
        <v>1075</v>
      </c>
      <c r="E994" s="202" t="s">
        <v>1075</v>
      </c>
      <c r="F994" s="202" t="s">
        <v>2288</v>
      </c>
      <c r="G994" s="4"/>
      <c r="H994" s="4"/>
      <c r="I994" s="4"/>
      <c r="J994" s="4"/>
      <c r="M994" s="4"/>
      <c r="N994" s="4"/>
      <c r="Q994" s="4"/>
      <c r="R994" s="4"/>
      <c r="U994" s="4"/>
      <c r="V994" s="43"/>
      <c r="W994" s="4"/>
      <c r="X994" s="175"/>
      <c r="Y994" s="749"/>
    </row>
    <row r="995" spans="2:25">
      <c r="B995" s="202" t="s">
        <v>1075</v>
      </c>
      <c r="E995" s="202" t="s">
        <v>1075</v>
      </c>
      <c r="F995" s="202" t="s">
        <v>2288</v>
      </c>
      <c r="G995" s="4"/>
      <c r="H995" s="4"/>
      <c r="I995" s="4"/>
      <c r="J995" s="4"/>
      <c r="M995" s="4"/>
      <c r="N995" s="4"/>
      <c r="Q995" s="4"/>
      <c r="R995" s="4"/>
      <c r="U995" s="4"/>
      <c r="V995" s="43"/>
      <c r="W995" s="4"/>
      <c r="X995" s="175"/>
      <c r="Y995" s="749"/>
    </row>
    <row r="996" spans="2:25">
      <c r="B996" s="202" t="s">
        <v>1075</v>
      </c>
      <c r="E996" s="202" t="s">
        <v>1075</v>
      </c>
      <c r="F996" s="202" t="s">
        <v>2288</v>
      </c>
      <c r="G996" s="4"/>
      <c r="H996" s="4"/>
      <c r="I996" s="4"/>
      <c r="J996" s="4"/>
      <c r="M996" s="4"/>
      <c r="N996" s="4"/>
      <c r="Q996" s="4"/>
      <c r="R996" s="4"/>
      <c r="U996" s="4"/>
      <c r="V996" s="43"/>
      <c r="W996" s="4"/>
      <c r="X996" s="175"/>
      <c r="Y996" s="749"/>
    </row>
    <row r="997" spans="2:25">
      <c r="B997" s="202" t="s">
        <v>1075</v>
      </c>
      <c r="E997" s="202" t="s">
        <v>1075</v>
      </c>
      <c r="F997" s="202" t="s">
        <v>2288</v>
      </c>
      <c r="G997" s="4"/>
      <c r="H997" s="4"/>
      <c r="I997" s="4"/>
      <c r="J997" s="4"/>
      <c r="M997" s="4"/>
      <c r="N997" s="4"/>
      <c r="Q997" s="4"/>
      <c r="R997" s="4"/>
      <c r="U997" s="4"/>
      <c r="V997" s="43"/>
      <c r="W997" s="4"/>
      <c r="X997" s="175"/>
      <c r="Y997" s="749"/>
    </row>
    <row r="998" spans="2:25">
      <c r="B998" s="202" t="s">
        <v>1075</v>
      </c>
      <c r="E998" s="202" t="s">
        <v>1075</v>
      </c>
      <c r="F998" s="202" t="s">
        <v>2288</v>
      </c>
      <c r="G998" s="4"/>
      <c r="H998" s="4"/>
      <c r="I998" s="4"/>
      <c r="J998" s="4"/>
      <c r="M998" s="4"/>
      <c r="N998" s="4"/>
      <c r="Q998" s="4"/>
      <c r="R998" s="4"/>
      <c r="U998" s="4"/>
      <c r="V998" s="43"/>
      <c r="W998" s="4"/>
      <c r="X998" s="175"/>
      <c r="Y998" s="749"/>
    </row>
    <row r="999" spans="2:25">
      <c r="B999" s="202" t="s">
        <v>1075</v>
      </c>
      <c r="E999" s="202" t="s">
        <v>1075</v>
      </c>
      <c r="F999" s="202" t="s">
        <v>2288</v>
      </c>
      <c r="G999" s="4"/>
      <c r="H999" s="4"/>
      <c r="I999" s="4"/>
      <c r="J999" s="4"/>
      <c r="M999" s="4"/>
      <c r="N999" s="4"/>
      <c r="Q999" s="4"/>
      <c r="R999" s="4"/>
      <c r="U999" s="4"/>
      <c r="V999" s="43"/>
      <c r="W999" s="4"/>
      <c r="X999" s="175"/>
      <c r="Y999" s="749"/>
    </row>
    <row r="1000" spans="2:25">
      <c r="B1000" s="202" t="s">
        <v>1075</v>
      </c>
      <c r="E1000" s="202" t="s">
        <v>1075</v>
      </c>
      <c r="F1000" s="202" t="s">
        <v>2288</v>
      </c>
      <c r="G1000" s="4"/>
      <c r="H1000" s="4"/>
      <c r="I1000" s="4"/>
      <c r="J1000" s="4"/>
      <c r="M1000" s="4"/>
      <c r="N1000" s="4"/>
      <c r="Q1000" s="4"/>
      <c r="R1000" s="4"/>
      <c r="U1000" s="4"/>
      <c r="V1000" s="43"/>
      <c r="W1000" s="4"/>
      <c r="X1000" s="175"/>
      <c r="Y1000" s="749"/>
    </row>
    <row r="1001" spans="2:25">
      <c r="B1001" s="202" t="s">
        <v>1075</v>
      </c>
      <c r="E1001" s="202" t="s">
        <v>1075</v>
      </c>
      <c r="F1001" s="202" t="s">
        <v>2288</v>
      </c>
      <c r="G1001" s="4"/>
      <c r="H1001" s="4"/>
      <c r="I1001" s="4"/>
      <c r="J1001" s="4"/>
      <c r="M1001" s="4"/>
      <c r="N1001" s="4"/>
      <c r="Q1001" s="4"/>
      <c r="R1001" s="4"/>
      <c r="U1001" s="4"/>
      <c r="V1001" s="43"/>
      <c r="W1001" s="4"/>
      <c r="X1001" s="175"/>
      <c r="Y1001" s="749"/>
    </row>
    <row r="1002" spans="2:25">
      <c r="B1002" s="202" t="s">
        <v>1075</v>
      </c>
      <c r="E1002" s="202" t="s">
        <v>1075</v>
      </c>
      <c r="F1002" s="202" t="s">
        <v>2288</v>
      </c>
      <c r="G1002" s="4"/>
      <c r="H1002" s="4"/>
      <c r="I1002" s="4"/>
      <c r="J1002" s="4"/>
      <c r="M1002" s="4"/>
      <c r="N1002" s="4"/>
      <c r="Q1002" s="4"/>
      <c r="R1002" s="4"/>
      <c r="U1002" s="4"/>
      <c r="V1002" s="43"/>
      <c r="W1002" s="4"/>
      <c r="X1002" s="175"/>
      <c r="Y1002" s="749"/>
    </row>
    <row r="1003" spans="2:25">
      <c r="B1003" s="202" t="s">
        <v>1075</v>
      </c>
      <c r="E1003" s="202" t="s">
        <v>1075</v>
      </c>
      <c r="F1003" s="202" t="s">
        <v>2288</v>
      </c>
      <c r="G1003" s="4"/>
      <c r="H1003" s="4"/>
      <c r="I1003" s="4"/>
      <c r="J1003" s="4"/>
      <c r="M1003" s="4"/>
      <c r="N1003" s="4"/>
      <c r="Q1003" s="4"/>
      <c r="R1003" s="4"/>
      <c r="U1003" s="4"/>
      <c r="V1003" s="43"/>
      <c r="W1003" s="4"/>
      <c r="X1003" s="175"/>
      <c r="Y1003" s="749"/>
    </row>
    <row r="1004" spans="2:25">
      <c r="B1004" s="202" t="s">
        <v>1075</v>
      </c>
      <c r="E1004" s="202" t="s">
        <v>1075</v>
      </c>
      <c r="F1004" s="202" t="s">
        <v>2288</v>
      </c>
      <c r="G1004" s="4"/>
      <c r="H1004" s="4"/>
      <c r="I1004" s="4"/>
      <c r="J1004" s="4"/>
      <c r="M1004" s="4"/>
      <c r="N1004" s="4"/>
      <c r="Q1004" s="4"/>
      <c r="R1004" s="4"/>
      <c r="U1004" s="4"/>
      <c r="V1004" s="43"/>
      <c r="W1004" s="4"/>
      <c r="X1004" s="175"/>
      <c r="Y1004" s="749"/>
    </row>
    <row r="1005" spans="2:25">
      <c r="B1005" s="202" t="s">
        <v>1075</v>
      </c>
      <c r="E1005" s="202" t="s">
        <v>1075</v>
      </c>
      <c r="F1005" s="202" t="s">
        <v>2288</v>
      </c>
      <c r="G1005" s="4"/>
      <c r="H1005" s="4"/>
      <c r="I1005" s="4"/>
      <c r="J1005" s="4"/>
      <c r="M1005" s="4"/>
      <c r="N1005" s="4"/>
      <c r="Q1005" s="4"/>
      <c r="R1005" s="4"/>
      <c r="U1005" s="4"/>
      <c r="V1005" s="43"/>
      <c r="W1005" s="4"/>
      <c r="X1005" s="175"/>
      <c r="Y1005" s="749"/>
    </row>
    <row r="1006" spans="2:25">
      <c r="B1006" s="202" t="s">
        <v>1075</v>
      </c>
      <c r="E1006" s="202" t="s">
        <v>1075</v>
      </c>
      <c r="F1006" s="202" t="s">
        <v>2288</v>
      </c>
      <c r="G1006" s="4"/>
      <c r="H1006" s="4"/>
      <c r="I1006" s="4"/>
      <c r="J1006" s="4"/>
      <c r="M1006" s="4"/>
      <c r="N1006" s="4"/>
      <c r="Q1006" s="4"/>
      <c r="R1006" s="4"/>
      <c r="U1006" s="4"/>
      <c r="V1006" s="43"/>
      <c r="W1006" s="4"/>
      <c r="X1006" s="175"/>
      <c r="Y1006" s="749"/>
    </row>
    <row r="1007" spans="2:25">
      <c r="B1007" s="202" t="s">
        <v>1075</v>
      </c>
      <c r="E1007" s="202" t="s">
        <v>1075</v>
      </c>
      <c r="F1007" s="202" t="s">
        <v>2288</v>
      </c>
      <c r="G1007" s="4"/>
      <c r="H1007" s="4"/>
      <c r="I1007" s="4"/>
      <c r="J1007" s="4"/>
      <c r="M1007" s="4"/>
      <c r="N1007" s="4"/>
      <c r="Q1007" s="4"/>
      <c r="R1007" s="4"/>
      <c r="U1007" s="4"/>
      <c r="V1007" s="43"/>
      <c r="W1007" s="4"/>
      <c r="X1007" s="175"/>
      <c r="Y1007" s="749"/>
    </row>
    <row r="1008" spans="2:25">
      <c r="B1008" s="202" t="s">
        <v>1075</v>
      </c>
      <c r="E1008" s="202" t="s">
        <v>1075</v>
      </c>
      <c r="F1008" s="202" t="s">
        <v>2288</v>
      </c>
      <c r="G1008" s="4"/>
      <c r="H1008" s="4"/>
      <c r="I1008" s="4"/>
      <c r="J1008" s="4"/>
      <c r="M1008" s="4"/>
      <c r="N1008" s="4"/>
      <c r="Q1008" s="4"/>
      <c r="R1008" s="4"/>
      <c r="U1008" s="4"/>
      <c r="V1008" s="43"/>
      <c r="W1008" s="4"/>
      <c r="X1008" s="175"/>
      <c r="Y1008" s="749"/>
    </row>
    <row r="1009" spans="2:25">
      <c r="B1009" s="202" t="s">
        <v>1075</v>
      </c>
      <c r="E1009" s="202" t="s">
        <v>1075</v>
      </c>
      <c r="F1009" s="202" t="s">
        <v>2288</v>
      </c>
      <c r="G1009" s="4"/>
      <c r="H1009" s="4"/>
      <c r="I1009" s="4"/>
      <c r="J1009" s="4"/>
      <c r="M1009" s="4"/>
      <c r="N1009" s="4"/>
      <c r="Q1009" s="4"/>
      <c r="R1009" s="4"/>
      <c r="U1009" s="4"/>
      <c r="V1009" s="43"/>
      <c r="W1009" s="4"/>
      <c r="X1009" s="175"/>
      <c r="Y1009" s="749"/>
    </row>
    <row r="1010" spans="2:25">
      <c r="B1010" s="202" t="s">
        <v>1075</v>
      </c>
      <c r="E1010" s="202" t="s">
        <v>1075</v>
      </c>
      <c r="F1010" s="202" t="s">
        <v>2288</v>
      </c>
      <c r="G1010" s="4"/>
      <c r="H1010" s="4"/>
      <c r="I1010" s="4"/>
      <c r="J1010" s="4"/>
      <c r="M1010" s="4"/>
      <c r="N1010" s="4"/>
      <c r="Q1010" s="4"/>
      <c r="R1010" s="4"/>
      <c r="U1010" s="4"/>
      <c r="V1010" s="43"/>
      <c r="W1010" s="4"/>
      <c r="X1010" s="175"/>
      <c r="Y1010" s="749"/>
    </row>
    <row r="1011" spans="2:25">
      <c r="B1011" s="202" t="s">
        <v>1075</v>
      </c>
      <c r="E1011" s="202" t="s">
        <v>1075</v>
      </c>
      <c r="F1011" s="202" t="s">
        <v>2288</v>
      </c>
      <c r="G1011" s="4"/>
      <c r="H1011" s="4"/>
      <c r="I1011" s="4"/>
      <c r="J1011" s="4"/>
      <c r="M1011" s="4"/>
      <c r="N1011" s="4"/>
      <c r="Q1011" s="4"/>
      <c r="R1011" s="4"/>
      <c r="U1011" s="4"/>
      <c r="V1011" s="43"/>
      <c r="W1011" s="4"/>
      <c r="X1011" s="175"/>
      <c r="Y1011" s="749"/>
    </row>
    <row r="1012" spans="2:25">
      <c r="B1012" s="202" t="s">
        <v>1075</v>
      </c>
      <c r="E1012" s="202" t="s">
        <v>1075</v>
      </c>
      <c r="F1012" s="202" t="s">
        <v>2288</v>
      </c>
      <c r="G1012" s="4"/>
      <c r="H1012" s="4"/>
      <c r="I1012" s="4"/>
      <c r="J1012" s="4"/>
      <c r="M1012" s="4"/>
      <c r="N1012" s="4"/>
      <c r="Q1012" s="4"/>
      <c r="R1012" s="4"/>
      <c r="U1012" s="4"/>
      <c r="V1012" s="43"/>
      <c r="W1012" s="4"/>
      <c r="X1012" s="175"/>
      <c r="Y1012" s="749"/>
    </row>
    <row r="1013" spans="2:25">
      <c r="B1013" s="202" t="s">
        <v>1075</v>
      </c>
      <c r="E1013" s="202" t="s">
        <v>1075</v>
      </c>
      <c r="F1013" s="202" t="s">
        <v>2288</v>
      </c>
      <c r="G1013" s="4"/>
      <c r="H1013" s="4"/>
      <c r="I1013" s="4"/>
      <c r="J1013" s="4"/>
      <c r="M1013" s="4"/>
      <c r="N1013" s="4"/>
      <c r="Q1013" s="4"/>
      <c r="R1013" s="4"/>
      <c r="U1013" s="4"/>
      <c r="V1013" s="43"/>
      <c r="W1013" s="4"/>
      <c r="X1013" s="175"/>
      <c r="Y1013" s="749"/>
    </row>
    <row r="1014" spans="2:25">
      <c r="B1014" s="202" t="s">
        <v>1075</v>
      </c>
      <c r="E1014" s="202" t="s">
        <v>1075</v>
      </c>
      <c r="F1014" s="202" t="s">
        <v>2288</v>
      </c>
      <c r="G1014" s="4"/>
      <c r="H1014" s="4"/>
      <c r="I1014" s="4"/>
      <c r="J1014" s="4"/>
      <c r="M1014" s="4"/>
      <c r="N1014" s="4"/>
      <c r="Q1014" s="4"/>
      <c r="R1014" s="4"/>
      <c r="U1014" s="4"/>
      <c r="V1014" s="43"/>
      <c r="W1014" s="4"/>
      <c r="X1014" s="175"/>
      <c r="Y1014" s="749"/>
    </row>
    <row r="1015" spans="2:25">
      <c r="B1015" s="202" t="s">
        <v>1075</v>
      </c>
      <c r="E1015" s="202" t="s">
        <v>1075</v>
      </c>
      <c r="F1015" s="202" t="s">
        <v>2288</v>
      </c>
      <c r="G1015" s="4"/>
      <c r="H1015" s="4"/>
      <c r="I1015" s="4"/>
      <c r="J1015" s="4"/>
      <c r="M1015" s="4"/>
      <c r="N1015" s="4"/>
      <c r="Q1015" s="4"/>
      <c r="R1015" s="4"/>
      <c r="U1015" s="4"/>
      <c r="V1015" s="43"/>
      <c r="W1015" s="4"/>
      <c r="X1015" s="175"/>
      <c r="Y1015" s="749"/>
    </row>
    <row r="1016" spans="2:25">
      <c r="B1016" s="202" t="s">
        <v>1075</v>
      </c>
      <c r="E1016" s="202" t="s">
        <v>1075</v>
      </c>
      <c r="F1016" s="202" t="s">
        <v>2288</v>
      </c>
      <c r="G1016" s="4"/>
      <c r="H1016" s="4"/>
      <c r="I1016" s="4"/>
      <c r="J1016" s="4"/>
      <c r="M1016" s="4"/>
      <c r="N1016" s="4"/>
      <c r="Q1016" s="4"/>
      <c r="R1016" s="4"/>
      <c r="U1016" s="4"/>
      <c r="V1016" s="43"/>
      <c r="W1016" s="4"/>
      <c r="X1016" s="175"/>
      <c r="Y1016" s="749"/>
    </row>
    <row r="1017" spans="2:25">
      <c r="B1017" s="202" t="s">
        <v>1075</v>
      </c>
      <c r="E1017" s="202" t="s">
        <v>1075</v>
      </c>
      <c r="F1017" s="202" t="s">
        <v>2288</v>
      </c>
      <c r="G1017" s="4"/>
      <c r="H1017" s="4"/>
      <c r="I1017" s="4"/>
      <c r="J1017" s="4"/>
      <c r="M1017" s="4"/>
      <c r="N1017" s="4"/>
      <c r="Q1017" s="4"/>
      <c r="R1017" s="4"/>
      <c r="U1017" s="4"/>
      <c r="V1017" s="43"/>
      <c r="W1017" s="4"/>
      <c r="X1017" s="175"/>
      <c r="Y1017" s="749"/>
    </row>
    <row r="1018" spans="2:25">
      <c r="B1018" s="202" t="s">
        <v>1075</v>
      </c>
      <c r="E1018" s="202" t="s">
        <v>1075</v>
      </c>
      <c r="F1018" s="202" t="s">
        <v>2288</v>
      </c>
      <c r="G1018" s="4"/>
      <c r="H1018" s="4"/>
      <c r="I1018" s="4"/>
      <c r="J1018" s="4"/>
      <c r="M1018" s="4"/>
      <c r="N1018" s="4"/>
      <c r="Q1018" s="4"/>
      <c r="R1018" s="4"/>
      <c r="U1018" s="4"/>
      <c r="V1018" s="43"/>
      <c r="W1018" s="4"/>
      <c r="X1018" s="175"/>
      <c r="Y1018" s="749"/>
    </row>
    <row r="1019" spans="2:25">
      <c r="B1019" s="202" t="s">
        <v>1075</v>
      </c>
      <c r="E1019" s="202" t="s">
        <v>1075</v>
      </c>
      <c r="F1019" s="202" t="s">
        <v>2288</v>
      </c>
      <c r="G1019" s="4"/>
      <c r="H1019" s="4"/>
      <c r="I1019" s="4"/>
      <c r="J1019" s="4"/>
      <c r="M1019" s="4"/>
      <c r="N1019" s="4"/>
      <c r="Q1019" s="4"/>
      <c r="R1019" s="4"/>
      <c r="U1019" s="4"/>
      <c r="V1019" s="43"/>
      <c r="W1019" s="4"/>
      <c r="X1019" s="175"/>
      <c r="Y1019" s="749"/>
    </row>
    <row r="1020" spans="2:25">
      <c r="B1020" s="202" t="s">
        <v>1075</v>
      </c>
      <c r="E1020" s="202" t="s">
        <v>1075</v>
      </c>
      <c r="F1020" s="202" t="s">
        <v>2288</v>
      </c>
      <c r="G1020" s="4"/>
      <c r="H1020" s="4"/>
      <c r="I1020" s="4"/>
      <c r="J1020" s="4"/>
      <c r="M1020" s="4"/>
      <c r="N1020" s="4"/>
      <c r="Q1020" s="4"/>
      <c r="R1020" s="4"/>
      <c r="U1020" s="4"/>
      <c r="V1020" s="43"/>
      <c r="W1020" s="4"/>
      <c r="X1020" s="175"/>
      <c r="Y1020" s="749"/>
    </row>
    <row r="1021" spans="2:25">
      <c r="B1021" s="202" t="s">
        <v>1075</v>
      </c>
      <c r="E1021" s="202" t="s">
        <v>1075</v>
      </c>
      <c r="F1021" s="202" t="s">
        <v>2288</v>
      </c>
      <c r="G1021" s="4"/>
      <c r="H1021" s="4"/>
      <c r="I1021" s="4"/>
      <c r="J1021" s="4"/>
      <c r="M1021" s="4"/>
      <c r="N1021" s="4"/>
      <c r="Q1021" s="4"/>
      <c r="R1021" s="4"/>
      <c r="U1021" s="4"/>
      <c r="V1021" s="43"/>
      <c r="W1021" s="4"/>
      <c r="X1021" s="175"/>
      <c r="Y1021" s="749"/>
    </row>
    <row r="1022" spans="2:25">
      <c r="B1022" s="202" t="s">
        <v>1075</v>
      </c>
      <c r="E1022" s="202" t="s">
        <v>1075</v>
      </c>
      <c r="F1022" s="202" t="s">
        <v>2288</v>
      </c>
      <c r="G1022" s="4"/>
      <c r="H1022" s="4"/>
      <c r="I1022" s="4"/>
      <c r="J1022" s="4"/>
      <c r="M1022" s="4"/>
      <c r="N1022" s="4"/>
      <c r="Q1022" s="4"/>
      <c r="R1022" s="4"/>
      <c r="U1022" s="4"/>
      <c r="V1022" s="43"/>
      <c r="W1022" s="4"/>
      <c r="X1022" s="175"/>
      <c r="Y1022" s="749"/>
    </row>
    <row r="1023" spans="2:25">
      <c r="B1023" s="202" t="s">
        <v>1075</v>
      </c>
      <c r="E1023" s="202" t="s">
        <v>1075</v>
      </c>
      <c r="F1023" s="202" t="s">
        <v>2288</v>
      </c>
      <c r="G1023" s="4"/>
      <c r="H1023" s="4"/>
      <c r="I1023" s="4"/>
      <c r="J1023" s="4"/>
      <c r="M1023" s="4"/>
      <c r="N1023" s="4"/>
      <c r="Q1023" s="4"/>
      <c r="R1023" s="4"/>
      <c r="U1023" s="4"/>
      <c r="V1023" s="43"/>
      <c r="W1023" s="4"/>
      <c r="X1023" s="175"/>
      <c r="Y1023" s="749"/>
    </row>
    <row r="1024" spans="2:25">
      <c r="B1024" s="202" t="s">
        <v>1075</v>
      </c>
      <c r="E1024" s="202" t="s">
        <v>1075</v>
      </c>
      <c r="F1024" s="202" t="s">
        <v>2288</v>
      </c>
      <c r="G1024" s="4"/>
      <c r="H1024" s="4"/>
      <c r="I1024" s="4"/>
      <c r="J1024" s="4"/>
      <c r="M1024" s="4"/>
      <c r="N1024" s="4"/>
      <c r="Q1024" s="4"/>
      <c r="R1024" s="4"/>
      <c r="U1024" s="4"/>
      <c r="V1024" s="43"/>
      <c r="W1024" s="4"/>
      <c r="X1024" s="175"/>
      <c r="Y1024" s="749"/>
    </row>
    <row r="1025" spans="2:25">
      <c r="B1025" s="202" t="s">
        <v>1075</v>
      </c>
      <c r="E1025" s="202" t="s">
        <v>1075</v>
      </c>
      <c r="F1025" s="202" t="s">
        <v>2288</v>
      </c>
      <c r="G1025" s="4"/>
      <c r="H1025" s="4"/>
      <c r="I1025" s="4"/>
      <c r="J1025" s="4"/>
      <c r="M1025" s="4"/>
      <c r="N1025" s="4"/>
      <c r="Q1025" s="4"/>
      <c r="R1025" s="4"/>
      <c r="U1025" s="4"/>
      <c r="V1025" s="43"/>
      <c r="W1025" s="4"/>
      <c r="X1025" s="175"/>
      <c r="Y1025" s="749"/>
    </row>
    <row r="1026" spans="2:25">
      <c r="B1026" s="202" t="s">
        <v>1075</v>
      </c>
      <c r="E1026" s="202" t="s">
        <v>1075</v>
      </c>
      <c r="F1026" s="202" t="s">
        <v>2288</v>
      </c>
      <c r="G1026" s="4"/>
      <c r="H1026" s="4"/>
      <c r="I1026" s="4"/>
      <c r="J1026" s="4"/>
      <c r="M1026" s="4"/>
      <c r="N1026" s="4"/>
      <c r="Q1026" s="4"/>
      <c r="R1026" s="4"/>
      <c r="U1026" s="4"/>
      <c r="V1026" s="43"/>
      <c r="W1026" s="4"/>
      <c r="X1026" s="175"/>
      <c r="Y1026" s="749"/>
    </row>
    <row r="1027" spans="2:25">
      <c r="B1027" s="202" t="s">
        <v>1075</v>
      </c>
      <c r="E1027" s="202" t="s">
        <v>1075</v>
      </c>
      <c r="F1027" s="202" t="s">
        <v>2288</v>
      </c>
      <c r="G1027" s="4"/>
      <c r="H1027" s="4"/>
      <c r="I1027" s="4"/>
      <c r="J1027" s="4"/>
      <c r="M1027" s="4"/>
      <c r="N1027" s="4"/>
      <c r="Q1027" s="4"/>
      <c r="R1027" s="4"/>
      <c r="U1027" s="4"/>
      <c r="V1027" s="43"/>
      <c r="W1027" s="4"/>
      <c r="X1027" s="175"/>
      <c r="Y1027" s="749"/>
    </row>
    <row r="1028" spans="2:25">
      <c r="B1028" s="202" t="s">
        <v>1075</v>
      </c>
      <c r="E1028" s="202" t="s">
        <v>1075</v>
      </c>
      <c r="F1028" s="202" t="s">
        <v>2288</v>
      </c>
      <c r="G1028" s="4"/>
      <c r="H1028" s="4"/>
      <c r="I1028" s="4"/>
      <c r="J1028" s="4"/>
      <c r="M1028" s="4"/>
      <c r="N1028" s="4"/>
      <c r="Q1028" s="4"/>
      <c r="R1028" s="4"/>
      <c r="U1028" s="4"/>
      <c r="V1028" s="43"/>
      <c r="W1028" s="4"/>
      <c r="X1028" s="175"/>
      <c r="Y1028" s="749"/>
    </row>
    <row r="1029" spans="2:25">
      <c r="B1029" s="202" t="s">
        <v>1075</v>
      </c>
      <c r="E1029" s="202" t="s">
        <v>1075</v>
      </c>
      <c r="F1029" s="202" t="s">
        <v>2288</v>
      </c>
      <c r="G1029" s="4"/>
      <c r="H1029" s="4"/>
      <c r="I1029" s="4"/>
      <c r="J1029" s="4"/>
      <c r="M1029" s="4"/>
      <c r="N1029" s="4"/>
      <c r="Q1029" s="4"/>
      <c r="R1029" s="4"/>
      <c r="U1029" s="4"/>
      <c r="V1029" s="43"/>
      <c r="W1029" s="4"/>
      <c r="X1029" s="175"/>
      <c r="Y1029" s="749"/>
    </row>
    <row r="1030" spans="2:25">
      <c r="B1030" s="202" t="s">
        <v>1075</v>
      </c>
      <c r="E1030" s="202" t="s">
        <v>1075</v>
      </c>
      <c r="F1030" s="202" t="s">
        <v>2288</v>
      </c>
      <c r="G1030" s="4"/>
      <c r="H1030" s="4"/>
      <c r="I1030" s="4"/>
      <c r="J1030" s="4"/>
      <c r="M1030" s="4"/>
      <c r="N1030" s="4"/>
      <c r="Q1030" s="4"/>
      <c r="R1030" s="4"/>
      <c r="U1030" s="4"/>
      <c r="V1030" s="43"/>
      <c r="W1030" s="4"/>
      <c r="X1030" s="175"/>
      <c r="Y1030" s="749"/>
    </row>
    <row r="1031" spans="2:25">
      <c r="B1031" s="202" t="s">
        <v>1075</v>
      </c>
      <c r="E1031" s="202" t="s">
        <v>1075</v>
      </c>
      <c r="F1031" s="202" t="s">
        <v>2288</v>
      </c>
      <c r="G1031" s="4"/>
      <c r="H1031" s="4"/>
      <c r="I1031" s="4"/>
      <c r="J1031" s="4"/>
      <c r="M1031" s="4"/>
      <c r="N1031" s="4"/>
      <c r="Q1031" s="4"/>
      <c r="R1031" s="4"/>
      <c r="U1031" s="4"/>
      <c r="V1031" s="43"/>
      <c r="W1031" s="4"/>
      <c r="X1031" s="175"/>
      <c r="Y1031" s="749"/>
    </row>
    <row r="1032" spans="2:25">
      <c r="B1032" s="202" t="s">
        <v>1075</v>
      </c>
      <c r="E1032" s="202" t="s">
        <v>1075</v>
      </c>
      <c r="F1032" s="202" t="s">
        <v>2288</v>
      </c>
      <c r="G1032" s="4"/>
      <c r="H1032" s="4"/>
      <c r="I1032" s="4"/>
      <c r="J1032" s="4"/>
      <c r="M1032" s="4"/>
      <c r="N1032" s="4"/>
      <c r="Q1032" s="4"/>
      <c r="R1032" s="4"/>
      <c r="U1032" s="4"/>
      <c r="V1032" s="43"/>
      <c r="W1032" s="4"/>
      <c r="X1032" s="175"/>
      <c r="Y1032" s="749"/>
    </row>
    <row r="1033" spans="2:25">
      <c r="B1033" s="202" t="s">
        <v>1075</v>
      </c>
      <c r="E1033" s="202" t="s">
        <v>1075</v>
      </c>
      <c r="F1033" s="202" t="s">
        <v>2288</v>
      </c>
      <c r="G1033" s="4"/>
      <c r="H1033" s="4"/>
      <c r="I1033" s="4"/>
      <c r="J1033" s="4"/>
      <c r="M1033" s="4"/>
      <c r="N1033" s="4"/>
      <c r="Q1033" s="4"/>
      <c r="R1033" s="4"/>
      <c r="U1033" s="4"/>
      <c r="V1033" s="43"/>
      <c r="W1033" s="4"/>
      <c r="X1033" s="175"/>
      <c r="Y1033" s="749"/>
    </row>
    <row r="1034" spans="2:25">
      <c r="B1034" s="202" t="s">
        <v>1075</v>
      </c>
      <c r="E1034" s="202" t="s">
        <v>1075</v>
      </c>
      <c r="F1034" s="202" t="s">
        <v>2288</v>
      </c>
      <c r="G1034" s="4"/>
      <c r="H1034" s="4"/>
      <c r="I1034" s="4"/>
      <c r="J1034" s="4"/>
      <c r="M1034" s="4"/>
      <c r="N1034" s="4"/>
      <c r="Q1034" s="4"/>
      <c r="R1034" s="4"/>
      <c r="U1034" s="4"/>
      <c r="V1034" s="43"/>
      <c r="W1034" s="4"/>
      <c r="X1034" s="175"/>
      <c r="Y1034" s="749"/>
    </row>
    <row r="1035" spans="2:25">
      <c r="B1035" s="202" t="s">
        <v>1075</v>
      </c>
      <c r="E1035" s="202" t="s">
        <v>1075</v>
      </c>
      <c r="F1035" s="202" t="s">
        <v>2288</v>
      </c>
      <c r="G1035" s="4"/>
      <c r="H1035" s="4"/>
      <c r="I1035" s="4"/>
      <c r="J1035" s="4"/>
      <c r="M1035" s="4"/>
      <c r="N1035" s="4"/>
      <c r="Q1035" s="4"/>
      <c r="R1035" s="4"/>
      <c r="U1035" s="4"/>
      <c r="V1035" s="43"/>
      <c r="W1035" s="4"/>
      <c r="X1035" s="175"/>
      <c r="Y1035" s="749"/>
    </row>
    <row r="1036" spans="2:25">
      <c r="B1036" s="202" t="s">
        <v>1075</v>
      </c>
      <c r="E1036" s="202" t="s">
        <v>1075</v>
      </c>
      <c r="F1036" s="202" t="s">
        <v>2288</v>
      </c>
      <c r="G1036" s="4"/>
      <c r="H1036" s="4"/>
      <c r="I1036" s="4"/>
      <c r="J1036" s="4"/>
      <c r="M1036" s="4"/>
      <c r="N1036" s="4"/>
      <c r="Q1036" s="4"/>
      <c r="R1036" s="4"/>
      <c r="U1036" s="4"/>
      <c r="V1036" s="43"/>
      <c r="W1036" s="4"/>
      <c r="X1036" s="175"/>
      <c r="Y1036" s="749"/>
    </row>
    <row r="1037" spans="2:25">
      <c r="B1037" s="202" t="s">
        <v>1075</v>
      </c>
      <c r="E1037" s="202" t="s">
        <v>1075</v>
      </c>
      <c r="F1037" s="202" t="s">
        <v>2288</v>
      </c>
      <c r="G1037" s="4"/>
      <c r="H1037" s="4"/>
      <c r="I1037" s="4"/>
      <c r="J1037" s="4"/>
      <c r="M1037" s="4"/>
      <c r="N1037" s="4"/>
      <c r="Q1037" s="4"/>
      <c r="R1037" s="4"/>
      <c r="U1037" s="4"/>
      <c r="V1037" s="43"/>
      <c r="W1037" s="4"/>
      <c r="X1037" s="175"/>
      <c r="Y1037" s="749"/>
    </row>
    <row r="1038" spans="2:25">
      <c r="B1038" s="202" t="s">
        <v>1075</v>
      </c>
      <c r="E1038" s="202" t="s">
        <v>1075</v>
      </c>
      <c r="F1038" s="202" t="s">
        <v>2288</v>
      </c>
      <c r="G1038" s="4"/>
      <c r="H1038" s="4"/>
      <c r="I1038" s="4"/>
      <c r="J1038" s="4"/>
      <c r="M1038" s="4"/>
      <c r="N1038" s="4"/>
      <c r="Q1038" s="4"/>
      <c r="R1038" s="4"/>
      <c r="U1038" s="4"/>
      <c r="V1038" s="43"/>
      <c r="W1038" s="4"/>
      <c r="X1038" s="175"/>
      <c r="Y1038" s="749"/>
    </row>
    <row r="1039" spans="2:25">
      <c r="B1039" s="202" t="s">
        <v>1075</v>
      </c>
      <c r="E1039" s="202" t="s">
        <v>1075</v>
      </c>
      <c r="F1039" s="202" t="s">
        <v>2288</v>
      </c>
      <c r="G1039" s="4"/>
      <c r="H1039" s="4"/>
      <c r="I1039" s="4"/>
      <c r="J1039" s="4"/>
      <c r="M1039" s="4"/>
      <c r="N1039" s="4"/>
      <c r="Q1039" s="4"/>
      <c r="R1039" s="4"/>
      <c r="U1039" s="4"/>
      <c r="V1039" s="43"/>
      <c r="W1039" s="4"/>
      <c r="X1039" s="175"/>
      <c r="Y1039" s="749"/>
    </row>
    <row r="1040" spans="2:25">
      <c r="B1040" s="202" t="s">
        <v>1075</v>
      </c>
      <c r="E1040" s="202" t="s">
        <v>1075</v>
      </c>
      <c r="F1040" s="202" t="s">
        <v>2288</v>
      </c>
      <c r="G1040" s="4"/>
      <c r="H1040" s="4"/>
      <c r="I1040" s="4"/>
      <c r="J1040" s="4"/>
      <c r="M1040" s="4"/>
      <c r="N1040" s="4"/>
      <c r="Q1040" s="4"/>
      <c r="R1040" s="4"/>
      <c r="U1040" s="4"/>
      <c r="V1040" s="43"/>
      <c r="W1040" s="4"/>
      <c r="X1040" s="175"/>
      <c r="Y1040" s="749"/>
    </row>
    <row r="1041" spans="2:25">
      <c r="B1041" s="202" t="s">
        <v>1075</v>
      </c>
      <c r="E1041" s="202" t="s">
        <v>1075</v>
      </c>
      <c r="F1041" s="202" t="s">
        <v>2288</v>
      </c>
      <c r="G1041" s="4"/>
      <c r="H1041" s="4"/>
      <c r="I1041" s="4"/>
      <c r="J1041" s="4"/>
      <c r="M1041" s="4"/>
      <c r="N1041" s="4"/>
      <c r="Q1041" s="4"/>
      <c r="R1041" s="4"/>
      <c r="U1041" s="4"/>
      <c r="V1041" s="43"/>
      <c r="W1041" s="4"/>
      <c r="X1041" s="175"/>
      <c r="Y1041" s="749"/>
    </row>
    <row r="1042" spans="2:25">
      <c r="B1042" s="202" t="s">
        <v>1075</v>
      </c>
      <c r="E1042" s="202" t="s">
        <v>1075</v>
      </c>
      <c r="F1042" s="202" t="s">
        <v>2288</v>
      </c>
      <c r="G1042" s="4"/>
      <c r="H1042" s="4"/>
      <c r="I1042" s="4"/>
      <c r="J1042" s="4"/>
      <c r="M1042" s="4"/>
      <c r="N1042" s="4"/>
      <c r="Q1042" s="4"/>
      <c r="R1042" s="4"/>
      <c r="U1042" s="4"/>
      <c r="V1042" s="43"/>
      <c r="W1042" s="4"/>
      <c r="X1042" s="175"/>
      <c r="Y1042" s="749"/>
    </row>
    <row r="1043" spans="2:25">
      <c r="B1043" s="202" t="s">
        <v>1075</v>
      </c>
      <c r="E1043" s="202" t="s">
        <v>1075</v>
      </c>
      <c r="F1043" s="202" t="s">
        <v>2288</v>
      </c>
      <c r="G1043" s="4"/>
      <c r="H1043" s="4"/>
      <c r="I1043" s="4"/>
      <c r="J1043" s="4"/>
      <c r="M1043" s="4"/>
      <c r="N1043" s="4"/>
      <c r="Q1043" s="4"/>
      <c r="R1043" s="4"/>
      <c r="U1043" s="4"/>
      <c r="V1043" s="43"/>
      <c r="W1043" s="4"/>
      <c r="X1043" s="175"/>
      <c r="Y1043" s="749"/>
    </row>
    <row r="1044" spans="2:25">
      <c r="B1044" s="202" t="s">
        <v>1075</v>
      </c>
      <c r="E1044" s="202" t="s">
        <v>1075</v>
      </c>
      <c r="F1044" s="202" t="s">
        <v>2288</v>
      </c>
      <c r="G1044" s="4"/>
      <c r="H1044" s="4"/>
      <c r="I1044" s="4"/>
      <c r="J1044" s="4"/>
      <c r="M1044" s="4"/>
      <c r="N1044" s="4"/>
      <c r="Q1044" s="4"/>
      <c r="R1044" s="4"/>
      <c r="U1044" s="4"/>
      <c r="V1044" s="43"/>
      <c r="W1044" s="4"/>
      <c r="X1044" s="175"/>
      <c r="Y1044" s="749"/>
    </row>
    <row r="1045" spans="2:25">
      <c r="B1045" s="202" t="s">
        <v>1075</v>
      </c>
      <c r="E1045" s="202" t="s">
        <v>1075</v>
      </c>
      <c r="F1045" s="202" t="s">
        <v>2288</v>
      </c>
      <c r="G1045" s="4"/>
      <c r="H1045" s="4"/>
      <c r="I1045" s="4"/>
      <c r="J1045" s="4"/>
      <c r="M1045" s="4"/>
      <c r="N1045" s="4"/>
      <c r="Q1045" s="4"/>
      <c r="R1045" s="4"/>
      <c r="U1045" s="4"/>
      <c r="V1045" s="43"/>
      <c r="W1045" s="4"/>
      <c r="X1045" s="175"/>
      <c r="Y1045" s="749"/>
    </row>
    <row r="1046" spans="2:25">
      <c r="B1046" s="202" t="s">
        <v>1075</v>
      </c>
      <c r="E1046" s="202" t="s">
        <v>1075</v>
      </c>
      <c r="F1046" s="202" t="s">
        <v>2288</v>
      </c>
      <c r="G1046" s="4"/>
      <c r="H1046" s="4"/>
      <c r="I1046" s="4"/>
      <c r="J1046" s="4"/>
      <c r="M1046" s="4"/>
      <c r="N1046" s="4"/>
      <c r="Q1046" s="4"/>
      <c r="R1046" s="4"/>
      <c r="U1046" s="4"/>
      <c r="V1046" s="43"/>
      <c r="W1046" s="4"/>
      <c r="X1046" s="175"/>
      <c r="Y1046" s="749"/>
    </row>
    <row r="1047" spans="2:25">
      <c r="B1047" s="202" t="s">
        <v>1075</v>
      </c>
      <c r="E1047" s="202" t="s">
        <v>1075</v>
      </c>
      <c r="F1047" s="202" t="s">
        <v>2288</v>
      </c>
      <c r="G1047" s="4"/>
      <c r="H1047" s="4"/>
      <c r="I1047" s="4"/>
      <c r="J1047" s="4"/>
      <c r="M1047" s="4"/>
      <c r="N1047" s="4"/>
      <c r="Q1047" s="4"/>
      <c r="R1047" s="4"/>
      <c r="U1047" s="4"/>
      <c r="V1047" s="43"/>
      <c r="W1047" s="4"/>
      <c r="X1047" s="175"/>
      <c r="Y1047" s="749"/>
    </row>
    <row r="1048" spans="2:25">
      <c r="B1048" s="202" t="s">
        <v>1075</v>
      </c>
      <c r="E1048" s="202" t="s">
        <v>1075</v>
      </c>
      <c r="F1048" s="202" t="s">
        <v>2288</v>
      </c>
      <c r="G1048" s="4"/>
      <c r="H1048" s="4"/>
      <c r="I1048" s="4"/>
      <c r="J1048" s="4"/>
      <c r="M1048" s="4"/>
      <c r="N1048" s="4"/>
      <c r="Q1048" s="4"/>
      <c r="R1048" s="4"/>
      <c r="U1048" s="4"/>
      <c r="V1048" s="43"/>
      <c r="W1048" s="4"/>
      <c r="X1048" s="175"/>
      <c r="Y1048" s="749"/>
    </row>
    <row r="1049" spans="2:25">
      <c r="B1049" s="202" t="s">
        <v>1075</v>
      </c>
      <c r="E1049" s="202" t="s">
        <v>1075</v>
      </c>
      <c r="F1049" s="202" t="s">
        <v>2288</v>
      </c>
      <c r="G1049" s="4"/>
      <c r="H1049" s="4"/>
      <c r="I1049" s="4"/>
      <c r="J1049" s="4"/>
      <c r="M1049" s="4"/>
      <c r="N1049" s="4"/>
      <c r="Q1049" s="4"/>
      <c r="R1049" s="4"/>
      <c r="U1049" s="4"/>
      <c r="V1049" s="43"/>
      <c r="W1049" s="4"/>
      <c r="X1049" s="175"/>
      <c r="Y1049" s="749"/>
    </row>
    <row r="1050" spans="2:25">
      <c r="B1050" s="202" t="s">
        <v>1075</v>
      </c>
      <c r="E1050" s="202" t="s">
        <v>1075</v>
      </c>
      <c r="F1050" s="202" t="s">
        <v>2288</v>
      </c>
      <c r="G1050" s="4"/>
      <c r="H1050" s="4"/>
      <c r="I1050" s="4"/>
      <c r="J1050" s="4"/>
      <c r="M1050" s="4"/>
      <c r="N1050" s="4"/>
      <c r="Q1050" s="4"/>
      <c r="R1050" s="4"/>
      <c r="U1050" s="4"/>
      <c r="V1050" s="43"/>
      <c r="W1050" s="4"/>
      <c r="X1050" s="175"/>
      <c r="Y1050" s="749"/>
    </row>
    <row r="1051" spans="2:25">
      <c r="B1051" s="202" t="s">
        <v>1075</v>
      </c>
      <c r="E1051" s="202" t="s">
        <v>1075</v>
      </c>
      <c r="F1051" s="202" t="s">
        <v>2288</v>
      </c>
      <c r="G1051" s="4"/>
      <c r="H1051" s="4"/>
      <c r="I1051" s="4"/>
      <c r="J1051" s="4"/>
      <c r="M1051" s="4"/>
      <c r="N1051" s="4"/>
      <c r="Q1051" s="4"/>
      <c r="R1051" s="4"/>
      <c r="U1051" s="4"/>
      <c r="V1051" s="43"/>
      <c r="W1051" s="4"/>
      <c r="X1051" s="175"/>
      <c r="Y1051" s="749"/>
    </row>
    <row r="1052" spans="2:25">
      <c r="B1052" s="202" t="s">
        <v>1075</v>
      </c>
      <c r="E1052" s="202" t="s">
        <v>1075</v>
      </c>
      <c r="F1052" s="202" t="s">
        <v>2288</v>
      </c>
      <c r="G1052" s="4"/>
      <c r="H1052" s="4"/>
      <c r="I1052" s="4"/>
      <c r="J1052" s="4"/>
      <c r="M1052" s="4"/>
      <c r="N1052" s="4"/>
      <c r="Q1052" s="4"/>
      <c r="R1052" s="4"/>
      <c r="U1052" s="4"/>
      <c r="V1052" s="43"/>
      <c r="W1052" s="4"/>
      <c r="X1052" s="175"/>
      <c r="Y1052" s="749"/>
    </row>
    <row r="1053" spans="2:25">
      <c r="B1053" s="202" t="s">
        <v>1075</v>
      </c>
      <c r="E1053" s="202" t="s">
        <v>1075</v>
      </c>
      <c r="F1053" s="202" t="s">
        <v>2288</v>
      </c>
      <c r="G1053" s="4"/>
      <c r="H1053" s="4"/>
      <c r="I1053" s="4"/>
      <c r="J1053" s="4"/>
      <c r="M1053" s="4"/>
      <c r="N1053" s="4"/>
      <c r="Q1053" s="4"/>
      <c r="R1053" s="4"/>
      <c r="U1053" s="4"/>
      <c r="V1053" s="43"/>
      <c r="W1053" s="4"/>
      <c r="X1053" s="175"/>
      <c r="Y1053" s="749"/>
    </row>
    <row r="1054" spans="2:25">
      <c r="B1054" s="202" t="s">
        <v>1075</v>
      </c>
      <c r="E1054" s="202" t="s">
        <v>1075</v>
      </c>
      <c r="F1054" s="202" t="s">
        <v>2288</v>
      </c>
      <c r="G1054" s="4"/>
      <c r="H1054" s="4"/>
      <c r="I1054" s="4"/>
      <c r="J1054" s="4"/>
      <c r="M1054" s="4"/>
      <c r="N1054" s="4"/>
      <c r="Q1054" s="4"/>
      <c r="R1054" s="4"/>
      <c r="U1054" s="4"/>
      <c r="V1054" s="43"/>
      <c r="W1054" s="4"/>
      <c r="X1054" s="175"/>
      <c r="Y1054" s="749"/>
    </row>
    <row r="1055" spans="2:25">
      <c r="B1055" s="202" t="s">
        <v>1075</v>
      </c>
      <c r="E1055" s="202" t="s">
        <v>1075</v>
      </c>
      <c r="F1055" s="202" t="s">
        <v>2288</v>
      </c>
      <c r="G1055" s="4"/>
      <c r="H1055" s="4"/>
      <c r="I1055" s="4"/>
      <c r="J1055" s="4"/>
      <c r="M1055" s="4"/>
      <c r="N1055" s="4"/>
      <c r="Q1055" s="4"/>
      <c r="R1055" s="4"/>
      <c r="U1055" s="4"/>
      <c r="V1055" s="43"/>
      <c r="W1055" s="4"/>
      <c r="X1055" s="175"/>
      <c r="Y1055" s="749"/>
    </row>
    <row r="1056" spans="2:25">
      <c r="B1056" s="202" t="s">
        <v>1075</v>
      </c>
      <c r="E1056" s="202" t="s">
        <v>1075</v>
      </c>
      <c r="F1056" s="202" t="s">
        <v>2288</v>
      </c>
      <c r="G1056" s="4"/>
      <c r="H1056" s="4"/>
      <c r="I1056" s="4"/>
      <c r="J1056" s="4"/>
      <c r="M1056" s="4"/>
      <c r="N1056" s="4"/>
      <c r="Q1056" s="4"/>
      <c r="R1056" s="4"/>
      <c r="U1056" s="4"/>
      <c r="V1056" s="43"/>
      <c r="W1056" s="4"/>
      <c r="X1056" s="175"/>
      <c r="Y1056" s="749"/>
    </row>
    <row r="1057" spans="2:25">
      <c r="B1057" s="202" t="s">
        <v>1075</v>
      </c>
      <c r="E1057" s="202" t="s">
        <v>1075</v>
      </c>
      <c r="F1057" s="202" t="s">
        <v>2288</v>
      </c>
      <c r="G1057" s="4"/>
      <c r="H1057" s="4"/>
      <c r="I1057" s="4"/>
      <c r="J1057" s="4"/>
      <c r="M1057" s="4"/>
      <c r="N1057" s="4"/>
      <c r="Q1057" s="4"/>
      <c r="R1057" s="4"/>
      <c r="U1057" s="4"/>
      <c r="V1057" s="43"/>
      <c r="W1057" s="4"/>
      <c r="X1057" s="175"/>
      <c r="Y1057" s="749"/>
    </row>
    <row r="1058" spans="2:25">
      <c r="B1058" s="202" t="s">
        <v>1075</v>
      </c>
      <c r="E1058" s="202" t="s">
        <v>1075</v>
      </c>
      <c r="F1058" s="202" t="s">
        <v>2288</v>
      </c>
      <c r="G1058" s="4"/>
      <c r="H1058" s="4"/>
      <c r="I1058" s="4"/>
      <c r="J1058" s="4"/>
      <c r="M1058" s="4"/>
      <c r="N1058" s="4"/>
      <c r="Q1058" s="4"/>
      <c r="R1058" s="4"/>
      <c r="U1058" s="4"/>
      <c r="V1058" s="43"/>
      <c r="W1058" s="4"/>
      <c r="X1058" s="175"/>
      <c r="Y1058" s="749"/>
    </row>
    <row r="1059" spans="2:25">
      <c r="B1059" s="202" t="s">
        <v>1075</v>
      </c>
      <c r="E1059" s="202" t="s">
        <v>1075</v>
      </c>
      <c r="F1059" s="202" t="s">
        <v>2288</v>
      </c>
      <c r="G1059" s="4"/>
      <c r="H1059" s="4"/>
      <c r="I1059" s="4"/>
      <c r="J1059" s="4"/>
      <c r="M1059" s="4"/>
      <c r="N1059" s="4"/>
      <c r="Q1059" s="4"/>
      <c r="R1059" s="4"/>
      <c r="U1059" s="4"/>
      <c r="V1059" s="43"/>
      <c r="W1059" s="4"/>
      <c r="X1059" s="175"/>
      <c r="Y1059" s="749"/>
    </row>
    <row r="1060" spans="2:25">
      <c r="B1060" s="202" t="s">
        <v>1075</v>
      </c>
      <c r="E1060" s="202" t="s">
        <v>1075</v>
      </c>
      <c r="F1060" s="202" t="s">
        <v>2288</v>
      </c>
      <c r="G1060" s="4"/>
      <c r="H1060" s="4"/>
      <c r="I1060" s="4"/>
      <c r="J1060" s="4"/>
      <c r="M1060" s="4"/>
      <c r="N1060" s="4"/>
      <c r="Q1060" s="4"/>
      <c r="R1060" s="4"/>
      <c r="U1060" s="4"/>
      <c r="V1060" s="43"/>
      <c r="W1060" s="4"/>
      <c r="X1060" s="175"/>
      <c r="Y1060" s="749"/>
    </row>
    <row r="1061" spans="2:25">
      <c r="B1061" s="202" t="s">
        <v>1075</v>
      </c>
      <c r="E1061" s="202" t="s">
        <v>1075</v>
      </c>
      <c r="F1061" s="202" t="s">
        <v>2288</v>
      </c>
      <c r="G1061" s="4"/>
      <c r="H1061" s="4"/>
      <c r="I1061" s="4"/>
      <c r="J1061" s="4"/>
      <c r="M1061" s="4"/>
      <c r="N1061" s="4"/>
      <c r="Q1061" s="4"/>
      <c r="R1061" s="4"/>
      <c r="U1061" s="4"/>
      <c r="V1061" s="43"/>
      <c r="W1061" s="4"/>
      <c r="X1061" s="175"/>
      <c r="Y1061" s="749"/>
    </row>
    <row r="1062" spans="2:25">
      <c r="B1062" s="202" t="s">
        <v>1075</v>
      </c>
      <c r="E1062" s="202" t="s">
        <v>1075</v>
      </c>
      <c r="F1062" s="202" t="s">
        <v>2288</v>
      </c>
      <c r="G1062" s="4"/>
      <c r="H1062" s="4"/>
      <c r="I1062" s="4"/>
      <c r="J1062" s="4"/>
      <c r="M1062" s="4"/>
      <c r="N1062" s="4"/>
      <c r="Q1062" s="4"/>
      <c r="R1062" s="4"/>
      <c r="U1062" s="4"/>
      <c r="V1062" s="43"/>
      <c r="W1062" s="4"/>
      <c r="X1062" s="175"/>
      <c r="Y1062" s="749"/>
    </row>
    <row r="1063" spans="2:25">
      <c r="B1063" s="202" t="s">
        <v>1075</v>
      </c>
      <c r="E1063" s="202" t="s">
        <v>1075</v>
      </c>
      <c r="F1063" s="202" t="s">
        <v>2288</v>
      </c>
      <c r="G1063" s="4"/>
      <c r="H1063" s="4"/>
      <c r="I1063" s="4"/>
      <c r="J1063" s="4"/>
      <c r="M1063" s="4"/>
      <c r="N1063" s="4"/>
      <c r="Q1063" s="4"/>
      <c r="R1063" s="4"/>
      <c r="U1063" s="4"/>
      <c r="V1063" s="43"/>
      <c r="W1063" s="4"/>
      <c r="X1063" s="175"/>
      <c r="Y1063" s="749"/>
    </row>
    <row r="1064" spans="2:25">
      <c r="B1064" s="202" t="s">
        <v>1075</v>
      </c>
      <c r="E1064" s="202" t="s">
        <v>1075</v>
      </c>
      <c r="F1064" s="202" t="s">
        <v>2288</v>
      </c>
      <c r="G1064" s="4"/>
      <c r="H1064" s="4"/>
      <c r="I1064" s="4"/>
      <c r="J1064" s="4"/>
      <c r="M1064" s="4"/>
      <c r="N1064" s="4"/>
      <c r="Q1064" s="4"/>
      <c r="R1064" s="4"/>
      <c r="U1064" s="4"/>
      <c r="V1064" s="43"/>
      <c r="W1064" s="4"/>
      <c r="X1064" s="175"/>
      <c r="Y1064" s="749"/>
    </row>
    <row r="1065" spans="2:25">
      <c r="B1065" s="202" t="s">
        <v>1075</v>
      </c>
      <c r="E1065" s="202" t="s">
        <v>1075</v>
      </c>
      <c r="F1065" s="202" t="s">
        <v>2288</v>
      </c>
      <c r="G1065" s="4"/>
      <c r="H1065" s="4"/>
      <c r="I1065" s="4"/>
      <c r="J1065" s="4"/>
      <c r="M1065" s="4"/>
      <c r="N1065" s="4"/>
      <c r="Q1065" s="4"/>
      <c r="R1065" s="4"/>
      <c r="U1065" s="4"/>
      <c r="V1065" s="43"/>
      <c r="W1065" s="4"/>
      <c r="X1065" s="175"/>
      <c r="Y1065" s="749"/>
    </row>
    <row r="1066" spans="2:25">
      <c r="B1066" s="202" t="s">
        <v>1075</v>
      </c>
      <c r="E1066" s="202" t="s">
        <v>1075</v>
      </c>
      <c r="F1066" s="202" t="s">
        <v>2288</v>
      </c>
      <c r="G1066" s="4"/>
      <c r="H1066" s="4"/>
      <c r="I1066" s="4"/>
      <c r="J1066" s="4"/>
      <c r="M1066" s="4"/>
      <c r="N1066" s="4"/>
      <c r="Q1066" s="4"/>
      <c r="R1066" s="4"/>
      <c r="U1066" s="4"/>
      <c r="V1066" s="43"/>
      <c r="W1066" s="4"/>
      <c r="X1066" s="175"/>
      <c r="Y1066" s="749"/>
    </row>
    <row r="1067" spans="2:25">
      <c r="B1067" s="202" t="s">
        <v>1075</v>
      </c>
      <c r="E1067" s="202" t="s">
        <v>1075</v>
      </c>
      <c r="F1067" s="202" t="s">
        <v>2288</v>
      </c>
      <c r="G1067" s="4"/>
      <c r="H1067" s="4"/>
      <c r="I1067" s="4"/>
      <c r="J1067" s="4"/>
      <c r="M1067" s="4"/>
      <c r="N1067" s="4"/>
      <c r="Q1067" s="4"/>
      <c r="R1067" s="4"/>
      <c r="U1067" s="4"/>
      <c r="V1067" s="43"/>
      <c r="W1067" s="4"/>
      <c r="X1067" s="175"/>
      <c r="Y1067" s="749"/>
    </row>
    <row r="1068" spans="2:25">
      <c r="B1068" s="202" t="s">
        <v>1075</v>
      </c>
      <c r="E1068" s="202" t="s">
        <v>1075</v>
      </c>
      <c r="F1068" s="202" t="s">
        <v>2288</v>
      </c>
      <c r="G1068" s="4"/>
      <c r="H1068" s="4"/>
      <c r="I1068" s="4"/>
      <c r="J1068" s="4"/>
      <c r="M1068" s="4"/>
      <c r="N1068" s="4"/>
      <c r="Q1068" s="4"/>
      <c r="R1068" s="4"/>
      <c r="U1068" s="4"/>
      <c r="V1068" s="43"/>
      <c r="W1068" s="4"/>
      <c r="X1068" s="175"/>
      <c r="Y1068" s="749"/>
    </row>
    <row r="1069" spans="2:25">
      <c r="B1069" s="202" t="s">
        <v>1075</v>
      </c>
      <c r="E1069" s="202" t="s">
        <v>1075</v>
      </c>
      <c r="F1069" s="202" t="s">
        <v>2288</v>
      </c>
      <c r="G1069" s="4"/>
    </row>
    <row r="1070" spans="2:25">
      <c r="B1070" s="202" t="s">
        <v>1075</v>
      </c>
      <c r="E1070" s="202" t="s">
        <v>1075</v>
      </c>
      <c r="F1070" s="202" t="s">
        <v>2288</v>
      </c>
    </row>
    <row r="1071" spans="2:25">
      <c r="B1071" s="202" t="s">
        <v>1075</v>
      </c>
      <c r="E1071" s="202" t="s">
        <v>1075</v>
      </c>
      <c r="F1071" s="202" t="s">
        <v>2288</v>
      </c>
    </row>
    <row r="1072" spans="2:25">
      <c r="B1072" s="202" t="s">
        <v>1075</v>
      </c>
      <c r="E1072" s="202" t="s">
        <v>1075</v>
      </c>
      <c r="F1072" s="202" t="s">
        <v>2288</v>
      </c>
    </row>
    <row r="1073" spans="2:6">
      <c r="B1073" s="202" t="s">
        <v>1075</v>
      </c>
      <c r="E1073" s="202" t="s">
        <v>1075</v>
      </c>
      <c r="F1073" s="202" t="s">
        <v>2288</v>
      </c>
    </row>
    <row r="1074" spans="2:6">
      <c r="B1074" s="202" t="s">
        <v>1075</v>
      </c>
      <c r="E1074" s="202" t="s">
        <v>1075</v>
      </c>
      <c r="F1074" s="202" t="s">
        <v>2288</v>
      </c>
    </row>
    <row r="1075" spans="2:6">
      <c r="B1075" s="202" t="s">
        <v>1075</v>
      </c>
      <c r="E1075" s="202" t="s">
        <v>1075</v>
      </c>
      <c r="F1075" s="202" t="s">
        <v>2288</v>
      </c>
    </row>
    <row r="1076" spans="2:6">
      <c r="B1076" s="202" t="s">
        <v>1075</v>
      </c>
      <c r="E1076" s="202" t="s">
        <v>1075</v>
      </c>
      <c r="F1076" s="202" t="s">
        <v>2288</v>
      </c>
    </row>
    <row r="1077" spans="2:6">
      <c r="B1077" s="202" t="s">
        <v>1075</v>
      </c>
      <c r="E1077" s="202" t="s">
        <v>1075</v>
      </c>
      <c r="F1077" s="202" t="s">
        <v>2288</v>
      </c>
    </row>
    <row r="1078" spans="2:6">
      <c r="B1078" s="202" t="s">
        <v>1075</v>
      </c>
      <c r="E1078" s="202" t="s">
        <v>1075</v>
      </c>
      <c r="F1078" s="202" t="s">
        <v>2288</v>
      </c>
    </row>
    <row r="1079" spans="2:6">
      <c r="B1079" s="202" t="s">
        <v>1075</v>
      </c>
      <c r="E1079" s="202" t="s">
        <v>1075</v>
      </c>
      <c r="F1079" s="202" t="s">
        <v>2288</v>
      </c>
    </row>
    <row r="1080" spans="2:6">
      <c r="B1080" s="202" t="s">
        <v>1075</v>
      </c>
      <c r="E1080" s="202" t="s">
        <v>1075</v>
      </c>
      <c r="F1080" s="202" t="s">
        <v>2288</v>
      </c>
    </row>
    <row r="1081" spans="2:6">
      <c r="B1081" s="202" t="s">
        <v>1075</v>
      </c>
      <c r="E1081" s="202" t="s">
        <v>1075</v>
      </c>
      <c r="F1081" s="202" t="s">
        <v>2288</v>
      </c>
    </row>
    <row r="1082" spans="2:6">
      <c r="B1082" s="202" t="s">
        <v>1075</v>
      </c>
      <c r="E1082" s="202" t="s">
        <v>1075</v>
      </c>
      <c r="F1082" s="202" t="s">
        <v>2288</v>
      </c>
    </row>
    <row r="1083" spans="2:6">
      <c r="B1083" s="202" t="s">
        <v>1075</v>
      </c>
      <c r="E1083" s="202" t="s">
        <v>1075</v>
      </c>
      <c r="F1083" s="202" t="s">
        <v>2288</v>
      </c>
    </row>
    <row r="1084" spans="2:6">
      <c r="B1084" s="202" t="s">
        <v>1075</v>
      </c>
      <c r="E1084" s="202" t="s">
        <v>1075</v>
      </c>
      <c r="F1084" s="202" t="s">
        <v>2288</v>
      </c>
    </row>
    <row r="1085" spans="2:6">
      <c r="B1085" s="202" t="s">
        <v>1075</v>
      </c>
      <c r="E1085" s="202" t="s">
        <v>1075</v>
      </c>
      <c r="F1085" s="202" t="s">
        <v>2288</v>
      </c>
    </row>
    <row r="1086" spans="2:6">
      <c r="B1086" s="202" t="s">
        <v>1075</v>
      </c>
      <c r="E1086" s="202" t="s">
        <v>1075</v>
      </c>
      <c r="F1086" s="202" t="s">
        <v>2288</v>
      </c>
    </row>
    <row r="1087" spans="2:6">
      <c r="B1087" s="202" t="s">
        <v>1075</v>
      </c>
      <c r="E1087" s="202" t="s">
        <v>1075</v>
      </c>
      <c r="F1087" s="202" t="s">
        <v>2288</v>
      </c>
    </row>
    <row r="1088" spans="2:6">
      <c r="B1088" s="202" t="s">
        <v>1075</v>
      </c>
      <c r="E1088" s="202" t="s">
        <v>1075</v>
      </c>
      <c r="F1088" s="202" t="s">
        <v>2288</v>
      </c>
    </row>
    <row r="1089" spans="2:6">
      <c r="B1089" s="202" t="s">
        <v>1075</v>
      </c>
      <c r="E1089" s="202" t="s">
        <v>1075</v>
      </c>
      <c r="F1089" s="202" t="s">
        <v>2288</v>
      </c>
    </row>
    <row r="1090" spans="2:6">
      <c r="B1090" s="202" t="s">
        <v>1075</v>
      </c>
      <c r="E1090" s="202" t="s">
        <v>1075</v>
      </c>
      <c r="F1090" s="202" t="s">
        <v>2288</v>
      </c>
    </row>
    <row r="1091" spans="2:6">
      <c r="B1091" s="202" t="s">
        <v>1075</v>
      </c>
      <c r="E1091" s="202" t="s">
        <v>1075</v>
      </c>
      <c r="F1091" s="202" t="s">
        <v>2288</v>
      </c>
    </row>
    <row r="1092" spans="2:6">
      <c r="B1092" s="202" t="s">
        <v>1075</v>
      </c>
      <c r="E1092" s="202" t="s">
        <v>1075</v>
      </c>
      <c r="F1092" s="202" t="s">
        <v>2288</v>
      </c>
    </row>
    <row r="1093" spans="2:6">
      <c r="B1093" s="202" t="s">
        <v>1075</v>
      </c>
      <c r="E1093" s="202" t="s">
        <v>1075</v>
      </c>
      <c r="F1093" s="202" t="s">
        <v>2288</v>
      </c>
    </row>
    <row r="1094" spans="2:6">
      <c r="B1094" s="202" t="s">
        <v>1075</v>
      </c>
      <c r="E1094" s="202" t="s">
        <v>1075</v>
      </c>
      <c r="F1094" s="202" t="s">
        <v>2288</v>
      </c>
    </row>
    <row r="1095" spans="2:6">
      <c r="B1095" s="202" t="s">
        <v>1075</v>
      </c>
      <c r="E1095" s="202" t="s">
        <v>1075</v>
      </c>
      <c r="F1095" s="202" t="s">
        <v>2288</v>
      </c>
    </row>
    <row r="1096" spans="2:6">
      <c r="B1096" s="202" t="s">
        <v>1075</v>
      </c>
      <c r="E1096" s="202" t="s">
        <v>1075</v>
      </c>
      <c r="F1096" s="202" t="s">
        <v>2288</v>
      </c>
    </row>
    <row r="1097" spans="2:6">
      <c r="B1097" s="202" t="s">
        <v>1075</v>
      </c>
      <c r="E1097" s="202" t="s">
        <v>1075</v>
      </c>
      <c r="F1097" s="202" t="s">
        <v>2288</v>
      </c>
    </row>
    <row r="1098" spans="2:6">
      <c r="B1098" s="202" t="s">
        <v>1075</v>
      </c>
      <c r="E1098" s="202" t="s">
        <v>1075</v>
      </c>
      <c r="F1098" s="202" t="s">
        <v>2288</v>
      </c>
    </row>
    <row r="1099" spans="2:6">
      <c r="B1099" s="202" t="s">
        <v>1075</v>
      </c>
      <c r="E1099" s="202" t="s">
        <v>1075</v>
      </c>
      <c r="F1099" s="202" t="s">
        <v>2288</v>
      </c>
    </row>
    <row r="1100" spans="2:6">
      <c r="B1100" s="202" t="s">
        <v>1075</v>
      </c>
      <c r="E1100" s="202" t="s">
        <v>1075</v>
      </c>
      <c r="F1100" s="202" t="s">
        <v>2288</v>
      </c>
    </row>
    <row r="1101" spans="2:6">
      <c r="B1101" s="202" t="s">
        <v>1075</v>
      </c>
      <c r="E1101" s="202" t="s">
        <v>1075</v>
      </c>
      <c r="F1101" s="202" t="s">
        <v>2288</v>
      </c>
    </row>
    <row r="1102" spans="2:6">
      <c r="B1102" s="202" t="s">
        <v>1075</v>
      </c>
      <c r="E1102" s="202" t="s">
        <v>1075</v>
      </c>
      <c r="F1102" s="202" t="s">
        <v>2288</v>
      </c>
    </row>
    <row r="1103" spans="2:6">
      <c r="B1103" s="202" t="s">
        <v>1075</v>
      </c>
      <c r="E1103" s="202" t="s">
        <v>1075</v>
      </c>
      <c r="F1103" s="202" t="s">
        <v>2288</v>
      </c>
    </row>
    <row r="1104" spans="2:6">
      <c r="B1104" s="202" t="s">
        <v>1075</v>
      </c>
      <c r="E1104" s="202" t="s">
        <v>1075</v>
      </c>
      <c r="F1104" s="202" t="s">
        <v>2288</v>
      </c>
    </row>
    <row r="1105" spans="2:6">
      <c r="B1105" s="202" t="s">
        <v>1075</v>
      </c>
      <c r="E1105" s="202" t="s">
        <v>1075</v>
      </c>
      <c r="F1105" s="202" t="s">
        <v>2288</v>
      </c>
    </row>
    <row r="1106" spans="2:6">
      <c r="B1106" s="202" t="s">
        <v>1075</v>
      </c>
      <c r="E1106" s="202" t="s">
        <v>1075</v>
      </c>
      <c r="F1106" s="202" t="s">
        <v>2288</v>
      </c>
    </row>
    <row r="1107" spans="2:6">
      <c r="B1107" s="202" t="s">
        <v>1075</v>
      </c>
      <c r="E1107" s="202" t="s">
        <v>1075</v>
      </c>
      <c r="F1107" s="202" t="s">
        <v>2288</v>
      </c>
    </row>
    <row r="1108" spans="2:6">
      <c r="B1108" s="202" t="s">
        <v>1075</v>
      </c>
      <c r="E1108" s="202" t="s">
        <v>1075</v>
      </c>
      <c r="F1108" s="202" t="s">
        <v>2288</v>
      </c>
    </row>
    <row r="1109" spans="2:6">
      <c r="B1109" s="202" t="s">
        <v>1075</v>
      </c>
      <c r="E1109" s="202" t="s">
        <v>1075</v>
      </c>
      <c r="F1109" s="202" t="s">
        <v>2288</v>
      </c>
    </row>
    <row r="1110" spans="2:6">
      <c r="B1110" s="202" t="s">
        <v>1075</v>
      </c>
      <c r="E1110" s="202" t="s">
        <v>1075</v>
      </c>
      <c r="F1110" s="202" t="s">
        <v>2288</v>
      </c>
    </row>
    <row r="1111" spans="2:6">
      <c r="B1111" s="202" t="s">
        <v>1075</v>
      </c>
      <c r="E1111" s="202" t="s">
        <v>1075</v>
      </c>
      <c r="F1111" s="202" t="s">
        <v>2288</v>
      </c>
    </row>
    <row r="1112" spans="2:6">
      <c r="B1112" s="202" t="s">
        <v>1075</v>
      </c>
      <c r="E1112" s="202" t="s">
        <v>1075</v>
      </c>
      <c r="F1112" s="202" t="s">
        <v>2288</v>
      </c>
    </row>
    <row r="1113" spans="2:6">
      <c r="B1113" s="202" t="s">
        <v>1075</v>
      </c>
      <c r="E1113" s="202" t="s">
        <v>1075</v>
      </c>
      <c r="F1113" s="202" t="s">
        <v>2288</v>
      </c>
    </row>
    <row r="1114" spans="2:6">
      <c r="B1114" s="202" t="s">
        <v>1075</v>
      </c>
      <c r="E1114" s="202" t="s">
        <v>1075</v>
      </c>
      <c r="F1114" s="202" t="s">
        <v>2288</v>
      </c>
    </row>
    <row r="1115" spans="2:6">
      <c r="B1115" s="202" t="s">
        <v>1075</v>
      </c>
      <c r="E1115" s="202" t="s">
        <v>1075</v>
      </c>
      <c r="F1115" s="202" t="s">
        <v>2288</v>
      </c>
    </row>
    <row r="1116" spans="2:6">
      <c r="B1116" s="202" t="s">
        <v>1075</v>
      </c>
      <c r="E1116" s="202" t="s">
        <v>1075</v>
      </c>
      <c r="F1116" s="202" t="s">
        <v>2288</v>
      </c>
    </row>
    <row r="1117" spans="2:6">
      <c r="B1117" s="202" t="s">
        <v>1075</v>
      </c>
      <c r="E1117" s="202" t="s">
        <v>1075</v>
      </c>
      <c r="F1117" s="202" t="s">
        <v>2288</v>
      </c>
    </row>
    <row r="1118" spans="2:6">
      <c r="B1118" s="202" t="s">
        <v>1075</v>
      </c>
      <c r="E1118" s="202" t="s">
        <v>1075</v>
      </c>
      <c r="F1118" s="202" t="s">
        <v>2288</v>
      </c>
    </row>
    <row r="1119" spans="2:6">
      <c r="B1119" s="202" t="s">
        <v>1075</v>
      </c>
      <c r="E1119" s="202" t="s">
        <v>1075</v>
      </c>
      <c r="F1119" s="202" t="s">
        <v>2288</v>
      </c>
    </row>
    <row r="1120" spans="2:6">
      <c r="B1120" s="202" t="s">
        <v>1075</v>
      </c>
      <c r="E1120" s="202" t="s">
        <v>1075</v>
      </c>
      <c r="F1120" s="202" t="s">
        <v>2288</v>
      </c>
    </row>
    <row r="1121" spans="2:6">
      <c r="B1121" s="202" t="s">
        <v>1075</v>
      </c>
      <c r="E1121" s="202" t="s">
        <v>1075</v>
      </c>
      <c r="F1121" s="202" t="s">
        <v>2288</v>
      </c>
    </row>
    <row r="1122" spans="2:6">
      <c r="B1122" s="202" t="s">
        <v>1075</v>
      </c>
      <c r="E1122" s="202" t="s">
        <v>1075</v>
      </c>
      <c r="F1122" s="202" t="s">
        <v>2288</v>
      </c>
    </row>
    <row r="1123" spans="2:6">
      <c r="B1123" s="202" t="s">
        <v>1075</v>
      </c>
      <c r="E1123" s="202" t="s">
        <v>1075</v>
      </c>
      <c r="F1123" s="202" t="s">
        <v>2288</v>
      </c>
    </row>
    <row r="1124" spans="2:6">
      <c r="B1124" s="202" t="s">
        <v>1075</v>
      </c>
      <c r="E1124" s="202" t="s">
        <v>1075</v>
      </c>
      <c r="F1124" s="202" t="s">
        <v>2288</v>
      </c>
    </row>
    <row r="1125" spans="2:6">
      <c r="B1125" s="202" t="s">
        <v>1075</v>
      </c>
      <c r="E1125" s="202" t="s">
        <v>1075</v>
      </c>
      <c r="F1125" s="202" t="s">
        <v>2288</v>
      </c>
    </row>
    <row r="1126" spans="2:6">
      <c r="B1126" s="202" t="s">
        <v>1075</v>
      </c>
      <c r="E1126" s="202" t="s">
        <v>1075</v>
      </c>
      <c r="F1126" s="202" t="s">
        <v>2288</v>
      </c>
    </row>
    <row r="1127" spans="2:6">
      <c r="B1127" s="202" t="s">
        <v>1075</v>
      </c>
      <c r="E1127" s="202" t="s">
        <v>1075</v>
      </c>
      <c r="F1127" s="202" t="s">
        <v>2288</v>
      </c>
    </row>
    <row r="1128" spans="2:6">
      <c r="B1128" s="202" t="s">
        <v>1075</v>
      </c>
      <c r="E1128" s="202" t="s">
        <v>1075</v>
      </c>
      <c r="F1128" s="202" t="s">
        <v>2288</v>
      </c>
    </row>
    <row r="1129" spans="2:6">
      <c r="B1129" s="202" t="s">
        <v>1075</v>
      </c>
      <c r="E1129" s="202" t="s">
        <v>1075</v>
      </c>
      <c r="F1129" s="202" t="s">
        <v>2288</v>
      </c>
    </row>
    <row r="1130" spans="2:6">
      <c r="B1130" s="202" t="s">
        <v>1075</v>
      </c>
      <c r="E1130" s="202" t="s">
        <v>1075</v>
      </c>
      <c r="F1130" s="202" t="s">
        <v>2288</v>
      </c>
    </row>
    <row r="1131" spans="2:6">
      <c r="B1131" s="202" t="s">
        <v>1075</v>
      </c>
      <c r="E1131" s="202" t="s">
        <v>1075</v>
      </c>
      <c r="F1131" s="202" t="s">
        <v>2288</v>
      </c>
    </row>
    <row r="1132" spans="2:6">
      <c r="B1132" s="202" t="s">
        <v>1075</v>
      </c>
      <c r="E1132" s="202" t="s">
        <v>1075</v>
      </c>
      <c r="F1132" s="202" t="s">
        <v>2288</v>
      </c>
    </row>
    <row r="1133" spans="2:6">
      <c r="B1133" s="202" t="s">
        <v>1075</v>
      </c>
      <c r="E1133" s="202" t="s">
        <v>1075</v>
      </c>
      <c r="F1133" s="202" t="s">
        <v>2288</v>
      </c>
    </row>
    <row r="1134" spans="2:6">
      <c r="B1134" s="202" t="s">
        <v>1075</v>
      </c>
      <c r="E1134" s="202" t="s">
        <v>1075</v>
      </c>
      <c r="F1134" s="202" t="s">
        <v>2288</v>
      </c>
    </row>
    <row r="1135" spans="2:6">
      <c r="B1135" s="202" t="s">
        <v>1075</v>
      </c>
      <c r="E1135" s="202" t="s">
        <v>1075</v>
      </c>
      <c r="F1135" s="202" t="s">
        <v>2288</v>
      </c>
    </row>
    <row r="1136" spans="2:6">
      <c r="B1136" s="202" t="s">
        <v>1075</v>
      </c>
      <c r="E1136" s="202" t="s">
        <v>1075</v>
      </c>
      <c r="F1136" s="202" t="s">
        <v>2288</v>
      </c>
    </row>
    <row r="1137" spans="2:6">
      <c r="B1137" s="202" t="s">
        <v>1075</v>
      </c>
      <c r="E1137" s="202" t="s">
        <v>1075</v>
      </c>
      <c r="F1137" s="202" t="s">
        <v>2288</v>
      </c>
    </row>
    <row r="1138" spans="2:6">
      <c r="B1138" s="202" t="s">
        <v>1075</v>
      </c>
      <c r="E1138" s="202" t="s">
        <v>1075</v>
      </c>
      <c r="F1138" s="202" t="s">
        <v>2288</v>
      </c>
    </row>
    <row r="1139" spans="2:6">
      <c r="B1139" s="202" t="s">
        <v>1075</v>
      </c>
      <c r="E1139" s="202" t="s">
        <v>1075</v>
      </c>
      <c r="F1139" s="202" t="s">
        <v>2288</v>
      </c>
    </row>
    <row r="1140" spans="2:6">
      <c r="B1140" s="202" t="s">
        <v>1075</v>
      </c>
      <c r="E1140" s="202" t="s">
        <v>1075</v>
      </c>
      <c r="F1140" s="202" t="s">
        <v>2288</v>
      </c>
    </row>
    <row r="1141" spans="2:6">
      <c r="B1141" s="202" t="s">
        <v>1075</v>
      </c>
      <c r="E1141" s="202" t="s">
        <v>1075</v>
      </c>
      <c r="F1141" s="202" t="s">
        <v>2288</v>
      </c>
    </row>
    <row r="1142" spans="2:6">
      <c r="B1142" s="202" t="s">
        <v>1075</v>
      </c>
      <c r="E1142" s="202" t="s">
        <v>1075</v>
      </c>
      <c r="F1142" s="202" t="s">
        <v>2288</v>
      </c>
    </row>
    <row r="1143" spans="2:6">
      <c r="B1143" s="202" t="s">
        <v>1075</v>
      </c>
      <c r="E1143" s="202" t="s">
        <v>1075</v>
      </c>
      <c r="F1143" s="202" t="s">
        <v>2288</v>
      </c>
    </row>
    <row r="1144" spans="2:6">
      <c r="B1144" s="202" t="s">
        <v>1075</v>
      </c>
      <c r="E1144" s="202" t="s">
        <v>1075</v>
      </c>
      <c r="F1144" s="202" t="s">
        <v>2288</v>
      </c>
    </row>
    <row r="1145" spans="2:6">
      <c r="B1145" s="202" t="s">
        <v>1075</v>
      </c>
      <c r="E1145" s="202" t="s">
        <v>1075</v>
      </c>
      <c r="F1145" s="202" t="s">
        <v>2288</v>
      </c>
    </row>
    <row r="1146" spans="2:6">
      <c r="B1146" s="202" t="s">
        <v>1075</v>
      </c>
      <c r="E1146" s="202" t="s">
        <v>1075</v>
      </c>
      <c r="F1146" s="202" t="s">
        <v>2288</v>
      </c>
    </row>
    <row r="1147" spans="2:6">
      <c r="B1147" s="202" t="s">
        <v>1075</v>
      </c>
      <c r="E1147" s="202" t="s">
        <v>1075</v>
      </c>
      <c r="F1147" s="202" t="s">
        <v>2288</v>
      </c>
    </row>
    <row r="1148" spans="2:6">
      <c r="B1148" s="202" t="s">
        <v>1075</v>
      </c>
      <c r="E1148" s="202" t="s">
        <v>1075</v>
      </c>
      <c r="F1148" s="202" t="s">
        <v>2288</v>
      </c>
    </row>
    <row r="1149" spans="2:6">
      <c r="B1149" s="202" t="s">
        <v>1075</v>
      </c>
      <c r="E1149" s="202" t="s">
        <v>1075</v>
      </c>
      <c r="F1149" s="202" t="s">
        <v>2288</v>
      </c>
    </row>
    <row r="1150" spans="2:6">
      <c r="B1150" s="202" t="s">
        <v>1075</v>
      </c>
      <c r="E1150" s="202" t="s">
        <v>1075</v>
      </c>
      <c r="F1150" s="202" t="s">
        <v>2288</v>
      </c>
    </row>
    <row r="1151" spans="2:6">
      <c r="B1151" s="202" t="s">
        <v>1075</v>
      </c>
      <c r="E1151" s="202" t="s">
        <v>1075</v>
      </c>
      <c r="F1151" s="202" t="s">
        <v>2288</v>
      </c>
    </row>
    <row r="1152" spans="2:6">
      <c r="B1152" s="202" t="s">
        <v>1075</v>
      </c>
      <c r="E1152" s="202" t="s">
        <v>1075</v>
      </c>
      <c r="F1152" s="202" t="s">
        <v>2288</v>
      </c>
    </row>
    <row r="1153" spans="2:6">
      <c r="B1153" s="202" t="s">
        <v>1075</v>
      </c>
      <c r="E1153" s="202" t="s">
        <v>1075</v>
      </c>
      <c r="F1153" s="202" t="s">
        <v>2288</v>
      </c>
    </row>
    <row r="1154" spans="2:6">
      <c r="B1154" s="202" t="s">
        <v>1075</v>
      </c>
      <c r="E1154" s="202" t="s">
        <v>1075</v>
      </c>
      <c r="F1154" s="202" t="s">
        <v>2288</v>
      </c>
    </row>
    <row r="1155" spans="2:6">
      <c r="B1155" s="202" t="s">
        <v>1075</v>
      </c>
      <c r="E1155" s="202" t="s">
        <v>1075</v>
      </c>
      <c r="F1155" s="202" t="s">
        <v>2288</v>
      </c>
    </row>
    <row r="1156" spans="2:6">
      <c r="B1156" s="202" t="s">
        <v>1075</v>
      </c>
      <c r="E1156" s="202" t="s">
        <v>1075</v>
      </c>
      <c r="F1156" s="202" t="s">
        <v>2288</v>
      </c>
    </row>
    <row r="1157" spans="2:6">
      <c r="B1157" s="202" t="s">
        <v>1075</v>
      </c>
      <c r="E1157" s="202" t="s">
        <v>1075</v>
      </c>
      <c r="F1157" s="202" t="s">
        <v>2288</v>
      </c>
    </row>
    <row r="1158" spans="2:6">
      <c r="B1158" s="202" t="s">
        <v>1075</v>
      </c>
      <c r="E1158" s="202" t="s">
        <v>1075</v>
      </c>
      <c r="F1158" s="202" t="s">
        <v>2288</v>
      </c>
    </row>
    <row r="1159" spans="2:6">
      <c r="B1159" s="202" t="s">
        <v>1075</v>
      </c>
      <c r="E1159" s="202" t="s">
        <v>1075</v>
      </c>
      <c r="F1159" s="202" t="s">
        <v>2288</v>
      </c>
    </row>
    <row r="1160" spans="2:6">
      <c r="B1160" s="202" t="s">
        <v>1075</v>
      </c>
      <c r="E1160" s="202" t="s">
        <v>1075</v>
      </c>
      <c r="F1160" s="202" t="s">
        <v>2288</v>
      </c>
    </row>
    <row r="1161" spans="2:6">
      <c r="B1161" s="202" t="s">
        <v>1075</v>
      </c>
      <c r="E1161" s="202" t="s">
        <v>1075</v>
      </c>
      <c r="F1161" s="202" t="s">
        <v>2288</v>
      </c>
    </row>
    <row r="1162" spans="2:6">
      <c r="B1162" s="202" t="s">
        <v>1075</v>
      </c>
      <c r="E1162" s="202" t="s">
        <v>1075</v>
      </c>
      <c r="F1162" s="202" t="s">
        <v>2288</v>
      </c>
    </row>
    <row r="1163" spans="2:6">
      <c r="B1163" s="202" t="s">
        <v>1075</v>
      </c>
      <c r="E1163" s="202" t="s">
        <v>1075</v>
      </c>
      <c r="F1163" s="202" t="s">
        <v>2288</v>
      </c>
    </row>
    <row r="1164" spans="2:6">
      <c r="B1164" s="202" t="s">
        <v>1075</v>
      </c>
      <c r="E1164" s="202" t="s">
        <v>1075</v>
      </c>
      <c r="F1164" s="202" t="s">
        <v>2288</v>
      </c>
    </row>
    <row r="1165" spans="2:6">
      <c r="B1165" s="202" t="s">
        <v>1075</v>
      </c>
      <c r="E1165" s="202" t="s">
        <v>1075</v>
      </c>
      <c r="F1165" s="202" t="s">
        <v>2288</v>
      </c>
    </row>
    <row r="1166" spans="2:6">
      <c r="B1166" s="202" t="s">
        <v>1075</v>
      </c>
      <c r="E1166" s="202" t="s">
        <v>1075</v>
      </c>
      <c r="F1166" s="202" t="s">
        <v>2288</v>
      </c>
    </row>
    <row r="1167" spans="2:6">
      <c r="B1167" s="202" t="s">
        <v>1075</v>
      </c>
      <c r="E1167" s="202" t="s">
        <v>1075</v>
      </c>
      <c r="F1167" s="202" t="s">
        <v>2288</v>
      </c>
    </row>
    <row r="1168" spans="2:6">
      <c r="B1168" s="202" t="s">
        <v>1075</v>
      </c>
      <c r="E1168" s="202" t="s">
        <v>1075</v>
      </c>
      <c r="F1168" s="202" t="s">
        <v>2288</v>
      </c>
    </row>
    <row r="1169" spans="2:6">
      <c r="B1169" s="202" t="s">
        <v>1075</v>
      </c>
      <c r="E1169" s="202" t="s">
        <v>1075</v>
      </c>
      <c r="F1169" s="202" t="s">
        <v>2288</v>
      </c>
    </row>
    <row r="1170" spans="2:6">
      <c r="B1170" s="202" t="s">
        <v>1075</v>
      </c>
      <c r="E1170" s="202" t="s">
        <v>1075</v>
      </c>
      <c r="F1170" s="202" t="s">
        <v>2288</v>
      </c>
    </row>
    <row r="1171" spans="2:6">
      <c r="B1171" s="202" t="s">
        <v>1075</v>
      </c>
      <c r="E1171" s="202" t="s">
        <v>1075</v>
      </c>
      <c r="F1171" s="202" t="s">
        <v>2288</v>
      </c>
    </row>
    <row r="1172" spans="2:6">
      <c r="B1172" s="202" t="s">
        <v>1075</v>
      </c>
      <c r="E1172" s="202" t="s">
        <v>1075</v>
      </c>
      <c r="F1172" s="202" t="s">
        <v>2288</v>
      </c>
    </row>
    <row r="1173" spans="2:6">
      <c r="B1173" s="202" t="s">
        <v>1075</v>
      </c>
      <c r="E1173" s="202" t="s">
        <v>1075</v>
      </c>
      <c r="F1173" s="202" t="s">
        <v>2288</v>
      </c>
    </row>
    <row r="1174" spans="2:6">
      <c r="B1174" s="202" t="s">
        <v>1075</v>
      </c>
      <c r="E1174" s="202" t="s">
        <v>1075</v>
      </c>
      <c r="F1174" s="202" t="s">
        <v>2288</v>
      </c>
    </row>
    <row r="1175" spans="2:6">
      <c r="B1175" s="202" t="s">
        <v>1075</v>
      </c>
      <c r="E1175" s="202" t="s">
        <v>1075</v>
      </c>
      <c r="F1175" s="202" t="s">
        <v>2288</v>
      </c>
    </row>
    <row r="1176" spans="2:6">
      <c r="B1176" s="202" t="s">
        <v>1075</v>
      </c>
      <c r="E1176" s="202" t="s">
        <v>1075</v>
      </c>
      <c r="F1176" s="202" t="s">
        <v>2288</v>
      </c>
    </row>
    <row r="1177" spans="2:6">
      <c r="B1177" s="202" t="s">
        <v>1075</v>
      </c>
      <c r="E1177" s="202" t="s">
        <v>1075</v>
      </c>
      <c r="F1177" s="202" t="s">
        <v>2288</v>
      </c>
    </row>
    <row r="1178" spans="2:6">
      <c r="B1178" s="202" t="s">
        <v>1075</v>
      </c>
      <c r="E1178" s="202" t="s">
        <v>1075</v>
      </c>
      <c r="F1178" s="202" t="s">
        <v>2288</v>
      </c>
    </row>
    <row r="1179" spans="2:6">
      <c r="B1179" s="202" t="s">
        <v>1075</v>
      </c>
      <c r="E1179" s="202" t="s">
        <v>1075</v>
      </c>
      <c r="F1179" s="202" t="s">
        <v>2288</v>
      </c>
    </row>
    <row r="1180" spans="2:6">
      <c r="B1180" s="202" t="s">
        <v>1075</v>
      </c>
      <c r="E1180" s="202" t="s">
        <v>1075</v>
      </c>
      <c r="F1180" s="202" t="s">
        <v>2288</v>
      </c>
    </row>
    <row r="1181" spans="2:6">
      <c r="B1181" s="202" t="s">
        <v>1075</v>
      </c>
      <c r="E1181" s="202" t="s">
        <v>1075</v>
      </c>
      <c r="F1181" s="202" t="s">
        <v>2288</v>
      </c>
    </row>
    <row r="1182" spans="2:6">
      <c r="B1182" s="202" t="s">
        <v>1075</v>
      </c>
      <c r="E1182" s="202" t="s">
        <v>1075</v>
      </c>
      <c r="F1182" s="202" t="s">
        <v>2288</v>
      </c>
    </row>
    <row r="1183" spans="2:6">
      <c r="B1183" s="202" t="s">
        <v>1075</v>
      </c>
      <c r="E1183" s="202" t="s">
        <v>1075</v>
      </c>
      <c r="F1183" s="202" t="s">
        <v>2288</v>
      </c>
    </row>
    <row r="1184" spans="2:6">
      <c r="B1184" s="202" t="s">
        <v>1075</v>
      </c>
      <c r="E1184" s="202" t="s">
        <v>1075</v>
      </c>
      <c r="F1184" s="202" t="s">
        <v>2288</v>
      </c>
    </row>
    <row r="1185" spans="2:6">
      <c r="B1185" s="202" t="s">
        <v>1075</v>
      </c>
      <c r="E1185" s="202" t="s">
        <v>1075</v>
      </c>
      <c r="F1185" s="202" t="s">
        <v>2288</v>
      </c>
    </row>
    <row r="1186" spans="2:6">
      <c r="B1186" s="202" t="s">
        <v>1075</v>
      </c>
      <c r="E1186" s="202" t="s">
        <v>1075</v>
      </c>
      <c r="F1186" s="202" t="s">
        <v>2288</v>
      </c>
    </row>
    <row r="1187" spans="2:6">
      <c r="B1187" s="202" t="s">
        <v>1075</v>
      </c>
      <c r="E1187" s="202" t="s">
        <v>1075</v>
      </c>
      <c r="F1187" s="202" t="s">
        <v>2288</v>
      </c>
    </row>
    <row r="1188" spans="2:6">
      <c r="B1188" s="202" t="s">
        <v>1075</v>
      </c>
      <c r="E1188" s="202" t="s">
        <v>1075</v>
      </c>
      <c r="F1188" s="202" t="s">
        <v>2288</v>
      </c>
    </row>
    <row r="1189" spans="2:6">
      <c r="B1189" s="202" t="s">
        <v>1075</v>
      </c>
      <c r="E1189" s="202" t="s">
        <v>1075</v>
      </c>
      <c r="F1189" s="202" t="s">
        <v>2288</v>
      </c>
    </row>
    <row r="1190" spans="2:6">
      <c r="B1190" s="202" t="s">
        <v>1075</v>
      </c>
      <c r="E1190" s="202" t="s">
        <v>1075</v>
      </c>
      <c r="F1190" s="202" t="s">
        <v>2288</v>
      </c>
    </row>
    <row r="1191" spans="2:6">
      <c r="B1191" s="202" t="s">
        <v>1075</v>
      </c>
      <c r="E1191" s="202" t="s">
        <v>1075</v>
      </c>
      <c r="F1191" s="202" t="s">
        <v>2288</v>
      </c>
    </row>
    <row r="1192" spans="2:6">
      <c r="B1192" s="202" t="s">
        <v>1075</v>
      </c>
      <c r="E1192" s="202" t="s">
        <v>1075</v>
      </c>
      <c r="F1192" s="202" t="s">
        <v>2288</v>
      </c>
    </row>
    <row r="1193" spans="2:6">
      <c r="B1193" s="202" t="s">
        <v>1075</v>
      </c>
      <c r="E1193" s="202" t="s">
        <v>1075</v>
      </c>
      <c r="F1193" s="202" t="s">
        <v>2288</v>
      </c>
    </row>
    <row r="1194" spans="2:6">
      <c r="B1194" s="202" t="s">
        <v>1075</v>
      </c>
      <c r="E1194" s="202" t="s">
        <v>1075</v>
      </c>
      <c r="F1194" s="202" t="s">
        <v>2288</v>
      </c>
    </row>
    <row r="1195" spans="2:6">
      <c r="B1195" s="202" t="s">
        <v>1075</v>
      </c>
      <c r="E1195" s="202" t="s">
        <v>1075</v>
      </c>
      <c r="F1195" s="202" t="s">
        <v>2288</v>
      </c>
    </row>
    <row r="1196" spans="2:6">
      <c r="B1196" s="202" t="s">
        <v>1075</v>
      </c>
      <c r="E1196" s="202" t="s">
        <v>1075</v>
      </c>
      <c r="F1196" s="202" t="s">
        <v>2288</v>
      </c>
    </row>
    <row r="1197" spans="2:6">
      <c r="B1197" s="202" t="s">
        <v>1075</v>
      </c>
      <c r="E1197" s="202" t="s">
        <v>1075</v>
      </c>
      <c r="F1197" s="202" t="s">
        <v>2288</v>
      </c>
    </row>
    <row r="1198" spans="2:6">
      <c r="B1198" s="202" t="s">
        <v>1075</v>
      </c>
      <c r="E1198" s="202" t="s">
        <v>1075</v>
      </c>
      <c r="F1198" s="202" t="s">
        <v>2288</v>
      </c>
    </row>
    <row r="1199" spans="2:6">
      <c r="B1199" s="202" t="s">
        <v>1075</v>
      </c>
      <c r="E1199" s="202" t="s">
        <v>1075</v>
      </c>
      <c r="F1199" s="202" t="s">
        <v>2288</v>
      </c>
    </row>
    <row r="1200" spans="2:6">
      <c r="B1200" s="202" t="s">
        <v>1075</v>
      </c>
      <c r="E1200" s="202" t="s">
        <v>1075</v>
      </c>
      <c r="F1200" s="202" t="s">
        <v>2288</v>
      </c>
    </row>
    <row r="1201" spans="2:6">
      <c r="B1201" s="202" t="s">
        <v>1075</v>
      </c>
      <c r="E1201" s="202" t="s">
        <v>1075</v>
      </c>
      <c r="F1201" s="202" t="s">
        <v>2288</v>
      </c>
    </row>
    <row r="1202" spans="2:6">
      <c r="B1202" s="202" t="s">
        <v>1075</v>
      </c>
      <c r="E1202" s="202" t="s">
        <v>1075</v>
      </c>
      <c r="F1202" s="202" t="s">
        <v>2288</v>
      </c>
    </row>
    <row r="1203" spans="2:6">
      <c r="B1203" s="202" t="s">
        <v>1075</v>
      </c>
      <c r="E1203" s="202" t="s">
        <v>1075</v>
      </c>
      <c r="F1203" s="202" t="s">
        <v>2288</v>
      </c>
    </row>
    <row r="1204" spans="2:6">
      <c r="B1204" s="202" t="s">
        <v>1075</v>
      </c>
      <c r="E1204" s="202" t="s">
        <v>1075</v>
      </c>
      <c r="F1204" s="202" t="s">
        <v>2288</v>
      </c>
    </row>
    <row r="1205" spans="2:6">
      <c r="B1205" s="202" t="s">
        <v>1075</v>
      </c>
      <c r="E1205" s="202" t="s">
        <v>1075</v>
      </c>
      <c r="F1205" s="202" t="s">
        <v>2288</v>
      </c>
    </row>
    <row r="1206" spans="2:6">
      <c r="B1206" s="202" t="s">
        <v>1075</v>
      </c>
      <c r="E1206" s="202" t="s">
        <v>1075</v>
      </c>
      <c r="F1206" s="202" t="s">
        <v>2288</v>
      </c>
    </row>
    <row r="1207" spans="2:6">
      <c r="B1207" s="202" t="s">
        <v>1075</v>
      </c>
      <c r="E1207" s="202" t="s">
        <v>1075</v>
      </c>
      <c r="F1207" s="202" t="s">
        <v>2288</v>
      </c>
    </row>
    <row r="1208" spans="2:6">
      <c r="B1208" s="202" t="s">
        <v>1075</v>
      </c>
      <c r="E1208" s="202" t="s">
        <v>1075</v>
      </c>
      <c r="F1208" s="202" t="s">
        <v>2288</v>
      </c>
    </row>
    <row r="1209" spans="2:6">
      <c r="B1209" s="202" t="s">
        <v>1075</v>
      </c>
      <c r="E1209" s="202" t="s">
        <v>1075</v>
      </c>
      <c r="F1209" s="202" t="s">
        <v>2288</v>
      </c>
    </row>
    <row r="1210" spans="2:6">
      <c r="B1210" s="202" t="s">
        <v>1075</v>
      </c>
      <c r="E1210" s="202" t="s">
        <v>1075</v>
      </c>
      <c r="F1210" s="202" t="s">
        <v>2288</v>
      </c>
    </row>
    <row r="1211" spans="2:6">
      <c r="B1211" s="202" t="s">
        <v>1075</v>
      </c>
      <c r="E1211" s="202" t="s">
        <v>1075</v>
      </c>
      <c r="F1211" s="202" t="s">
        <v>2288</v>
      </c>
    </row>
    <row r="1212" spans="2:6">
      <c r="B1212" s="202" t="s">
        <v>1075</v>
      </c>
      <c r="E1212" s="202" t="s">
        <v>1075</v>
      </c>
      <c r="F1212" s="202" t="s">
        <v>2288</v>
      </c>
    </row>
    <row r="1213" spans="2:6">
      <c r="B1213" s="202" t="s">
        <v>1075</v>
      </c>
      <c r="E1213" s="202" t="s">
        <v>1075</v>
      </c>
      <c r="F1213" s="202" t="s">
        <v>2288</v>
      </c>
    </row>
    <row r="1214" spans="2:6">
      <c r="B1214" s="202" t="s">
        <v>1075</v>
      </c>
      <c r="E1214" s="202" t="s">
        <v>1075</v>
      </c>
      <c r="F1214" s="202" t="s">
        <v>2288</v>
      </c>
    </row>
    <row r="1215" spans="2:6">
      <c r="B1215" s="202" t="s">
        <v>1075</v>
      </c>
      <c r="E1215" s="202" t="s">
        <v>1075</v>
      </c>
      <c r="F1215" s="202" t="s">
        <v>2288</v>
      </c>
    </row>
    <row r="1216" spans="2:6">
      <c r="B1216" s="202" t="s">
        <v>1075</v>
      </c>
      <c r="E1216" s="202" t="s">
        <v>1075</v>
      </c>
      <c r="F1216" s="202" t="s">
        <v>2288</v>
      </c>
    </row>
    <row r="1217" spans="2:6">
      <c r="B1217" s="202" t="s">
        <v>1075</v>
      </c>
      <c r="E1217" s="202" t="s">
        <v>1075</v>
      </c>
      <c r="F1217" s="202" t="s">
        <v>2288</v>
      </c>
    </row>
    <row r="1218" spans="2:6">
      <c r="B1218" s="202" t="s">
        <v>1075</v>
      </c>
      <c r="E1218" s="202" t="s">
        <v>1075</v>
      </c>
      <c r="F1218" s="202" t="s">
        <v>2288</v>
      </c>
    </row>
    <row r="1219" spans="2:6">
      <c r="B1219" s="202" t="s">
        <v>1075</v>
      </c>
      <c r="E1219" s="202" t="s">
        <v>1075</v>
      </c>
      <c r="F1219" s="202" t="s">
        <v>2288</v>
      </c>
    </row>
    <row r="1220" spans="2:6">
      <c r="B1220" s="202" t="s">
        <v>1075</v>
      </c>
      <c r="E1220" s="202" t="s">
        <v>1075</v>
      </c>
      <c r="F1220" s="202" t="s">
        <v>2288</v>
      </c>
    </row>
    <row r="1221" spans="2:6">
      <c r="B1221" s="202" t="s">
        <v>1075</v>
      </c>
      <c r="E1221" s="202" t="s">
        <v>1075</v>
      </c>
      <c r="F1221" s="202" t="s">
        <v>2288</v>
      </c>
    </row>
    <row r="1222" spans="2:6">
      <c r="B1222" s="202" t="s">
        <v>1075</v>
      </c>
      <c r="E1222" s="202" t="s">
        <v>1075</v>
      </c>
      <c r="F1222" s="202" t="s">
        <v>2288</v>
      </c>
    </row>
    <row r="1223" spans="2:6">
      <c r="B1223" s="202" t="s">
        <v>1075</v>
      </c>
      <c r="E1223" s="202" t="s">
        <v>1075</v>
      </c>
      <c r="F1223" s="202" t="s">
        <v>2288</v>
      </c>
    </row>
    <row r="1224" spans="2:6">
      <c r="B1224" s="202" t="s">
        <v>1075</v>
      </c>
      <c r="E1224" s="202" t="s">
        <v>1075</v>
      </c>
      <c r="F1224" s="202" t="s">
        <v>2288</v>
      </c>
    </row>
    <row r="1225" spans="2:6">
      <c r="B1225" s="202" t="s">
        <v>1075</v>
      </c>
      <c r="E1225" s="202" t="s">
        <v>1075</v>
      </c>
      <c r="F1225" s="202" t="s">
        <v>2288</v>
      </c>
    </row>
    <row r="1226" spans="2:6">
      <c r="B1226" s="202" t="s">
        <v>1075</v>
      </c>
      <c r="E1226" s="202" t="s">
        <v>1075</v>
      </c>
      <c r="F1226" s="202" t="s">
        <v>2288</v>
      </c>
    </row>
    <row r="1227" spans="2:6">
      <c r="B1227" s="202" t="s">
        <v>1075</v>
      </c>
      <c r="E1227" s="202" t="s">
        <v>1075</v>
      </c>
      <c r="F1227" s="202" t="s">
        <v>2288</v>
      </c>
    </row>
    <row r="1228" spans="2:6">
      <c r="B1228" s="202" t="s">
        <v>1075</v>
      </c>
      <c r="E1228" s="202" t="s">
        <v>1075</v>
      </c>
      <c r="F1228" s="202" t="s">
        <v>2288</v>
      </c>
    </row>
    <row r="1229" spans="2:6">
      <c r="B1229" s="202" t="s">
        <v>1075</v>
      </c>
      <c r="E1229" s="202" t="s">
        <v>1075</v>
      </c>
      <c r="F1229" s="202" t="s">
        <v>2288</v>
      </c>
    </row>
    <row r="1230" spans="2:6">
      <c r="B1230" s="202" t="s">
        <v>1075</v>
      </c>
      <c r="E1230" s="202" t="s">
        <v>1075</v>
      </c>
      <c r="F1230" s="202" t="s">
        <v>2288</v>
      </c>
    </row>
    <row r="1231" spans="2:6">
      <c r="B1231" s="202" t="s">
        <v>1075</v>
      </c>
      <c r="E1231" s="202" t="s">
        <v>1075</v>
      </c>
      <c r="F1231" s="202" t="s">
        <v>2288</v>
      </c>
    </row>
    <row r="1232" spans="2:6">
      <c r="B1232" s="202" t="s">
        <v>1075</v>
      </c>
      <c r="E1232" s="202" t="s">
        <v>1075</v>
      </c>
      <c r="F1232" s="202" t="s">
        <v>2288</v>
      </c>
    </row>
    <row r="1233" spans="2:6">
      <c r="B1233" s="202" t="s">
        <v>1075</v>
      </c>
      <c r="E1233" s="202" t="s">
        <v>1075</v>
      </c>
      <c r="F1233" s="202" t="s">
        <v>2288</v>
      </c>
    </row>
    <row r="1234" spans="2:6">
      <c r="B1234" s="202" t="s">
        <v>1075</v>
      </c>
      <c r="E1234" s="202" t="s">
        <v>1075</v>
      </c>
      <c r="F1234" s="202" t="s">
        <v>2288</v>
      </c>
    </row>
    <row r="1235" spans="2:6">
      <c r="B1235" s="202" t="s">
        <v>1075</v>
      </c>
      <c r="E1235" s="202" t="s">
        <v>1075</v>
      </c>
      <c r="F1235" s="202" t="s">
        <v>2288</v>
      </c>
    </row>
    <row r="1236" spans="2:6">
      <c r="B1236" s="202" t="s">
        <v>1075</v>
      </c>
      <c r="E1236" s="202" t="s">
        <v>1075</v>
      </c>
      <c r="F1236" s="202" t="s">
        <v>2288</v>
      </c>
    </row>
    <row r="1237" spans="2:6">
      <c r="B1237" s="202" t="s">
        <v>1075</v>
      </c>
      <c r="E1237" s="202" t="s">
        <v>1075</v>
      </c>
      <c r="F1237" s="202" t="s">
        <v>2288</v>
      </c>
    </row>
    <row r="1238" spans="2:6">
      <c r="B1238" s="202" t="s">
        <v>1075</v>
      </c>
      <c r="E1238" s="202" t="s">
        <v>1075</v>
      </c>
      <c r="F1238" s="202" t="s">
        <v>2288</v>
      </c>
    </row>
    <row r="1239" spans="2:6">
      <c r="B1239" s="202" t="s">
        <v>1075</v>
      </c>
      <c r="E1239" s="202" t="s">
        <v>1075</v>
      </c>
      <c r="F1239" s="202" t="s">
        <v>2288</v>
      </c>
    </row>
    <row r="1240" spans="2:6">
      <c r="B1240" s="202" t="s">
        <v>1075</v>
      </c>
      <c r="E1240" s="202" t="s">
        <v>1075</v>
      </c>
      <c r="F1240" s="202" t="s">
        <v>2288</v>
      </c>
    </row>
    <row r="1241" spans="2:6">
      <c r="B1241" s="202" t="s">
        <v>1075</v>
      </c>
      <c r="E1241" s="202" t="s">
        <v>1075</v>
      </c>
      <c r="F1241" s="202" t="s">
        <v>2288</v>
      </c>
    </row>
    <row r="1242" spans="2:6">
      <c r="B1242" s="202" t="s">
        <v>1075</v>
      </c>
      <c r="E1242" s="202" t="s">
        <v>1075</v>
      </c>
      <c r="F1242" s="202" t="s">
        <v>2288</v>
      </c>
    </row>
    <row r="1243" spans="2:6">
      <c r="B1243" s="202" t="s">
        <v>1075</v>
      </c>
      <c r="E1243" s="202" t="s">
        <v>1075</v>
      </c>
      <c r="F1243" s="202" t="s">
        <v>2288</v>
      </c>
    </row>
    <row r="1244" spans="2:6">
      <c r="B1244" s="202" t="s">
        <v>1075</v>
      </c>
      <c r="E1244" s="202" t="s">
        <v>1075</v>
      </c>
      <c r="F1244" s="202" t="s">
        <v>2288</v>
      </c>
    </row>
    <row r="1245" spans="2:6">
      <c r="B1245" s="202" t="s">
        <v>1075</v>
      </c>
      <c r="E1245" s="202" t="s">
        <v>1075</v>
      </c>
      <c r="F1245" s="202" t="s">
        <v>2288</v>
      </c>
    </row>
    <row r="1246" spans="2:6">
      <c r="B1246" s="202" t="s">
        <v>1075</v>
      </c>
      <c r="E1246" s="202" t="s">
        <v>1075</v>
      </c>
      <c r="F1246" s="202" t="s">
        <v>2288</v>
      </c>
    </row>
    <row r="1247" spans="2:6">
      <c r="B1247" s="202" t="s">
        <v>1075</v>
      </c>
      <c r="E1247" s="202" t="s">
        <v>1075</v>
      </c>
      <c r="F1247" s="202" t="s">
        <v>2288</v>
      </c>
    </row>
    <row r="1248" spans="2:6">
      <c r="B1248" s="202" t="s">
        <v>1075</v>
      </c>
      <c r="E1248" s="202" t="s">
        <v>1075</v>
      </c>
      <c r="F1248" s="202" t="s">
        <v>2288</v>
      </c>
    </row>
    <row r="1249" spans="2:6">
      <c r="B1249" s="202" t="s">
        <v>1075</v>
      </c>
      <c r="E1249" s="202" t="s">
        <v>1075</v>
      </c>
      <c r="F1249" s="202" t="s">
        <v>2288</v>
      </c>
    </row>
    <row r="1250" spans="2:6">
      <c r="B1250" s="202" t="s">
        <v>1075</v>
      </c>
      <c r="E1250" s="202" t="s">
        <v>1075</v>
      </c>
      <c r="F1250" s="202" t="s">
        <v>2288</v>
      </c>
    </row>
    <row r="1251" spans="2:6">
      <c r="B1251" s="202" t="s">
        <v>1075</v>
      </c>
      <c r="E1251" s="202" t="s">
        <v>1075</v>
      </c>
      <c r="F1251" s="202" t="s">
        <v>2288</v>
      </c>
    </row>
    <row r="1252" spans="2:6">
      <c r="B1252" s="202" t="s">
        <v>1075</v>
      </c>
      <c r="E1252" s="202" t="s">
        <v>1075</v>
      </c>
      <c r="F1252" s="202" t="s">
        <v>2288</v>
      </c>
    </row>
    <row r="1253" spans="2:6">
      <c r="B1253" s="202" t="s">
        <v>1075</v>
      </c>
      <c r="E1253" s="202" t="s">
        <v>1075</v>
      </c>
      <c r="F1253" s="202" t="s">
        <v>2288</v>
      </c>
    </row>
    <row r="1254" spans="2:6">
      <c r="B1254" s="202" t="s">
        <v>1075</v>
      </c>
      <c r="E1254" s="202" t="s">
        <v>1075</v>
      </c>
      <c r="F1254" s="202" t="s">
        <v>2288</v>
      </c>
    </row>
    <row r="1255" spans="2:6">
      <c r="B1255" s="202" t="s">
        <v>1075</v>
      </c>
      <c r="E1255" s="202" t="s">
        <v>1075</v>
      </c>
      <c r="F1255" s="202" t="s">
        <v>2288</v>
      </c>
    </row>
    <row r="1256" spans="2:6">
      <c r="B1256" s="202" t="s">
        <v>1075</v>
      </c>
      <c r="E1256" s="202" t="s">
        <v>1075</v>
      </c>
      <c r="F1256" s="202" t="s">
        <v>2288</v>
      </c>
    </row>
    <row r="1257" spans="2:6">
      <c r="B1257" s="202" t="s">
        <v>1075</v>
      </c>
      <c r="E1257" s="202" t="s">
        <v>1075</v>
      </c>
      <c r="F1257" s="202" t="s">
        <v>2288</v>
      </c>
    </row>
    <row r="1258" spans="2:6">
      <c r="B1258" s="202" t="s">
        <v>1075</v>
      </c>
      <c r="E1258" s="202" t="s">
        <v>1075</v>
      </c>
      <c r="F1258" s="202" t="s">
        <v>2288</v>
      </c>
    </row>
    <row r="1259" spans="2:6">
      <c r="B1259" s="202" t="s">
        <v>1075</v>
      </c>
      <c r="E1259" s="202" t="s">
        <v>1075</v>
      </c>
      <c r="F1259" s="202" t="s">
        <v>2288</v>
      </c>
    </row>
    <row r="1260" spans="2:6">
      <c r="B1260" s="202" t="s">
        <v>1075</v>
      </c>
      <c r="E1260" s="202" t="s">
        <v>1075</v>
      </c>
      <c r="F1260" s="202" t="s">
        <v>2288</v>
      </c>
    </row>
    <row r="1261" spans="2:6">
      <c r="B1261" s="202" t="s">
        <v>1075</v>
      </c>
      <c r="E1261" s="202" t="s">
        <v>1075</v>
      </c>
      <c r="F1261" s="202" t="s">
        <v>2288</v>
      </c>
    </row>
    <row r="1262" spans="2:6">
      <c r="B1262" s="202" t="s">
        <v>1075</v>
      </c>
      <c r="E1262" s="202" t="s">
        <v>1075</v>
      </c>
      <c r="F1262" s="202" t="s">
        <v>2288</v>
      </c>
    </row>
    <row r="1263" spans="2:6">
      <c r="B1263" s="202" t="s">
        <v>1075</v>
      </c>
      <c r="E1263" s="202" t="s">
        <v>1075</v>
      </c>
      <c r="F1263" s="202" t="s">
        <v>2288</v>
      </c>
    </row>
    <row r="1264" spans="2:6">
      <c r="B1264" s="202" t="s">
        <v>1075</v>
      </c>
      <c r="E1264" s="202" t="s">
        <v>1075</v>
      </c>
      <c r="F1264" s="202" t="s">
        <v>2288</v>
      </c>
    </row>
    <row r="1265" spans="2:6">
      <c r="B1265" s="202" t="s">
        <v>1075</v>
      </c>
      <c r="E1265" s="202" t="s">
        <v>1075</v>
      </c>
      <c r="F1265" s="202" t="s">
        <v>2288</v>
      </c>
    </row>
    <row r="1266" spans="2:6">
      <c r="B1266" s="202" t="s">
        <v>1075</v>
      </c>
      <c r="E1266" s="202" t="s">
        <v>1075</v>
      </c>
      <c r="F1266" s="202" t="s">
        <v>2288</v>
      </c>
    </row>
    <row r="1267" spans="2:6">
      <c r="B1267" s="202" t="s">
        <v>1075</v>
      </c>
      <c r="E1267" s="202" t="s">
        <v>1075</v>
      </c>
      <c r="F1267" s="202" t="s">
        <v>2288</v>
      </c>
    </row>
    <row r="1268" spans="2:6">
      <c r="B1268" s="202" t="s">
        <v>1075</v>
      </c>
      <c r="E1268" s="202" t="s">
        <v>1075</v>
      </c>
      <c r="F1268" s="202" t="s">
        <v>2288</v>
      </c>
    </row>
    <row r="1269" spans="2:6">
      <c r="B1269" s="202" t="s">
        <v>1075</v>
      </c>
      <c r="E1269" s="202" t="s">
        <v>1075</v>
      </c>
      <c r="F1269" s="202" t="s">
        <v>2288</v>
      </c>
    </row>
    <row r="1270" spans="2:6">
      <c r="B1270" s="202" t="s">
        <v>1075</v>
      </c>
      <c r="E1270" s="202" t="s">
        <v>1075</v>
      </c>
      <c r="F1270" s="202" t="s">
        <v>2288</v>
      </c>
    </row>
    <row r="1271" spans="2:6">
      <c r="B1271" s="202" t="s">
        <v>1075</v>
      </c>
      <c r="E1271" s="202" t="s">
        <v>1075</v>
      </c>
      <c r="F1271" s="202" t="s">
        <v>2288</v>
      </c>
    </row>
    <row r="1272" spans="2:6">
      <c r="B1272" s="202" t="s">
        <v>1075</v>
      </c>
      <c r="E1272" s="202" t="s">
        <v>1075</v>
      </c>
      <c r="F1272" s="202" t="s">
        <v>2288</v>
      </c>
    </row>
    <row r="1273" spans="2:6">
      <c r="B1273" s="202" t="s">
        <v>1075</v>
      </c>
      <c r="E1273" s="202" t="s">
        <v>1075</v>
      </c>
      <c r="F1273" s="202" t="s">
        <v>2288</v>
      </c>
    </row>
    <row r="1274" spans="2:6">
      <c r="B1274" s="202" t="s">
        <v>1075</v>
      </c>
      <c r="E1274" s="202" t="s">
        <v>1075</v>
      </c>
      <c r="F1274" s="202" t="s">
        <v>2288</v>
      </c>
    </row>
    <row r="1275" spans="2:6">
      <c r="B1275" s="202" t="s">
        <v>1075</v>
      </c>
      <c r="E1275" s="202" t="s">
        <v>1075</v>
      </c>
      <c r="F1275" s="202" t="s">
        <v>2288</v>
      </c>
    </row>
    <row r="1276" spans="2:6">
      <c r="B1276" s="202" t="s">
        <v>1075</v>
      </c>
      <c r="E1276" s="202" t="s">
        <v>1075</v>
      </c>
      <c r="F1276" s="202" t="s">
        <v>2288</v>
      </c>
    </row>
    <row r="1277" spans="2:6">
      <c r="B1277" s="202" t="s">
        <v>1075</v>
      </c>
      <c r="E1277" s="202" t="s">
        <v>1075</v>
      </c>
      <c r="F1277" s="202" t="s">
        <v>2288</v>
      </c>
    </row>
    <row r="1278" spans="2:6">
      <c r="B1278" s="202" t="s">
        <v>1075</v>
      </c>
      <c r="E1278" s="202" t="s">
        <v>1075</v>
      </c>
      <c r="F1278" s="202" t="s">
        <v>2288</v>
      </c>
    </row>
    <row r="1279" spans="2:6">
      <c r="B1279" s="202" t="s">
        <v>1075</v>
      </c>
      <c r="E1279" s="202" t="s">
        <v>1075</v>
      </c>
      <c r="F1279" s="202" t="s">
        <v>2288</v>
      </c>
    </row>
    <row r="1280" spans="2:6">
      <c r="B1280" s="202" t="s">
        <v>1075</v>
      </c>
      <c r="E1280" s="202" t="s">
        <v>1075</v>
      </c>
      <c r="F1280" s="202" t="s">
        <v>2288</v>
      </c>
    </row>
    <row r="1281" spans="2:6">
      <c r="B1281" s="202" t="s">
        <v>1075</v>
      </c>
      <c r="E1281" s="202" t="s">
        <v>1075</v>
      </c>
      <c r="F1281" s="202" t="s">
        <v>2288</v>
      </c>
    </row>
    <row r="1282" spans="2:6">
      <c r="B1282" s="202" t="s">
        <v>1075</v>
      </c>
      <c r="E1282" s="202" t="s">
        <v>1075</v>
      </c>
      <c r="F1282" s="202" t="s">
        <v>2288</v>
      </c>
    </row>
    <row r="1283" spans="2:6">
      <c r="B1283" s="202" t="s">
        <v>1075</v>
      </c>
      <c r="E1283" s="202" t="s">
        <v>1075</v>
      </c>
      <c r="F1283" s="202" t="s">
        <v>2288</v>
      </c>
    </row>
    <row r="1284" spans="2:6">
      <c r="B1284" s="202" t="s">
        <v>1075</v>
      </c>
      <c r="E1284" s="202" t="s">
        <v>1075</v>
      </c>
      <c r="F1284" s="202" t="s">
        <v>2288</v>
      </c>
    </row>
    <row r="1285" spans="2:6">
      <c r="B1285" s="202" t="s">
        <v>1075</v>
      </c>
      <c r="E1285" s="202" t="s">
        <v>1075</v>
      </c>
      <c r="F1285" s="202" t="s">
        <v>2288</v>
      </c>
    </row>
    <row r="1286" spans="2:6">
      <c r="B1286" s="202" t="s">
        <v>1075</v>
      </c>
      <c r="E1286" s="202" t="s">
        <v>1075</v>
      </c>
      <c r="F1286" s="202" t="s">
        <v>2288</v>
      </c>
    </row>
    <row r="1287" spans="2:6">
      <c r="B1287" s="202" t="s">
        <v>1075</v>
      </c>
      <c r="E1287" s="202" t="s">
        <v>1075</v>
      </c>
      <c r="F1287" s="202" t="s">
        <v>2288</v>
      </c>
    </row>
    <row r="1288" spans="2:6">
      <c r="B1288" s="202" t="s">
        <v>1075</v>
      </c>
      <c r="E1288" s="202" t="s">
        <v>1075</v>
      </c>
      <c r="F1288" s="202" t="s">
        <v>2288</v>
      </c>
    </row>
    <row r="1289" spans="2:6">
      <c r="B1289" s="202" t="s">
        <v>1075</v>
      </c>
      <c r="E1289" s="202" t="s">
        <v>1075</v>
      </c>
      <c r="F1289" s="202" t="s">
        <v>2288</v>
      </c>
    </row>
    <row r="1290" spans="2:6">
      <c r="B1290" s="202" t="s">
        <v>1075</v>
      </c>
      <c r="E1290" s="202" t="s">
        <v>1075</v>
      </c>
      <c r="F1290" s="202" t="s">
        <v>2288</v>
      </c>
    </row>
    <row r="1291" spans="2:6">
      <c r="B1291" s="202" t="s">
        <v>1075</v>
      </c>
      <c r="E1291" s="202" t="s">
        <v>1075</v>
      </c>
      <c r="F1291" s="202" t="s">
        <v>2288</v>
      </c>
    </row>
    <row r="1292" spans="2:6">
      <c r="B1292" s="202" t="s">
        <v>1075</v>
      </c>
      <c r="E1292" s="202" t="s">
        <v>1075</v>
      </c>
      <c r="F1292" s="202" t="s">
        <v>2288</v>
      </c>
    </row>
    <row r="1293" spans="2:6">
      <c r="B1293" s="202" t="s">
        <v>1075</v>
      </c>
      <c r="E1293" s="202" t="s">
        <v>1075</v>
      </c>
      <c r="F1293" s="202" t="s">
        <v>2288</v>
      </c>
    </row>
    <row r="1294" spans="2:6">
      <c r="B1294" s="202" t="s">
        <v>1075</v>
      </c>
      <c r="E1294" s="202" t="s">
        <v>1075</v>
      </c>
      <c r="F1294" s="202" t="s">
        <v>2288</v>
      </c>
    </row>
    <row r="1295" spans="2:6">
      <c r="B1295" s="202" t="s">
        <v>1075</v>
      </c>
      <c r="E1295" s="202" t="s">
        <v>1075</v>
      </c>
      <c r="F1295" s="202" t="s">
        <v>2288</v>
      </c>
    </row>
    <row r="1296" spans="2:6">
      <c r="B1296" s="202" t="s">
        <v>1075</v>
      </c>
      <c r="E1296" s="202" t="s">
        <v>1075</v>
      </c>
      <c r="F1296" s="202" t="s">
        <v>2288</v>
      </c>
    </row>
    <row r="1297" spans="2:6">
      <c r="B1297" s="202" t="s">
        <v>1075</v>
      </c>
      <c r="E1297" s="202" t="s">
        <v>1075</v>
      </c>
      <c r="F1297" s="202" t="s">
        <v>2288</v>
      </c>
    </row>
    <row r="1298" spans="2:6">
      <c r="B1298" s="202" t="s">
        <v>1075</v>
      </c>
      <c r="E1298" s="202" t="s">
        <v>1075</v>
      </c>
      <c r="F1298" s="202" t="s">
        <v>2288</v>
      </c>
    </row>
    <row r="1299" spans="2:6">
      <c r="B1299" s="202" t="s">
        <v>1075</v>
      </c>
      <c r="E1299" s="202" t="s">
        <v>1075</v>
      </c>
      <c r="F1299" s="202" t="s">
        <v>2288</v>
      </c>
    </row>
    <row r="1300" spans="2:6">
      <c r="B1300" s="202" t="s">
        <v>1075</v>
      </c>
      <c r="E1300" s="202" t="s">
        <v>1075</v>
      </c>
      <c r="F1300" s="202" t="s">
        <v>2288</v>
      </c>
    </row>
    <row r="1301" spans="2:6">
      <c r="B1301" s="202" t="s">
        <v>1075</v>
      </c>
      <c r="E1301" s="202" t="s">
        <v>1075</v>
      </c>
      <c r="F1301" s="202" t="s">
        <v>2288</v>
      </c>
    </row>
    <row r="1302" spans="2:6">
      <c r="B1302" s="202" t="s">
        <v>1075</v>
      </c>
      <c r="E1302" s="202" t="s">
        <v>1075</v>
      </c>
      <c r="F1302" s="202" t="s">
        <v>2288</v>
      </c>
    </row>
    <row r="1303" spans="2:6">
      <c r="B1303" s="202" t="s">
        <v>1075</v>
      </c>
      <c r="E1303" s="202" t="s">
        <v>1075</v>
      </c>
      <c r="F1303" s="202" t="s">
        <v>2288</v>
      </c>
    </row>
    <row r="1304" spans="2:6">
      <c r="B1304" s="202" t="s">
        <v>1075</v>
      </c>
      <c r="E1304" s="202" t="s">
        <v>1075</v>
      </c>
      <c r="F1304" s="202" t="s">
        <v>2288</v>
      </c>
    </row>
    <row r="1305" spans="2:6">
      <c r="B1305" s="202" t="s">
        <v>1075</v>
      </c>
      <c r="E1305" s="202" t="s">
        <v>1075</v>
      </c>
      <c r="F1305" s="202" t="s">
        <v>2288</v>
      </c>
    </row>
    <row r="1306" spans="2:6">
      <c r="B1306" s="202" t="s">
        <v>1075</v>
      </c>
      <c r="E1306" s="202" t="s">
        <v>1075</v>
      </c>
      <c r="F1306" s="202" t="s">
        <v>2288</v>
      </c>
    </row>
    <row r="1307" spans="2:6">
      <c r="B1307" s="202" t="s">
        <v>1075</v>
      </c>
      <c r="E1307" s="202" t="s">
        <v>1075</v>
      </c>
      <c r="F1307" s="202" t="s">
        <v>2288</v>
      </c>
    </row>
    <row r="1308" spans="2:6">
      <c r="B1308" s="202" t="s">
        <v>1075</v>
      </c>
      <c r="E1308" s="202" t="s">
        <v>1075</v>
      </c>
      <c r="F1308" s="202" t="s">
        <v>2288</v>
      </c>
    </row>
    <row r="1309" spans="2:6">
      <c r="B1309" s="202" t="s">
        <v>1075</v>
      </c>
      <c r="E1309" s="202" t="s">
        <v>1075</v>
      </c>
      <c r="F1309" s="202" t="s">
        <v>2288</v>
      </c>
    </row>
    <row r="1310" spans="2:6">
      <c r="B1310" s="202" t="s">
        <v>1075</v>
      </c>
      <c r="E1310" s="202" t="s">
        <v>1075</v>
      </c>
      <c r="F1310" s="202" t="s">
        <v>2288</v>
      </c>
    </row>
    <row r="1311" spans="2:6">
      <c r="B1311" s="202" t="s">
        <v>1075</v>
      </c>
      <c r="E1311" s="202" t="s">
        <v>1075</v>
      </c>
      <c r="F1311" s="202" t="s">
        <v>2288</v>
      </c>
    </row>
    <row r="1312" spans="2:6">
      <c r="B1312" s="202" t="s">
        <v>1075</v>
      </c>
      <c r="E1312" s="202" t="s">
        <v>1075</v>
      </c>
      <c r="F1312" s="202" t="s">
        <v>2288</v>
      </c>
    </row>
    <row r="1313" spans="2:6">
      <c r="B1313" s="202" t="s">
        <v>1075</v>
      </c>
      <c r="E1313" s="202" t="s">
        <v>1075</v>
      </c>
      <c r="F1313" s="202" t="s">
        <v>2288</v>
      </c>
    </row>
    <row r="1314" spans="2:6">
      <c r="B1314" s="202" t="s">
        <v>1075</v>
      </c>
      <c r="E1314" s="202" t="s">
        <v>1075</v>
      </c>
      <c r="F1314" s="202" t="s">
        <v>2288</v>
      </c>
    </row>
    <row r="1315" spans="2:6">
      <c r="B1315" s="202" t="s">
        <v>1075</v>
      </c>
      <c r="E1315" s="202" t="s">
        <v>1075</v>
      </c>
      <c r="F1315" s="202" t="s">
        <v>2288</v>
      </c>
    </row>
    <row r="1316" spans="2:6">
      <c r="B1316" s="202" t="s">
        <v>1075</v>
      </c>
      <c r="E1316" s="202" t="s">
        <v>1075</v>
      </c>
      <c r="F1316" s="202" t="s">
        <v>2288</v>
      </c>
    </row>
    <row r="1317" spans="2:6">
      <c r="B1317" s="202" t="s">
        <v>1075</v>
      </c>
      <c r="E1317" s="202" t="s">
        <v>1075</v>
      </c>
      <c r="F1317" s="202" t="s">
        <v>2288</v>
      </c>
    </row>
    <row r="1318" spans="2:6">
      <c r="B1318" s="202" t="s">
        <v>1075</v>
      </c>
      <c r="E1318" s="202" t="s">
        <v>1075</v>
      </c>
      <c r="F1318" s="202" t="s">
        <v>2288</v>
      </c>
    </row>
    <row r="1319" spans="2:6">
      <c r="B1319" s="202" t="s">
        <v>1075</v>
      </c>
      <c r="E1319" s="202" t="s">
        <v>1075</v>
      </c>
      <c r="F1319" s="202" t="s">
        <v>2288</v>
      </c>
    </row>
    <row r="1320" spans="2:6">
      <c r="B1320" s="202" t="s">
        <v>1075</v>
      </c>
      <c r="E1320" s="202" t="s">
        <v>1075</v>
      </c>
      <c r="F1320" s="202" t="s">
        <v>2288</v>
      </c>
    </row>
    <row r="1321" spans="2:6">
      <c r="B1321" s="202" t="s">
        <v>1075</v>
      </c>
      <c r="E1321" s="202" t="s">
        <v>1075</v>
      </c>
      <c r="F1321" s="202" t="s">
        <v>2288</v>
      </c>
    </row>
    <row r="1322" spans="2:6">
      <c r="B1322" s="202" t="s">
        <v>1075</v>
      </c>
      <c r="E1322" s="202" t="s">
        <v>1075</v>
      </c>
      <c r="F1322" s="202" t="s">
        <v>2288</v>
      </c>
    </row>
    <row r="1323" spans="2:6">
      <c r="B1323" s="202" t="s">
        <v>1075</v>
      </c>
      <c r="E1323" s="202" t="s">
        <v>1075</v>
      </c>
      <c r="F1323" s="202" t="s">
        <v>2288</v>
      </c>
    </row>
    <row r="1324" spans="2:6">
      <c r="B1324" s="202" t="s">
        <v>1075</v>
      </c>
      <c r="E1324" s="202" t="s">
        <v>1075</v>
      </c>
      <c r="F1324" s="202" t="s">
        <v>2288</v>
      </c>
    </row>
    <row r="1325" spans="2:6">
      <c r="B1325" s="202" t="s">
        <v>1075</v>
      </c>
      <c r="E1325" s="202" t="s">
        <v>1075</v>
      </c>
      <c r="F1325" s="202" t="s">
        <v>2288</v>
      </c>
    </row>
    <row r="1326" spans="2:6">
      <c r="B1326" s="202" t="s">
        <v>1075</v>
      </c>
      <c r="E1326" s="202" t="s">
        <v>1075</v>
      </c>
      <c r="F1326" s="202" t="s">
        <v>2288</v>
      </c>
    </row>
    <row r="1327" spans="2:6">
      <c r="B1327" s="202" t="s">
        <v>1075</v>
      </c>
      <c r="E1327" s="202" t="s">
        <v>1075</v>
      </c>
      <c r="F1327" s="202" t="s">
        <v>2288</v>
      </c>
    </row>
    <row r="1328" spans="2:6">
      <c r="B1328" s="202" t="s">
        <v>1075</v>
      </c>
      <c r="E1328" s="202" t="s">
        <v>1075</v>
      </c>
      <c r="F1328" s="202" t="s">
        <v>2288</v>
      </c>
    </row>
    <row r="1329" spans="2:6">
      <c r="B1329" s="202" t="s">
        <v>1075</v>
      </c>
      <c r="E1329" s="202" t="s">
        <v>1075</v>
      </c>
      <c r="F1329" s="202" t="s">
        <v>2288</v>
      </c>
    </row>
    <row r="1330" spans="2:6">
      <c r="B1330" s="202" t="s">
        <v>1075</v>
      </c>
      <c r="E1330" s="202" t="s">
        <v>1075</v>
      </c>
      <c r="F1330" s="202" t="s">
        <v>2288</v>
      </c>
    </row>
    <row r="1331" spans="2:6">
      <c r="B1331" s="202" t="s">
        <v>1075</v>
      </c>
      <c r="E1331" s="202" t="s">
        <v>1075</v>
      </c>
      <c r="F1331" s="202" t="s">
        <v>2288</v>
      </c>
    </row>
    <row r="1332" spans="2:6">
      <c r="F1332" s="202" t="s">
        <v>2288</v>
      </c>
    </row>
    <row r="1333" spans="2:6">
      <c r="F1333" s="202" t="s">
        <v>2288</v>
      </c>
    </row>
    <row r="1334" spans="2:6">
      <c r="F1334" s="202" t="s">
        <v>2288</v>
      </c>
    </row>
    <row r="1335" spans="2:6">
      <c r="F1335" s="202" t="s">
        <v>2288</v>
      </c>
    </row>
    <row r="1336" spans="2:6">
      <c r="F1336" s="202" t="s">
        <v>2288</v>
      </c>
    </row>
    <row r="1337" spans="2:6">
      <c r="F1337" s="202" t="s">
        <v>2288</v>
      </c>
    </row>
    <row r="1338" spans="2:6">
      <c r="F1338" s="202" t="s">
        <v>2288</v>
      </c>
    </row>
    <row r="1339" spans="2:6">
      <c r="F1339" s="202" t="s">
        <v>2288</v>
      </c>
    </row>
    <row r="1340" spans="2:6">
      <c r="F1340" s="202" t="s">
        <v>2288</v>
      </c>
    </row>
    <row r="1341" spans="2:6">
      <c r="F1341" s="202" t="s">
        <v>2288</v>
      </c>
    </row>
    <row r="1342" spans="2:6">
      <c r="F1342" s="202" t="s">
        <v>2288</v>
      </c>
    </row>
    <row r="1343" spans="2:6">
      <c r="F1343" s="202" t="s">
        <v>2288</v>
      </c>
    </row>
    <row r="1344" spans="2:6">
      <c r="F1344" s="202" t="s">
        <v>2288</v>
      </c>
    </row>
    <row r="1345" spans="6:6">
      <c r="F1345" s="202" t="s">
        <v>2288</v>
      </c>
    </row>
    <row r="1346" spans="6:6">
      <c r="F1346" s="202" t="s">
        <v>2288</v>
      </c>
    </row>
    <row r="1347" spans="6:6">
      <c r="F1347" s="202" t="s">
        <v>2288</v>
      </c>
    </row>
    <row r="1348" spans="6:6">
      <c r="F1348" s="202" t="s">
        <v>2288</v>
      </c>
    </row>
    <row r="1349" spans="6:6">
      <c r="F1349" s="202" t="s">
        <v>2288</v>
      </c>
    </row>
    <row r="1350" spans="6:6">
      <c r="F1350" s="202" t="s">
        <v>2288</v>
      </c>
    </row>
    <row r="1351" spans="6:6">
      <c r="F1351" s="202" t="s">
        <v>2288</v>
      </c>
    </row>
    <row r="1352" spans="6:6">
      <c r="F1352" s="202" t="s">
        <v>2288</v>
      </c>
    </row>
    <row r="1353" spans="6:6">
      <c r="F1353" s="202" t="s">
        <v>2288</v>
      </c>
    </row>
    <row r="1354" spans="6:6">
      <c r="F1354" s="202" t="s">
        <v>2288</v>
      </c>
    </row>
    <row r="1355" spans="6:6">
      <c r="F1355" s="202" t="s">
        <v>2288</v>
      </c>
    </row>
    <row r="1356" spans="6:6">
      <c r="F1356" s="202" t="s">
        <v>2288</v>
      </c>
    </row>
    <row r="1357" spans="6:6">
      <c r="F1357" s="202" t="s">
        <v>2288</v>
      </c>
    </row>
    <row r="1358" spans="6:6">
      <c r="F1358" s="202" t="s">
        <v>2288</v>
      </c>
    </row>
    <row r="1359" spans="6:6">
      <c r="F1359" s="202" t="s">
        <v>2288</v>
      </c>
    </row>
    <row r="1360" spans="6:6">
      <c r="F1360" s="202" t="s">
        <v>2288</v>
      </c>
    </row>
    <row r="1361" spans="6:6">
      <c r="F1361" s="202" t="s">
        <v>2288</v>
      </c>
    </row>
    <row r="1362" spans="6:6">
      <c r="F1362" s="202" t="s">
        <v>2288</v>
      </c>
    </row>
    <row r="1363" spans="6:6">
      <c r="F1363" s="202" t="s">
        <v>2288</v>
      </c>
    </row>
    <row r="1364" spans="6:6">
      <c r="F1364" s="202" t="s">
        <v>2288</v>
      </c>
    </row>
    <row r="1365" spans="6:6">
      <c r="F1365" s="202" t="s">
        <v>2288</v>
      </c>
    </row>
    <row r="1366" spans="6:6">
      <c r="F1366" s="202" t="s">
        <v>2288</v>
      </c>
    </row>
    <row r="1367" spans="6:6">
      <c r="F1367" s="202" t="s">
        <v>2288</v>
      </c>
    </row>
    <row r="1368" spans="6:6">
      <c r="F1368" s="202" t="s">
        <v>2288</v>
      </c>
    </row>
    <row r="1369" spans="6:6">
      <c r="F1369" s="202" t="s">
        <v>2288</v>
      </c>
    </row>
    <row r="1370" spans="6:6">
      <c r="F1370" s="202" t="s">
        <v>2288</v>
      </c>
    </row>
    <row r="1371" spans="6:6">
      <c r="F1371" s="202" t="s">
        <v>2288</v>
      </c>
    </row>
    <row r="1372" spans="6:6">
      <c r="F1372" s="202" t="s">
        <v>2288</v>
      </c>
    </row>
    <row r="1373" spans="6:6">
      <c r="F1373" s="202" t="s">
        <v>2288</v>
      </c>
    </row>
    <row r="1374" spans="6:6">
      <c r="F1374" s="202" t="s">
        <v>2288</v>
      </c>
    </row>
    <row r="1375" spans="6:6">
      <c r="F1375" s="202" t="s">
        <v>2288</v>
      </c>
    </row>
    <row r="1376" spans="6:6">
      <c r="F1376" s="202" t="s">
        <v>2288</v>
      </c>
    </row>
    <row r="1377" spans="6:6">
      <c r="F1377" s="202" t="s">
        <v>2288</v>
      </c>
    </row>
    <row r="1378" spans="6:6">
      <c r="F1378" s="202" t="s">
        <v>2288</v>
      </c>
    </row>
    <row r="1379" spans="6:6">
      <c r="F1379" s="202" t="s">
        <v>2288</v>
      </c>
    </row>
    <row r="1380" spans="6:6">
      <c r="F1380" s="202" t="s">
        <v>2288</v>
      </c>
    </row>
    <row r="1381" spans="6:6">
      <c r="F1381" s="202" t="s">
        <v>2288</v>
      </c>
    </row>
    <row r="1382" spans="6:6">
      <c r="F1382" s="202" t="s">
        <v>2288</v>
      </c>
    </row>
    <row r="1383" spans="6:6">
      <c r="F1383" s="202" t="s">
        <v>2288</v>
      </c>
    </row>
    <row r="1384" spans="6:6">
      <c r="F1384" s="202" t="s">
        <v>2288</v>
      </c>
    </row>
    <row r="1385" spans="6:6">
      <c r="F1385" s="202" t="s">
        <v>2288</v>
      </c>
    </row>
    <row r="1386" spans="6:6">
      <c r="F1386" s="202" t="s">
        <v>2288</v>
      </c>
    </row>
    <row r="1387" spans="6:6">
      <c r="F1387" s="202" t="s">
        <v>2288</v>
      </c>
    </row>
    <row r="1388" spans="6:6">
      <c r="F1388" s="202" t="s">
        <v>2288</v>
      </c>
    </row>
    <row r="1389" spans="6:6">
      <c r="F1389" s="202" t="s">
        <v>2288</v>
      </c>
    </row>
    <row r="1390" spans="6:6">
      <c r="F1390" s="202" t="s">
        <v>2288</v>
      </c>
    </row>
    <row r="1391" spans="6:6">
      <c r="F1391" s="202" t="s">
        <v>2288</v>
      </c>
    </row>
    <row r="1392" spans="6:6">
      <c r="F1392" s="202" t="s">
        <v>2288</v>
      </c>
    </row>
    <row r="1393" spans="6:6">
      <c r="F1393" s="202" t="s">
        <v>2288</v>
      </c>
    </row>
    <row r="1394" spans="6:6">
      <c r="F1394" s="202" t="s">
        <v>2288</v>
      </c>
    </row>
    <row r="1395" spans="6:6">
      <c r="F1395" s="202" t="s">
        <v>2288</v>
      </c>
    </row>
    <row r="1396" spans="6:6">
      <c r="F1396" s="202" t="s">
        <v>2288</v>
      </c>
    </row>
    <row r="1397" spans="6:6">
      <c r="F1397" s="202" t="s">
        <v>2288</v>
      </c>
    </row>
    <row r="1398" spans="6:6">
      <c r="F1398" s="202" t="s">
        <v>2288</v>
      </c>
    </row>
    <row r="1399" spans="6:6">
      <c r="F1399" s="202" t="s">
        <v>2288</v>
      </c>
    </row>
    <row r="1400" spans="6:6">
      <c r="F1400" s="202" t="s">
        <v>2288</v>
      </c>
    </row>
    <row r="1401" spans="6:6">
      <c r="F1401" s="202" t="s">
        <v>2288</v>
      </c>
    </row>
    <row r="1402" spans="6:6">
      <c r="F1402" s="202" t="s">
        <v>2288</v>
      </c>
    </row>
    <row r="1403" spans="6:6">
      <c r="F1403" s="202" t="s">
        <v>2288</v>
      </c>
    </row>
    <row r="1404" spans="6:6">
      <c r="F1404" s="202" t="s">
        <v>2288</v>
      </c>
    </row>
    <row r="1405" spans="6:6">
      <c r="F1405" s="202" t="s">
        <v>2288</v>
      </c>
    </row>
    <row r="1406" spans="6:6">
      <c r="F1406" s="202" t="s">
        <v>2288</v>
      </c>
    </row>
    <row r="1407" spans="6:6">
      <c r="F1407" s="202" t="s">
        <v>2288</v>
      </c>
    </row>
    <row r="1408" spans="6:6">
      <c r="F1408" s="202" t="s">
        <v>2288</v>
      </c>
    </row>
    <row r="1409" spans="6:6">
      <c r="F1409" s="202" t="s">
        <v>2288</v>
      </c>
    </row>
    <row r="1410" spans="6:6">
      <c r="F1410" s="202" t="s">
        <v>2288</v>
      </c>
    </row>
    <row r="1411" spans="6:6">
      <c r="F1411" s="202" t="s">
        <v>2288</v>
      </c>
    </row>
    <row r="1412" spans="6:6">
      <c r="F1412" s="202" t="s">
        <v>2288</v>
      </c>
    </row>
    <row r="1413" spans="6:6">
      <c r="F1413" s="202" t="s">
        <v>2288</v>
      </c>
    </row>
    <row r="1414" spans="6:6">
      <c r="F1414" s="202" t="s">
        <v>2288</v>
      </c>
    </row>
    <row r="1415" spans="6:6">
      <c r="F1415" s="202" t="s">
        <v>2288</v>
      </c>
    </row>
    <row r="1416" spans="6:6">
      <c r="F1416" s="202" t="s">
        <v>2288</v>
      </c>
    </row>
    <row r="1417" spans="6:6">
      <c r="F1417" s="202" t="s">
        <v>2288</v>
      </c>
    </row>
    <row r="1418" spans="6:6">
      <c r="F1418" s="202" t="s">
        <v>2288</v>
      </c>
    </row>
    <row r="1419" spans="6:6">
      <c r="F1419" s="202" t="s">
        <v>2288</v>
      </c>
    </row>
    <row r="1420" spans="6:6">
      <c r="F1420" s="202" t="s">
        <v>2288</v>
      </c>
    </row>
    <row r="1421" spans="6:6">
      <c r="F1421" s="202" t="s">
        <v>2288</v>
      </c>
    </row>
    <row r="1422" spans="6:6">
      <c r="F1422" s="202" t="s">
        <v>2288</v>
      </c>
    </row>
    <row r="1423" spans="6:6">
      <c r="F1423" s="202" t="s">
        <v>2288</v>
      </c>
    </row>
    <row r="1424" spans="6:6">
      <c r="F1424" s="202" t="s">
        <v>2288</v>
      </c>
    </row>
  </sheetData>
  <autoFilter ref="A1:AI1424" xr:uid="{00000000-0009-0000-0000-000004000000}"/>
  <mergeCells count="8">
    <mergeCell ref="AC7:AE7"/>
    <mergeCell ref="AF7:AH7"/>
    <mergeCell ref="Z5:AI5"/>
    <mergeCell ref="V7:W7"/>
    <mergeCell ref="J7:M7"/>
    <mergeCell ref="N7:Q7"/>
    <mergeCell ref="R7:U7"/>
    <mergeCell ref="Z7:AB7"/>
  </mergeCells>
  <conditionalFormatting sqref="H15">
    <cfRule type="cellIs" dxfId="323" priority="62" operator="greaterThan">
      <formula>I15</formula>
    </cfRule>
    <cfRule type="cellIs" dxfId="322" priority="61" operator="lessThan">
      <formula>I15</formula>
    </cfRule>
  </conditionalFormatting>
  <conditionalFormatting sqref="H15:H30">
    <cfRule type="cellIs" dxfId="321" priority="60" operator="greaterThan">
      <formula>I15</formula>
    </cfRule>
    <cfRule type="cellIs" dxfId="320" priority="59" operator="lessThan">
      <formula>I15</formula>
    </cfRule>
  </conditionalFormatting>
  <conditionalFormatting sqref="H16:H30">
    <cfRule type="cellIs" dxfId="319" priority="45" operator="lessThan">
      <formula>I16</formula>
    </cfRule>
    <cfRule type="cellIs" dxfId="318" priority="46" operator="greaterThan">
      <formula>I16</formula>
    </cfRule>
    <cfRule type="cellIs" dxfId="317" priority="49" operator="lessThan">
      <formula>I16</formula>
    </cfRule>
    <cfRule type="cellIs" dxfId="316" priority="50" operator="greaterThan">
      <formula>I16</formula>
    </cfRule>
  </conditionalFormatting>
  <conditionalFormatting sqref="H33:H37">
    <cfRule type="cellIs" dxfId="315" priority="58" operator="greaterThan">
      <formula>I33</formula>
    </cfRule>
    <cfRule type="cellIs" dxfId="314" priority="57" operator="lessThan">
      <formula>I33</formula>
    </cfRule>
  </conditionalFormatting>
  <conditionalFormatting sqref="H40:H41">
    <cfRule type="cellIs" dxfId="313" priority="44" operator="greaterThan">
      <formula>I40</formula>
    </cfRule>
    <cfRule type="cellIs" dxfId="312" priority="43" operator="lessThan">
      <formula>I40</formula>
    </cfRule>
    <cfRule type="cellIs" dxfId="311" priority="41" operator="lessThan">
      <formula>I40</formula>
    </cfRule>
    <cfRule type="cellIs" dxfId="310" priority="42" operator="greaterThan">
      <formula>I40</formula>
    </cfRule>
  </conditionalFormatting>
  <conditionalFormatting sqref="H45:H86">
    <cfRule type="cellIs" dxfId="309" priority="38" operator="greaterThan">
      <formula>I45</formula>
    </cfRule>
    <cfRule type="cellIs" dxfId="308" priority="39" operator="lessThan">
      <formula>I45</formula>
    </cfRule>
    <cfRule type="cellIs" dxfId="307" priority="40" operator="greaterThan">
      <formula>I45</formula>
    </cfRule>
    <cfRule type="cellIs" dxfId="306" priority="37" operator="lessThan">
      <formula>I45</formula>
    </cfRule>
  </conditionalFormatting>
  <conditionalFormatting sqref="H89:H93">
    <cfRule type="cellIs" dxfId="305" priority="55" operator="lessThan">
      <formula>I89</formula>
    </cfRule>
    <cfRule type="cellIs" dxfId="304" priority="56" operator="greaterThan">
      <formula>I89</formula>
    </cfRule>
  </conditionalFormatting>
  <conditionalFormatting sqref="H96:H97">
    <cfRule type="cellIs" dxfId="303" priority="33" operator="lessThan">
      <formula>I96</formula>
    </cfRule>
    <cfRule type="cellIs" dxfId="302" priority="34" operator="greaterThan">
      <formula>I96</formula>
    </cfRule>
    <cfRule type="cellIs" dxfId="301" priority="35" operator="lessThan">
      <formula>I96</formula>
    </cfRule>
    <cfRule type="cellIs" dxfId="300" priority="36" operator="greaterThan">
      <formula>I96</formula>
    </cfRule>
  </conditionalFormatting>
  <conditionalFormatting sqref="H102 H106:H107 H113:H118">
    <cfRule type="cellIs" dxfId="299" priority="23" operator="lessThan">
      <formula>I102</formula>
    </cfRule>
    <cfRule type="cellIs" dxfId="298" priority="24" operator="greaterThan">
      <formula>I102</formula>
    </cfRule>
  </conditionalFormatting>
  <conditionalFormatting sqref="H102:H107">
    <cfRule type="cellIs" dxfId="297" priority="19" operator="lessThan">
      <formula>I102</formula>
    </cfRule>
    <cfRule type="cellIs" dxfId="296" priority="20" operator="greaterThan">
      <formula>I102</formula>
    </cfRule>
  </conditionalFormatting>
  <conditionalFormatting sqref="H103:H105">
    <cfRule type="cellIs" dxfId="295" priority="17" operator="lessThan">
      <formula>I103</formula>
    </cfRule>
    <cfRule type="cellIs" dxfId="294" priority="18" operator="greaterThan">
      <formula>I103</formula>
    </cfRule>
  </conditionalFormatting>
  <conditionalFormatting sqref="H108:H112">
    <cfRule type="cellIs" dxfId="293" priority="14" operator="greaterThan">
      <formula>I108</formula>
    </cfRule>
    <cfRule type="cellIs" dxfId="292" priority="13" operator="lessThan">
      <formula>I108</formula>
    </cfRule>
  </conditionalFormatting>
  <conditionalFormatting sqref="H108:H118">
    <cfRule type="cellIs" dxfId="291" priority="16" operator="greaterThan">
      <formula>I108</formula>
    </cfRule>
    <cfRule type="cellIs" dxfId="290" priority="15" operator="lessThan">
      <formula>I108</formula>
    </cfRule>
  </conditionalFormatting>
  <conditionalFormatting sqref="H121">
    <cfRule type="cellIs" dxfId="289" priority="10" operator="greaterThan">
      <formula>I121</formula>
    </cfRule>
    <cfRule type="cellIs" dxfId="288" priority="9" operator="lessThan">
      <formula>I121</formula>
    </cfRule>
  </conditionalFormatting>
  <conditionalFormatting sqref="H121:H122">
    <cfRule type="cellIs" dxfId="287" priority="12" operator="greaterThan">
      <formula>I121</formula>
    </cfRule>
    <cfRule type="cellIs" dxfId="286" priority="11" operator="lessThan">
      <formula>I121</formula>
    </cfRule>
  </conditionalFormatting>
  <conditionalFormatting sqref="H127:H152">
    <cfRule type="cellIs" dxfId="285" priority="32" operator="greaterThan">
      <formula>I127</formula>
    </cfRule>
    <cfRule type="cellIs" dxfId="284" priority="31" operator="lessThan">
      <formula>I127</formula>
    </cfRule>
    <cfRule type="cellIs" dxfId="283" priority="30" operator="greaterThan">
      <formula>I127</formula>
    </cfRule>
    <cfRule type="cellIs" dxfId="282" priority="29" operator="lessThan">
      <formula>I127</formula>
    </cfRule>
  </conditionalFormatting>
  <conditionalFormatting sqref="H155:H159">
    <cfRule type="cellIs" dxfId="281" priority="52" operator="greaterThan">
      <formula>I155</formula>
    </cfRule>
    <cfRule type="cellIs" dxfId="280" priority="51" operator="lessThan">
      <formula>I155</formula>
    </cfRule>
  </conditionalFormatting>
  <conditionalFormatting sqref="H162:H163">
    <cfRule type="cellIs" dxfId="279" priority="28" operator="greaterThan">
      <formula>I162</formula>
    </cfRule>
    <cfRule type="cellIs" dxfId="278" priority="26" operator="greaterThan">
      <formula>I162</formula>
    </cfRule>
    <cfRule type="cellIs" dxfId="277" priority="25" operator="lessThan">
      <formula>I162</formula>
    </cfRule>
    <cfRule type="cellIs" dxfId="276" priority="27" operator="lessThan">
      <formula>I162</formula>
    </cfRule>
  </conditionalFormatting>
  <conditionalFormatting sqref="H168:H186">
    <cfRule type="cellIs" dxfId="275" priority="299" operator="lessThan">
      <formula>I168</formula>
    </cfRule>
    <cfRule type="cellIs" dxfId="274" priority="301" operator="lessThan">
      <formula>I168</formula>
    </cfRule>
    <cfRule type="cellIs" dxfId="273" priority="302" operator="greaterThan">
      <formula>I168</formula>
    </cfRule>
    <cfRule type="cellIs" dxfId="272" priority="300" operator="greaterThan">
      <formula>I168</formula>
    </cfRule>
  </conditionalFormatting>
  <conditionalFormatting sqref="H189:H200">
    <cfRule type="cellIs" dxfId="271" priority="298" operator="greaterThan">
      <formula>I189</formula>
    </cfRule>
    <cfRule type="cellIs" dxfId="270" priority="297" operator="lessThan">
      <formula>I189</formula>
    </cfRule>
    <cfRule type="cellIs" dxfId="269" priority="296" operator="greaterThan">
      <formula>I189</formula>
    </cfRule>
    <cfRule type="cellIs" dxfId="268" priority="295" operator="lessThan">
      <formula>I189</formula>
    </cfRule>
  </conditionalFormatting>
  <conditionalFormatting sqref="H203:H207">
    <cfRule type="cellIs" dxfId="267" priority="708" operator="greaterThan">
      <formula>I203</formula>
    </cfRule>
    <cfRule type="cellIs" dxfId="266" priority="707" operator="lessThan">
      <formula>I203</formula>
    </cfRule>
  </conditionalFormatting>
  <conditionalFormatting sqref="H210:H211">
    <cfRule type="cellIs" dxfId="265" priority="292" operator="greaterThan">
      <formula>I210</formula>
    </cfRule>
    <cfRule type="cellIs" dxfId="264" priority="294" operator="greaterThan">
      <formula>I210</formula>
    </cfRule>
    <cfRule type="cellIs" dxfId="263" priority="293" operator="lessThan">
      <formula>I210</formula>
    </cfRule>
    <cfRule type="cellIs" dxfId="262" priority="291" operator="lessThan">
      <formula>I210</formula>
    </cfRule>
  </conditionalFormatting>
  <conditionalFormatting sqref="H216:H226">
    <cfRule type="cellIs" dxfId="261" priority="287" operator="lessThan">
      <formula>I216</formula>
    </cfRule>
    <cfRule type="cellIs" dxfId="260" priority="288" operator="greaterThan">
      <formula>I216</formula>
    </cfRule>
    <cfRule type="cellIs" dxfId="259" priority="289" operator="lessThan">
      <formula>I216</formula>
    </cfRule>
    <cfRule type="cellIs" dxfId="258" priority="290" operator="greaterThan">
      <formula>I216</formula>
    </cfRule>
  </conditionalFormatting>
  <conditionalFormatting sqref="H229:H233">
    <cfRule type="cellIs" dxfId="257" priority="701" operator="lessThan">
      <formula>I229</formula>
    </cfRule>
    <cfRule type="cellIs" dxfId="256" priority="702" operator="greaterThan">
      <formula>I229</formula>
    </cfRule>
  </conditionalFormatting>
  <conditionalFormatting sqref="H236:H247">
    <cfRule type="cellIs" dxfId="255" priority="475" operator="lessThan">
      <formula>I236</formula>
    </cfRule>
    <cfRule type="cellIs" dxfId="254" priority="476" operator="greaterThan">
      <formula>I236</formula>
    </cfRule>
    <cfRule type="cellIs" dxfId="253" priority="477" operator="lessThan">
      <formula>I236</formula>
    </cfRule>
    <cfRule type="cellIs" dxfId="252" priority="478" operator="greaterThan">
      <formula>I236</formula>
    </cfRule>
  </conditionalFormatting>
  <conditionalFormatting sqref="H250:H254">
    <cfRule type="cellIs" dxfId="251" priority="698" operator="greaterThan">
      <formula>I250</formula>
    </cfRule>
    <cfRule type="cellIs" dxfId="250" priority="697" operator="lessThan">
      <formula>I250</formula>
    </cfRule>
  </conditionalFormatting>
  <conditionalFormatting sqref="H257:H262">
    <cfRule type="cellIs" dxfId="249" priority="283" operator="lessThan">
      <formula>I257</formula>
    </cfRule>
    <cfRule type="cellIs" dxfId="248" priority="286" operator="greaterThan">
      <formula>I257</formula>
    </cfRule>
    <cfRule type="cellIs" dxfId="247" priority="285" operator="lessThan">
      <formula>I257</formula>
    </cfRule>
    <cfRule type="cellIs" dxfId="246" priority="284" operator="greaterThan">
      <formula>I257</formula>
    </cfRule>
  </conditionalFormatting>
  <conditionalFormatting sqref="H264:H269">
    <cfRule type="cellIs" dxfId="245" priority="693" operator="lessThan">
      <formula>I264</formula>
    </cfRule>
    <cfRule type="cellIs" dxfId="244" priority="694" operator="greaterThan">
      <formula>I264</formula>
    </cfRule>
  </conditionalFormatting>
  <conditionalFormatting sqref="H272:H278 H283:H284">
    <cfRule type="cellIs" dxfId="243" priority="281" operator="lessThan">
      <formula>I272</formula>
    </cfRule>
    <cfRule type="cellIs" dxfId="242" priority="282" operator="greaterThan">
      <formula>I272</formula>
    </cfRule>
  </conditionalFormatting>
  <conditionalFormatting sqref="H272:H284">
    <cfRule type="cellIs" dxfId="241" priority="8" operator="greaterThan">
      <formula>I272</formula>
    </cfRule>
    <cfRule type="cellIs" dxfId="240" priority="7" operator="lessThan">
      <formula>I272</formula>
    </cfRule>
  </conditionalFormatting>
  <conditionalFormatting sqref="H279:H282">
    <cfRule type="cellIs" dxfId="239" priority="6" operator="greaterThan">
      <formula>I279</formula>
    </cfRule>
    <cfRule type="cellIs" dxfId="238" priority="5" operator="lessThan">
      <formula>I279</formula>
    </cfRule>
  </conditionalFormatting>
  <conditionalFormatting sqref="H287:H291">
    <cfRule type="cellIs" dxfId="237" priority="689" operator="lessThan">
      <formula>I287</formula>
    </cfRule>
    <cfRule type="cellIs" dxfId="236" priority="690" operator="greaterThan">
      <formula>I287</formula>
    </cfRule>
  </conditionalFormatting>
  <conditionalFormatting sqref="H294:H306">
    <cfRule type="cellIs" dxfId="235" priority="275" operator="lessThan">
      <formula>I294</formula>
    </cfRule>
    <cfRule type="cellIs" dxfId="234" priority="276" operator="greaterThan">
      <formula>I294</formula>
    </cfRule>
  </conditionalFormatting>
  <conditionalFormatting sqref="H294:H307">
    <cfRule type="cellIs" dxfId="233" priority="278" operator="greaterThan">
      <formula>I294</formula>
    </cfRule>
    <cfRule type="cellIs" dxfId="232" priority="277" operator="lessThan">
      <formula>I294</formula>
    </cfRule>
  </conditionalFormatting>
  <conditionalFormatting sqref="H309:H311">
    <cfRule type="cellIs" dxfId="231" priority="85" operator="lessThan">
      <formula>I309</formula>
    </cfRule>
    <cfRule type="cellIs" dxfId="230" priority="86" operator="greaterThan">
      <formula>I309</formula>
    </cfRule>
  </conditionalFormatting>
  <conditionalFormatting sqref="H309:H313">
    <cfRule type="cellIs" dxfId="229" priority="87" operator="lessThan">
      <formula>I309</formula>
    </cfRule>
    <cfRule type="cellIs" dxfId="228" priority="88" operator="greaterThan">
      <formula>I309</formula>
    </cfRule>
  </conditionalFormatting>
  <conditionalFormatting sqref="H316:H323">
    <cfRule type="cellIs" dxfId="227" priority="271" operator="lessThan">
      <formula>I316</formula>
    </cfRule>
    <cfRule type="cellIs" dxfId="226" priority="272" operator="greaterThan">
      <formula>I316</formula>
    </cfRule>
    <cfRule type="cellIs" dxfId="225" priority="273" operator="lessThan">
      <formula>I316</formula>
    </cfRule>
    <cfRule type="cellIs" dxfId="224" priority="274" operator="greaterThan">
      <formula>I316</formula>
    </cfRule>
  </conditionalFormatting>
  <conditionalFormatting sqref="H326:H330">
    <cfRule type="cellIs" dxfId="223" priority="682" operator="greaterThan">
      <formula>I326</formula>
    </cfRule>
    <cfRule type="cellIs" dxfId="222" priority="681" operator="lessThan">
      <formula>I326</formula>
    </cfRule>
  </conditionalFormatting>
  <conditionalFormatting sqref="H333:H334">
    <cfRule type="cellIs" dxfId="221" priority="268" operator="greaterThan">
      <formula>I333</formula>
    </cfRule>
    <cfRule type="cellIs" dxfId="220" priority="269" operator="lessThan">
      <formula>I333</formula>
    </cfRule>
    <cfRule type="cellIs" dxfId="219" priority="270" operator="greaterThan">
      <formula>I333</formula>
    </cfRule>
    <cfRule type="cellIs" dxfId="218" priority="267" operator="lessThan">
      <formula>I333</formula>
    </cfRule>
  </conditionalFormatting>
  <conditionalFormatting sqref="H339:H370">
    <cfRule type="cellIs" dxfId="217" priority="264" operator="greaterThan">
      <formula>I339</formula>
    </cfRule>
    <cfRule type="cellIs" dxfId="216" priority="266" operator="greaterThan">
      <formula>I339</formula>
    </cfRule>
    <cfRule type="cellIs" dxfId="215" priority="263" operator="lessThan">
      <formula>I339</formula>
    </cfRule>
    <cfRule type="cellIs" dxfId="214" priority="265" operator="lessThan">
      <formula>I339</formula>
    </cfRule>
  </conditionalFormatting>
  <conditionalFormatting sqref="H373:H377">
    <cfRule type="cellIs" dxfId="213" priority="676" operator="greaterThan">
      <formula>I373</formula>
    </cfRule>
    <cfRule type="cellIs" dxfId="212" priority="675" operator="lessThan">
      <formula>I373</formula>
    </cfRule>
  </conditionalFormatting>
  <conditionalFormatting sqref="H380:H392">
    <cfRule type="cellIs" dxfId="211" priority="262" operator="greaterThan">
      <formula>I380</formula>
    </cfRule>
    <cfRule type="cellIs" dxfId="210" priority="261" operator="lessThan">
      <formula>I380</formula>
    </cfRule>
    <cfRule type="cellIs" dxfId="209" priority="260" operator="greaterThan">
      <formula>I380</formula>
    </cfRule>
    <cfRule type="cellIs" dxfId="208" priority="259" operator="lessThan">
      <formula>I380</formula>
    </cfRule>
  </conditionalFormatting>
  <conditionalFormatting sqref="H395:H399">
    <cfRule type="cellIs" dxfId="207" priority="672" operator="greaterThan">
      <formula>I395</formula>
    </cfRule>
    <cfRule type="cellIs" dxfId="206" priority="671" operator="lessThan">
      <formula>I395</formula>
    </cfRule>
  </conditionalFormatting>
  <conditionalFormatting sqref="H402:H406">
    <cfRule type="cellIs" dxfId="205" priority="256" operator="greaterThan">
      <formula>I402</formula>
    </cfRule>
    <cfRule type="cellIs" dxfId="204" priority="255" operator="lessThan">
      <formula>I402</formula>
    </cfRule>
    <cfRule type="cellIs" dxfId="203" priority="258" operator="greaterThan">
      <formula>I402</formula>
    </cfRule>
    <cfRule type="cellIs" dxfId="202" priority="257" operator="lessThan">
      <formula>I402</formula>
    </cfRule>
  </conditionalFormatting>
  <conditionalFormatting sqref="H409:H413">
    <cfRule type="cellIs" dxfId="201" priority="668" operator="greaterThan">
      <formula>I409</formula>
    </cfRule>
    <cfRule type="cellIs" dxfId="200" priority="667" operator="lessThan">
      <formula>I409</formula>
    </cfRule>
  </conditionalFormatting>
  <conditionalFormatting sqref="H416:H424">
    <cfRule type="cellIs" dxfId="199" priority="251" operator="lessThan">
      <formula>I416</formula>
    </cfRule>
    <cfRule type="cellIs" dxfId="198" priority="252" operator="greaterThan">
      <formula>I416</formula>
    </cfRule>
    <cfRule type="cellIs" dxfId="197" priority="253" operator="lessThan">
      <formula>I416</formula>
    </cfRule>
    <cfRule type="cellIs" dxfId="196" priority="254" operator="greaterThan">
      <formula>I416</formula>
    </cfRule>
  </conditionalFormatting>
  <conditionalFormatting sqref="H427:H431">
    <cfRule type="cellIs" dxfId="195" priority="664" operator="greaterThan">
      <formula>I427</formula>
    </cfRule>
    <cfRule type="cellIs" dxfId="194" priority="663" operator="lessThan">
      <formula>I427</formula>
    </cfRule>
  </conditionalFormatting>
  <conditionalFormatting sqref="H434">
    <cfRule type="cellIs" dxfId="193" priority="249" operator="lessThan">
      <formula>I434</formula>
    </cfRule>
    <cfRule type="cellIs" dxfId="192" priority="250" operator="greaterThan">
      <formula>I434</formula>
    </cfRule>
  </conditionalFormatting>
  <conditionalFormatting sqref="H434:H438">
    <cfRule type="cellIs" dxfId="191" priority="245" operator="lessThan">
      <formula>I434</formula>
    </cfRule>
    <cfRule type="cellIs" dxfId="190" priority="246" operator="greaterThan">
      <formula>I434</formula>
    </cfRule>
  </conditionalFormatting>
  <conditionalFormatting sqref="H435:H438">
    <cfRule type="cellIs" dxfId="189" priority="243" operator="lessThan">
      <formula>I435</formula>
    </cfRule>
    <cfRule type="cellIs" dxfId="188" priority="244" operator="greaterThan">
      <formula>I435</formula>
    </cfRule>
  </conditionalFormatting>
  <conditionalFormatting sqref="H441:H445">
    <cfRule type="cellIs" dxfId="187" priority="659" operator="lessThan">
      <formula>I441</formula>
    </cfRule>
    <cfRule type="cellIs" dxfId="186" priority="660" operator="greaterThan">
      <formula>I441</formula>
    </cfRule>
  </conditionalFormatting>
  <conditionalFormatting sqref="H448:H458">
    <cfRule type="cellIs" dxfId="185" priority="239" operator="lessThan">
      <formula>I448</formula>
    </cfRule>
    <cfRule type="cellIs" dxfId="184" priority="240" operator="greaterThan">
      <formula>I448</formula>
    </cfRule>
    <cfRule type="cellIs" dxfId="183" priority="241" operator="lessThan">
      <formula>I448</formula>
    </cfRule>
    <cfRule type="cellIs" dxfId="182" priority="242" operator="greaterThan">
      <formula>I448</formula>
    </cfRule>
  </conditionalFormatting>
  <conditionalFormatting sqref="H461:H465">
    <cfRule type="cellIs" dxfId="181" priority="655" operator="lessThan">
      <formula>I461</formula>
    </cfRule>
    <cfRule type="cellIs" dxfId="180" priority="656" operator="greaterThan">
      <formula>I461</formula>
    </cfRule>
  </conditionalFormatting>
  <conditionalFormatting sqref="H468:H469">
    <cfRule type="cellIs" dxfId="179" priority="235" operator="lessThan">
      <formula>I468</formula>
    </cfRule>
    <cfRule type="cellIs" dxfId="178" priority="236" operator="greaterThan">
      <formula>I468</formula>
    </cfRule>
    <cfRule type="cellIs" dxfId="177" priority="237" operator="lessThan">
      <formula>I468</formula>
    </cfRule>
    <cfRule type="cellIs" dxfId="176" priority="238" operator="greaterThan">
      <formula>I468</formula>
    </cfRule>
  </conditionalFormatting>
  <conditionalFormatting sqref="H474:H493">
    <cfRule type="cellIs" dxfId="175" priority="152" operator="greaterThan">
      <formula>I474</formula>
    </cfRule>
    <cfRule type="cellIs" dxfId="174" priority="154" operator="greaterThan">
      <formula>I474</formula>
    </cfRule>
    <cfRule type="cellIs" dxfId="173" priority="153" operator="lessThan">
      <formula>I474</formula>
    </cfRule>
    <cfRule type="cellIs" dxfId="172" priority="151" operator="lessThan">
      <formula>I474</formula>
    </cfRule>
  </conditionalFormatting>
  <conditionalFormatting sqref="H496:H497">
    <cfRule type="cellIs" dxfId="171" priority="147" operator="lessThan">
      <formula>I496</formula>
    </cfRule>
    <cfRule type="cellIs" dxfId="170" priority="148" operator="greaterThan">
      <formula>I496</formula>
    </cfRule>
  </conditionalFormatting>
  <conditionalFormatting sqref="H496:H500">
    <cfRule type="cellIs" dxfId="169" priority="149" operator="lessThan">
      <formula>I496</formula>
    </cfRule>
    <cfRule type="cellIs" dxfId="168" priority="150" operator="greaterThan">
      <formula>I496</formula>
    </cfRule>
  </conditionalFormatting>
  <conditionalFormatting sqref="H503:H508">
    <cfRule type="cellIs" dxfId="167" priority="143" operator="lessThan">
      <formula>I503</formula>
    </cfRule>
    <cfRule type="cellIs" dxfId="166" priority="145" operator="lessThan">
      <formula>I503</formula>
    </cfRule>
    <cfRule type="cellIs" dxfId="165" priority="146" operator="greaterThan">
      <formula>I503</formula>
    </cfRule>
    <cfRule type="cellIs" dxfId="164" priority="144" operator="greaterThan">
      <formula>I503</formula>
    </cfRule>
  </conditionalFormatting>
  <conditionalFormatting sqref="H511:H515">
    <cfRule type="cellIs" dxfId="163" priority="646" operator="greaterThan">
      <formula>I511</formula>
    </cfRule>
    <cfRule type="cellIs" dxfId="162" priority="645" operator="lessThan">
      <formula>I511</formula>
    </cfRule>
  </conditionalFormatting>
  <conditionalFormatting sqref="H518:H525">
    <cfRule type="cellIs" dxfId="161" priority="142" operator="greaterThan">
      <formula>I518</formula>
    </cfRule>
    <cfRule type="cellIs" dxfId="160" priority="141" operator="lessThan">
      <formula>I518</formula>
    </cfRule>
    <cfRule type="cellIs" dxfId="159" priority="140" operator="greaterThan">
      <formula>I518</formula>
    </cfRule>
    <cfRule type="cellIs" dxfId="158" priority="139" operator="lessThan">
      <formula>I518</formula>
    </cfRule>
  </conditionalFormatting>
  <conditionalFormatting sqref="H528:H532">
    <cfRule type="cellIs" dxfId="157" priority="642" operator="greaterThan">
      <formula>I528</formula>
    </cfRule>
    <cfRule type="cellIs" dxfId="156" priority="641" operator="lessThan">
      <formula>I528</formula>
    </cfRule>
  </conditionalFormatting>
  <conditionalFormatting sqref="H535:H539">
    <cfRule type="cellIs" dxfId="155" priority="136" operator="greaterThan">
      <formula>I535</formula>
    </cfRule>
    <cfRule type="cellIs" dxfId="154" priority="135" operator="lessThan">
      <formula>I535</formula>
    </cfRule>
    <cfRule type="cellIs" dxfId="153" priority="138" operator="greaterThan">
      <formula>I535</formula>
    </cfRule>
    <cfRule type="cellIs" dxfId="152" priority="137" operator="lessThan">
      <formula>I535</formula>
    </cfRule>
  </conditionalFormatting>
  <conditionalFormatting sqref="H542:H546">
    <cfRule type="cellIs" dxfId="151" priority="638" operator="greaterThan">
      <formula>I542</formula>
    </cfRule>
    <cfRule type="cellIs" dxfId="150" priority="637" operator="lessThan">
      <formula>I542</formula>
    </cfRule>
  </conditionalFormatting>
  <conditionalFormatting sqref="H549:H554">
    <cfRule type="cellIs" dxfId="149" priority="134" operator="greaterThan">
      <formula>I549</formula>
    </cfRule>
    <cfRule type="cellIs" dxfId="148" priority="133" operator="lessThan">
      <formula>I549</formula>
    </cfRule>
    <cfRule type="cellIs" dxfId="147" priority="132" operator="greaterThan">
      <formula>I549</formula>
    </cfRule>
    <cfRule type="cellIs" dxfId="146" priority="131" operator="lessThan">
      <formula>I549</formula>
    </cfRule>
  </conditionalFormatting>
  <conditionalFormatting sqref="H557:H561">
    <cfRule type="cellIs" dxfId="145" priority="633" operator="lessThan">
      <formula>I557</formula>
    </cfRule>
    <cfRule type="cellIs" dxfId="144" priority="634" operator="greaterThan">
      <formula>I557</formula>
    </cfRule>
  </conditionalFormatting>
  <conditionalFormatting sqref="H564:H565">
    <cfRule type="cellIs" dxfId="143" priority="130" operator="greaterThan">
      <formula>I564</formula>
    </cfRule>
    <cfRule type="cellIs" dxfId="142" priority="129" operator="lessThan">
      <formula>I564</formula>
    </cfRule>
    <cfRule type="cellIs" dxfId="141" priority="128" operator="greaterThan">
      <formula>I564</formula>
    </cfRule>
    <cfRule type="cellIs" dxfId="140" priority="127" operator="lessThan">
      <formula>I564</formula>
    </cfRule>
  </conditionalFormatting>
  <conditionalFormatting sqref="H570:H589">
    <cfRule type="cellIs" dxfId="139" priority="234" operator="greaterThan">
      <formula>I570</formula>
    </cfRule>
    <cfRule type="cellIs" dxfId="138" priority="233" operator="lessThan">
      <formula>I570</formula>
    </cfRule>
    <cfRule type="cellIs" dxfId="137" priority="232" operator="greaterThan">
      <formula>I570</formula>
    </cfRule>
    <cfRule type="cellIs" dxfId="136" priority="231" operator="lessThan">
      <formula>I570</formula>
    </cfRule>
  </conditionalFormatting>
  <conditionalFormatting sqref="H592:H596">
    <cfRule type="cellIs" dxfId="135" priority="628" operator="greaterThan">
      <formula>I592</formula>
    </cfRule>
    <cfRule type="cellIs" dxfId="134" priority="627" operator="lessThan">
      <formula>I592</formula>
    </cfRule>
  </conditionalFormatting>
  <conditionalFormatting sqref="H599:H601">
    <cfRule type="cellIs" dxfId="133" priority="229" operator="lessThan">
      <formula>I599</formula>
    </cfRule>
    <cfRule type="cellIs" dxfId="132" priority="227" operator="lessThan">
      <formula>I599</formula>
    </cfRule>
    <cfRule type="cellIs" dxfId="131" priority="228" operator="greaterThan">
      <formula>I599</formula>
    </cfRule>
    <cfRule type="cellIs" dxfId="130" priority="230" operator="greaterThan">
      <formula>I599</formula>
    </cfRule>
  </conditionalFormatting>
  <conditionalFormatting sqref="H604:H608">
    <cfRule type="cellIs" dxfId="129" priority="624" operator="greaterThan">
      <formula>I604</formula>
    </cfRule>
    <cfRule type="cellIs" dxfId="128" priority="623" operator="lessThan">
      <formula>I604</formula>
    </cfRule>
  </conditionalFormatting>
  <conditionalFormatting sqref="H611:H612">
    <cfRule type="cellIs" dxfId="127" priority="223" operator="lessThan">
      <formula>I611</formula>
    </cfRule>
    <cfRule type="cellIs" dxfId="126" priority="224" operator="greaterThan">
      <formula>I611</formula>
    </cfRule>
    <cfRule type="cellIs" dxfId="125" priority="225" operator="lessThan">
      <formula>I611</formula>
    </cfRule>
    <cfRule type="cellIs" dxfId="124" priority="226" operator="greaterThan">
      <formula>I611</formula>
    </cfRule>
  </conditionalFormatting>
  <conditionalFormatting sqref="H617:H633">
    <cfRule type="cellIs" dxfId="123" priority="222" operator="greaterThan">
      <formula>I617</formula>
    </cfRule>
    <cfRule type="cellIs" dxfId="122" priority="219" operator="lessThan">
      <formula>I617</formula>
    </cfRule>
    <cfRule type="cellIs" dxfId="121" priority="220" operator="greaterThan">
      <formula>I617</formula>
    </cfRule>
    <cfRule type="cellIs" dxfId="120" priority="221" operator="lessThan">
      <formula>I617</formula>
    </cfRule>
  </conditionalFormatting>
  <conditionalFormatting sqref="H636:H640">
    <cfRule type="cellIs" dxfId="119" priority="617" operator="lessThan">
      <formula>I636</formula>
    </cfRule>
    <cfRule type="cellIs" dxfId="118" priority="618" operator="greaterThan">
      <formula>I636</formula>
    </cfRule>
  </conditionalFormatting>
  <conditionalFormatting sqref="H643:H644">
    <cfRule type="cellIs" dxfId="117" priority="217" operator="lessThan">
      <formula>I643</formula>
    </cfRule>
    <cfRule type="cellIs" dxfId="116" priority="216" operator="greaterThan">
      <formula>I643</formula>
    </cfRule>
    <cfRule type="cellIs" dxfId="115" priority="215" operator="lessThan">
      <formula>I643</formula>
    </cfRule>
    <cfRule type="cellIs" dxfId="114" priority="218" operator="greaterThan">
      <formula>I643</formula>
    </cfRule>
  </conditionalFormatting>
  <conditionalFormatting sqref="H649:H661">
    <cfRule type="cellIs" dxfId="113" priority="214" operator="greaterThan">
      <formula>I649</formula>
    </cfRule>
    <cfRule type="cellIs" dxfId="112" priority="213" operator="lessThan">
      <formula>I649</formula>
    </cfRule>
    <cfRule type="cellIs" dxfId="111" priority="211" operator="lessThan">
      <formula>I649</formula>
    </cfRule>
    <cfRule type="cellIs" dxfId="110" priority="212" operator="greaterThan">
      <formula>I649</formula>
    </cfRule>
  </conditionalFormatting>
  <conditionalFormatting sqref="H664:H668">
    <cfRule type="cellIs" dxfId="109" priority="611" operator="lessThan">
      <formula>I664</formula>
    </cfRule>
    <cfRule type="cellIs" dxfId="108" priority="612" operator="greaterThan">
      <formula>I664</formula>
    </cfRule>
  </conditionalFormatting>
  <conditionalFormatting sqref="H671:H672">
    <cfRule type="cellIs" dxfId="107" priority="210" operator="greaterThan">
      <formula>I671</formula>
    </cfRule>
    <cfRule type="cellIs" dxfId="106" priority="209" operator="lessThan">
      <formula>I671</formula>
    </cfRule>
    <cfRule type="cellIs" dxfId="105" priority="208" operator="greaterThan">
      <formula>I671</formula>
    </cfRule>
    <cfRule type="cellIs" dxfId="104" priority="207" operator="lessThan">
      <formula>I671</formula>
    </cfRule>
  </conditionalFormatting>
  <conditionalFormatting sqref="H678:H687">
    <cfRule type="cellIs" dxfId="103" priority="206" operator="greaterThan">
      <formula>I678</formula>
    </cfRule>
    <cfRule type="cellIs" dxfId="102" priority="205" operator="lessThan">
      <formula>I678</formula>
    </cfRule>
    <cfRule type="cellIs" dxfId="101" priority="204" operator="greaterThan">
      <formula>I678</formula>
    </cfRule>
    <cfRule type="cellIs" dxfId="100" priority="203" operator="lessThan">
      <formula>I678</formula>
    </cfRule>
  </conditionalFormatting>
  <conditionalFormatting sqref="H690">
    <cfRule type="cellIs" dxfId="99" priority="1" operator="lessThan">
      <formula>I690</formula>
    </cfRule>
    <cfRule type="cellIs" dxfId="98" priority="2" operator="greaterThan">
      <formula>I690</formula>
    </cfRule>
  </conditionalFormatting>
  <conditionalFormatting sqref="H690:H691">
    <cfRule type="cellIs" dxfId="97" priority="4" operator="greaterThan">
      <formula>I690</formula>
    </cfRule>
    <cfRule type="cellIs" dxfId="96" priority="3" operator="lessThan">
      <formula>I690</formula>
    </cfRule>
  </conditionalFormatting>
  <conditionalFormatting sqref="H693:H694">
    <cfRule type="cellIs" dxfId="95" priority="126" operator="greaterThan">
      <formula>I693</formula>
    </cfRule>
    <cfRule type="cellIs" dxfId="94" priority="125" operator="lessThan">
      <formula>I693</formula>
    </cfRule>
    <cfRule type="cellIs" dxfId="93" priority="124" operator="greaterThan">
      <formula>I693</formula>
    </cfRule>
    <cfRule type="cellIs" dxfId="92" priority="123" operator="lessThan">
      <formula>I693</formula>
    </cfRule>
  </conditionalFormatting>
  <conditionalFormatting sqref="H697:H699">
    <cfRule type="cellIs" dxfId="91" priority="201" operator="lessThan">
      <formula>I697</formula>
    </cfRule>
    <cfRule type="cellIs" dxfId="90" priority="202" operator="greaterThan">
      <formula>I697</formula>
    </cfRule>
    <cfRule type="cellIs" dxfId="89" priority="200" operator="greaterThan">
      <formula>I697</formula>
    </cfRule>
    <cfRule type="cellIs" dxfId="88" priority="199" operator="lessThan">
      <formula>I697</formula>
    </cfRule>
  </conditionalFormatting>
  <conditionalFormatting sqref="H702:H703">
    <cfRule type="cellIs" dxfId="87" priority="601" operator="lessThan">
      <formula>I702</formula>
    </cfRule>
    <cfRule type="cellIs" dxfId="86" priority="602" operator="greaterThan">
      <formula>I702</formula>
    </cfRule>
  </conditionalFormatting>
  <conditionalFormatting sqref="H705:H706">
    <cfRule type="cellIs" dxfId="85" priority="119" operator="lessThan">
      <formula>I705</formula>
    </cfRule>
    <cfRule type="cellIs" dxfId="84" priority="122" operator="greaterThan">
      <formula>I705</formula>
    </cfRule>
    <cfRule type="cellIs" dxfId="83" priority="121" operator="lessThan">
      <formula>I705</formula>
    </cfRule>
    <cfRule type="cellIs" dxfId="82" priority="120" operator="greaterThan">
      <formula>I705</formula>
    </cfRule>
  </conditionalFormatting>
  <conditionalFormatting sqref="H709:H718">
    <cfRule type="cellIs" dxfId="81" priority="198" operator="greaterThan">
      <formula>I709</formula>
    </cfRule>
    <cfRule type="cellIs" dxfId="80" priority="197" operator="lessThan">
      <formula>I709</formula>
    </cfRule>
    <cfRule type="cellIs" dxfId="79" priority="196" operator="greaterThan">
      <formula>I709</formula>
    </cfRule>
    <cfRule type="cellIs" dxfId="78" priority="195" operator="lessThan">
      <formula>I709</formula>
    </cfRule>
  </conditionalFormatting>
  <conditionalFormatting sqref="H721:H723">
    <cfRule type="cellIs" dxfId="77" priority="193" operator="lessThan">
      <formula>I721</formula>
    </cfRule>
    <cfRule type="cellIs" dxfId="76" priority="192" operator="greaterThan">
      <formula>I721</formula>
    </cfRule>
    <cfRule type="cellIs" dxfId="75" priority="191" operator="lessThan">
      <formula>I721</formula>
    </cfRule>
    <cfRule type="cellIs" dxfId="74" priority="194" operator="greaterThan">
      <formula>I721</formula>
    </cfRule>
  </conditionalFormatting>
  <conditionalFormatting sqref="H725:H726">
    <cfRule type="cellIs" dxfId="73" priority="115" operator="lessThan">
      <formula>I725</formula>
    </cfRule>
    <cfRule type="cellIs" dxfId="72" priority="116" operator="greaterThan">
      <formula>I725</formula>
    </cfRule>
    <cfRule type="cellIs" dxfId="71" priority="117" operator="lessThan">
      <formula>I725</formula>
    </cfRule>
    <cfRule type="cellIs" dxfId="70" priority="118" operator="greaterThan">
      <formula>I725</formula>
    </cfRule>
  </conditionalFormatting>
  <conditionalFormatting sqref="H729:H735">
    <cfRule type="cellIs" dxfId="69" priority="190" operator="greaterThan">
      <formula>I729</formula>
    </cfRule>
    <cfRule type="cellIs" dxfId="68" priority="189" operator="lessThan">
      <formula>I729</formula>
    </cfRule>
    <cfRule type="cellIs" dxfId="67" priority="188" operator="greaterThan">
      <formula>I729</formula>
    </cfRule>
    <cfRule type="cellIs" dxfId="66" priority="187" operator="lessThan">
      <formula>I729</formula>
    </cfRule>
  </conditionalFormatting>
  <conditionalFormatting sqref="H738">
    <cfRule type="cellIs" dxfId="65" priority="594" operator="greaterThan">
      <formula>I738</formula>
    </cfRule>
    <cfRule type="cellIs" dxfId="64" priority="593" operator="lessThan">
      <formula>I738</formula>
    </cfRule>
  </conditionalFormatting>
  <conditionalFormatting sqref="H740:H741">
    <cfRule type="cellIs" dxfId="63" priority="111" operator="lessThan">
      <formula>I740</formula>
    </cfRule>
    <cfRule type="cellIs" dxfId="62" priority="112" operator="greaterThan">
      <formula>I740</formula>
    </cfRule>
    <cfRule type="cellIs" dxfId="61" priority="113" operator="lessThan">
      <formula>I740</formula>
    </cfRule>
    <cfRule type="cellIs" dxfId="60" priority="114" operator="greaterThan">
      <formula>I740</formula>
    </cfRule>
  </conditionalFormatting>
  <conditionalFormatting sqref="H744:H765">
    <cfRule type="cellIs" dxfId="59" priority="186" operator="greaterThan">
      <formula>I744</formula>
    </cfRule>
    <cfRule type="cellIs" dxfId="58" priority="185" operator="lessThan">
      <formula>I744</formula>
    </cfRule>
    <cfRule type="cellIs" dxfId="57" priority="184" operator="greaterThan">
      <formula>I744</formula>
    </cfRule>
    <cfRule type="cellIs" dxfId="56" priority="183" operator="lessThan">
      <formula>I744</formula>
    </cfRule>
  </conditionalFormatting>
  <conditionalFormatting sqref="H768:H772">
    <cfRule type="cellIs" dxfId="55" priority="589" operator="lessThan">
      <formula>I768</formula>
    </cfRule>
    <cfRule type="cellIs" dxfId="54" priority="590" operator="greaterThan">
      <formula>I768</formula>
    </cfRule>
  </conditionalFormatting>
  <conditionalFormatting sqref="H775:H776">
    <cfRule type="cellIs" dxfId="53" priority="179" operator="lessThan">
      <formula>I775</formula>
    </cfRule>
    <cfRule type="cellIs" dxfId="52" priority="180" operator="greaterThan">
      <formula>I775</formula>
    </cfRule>
    <cfRule type="cellIs" dxfId="51" priority="181" operator="lessThan">
      <formula>I775</formula>
    </cfRule>
    <cfRule type="cellIs" dxfId="50" priority="182" operator="greaterThan">
      <formula>I775</formula>
    </cfRule>
  </conditionalFormatting>
  <conditionalFormatting sqref="H781:H789">
    <cfRule type="cellIs" dxfId="49" priority="178" operator="greaterThan">
      <formula>I781</formula>
    </cfRule>
    <cfRule type="cellIs" dxfId="48" priority="177" operator="lessThan">
      <formula>I781</formula>
    </cfRule>
    <cfRule type="cellIs" dxfId="47" priority="176" operator="greaterThan">
      <formula>I781</formula>
    </cfRule>
    <cfRule type="cellIs" dxfId="46" priority="175" operator="lessThan">
      <formula>I781</formula>
    </cfRule>
  </conditionalFormatting>
  <conditionalFormatting sqref="H792:H796">
    <cfRule type="cellIs" dxfId="45" priority="583" operator="lessThan">
      <formula>I792</formula>
    </cfRule>
    <cfRule type="cellIs" dxfId="44" priority="584" operator="greaterThan">
      <formula>I792</formula>
    </cfRule>
  </conditionalFormatting>
  <conditionalFormatting sqref="H799:H800">
    <cfRule type="cellIs" dxfId="43" priority="171" operator="lessThan">
      <formula>I799</formula>
    </cfRule>
    <cfRule type="cellIs" dxfId="42" priority="172" operator="greaterThan">
      <formula>I799</formula>
    </cfRule>
    <cfRule type="cellIs" dxfId="41" priority="173" operator="lessThan">
      <formula>I799</formula>
    </cfRule>
    <cfRule type="cellIs" dxfId="40" priority="174" operator="greaterThan">
      <formula>I799</formula>
    </cfRule>
  </conditionalFormatting>
  <conditionalFormatting sqref="H805:H811">
    <cfRule type="cellIs" dxfId="39" priority="63" operator="lessThan">
      <formula>I805</formula>
    </cfRule>
    <cfRule type="cellIs" dxfId="38" priority="64" operator="greaterThan">
      <formula>I805</formula>
    </cfRule>
    <cfRule type="cellIs" dxfId="37" priority="65" operator="lessThan">
      <formula>I805</formula>
    </cfRule>
    <cfRule type="cellIs" dxfId="36" priority="66" operator="greaterThan">
      <formula>I805</formula>
    </cfRule>
  </conditionalFormatting>
  <conditionalFormatting sqref="H812:H817">
    <cfRule type="cellIs" dxfId="35" priority="338" operator="greaterThan">
      <formula>I812</formula>
    </cfRule>
    <cfRule type="cellIs" dxfId="34" priority="337" operator="lessThan">
      <formula>I812</formula>
    </cfRule>
  </conditionalFormatting>
  <conditionalFormatting sqref="H812:H824">
    <cfRule type="cellIs" dxfId="33" priority="70" operator="greaterThan">
      <formula>I812</formula>
    </cfRule>
    <cfRule type="cellIs" dxfId="32" priority="69" operator="lessThan">
      <formula>I812</formula>
    </cfRule>
  </conditionalFormatting>
  <conditionalFormatting sqref="H818:H821">
    <cfRule type="cellIs" dxfId="31" priority="67" operator="lessThan">
      <formula>I818</formula>
    </cfRule>
    <cfRule type="cellIs" dxfId="30" priority="68" operator="greaterThan">
      <formula>I818</formula>
    </cfRule>
  </conditionalFormatting>
  <conditionalFormatting sqref="H827:H828">
    <cfRule type="cellIs" dxfId="29" priority="170" operator="greaterThan">
      <formula>I827</formula>
    </cfRule>
    <cfRule type="cellIs" dxfId="28" priority="168" operator="greaterThan">
      <formula>I827</formula>
    </cfRule>
    <cfRule type="cellIs" dxfId="27" priority="167" operator="lessThan">
      <formula>I827</formula>
    </cfRule>
    <cfRule type="cellIs" dxfId="26" priority="169" operator="lessThan">
      <formula>I827</formula>
    </cfRule>
  </conditionalFormatting>
  <conditionalFormatting sqref="H833:H837">
    <cfRule type="cellIs" dxfId="25" priority="93" operator="lessThan">
      <formula>I833</formula>
    </cfRule>
    <cfRule type="cellIs" dxfId="24" priority="96" operator="greaterThan">
      <formula>I833</formula>
    </cfRule>
    <cfRule type="cellIs" dxfId="23" priority="95" operator="lessThan">
      <formula>I833</formula>
    </cfRule>
    <cfRule type="cellIs" dxfId="22" priority="94" operator="greaterThan">
      <formula>I833</formula>
    </cfRule>
  </conditionalFormatting>
  <conditionalFormatting sqref="H839:H840">
    <cfRule type="cellIs" dxfId="21" priority="89" operator="lessThan">
      <formula>I839</formula>
    </cfRule>
    <cfRule type="cellIs" dxfId="20" priority="90" operator="greaterThan">
      <formula>I839</formula>
    </cfRule>
    <cfRule type="cellIs" dxfId="19" priority="91" operator="lessThan">
      <formula>I839</formula>
    </cfRule>
    <cfRule type="cellIs" dxfId="18" priority="92" operator="greaterThan">
      <formula>I839</formula>
    </cfRule>
  </conditionalFormatting>
  <conditionalFormatting sqref="H846:H848">
    <cfRule type="cellIs" dxfId="17" priority="164" operator="greaterThan">
      <formula>I846</formula>
    </cfRule>
    <cfRule type="cellIs" dxfId="16" priority="163" operator="lessThan">
      <formula>I846</formula>
    </cfRule>
    <cfRule type="cellIs" dxfId="15" priority="165" operator="lessThan">
      <formula>I846</formula>
    </cfRule>
    <cfRule type="cellIs" dxfId="14" priority="166" operator="greaterThan">
      <formula>I846</formula>
    </cfRule>
  </conditionalFormatting>
  <conditionalFormatting sqref="H851:H860">
    <cfRule type="cellIs" dxfId="13" priority="72" operator="greaterThan">
      <formula>I851</formula>
    </cfRule>
    <cfRule type="cellIs" dxfId="12" priority="71" operator="lessThan">
      <formula>I851</formula>
    </cfRule>
  </conditionalFormatting>
  <conditionalFormatting sqref="H862:H863">
    <cfRule type="cellIs" dxfId="11" priority="155" operator="lessThan">
      <formula>I862</formula>
    </cfRule>
    <cfRule type="cellIs" dxfId="10" priority="156" operator="greaterThan">
      <formula>I862</formula>
    </cfRule>
    <cfRule type="cellIs" dxfId="9" priority="157" operator="lessThan">
      <formula>I862</formula>
    </cfRule>
    <cfRule type="cellIs" dxfId="8" priority="158" operator="greaterThan">
      <formula>I862</formula>
    </cfRule>
  </conditionalFormatting>
  <conditionalFormatting sqref="I863">
    <cfRule type="cellIs" dxfId="7" priority="105" operator="lessThan">
      <formula>J863</formula>
    </cfRule>
    <cfRule type="cellIs" dxfId="6" priority="106" operator="greaterThan">
      <formula>J863</formula>
    </cfRule>
    <cfRule type="cellIs" dxfId="5" priority="107" operator="lessThan">
      <formula>J863</formula>
    </cfRule>
    <cfRule type="cellIs" dxfId="4" priority="108" operator="greaterThan">
      <formula>J863</formula>
    </cfRule>
  </conditionalFormatting>
  <conditionalFormatting sqref="U3">
    <cfRule type="cellIs" dxfId="3" priority="735" operator="lessThan">
      <formula>0</formula>
    </cfRule>
    <cfRule type="cellIs" dxfId="2" priority="736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5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0">
    <tabColor rgb="FFFFFF66"/>
  </sheetPr>
  <dimension ref="A1:E1044"/>
  <sheetViews>
    <sheetView showGridLines="0" zoomScale="80" zoomScaleNormal="80" workbookViewId="0">
      <selection activeCell="C1" sqref="C1:C1048576"/>
    </sheetView>
  </sheetViews>
  <sheetFormatPr defaultRowHeight="15"/>
  <cols>
    <col min="1" max="1" width="13.1796875" bestFit="1" customWidth="1"/>
    <col min="2" max="2" width="54.48046875" bestFit="1" customWidth="1"/>
  </cols>
  <sheetData>
    <row r="1" spans="1:3">
      <c r="A1" s="92">
        <v>201000</v>
      </c>
      <c r="B1" s="25" t="s">
        <v>345</v>
      </c>
      <c r="C1" s="110">
        <v>1</v>
      </c>
    </row>
    <row r="2" spans="1:3">
      <c r="A2" s="92">
        <v>201005</v>
      </c>
      <c r="B2" s="25" t="s">
        <v>346</v>
      </c>
      <c r="C2" s="110">
        <v>0</v>
      </c>
    </row>
    <row r="3" spans="1:3">
      <c r="A3" s="92">
        <v>201010</v>
      </c>
      <c r="B3" s="25" t="s">
        <v>347</v>
      </c>
      <c r="C3" s="110">
        <v>0</v>
      </c>
    </row>
    <row r="4" spans="1:3">
      <c r="A4" s="92">
        <v>201015</v>
      </c>
      <c r="B4" s="25" t="s">
        <v>348</v>
      </c>
      <c r="C4" s="110">
        <v>5</v>
      </c>
    </row>
    <row r="5" spans="1:3">
      <c r="A5" s="92">
        <v>201020</v>
      </c>
      <c r="B5" s="25" t="s">
        <v>349</v>
      </c>
      <c r="C5" s="110">
        <v>1</v>
      </c>
    </row>
    <row r="6" spans="1:3">
      <c r="A6" s="92">
        <v>201025</v>
      </c>
      <c r="B6" s="25" t="s">
        <v>728</v>
      </c>
      <c r="C6" s="110">
        <v>0</v>
      </c>
    </row>
    <row r="7" spans="1:3">
      <c r="A7" s="92">
        <v>201030</v>
      </c>
      <c r="B7" s="25" t="s">
        <v>350</v>
      </c>
      <c r="C7" s="110">
        <v>1</v>
      </c>
    </row>
    <row r="8" spans="1:3">
      <c r="A8" s="92">
        <v>201035</v>
      </c>
      <c r="B8" s="25" t="s">
        <v>351</v>
      </c>
      <c r="C8" s="110">
        <v>1</v>
      </c>
    </row>
    <row r="9" spans="1:3">
      <c r="A9" s="92">
        <v>201040</v>
      </c>
      <c r="B9" s="25" t="s">
        <v>352</v>
      </c>
      <c r="C9" s="110">
        <v>0</v>
      </c>
    </row>
    <row r="10" spans="1:3">
      <c r="A10" s="92">
        <v>201045</v>
      </c>
      <c r="B10" s="25" t="s">
        <v>353</v>
      </c>
      <c r="C10" s="110">
        <v>1</v>
      </c>
    </row>
    <row r="11" spans="1:3">
      <c r="A11" s="92">
        <v>201050</v>
      </c>
      <c r="B11" s="25" t="s">
        <v>354</v>
      </c>
      <c r="C11" s="110">
        <v>0</v>
      </c>
    </row>
    <row r="12" spans="1:3">
      <c r="A12" s="92">
        <v>2</v>
      </c>
      <c r="B12" s="25" t="s">
        <v>588</v>
      </c>
      <c r="C12" s="110">
        <v>0</v>
      </c>
    </row>
    <row r="13" spans="1:3">
      <c r="A13" s="92">
        <v>3</v>
      </c>
      <c r="B13" s="25" t="s">
        <v>585</v>
      </c>
      <c r="C13" s="110">
        <v>1</v>
      </c>
    </row>
    <row r="14" spans="1:3">
      <c r="A14" s="92"/>
      <c r="B14" s="25" t="s">
        <v>0</v>
      </c>
      <c r="C14" s="110">
        <v>0</v>
      </c>
    </row>
    <row r="15" spans="1:3">
      <c r="A15" s="92">
        <v>4</v>
      </c>
      <c r="B15" s="25" t="s">
        <v>730</v>
      </c>
      <c r="C15" s="110">
        <v>0</v>
      </c>
    </row>
    <row r="16" spans="1:3">
      <c r="A16" s="92">
        <v>5</v>
      </c>
      <c r="B16" s="25" t="s">
        <v>358</v>
      </c>
      <c r="C16" s="110">
        <v>0</v>
      </c>
    </row>
    <row r="17" spans="1:3">
      <c r="A17" s="92">
        <v>6</v>
      </c>
      <c r="B17" s="25" t="s">
        <v>359</v>
      </c>
      <c r="C17" s="110">
        <v>1</v>
      </c>
    </row>
    <row r="18" spans="1:3">
      <c r="A18" s="92">
        <v>7</v>
      </c>
      <c r="B18" s="25" t="s">
        <v>360</v>
      </c>
      <c r="C18" s="110">
        <v>0</v>
      </c>
    </row>
    <row r="19" spans="1:3">
      <c r="A19" s="92">
        <v>201055</v>
      </c>
      <c r="B19" s="25" t="s">
        <v>361</v>
      </c>
      <c r="C19" s="110">
        <v>1</v>
      </c>
    </row>
    <row r="20" spans="1:3">
      <c r="A20" s="92">
        <v>201060</v>
      </c>
      <c r="B20" s="25" t="s">
        <v>362</v>
      </c>
      <c r="C20" s="110">
        <v>1</v>
      </c>
    </row>
    <row r="21" spans="1:3">
      <c r="A21" s="92">
        <v>201065</v>
      </c>
      <c r="B21" s="25" t="s">
        <v>363</v>
      </c>
      <c r="C21" s="110">
        <v>0</v>
      </c>
    </row>
    <row r="22" spans="1:3">
      <c r="A22" s="92">
        <v>201070</v>
      </c>
      <c r="B22" s="25" t="s">
        <v>364</v>
      </c>
      <c r="C22" s="110">
        <v>1</v>
      </c>
    </row>
    <row r="23" spans="1:3">
      <c r="A23" s="92">
        <v>201075</v>
      </c>
      <c r="B23" s="25" t="s">
        <v>365</v>
      </c>
      <c r="C23" s="110">
        <v>0</v>
      </c>
    </row>
    <row r="24" spans="1:3">
      <c r="A24" s="92">
        <v>201080</v>
      </c>
      <c r="B24" s="25" t="s">
        <v>731</v>
      </c>
      <c r="C24" s="110">
        <v>0</v>
      </c>
    </row>
    <row r="25" spans="1:3">
      <c r="A25" s="92">
        <v>201085</v>
      </c>
      <c r="B25" s="25" t="s">
        <v>366</v>
      </c>
      <c r="C25" s="110">
        <v>0</v>
      </c>
    </row>
    <row r="26" spans="1:3">
      <c r="A26" s="92">
        <v>201090</v>
      </c>
      <c r="B26" s="25" t="s">
        <v>367</v>
      </c>
      <c r="C26" s="110">
        <v>0</v>
      </c>
    </row>
    <row r="27" spans="1:3">
      <c r="A27" s="92">
        <v>201095</v>
      </c>
      <c r="B27" s="25" t="s">
        <v>368</v>
      </c>
      <c r="C27" s="110">
        <v>0</v>
      </c>
    </row>
    <row r="28" spans="1:3">
      <c r="A28" s="92">
        <v>201100</v>
      </c>
      <c r="B28" s="25" t="s">
        <v>369</v>
      </c>
      <c r="C28" s="110">
        <v>0</v>
      </c>
    </row>
    <row r="29" spans="1:3">
      <c r="A29" s="92">
        <v>201105</v>
      </c>
      <c r="B29" s="25" t="s">
        <v>370</v>
      </c>
      <c r="C29" s="110">
        <v>1</v>
      </c>
    </row>
    <row r="30" spans="1:3">
      <c r="A30" s="92">
        <v>201110</v>
      </c>
      <c r="B30" s="25" t="s">
        <v>371</v>
      </c>
      <c r="C30" s="110">
        <v>0</v>
      </c>
    </row>
    <row r="31" spans="1:3">
      <c r="A31" s="92">
        <v>201115</v>
      </c>
      <c r="B31" s="25" t="s">
        <v>372</v>
      </c>
      <c r="C31" s="110">
        <v>0</v>
      </c>
    </row>
    <row r="32" spans="1:3">
      <c r="A32" s="92">
        <v>201120</v>
      </c>
      <c r="B32" s="25" t="s">
        <v>373</v>
      </c>
      <c r="C32" s="110">
        <v>0</v>
      </c>
    </row>
    <row r="33" spans="1:3">
      <c r="A33" s="92">
        <v>201125</v>
      </c>
      <c r="B33" s="25" t="s">
        <v>374</v>
      </c>
      <c r="C33" s="110">
        <v>0</v>
      </c>
    </row>
    <row r="34" spans="1:3">
      <c r="A34" s="92">
        <v>201130</v>
      </c>
      <c r="B34" s="25" t="s">
        <v>375</v>
      </c>
      <c r="C34" s="110">
        <v>4</v>
      </c>
    </row>
    <row r="35" spans="1:3">
      <c r="A35" s="92">
        <v>201135</v>
      </c>
      <c r="B35" s="25" t="s">
        <v>376</v>
      </c>
      <c r="C35" s="110">
        <v>0</v>
      </c>
    </row>
    <row r="36" spans="1:3">
      <c r="A36" s="92">
        <v>201140</v>
      </c>
      <c r="B36" s="25" t="s">
        <v>377</v>
      </c>
      <c r="C36" s="110">
        <v>0</v>
      </c>
    </row>
    <row r="37" spans="1:3">
      <c r="A37" s="92">
        <v>201145</v>
      </c>
      <c r="B37" s="25" t="s">
        <v>378</v>
      </c>
      <c r="C37" s="110">
        <v>0</v>
      </c>
    </row>
    <row r="38" spans="1:3">
      <c r="A38" s="92">
        <v>201150</v>
      </c>
      <c r="B38" s="25" t="s">
        <v>379</v>
      </c>
      <c r="C38" s="110">
        <v>0</v>
      </c>
    </row>
    <row r="39" spans="1:3">
      <c r="A39" s="92">
        <v>201155</v>
      </c>
      <c r="B39" s="25" t="s">
        <v>380</v>
      </c>
      <c r="C39" s="110">
        <v>0</v>
      </c>
    </row>
    <row r="40" spans="1:3">
      <c r="A40" s="92">
        <v>201160</v>
      </c>
      <c r="B40" s="25" t="s">
        <v>381</v>
      </c>
      <c r="C40" s="110">
        <v>0</v>
      </c>
    </row>
    <row r="41" spans="1:3">
      <c r="A41" s="92">
        <v>201165</v>
      </c>
      <c r="B41" s="25" t="s">
        <v>382</v>
      </c>
      <c r="C41" s="110">
        <v>0</v>
      </c>
    </row>
    <row r="42" spans="1:3">
      <c r="A42" s="92">
        <v>201170</v>
      </c>
      <c r="B42" s="25" t="s">
        <v>383</v>
      </c>
      <c r="C42" s="110">
        <v>1</v>
      </c>
    </row>
    <row r="43" spans="1:3">
      <c r="A43" s="92">
        <v>201175</v>
      </c>
      <c r="B43" s="25" t="s">
        <v>384</v>
      </c>
      <c r="C43" s="110">
        <v>0</v>
      </c>
    </row>
    <row r="44" spans="1:3">
      <c r="A44" s="92">
        <v>201180</v>
      </c>
      <c r="B44" s="25" t="s">
        <v>385</v>
      </c>
      <c r="C44" s="110">
        <v>5</v>
      </c>
    </row>
    <row r="45" spans="1:3">
      <c r="A45" s="92">
        <v>201185</v>
      </c>
      <c r="B45" s="25" t="s">
        <v>386</v>
      </c>
      <c r="C45" s="110">
        <v>0</v>
      </c>
    </row>
    <row r="46" spans="1:3">
      <c r="A46" s="92">
        <v>201190</v>
      </c>
      <c r="B46" s="25" t="s">
        <v>387</v>
      </c>
      <c r="C46" s="110">
        <v>0</v>
      </c>
    </row>
    <row r="47" spans="1:3">
      <c r="A47" s="92">
        <v>201195</v>
      </c>
      <c r="B47" s="25" t="s">
        <v>388</v>
      </c>
      <c r="C47" s="110">
        <v>1</v>
      </c>
    </row>
    <row r="48" spans="1:3">
      <c r="A48" s="92">
        <v>201200</v>
      </c>
      <c r="B48" s="25" t="s">
        <v>389</v>
      </c>
      <c r="C48" s="110">
        <v>0</v>
      </c>
    </row>
    <row r="49" spans="1:3">
      <c r="A49" s="92">
        <v>201205</v>
      </c>
      <c r="B49" s="25" t="s">
        <v>390</v>
      </c>
      <c r="C49" s="110">
        <v>1</v>
      </c>
    </row>
    <row r="50" spans="1:3">
      <c r="A50" s="92">
        <v>201210</v>
      </c>
      <c r="B50" s="25" t="s">
        <v>393</v>
      </c>
      <c r="C50" s="110">
        <v>0</v>
      </c>
    </row>
    <row r="51" spans="1:3">
      <c r="A51" s="92">
        <v>201215</v>
      </c>
      <c r="B51" s="25" t="s">
        <v>391</v>
      </c>
      <c r="C51" s="110">
        <v>0</v>
      </c>
    </row>
    <row r="52" spans="1:3">
      <c r="A52" s="92">
        <v>201220</v>
      </c>
      <c r="B52" s="25" t="s">
        <v>392</v>
      </c>
      <c r="C52" s="110">
        <v>0</v>
      </c>
    </row>
    <row r="53" spans="1:3">
      <c r="A53" s="92">
        <v>9</v>
      </c>
      <c r="B53" s="25" t="s">
        <v>394</v>
      </c>
      <c r="C53" s="110">
        <v>0</v>
      </c>
    </row>
    <row r="54" spans="1:3">
      <c r="A54" s="92">
        <v>10</v>
      </c>
      <c r="B54" s="25" t="s">
        <v>732</v>
      </c>
      <c r="C54" s="110" t="e">
        <v>#N/A</v>
      </c>
    </row>
    <row r="55" spans="1:3">
      <c r="A55" s="92">
        <v>11</v>
      </c>
      <c r="B55" s="25" t="s">
        <v>733</v>
      </c>
      <c r="C55" s="110">
        <v>1</v>
      </c>
    </row>
    <row r="56" spans="1:3">
      <c r="A56" s="92">
        <v>12</v>
      </c>
      <c r="B56" s="25" t="s">
        <v>356</v>
      </c>
      <c r="C56" s="110">
        <v>1</v>
      </c>
    </row>
    <row r="57" spans="1:3">
      <c r="A57" s="92">
        <v>13</v>
      </c>
      <c r="B57" s="25" t="s">
        <v>0</v>
      </c>
      <c r="C57" s="110">
        <v>0</v>
      </c>
    </row>
    <row r="58" spans="1:3">
      <c r="A58" s="92">
        <v>14</v>
      </c>
      <c r="B58" s="25" t="s">
        <v>734</v>
      </c>
      <c r="C58" s="110">
        <v>0</v>
      </c>
    </row>
    <row r="59" spans="1:3">
      <c r="A59" s="92">
        <v>15</v>
      </c>
      <c r="B59" s="25" t="s">
        <v>735</v>
      </c>
      <c r="C59" s="110">
        <v>0</v>
      </c>
    </row>
    <row r="60" spans="1:3">
      <c r="A60" s="92">
        <v>16</v>
      </c>
      <c r="B60" s="25" t="s">
        <v>358</v>
      </c>
      <c r="C60" s="110">
        <v>0</v>
      </c>
    </row>
    <row r="61" spans="1:3">
      <c r="A61" s="92">
        <v>17</v>
      </c>
      <c r="B61" s="25" t="s">
        <v>359</v>
      </c>
      <c r="C61" s="110">
        <v>2</v>
      </c>
    </row>
    <row r="62" spans="1:3">
      <c r="A62" s="92">
        <v>18</v>
      </c>
      <c r="B62" s="25" t="s">
        <v>360</v>
      </c>
      <c r="C62" s="110">
        <v>0</v>
      </c>
    </row>
    <row r="63" spans="1:3">
      <c r="A63" s="92">
        <v>301000</v>
      </c>
      <c r="B63" s="25" t="s">
        <v>2149</v>
      </c>
      <c r="C63" s="110">
        <v>0</v>
      </c>
    </row>
    <row r="64" spans="1:3">
      <c r="A64" s="92">
        <v>301005</v>
      </c>
      <c r="B64" s="25" t="s">
        <v>2150</v>
      </c>
      <c r="C64" s="110">
        <v>0</v>
      </c>
    </row>
    <row r="65" spans="1:3">
      <c r="A65" s="92">
        <v>301010</v>
      </c>
      <c r="B65" s="25" t="s">
        <v>2151</v>
      </c>
      <c r="C65" s="110">
        <v>0</v>
      </c>
    </row>
    <row r="66" spans="1:3">
      <c r="A66" s="92">
        <v>301015</v>
      </c>
      <c r="B66" s="25" t="s">
        <v>2152</v>
      </c>
      <c r="C66" s="110">
        <v>0</v>
      </c>
    </row>
    <row r="67" spans="1:3">
      <c r="A67" s="92">
        <v>301020</v>
      </c>
      <c r="B67" s="25" t="s">
        <v>2153</v>
      </c>
      <c r="C67" s="110">
        <v>0</v>
      </c>
    </row>
    <row r="68" spans="1:3">
      <c r="A68" s="92">
        <v>301025</v>
      </c>
      <c r="B68" s="25" t="s">
        <v>2154</v>
      </c>
      <c r="C68" s="110">
        <v>0</v>
      </c>
    </row>
    <row r="69" spans="1:3">
      <c r="A69" s="92">
        <v>204000</v>
      </c>
      <c r="B69" s="25" t="s">
        <v>395</v>
      </c>
      <c r="C69" s="110">
        <v>1</v>
      </c>
    </row>
    <row r="70" spans="1:3">
      <c r="A70" s="92">
        <v>204005</v>
      </c>
      <c r="B70" s="25" t="s">
        <v>396</v>
      </c>
      <c r="C70" s="110">
        <v>1</v>
      </c>
    </row>
    <row r="71" spans="1:3">
      <c r="A71" s="92">
        <v>204010</v>
      </c>
      <c r="B71" s="25" t="s">
        <v>397</v>
      </c>
      <c r="C71" s="110">
        <v>0</v>
      </c>
    </row>
    <row r="72" spans="1:3">
      <c r="A72" s="92">
        <v>204015</v>
      </c>
      <c r="B72" s="25" t="s">
        <v>398</v>
      </c>
      <c r="C72" s="110">
        <v>1</v>
      </c>
    </row>
    <row r="73" spans="1:3">
      <c r="A73" s="92">
        <v>204020</v>
      </c>
      <c r="B73" s="25" t="s">
        <v>399</v>
      </c>
      <c r="C73" s="110">
        <v>1</v>
      </c>
    </row>
    <row r="74" spans="1:3">
      <c r="A74" s="92">
        <v>204025</v>
      </c>
      <c r="B74" s="25" t="s">
        <v>400</v>
      </c>
      <c r="C74" s="110">
        <v>1</v>
      </c>
    </row>
    <row r="75" spans="1:3">
      <c r="A75" s="92">
        <v>204030</v>
      </c>
      <c r="B75" s="25" t="s">
        <v>401</v>
      </c>
      <c r="C75" s="110">
        <v>0</v>
      </c>
    </row>
    <row r="76" spans="1:3">
      <c r="A76" s="92">
        <v>204035</v>
      </c>
      <c r="B76" s="25" t="s">
        <v>402</v>
      </c>
      <c r="C76" s="110">
        <v>1</v>
      </c>
    </row>
    <row r="77" spans="1:3">
      <c r="A77" s="92">
        <v>204040</v>
      </c>
      <c r="B77" s="25" t="s">
        <v>403</v>
      </c>
      <c r="C77" s="110">
        <v>1</v>
      </c>
    </row>
    <row r="78" spans="1:3">
      <c r="A78" s="92">
        <v>204045</v>
      </c>
      <c r="B78" s="25" t="s">
        <v>404</v>
      </c>
      <c r="C78" s="110">
        <v>2</v>
      </c>
    </row>
    <row r="79" spans="1:3">
      <c r="A79" s="92">
        <v>204050</v>
      </c>
      <c r="B79" s="25" t="s">
        <v>405</v>
      </c>
      <c r="C79" s="110">
        <v>1</v>
      </c>
    </row>
    <row r="80" spans="1:3">
      <c r="A80" s="92">
        <v>204055</v>
      </c>
      <c r="B80" s="25" t="s">
        <v>406</v>
      </c>
      <c r="C80" s="110">
        <v>0</v>
      </c>
    </row>
    <row r="81" spans="1:3">
      <c r="A81" s="92">
        <v>204060</v>
      </c>
      <c r="B81" s="25" t="s">
        <v>407</v>
      </c>
      <c r="C81" s="110">
        <v>1</v>
      </c>
    </row>
    <row r="82" spans="1:3">
      <c r="A82" s="92">
        <v>204065</v>
      </c>
      <c r="B82" s="25" t="s">
        <v>408</v>
      </c>
      <c r="C82" s="110">
        <v>0</v>
      </c>
    </row>
    <row r="83" spans="1:3">
      <c r="A83" s="92">
        <v>204070</v>
      </c>
      <c r="B83" s="25" t="s">
        <v>409</v>
      </c>
      <c r="C83" s="110">
        <v>0</v>
      </c>
    </row>
    <row r="84" spans="1:3">
      <c r="A84" s="92">
        <v>204075</v>
      </c>
      <c r="B84" s="25" t="s">
        <v>410</v>
      </c>
      <c r="C84" s="110">
        <v>0</v>
      </c>
    </row>
    <row r="85" spans="1:3">
      <c r="A85" s="92">
        <v>204080</v>
      </c>
      <c r="B85" s="25" t="s">
        <v>390</v>
      </c>
      <c r="C85" s="110">
        <v>0</v>
      </c>
    </row>
    <row r="86" spans="1:3">
      <c r="A86" s="92">
        <v>204085</v>
      </c>
      <c r="B86" s="25" t="s">
        <v>411</v>
      </c>
      <c r="C86" s="110">
        <v>0</v>
      </c>
    </row>
    <row r="87" spans="1:3">
      <c r="A87" s="92">
        <v>204090</v>
      </c>
      <c r="B87" s="25" t="s">
        <v>412</v>
      </c>
      <c r="C87" s="110">
        <v>0</v>
      </c>
    </row>
    <row r="88" spans="1:3">
      <c r="A88" s="92">
        <v>204095</v>
      </c>
      <c r="B88" s="25" t="s">
        <v>736</v>
      </c>
      <c r="C88" s="110">
        <v>0</v>
      </c>
    </row>
    <row r="89" spans="1:3">
      <c r="A89" s="92">
        <v>204100</v>
      </c>
      <c r="B89" s="25" t="s">
        <v>546</v>
      </c>
      <c r="C89" s="110">
        <v>0</v>
      </c>
    </row>
    <row r="90" spans="1:3">
      <c r="A90" s="92">
        <v>204105</v>
      </c>
      <c r="B90" s="25" t="s">
        <v>737</v>
      </c>
      <c r="C90" s="110">
        <v>0</v>
      </c>
    </row>
    <row r="91" spans="1:3">
      <c r="A91" s="92">
        <v>20</v>
      </c>
      <c r="B91" s="25" t="s">
        <v>355</v>
      </c>
      <c r="C91" s="110">
        <v>1</v>
      </c>
    </row>
    <row r="92" spans="1:3">
      <c r="A92" s="92">
        <v>21</v>
      </c>
      <c r="B92" s="25" t="s">
        <v>356</v>
      </c>
      <c r="C92" s="110">
        <v>1</v>
      </c>
    </row>
    <row r="93" spans="1:3">
      <c r="A93" s="92">
        <v>22</v>
      </c>
      <c r="B93" s="25" t="s">
        <v>0</v>
      </c>
      <c r="C93" s="110">
        <v>0</v>
      </c>
    </row>
    <row r="94" spans="1:3">
      <c r="A94" s="92">
        <v>23</v>
      </c>
      <c r="B94" s="25" t="s">
        <v>357</v>
      </c>
      <c r="C94" s="110">
        <v>0</v>
      </c>
    </row>
    <row r="95" spans="1:3">
      <c r="A95" s="92">
        <v>24</v>
      </c>
      <c r="B95" s="25" t="s">
        <v>359</v>
      </c>
      <c r="C95" s="110">
        <v>1</v>
      </c>
    </row>
    <row r="96" spans="1:3">
      <c r="A96" s="92">
        <v>25</v>
      </c>
      <c r="B96" s="25" t="s">
        <v>360</v>
      </c>
      <c r="C96" s="110">
        <v>0</v>
      </c>
    </row>
    <row r="97" spans="1:3">
      <c r="A97" s="92">
        <v>207000</v>
      </c>
      <c r="B97" s="25" t="s">
        <v>372</v>
      </c>
      <c r="C97" s="110">
        <v>0</v>
      </c>
    </row>
    <row r="98" spans="1:3">
      <c r="A98" s="92">
        <v>207005</v>
      </c>
      <c r="B98" s="25" t="s">
        <v>413</v>
      </c>
      <c r="C98" s="110">
        <v>0</v>
      </c>
    </row>
    <row r="99" spans="1:3">
      <c r="A99" s="92">
        <v>207010</v>
      </c>
      <c r="B99" s="25" t="s">
        <v>414</v>
      </c>
      <c r="C99" s="110">
        <v>0</v>
      </c>
    </row>
    <row r="100" spans="1:3">
      <c r="A100" s="92">
        <v>207015</v>
      </c>
      <c r="B100" s="25" t="s">
        <v>415</v>
      </c>
      <c r="C100" s="110">
        <v>0</v>
      </c>
    </row>
    <row r="101" spans="1:3">
      <c r="A101" s="92">
        <v>207020</v>
      </c>
      <c r="B101" s="25" t="s">
        <v>416</v>
      </c>
      <c r="C101" s="110">
        <v>0</v>
      </c>
    </row>
    <row r="102" spans="1:3">
      <c r="A102" s="92">
        <v>207025</v>
      </c>
      <c r="B102" s="25" t="s">
        <v>417</v>
      </c>
      <c r="C102" s="110">
        <v>0</v>
      </c>
    </row>
    <row r="103" spans="1:3">
      <c r="A103" s="92">
        <v>207030</v>
      </c>
      <c r="B103" s="25" t="s">
        <v>418</v>
      </c>
      <c r="C103" s="110">
        <v>0</v>
      </c>
    </row>
    <row r="104" spans="1:3">
      <c r="A104" s="92">
        <v>207035</v>
      </c>
      <c r="B104" s="25" t="s">
        <v>419</v>
      </c>
      <c r="C104" s="110">
        <v>0</v>
      </c>
    </row>
    <row r="105" spans="1:3">
      <c r="A105" s="92">
        <v>207040</v>
      </c>
      <c r="B105" s="25" t="s">
        <v>420</v>
      </c>
      <c r="C105" s="110">
        <v>0</v>
      </c>
    </row>
    <row r="106" spans="1:3">
      <c r="A106" s="92">
        <v>207045</v>
      </c>
      <c r="B106" s="25" t="s">
        <v>421</v>
      </c>
      <c r="C106" s="110">
        <v>0</v>
      </c>
    </row>
    <row r="107" spans="1:3">
      <c r="A107" s="92">
        <v>207050</v>
      </c>
      <c r="B107" s="25" t="s">
        <v>422</v>
      </c>
      <c r="C107" s="110">
        <v>0</v>
      </c>
    </row>
    <row r="108" spans="1:3">
      <c r="A108" s="92">
        <v>207055</v>
      </c>
      <c r="B108" s="25" t="s">
        <v>423</v>
      </c>
      <c r="C108" s="110">
        <v>0</v>
      </c>
    </row>
    <row r="109" spans="1:3">
      <c r="A109" s="92">
        <v>207060</v>
      </c>
      <c r="B109" s="25" t="s">
        <v>424</v>
      </c>
      <c r="C109" s="110">
        <v>0</v>
      </c>
    </row>
    <row r="110" spans="1:3">
      <c r="A110" s="92">
        <v>207065</v>
      </c>
      <c r="B110" s="25" t="s">
        <v>425</v>
      </c>
      <c r="C110" s="110">
        <v>0</v>
      </c>
    </row>
    <row r="111" spans="1:3">
      <c r="A111" s="92">
        <v>207070</v>
      </c>
      <c r="B111" s="25" t="s">
        <v>426</v>
      </c>
      <c r="C111" s="110">
        <v>0</v>
      </c>
    </row>
    <row r="112" spans="1:3">
      <c r="A112" s="92">
        <v>207075</v>
      </c>
      <c r="B112" s="25" t="s">
        <v>427</v>
      </c>
      <c r="C112" s="110">
        <v>0</v>
      </c>
    </row>
    <row r="113" spans="1:3">
      <c r="A113" s="92">
        <v>207080</v>
      </c>
      <c r="B113" s="25" t="s">
        <v>428</v>
      </c>
      <c r="C113" s="110">
        <v>0</v>
      </c>
    </row>
    <row r="114" spans="1:3">
      <c r="A114" s="92">
        <v>207085</v>
      </c>
      <c r="B114" s="25" t="s">
        <v>429</v>
      </c>
      <c r="C114" s="110">
        <v>0</v>
      </c>
    </row>
    <row r="115" spans="1:3">
      <c r="A115" s="92">
        <v>207090</v>
      </c>
      <c r="B115" s="25" t="s">
        <v>430</v>
      </c>
      <c r="C115" s="110">
        <v>0</v>
      </c>
    </row>
    <row r="116" spans="1:3">
      <c r="A116" s="92">
        <v>207095</v>
      </c>
      <c r="B116" s="25" t="s">
        <v>431</v>
      </c>
      <c r="C116" s="110">
        <v>0</v>
      </c>
    </row>
    <row r="117" spans="1:3">
      <c r="A117" s="92">
        <v>207100</v>
      </c>
      <c r="B117" s="25" t="s">
        <v>432</v>
      </c>
      <c r="C117" s="110">
        <v>0</v>
      </c>
    </row>
    <row r="118" spans="1:3">
      <c r="A118" s="92">
        <v>207105</v>
      </c>
      <c r="B118" s="25" t="s">
        <v>433</v>
      </c>
      <c r="C118" s="110">
        <v>0</v>
      </c>
    </row>
    <row r="119" spans="1:3">
      <c r="A119" s="92">
        <v>207110</v>
      </c>
      <c r="B119" s="25" t="s">
        <v>410</v>
      </c>
      <c r="C119" s="110">
        <v>0</v>
      </c>
    </row>
    <row r="120" spans="1:3">
      <c r="A120" s="92">
        <v>207115</v>
      </c>
      <c r="B120" s="25" t="s">
        <v>739</v>
      </c>
      <c r="C120" s="110">
        <v>0</v>
      </c>
    </row>
    <row r="121" spans="1:3">
      <c r="A121" s="92">
        <v>207120</v>
      </c>
      <c r="B121" s="25" t="s">
        <v>434</v>
      </c>
      <c r="C121" s="110">
        <v>0</v>
      </c>
    </row>
    <row r="122" spans="1:3">
      <c r="A122" s="92">
        <v>207125</v>
      </c>
      <c r="B122" s="25" t="s">
        <v>435</v>
      </c>
      <c r="C122" s="110">
        <v>0</v>
      </c>
    </row>
    <row r="123" spans="1:3">
      <c r="A123" s="92">
        <v>207130</v>
      </c>
      <c r="B123" s="25" t="s">
        <v>436</v>
      </c>
      <c r="C123" s="110">
        <v>0</v>
      </c>
    </row>
    <row r="124" spans="1:3">
      <c r="A124" s="92">
        <v>26</v>
      </c>
      <c r="B124" s="25" t="s">
        <v>740</v>
      </c>
      <c r="C124" s="110">
        <v>0</v>
      </c>
    </row>
    <row r="125" spans="1:3">
      <c r="A125" s="92">
        <v>27</v>
      </c>
      <c r="B125" s="25" t="s">
        <v>356</v>
      </c>
      <c r="C125" s="110">
        <v>0</v>
      </c>
    </row>
    <row r="126" spans="1:3">
      <c r="A126" s="92">
        <v>28</v>
      </c>
      <c r="B126" s="25" t="s">
        <v>0</v>
      </c>
      <c r="C126" s="110">
        <v>0</v>
      </c>
    </row>
    <row r="127" spans="1:3">
      <c r="A127" s="92">
        <v>29</v>
      </c>
      <c r="B127" s="25" t="s">
        <v>357</v>
      </c>
      <c r="C127" s="110">
        <v>0</v>
      </c>
    </row>
    <row r="128" spans="1:3">
      <c r="A128" s="92">
        <v>30</v>
      </c>
      <c r="B128" s="25" t="s">
        <v>359</v>
      </c>
      <c r="C128" s="110">
        <v>0</v>
      </c>
    </row>
    <row r="129" spans="1:3">
      <c r="A129" s="92">
        <v>31</v>
      </c>
      <c r="B129" s="25" t="s">
        <v>360</v>
      </c>
      <c r="C129" s="110">
        <v>0</v>
      </c>
    </row>
    <row r="130" spans="1:3">
      <c r="A130" s="92">
        <v>213000</v>
      </c>
      <c r="B130" s="25" t="s">
        <v>741</v>
      </c>
      <c r="C130" s="110">
        <v>0</v>
      </c>
    </row>
    <row r="131" spans="1:3">
      <c r="A131" s="92">
        <v>213005</v>
      </c>
      <c r="B131" s="25" t="s">
        <v>742</v>
      </c>
      <c r="C131" s="110">
        <v>0</v>
      </c>
    </row>
    <row r="132" spans="1:3">
      <c r="A132" s="92">
        <v>213010</v>
      </c>
      <c r="B132" s="25" t="s">
        <v>743</v>
      </c>
      <c r="C132" s="110">
        <v>0</v>
      </c>
    </row>
    <row r="133" spans="1:3">
      <c r="A133" s="92">
        <v>213015</v>
      </c>
      <c r="B133" s="25" t="s">
        <v>744</v>
      </c>
      <c r="C133" s="110">
        <v>0</v>
      </c>
    </row>
    <row r="134" spans="1:3">
      <c r="A134" s="92">
        <v>213020</v>
      </c>
      <c r="B134" s="25" t="s">
        <v>745</v>
      </c>
      <c r="C134" s="110">
        <v>0</v>
      </c>
    </row>
    <row r="135" spans="1:3">
      <c r="A135" s="92">
        <v>213025</v>
      </c>
      <c r="B135" s="25" t="s">
        <v>746</v>
      </c>
      <c r="C135" s="110">
        <v>0</v>
      </c>
    </row>
    <row r="136" spans="1:3">
      <c r="A136" s="92">
        <v>213030</v>
      </c>
      <c r="B136" s="25" t="s">
        <v>747</v>
      </c>
      <c r="C136" s="110">
        <v>0</v>
      </c>
    </row>
    <row r="137" spans="1:3">
      <c r="A137" s="92">
        <v>213035</v>
      </c>
      <c r="B137" s="25" t="s">
        <v>748</v>
      </c>
      <c r="C137" s="110">
        <v>0</v>
      </c>
    </row>
    <row r="138" spans="1:3">
      <c r="A138" s="92">
        <v>213040</v>
      </c>
      <c r="B138" s="25" t="s">
        <v>749</v>
      </c>
      <c r="C138" s="110">
        <v>0</v>
      </c>
    </row>
    <row r="139" spans="1:3">
      <c r="A139" s="92">
        <v>213045</v>
      </c>
      <c r="B139" s="25" t="s">
        <v>750</v>
      </c>
      <c r="C139" s="110">
        <v>0</v>
      </c>
    </row>
    <row r="140" spans="1:3">
      <c r="A140" s="92">
        <v>213050</v>
      </c>
      <c r="B140" s="25" t="s">
        <v>751</v>
      </c>
      <c r="C140" s="110">
        <v>0</v>
      </c>
    </row>
    <row r="141" spans="1:3">
      <c r="A141" s="92">
        <v>213055</v>
      </c>
      <c r="B141" s="25" t="s">
        <v>752</v>
      </c>
      <c r="C141" s="110">
        <v>0</v>
      </c>
    </row>
    <row r="142" spans="1:3">
      <c r="A142" s="92">
        <v>213060</v>
      </c>
      <c r="B142" s="25" t="s">
        <v>753</v>
      </c>
      <c r="C142" s="110">
        <v>2</v>
      </c>
    </row>
    <row r="143" spans="1:3">
      <c r="A143" s="92">
        <v>213065</v>
      </c>
      <c r="B143" s="25" t="s">
        <v>754</v>
      </c>
      <c r="C143" s="110">
        <v>0</v>
      </c>
    </row>
    <row r="144" spans="1:3">
      <c r="A144" s="92">
        <v>213070</v>
      </c>
      <c r="B144" s="25" t="s">
        <v>755</v>
      </c>
      <c r="C144" s="110">
        <v>0</v>
      </c>
    </row>
    <row r="145" spans="1:3">
      <c r="A145" s="92">
        <v>213075</v>
      </c>
      <c r="B145" s="25" t="s">
        <v>756</v>
      </c>
      <c r="C145" s="110">
        <v>0</v>
      </c>
    </row>
    <row r="146" spans="1:3">
      <c r="A146" s="92">
        <v>213080</v>
      </c>
      <c r="B146" s="25" t="s">
        <v>757</v>
      </c>
      <c r="C146" s="110">
        <v>12</v>
      </c>
    </row>
    <row r="147" spans="1:3">
      <c r="A147" s="92">
        <v>213085</v>
      </c>
      <c r="B147" s="25" t="s">
        <v>758</v>
      </c>
      <c r="C147" s="110">
        <v>4</v>
      </c>
    </row>
    <row r="148" spans="1:3">
      <c r="A148" s="92">
        <v>213090</v>
      </c>
      <c r="B148" s="25" t="s">
        <v>759</v>
      </c>
      <c r="C148" s="110">
        <v>4</v>
      </c>
    </row>
    <row r="149" spans="1:3">
      <c r="A149" s="92">
        <v>213095</v>
      </c>
      <c r="B149" s="25" t="s">
        <v>760</v>
      </c>
      <c r="C149" s="110">
        <v>4</v>
      </c>
    </row>
    <row r="150" spans="1:3">
      <c r="A150" s="92">
        <v>213100</v>
      </c>
      <c r="B150" s="25" t="s">
        <v>761</v>
      </c>
      <c r="C150" s="110">
        <v>8</v>
      </c>
    </row>
    <row r="151" spans="1:3">
      <c r="A151" s="92">
        <v>213105</v>
      </c>
      <c r="B151" s="25" t="s">
        <v>762</v>
      </c>
      <c r="C151" s="110">
        <v>0</v>
      </c>
    </row>
    <row r="152" spans="1:3">
      <c r="A152" s="92">
        <v>213110</v>
      </c>
      <c r="B152" s="25" t="s">
        <v>763</v>
      </c>
      <c r="C152" s="110">
        <v>1</v>
      </c>
    </row>
    <row r="153" spans="1:3">
      <c r="A153" s="92">
        <v>213115</v>
      </c>
      <c r="B153" s="25" t="s">
        <v>764</v>
      </c>
      <c r="C153" s="110">
        <v>0</v>
      </c>
    </row>
    <row r="154" spans="1:3">
      <c r="A154" s="92">
        <v>213120</v>
      </c>
      <c r="B154" s="25" t="s">
        <v>765</v>
      </c>
      <c r="C154" s="110">
        <v>0</v>
      </c>
    </row>
    <row r="155" spans="1:3">
      <c r="A155" s="92">
        <v>213125</v>
      </c>
      <c r="B155" s="25" t="s">
        <v>766</v>
      </c>
      <c r="C155" s="110">
        <v>0</v>
      </c>
    </row>
    <row r="156" spans="1:3">
      <c r="A156" s="92">
        <v>213130</v>
      </c>
      <c r="B156" s="25" t="s">
        <v>767</v>
      </c>
      <c r="C156" s="110">
        <v>0</v>
      </c>
    </row>
    <row r="157" spans="1:3">
      <c r="A157" s="92">
        <v>213135</v>
      </c>
      <c r="B157" s="25" t="s">
        <v>768</v>
      </c>
      <c r="C157" s="110">
        <v>0</v>
      </c>
    </row>
    <row r="158" spans="1:3">
      <c r="A158" s="92">
        <v>213140</v>
      </c>
      <c r="B158" s="25" t="s">
        <v>769</v>
      </c>
      <c r="C158" s="110">
        <v>0</v>
      </c>
    </row>
    <row r="159" spans="1:3">
      <c r="A159" s="92">
        <v>213145</v>
      </c>
      <c r="B159" s="25" t="s">
        <v>770</v>
      </c>
      <c r="C159" s="110">
        <v>0</v>
      </c>
    </row>
    <row r="160" spans="1:3">
      <c r="A160" s="92">
        <v>213150</v>
      </c>
      <c r="B160" s="25" t="s">
        <v>771</v>
      </c>
      <c r="C160" s="110">
        <v>0</v>
      </c>
    </row>
    <row r="161" spans="1:3">
      <c r="A161" s="92">
        <v>213155</v>
      </c>
      <c r="B161" s="25" t="s">
        <v>772</v>
      </c>
      <c r="C161" s="110">
        <v>0</v>
      </c>
    </row>
    <row r="162" spans="1:3">
      <c r="A162" s="92">
        <v>213160</v>
      </c>
      <c r="B162" s="25" t="s">
        <v>773</v>
      </c>
      <c r="C162" s="110">
        <v>0</v>
      </c>
    </row>
    <row r="163" spans="1:3">
      <c r="A163" s="92">
        <v>213165</v>
      </c>
      <c r="B163" s="25" t="s">
        <v>774</v>
      </c>
      <c r="C163" s="110">
        <v>0</v>
      </c>
    </row>
    <row r="164" spans="1:3">
      <c r="A164" s="92">
        <v>213170</v>
      </c>
      <c r="B164" s="25" t="s">
        <v>775</v>
      </c>
      <c r="C164" s="110">
        <v>0</v>
      </c>
    </row>
    <row r="165" spans="1:3">
      <c r="A165" s="92">
        <v>213175</v>
      </c>
      <c r="B165" s="25" t="s">
        <v>776</v>
      </c>
      <c r="C165" s="110">
        <v>0</v>
      </c>
    </row>
    <row r="166" spans="1:3">
      <c r="A166" s="92">
        <v>213180</v>
      </c>
      <c r="B166" s="25" t="s">
        <v>440</v>
      </c>
      <c r="C166" s="110">
        <v>4</v>
      </c>
    </row>
    <row r="167" spans="1:3">
      <c r="A167" s="92">
        <v>213185</v>
      </c>
      <c r="B167" s="25" t="s">
        <v>378</v>
      </c>
      <c r="C167" s="110">
        <v>0</v>
      </c>
    </row>
    <row r="168" spans="1:3">
      <c r="A168" s="92">
        <v>213190</v>
      </c>
      <c r="B168" s="25" t="s">
        <v>441</v>
      </c>
      <c r="C168" s="110">
        <v>0</v>
      </c>
    </row>
    <row r="169" spans="1:3">
      <c r="A169" s="92">
        <v>213195</v>
      </c>
      <c r="B169" s="25" t="s">
        <v>442</v>
      </c>
      <c r="C169" s="110">
        <v>0</v>
      </c>
    </row>
    <row r="170" spans="1:3">
      <c r="A170" s="92">
        <v>213200</v>
      </c>
      <c r="B170" s="25" t="s">
        <v>777</v>
      </c>
      <c r="C170" s="110">
        <v>1</v>
      </c>
    </row>
    <row r="171" spans="1:3">
      <c r="A171" s="92">
        <v>213205</v>
      </c>
      <c r="B171" s="25" t="s">
        <v>778</v>
      </c>
      <c r="C171" s="110">
        <v>0</v>
      </c>
    </row>
    <row r="172" spans="1:3">
      <c r="A172" s="92">
        <v>213210</v>
      </c>
      <c r="B172" s="25" t="s">
        <v>443</v>
      </c>
      <c r="C172" s="110">
        <v>0</v>
      </c>
    </row>
    <row r="173" spans="1:3">
      <c r="A173" s="92">
        <v>213215</v>
      </c>
      <c r="B173" s="25" t="s">
        <v>444</v>
      </c>
      <c r="C173" s="110">
        <v>0</v>
      </c>
    </row>
    <row r="174" spans="1:3">
      <c r="A174" s="92">
        <v>213220</v>
      </c>
      <c r="B174" s="25" t="s">
        <v>445</v>
      </c>
      <c r="C174" s="110">
        <v>0</v>
      </c>
    </row>
    <row r="175" spans="1:3">
      <c r="A175" s="92">
        <v>213225</v>
      </c>
      <c r="B175" s="25" t="s">
        <v>446</v>
      </c>
      <c r="C175" s="110">
        <v>0</v>
      </c>
    </row>
    <row r="176" spans="1:3">
      <c r="A176" s="92">
        <v>213230</v>
      </c>
      <c r="B176" s="25" t="s">
        <v>447</v>
      </c>
      <c r="C176" s="110">
        <v>0</v>
      </c>
    </row>
    <row r="177" spans="1:3">
      <c r="A177" s="92">
        <v>213235</v>
      </c>
      <c r="B177" s="25" t="s">
        <v>448</v>
      </c>
      <c r="C177" s="110">
        <v>0</v>
      </c>
    </row>
    <row r="178" spans="1:3">
      <c r="A178" s="92">
        <v>213240</v>
      </c>
      <c r="B178" s="25" t="s">
        <v>449</v>
      </c>
      <c r="C178" s="110">
        <v>0</v>
      </c>
    </row>
    <row r="179" spans="1:3">
      <c r="A179" s="92">
        <v>213245</v>
      </c>
      <c r="B179" s="25" t="s">
        <v>410</v>
      </c>
      <c r="C179" s="110">
        <v>0</v>
      </c>
    </row>
    <row r="180" spans="1:3">
      <c r="A180" s="92">
        <v>213250</v>
      </c>
      <c r="B180" s="25" t="s">
        <v>450</v>
      </c>
      <c r="C180" s="110">
        <v>0</v>
      </c>
    </row>
    <row r="181" spans="1:3">
      <c r="A181" s="92">
        <v>213255</v>
      </c>
      <c r="B181" s="25" t="s">
        <v>451</v>
      </c>
      <c r="C181" s="110">
        <v>0</v>
      </c>
    </row>
    <row r="182" spans="1:3">
      <c r="A182" s="92">
        <v>213260</v>
      </c>
      <c r="B182" s="25" t="s">
        <v>452</v>
      </c>
      <c r="C182" s="110">
        <v>0</v>
      </c>
    </row>
    <row r="183" spans="1:3">
      <c r="A183" s="92">
        <v>213265</v>
      </c>
      <c r="B183" s="25" t="s">
        <v>434</v>
      </c>
      <c r="C183" s="110">
        <v>0</v>
      </c>
    </row>
    <row r="184" spans="1:3">
      <c r="A184" s="92">
        <v>213270</v>
      </c>
      <c r="B184" s="25" t="s">
        <v>437</v>
      </c>
      <c r="C184" s="110">
        <v>0</v>
      </c>
    </row>
    <row r="185" spans="1:3">
      <c r="A185" s="92">
        <v>213275</v>
      </c>
      <c r="B185" s="25" t="s">
        <v>438</v>
      </c>
      <c r="C185" s="110">
        <v>0</v>
      </c>
    </row>
    <row r="186" spans="1:3">
      <c r="A186" s="92">
        <v>213280</v>
      </c>
      <c r="B186" s="25" t="s">
        <v>439</v>
      </c>
      <c r="C186" s="110">
        <v>0</v>
      </c>
    </row>
    <row r="187" spans="1:3">
      <c r="A187" s="92">
        <v>33</v>
      </c>
      <c r="B187" s="25" t="s">
        <v>453</v>
      </c>
      <c r="C187" s="110">
        <v>1</v>
      </c>
    </row>
    <row r="188" spans="1:3">
      <c r="A188" s="92">
        <v>34</v>
      </c>
      <c r="B188" s="25" t="s">
        <v>454</v>
      </c>
      <c r="C188" s="110">
        <v>2</v>
      </c>
    </row>
    <row r="189" spans="1:3">
      <c r="A189" s="92">
        <v>35</v>
      </c>
      <c r="B189" s="25" t="s">
        <v>779</v>
      </c>
      <c r="C189" s="110">
        <v>1</v>
      </c>
    </row>
    <row r="190" spans="1:3">
      <c r="A190" s="92">
        <v>36</v>
      </c>
      <c r="B190" s="25" t="s">
        <v>356</v>
      </c>
      <c r="C190" s="110">
        <v>1</v>
      </c>
    </row>
    <row r="191" spans="1:3">
      <c r="A191" s="92">
        <v>37</v>
      </c>
      <c r="B191" s="25" t="s">
        <v>0</v>
      </c>
      <c r="C191" s="110">
        <v>0</v>
      </c>
    </row>
    <row r="192" spans="1:3">
      <c r="A192" s="92">
        <v>38</v>
      </c>
      <c r="B192" s="25" t="s">
        <v>357</v>
      </c>
      <c r="C192" s="110">
        <v>0</v>
      </c>
    </row>
    <row r="193" spans="1:3">
      <c r="A193" s="92">
        <v>39</v>
      </c>
      <c r="B193" s="25" t="s">
        <v>359</v>
      </c>
      <c r="C193" s="110">
        <v>3</v>
      </c>
    </row>
    <row r="194" spans="1:3">
      <c r="A194" s="92">
        <v>40</v>
      </c>
      <c r="B194" s="25" t="s">
        <v>360</v>
      </c>
      <c r="C194" s="110">
        <v>0</v>
      </c>
    </row>
    <row r="195" spans="1:3">
      <c r="A195" s="92">
        <v>206000</v>
      </c>
      <c r="B195" s="25" t="s">
        <v>455</v>
      </c>
      <c r="C195" s="110">
        <v>0</v>
      </c>
    </row>
    <row r="196" spans="1:3">
      <c r="A196" s="92">
        <v>206005</v>
      </c>
      <c r="B196" s="25" t="s">
        <v>456</v>
      </c>
      <c r="C196" s="110">
        <v>0</v>
      </c>
    </row>
    <row r="197" spans="1:3">
      <c r="A197" s="92">
        <v>206010</v>
      </c>
      <c r="B197" s="25" t="s">
        <v>457</v>
      </c>
      <c r="C197" s="110">
        <v>0</v>
      </c>
    </row>
    <row r="198" spans="1:3">
      <c r="A198" s="92">
        <v>206015</v>
      </c>
      <c r="B198" s="25" t="s">
        <v>458</v>
      </c>
      <c r="C198" s="110">
        <v>14</v>
      </c>
    </row>
    <row r="199" spans="1:3">
      <c r="A199" s="92">
        <v>206020</v>
      </c>
      <c r="B199" s="25" t="s">
        <v>459</v>
      </c>
      <c r="C199" s="110">
        <v>3</v>
      </c>
    </row>
    <row r="200" spans="1:3">
      <c r="A200" s="92">
        <v>206025</v>
      </c>
      <c r="B200" s="25" t="s">
        <v>460</v>
      </c>
      <c r="C200" s="110">
        <v>0</v>
      </c>
    </row>
    <row r="201" spans="1:3">
      <c r="A201" s="92">
        <v>206030</v>
      </c>
      <c r="B201" s="25" t="s">
        <v>461</v>
      </c>
      <c r="C201" s="110">
        <v>0</v>
      </c>
    </row>
    <row r="202" spans="1:3">
      <c r="A202" s="92">
        <v>206035</v>
      </c>
      <c r="B202" s="25" t="s">
        <v>782</v>
      </c>
      <c r="C202" s="110">
        <v>0</v>
      </c>
    </row>
    <row r="203" spans="1:3">
      <c r="A203" s="92">
        <v>206040</v>
      </c>
      <c r="B203" s="25" t="s">
        <v>462</v>
      </c>
      <c r="C203" s="110">
        <v>5</v>
      </c>
    </row>
    <row r="204" spans="1:3">
      <c r="A204" s="92">
        <v>206045</v>
      </c>
      <c r="B204" s="25" t="s">
        <v>463</v>
      </c>
      <c r="C204" s="110">
        <v>0</v>
      </c>
    </row>
    <row r="205" spans="1:3">
      <c r="A205" s="92">
        <v>206050</v>
      </c>
      <c r="B205" s="25" t="s">
        <v>464</v>
      </c>
      <c r="C205" s="110">
        <v>0</v>
      </c>
    </row>
    <row r="206" spans="1:3">
      <c r="A206" s="92">
        <v>206055</v>
      </c>
      <c r="B206" s="25" t="s">
        <v>465</v>
      </c>
      <c r="C206" s="110">
        <v>0</v>
      </c>
    </row>
    <row r="207" spans="1:3">
      <c r="A207" s="92">
        <v>206060</v>
      </c>
      <c r="B207" s="25" t="s">
        <v>466</v>
      </c>
      <c r="C207" s="110">
        <v>0</v>
      </c>
    </row>
    <row r="208" spans="1:3">
      <c r="A208" s="92">
        <v>206065</v>
      </c>
      <c r="B208" s="25" t="s">
        <v>783</v>
      </c>
      <c r="C208" s="110">
        <v>1</v>
      </c>
    </row>
    <row r="209" spans="1:3">
      <c r="A209" s="92">
        <v>206070</v>
      </c>
      <c r="B209" s="25" t="s">
        <v>784</v>
      </c>
      <c r="C209" s="110" t="e">
        <v>#N/A</v>
      </c>
    </row>
    <row r="210" spans="1:3">
      <c r="A210" s="92">
        <v>206075</v>
      </c>
      <c r="B210" s="25" t="s">
        <v>785</v>
      </c>
      <c r="C210" s="110">
        <v>1</v>
      </c>
    </row>
    <row r="211" spans="1:3">
      <c r="A211" s="92">
        <v>206080</v>
      </c>
      <c r="B211" s="25" t="s">
        <v>467</v>
      </c>
      <c r="C211" s="110">
        <v>0</v>
      </c>
    </row>
    <row r="212" spans="1:3">
      <c r="A212" s="92">
        <v>206085</v>
      </c>
      <c r="B212" s="25" t="s">
        <v>468</v>
      </c>
      <c r="C212" s="110">
        <v>0</v>
      </c>
    </row>
    <row r="213" spans="1:3">
      <c r="A213" s="92">
        <v>206090</v>
      </c>
      <c r="B213" s="25" t="s">
        <v>469</v>
      </c>
      <c r="C213" s="110">
        <v>0</v>
      </c>
    </row>
    <row r="214" spans="1:3">
      <c r="A214" s="92">
        <v>206095</v>
      </c>
      <c r="B214" s="25" t="s">
        <v>470</v>
      </c>
      <c r="C214" s="110">
        <v>3</v>
      </c>
    </row>
    <row r="215" spans="1:3">
      <c r="A215" s="92">
        <v>206100</v>
      </c>
      <c r="B215" s="25" t="s">
        <v>471</v>
      </c>
      <c r="C215" s="110">
        <v>0</v>
      </c>
    </row>
    <row r="216" spans="1:3">
      <c r="A216" s="92">
        <v>206105</v>
      </c>
      <c r="B216" s="25" t="s">
        <v>472</v>
      </c>
      <c r="C216" s="110">
        <v>0</v>
      </c>
    </row>
    <row r="217" spans="1:3">
      <c r="A217" s="92">
        <v>206110</v>
      </c>
      <c r="B217" s="25" t="s">
        <v>473</v>
      </c>
      <c r="C217" s="110">
        <v>0</v>
      </c>
    </row>
    <row r="218" spans="1:3">
      <c r="A218" s="92">
        <v>206115</v>
      </c>
      <c r="B218" s="25" t="s">
        <v>786</v>
      </c>
      <c r="C218" s="110">
        <v>0</v>
      </c>
    </row>
    <row r="219" spans="1:3">
      <c r="A219" s="92">
        <v>206120</v>
      </c>
      <c r="B219" s="25" t="s">
        <v>474</v>
      </c>
      <c r="C219" s="110">
        <v>0</v>
      </c>
    </row>
    <row r="220" spans="1:3">
      <c r="A220" s="92">
        <v>206125</v>
      </c>
      <c r="B220" s="25" t="s">
        <v>787</v>
      </c>
      <c r="C220" s="110">
        <v>1</v>
      </c>
    </row>
    <row r="221" spans="1:3">
      <c r="A221" s="92">
        <v>206130</v>
      </c>
      <c r="B221" s="25" t="s">
        <v>475</v>
      </c>
      <c r="C221" s="110">
        <v>3</v>
      </c>
    </row>
    <row r="222" spans="1:3">
      <c r="A222" s="92">
        <v>206135</v>
      </c>
      <c r="B222" s="25" t="s">
        <v>476</v>
      </c>
      <c r="C222" s="110">
        <v>0</v>
      </c>
    </row>
    <row r="223" spans="1:3">
      <c r="A223" s="92">
        <v>206140</v>
      </c>
      <c r="B223" s="25" t="s">
        <v>433</v>
      </c>
      <c r="C223" s="110">
        <v>0</v>
      </c>
    </row>
    <row r="224" spans="1:3">
      <c r="A224" s="92">
        <v>206145</v>
      </c>
      <c r="B224" s="25" t="s">
        <v>477</v>
      </c>
      <c r="C224" s="110">
        <v>0</v>
      </c>
    </row>
    <row r="225" spans="1:3">
      <c r="A225" s="92">
        <v>206150</v>
      </c>
      <c r="B225" s="25" t="s">
        <v>478</v>
      </c>
      <c r="C225" s="110">
        <v>0</v>
      </c>
    </row>
    <row r="226" spans="1:3">
      <c r="A226" s="92">
        <v>206155</v>
      </c>
      <c r="B226" s="25" t="s">
        <v>479</v>
      </c>
      <c r="C226" s="110">
        <v>0</v>
      </c>
    </row>
    <row r="227" spans="1:3">
      <c r="A227" s="92">
        <v>206160</v>
      </c>
      <c r="B227" s="25" t="s">
        <v>480</v>
      </c>
      <c r="C227" s="110">
        <v>0</v>
      </c>
    </row>
    <row r="228" spans="1:3">
      <c r="A228" s="92">
        <v>206165</v>
      </c>
      <c r="B228" s="25" t="s">
        <v>481</v>
      </c>
      <c r="C228" s="110">
        <v>0</v>
      </c>
    </row>
    <row r="229" spans="1:3">
      <c r="A229" s="92">
        <v>206170</v>
      </c>
      <c r="B229" s="25" t="s">
        <v>482</v>
      </c>
      <c r="C229" s="110">
        <v>0</v>
      </c>
    </row>
    <row r="230" spans="1:3">
      <c r="A230" s="92">
        <v>206175</v>
      </c>
      <c r="B230" s="25" t="s">
        <v>483</v>
      </c>
      <c r="C230" s="110">
        <v>0</v>
      </c>
    </row>
    <row r="231" spans="1:3">
      <c r="A231" s="92">
        <v>206180</v>
      </c>
      <c r="B231" s="25" t="s">
        <v>484</v>
      </c>
      <c r="C231" s="110">
        <v>0</v>
      </c>
    </row>
    <row r="232" spans="1:3">
      <c r="A232" s="92">
        <v>206181</v>
      </c>
      <c r="B232" s="25" t="s">
        <v>788</v>
      </c>
      <c r="C232" s="110" t="e">
        <v>#N/A</v>
      </c>
    </row>
    <row r="233" spans="1:3">
      <c r="A233" s="92">
        <v>206185</v>
      </c>
      <c r="B233" s="25" t="s">
        <v>485</v>
      </c>
      <c r="C233" s="110">
        <v>0</v>
      </c>
    </row>
    <row r="234" spans="1:3">
      <c r="A234" s="92">
        <v>206190</v>
      </c>
      <c r="B234" s="25" t="s">
        <v>486</v>
      </c>
      <c r="C234" s="110">
        <v>0</v>
      </c>
    </row>
    <row r="235" spans="1:3">
      <c r="A235" s="92">
        <v>206195</v>
      </c>
      <c r="B235" s="25" t="s">
        <v>487</v>
      </c>
      <c r="C235" s="110">
        <v>1</v>
      </c>
    </row>
    <row r="236" spans="1:3">
      <c r="A236" s="92">
        <v>206200</v>
      </c>
      <c r="B236" s="25" t="s">
        <v>789</v>
      </c>
      <c r="C236" s="110">
        <v>0</v>
      </c>
    </row>
    <row r="237" spans="1:3">
      <c r="A237" s="92">
        <v>206205</v>
      </c>
      <c r="B237" s="25" t="s">
        <v>790</v>
      </c>
      <c r="C237" s="110">
        <v>0</v>
      </c>
    </row>
    <row r="238" spans="1:3">
      <c r="A238" s="92">
        <v>206210</v>
      </c>
      <c r="B238" s="25" t="s">
        <v>791</v>
      </c>
      <c r="C238" s="110">
        <v>0</v>
      </c>
    </row>
    <row r="239" spans="1:3">
      <c r="A239" s="92">
        <v>206215</v>
      </c>
      <c r="B239" s="25" t="s">
        <v>792</v>
      </c>
      <c r="C239" s="110">
        <v>0</v>
      </c>
    </row>
    <row r="240" spans="1:3">
      <c r="A240" s="92">
        <v>206220</v>
      </c>
      <c r="B240" s="25" t="s">
        <v>793</v>
      </c>
      <c r="C240" s="110">
        <v>0</v>
      </c>
    </row>
    <row r="241" spans="1:3">
      <c r="A241" s="92">
        <v>206225</v>
      </c>
      <c r="B241" s="25" t="s">
        <v>794</v>
      </c>
      <c r="C241" s="110">
        <v>0</v>
      </c>
    </row>
    <row r="242" spans="1:3">
      <c r="A242" s="92" t="s">
        <v>1095</v>
      </c>
      <c r="B242" s="25" t="s">
        <v>332</v>
      </c>
      <c r="C242" s="110">
        <v>0</v>
      </c>
    </row>
    <row r="243" spans="1:3">
      <c r="A243" s="92">
        <v>206230</v>
      </c>
      <c r="B243" s="25" t="s">
        <v>795</v>
      </c>
      <c r="C243" s="110">
        <v>0</v>
      </c>
    </row>
    <row r="244" spans="1:3">
      <c r="A244" s="92">
        <v>206235</v>
      </c>
      <c r="B244" s="25" t="s">
        <v>796</v>
      </c>
      <c r="C244" s="110">
        <v>0</v>
      </c>
    </row>
    <row r="245" spans="1:3">
      <c r="A245" s="92">
        <v>206240</v>
      </c>
      <c r="B245" s="25" t="s">
        <v>797</v>
      </c>
      <c r="C245" s="110">
        <v>0</v>
      </c>
    </row>
    <row r="246" spans="1:3">
      <c r="A246" s="92">
        <v>206245</v>
      </c>
      <c r="B246" s="25" t="s">
        <v>798</v>
      </c>
      <c r="C246" s="110">
        <v>0</v>
      </c>
    </row>
    <row r="247" spans="1:3">
      <c r="A247" s="92">
        <v>206250</v>
      </c>
      <c r="B247" s="25" t="s">
        <v>799</v>
      </c>
      <c r="C247" s="110">
        <v>0</v>
      </c>
    </row>
    <row r="248" spans="1:3">
      <c r="A248" s="92">
        <v>206255</v>
      </c>
      <c r="B248" s="25" t="s">
        <v>800</v>
      </c>
      <c r="C248" s="110">
        <v>0</v>
      </c>
    </row>
    <row r="249" spans="1:3">
      <c r="A249" s="92">
        <v>206260</v>
      </c>
      <c r="B249" s="25" t="s">
        <v>801</v>
      </c>
      <c r="C249" s="110">
        <v>0</v>
      </c>
    </row>
    <row r="250" spans="1:3">
      <c r="A250" s="92">
        <v>206265</v>
      </c>
      <c r="B250" s="25" t="s">
        <v>802</v>
      </c>
      <c r="C250" s="110">
        <v>0</v>
      </c>
    </row>
    <row r="251" spans="1:3">
      <c r="A251" s="92">
        <v>206270</v>
      </c>
      <c r="B251" s="25" t="s">
        <v>803</v>
      </c>
      <c r="C251" s="110">
        <v>0</v>
      </c>
    </row>
    <row r="252" spans="1:3">
      <c r="A252" s="92">
        <v>206275</v>
      </c>
      <c r="B252" s="25" t="s">
        <v>804</v>
      </c>
      <c r="C252" s="110">
        <v>0</v>
      </c>
    </row>
    <row r="253" spans="1:3">
      <c r="A253" s="92">
        <v>206280</v>
      </c>
      <c r="B253" s="25" t="s">
        <v>805</v>
      </c>
      <c r="C253" s="110">
        <v>0</v>
      </c>
    </row>
    <row r="254" spans="1:3">
      <c r="A254" s="92">
        <v>206285</v>
      </c>
      <c r="B254" s="25" t="s">
        <v>806</v>
      </c>
      <c r="C254" s="110">
        <v>0</v>
      </c>
    </row>
    <row r="255" spans="1:3">
      <c r="A255" s="92">
        <v>206290</v>
      </c>
      <c r="B255" s="25" t="s">
        <v>807</v>
      </c>
      <c r="C255" s="110">
        <v>0</v>
      </c>
    </row>
    <row r="256" spans="1:3">
      <c r="A256" s="92">
        <v>206295</v>
      </c>
      <c r="B256" s="25" t="s">
        <v>808</v>
      </c>
      <c r="C256" s="110">
        <v>0</v>
      </c>
    </row>
    <row r="257" spans="1:3">
      <c r="A257" s="92">
        <v>206300</v>
      </c>
      <c r="B257" s="25" t="s">
        <v>809</v>
      </c>
      <c r="C257" s="110">
        <v>0</v>
      </c>
    </row>
    <row r="258" spans="1:3">
      <c r="A258" s="92">
        <v>206305</v>
      </c>
      <c r="B258" s="25" t="s">
        <v>810</v>
      </c>
      <c r="C258" s="110">
        <v>0</v>
      </c>
    </row>
    <row r="259" spans="1:3">
      <c r="A259" s="92">
        <v>206310</v>
      </c>
      <c r="B259" s="25" t="s">
        <v>811</v>
      </c>
      <c r="C259" s="110">
        <v>0</v>
      </c>
    </row>
    <row r="260" spans="1:3">
      <c r="A260" s="92">
        <v>206315</v>
      </c>
      <c r="B260" s="25" t="s">
        <v>812</v>
      </c>
      <c r="C260" s="110">
        <v>0</v>
      </c>
    </row>
    <row r="261" spans="1:3">
      <c r="A261" s="92">
        <v>206320</v>
      </c>
      <c r="B261" s="25" t="s">
        <v>813</v>
      </c>
      <c r="C261" s="110">
        <v>0</v>
      </c>
    </row>
    <row r="262" spans="1:3">
      <c r="A262" s="92">
        <v>206325</v>
      </c>
      <c r="B262" s="25" t="s">
        <v>814</v>
      </c>
      <c r="C262" s="110">
        <v>0</v>
      </c>
    </row>
    <row r="263" spans="1:3">
      <c r="A263" s="92">
        <v>206330</v>
      </c>
      <c r="B263" s="25" t="s">
        <v>815</v>
      </c>
      <c r="C263" s="110">
        <v>0</v>
      </c>
    </row>
    <row r="264" spans="1:3">
      <c r="A264" s="92">
        <v>206335</v>
      </c>
      <c r="B264" s="25" t="s">
        <v>816</v>
      </c>
      <c r="C264" s="110">
        <v>0</v>
      </c>
    </row>
    <row r="265" spans="1:3">
      <c r="A265" s="92">
        <v>206340</v>
      </c>
      <c r="B265" s="25" t="s">
        <v>817</v>
      </c>
      <c r="C265" s="110">
        <v>0</v>
      </c>
    </row>
    <row r="266" spans="1:3">
      <c r="A266" s="92">
        <v>206345</v>
      </c>
      <c r="B266" s="25" t="s">
        <v>818</v>
      </c>
      <c r="C266" s="110">
        <v>0</v>
      </c>
    </row>
    <row r="267" spans="1:3">
      <c r="A267" s="92">
        <v>42</v>
      </c>
      <c r="B267" s="25" t="s">
        <v>394</v>
      </c>
      <c r="C267" s="110">
        <v>1</v>
      </c>
    </row>
    <row r="268" spans="1:3">
      <c r="A268" s="92">
        <v>43</v>
      </c>
      <c r="B268" s="25" t="s">
        <v>819</v>
      </c>
      <c r="C268" s="110">
        <v>1</v>
      </c>
    </row>
    <row r="269" spans="1:3">
      <c r="A269" s="92">
        <v>44</v>
      </c>
      <c r="B269" s="25" t="s">
        <v>356</v>
      </c>
      <c r="C269" s="110">
        <v>1</v>
      </c>
    </row>
    <row r="270" spans="1:3">
      <c r="A270" s="92">
        <v>45</v>
      </c>
      <c r="B270" s="25" t="s">
        <v>0</v>
      </c>
      <c r="C270" s="110">
        <v>0</v>
      </c>
    </row>
    <row r="271" spans="1:3">
      <c r="A271" s="92">
        <v>46</v>
      </c>
      <c r="B271" s="25" t="s">
        <v>357</v>
      </c>
      <c r="C271" s="110">
        <v>0</v>
      </c>
    </row>
    <row r="272" spans="1:3">
      <c r="A272" s="92">
        <v>47</v>
      </c>
      <c r="B272" s="25" t="s">
        <v>359</v>
      </c>
      <c r="C272" s="110">
        <v>3</v>
      </c>
    </row>
    <row r="273" spans="1:3">
      <c r="A273" s="92">
        <v>48</v>
      </c>
      <c r="B273" s="25" t="s">
        <v>360</v>
      </c>
      <c r="C273" s="110">
        <v>0</v>
      </c>
    </row>
    <row r="274" spans="1:3">
      <c r="A274" s="92">
        <v>209000</v>
      </c>
      <c r="B274" s="25" t="s">
        <v>489</v>
      </c>
      <c r="C274" s="110">
        <v>0</v>
      </c>
    </row>
    <row r="275" spans="1:3">
      <c r="A275" s="92">
        <v>209005</v>
      </c>
      <c r="B275" s="25" t="s">
        <v>490</v>
      </c>
      <c r="C275" s="110">
        <v>0</v>
      </c>
    </row>
    <row r="276" spans="1:3">
      <c r="A276" s="92">
        <v>209010</v>
      </c>
      <c r="B276" s="25" t="s">
        <v>491</v>
      </c>
      <c r="C276" s="110">
        <v>0</v>
      </c>
    </row>
    <row r="277" spans="1:3">
      <c r="A277" s="92">
        <v>209015</v>
      </c>
      <c r="B277" s="25" t="s">
        <v>492</v>
      </c>
      <c r="C277" s="110">
        <v>0</v>
      </c>
    </row>
    <row r="278" spans="1:3">
      <c r="A278" s="92">
        <v>209020</v>
      </c>
      <c r="B278" s="25" t="s">
        <v>822</v>
      </c>
      <c r="C278" s="110">
        <v>0</v>
      </c>
    </row>
    <row r="279" spans="1:3">
      <c r="A279" s="92">
        <v>209025</v>
      </c>
      <c r="B279" s="25" t="s">
        <v>823</v>
      </c>
      <c r="C279" s="110">
        <v>0</v>
      </c>
    </row>
    <row r="280" spans="1:3">
      <c r="A280" s="92">
        <v>209030</v>
      </c>
      <c r="B280" s="25" t="s">
        <v>493</v>
      </c>
      <c r="C280" s="110">
        <v>0</v>
      </c>
    </row>
    <row r="281" spans="1:3">
      <c r="A281" s="92">
        <v>209035</v>
      </c>
      <c r="B281" s="25" t="s">
        <v>494</v>
      </c>
      <c r="C281" s="110">
        <v>1</v>
      </c>
    </row>
    <row r="282" spans="1:3">
      <c r="A282" s="92">
        <v>209040</v>
      </c>
      <c r="B282" s="25" t="s">
        <v>824</v>
      </c>
      <c r="C282" s="110">
        <v>0</v>
      </c>
    </row>
    <row r="283" spans="1:3">
      <c r="A283" s="92">
        <v>209045</v>
      </c>
      <c r="B283" s="25" t="s">
        <v>825</v>
      </c>
      <c r="C283" s="110">
        <v>0</v>
      </c>
    </row>
    <row r="284" spans="1:3">
      <c r="A284" s="92">
        <v>209050</v>
      </c>
      <c r="B284" s="25" t="s">
        <v>495</v>
      </c>
      <c r="C284" s="110">
        <v>0</v>
      </c>
    </row>
    <row r="285" spans="1:3">
      <c r="A285" s="92">
        <v>209055</v>
      </c>
      <c r="B285" s="25" t="s">
        <v>826</v>
      </c>
      <c r="C285" s="110">
        <v>0</v>
      </c>
    </row>
    <row r="286" spans="1:3">
      <c r="A286" s="92">
        <v>209060</v>
      </c>
      <c r="B286" s="25" t="s">
        <v>496</v>
      </c>
      <c r="C286" s="110">
        <v>0</v>
      </c>
    </row>
    <row r="287" spans="1:3">
      <c r="A287" s="92">
        <v>209061</v>
      </c>
      <c r="B287" s="25" t="s">
        <v>827</v>
      </c>
      <c r="C287" s="110" t="e">
        <v>#N/A</v>
      </c>
    </row>
    <row r="288" spans="1:3">
      <c r="A288" s="92">
        <v>209065</v>
      </c>
      <c r="B288" s="25" t="s">
        <v>497</v>
      </c>
      <c r="C288" s="110">
        <v>0</v>
      </c>
    </row>
    <row r="289" spans="1:3">
      <c r="A289" s="92">
        <v>209070</v>
      </c>
      <c r="B289" s="25" t="s">
        <v>498</v>
      </c>
      <c r="C289" s="110">
        <v>0</v>
      </c>
    </row>
    <row r="290" spans="1:3">
      <c r="A290" s="92">
        <v>209075</v>
      </c>
      <c r="B290" s="25" t="s">
        <v>499</v>
      </c>
      <c r="C290" s="110">
        <v>0</v>
      </c>
    </row>
    <row r="291" spans="1:3">
      <c r="A291" s="92">
        <v>209080</v>
      </c>
      <c r="B291" s="25" t="s">
        <v>500</v>
      </c>
      <c r="C291" s="110">
        <v>1</v>
      </c>
    </row>
    <row r="292" spans="1:3">
      <c r="A292" s="92">
        <v>209085</v>
      </c>
      <c r="B292" s="25" t="s">
        <v>501</v>
      </c>
      <c r="C292" s="110">
        <v>0</v>
      </c>
    </row>
    <row r="293" spans="1:3">
      <c r="A293" s="92">
        <v>209090</v>
      </c>
      <c r="B293" s="25" t="s">
        <v>502</v>
      </c>
      <c r="C293" s="110">
        <v>0</v>
      </c>
    </row>
    <row r="294" spans="1:3">
      <c r="A294" s="92">
        <v>209095</v>
      </c>
      <c r="B294" s="25" t="s">
        <v>503</v>
      </c>
      <c r="C294" s="110">
        <v>0</v>
      </c>
    </row>
    <row r="295" spans="1:3">
      <c r="A295" s="92" t="s">
        <v>1096</v>
      </c>
      <c r="B295" s="25" t="s">
        <v>705</v>
      </c>
      <c r="C295" s="110">
        <v>0</v>
      </c>
    </row>
    <row r="296" spans="1:3">
      <c r="A296" s="92">
        <v>209100</v>
      </c>
      <c r="B296" s="25" t="s">
        <v>828</v>
      </c>
      <c r="C296" s="110">
        <v>1</v>
      </c>
    </row>
    <row r="297" spans="1:3">
      <c r="A297" s="92">
        <v>209105</v>
      </c>
      <c r="B297" s="25" t="s">
        <v>784</v>
      </c>
      <c r="C297" s="110" t="e">
        <v>#N/A</v>
      </c>
    </row>
    <row r="298" spans="1:3">
      <c r="A298" s="92">
        <v>209110</v>
      </c>
      <c r="B298" s="25" t="s">
        <v>829</v>
      </c>
      <c r="C298" s="110">
        <v>0</v>
      </c>
    </row>
    <row r="299" spans="1:3">
      <c r="A299" s="92">
        <v>209115</v>
      </c>
      <c r="B299" s="25" t="s">
        <v>504</v>
      </c>
      <c r="C299" s="110">
        <v>1</v>
      </c>
    </row>
    <row r="300" spans="1:3">
      <c r="A300" s="92">
        <v>209120</v>
      </c>
      <c r="B300" s="25" t="s">
        <v>457</v>
      </c>
      <c r="C300" s="110">
        <v>0</v>
      </c>
    </row>
    <row r="301" spans="1:3">
      <c r="A301" s="92">
        <v>209125</v>
      </c>
      <c r="B301" s="25" t="s">
        <v>505</v>
      </c>
      <c r="C301" s="110">
        <v>0</v>
      </c>
    </row>
    <row r="302" spans="1:3">
      <c r="A302" s="92">
        <v>209130</v>
      </c>
      <c r="B302" s="25" t="s">
        <v>506</v>
      </c>
      <c r="C302" s="110">
        <v>0</v>
      </c>
    </row>
    <row r="303" spans="1:3">
      <c r="A303" s="92">
        <v>209135</v>
      </c>
      <c r="B303" s="25" t="s">
        <v>410</v>
      </c>
      <c r="C303" s="110">
        <v>0</v>
      </c>
    </row>
    <row r="304" spans="1:3">
      <c r="A304" s="92">
        <v>209140</v>
      </c>
      <c r="B304" s="25" t="s">
        <v>507</v>
      </c>
      <c r="C304" s="110">
        <v>0</v>
      </c>
    </row>
    <row r="305" spans="1:5">
      <c r="A305" s="92">
        <v>209145</v>
      </c>
      <c r="B305" s="25" t="s">
        <v>508</v>
      </c>
      <c r="C305" s="110">
        <v>0</v>
      </c>
    </row>
    <row r="306" spans="1:5">
      <c r="A306" s="92">
        <v>209150</v>
      </c>
      <c r="B306" s="25" t="s">
        <v>509</v>
      </c>
      <c r="C306" s="110">
        <v>0</v>
      </c>
    </row>
    <row r="307" spans="1:5">
      <c r="A307" s="92">
        <v>209155</v>
      </c>
      <c r="B307" s="25" t="s">
        <v>510</v>
      </c>
      <c r="C307" s="110">
        <v>0</v>
      </c>
    </row>
    <row r="308" spans="1:5">
      <c r="A308" s="92">
        <v>209160</v>
      </c>
      <c r="B308" s="25" t="s">
        <v>511</v>
      </c>
      <c r="C308" s="110">
        <v>0</v>
      </c>
    </row>
    <row r="309" spans="1:5">
      <c r="A309" s="92">
        <v>209165</v>
      </c>
      <c r="B309" s="25" t="s">
        <v>512</v>
      </c>
      <c r="C309" s="110">
        <v>0</v>
      </c>
      <c r="E309" t="s">
        <v>1022</v>
      </c>
    </row>
    <row r="310" spans="1:5">
      <c r="A310" s="92">
        <v>209170</v>
      </c>
      <c r="B310" s="25" t="s">
        <v>513</v>
      </c>
      <c r="C310" s="110">
        <v>0</v>
      </c>
    </row>
    <row r="311" spans="1:5">
      <c r="A311" s="92">
        <v>209175</v>
      </c>
      <c r="B311" s="25" t="s">
        <v>830</v>
      </c>
      <c r="C311" s="110">
        <v>0</v>
      </c>
    </row>
    <row r="312" spans="1:5">
      <c r="A312" s="92">
        <v>209180</v>
      </c>
      <c r="B312" s="25" t="s">
        <v>475</v>
      </c>
      <c r="C312" s="110">
        <v>6</v>
      </c>
    </row>
    <row r="313" spans="1:5">
      <c r="A313" s="92">
        <v>209185</v>
      </c>
      <c r="B313" s="25" t="s">
        <v>476</v>
      </c>
      <c r="C313" s="110">
        <v>0</v>
      </c>
    </row>
    <row r="314" spans="1:5">
      <c r="A314" s="92">
        <v>209190</v>
      </c>
      <c r="B314" s="25" t="s">
        <v>433</v>
      </c>
      <c r="C314" s="110">
        <v>0</v>
      </c>
    </row>
    <row r="315" spans="1:5">
      <c r="A315" s="92">
        <v>209195</v>
      </c>
      <c r="B315" s="25" t="s">
        <v>483</v>
      </c>
      <c r="C315" s="110">
        <v>0</v>
      </c>
    </row>
    <row r="316" spans="1:5">
      <c r="A316" s="92">
        <v>50</v>
      </c>
      <c r="B316" s="25" t="s">
        <v>831</v>
      </c>
      <c r="C316" s="110">
        <v>1</v>
      </c>
    </row>
    <row r="317" spans="1:5">
      <c r="A317" s="92">
        <v>51</v>
      </c>
      <c r="B317" s="25" t="s">
        <v>394</v>
      </c>
      <c r="C317" s="110">
        <v>0</v>
      </c>
    </row>
    <row r="318" spans="1:5">
      <c r="A318" s="92">
        <v>52</v>
      </c>
      <c r="B318" s="25" t="s">
        <v>356</v>
      </c>
      <c r="C318" s="110">
        <v>0</v>
      </c>
    </row>
    <row r="319" spans="1:5">
      <c r="A319" s="92">
        <v>53</v>
      </c>
      <c r="B319" s="25" t="s">
        <v>0</v>
      </c>
      <c r="C319" s="110">
        <v>0</v>
      </c>
    </row>
    <row r="320" spans="1:5">
      <c r="A320" s="92">
        <v>54</v>
      </c>
      <c r="B320" s="25" t="s">
        <v>357</v>
      </c>
      <c r="C320" s="110">
        <v>0</v>
      </c>
    </row>
    <row r="321" spans="1:5">
      <c r="A321" s="92" t="s">
        <v>1969</v>
      </c>
      <c r="B321" s="25" t="s">
        <v>1988</v>
      </c>
      <c r="C321" s="110">
        <v>0</v>
      </c>
    </row>
    <row r="322" spans="1:5">
      <c r="A322" s="92" t="s">
        <v>1970</v>
      </c>
      <c r="B322" s="25" t="s">
        <v>1987</v>
      </c>
      <c r="C322" s="110">
        <v>0</v>
      </c>
      <c r="E322" t="s">
        <v>1022</v>
      </c>
    </row>
    <row r="323" spans="1:5">
      <c r="A323" s="92">
        <v>55</v>
      </c>
      <c r="B323" s="25" t="s">
        <v>359</v>
      </c>
      <c r="C323" s="110">
        <v>1</v>
      </c>
    </row>
    <row r="324" spans="1:5">
      <c r="A324" s="92">
        <v>56</v>
      </c>
      <c r="B324" s="25" t="s">
        <v>360</v>
      </c>
      <c r="C324" s="110">
        <v>0</v>
      </c>
    </row>
    <row r="325" spans="1:5">
      <c r="A325" s="92">
        <v>21000</v>
      </c>
      <c r="B325" s="25" t="s">
        <v>514</v>
      </c>
      <c r="C325" s="110">
        <v>0</v>
      </c>
    </row>
    <row r="326" spans="1:5">
      <c r="A326" s="92">
        <v>21005</v>
      </c>
      <c r="B326" s="25" t="s">
        <v>515</v>
      </c>
      <c r="C326" s="110">
        <v>2</v>
      </c>
    </row>
    <row r="327" spans="1:5">
      <c r="A327" s="92">
        <v>21010</v>
      </c>
      <c r="B327" s="25" t="s">
        <v>516</v>
      </c>
      <c r="C327" s="110">
        <v>0</v>
      </c>
    </row>
    <row r="328" spans="1:5">
      <c r="A328" s="92">
        <v>21015</v>
      </c>
      <c r="B328" s="25" t="s">
        <v>517</v>
      </c>
      <c r="C328" s="110">
        <v>1</v>
      </c>
    </row>
    <row r="329" spans="1:5">
      <c r="A329" s="92">
        <v>21020</v>
      </c>
      <c r="B329" s="25" t="s">
        <v>833</v>
      </c>
      <c r="C329" s="110">
        <v>0</v>
      </c>
    </row>
    <row r="330" spans="1:5">
      <c r="A330" s="92">
        <v>21025</v>
      </c>
      <c r="B330" s="25" t="s">
        <v>834</v>
      </c>
      <c r="C330" s="110">
        <v>0</v>
      </c>
    </row>
    <row r="331" spans="1:5">
      <c r="A331" s="92">
        <v>21030</v>
      </c>
      <c r="B331" s="25" t="s">
        <v>518</v>
      </c>
      <c r="C331" s="110">
        <v>4</v>
      </c>
    </row>
    <row r="332" spans="1:5">
      <c r="A332" s="92">
        <v>21035</v>
      </c>
      <c r="B332" s="25" t="s">
        <v>519</v>
      </c>
      <c r="C332" s="110">
        <v>0</v>
      </c>
    </row>
    <row r="333" spans="1:5">
      <c r="A333" s="92">
        <v>21040</v>
      </c>
      <c r="B333" s="25" t="s">
        <v>520</v>
      </c>
      <c r="C333" s="110">
        <v>0</v>
      </c>
    </row>
    <row r="334" spans="1:5">
      <c r="A334" s="92">
        <v>21045</v>
      </c>
      <c r="B334" s="25" t="s">
        <v>521</v>
      </c>
      <c r="C334" s="110">
        <v>2</v>
      </c>
    </row>
    <row r="335" spans="1:5">
      <c r="A335" s="92">
        <v>21050</v>
      </c>
      <c r="B335" s="25" t="s">
        <v>522</v>
      </c>
      <c r="C335" s="110">
        <v>0</v>
      </c>
    </row>
    <row r="336" spans="1:5">
      <c r="A336" s="92" t="s">
        <v>1097</v>
      </c>
      <c r="B336" s="25" t="s">
        <v>341</v>
      </c>
      <c r="C336" s="110">
        <v>0</v>
      </c>
    </row>
    <row r="337" spans="1:3">
      <c r="A337" s="92" t="s">
        <v>1098</v>
      </c>
      <c r="B337" s="25" t="s">
        <v>265</v>
      </c>
      <c r="C337" s="110">
        <v>1</v>
      </c>
    </row>
    <row r="338" spans="1:3">
      <c r="A338" s="92">
        <v>21055</v>
      </c>
      <c r="B338" s="25" t="s">
        <v>523</v>
      </c>
      <c r="C338" s="110">
        <v>1</v>
      </c>
    </row>
    <row r="339" spans="1:3">
      <c r="A339" s="92">
        <v>21060</v>
      </c>
      <c r="B339" s="25" t="s">
        <v>410</v>
      </c>
      <c r="C339" s="110">
        <v>0</v>
      </c>
    </row>
    <row r="340" spans="1:3">
      <c r="A340" s="92">
        <v>21065</v>
      </c>
      <c r="B340" s="25" t="s">
        <v>476</v>
      </c>
      <c r="C340" s="110">
        <v>0</v>
      </c>
    </row>
    <row r="341" spans="1:3">
      <c r="A341" s="92">
        <v>21070</v>
      </c>
      <c r="B341" s="25" t="s">
        <v>433</v>
      </c>
      <c r="C341" s="110">
        <v>0</v>
      </c>
    </row>
    <row r="342" spans="1:3">
      <c r="A342" s="92">
        <v>21075</v>
      </c>
      <c r="B342" s="25" t="s">
        <v>835</v>
      </c>
      <c r="C342" s="110">
        <v>0</v>
      </c>
    </row>
    <row r="343" spans="1:3">
      <c r="A343" s="92">
        <v>21080</v>
      </c>
      <c r="B343" s="25" t="s">
        <v>488</v>
      </c>
      <c r="C343" s="110">
        <v>0</v>
      </c>
    </row>
    <row r="344" spans="1:3">
      <c r="A344" s="92">
        <v>57</v>
      </c>
      <c r="B344" s="25" t="s">
        <v>355</v>
      </c>
      <c r="C344" s="110">
        <v>0</v>
      </c>
    </row>
    <row r="345" spans="1:3">
      <c r="A345" s="92">
        <v>58</v>
      </c>
      <c r="B345" s="25" t="s">
        <v>356</v>
      </c>
      <c r="C345" s="110">
        <v>0</v>
      </c>
    </row>
    <row r="346" spans="1:3">
      <c r="A346" s="92">
        <v>59</v>
      </c>
      <c r="B346" s="25" t="s">
        <v>0</v>
      </c>
      <c r="C346" s="110">
        <v>0</v>
      </c>
    </row>
    <row r="347" spans="1:3">
      <c r="A347" s="92">
        <v>60</v>
      </c>
      <c r="B347" s="25" t="s">
        <v>357</v>
      </c>
      <c r="C347" s="110">
        <v>0</v>
      </c>
    </row>
    <row r="348" spans="1:3">
      <c r="A348" s="92">
        <v>61</v>
      </c>
      <c r="B348" s="25" t="s">
        <v>359</v>
      </c>
      <c r="C348" s="110">
        <v>1</v>
      </c>
    </row>
    <row r="349" spans="1:3">
      <c r="A349" s="92">
        <v>62</v>
      </c>
      <c r="B349" s="25" t="s">
        <v>360</v>
      </c>
      <c r="C349" s="110">
        <v>0</v>
      </c>
    </row>
    <row r="350" spans="1:3">
      <c r="A350" s="92">
        <v>203000</v>
      </c>
      <c r="B350" s="25" t="s">
        <v>524</v>
      </c>
      <c r="C350" s="110">
        <v>1</v>
      </c>
    </row>
    <row r="351" spans="1:3">
      <c r="A351" s="92">
        <v>203005</v>
      </c>
      <c r="B351" s="25" t="s">
        <v>525</v>
      </c>
      <c r="C351" s="110">
        <v>1</v>
      </c>
    </row>
    <row r="352" spans="1:3">
      <c r="A352" s="92">
        <v>203010</v>
      </c>
      <c r="B352" s="25" t="s">
        <v>526</v>
      </c>
      <c r="C352" s="110">
        <v>0</v>
      </c>
    </row>
    <row r="353" spans="1:3">
      <c r="A353" s="92">
        <v>203015</v>
      </c>
      <c r="B353" s="25" t="s">
        <v>527</v>
      </c>
      <c r="C353" s="110">
        <v>1</v>
      </c>
    </row>
    <row r="354" spans="1:3">
      <c r="A354" s="92">
        <v>203020</v>
      </c>
      <c r="B354" s="25" t="s">
        <v>528</v>
      </c>
      <c r="C354" s="110">
        <v>0</v>
      </c>
    </row>
    <row r="355" spans="1:3">
      <c r="A355" s="92">
        <v>203025</v>
      </c>
      <c r="B355" s="25" t="s">
        <v>529</v>
      </c>
      <c r="C355" s="110">
        <v>0</v>
      </c>
    </row>
    <row r="356" spans="1:3">
      <c r="A356" s="92">
        <v>203030</v>
      </c>
      <c r="B356" s="25" t="s">
        <v>530</v>
      </c>
      <c r="C356" s="110">
        <v>0</v>
      </c>
    </row>
    <row r="357" spans="1:3">
      <c r="A357" s="92">
        <v>203035</v>
      </c>
      <c r="B357" s="25" t="s">
        <v>531</v>
      </c>
      <c r="C357" s="110">
        <v>0</v>
      </c>
    </row>
    <row r="358" spans="1:3">
      <c r="A358" s="92">
        <v>203040</v>
      </c>
      <c r="B358" s="25" t="s">
        <v>532</v>
      </c>
      <c r="C358" s="110">
        <v>0</v>
      </c>
    </row>
    <row r="359" spans="1:3">
      <c r="A359" s="92">
        <v>203045</v>
      </c>
      <c r="B359" s="25" t="s">
        <v>533</v>
      </c>
      <c r="C359" s="110">
        <v>0</v>
      </c>
    </row>
    <row r="360" spans="1:3">
      <c r="A360" s="92">
        <v>203050</v>
      </c>
      <c r="B360" s="25" t="s">
        <v>534</v>
      </c>
      <c r="C360" s="110">
        <v>0</v>
      </c>
    </row>
    <row r="361" spans="1:3">
      <c r="A361" s="92">
        <v>203055</v>
      </c>
      <c r="B361" s="25" t="s">
        <v>410</v>
      </c>
      <c r="C361" s="110">
        <v>0</v>
      </c>
    </row>
    <row r="362" spans="1:3">
      <c r="A362" s="92">
        <v>64</v>
      </c>
      <c r="B362" s="25" t="s">
        <v>837</v>
      </c>
      <c r="C362" s="110">
        <v>1</v>
      </c>
    </row>
    <row r="363" spans="1:3">
      <c r="A363" s="92">
        <v>65</v>
      </c>
      <c r="B363" s="25" t="s">
        <v>356</v>
      </c>
      <c r="C363" s="110">
        <v>0</v>
      </c>
    </row>
    <row r="364" spans="1:3">
      <c r="A364" s="92">
        <v>66</v>
      </c>
      <c r="B364" s="25" t="s">
        <v>0</v>
      </c>
      <c r="C364" s="110">
        <v>0</v>
      </c>
    </row>
    <row r="365" spans="1:3">
      <c r="A365" s="92">
        <v>67</v>
      </c>
      <c r="B365" s="25" t="s">
        <v>357</v>
      </c>
      <c r="C365" s="110">
        <v>0</v>
      </c>
    </row>
    <row r="366" spans="1:3">
      <c r="A366" s="92">
        <v>68</v>
      </c>
      <c r="B366" s="25" t="s">
        <v>535</v>
      </c>
      <c r="C366" s="110">
        <v>0</v>
      </c>
    </row>
    <row r="367" spans="1:3">
      <c r="A367" s="92">
        <v>69</v>
      </c>
      <c r="B367" s="25" t="s">
        <v>359</v>
      </c>
      <c r="C367" s="110">
        <v>0</v>
      </c>
    </row>
    <row r="368" spans="1:3">
      <c r="A368" s="92">
        <v>70</v>
      </c>
      <c r="B368" s="25" t="s">
        <v>360</v>
      </c>
      <c r="C368" s="110">
        <v>0</v>
      </c>
    </row>
    <row r="369" spans="1:4">
      <c r="A369" s="92">
        <v>205000</v>
      </c>
      <c r="B369" s="25" t="s">
        <v>536</v>
      </c>
      <c r="C369" s="110">
        <v>1</v>
      </c>
    </row>
    <row r="370" spans="1:4">
      <c r="A370" s="92">
        <v>205005</v>
      </c>
      <c r="B370" s="25" t="s">
        <v>537</v>
      </c>
      <c r="C370" s="110">
        <v>0</v>
      </c>
    </row>
    <row r="371" spans="1:4">
      <c r="A371" s="92">
        <v>205010</v>
      </c>
      <c r="B371" s="25" t="s">
        <v>538</v>
      </c>
      <c r="C371" s="110">
        <v>1</v>
      </c>
    </row>
    <row r="372" spans="1:4">
      <c r="A372" s="92">
        <v>205015</v>
      </c>
      <c r="B372" s="25" t="s">
        <v>838</v>
      </c>
      <c r="C372" s="110">
        <v>1</v>
      </c>
      <c r="D372" t="s">
        <v>1022</v>
      </c>
    </row>
    <row r="373" spans="1:4">
      <c r="A373" s="92">
        <v>205020</v>
      </c>
      <c r="B373" s="25" t="s">
        <v>539</v>
      </c>
      <c r="C373" s="110">
        <v>0</v>
      </c>
    </row>
    <row r="374" spans="1:4">
      <c r="A374" s="92">
        <v>205025</v>
      </c>
      <c r="B374" s="25" t="s">
        <v>540</v>
      </c>
      <c r="C374" s="110">
        <v>0</v>
      </c>
    </row>
    <row r="375" spans="1:4">
      <c r="A375" s="92">
        <v>205030</v>
      </c>
      <c r="B375" s="25" t="s">
        <v>541</v>
      </c>
      <c r="C375" s="110">
        <v>0</v>
      </c>
    </row>
    <row r="376" spans="1:4">
      <c r="A376" s="92">
        <v>205035</v>
      </c>
      <c r="B376" s="25" t="s">
        <v>542</v>
      </c>
      <c r="C376" s="110">
        <v>0</v>
      </c>
    </row>
    <row r="377" spans="1:4">
      <c r="A377" s="92">
        <v>205040</v>
      </c>
      <c r="B377" s="25" t="s">
        <v>839</v>
      </c>
      <c r="C377" s="110">
        <v>0</v>
      </c>
    </row>
    <row r="378" spans="1:4">
      <c r="A378" s="92">
        <v>72</v>
      </c>
      <c r="B378" s="25" t="s">
        <v>840</v>
      </c>
      <c r="C378" s="110">
        <v>0</v>
      </c>
    </row>
    <row r="379" spans="1:4">
      <c r="A379" s="92">
        <v>73</v>
      </c>
      <c r="B379" s="25" t="s">
        <v>356</v>
      </c>
      <c r="C379" s="110">
        <v>0</v>
      </c>
    </row>
    <row r="380" spans="1:4">
      <c r="A380" s="92">
        <v>74</v>
      </c>
      <c r="B380" s="25" t="s">
        <v>0</v>
      </c>
      <c r="C380" s="110">
        <v>0</v>
      </c>
    </row>
    <row r="381" spans="1:4">
      <c r="A381" s="92">
        <v>75</v>
      </c>
      <c r="B381" s="25" t="s">
        <v>357</v>
      </c>
      <c r="C381" s="110">
        <v>0</v>
      </c>
    </row>
    <row r="382" spans="1:4">
      <c r="A382" s="92">
        <v>76</v>
      </c>
      <c r="B382" s="25" t="s">
        <v>359</v>
      </c>
      <c r="C382" s="110">
        <v>1</v>
      </c>
    </row>
    <row r="383" spans="1:4">
      <c r="A383" s="92">
        <v>77</v>
      </c>
      <c r="B383" s="25" t="s">
        <v>360</v>
      </c>
      <c r="C383" s="110">
        <v>0</v>
      </c>
    </row>
    <row r="384" spans="1:4">
      <c r="A384" s="92">
        <v>78</v>
      </c>
      <c r="B384" s="25" t="s">
        <v>535</v>
      </c>
      <c r="C384" s="110" t="e">
        <v>#N/A</v>
      </c>
    </row>
    <row r="385" spans="1:4">
      <c r="A385" s="92" t="s">
        <v>1099</v>
      </c>
      <c r="B385" s="25" t="s">
        <v>682</v>
      </c>
      <c r="C385" s="110">
        <v>0</v>
      </c>
    </row>
    <row r="386" spans="1:4">
      <c r="A386" s="92">
        <v>208000</v>
      </c>
      <c r="B386" s="25" t="s">
        <v>543</v>
      </c>
      <c r="C386" s="110">
        <v>0</v>
      </c>
    </row>
    <row r="387" spans="1:4">
      <c r="A387" s="92">
        <v>208005</v>
      </c>
      <c r="B387" s="25" t="s">
        <v>544</v>
      </c>
      <c r="C387" s="110">
        <v>0</v>
      </c>
    </row>
    <row r="388" spans="1:4">
      <c r="A388" s="92">
        <v>208010</v>
      </c>
      <c r="B388" s="25" t="s">
        <v>545</v>
      </c>
      <c r="C388" s="110">
        <v>1</v>
      </c>
    </row>
    <row r="389" spans="1:4">
      <c r="A389" s="92">
        <v>208015</v>
      </c>
      <c r="B389" s="25" t="s">
        <v>546</v>
      </c>
      <c r="C389" s="110">
        <v>0</v>
      </c>
    </row>
    <row r="390" spans="1:4">
      <c r="A390" s="92">
        <v>208020</v>
      </c>
      <c r="B390" s="25" t="s">
        <v>547</v>
      </c>
      <c r="C390" s="110">
        <v>1</v>
      </c>
    </row>
    <row r="391" spans="1:4">
      <c r="A391" s="92">
        <v>208025</v>
      </c>
      <c r="B391" s="25" t="s">
        <v>548</v>
      </c>
      <c r="C391" s="110">
        <v>0</v>
      </c>
    </row>
    <row r="392" spans="1:4">
      <c r="A392" s="92">
        <v>208030</v>
      </c>
      <c r="B392" s="25" t="s">
        <v>410</v>
      </c>
      <c r="C392" s="110">
        <v>0</v>
      </c>
    </row>
    <row r="393" spans="1:4">
      <c r="A393" s="92">
        <v>208035</v>
      </c>
      <c r="B393" s="25" t="s">
        <v>841</v>
      </c>
      <c r="C393" s="110">
        <v>1</v>
      </c>
      <c r="D393" t="s">
        <v>1022</v>
      </c>
    </row>
    <row r="394" spans="1:4">
      <c r="A394" s="92">
        <v>208040</v>
      </c>
      <c r="B394" s="25" t="s">
        <v>549</v>
      </c>
      <c r="C394" s="110">
        <v>0</v>
      </c>
    </row>
    <row r="395" spans="1:4">
      <c r="A395" s="92" t="s">
        <v>2300</v>
      </c>
      <c r="B395" s="25" t="s">
        <v>359</v>
      </c>
      <c r="C395" s="110">
        <v>0</v>
      </c>
    </row>
    <row r="396" spans="1:4">
      <c r="A396" s="92" t="s">
        <v>2301</v>
      </c>
      <c r="B396" s="25" t="s">
        <v>360</v>
      </c>
      <c r="C396" s="110">
        <v>0</v>
      </c>
    </row>
    <row r="397" spans="1:4">
      <c r="A397" s="92">
        <v>208045</v>
      </c>
      <c r="B397" s="25" t="s">
        <v>550</v>
      </c>
      <c r="C397" s="110">
        <v>0</v>
      </c>
      <c r="D397" t="s">
        <v>1022</v>
      </c>
    </row>
    <row r="398" spans="1:4">
      <c r="A398" s="92">
        <v>208050</v>
      </c>
      <c r="B398" s="25" t="s">
        <v>551</v>
      </c>
      <c r="C398" s="110">
        <v>0</v>
      </c>
    </row>
    <row r="399" spans="1:4">
      <c r="A399" s="92">
        <v>208055</v>
      </c>
      <c r="B399" s="25" t="s">
        <v>552</v>
      </c>
      <c r="C399" s="110">
        <v>0</v>
      </c>
      <c r="D399" t="s">
        <v>1022</v>
      </c>
    </row>
    <row r="400" spans="1:4">
      <c r="A400" s="92" t="s">
        <v>2302</v>
      </c>
      <c r="B400" s="25" t="s">
        <v>359</v>
      </c>
      <c r="C400" s="110">
        <v>0</v>
      </c>
    </row>
    <row r="401" spans="1:4">
      <c r="A401" s="92" t="s">
        <v>2303</v>
      </c>
      <c r="B401" s="25" t="s">
        <v>360</v>
      </c>
      <c r="C401" s="110">
        <v>0</v>
      </c>
    </row>
    <row r="402" spans="1:4">
      <c r="A402" s="92">
        <v>208060</v>
      </c>
      <c r="B402" s="25" t="s">
        <v>842</v>
      </c>
      <c r="C402" s="110">
        <v>0</v>
      </c>
    </row>
    <row r="403" spans="1:4">
      <c r="A403" s="92">
        <v>208065</v>
      </c>
      <c r="B403" s="25" t="s">
        <v>843</v>
      </c>
      <c r="C403" s="110">
        <v>0</v>
      </c>
    </row>
    <row r="404" spans="1:4">
      <c r="A404" s="92">
        <v>208070</v>
      </c>
      <c r="B404" s="25" t="s">
        <v>844</v>
      </c>
      <c r="C404" s="110">
        <v>0</v>
      </c>
    </row>
    <row r="405" spans="1:4">
      <c r="A405" s="92">
        <v>208075</v>
      </c>
      <c r="B405" s="25" t="s">
        <v>845</v>
      </c>
      <c r="C405" s="110">
        <v>0</v>
      </c>
    </row>
    <row r="406" spans="1:4">
      <c r="A406" s="92">
        <v>208080</v>
      </c>
      <c r="B406" s="25" t="s">
        <v>846</v>
      </c>
      <c r="C406" s="110">
        <v>0</v>
      </c>
    </row>
    <row r="407" spans="1:4">
      <c r="A407" s="92">
        <v>208085</v>
      </c>
      <c r="B407" s="25" t="s">
        <v>847</v>
      </c>
      <c r="C407" s="110">
        <v>0</v>
      </c>
    </row>
    <row r="408" spans="1:4">
      <c r="A408" s="92">
        <v>208090</v>
      </c>
      <c r="B408" s="25" t="s">
        <v>848</v>
      </c>
      <c r="C408" s="110">
        <v>0</v>
      </c>
    </row>
    <row r="409" spans="1:4">
      <c r="A409" s="92">
        <v>208095</v>
      </c>
      <c r="B409" s="25" t="s">
        <v>849</v>
      </c>
      <c r="C409" s="110">
        <v>0</v>
      </c>
    </row>
    <row r="410" spans="1:4">
      <c r="A410" s="92">
        <v>208100</v>
      </c>
      <c r="B410" s="25" t="s">
        <v>850</v>
      </c>
      <c r="C410" s="110">
        <v>0</v>
      </c>
    </row>
    <row r="411" spans="1:4">
      <c r="A411" s="92" t="s">
        <v>1971</v>
      </c>
      <c r="B411" s="25" t="s">
        <v>971</v>
      </c>
      <c r="C411" s="110">
        <v>0</v>
      </c>
    </row>
    <row r="412" spans="1:4">
      <c r="A412" s="92" t="s">
        <v>1972</v>
      </c>
      <c r="B412" s="25" t="s">
        <v>972</v>
      </c>
      <c r="C412" s="110">
        <v>0</v>
      </c>
    </row>
    <row r="413" spans="1:4">
      <c r="A413" s="92" t="s">
        <v>1973</v>
      </c>
      <c r="B413" s="25" t="s">
        <v>977</v>
      </c>
      <c r="C413" s="110">
        <v>0</v>
      </c>
      <c r="D413" t="s">
        <v>1022</v>
      </c>
    </row>
    <row r="414" spans="1:4">
      <c r="A414" s="92" t="s">
        <v>2304</v>
      </c>
      <c r="B414" s="25" t="s">
        <v>359</v>
      </c>
      <c r="C414" s="110">
        <v>0</v>
      </c>
    </row>
    <row r="415" spans="1:4">
      <c r="A415" s="92" t="s">
        <v>2305</v>
      </c>
      <c r="B415" s="25" t="s">
        <v>360</v>
      </c>
      <c r="C415" s="110">
        <v>0</v>
      </c>
    </row>
    <row r="416" spans="1:4">
      <c r="A416" s="92">
        <v>208105</v>
      </c>
      <c r="B416" s="25" t="s">
        <v>851</v>
      </c>
      <c r="C416" s="110">
        <v>0</v>
      </c>
    </row>
    <row r="417" spans="1:3">
      <c r="A417" s="92">
        <v>208110</v>
      </c>
      <c r="B417" s="25" t="s">
        <v>852</v>
      </c>
      <c r="C417" s="110">
        <v>0</v>
      </c>
    </row>
    <row r="418" spans="1:3">
      <c r="A418" s="92">
        <v>208115</v>
      </c>
      <c r="B418" s="25" t="s">
        <v>553</v>
      </c>
      <c r="C418" s="110">
        <v>0</v>
      </c>
    </row>
    <row r="419" spans="1:3">
      <c r="A419" s="92">
        <v>208120</v>
      </c>
      <c r="B419" s="25" t="s">
        <v>554</v>
      </c>
      <c r="C419" s="110">
        <v>2</v>
      </c>
    </row>
    <row r="420" spans="1:3">
      <c r="A420" s="92">
        <v>208125</v>
      </c>
      <c r="B420" s="25" t="s">
        <v>555</v>
      </c>
      <c r="C420" s="110">
        <v>7</v>
      </c>
    </row>
    <row r="421" spans="1:3">
      <c r="A421" s="92">
        <v>208130</v>
      </c>
      <c r="B421" s="25" t="s">
        <v>556</v>
      </c>
      <c r="C421" s="110">
        <v>0</v>
      </c>
    </row>
    <row r="422" spans="1:3">
      <c r="A422" s="92">
        <v>208135</v>
      </c>
      <c r="B422" s="25" t="s">
        <v>557</v>
      </c>
      <c r="C422" s="110">
        <v>0</v>
      </c>
    </row>
    <row r="423" spans="1:3">
      <c r="A423" s="92">
        <v>208140</v>
      </c>
      <c r="B423" s="25" t="s">
        <v>558</v>
      </c>
      <c r="C423" s="110">
        <v>0</v>
      </c>
    </row>
    <row r="424" spans="1:3">
      <c r="A424" s="92" t="s">
        <v>2306</v>
      </c>
      <c r="B424" s="25" t="s">
        <v>359</v>
      </c>
      <c r="C424" s="110">
        <v>1</v>
      </c>
    </row>
    <row r="425" spans="1:3">
      <c r="A425" s="92" t="s">
        <v>2307</v>
      </c>
      <c r="B425" s="25" t="s">
        <v>360</v>
      </c>
      <c r="C425" s="110">
        <v>0</v>
      </c>
    </row>
    <row r="426" spans="1:3">
      <c r="A426" s="92">
        <v>208145</v>
      </c>
      <c r="B426" s="25" t="s">
        <v>559</v>
      </c>
      <c r="C426" s="110">
        <v>0</v>
      </c>
    </row>
    <row r="427" spans="1:3">
      <c r="A427" s="92">
        <v>208150</v>
      </c>
      <c r="B427" s="25" t="s">
        <v>560</v>
      </c>
      <c r="C427" s="110">
        <v>0</v>
      </c>
    </row>
    <row r="428" spans="1:3">
      <c r="A428" s="92">
        <v>208155</v>
      </c>
      <c r="B428" s="25" t="s">
        <v>561</v>
      </c>
      <c r="C428" s="110">
        <v>0</v>
      </c>
    </row>
    <row r="429" spans="1:3">
      <c r="A429" s="92">
        <v>208160</v>
      </c>
      <c r="B429" s="25" t="s">
        <v>562</v>
      </c>
      <c r="C429" s="110">
        <v>2</v>
      </c>
    </row>
    <row r="430" spans="1:3">
      <c r="A430" s="92">
        <v>208165</v>
      </c>
      <c r="B430" s="25" t="s">
        <v>563</v>
      </c>
      <c r="C430" s="110">
        <v>0</v>
      </c>
    </row>
    <row r="431" spans="1:3">
      <c r="A431" s="92">
        <v>208170</v>
      </c>
      <c r="B431" s="25" t="s">
        <v>564</v>
      </c>
      <c r="C431" s="110">
        <v>1</v>
      </c>
    </row>
    <row r="432" spans="1:3">
      <c r="A432" s="92">
        <v>208175</v>
      </c>
      <c r="B432" s="25" t="s">
        <v>565</v>
      </c>
      <c r="C432" s="110">
        <v>4</v>
      </c>
    </row>
    <row r="433" spans="1:3">
      <c r="A433" s="92">
        <v>208180</v>
      </c>
      <c r="B433" s="25" t="s">
        <v>566</v>
      </c>
      <c r="C433" s="110">
        <v>0</v>
      </c>
    </row>
    <row r="434" spans="1:3">
      <c r="A434" s="92">
        <v>208185</v>
      </c>
      <c r="B434" s="25" t="s">
        <v>567</v>
      </c>
      <c r="C434" s="110">
        <v>0</v>
      </c>
    </row>
    <row r="435" spans="1:3">
      <c r="A435" s="92">
        <v>208190</v>
      </c>
      <c r="B435" s="25" t="s">
        <v>568</v>
      </c>
      <c r="C435" s="110">
        <v>0</v>
      </c>
    </row>
    <row r="436" spans="1:3">
      <c r="A436" s="92">
        <v>208195</v>
      </c>
      <c r="B436" s="25" t="s">
        <v>569</v>
      </c>
      <c r="C436" s="110">
        <v>1</v>
      </c>
    </row>
    <row r="437" spans="1:3">
      <c r="A437" s="92">
        <v>208200</v>
      </c>
      <c r="B437" s="25" t="s">
        <v>570</v>
      </c>
      <c r="C437" s="110">
        <v>1</v>
      </c>
    </row>
    <row r="438" spans="1:3">
      <c r="A438" s="92">
        <v>208205</v>
      </c>
      <c r="B438" s="25" t="s">
        <v>435</v>
      </c>
      <c r="C438" s="110">
        <v>0</v>
      </c>
    </row>
    <row r="439" spans="1:3">
      <c r="A439" s="92">
        <v>208210</v>
      </c>
      <c r="B439" s="25" t="s">
        <v>571</v>
      </c>
      <c r="C439" s="110">
        <v>0</v>
      </c>
    </row>
    <row r="440" spans="1:3">
      <c r="A440" s="92">
        <v>208215</v>
      </c>
      <c r="B440" s="25" t="s">
        <v>572</v>
      </c>
      <c r="C440" s="110">
        <v>0</v>
      </c>
    </row>
    <row r="441" spans="1:3">
      <c r="A441" s="92">
        <v>80</v>
      </c>
      <c r="B441" s="25" t="s">
        <v>853</v>
      </c>
      <c r="C441" s="110">
        <v>1</v>
      </c>
    </row>
    <row r="442" spans="1:3">
      <c r="A442" s="92">
        <v>81</v>
      </c>
      <c r="B442" s="25" t="s">
        <v>854</v>
      </c>
      <c r="C442" s="110">
        <v>0</v>
      </c>
    </row>
    <row r="443" spans="1:3">
      <c r="A443" s="92">
        <v>82</v>
      </c>
      <c r="B443" s="25" t="s">
        <v>855</v>
      </c>
      <c r="C443" s="110">
        <v>0</v>
      </c>
    </row>
    <row r="444" spans="1:3">
      <c r="A444" s="92">
        <v>83</v>
      </c>
      <c r="B444" s="25" t="s">
        <v>356</v>
      </c>
      <c r="C444" s="110">
        <v>1</v>
      </c>
    </row>
    <row r="445" spans="1:3">
      <c r="A445" s="92">
        <v>84</v>
      </c>
      <c r="B445" s="25" t="s">
        <v>0</v>
      </c>
      <c r="C445" s="110">
        <v>0</v>
      </c>
    </row>
    <row r="446" spans="1:3">
      <c r="A446" s="92">
        <v>85</v>
      </c>
      <c r="B446" s="25" t="s">
        <v>357</v>
      </c>
      <c r="C446" s="110">
        <v>0</v>
      </c>
    </row>
    <row r="447" spans="1:3">
      <c r="A447" s="92">
        <v>86</v>
      </c>
      <c r="B447" s="25" t="s">
        <v>359</v>
      </c>
      <c r="C447" s="110">
        <v>1</v>
      </c>
    </row>
    <row r="448" spans="1:3">
      <c r="A448" s="25">
        <v>87</v>
      </c>
      <c r="B448" s="25" t="s">
        <v>360</v>
      </c>
      <c r="C448" s="110">
        <v>0</v>
      </c>
    </row>
    <row r="449" spans="1:3">
      <c r="A449" s="25">
        <v>88</v>
      </c>
      <c r="B449" s="25" t="s">
        <v>535</v>
      </c>
      <c r="C449" s="110">
        <v>0</v>
      </c>
    </row>
    <row r="450" spans="1:3">
      <c r="A450" s="25">
        <v>211000</v>
      </c>
      <c r="B450" s="25" t="s">
        <v>573</v>
      </c>
      <c r="C450" s="110">
        <v>3</v>
      </c>
    </row>
    <row r="451" spans="1:3">
      <c r="A451" s="25">
        <v>211005</v>
      </c>
      <c r="B451" s="25" t="s">
        <v>574</v>
      </c>
      <c r="C451" s="110">
        <v>0</v>
      </c>
    </row>
    <row r="452" spans="1:3">
      <c r="A452" s="25">
        <v>211010</v>
      </c>
      <c r="B452" s="25" t="s">
        <v>575</v>
      </c>
      <c r="C452" s="110">
        <v>0</v>
      </c>
    </row>
    <row r="453" spans="1:3">
      <c r="A453" s="25">
        <v>211025</v>
      </c>
      <c r="B453" s="25" t="s">
        <v>576</v>
      </c>
      <c r="C453" s="110">
        <v>0</v>
      </c>
    </row>
    <row r="454" spans="1:3">
      <c r="A454" s="25">
        <v>90</v>
      </c>
      <c r="B454" s="25" t="s">
        <v>355</v>
      </c>
      <c r="C454" s="110">
        <v>0</v>
      </c>
    </row>
    <row r="455" spans="1:3">
      <c r="A455" s="25">
        <v>91</v>
      </c>
      <c r="B455" s="25" t="s">
        <v>356</v>
      </c>
      <c r="C455" s="110">
        <v>0</v>
      </c>
    </row>
    <row r="456" spans="1:3">
      <c r="A456" s="25">
        <v>92</v>
      </c>
      <c r="B456" s="25" t="s">
        <v>0</v>
      </c>
      <c r="C456" s="110">
        <v>0</v>
      </c>
    </row>
    <row r="457" spans="1:3">
      <c r="A457" s="25">
        <v>93</v>
      </c>
      <c r="B457" s="25" t="s">
        <v>357</v>
      </c>
      <c r="C457" s="110">
        <v>0</v>
      </c>
    </row>
    <row r="458" spans="1:3">
      <c r="A458" s="25">
        <v>94</v>
      </c>
      <c r="B458" s="25" t="s">
        <v>359</v>
      </c>
      <c r="C458" s="110">
        <v>0</v>
      </c>
    </row>
    <row r="459" spans="1:3">
      <c r="A459" s="25">
        <v>95</v>
      </c>
      <c r="B459" s="25" t="s">
        <v>360</v>
      </c>
      <c r="C459" s="110">
        <v>0</v>
      </c>
    </row>
    <row r="460" spans="1:3">
      <c r="A460" s="25">
        <v>96</v>
      </c>
      <c r="B460" s="25" t="s">
        <v>535</v>
      </c>
      <c r="C460" s="110">
        <v>0</v>
      </c>
    </row>
    <row r="461" spans="1:3">
      <c r="A461" s="25">
        <v>212000</v>
      </c>
      <c r="B461" s="25" t="s">
        <v>350</v>
      </c>
      <c r="C461" s="110">
        <v>4</v>
      </c>
    </row>
    <row r="462" spans="1:3">
      <c r="A462" s="25">
        <v>212005</v>
      </c>
      <c r="B462" s="25" t="s">
        <v>577</v>
      </c>
      <c r="C462" s="110">
        <v>2</v>
      </c>
    </row>
    <row r="463" spans="1:3">
      <c r="A463" s="25">
        <v>212010</v>
      </c>
      <c r="B463" s="25" t="s">
        <v>578</v>
      </c>
      <c r="C463" s="110">
        <v>4</v>
      </c>
    </row>
    <row r="464" spans="1:3">
      <c r="A464" s="25">
        <v>212015</v>
      </c>
      <c r="B464" s="25" t="s">
        <v>579</v>
      </c>
      <c r="C464" s="110">
        <v>1</v>
      </c>
    </row>
    <row r="465" spans="1:3">
      <c r="A465" s="25">
        <v>212020</v>
      </c>
      <c r="B465" s="25" t="s">
        <v>580</v>
      </c>
      <c r="C465" s="110">
        <v>0</v>
      </c>
    </row>
    <row r="466" spans="1:3">
      <c r="A466" s="25">
        <v>212025</v>
      </c>
      <c r="B466" s="25" t="s">
        <v>581</v>
      </c>
      <c r="C466" s="110">
        <v>1</v>
      </c>
    </row>
    <row r="467" spans="1:3">
      <c r="A467" s="25">
        <v>98</v>
      </c>
      <c r="B467" s="25" t="s">
        <v>859</v>
      </c>
      <c r="C467" s="110">
        <v>0</v>
      </c>
    </row>
    <row r="468" spans="1:3">
      <c r="A468" s="25">
        <v>99</v>
      </c>
      <c r="B468" s="25" t="s">
        <v>356</v>
      </c>
      <c r="C468" s="110">
        <v>2</v>
      </c>
    </row>
    <row r="469" spans="1:3">
      <c r="A469" s="25">
        <v>100</v>
      </c>
      <c r="B469" s="25" t="s">
        <v>0</v>
      </c>
      <c r="C469" s="110">
        <v>0</v>
      </c>
    </row>
    <row r="470" spans="1:3">
      <c r="A470" s="25">
        <v>101</v>
      </c>
      <c r="B470" s="25" t="s">
        <v>357</v>
      </c>
      <c r="C470" s="110">
        <v>3</v>
      </c>
    </row>
    <row r="471" spans="1:3">
      <c r="A471" s="25">
        <v>102</v>
      </c>
      <c r="B471" s="25" t="s">
        <v>860</v>
      </c>
      <c r="C471" s="110">
        <v>0</v>
      </c>
    </row>
    <row r="472" spans="1:3">
      <c r="A472" s="25">
        <v>103</v>
      </c>
      <c r="B472" s="25" t="s">
        <v>582</v>
      </c>
      <c r="C472" s="110">
        <v>0</v>
      </c>
    </row>
    <row r="473" spans="1:3">
      <c r="A473" s="25">
        <v>104</v>
      </c>
      <c r="B473" s="25" t="s">
        <v>583</v>
      </c>
      <c r="C473" s="110">
        <v>0</v>
      </c>
    </row>
    <row r="474" spans="1:3">
      <c r="A474" s="25">
        <v>105</v>
      </c>
      <c r="B474" s="25" t="s">
        <v>359</v>
      </c>
      <c r="C474" s="110">
        <v>0</v>
      </c>
    </row>
    <row r="475" spans="1:3">
      <c r="A475" s="25">
        <v>106</v>
      </c>
      <c r="B475" s="25" t="s">
        <v>360</v>
      </c>
      <c r="C475" s="110">
        <v>0</v>
      </c>
    </row>
    <row r="476" spans="1:3">
      <c r="A476" s="25"/>
      <c r="B476" s="25" t="s">
        <v>2155</v>
      </c>
      <c r="C476" s="110">
        <v>0</v>
      </c>
    </row>
    <row r="477" spans="1:3">
      <c r="A477" s="25" t="s">
        <v>1974</v>
      </c>
      <c r="B477" s="25" t="s">
        <v>2156</v>
      </c>
      <c r="C477" s="110">
        <v>10</v>
      </c>
    </row>
    <row r="478" spans="1:3">
      <c r="A478" s="25" t="s">
        <v>1975</v>
      </c>
      <c r="B478" s="25" t="s">
        <v>2157</v>
      </c>
      <c r="C478" s="110">
        <v>0</v>
      </c>
    </row>
    <row r="479" spans="1:3">
      <c r="A479" s="25" t="s">
        <v>1976</v>
      </c>
      <c r="B479" s="25" t="s">
        <v>2158</v>
      </c>
      <c r="C479" s="110">
        <v>0</v>
      </c>
    </row>
    <row r="480" spans="1:3">
      <c r="A480" s="25" t="s">
        <v>1977</v>
      </c>
      <c r="B480" s="25" t="s">
        <v>2159</v>
      </c>
      <c r="C480" s="110">
        <v>0</v>
      </c>
    </row>
    <row r="481" spans="1:3">
      <c r="A481" s="25" t="s">
        <v>1978</v>
      </c>
      <c r="B481" s="25" t="s">
        <v>0</v>
      </c>
      <c r="C481" s="110">
        <v>0</v>
      </c>
    </row>
    <row r="482" spans="1:3">
      <c r="A482" s="25" t="s">
        <v>1979</v>
      </c>
      <c r="B482" s="25" t="s">
        <v>2160</v>
      </c>
      <c r="C482" s="110">
        <v>0</v>
      </c>
    </row>
    <row r="483" spans="1:3">
      <c r="A483" s="25" t="s">
        <v>1980</v>
      </c>
      <c r="B483" s="25" t="s">
        <v>359</v>
      </c>
      <c r="C483" s="110" t="e">
        <v>#N/A</v>
      </c>
    </row>
    <row r="484" spans="1:3">
      <c r="A484" s="25" t="s">
        <v>1981</v>
      </c>
      <c r="B484" s="25" t="s">
        <v>360</v>
      </c>
      <c r="C484" s="110">
        <v>0</v>
      </c>
    </row>
    <row r="485" spans="1:3">
      <c r="A485" s="25" t="s">
        <v>5266</v>
      </c>
      <c r="B485" s="25"/>
      <c r="C485" s="110">
        <v>2</v>
      </c>
    </row>
    <row r="486" spans="1:3">
      <c r="A486" s="25" t="s">
        <v>5267</v>
      </c>
      <c r="B486" s="25"/>
      <c r="C486" s="110">
        <v>0</v>
      </c>
    </row>
    <row r="487" spans="1:3">
      <c r="A487" s="25" t="s">
        <v>5268</v>
      </c>
      <c r="B487" s="25"/>
      <c r="C487" s="110">
        <v>0</v>
      </c>
    </row>
    <row r="488" spans="1:3">
      <c r="A488" s="25" t="s">
        <v>5269</v>
      </c>
      <c r="B488" s="25"/>
      <c r="C488" s="110">
        <v>0</v>
      </c>
    </row>
    <row r="489" spans="1:3">
      <c r="A489" s="25" t="s">
        <v>5270</v>
      </c>
      <c r="B489" s="25"/>
      <c r="C489" s="110">
        <v>0</v>
      </c>
    </row>
    <row r="490" spans="1:3">
      <c r="A490" s="25" t="s">
        <v>5271</v>
      </c>
      <c r="B490" s="25"/>
      <c r="C490" s="110">
        <v>0</v>
      </c>
    </row>
    <row r="491" spans="1:3">
      <c r="A491" s="25" t="s">
        <v>5272</v>
      </c>
      <c r="B491" s="25"/>
      <c r="C491" s="110">
        <v>0</v>
      </c>
    </row>
    <row r="492" spans="1:3">
      <c r="A492" s="25" t="s">
        <v>5273</v>
      </c>
      <c r="B492" s="25"/>
      <c r="C492" s="110">
        <v>0</v>
      </c>
    </row>
    <row r="493" spans="1:3">
      <c r="A493" s="25">
        <v>301026</v>
      </c>
      <c r="B493" s="25"/>
      <c r="C493" s="110">
        <v>1</v>
      </c>
    </row>
    <row r="494" spans="1:3">
      <c r="A494" s="25">
        <v>301027</v>
      </c>
      <c r="B494" s="25"/>
      <c r="C494" s="110">
        <v>6</v>
      </c>
    </row>
    <row r="495" spans="1:3">
      <c r="A495" s="25">
        <v>301028</v>
      </c>
      <c r="B495" s="25"/>
      <c r="C495" s="110">
        <v>0</v>
      </c>
    </row>
    <row r="496" spans="1:3">
      <c r="A496" s="25">
        <v>301029</v>
      </c>
      <c r="B496" s="25"/>
      <c r="C496" s="110">
        <v>1</v>
      </c>
    </row>
    <row r="497" spans="1:3">
      <c r="A497" s="25">
        <v>301030</v>
      </c>
      <c r="B497" s="25"/>
      <c r="C497" s="110">
        <v>1</v>
      </c>
    </row>
    <row r="498" spans="1:3">
      <c r="A498" s="25">
        <v>301031</v>
      </c>
      <c r="B498" s="25"/>
      <c r="C498" s="110">
        <v>0</v>
      </c>
    </row>
    <row r="499" spans="1:3">
      <c r="A499" s="25">
        <v>301032</v>
      </c>
      <c r="B499" s="25"/>
      <c r="C499" s="110">
        <v>0</v>
      </c>
    </row>
    <row r="500" spans="1:3">
      <c r="A500" s="25">
        <v>301033</v>
      </c>
      <c r="B500" s="25"/>
      <c r="C500" s="110">
        <v>0</v>
      </c>
    </row>
    <row r="501" spans="1:3">
      <c r="A501" s="25"/>
      <c r="B501" s="25"/>
      <c r="C501" s="110">
        <v>0</v>
      </c>
    </row>
    <row r="502" spans="1:3">
      <c r="A502" s="25"/>
      <c r="B502" s="25"/>
      <c r="C502" s="110">
        <v>0</v>
      </c>
    </row>
    <row r="503" spans="1:3">
      <c r="A503" s="25"/>
      <c r="B503" s="25"/>
      <c r="C503" s="110">
        <v>0</v>
      </c>
    </row>
    <row r="504" spans="1:3">
      <c r="A504" s="25"/>
      <c r="B504" s="25"/>
      <c r="C504" s="110">
        <v>0</v>
      </c>
    </row>
    <row r="505" spans="1:3">
      <c r="A505" s="25"/>
      <c r="B505" s="25"/>
      <c r="C505" s="110">
        <v>0</v>
      </c>
    </row>
    <row r="506" spans="1:3">
      <c r="A506" s="25"/>
      <c r="B506" s="25"/>
      <c r="C506" s="110">
        <v>0</v>
      </c>
    </row>
    <row r="507" spans="1:3">
      <c r="A507" s="25"/>
      <c r="B507" s="25"/>
      <c r="C507" s="110">
        <v>0</v>
      </c>
    </row>
    <row r="508" spans="1:3">
      <c r="A508" s="25"/>
      <c r="B508" s="25"/>
      <c r="C508" s="110">
        <v>0</v>
      </c>
    </row>
    <row r="509" spans="1:3">
      <c r="A509" s="25"/>
      <c r="B509" s="25"/>
      <c r="C509" s="110">
        <v>0</v>
      </c>
    </row>
    <row r="510" spans="1:3">
      <c r="A510" s="25"/>
      <c r="B510" s="25"/>
      <c r="C510" s="110">
        <v>0</v>
      </c>
    </row>
    <row r="511" spans="1:3">
      <c r="A511" s="92"/>
      <c r="B511" s="25"/>
      <c r="C511" s="110">
        <v>0</v>
      </c>
    </row>
    <row r="512" spans="1:3">
      <c r="A512" s="92"/>
      <c r="B512" s="25"/>
      <c r="C512" s="110"/>
    </row>
    <row r="513" spans="1:3">
      <c r="A513" s="92"/>
      <c r="B513" s="25"/>
      <c r="C513" s="110"/>
    </row>
    <row r="514" spans="1:3">
      <c r="A514" s="92"/>
      <c r="B514" s="25"/>
      <c r="C514" s="110"/>
    </row>
    <row r="515" spans="1:3">
      <c r="A515" s="92"/>
      <c r="B515" s="25"/>
      <c r="C515" s="110"/>
    </row>
    <row r="516" spans="1:3">
      <c r="A516" s="92"/>
      <c r="B516" s="25"/>
      <c r="C516" s="110"/>
    </row>
    <row r="517" spans="1:3">
      <c r="A517" s="92"/>
      <c r="B517" s="25"/>
      <c r="C517" s="110"/>
    </row>
    <row r="518" spans="1:3">
      <c r="A518" s="92"/>
      <c r="B518" s="25"/>
      <c r="C518" s="110"/>
    </row>
    <row r="519" spans="1:3">
      <c r="A519" s="92"/>
      <c r="B519" s="25"/>
      <c r="C519" s="110"/>
    </row>
    <row r="520" spans="1:3">
      <c r="A520" s="92"/>
      <c r="B520" s="25"/>
      <c r="C520" s="110"/>
    </row>
    <row r="521" spans="1:3">
      <c r="A521" s="92"/>
      <c r="B521" s="25"/>
      <c r="C521" s="110"/>
    </row>
    <row r="522" spans="1:3">
      <c r="A522" s="92"/>
      <c r="B522" s="25"/>
      <c r="C522" s="110"/>
    </row>
    <row r="523" spans="1:3">
      <c r="A523" s="92"/>
      <c r="B523" s="25"/>
      <c r="C523" s="110"/>
    </row>
    <row r="524" spans="1:3">
      <c r="A524" s="92"/>
      <c r="B524" s="25"/>
      <c r="C524" s="110"/>
    </row>
    <row r="525" spans="1:3">
      <c r="A525" s="92"/>
      <c r="B525" s="25"/>
      <c r="C525" s="110"/>
    </row>
    <row r="526" spans="1:3">
      <c r="A526" s="92"/>
      <c r="B526" s="25"/>
      <c r="C526" s="110"/>
    </row>
    <row r="527" spans="1:3">
      <c r="A527" s="92"/>
      <c r="B527" s="25"/>
      <c r="C527" s="110"/>
    </row>
    <row r="528" spans="1:3">
      <c r="A528" s="92"/>
      <c r="B528" s="25"/>
      <c r="C528" s="110"/>
    </row>
    <row r="529" spans="1:3">
      <c r="A529" s="92"/>
      <c r="B529" s="25"/>
      <c r="C529" s="110"/>
    </row>
    <row r="530" spans="1:3">
      <c r="A530" s="92"/>
      <c r="B530" s="25"/>
      <c r="C530" s="110"/>
    </row>
    <row r="531" spans="1:3">
      <c r="A531" s="92"/>
      <c r="B531" s="25"/>
      <c r="C531" s="110"/>
    </row>
    <row r="532" spans="1:3">
      <c r="A532" s="92"/>
      <c r="B532" s="25"/>
      <c r="C532" s="110"/>
    </row>
    <row r="533" spans="1:3">
      <c r="A533" s="92"/>
      <c r="B533" s="25"/>
      <c r="C533" s="110"/>
    </row>
    <row r="534" spans="1:3">
      <c r="A534" s="92"/>
      <c r="B534" s="25"/>
      <c r="C534" s="110"/>
    </row>
    <row r="535" spans="1:3">
      <c r="A535" s="92"/>
      <c r="B535" s="25"/>
      <c r="C535" s="110"/>
    </row>
    <row r="536" spans="1:3">
      <c r="A536" s="92"/>
      <c r="B536" s="25"/>
      <c r="C536" s="110"/>
    </row>
    <row r="537" spans="1:3">
      <c r="A537" s="92"/>
      <c r="B537" s="25"/>
      <c r="C537" s="110"/>
    </row>
    <row r="538" spans="1:3">
      <c r="A538" s="92"/>
      <c r="B538" s="25"/>
      <c r="C538" s="110"/>
    </row>
    <row r="539" spans="1:3">
      <c r="A539" s="92"/>
      <c r="B539" s="25"/>
      <c r="C539" s="110"/>
    </row>
    <row r="540" spans="1:3">
      <c r="A540" s="92"/>
      <c r="B540" s="25"/>
      <c r="C540" s="110"/>
    </row>
    <row r="541" spans="1:3">
      <c r="A541" s="92"/>
      <c r="B541" s="25"/>
      <c r="C541" s="110"/>
    </row>
    <row r="542" spans="1:3">
      <c r="A542" s="92"/>
      <c r="B542" s="25"/>
      <c r="C542" s="110"/>
    </row>
    <row r="543" spans="1:3">
      <c r="A543" s="92"/>
      <c r="B543" s="25"/>
      <c r="C543" s="110"/>
    </row>
    <row r="544" spans="1:3">
      <c r="A544" s="92"/>
      <c r="B544" s="25"/>
      <c r="C544" s="110"/>
    </row>
    <row r="545" spans="1:3">
      <c r="A545" s="92"/>
      <c r="B545" s="25"/>
      <c r="C545" s="110"/>
    </row>
    <row r="546" spans="1:3">
      <c r="A546" s="92"/>
      <c r="B546" s="25"/>
      <c r="C546" s="110"/>
    </row>
    <row r="547" spans="1:3">
      <c r="A547" s="92"/>
      <c r="B547" s="25"/>
      <c r="C547" s="110"/>
    </row>
    <row r="548" spans="1:3">
      <c r="A548" s="92"/>
      <c r="B548" s="25"/>
      <c r="C548" s="110"/>
    </row>
    <row r="549" spans="1:3">
      <c r="A549" s="92"/>
      <c r="B549" s="25"/>
      <c r="C549" s="110"/>
    </row>
    <row r="550" spans="1:3">
      <c r="A550" s="92"/>
      <c r="B550" s="25"/>
      <c r="C550" s="110"/>
    </row>
    <row r="551" spans="1:3">
      <c r="A551" s="92"/>
      <c r="B551" s="25"/>
      <c r="C551" s="110"/>
    </row>
    <row r="552" spans="1:3">
      <c r="A552" s="92"/>
      <c r="B552" s="25"/>
      <c r="C552" s="110"/>
    </row>
    <row r="553" spans="1:3">
      <c r="A553" s="92"/>
      <c r="B553" s="25"/>
      <c r="C553" s="110"/>
    </row>
    <row r="554" spans="1:3">
      <c r="A554" s="92"/>
      <c r="B554" s="25"/>
      <c r="C554" s="110"/>
    </row>
    <row r="555" spans="1:3">
      <c r="A555" s="92"/>
      <c r="B555" s="25"/>
      <c r="C555" s="110"/>
    </row>
    <row r="556" spans="1:3">
      <c r="A556" s="92"/>
      <c r="B556" s="25"/>
      <c r="C556" s="110"/>
    </row>
    <row r="557" spans="1:3">
      <c r="C557" s="110"/>
    </row>
    <row r="558" spans="1:3">
      <c r="C558" s="110"/>
    </row>
    <row r="559" spans="1:3">
      <c r="C559" s="110"/>
    </row>
    <row r="560" spans="1:3">
      <c r="C560" s="110"/>
    </row>
    <row r="561" spans="3:3">
      <c r="C561" s="110"/>
    </row>
    <row r="562" spans="3:3">
      <c r="C562" s="110"/>
    </row>
    <row r="563" spans="3:3">
      <c r="C563" s="110"/>
    </row>
    <row r="564" spans="3:3">
      <c r="C564" s="110"/>
    </row>
    <row r="565" spans="3:3">
      <c r="C565" s="110"/>
    </row>
    <row r="566" spans="3:3">
      <c r="C566" s="110"/>
    </row>
    <row r="567" spans="3:3">
      <c r="C567" s="110"/>
    </row>
    <row r="568" spans="3:3">
      <c r="C568" s="110"/>
    </row>
    <row r="569" spans="3:3">
      <c r="C569" s="110"/>
    </row>
    <row r="570" spans="3:3">
      <c r="C570" s="110"/>
    </row>
    <row r="571" spans="3:3">
      <c r="C571" s="110"/>
    </row>
    <row r="572" spans="3:3">
      <c r="C572" s="110"/>
    </row>
    <row r="573" spans="3:3">
      <c r="C573" s="110"/>
    </row>
    <row r="574" spans="3:3">
      <c r="C574" s="110"/>
    </row>
    <row r="575" spans="3:3">
      <c r="C575" s="110"/>
    </row>
    <row r="576" spans="3:3">
      <c r="C576" s="110"/>
    </row>
    <row r="577" spans="3:3">
      <c r="C577" s="110"/>
    </row>
    <row r="578" spans="3:3">
      <c r="C578" s="110"/>
    </row>
    <row r="579" spans="3:3">
      <c r="C579" s="110"/>
    </row>
    <row r="580" spans="3:3">
      <c r="C580" s="110"/>
    </row>
    <row r="581" spans="3:3">
      <c r="C581" s="110"/>
    </row>
    <row r="582" spans="3:3">
      <c r="C582" s="110"/>
    </row>
    <row r="583" spans="3:3">
      <c r="C583" s="110"/>
    </row>
    <row r="584" spans="3:3">
      <c r="C584" s="110"/>
    </row>
    <row r="585" spans="3:3">
      <c r="C585" s="110"/>
    </row>
    <row r="586" spans="3:3">
      <c r="C586" s="110"/>
    </row>
    <row r="587" spans="3:3">
      <c r="C587" s="110"/>
    </row>
    <row r="588" spans="3:3">
      <c r="C588" s="110"/>
    </row>
    <row r="589" spans="3:3">
      <c r="C589" s="110"/>
    </row>
    <row r="590" spans="3:3">
      <c r="C590" s="110"/>
    </row>
    <row r="591" spans="3:3">
      <c r="C591" s="110"/>
    </row>
    <row r="592" spans="3:3">
      <c r="C592" s="110"/>
    </row>
    <row r="593" spans="3:3">
      <c r="C593" s="110"/>
    </row>
    <row r="594" spans="3:3">
      <c r="C594" s="110"/>
    </row>
    <row r="595" spans="3:3">
      <c r="C595" s="110"/>
    </row>
    <row r="596" spans="3:3">
      <c r="C596" s="110"/>
    </row>
    <row r="597" spans="3:3">
      <c r="C597" s="110"/>
    </row>
    <row r="598" spans="3:3">
      <c r="C598" s="110"/>
    </row>
    <row r="599" spans="3:3">
      <c r="C599" s="110"/>
    </row>
    <row r="600" spans="3:3">
      <c r="C600" s="110"/>
    </row>
    <row r="601" spans="3:3">
      <c r="C601" s="110"/>
    </row>
    <row r="602" spans="3:3">
      <c r="C602" s="110"/>
    </row>
    <row r="603" spans="3:3">
      <c r="C603" s="110"/>
    </row>
    <row r="604" spans="3:3">
      <c r="C604" s="110"/>
    </row>
    <row r="605" spans="3:3">
      <c r="C605" s="110"/>
    </row>
    <row r="606" spans="3:3">
      <c r="C606" s="110"/>
    </row>
    <row r="607" spans="3:3">
      <c r="C607" s="110"/>
    </row>
    <row r="608" spans="3:3">
      <c r="C608" s="110"/>
    </row>
    <row r="609" spans="3:3">
      <c r="C609" s="110"/>
    </row>
    <row r="610" spans="3:3">
      <c r="C610" s="110"/>
    </row>
    <row r="611" spans="3:3">
      <c r="C611" s="110"/>
    </row>
    <row r="612" spans="3:3">
      <c r="C612" s="110"/>
    </row>
    <row r="613" spans="3:3">
      <c r="C613" s="110"/>
    </row>
    <row r="614" spans="3:3">
      <c r="C614" s="110"/>
    </row>
    <row r="615" spans="3:3">
      <c r="C615" s="110"/>
    </row>
    <row r="616" spans="3:3">
      <c r="C616" s="110"/>
    </row>
    <row r="617" spans="3:3">
      <c r="C617" s="110"/>
    </row>
    <row r="618" spans="3:3">
      <c r="C618" s="110"/>
    </row>
    <row r="619" spans="3:3">
      <c r="C619" s="110"/>
    </row>
    <row r="620" spans="3:3">
      <c r="C620" s="110"/>
    </row>
    <row r="621" spans="3:3">
      <c r="C621" s="110"/>
    </row>
    <row r="622" spans="3:3">
      <c r="C622" s="110"/>
    </row>
    <row r="623" spans="3:3">
      <c r="C623" s="110"/>
    </row>
    <row r="624" spans="3:3">
      <c r="C624" s="110"/>
    </row>
    <row r="625" spans="3:3">
      <c r="C625" s="110"/>
    </row>
    <row r="626" spans="3:3">
      <c r="C626" s="110"/>
    </row>
    <row r="627" spans="3:3">
      <c r="C627" s="110"/>
    </row>
    <row r="628" spans="3:3">
      <c r="C628" s="110"/>
    </row>
    <row r="629" spans="3:3">
      <c r="C629" s="110"/>
    </row>
    <row r="630" spans="3:3">
      <c r="C630" s="110"/>
    </row>
    <row r="631" spans="3:3">
      <c r="C631" s="110"/>
    </row>
    <row r="632" spans="3:3">
      <c r="C632" s="110"/>
    </row>
    <row r="633" spans="3:3">
      <c r="C633" s="110"/>
    </row>
    <row r="634" spans="3:3">
      <c r="C634" s="110"/>
    </row>
    <row r="635" spans="3:3">
      <c r="C635" s="110"/>
    </row>
    <row r="636" spans="3:3">
      <c r="C636" s="110"/>
    </row>
    <row r="637" spans="3:3">
      <c r="C637" s="110"/>
    </row>
    <row r="638" spans="3:3">
      <c r="C638" s="110"/>
    </row>
    <row r="639" spans="3:3">
      <c r="C639" s="110"/>
    </row>
    <row r="640" spans="3:3">
      <c r="C640" s="110"/>
    </row>
    <row r="641" spans="3:3">
      <c r="C641" s="110"/>
    </row>
    <row r="642" spans="3:3">
      <c r="C642" s="110"/>
    </row>
    <row r="643" spans="3:3">
      <c r="C643" s="110"/>
    </row>
    <row r="644" spans="3:3">
      <c r="C644" s="110"/>
    </row>
    <row r="645" spans="3:3">
      <c r="C645" s="110"/>
    </row>
    <row r="646" spans="3:3">
      <c r="C646" s="110"/>
    </row>
    <row r="647" spans="3:3">
      <c r="C647" s="110"/>
    </row>
    <row r="648" spans="3:3">
      <c r="C648" s="110"/>
    </row>
    <row r="649" spans="3:3">
      <c r="C649" s="110"/>
    </row>
    <row r="650" spans="3:3">
      <c r="C650" s="110"/>
    </row>
    <row r="651" spans="3:3">
      <c r="C651" s="110"/>
    </row>
    <row r="652" spans="3:3">
      <c r="C652" s="110"/>
    </row>
    <row r="653" spans="3:3">
      <c r="C653" s="110"/>
    </row>
    <row r="654" spans="3:3">
      <c r="C654" s="110"/>
    </row>
    <row r="655" spans="3:3">
      <c r="C655" s="110"/>
    </row>
    <row r="656" spans="3:3">
      <c r="C656" s="110"/>
    </row>
    <row r="657" spans="3:3">
      <c r="C657" s="110"/>
    </row>
    <row r="658" spans="3:3">
      <c r="C658" s="110"/>
    </row>
    <row r="659" spans="3:3">
      <c r="C659" s="110"/>
    </row>
    <row r="660" spans="3:3">
      <c r="C660" s="110"/>
    </row>
    <row r="661" spans="3:3">
      <c r="C661" s="110"/>
    </row>
    <row r="662" spans="3:3">
      <c r="C662" s="110"/>
    </row>
    <row r="663" spans="3:3">
      <c r="C663" s="110"/>
    </row>
    <row r="664" spans="3:3">
      <c r="C664" s="110"/>
    </row>
    <row r="665" spans="3:3">
      <c r="C665" s="110"/>
    </row>
    <row r="666" spans="3:3">
      <c r="C666" s="110"/>
    </row>
    <row r="667" spans="3:3">
      <c r="C667" s="110"/>
    </row>
    <row r="668" spans="3:3">
      <c r="C668" s="110"/>
    </row>
    <row r="669" spans="3:3">
      <c r="C669" s="110"/>
    </row>
    <row r="670" spans="3:3">
      <c r="C670" s="110"/>
    </row>
    <row r="671" spans="3:3">
      <c r="C671" s="110"/>
    </row>
    <row r="672" spans="3:3">
      <c r="C672" s="110"/>
    </row>
    <row r="673" spans="3:3">
      <c r="C673" s="110"/>
    </row>
    <row r="674" spans="3:3">
      <c r="C674" s="110"/>
    </row>
    <row r="675" spans="3:3">
      <c r="C675" s="110"/>
    </row>
    <row r="676" spans="3:3">
      <c r="C676" s="110"/>
    </row>
    <row r="677" spans="3:3">
      <c r="C677" s="110"/>
    </row>
    <row r="678" spans="3:3">
      <c r="C678" s="110"/>
    </row>
    <row r="679" spans="3:3">
      <c r="C679" s="110"/>
    </row>
    <row r="680" spans="3:3">
      <c r="C680" s="110"/>
    </row>
    <row r="681" spans="3:3">
      <c r="C681" s="110"/>
    </row>
    <row r="682" spans="3:3">
      <c r="C682" s="110"/>
    </row>
    <row r="683" spans="3:3">
      <c r="C683" s="110"/>
    </row>
    <row r="684" spans="3:3">
      <c r="C684" s="110"/>
    </row>
    <row r="685" spans="3:3">
      <c r="C685" s="110"/>
    </row>
    <row r="686" spans="3:3">
      <c r="C686" s="110"/>
    </row>
    <row r="687" spans="3:3">
      <c r="C687" s="110"/>
    </row>
    <row r="688" spans="3:3">
      <c r="C688" s="110"/>
    </row>
    <row r="689" spans="3:3">
      <c r="C689" s="110"/>
    </row>
    <row r="690" spans="3:3">
      <c r="C690" s="110"/>
    </row>
    <row r="691" spans="3:3">
      <c r="C691" s="110"/>
    </row>
    <row r="692" spans="3:3">
      <c r="C692" s="110"/>
    </row>
    <row r="693" spans="3:3">
      <c r="C693" s="110"/>
    </row>
    <row r="694" spans="3:3">
      <c r="C694" s="110"/>
    </row>
    <row r="695" spans="3:3">
      <c r="C695" s="110"/>
    </row>
    <row r="696" spans="3:3">
      <c r="C696" s="110"/>
    </row>
    <row r="697" spans="3:3">
      <c r="C697" s="110"/>
    </row>
    <row r="698" spans="3:3">
      <c r="C698" s="110"/>
    </row>
    <row r="699" spans="3:3">
      <c r="C699" s="110"/>
    </row>
    <row r="700" spans="3:3">
      <c r="C700" s="110"/>
    </row>
    <row r="701" spans="3:3">
      <c r="C701" s="110"/>
    </row>
    <row r="702" spans="3:3">
      <c r="C702" s="110"/>
    </row>
    <row r="703" spans="3:3">
      <c r="C703" s="110"/>
    </row>
    <row r="704" spans="3:3">
      <c r="C704" s="110"/>
    </row>
    <row r="705" spans="3:3">
      <c r="C705" s="110"/>
    </row>
    <row r="706" spans="3:3">
      <c r="C706" s="110"/>
    </row>
    <row r="707" spans="3:3">
      <c r="C707" s="110"/>
    </row>
    <row r="708" spans="3:3">
      <c r="C708" s="110"/>
    </row>
    <row r="709" spans="3:3">
      <c r="C709" s="110"/>
    </row>
    <row r="710" spans="3:3">
      <c r="C710" s="110"/>
    </row>
    <row r="711" spans="3:3">
      <c r="C711" s="110"/>
    </row>
    <row r="712" spans="3:3">
      <c r="C712" s="110"/>
    </row>
    <row r="713" spans="3:3">
      <c r="C713" s="110"/>
    </row>
    <row r="714" spans="3:3">
      <c r="C714" s="110"/>
    </row>
    <row r="715" spans="3:3">
      <c r="C715" s="110"/>
    </row>
    <row r="716" spans="3:3">
      <c r="C716" s="110"/>
    </row>
    <row r="717" spans="3:3">
      <c r="C717" s="110"/>
    </row>
    <row r="718" spans="3:3">
      <c r="C718" s="110"/>
    </row>
    <row r="719" spans="3:3">
      <c r="C719" s="110"/>
    </row>
    <row r="720" spans="3:3">
      <c r="C720" s="110"/>
    </row>
    <row r="721" spans="3:3">
      <c r="C721" s="110"/>
    </row>
    <row r="722" spans="3:3">
      <c r="C722" s="110"/>
    </row>
    <row r="723" spans="3:3">
      <c r="C723" s="110"/>
    </row>
    <row r="724" spans="3:3">
      <c r="C724" s="110"/>
    </row>
    <row r="725" spans="3:3">
      <c r="C725" s="110"/>
    </row>
    <row r="726" spans="3:3">
      <c r="C726" s="110"/>
    </row>
    <row r="727" spans="3:3">
      <c r="C727" s="110"/>
    </row>
    <row r="728" spans="3:3">
      <c r="C728" s="110"/>
    </row>
    <row r="729" spans="3:3">
      <c r="C729" s="110"/>
    </row>
    <row r="730" spans="3:3">
      <c r="C730" s="110"/>
    </row>
    <row r="731" spans="3:3">
      <c r="C731" s="110"/>
    </row>
    <row r="732" spans="3:3">
      <c r="C732" s="110"/>
    </row>
    <row r="733" spans="3:3">
      <c r="C733" s="110"/>
    </row>
    <row r="734" spans="3:3">
      <c r="C734" s="110"/>
    </row>
    <row r="735" spans="3:3">
      <c r="C735" s="110"/>
    </row>
    <row r="736" spans="3:3">
      <c r="C736" s="110"/>
    </row>
    <row r="737" spans="3:3">
      <c r="C737" s="110"/>
    </row>
    <row r="738" spans="3:3">
      <c r="C738" s="110"/>
    </row>
    <row r="739" spans="3:3">
      <c r="C739" s="110"/>
    </row>
    <row r="740" spans="3:3">
      <c r="C740" s="110"/>
    </row>
    <row r="741" spans="3:3">
      <c r="C741" s="110"/>
    </row>
    <row r="742" spans="3:3">
      <c r="C742" s="110"/>
    </row>
    <row r="743" spans="3:3">
      <c r="C743" s="110"/>
    </row>
    <row r="744" spans="3:3">
      <c r="C744" s="110"/>
    </row>
    <row r="745" spans="3:3">
      <c r="C745" s="110"/>
    </row>
    <row r="746" spans="3:3">
      <c r="C746" s="110"/>
    </row>
    <row r="747" spans="3:3">
      <c r="C747" s="110"/>
    </row>
    <row r="748" spans="3:3">
      <c r="C748" s="110"/>
    </row>
    <row r="749" spans="3:3">
      <c r="C749" s="110"/>
    </row>
    <row r="750" spans="3:3">
      <c r="C750" s="110"/>
    </row>
    <row r="751" spans="3:3">
      <c r="C751" s="110"/>
    </row>
    <row r="752" spans="3:3">
      <c r="C752" s="110"/>
    </row>
    <row r="753" spans="3:3">
      <c r="C753" s="110"/>
    </row>
    <row r="754" spans="3:3">
      <c r="C754" s="110"/>
    </row>
    <row r="755" spans="3:3">
      <c r="C755" s="110"/>
    </row>
    <row r="756" spans="3:3">
      <c r="C756" s="110"/>
    </row>
    <row r="757" spans="3:3">
      <c r="C757" s="110"/>
    </row>
    <row r="758" spans="3:3">
      <c r="C758" s="110"/>
    </row>
    <row r="759" spans="3:3">
      <c r="C759" s="110"/>
    </row>
    <row r="760" spans="3:3">
      <c r="C760" s="110"/>
    </row>
    <row r="761" spans="3:3">
      <c r="C761" s="110"/>
    </row>
    <row r="762" spans="3:3">
      <c r="C762" s="110"/>
    </row>
    <row r="763" spans="3:3">
      <c r="C763" s="110"/>
    </row>
    <row r="764" spans="3:3">
      <c r="C764" s="110"/>
    </row>
    <row r="765" spans="3:3">
      <c r="C765" s="110"/>
    </row>
    <row r="766" spans="3:3">
      <c r="C766" s="110"/>
    </row>
    <row r="767" spans="3:3">
      <c r="C767" s="110"/>
    </row>
    <row r="768" spans="3:3">
      <c r="C768" s="110"/>
    </row>
    <row r="769" spans="3:3">
      <c r="C769" s="110"/>
    </row>
    <row r="770" spans="3:3">
      <c r="C770" s="110"/>
    </row>
    <row r="771" spans="3:3">
      <c r="C771" s="110"/>
    </row>
    <row r="772" spans="3:3">
      <c r="C772" s="110"/>
    </row>
    <row r="773" spans="3:3">
      <c r="C773" s="110"/>
    </row>
    <row r="774" spans="3:3">
      <c r="C774" s="110"/>
    </row>
    <row r="775" spans="3:3">
      <c r="C775" s="110"/>
    </row>
    <row r="776" spans="3:3">
      <c r="C776" s="110"/>
    </row>
    <row r="777" spans="3:3">
      <c r="C777" s="110"/>
    </row>
    <row r="778" spans="3:3">
      <c r="C778" s="110"/>
    </row>
    <row r="779" spans="3:3">
      <c r="C779" s="110"/>
    </row>
    <row r="780" spans="3:3">
      <c r="C780" s="110"/>
    </row>
    <row r="781" spans="3:3">
      <c r="C781" s="110"/>
    </row>
    <row r="782" spans="3:3">
      <c r="C782" s="110"/>
    </row>
    <row r="783" spans="3:3">
      <c r="C783" s="110"/>
    </row>
    <row r="784" spans="3:3">
      <c r="C784" s="110"/>
    </row>
    <row r="785" spans="3:3">
      <c r="C785" s="110"/>
    </row>
    <row r="786" spans="3:3">
      <c r="C786" s="110"/>
    </row>
    <row r="787" spans="3:3">
      <c r="C787" s="110"/>
    </row>
    <row r="788" spans="3:3">
      <c r="C788" s="110"/>
    </row>
    <row r="789" spans="3:3">
      <c r="C789" s="110"/>
    </row>
    <row r="790" spans="3:3">
      <c r="C790" s="110"/>
    </row>
    <row r="791" spans="3:3">
      <c r="C791" s="110"/>
    </row>
    <row r="792" spans="3:3">
      <c r="C792" s="110"/>
    </row>
    <row r="793" spans="3:3">
      <c r="C793" s="110"/>
    </row>
    <row r="794" spans="3:3">
      <c r="C794" s="110"/>
    </row>
    <row r="795" spans="3:3">
      <c r="C795" s="110"/>
    </row>
    <row r="796" spans="3:3">
      <c r="C796" s="110"/>
    </row>
    <row r="797" spans="3:3">
      <c r="C797" s="110"/>
    </row>
    <row r="798" spans="3:3">
      <c r="C798" s="110"/>
    </row>
    <row r="799" spans="3:3">
      <c r="C799" s="110"/>
    </row>
    <row r="800" spans="3:3">
      <c r="C800" s="110"/>
    </row>
    <row r="801" spans="3:3">
      <c r="C801" s="110"/>
    </row>
    <row r="802" spans="3:3">
      <c r="C802" s="110"/>
    </row>
    <row r="803" spans="3:3">
      <c r="C803" s="110"/>
    </row>
    <row r="804" spans="3:3">
      <c r="C804" s="110"/>
    </row>
    <row r="805" spans="3:3">
      <c r="C805" s="110"/>
    </row>
    <row r="806" spans="3:3">
      <c r="C806" s="110"/>
    </row>
    <row r="807" spans="3:3">
      <c r="C807" s="110"/>
    </row>
    <row r="808" spans="3:3">
      <c r="C808" s="110"/>
    </row>
    <row r="809" spans="3:3">
      <c r="C809" s="110"/>
    </row>
    <row r="810" spans="3:3">
      <c r="C810" s="110"/>
    </row>
    <row r="811" spans="3:3">
      <c r="C811" s="110"/>
    </row>
    <row r="812" spans="3:3">
      <c r="C812" s="110"/>
    </row>
    <row r="813" spans="3:3">
      <c r="C813" s="110"/>
    </row>
    <row r="814" spans="3:3">
      <c r="C814" s="110"/>
    </row>
    <row r="815" spans="3:3">
      <c r="C815" s="110"/>
    </row>
    <row r="816" spans="3:3">
      <c r="C816" s="110"/>
    </row>
    <row r="817" spans="3:3">
      <c r="C817" s="110"/>
    </row>
    <row r="818" spans="3:3">
      <c r="C818" s="110"/>
    </row>
    <row r="819" spans="3:3">
      <c r="C819" s="110"/>
    </row>
    <row r="820" spans="3:3">
      <c r="C820" s="110"/>
    </row>
    <row r="821" spans="3:3">
      <c r="C821" s="110"/>
    </row>
    <row r="822" spans="3:3">
      <c r="C822" s="110"/>
    </row>
    <row r="823" spans="3:3">
      <c r="C823" s="110"/>
    </row>
    <row r="824" spans="3:3">
      <c r="C824" s="110"/>
    </row>
    <row r="825" spans="3:3">
      <c r="C825" s="110"/>
    </row>
    <row r="826" spans="3:3">
      <c r="C826" s="110"/>
    </row>
    <row r="827" spans="3:3">
      <c r="C827" s="110"/>
    </row>
    <row r="828" spans="3:3">
      <c r="C828" s="110"/>
    </row>
    <row r="829" spans="3:3">
      <c r="C829" s="110"/>
    </row>
    <row r="830" spans="3:3">
      <c r="C830" s="110"/>
    </row>
    <row r="831" spans="3:3">
      <c r="C831" s="110"/>
    </row>
    <row r="832" spans="3:3">
      <c r="C832" s="110"/>
    </row>
    <row r="833" spans="3:3">
      <c r="C833" s="110"/>
    </row>
    <row r="834" spans="3:3">
      <c r="C834" s="110"/>
    </row>
    <row r="835" spans="3:3">
      <c r="C835" s="110"/>
    </row>
    <row r="836" spans="3:3">
      <c r="C836" s="110"/>
    </row>
    <row r="837" spans="3:3">
      <c r="C837" s="110"/>
    </row>
    <row r="838" spans="3:3">
      <c r="C838" s="110"/>
    </row>
    <row r="839" spans="3:3">
      <c r="C839" s="110"/>
    </row>
    <row r="840" spans="3:3">
      <c r="C840" s="110"/>
    </row>
    <row r="841" spans="3:3">
      <c r="C841" s="110"/>
    </row>
    <row r="842" spans="3:3">
      <c r="C842" s="110"/>
    </row>
    <row r="843" spans="3:3">
      <c r="C843" s="110"/>
    </row>
    <row r="844" spans="3:3">
      <c r="C844" s="110"/>
    </row>
    <row r="845" spans="3:3">
      <c r="C845" s="110"/>
    </row>
    <row r="846" spans="3:3">
      <c r="C846" s="110"/>
    </row>
    <row r="847" spans="3:3">
      <c r="C847" s="110"/>
    </row>
    <row r="848" spans="3:3">
      <c r="C848" s="110"/>
    </row>
    <row r="849" spans="3:3">
      <c r="C849" s="110"/>
    </row>
    <row r="850" spans="3:3">
      <c r="C850" s="110"/>
    </row>
    <row r="851" spans="3:3">
      <c r="C851" s="110"/>
    </row>
    <row r="852" spans="3:3">
      <c r="C852" s="110"/>
    </row>
    <row r="853" spans="3:3">
      <c r="C853" s="110"/>
    </row>
    <row r="854" spans="3:3">
      <c r="C854" s="110"/>
    </row>
    <row r="855" spans="3:3">
      <c r="C855" s="110"/>
    </row>
    <row r="856" spans="3:3">
      <c r="C856" s="110"/>
    </row>
    <row r="857" spans="3:3">
      <c r="C857" s="110"/>
    </row>
    <row r="858" spans="3:3">
      <c r="C858" s="110"/>
    </row>
    <row r="859" spans="3:3">
      <c r="C859" s="110"/>
    </row>
    <row r="860" spans="3:3">
      <c r="C860" s="110"/>
    </row>
    <row r="861" spans="3:3">
      <c r="C861" s="110"/>
    </row>
    <row r="862" spans="3:3">
      <c r="C862" s="110"/>
    </row>
    <row r="863" spans="3:3">
      <c r="C863" s="110"/>
    </row>
    <row r="864" spans="3:3">
      <c r="C864" s="110"/>
    </row>
    <row r="865" spans="3:3">
      <c r="C865" s="110"/>
    </row>
    <row r="866" spans="3:3">
      <c r="C866" s="110"/>
    </row>
    <row r="867" spans="3:3">
      <c r="C867" s="110"/>
    </row>
    <row r="868" spans="3:3">
      <c r="C868" s="110"/>
    </row>
    <row r="869" spans="3:3">
      <c r="C869" s="110"/>
    </row>
    <row r="870" spans="3:3">
      <c r="C870" s="110"/>
    </row>
    <row r="871" spans="3:3">
      <c r="C871" s="110"/>
    </row>
    <row r="872" spans="3:3">
      <c r="C872" s="110"/>
    </row>
    <row r="873" spans="3:3">
      <c r="C873" s="110"/>
    </row>
    <row r="874" spans="3:3">
      <c r="C874" s="110"/>
    </row>
    <row r="875" spans="3:3">
      <c r="C875" s="110"/>
    </row>
    <row r="876" spans="3:3">
      <c r="C876" s="110"/>
    </row>
    <row r="877" spans="3:3">
      <c r="C877" s="110"/>
    </row>
    <row r="878" spans="3:3">
      <c r="C878" s="110"/>
    </row>
    <row r="879" spans="3:3">
      <c r="C879" s="110"/>
    </row>
    <row r="880" spans="3:3">
      <c r="C880" s="110"/>
    </row>
    <row r="881" spans="3:3">
      <c r="C881" s="110"/>
    </row>
    <row r="882" spans="3:3">
      <c r="C882" s="110"/>
    </row>
    <row r="883" spans="3:3">
      <c r="C883" s="110"/>
    </row>
    <row r="884" spans="3:3">
      <c r="C884" s="110"/>
    </row>
    <row r="885" spans="3:3">
      <c r="C885" s="110"/>
    </row>
    <row r="886" spans="3:3">
      <c r="C886" s="110"/>
    </row>
    <row r="887" spans="3:3">
      <c r="C887" s="110"/>
    </row>
    <row r="888" spans="3:3">
      <c r="C888" s="110"/>
    </row>
    <row r="889" spans="3:3">
      <c r="C889" s="110"/>
    </row>
    <row r="890" spans="3:3">
      <c r="C890" s="110"/>
    </row>
    <row r="891" spans="3:3">
      <c r="C891" s="110"/>
    </row>
    <row r="892" spans="3:3">
      <c r="C892" s="110"/>
    </row>
    <row r="893" spans="3:3">
      <c r="C893" s="110"/>
    </row>
    <row r="894" spans="3:3">
      <c r="C894" s="110"/>
    </row>
    <row r="895" spans="3:3">
      <c r="C895" s="110"/>
    </row>
    <row r="896" spans="3:3">
      <c r="C896" s="110"/>
    </row>
    <row r="897" spans="3:3">
      <c r="C897" s="110"/>
    </row>
    <row r="898" spans="3:3">
      <c r="C898" s="110"/>
    </row>
    <row r="899" spans="3:3">
      <c r="C899" s="110"/>
    </row>
    <row r="900" spans="3:3">
      <c r="C900" s="110"/>
    </row>
    <row r="901" spans="3:3">
      <c r="C901" s="110"/>
    </row>
    <row r="902" spans="3:3">
      <c r="C902" s="110"/>
    </row>
    <row r="903" spans="3:3">
      <c r="C903" s="110"/>
    </row>
    <row r="904" spans="3:3">
      <c r="C904" s="110"/>
    </row>
    <row r="905" spans="3:3">
      <c r="C905" s="110"/>
    </row>
    <row r="906" spans="3:3">
      <c r="C906" s="110"/>
    </row>
    <row r="907" spans="3:3">
      <c r="C907" s="110"/>
    </row>
    <row r="908" spans="3:3">
      <c r="C908" s="110"/>
    </row>
    <row r="909" spans="3:3">
      <c r="C909" s="110"/>
    </row>
    <row r="910" spans="3:3">
      <c r="C910" s="110"/>
    </row>
    <row r="911" spans="3:3">
      <c r="C911" s="110"/>
    </row>
    <row r="912" spans="3:3">
      <c r="C912" s="110"/>
    </row>
    <row r="913" spans="3:3">
      <c r="C913" s="110"/>
    </row>
    <row r="914" spans="3:3">
      <c r="C914" s="110"/>
    </row>
    <row r="915" spans="3:3">
      <c r="C915" s="110"/>
    </row>
    <row r="916" spans="3:3">
      <c r="C916" s="110"/>
    </row>
    <row r="917" spans="3:3">
      <c r="C917" s="110"/>
    </row>
    <row r="918" spans="3:3">
      <c r="C918" s="110"/>
    </row>
    <row r="919" spans="3:3">
      <c r="C919" s="110"/>
    </row>
    <row r="920" spans="3:3">
      <c r="C920" s="110"/>
    </row>
    <row r="921" spans="3:3">
      <c r="C921" s="110"/>
    </row>
    <row r="922" spans="3:3">
      <c r="C922" s="110"/>
    </row>
    <row r="923" spans="3:3">
      <c r="C923" s="110"/>
    </row>
    <row r="924" spans="3:3">
      <c r="C924" s="110"/>
    </row>
    <row r="925" spans="3:3">
      <c r="C925" s="110"/>
    </row>
    <row r="926" spans="3:3">
      <c r="C926" s="110"/>
    </row>
    <row r="927" spans="3:3">
      <c r="C927" s="110"/>
    </row>
    <row r="928" spans="3:3">
      <c r="C928" s="110"/>
    </row>
    <row r="929" spans="3:3">
      <c r="C929" s="110"/>
    </row>
    <row r="930" spans="3:3">
      <c r="C930" s="110"/>
    </row>
    <row r="931" spans="3:3">
      <c r="C931" s="110"/>
    </row>
    <row r="932" spans="3:3">
      <c r="C932" s="110"/>
    </row>
    <row r="933" spans="3:3">
      <c r="C933" s="110"/>
    </row>
    <row r="934" spans="3:3">
      <c r="C934" s="110"/>
    </row>
    <row r="935" spans="3:3">
      <c r="C935" s="110"/>
    </row>
    <row r="936" spans="3:3">
      <c r="C936" s="110"/>
    </row>
    <row r="937" spans="3:3">
      <c r="C937" s="110"/>
    </row>
    <row r="938" spans="3:3">
      <c r="C938" s="110"/>
    </row>
    <row r="939" spans="3:3">
      <c r="C939" s="110"/>
    </row>
    <row r="940" spans="3:3">
      <c r="C940" s="110"/>
    </row>
    <row r="941" spans="3:3">
      <c r="C941" s="110"/>
    </row>
    <row r="942" spans="3:3">
      <c r="C942" s="110"/>
    </row>
    <row r="943" spans="3:3">
      <c r="C943" s="110"/>
    </row>
    <row r="944" spans="3:3">
      <c r="C944" s="110"/>
    </row>
    <row r="945" spans="3:3">
      <c r="C945" s="110"/>
    </row>
    <row r="946" spans="3:3">
      <c r="C946" s="110"/>
    </row>
    <row r="947" spans="3:3">
      <c r="C947" s="110"/>
    </row>
    <row r="948" spans="3:3">
      <c r="C948" s="110"/>
    </row>
    <row r="949" spans="3:3">
      <c r="C949" s="110"/>
    </row>
    <row r="950" spans="3:3">
      <c r="C950" s="110"/>
    </row>
    <row r="951" spans="3:3">
      <c r="C951" s="110"/>
    </row>
    <row r="952" spans="3:3">
      <c r="C952" s="110"/>
    </row>
    <row r="953" spans="3:3">
      <c r="C953" s="110"/>
    </row>
    <row r="954" spans="3:3">
      <c r="C954" s="110"/>
    </row>
    <row r="955" spans="3:3">
      <c r="C955" s="110"/>
    </row>
    <row r="956" spans="3:3">
      <c r="C956" s="110"/>
    </row>
    <row r="957" spans="3:3">
      <c r="C957" s="110"/>
    </row>
    <row r="958" spans="3:3">
      <c r="C958" s="110"/>
    </row>
    <row r="959" spans="3:3">
      <c r="C959" s="110"/>
    </row>
    <row r="960" spans="3:3">
      <c r="C960" s="110"/>
    </row>
    <row r="961" spans="3:3">
      <c r="C961" s="110"/>
    </row>
    <row r="962" spans="3:3">
      <c r="C962" s="110"/>
    </row>
    <row r="963" spans="3:3">
      <c r="C963" s="110"/>
    </row>
    <row r="964" spans="3:3">
      <c r="C964" s="110"/>
    </row>
    <row r="965" spans="3:3">
      <c r="C965" s="110"/>
    </row>
    <row r="966" spans="3:3">
      <c r="C966" s="110"/>
    </row>
    <row r="967" spans="3:3">
      <c r="C967" s="110"/>
    </row>
    <row r="968" spans="3:3">
      <c r="C968" s="110"/>
    </row>
    <row r="969" spans="3:3">
      <c r="C969" s="110"/>
    </row>
    <row r="970" spans="3:3">
      <c r="C970" s="110"/>
    </row>
    <row r="971" spans="3:3">
      <c r="C971" s="110"/>
    </row>
    <row r="972" spans="3:3">
      <c r="C972" s="110"/>
    </row>
    <row r="973" spans="3:3">
      <c r="C973" s="110"/>
    </row>
    <row r="974" spans="3:3">
      <c r="C974" s="110"/>
    </row>
    <row r="975" spans="3:3">
      <c r="C975" s="110"/>
    </row>
    <row r="976" spans="3:3">
      <c r="C976" s="110"/>
    </row>
    <row r="977" spans="3:3">
      <c r="C977" s="110"/>
    </row>
    <row r="978" spans="3:3">
      <c r="C978" s="110"/>
    </row>
    <row r="979" spans="3:3">
      <c r="C979" s="110"/>
    </row>
    <row r="980" spans="3:3">
      <c r="C980" s="110"/>
    </row>
    <row r="981" spans="3:3">
      <c r="C981" s="110"/>
    </row>
    <row r="982" spans="3:3">
      <c r="C982" s="110"/>
    </row>
    <row r="983" spans="3:3">
      <c r="C983" s="110"/>
    </row>
    <row r="984" spans="3:3">
      <c r="C984" s="110"/>
    </row>
    <row r="985" spans="3:3">
      <c r="C985" s="110"/>
    </row>
    <row r="986" spans="3:3">
      <c r="C986" s="110"/>
    </row>
    <row r="987" spans="3:3">
      <c r="C987" s="110"/>
    </row>
    <row r="988" spans="3:3">
      <c r="C988" s="110"/>
    </row>
    <row r="989" spans="3:3">
      <c r="C989" s="110"/>
    </row>
    <row r="990" spans="3:3">
      <c r="C990" s="110"/>
    </row>
    <row r="991" spans="3:3">
      <c r="C991" s="110"/>
    </row>
    <row r="992" spans="3:3">
      <c r="C992" s="110"/>
    </row>
    <row r="993" spans="3:3">
      <c r="C993" s="110"/>
    </row>
    <row r="994" spans="3:3">
      <c r="C994" s="110"/>
    </row>
    <row r="995" spans="3:3">
      <c r="C995" s="110"/>
    </row>
    <row r="996" spans="3:3">
      <c r="C996" s="110"/>
    </row>
    <row r="997" spans="3:3">
      <c r="C997" s="110"/>
    </row>
    <row r="998" spans="3:3">
      <c r="C998" s="110"/>
    </row>
    <row r="999" spans="3:3">
      <c r="C999" s="110"/>
    </row>
    <row r="1000" spans="3:3">
      <c r="C1000" s="110"/>
    </row>
    <row r="1001" spans="3:3">
      <c r="C1001" s="110"/>
    </row>
    <row r="1002" spans="3:3">
      <c r="C1002" s="110"/>
    </row>
    <row r="1003" spans="3:3">
      <c r="C1003" s="110"/>
    </row>
    <row r="1004" spans="3:3">
      <c r="C1004" s="110"/>
    </row>
    <row r="1005" spans="3:3">
      <c r="C1005" s="110"/>
    </row>
    <row r="1006" spans="3:3">
      <c r="C1006" s="110"/>
    </row>
    <row r="1007" spans="3:3">
      <c r="C1007" s="110"/>
    </row>
    <row r="1008" spans="3:3">
      <c r="C1008" s="110"/>
    </row>
    <row r="1009" spans="3:3">
      <c r="C1009" s="110"/>
    </row>
    <row r="1010" spans="3:3">
      <c r="C1010" s="110"/>
    </row>
    <row r="1011" spans="3:3">
      <c r="C1011" s="110"/>
    </row>
    <row r="1012" spans="3:3">
      <c r="C1012" s="110"/>
    </row>
    <row r="1013" spans="3:3">
      <c r="C1013" s="110"/>
    </row>
    <row r="1014" spans="3:3">
      <c r="C1014" s="110"/>
    </row>
    <row r="1015" spans="3:3">
      <c r="C1015" s="110"/>
    </row>
    <row r="1016" spans="3:3">
      <c r="C1016" s="110"/>
    </row>
    <row r="1017" spans="3:3">
      <c r="C1017" s="110"/>
    </row>
    <row r="1018" spans="3:3">
      <c r="C1018" s="110"/>
    </row>
    <row r="1019" spans="3:3">
      <c r="C1019" s="110"/>
    </row>
    <row r="1020" spans="3:3">
      <c r="C1020" s="110"/>
    </row>
    <row r="1021" spans="3:3">
      <c r="C1021" s="110"/>
    </row>
    <row r="1022" spans="3:3">
      <c r="C1022" s="110"/>
    </row>
    <row r="1023" spans="3:3">
      <c r="C1023" s="110"/>
    </row>
    <row r="1024" spans="3:3">
      <c r="C1024" s="110"/>
    </row>
    <row r="1025" spans="3:3">
      <c r="C1025" s="110"/>
    </row>
    <row r="1026" spans="3:3">
      <c r="C1026" s="110"/>
    </row>
    <row r="1027" spans="3:3">
      <c r="C1027" s="110"/>
    </row>
    <row r="1028" spans="3:3">
      <c r="C1028" s="110"/>
    </row>
    <row r="1029" spans="3:3">
      <c r="C1029" s="110"/>
    </row>
    <row r="1030" spans="3:3">
      <c r="C1030" s="110"/>
    </row>
    <row r="1031" spans="3:3">
      <c r="C1031" s="110"/>
    </row>
    <row r="1032" spans="3:3">
      <c r="C1032" s="110"/>
    </row>
    <row r="1033" spans="3:3">
      <c r="C1033" s="110"/>
    </row>
    <row r="1034" spans="3:3">
      <c r="C1034" s="110"/>
    </row>
    <row r="1035" spans="3:3">
      <c r="C1035" s="110"/>
    </row>
    <row r="1036" spans="3:3">
      <c r="C1036" s="110"/>
    </row>
    <row r="1037" spans="3:3">
      <c r="C1037" s="110"/>
    </row>
    <row r="1038" spans="3:3">
      <c r="C1038" s="110"/>
    </row>
    <row r="1039" spans="3:3">
      <c r="C1039" s="110"/>
    </row>
    <row r="1040" spans="3:3">
      <c r="C1040" s="110"/>
    </row>
    <row r="1041" spans="3:3">
      <c r="C1041" s="110"/>
    </row>
    <row r="1042" spans="3:3">
      <c r="C1042" s="110"/>
    </row>
    <row r="1043" spans="3:3">
      <c r="C1043" s="110"/>
    </row>
    <row r="1044" spans="3:3">
      <c r="C1044" s="11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9:T1380"/>
  <sheetViews>
    <sheetView tabSelected="1" topLeftCell="A465" zoomScale="80" zoomScaleNormal="80" workbookViewId="0">
      <selection activeCell="D222" sqref="D222"/>
    </sheetView>
  </sheetViews>
  <sheetFormatPr defaultColWidth="9.14453125" defaultRowHeight="15"/>
  <cols>
    <col min="1" max="1" width="33.359375" style="123" customWidth="1"/>
    <col min="2" max="18" width="9.4140625" style="123" customWidth="1"/>
    <col min="19" max="16384" width="9.14453125" style="123"/>
  </cols>
  <sheetData>
    <row r="9" spans="1:18">
      <c r="A9" s="260"/>
      <c r="B9" s="935" t="s">
        <v>2621</v>
      </c>
      <c r="C9" s="936"/>
      <c r="D9" s="936"/>
      <c r="E9" s="936"/>
      <c r="F9" s="936"/>
      <c r="G9" s="936"/>
      <c r="H9" s="937"/>
      <c r="I9" s="936" t="s">
        <v>2622</v>
      </c>
      <c r="J9" s="936"/>
      <c r="K9" s="936"/>
      <c r="L9" s="936"/>
      <c r="M9" s="937"/>
      <c r="N9" s="936" t="s">
        <v>2623</v>
      </c>
      <c r="O9" s="936"/>
      <c r="P9" s="936"/>
      <c r="Q9" s="936"/>
      <c r="R9" s="937"/>
    </row>
    <row r="10" spans="1:18">
      <c r="A10" s="261"/>
      <c r="B10" s="938"/>
      <c r="C10" s="939"/>
      <c r="D10" s="939"/>
      <c r="E10" s="939"/>
      <c r="F10" s="939"/>
      <c r="G10" s="939"/>
      <c r="H10" s="940"/>
      <c r="I10" s="939"/>
      <c r="J10" s="939"/>
      <c r="K10" s="939"/>
      <c r="L10" s="939"/>
      <c r="M10" s="940"/>
      <c r="N10" s="939"/>
      <c r="O10" s="939"/>
      <c r="P10" s="939"/>
      <c r="Q10" s="939"/>
      <c r="R10" s="940"/>
    </row>
    <row r="11" spans="1:18" ht="25.5">
      <c r="A11" s="261"/>
      <c r="B11" s="306" t="s">
        <v>272</v>
      </c>
      <c r="C11" s="307" t="s">
        <v>274</v>
      </c>
      <c r="D11" s="307" t="s">
        <v>2624</v>
      </c>
      <c r="E11" s="307" t="s">
        <v>2625</v>
      </c>
      <c r="F11" s="307" t="s">
        <v>273</v>
      </c>
      <c r="G11" s="307" t="s">
        <v>2626</v>
      </c>
      <c r="H11" s="308" t="s">
        <v>1085</v>
      </c>
      <c r="I11" s="307" t="s">
        <v>2624</v>
      </c>
      <c r="J11" s="307" t="s">
        <v>2625</v>
      </c>
      <c r="K11" s="307" t="s">
        <v>273</v>
      </c>
      <c r="L11" s="307" t="s">
        <v>2626</v>
      </c>
      <c r="M11" s="308" t="s">
        <v>1085</v>
      </c>
      <c r="N11" s="307" t="s">
        <v>2624</v>
      </c>
      <c r="O11" s="307" t="s">
        <v>2625</v>
      </c>
      <c r="P11" s="307" t="s">
        <v>273</v>
      </c>
      <c r="Q11" s="307" t="s">
        <v>2626</v>
      </c>
      <c r="R11" s="308" t="s">
        <v>1085</v>
      </c>
    </row>
    <row r="12" spans="1:18">
      <c r="A12" s="262" t="s">
        <v>241</v>
      </c>
      <c r="B12" s="278"/>
      <c r="C12" s="17"/>
      <c r="D12" s="17"/>
      <c r="E12" s="17"/>
      <c r="F12" s="17"/>
      <c r="G12" s="17"/>
      <c r="H12" s="279"/>
      <c r="I12" s="17"/>
      <c r="J12" s="17"/>
      <c r="K12" s="17"/>
      <c r="L12" s="17"/>
      <c r="M12" s="279"/>
      <c r="N12" s="17"/>
      <c r="O12" s="17"/>
      <c r="P12" s="17"/>
      <c r="Q12" s="17"/>
      <c r="R12" s="279"/>
    </row>
    <row r="13" spans="1:18">
      <c r="A13" s="263" t="s">
        <v>2627</v>
      </c>
      <c r="B13" s="280"/>
      <c r="C13" s="35"/>
      <c r="D13" s="35"/>
      <c r="E13" s="35"/>
      <c r="F13" s="35"/>
      <c r="G13" s="35"/>
      <c r="H13" s="281"/>
      <c r="I13" s="35"/>
      <c r="J13" s="35"/>
      <c r="K13" s="35"/>
      <c r="L13" s="35"/>
      <c r="M13" s="281"/>
      <c r="N13" s="35"/>
      <c r="O13" s="35"/>
      <c r="P13" s="35"/>
      <c r="Q13" s="35"/>
      <c r="R13" s="281"/>
    </row>
    <row r="14" spans="1:18">
      <c r="A14" s="264" t="s">
        <v>714</v>
      </c>
      <c r="B14" s="282"/>
      <c r="C14" s="40"/>
      <c r="D14" s="40"/>
      <c r="E14" s="40"/>
      <c r="F14" s="40"/>
      <c r="G14" s="40"/>
      <c r="H14" s="283"/>
      <c r="I14" s="40"/>
      <c r="J14" s="40"/>
      <c r="K14" s="40"/>
      <c r="L14" s="40"/>
      <c r="M14" s="283"/>
      <c r="N14" s="40"/>
      <c r="O14" s="40"/>
      <c r="P14" s="40"/>
      <c r="Q14" s="40"/>
      <c r="R14" s="283"/>
    </row>
    <row r="15" spans="1:18">
      <c r="A15" s="265" t="s">
        <v>2628</v>
      </c>
      <c r="B15" s="119"/>
      <c r="C15" s="251"/>
      <c r="D15" s="259"/>
      <c r="E15" s="251">
        <f>E16+E17</f>
        <v>1</v>
      </c>
      <c r="F15" s="252">
        <f>IFERROR(MEDIAN(F16:F17),"-")</f>
        <v>0.74666666666666681</v>
      </c>
      <c r="G15" s="37"/>
      <c r="H15" s="285"/>
      <c r="I15" s="259"/>
      <c r="J15" s="309">
        <f>J16+J17</f>
        <v>0</v>
      </c>
      <c r="K15" s="310" t="str">
        <f>IFERROR(MEDIAN(K16:K17),"-")</f>
        <v>-</v>
      </c>
      <c r="L15" s="37"/>
      <c r="M15" s="285"/>
      <c r="N15" s="259"/>
      <c r="O15" s="309">
        <f>O16+O17</f>
        <v>0</v>
      </c>
      <c r="P15" s="310" t="str">
        <f>IFERROR(MEDIAN(P16:P17),"-")</f>
        <v>-</v>
      </c>
      <c r="Q15" s="37"/>
      <c r="R15" s="285"/>
    </row>
    <row r="16" spans="1:18">
      <c r="A16" s="314" t="s">
        <v>2629</v>
      </c>
      <c r="B16" s="119">
        <f>IF(Preencher!$B$11="sim",0,0.56)</f>
        <v>0.56000000000000005</v>
      </c>
      <c r="C16" s="309">
        <f>IF(B16=0,"-",3600/B16)</f>
        <v>6428.5714285714275</v>
      </c>
      <c r="D16" s="259">
        <f>IFERROR((H16/C16),"-")</f>
        <v>0.74666666666666681</v>
      </c>
      <c r="E16" s="309">
        <f>IFERROR(ROUNDUP(D16/0.95,0.999),0)*Preencher!$I$20</f>
        <v>1</v>
      </c>
      <c r="F16" s="310">
        <f>IFERROR((H16/C16/E16*Preencher!$I$20),"-")</f>
        <v>0.74666666666666681</v>
      </c>
      <c r="G16" s="37"/>
      <c r="H16" s="285">
        <f>Preencher!$I$18</f>
        <v>4800</v>
      </c>
      <c r="I16" s="259">
        <f>IFERROR((M16/C16),"-")</f>
        <v>0</v>
      </c>
      <c r="J16" s="309">
        <f>IFERROR(ROUNDUP(I16/0.95,0.999),0)*Preencher!$J$20</f>
        <v>0</v>
      </c>
      <c r="K16" s="310" t="str">
        <f>IFERROR((M16/C16/J16*Preencher!$J$20),"-")</f>
        <v>-</v>
      </c>
      <c r="L16" s="37"/>
      <c r="M16" s="285">
        <f>Preencher!$J$18</f>
        <v>0</v>
      </c>
      <c r="N16" s="259">
        <f>IFERROR((R16/C16),"-")</f>
        <v>0</v>
      </c>
      <c r="O16" s="309">
        <f>IFERROR(ROUNDUP(N16/0.95,0.999),0)*Preencher!$K$20</f>
        <v>0</v>
      </c>
      <c r="P16" s="310" t="str">
        <f>IFERROR((R16/C16/O16*Preencher!$K$20),"-")</f>
        <v>-</v>
      </c>
      <c r="Q16" s="37"/>
      <c r="R16" s="285">
        <f>Preencher!$K$18</f>
        <v>0</v>
      </c>
    </row>
    <row r="17" spans="1:18">
      <c r="A17" s="314" t="s">
        <v>1108</v>
      </c>
      <c r="B17" s="119">
        <f>IF(Preencher!$B$11="sim",0,0.27)</f>
        <v>0.27</v>
      </c>
      <c r="C17" s="309">
        <f>IF(B17=0,"-",3600/B17)</f>
        <v>13333.333333333332</v>
      </c>
      <c r="D17" s="259">
        <f>IFERROR((H17/C17),"-")</f>
        <v>0</v>
      </c>
      <c r="E17" s="309">
        <f>IFERROR(ROUNDUP(D17/0.95,0.999),0)*Preencher!$I$21</f>
        <v>0</v>
      </c>
      <c r="F17" s="310" t="str">
        <f>IFERROR((H17/C17/E17*Preencher!$I$21),"-")</f>
        <v>-</v>
      </c>
      <c r="G17" s="37"/>
      <c r="H17" s="285">
        <f>Preencher!$I$19</f>
        <v>0</v>
      </c>
      <c r="I17" s="259">
        <f>IFERROR((M17/C17),"-")</f>
        <v>0</v>
      </c>
      <c r="J17" s="309">
        <f>IFERROR(ROUNDUP(I17/0.95,0.999),0)*Preencher!$J$21</f>
        <v>0</v>
      </c>
      <c r="K17" s="310" t="str">
        <f>IFERROR((M17/C17/J17*Preencher!$J$21),"-")</f>
        <v>-</v>
      </c>
      <c r="L17" s="37"/>
      <c r="M17" s="285">
        <f>Preencher!$J$19</f>
        <v>0</v>
      </c>
      <c r="N17" s="259">
        <f>IFERROR((R17/C17),"-")</f>
        <v>0</v>
      </c>
      <c r="O17" s="309">
        <f>IFERROR(ROUNDUP(N17/0.95,0.999),0)*Preencher!$K$21</f>
        <v>0</v>
      </c>
      <c r="P17" s="310" t="str">
        <f>IFERROR((R17/C17/O17*Preencher!$K$20),"-")</f>
        <v>-</v>
      </c>
      <c r="Q17" s="37"/>
      <c r="R17" s="285">
        <f>Preencher!$K$19</f>
        <v>0</v>
      </c>
    </row>
    <row r="18" spans="1:18">
      <c r="A18" s="265" t="s">
        <v>5</v>
      </c>
      <c r="B18" s="119">
        <f>IF(Preencher!$B$11="sim",0.17,0)</f>
        <v>0</v>
      </c>
      <c r="C18" s="251" t="str">
        <f t="shared" ref="C18:C39" si="0">IF(B18=0,"-",3600/B18)</f>
        <v>-</v>
      </c>
      <c r="D18" s="259" t="str">
        <f>IFERROR((H18/C18),"-")</f>
        <v>-</v>
      </c>
      <c r="E18" s="251">
        <f>IFERROR(ROUNDUP(D18/0.95,0.999),0)</f>
        <v>0</v>
      </c>
      <c r="F18" s="252" t="str">
        <f>IFERROR((H18/C18/E18),"-")</f>
        <v>-</v>
      </c>
      <c r="G18" s="37"/>
      <c r="H18" s="285">
        <f>(Preencher!$I$18*Preencher!$I$20)+(Preencher!$I$19*Preencher!$I$21)</f>
        <v>4800</v>
      </c>
      <c r="I18" s="259" t="str">
        <f>IFERROR((M18/C18),"-")</f>
        <v>-</v>
      </c>
      <c r="J18" s="251">
        <f>IFERROR(ROUNDUP(I18/0.95,0.999),0)</f>
        <v>0</v>
      </c>
      <c r="K18" s="252" t="str">
        <f>IFERROR((M18/C18/J18),"-")</f>
        <v>-</v>
      </c>
      <c r="L18" s="37"/>
      <c r="M18" s="285">
        <f>(Preencher!$J$18*Preencher!$J$20)+(Preencher!$J$19*Preencher!$J$21)</f>
        <v>0</v>
      </c>
      <c r="N18" s="259" t="str">
        <f>IFERROR((R18/C18),"-")</f>
        <v>-</v>
      </c>
      <c r="O18" s="251">
        <f>IFERROR(ROUNDUP(N18/0.95,0.999),0)</f>
        <v>0</v>
      </c>
      <c r="P18" s="252" t="str">
        <f>IFERROR((R18/C18/O18),"-")</f>
        <v>-</v>
      </c>
      <c r="Q18" s="37"/>
      <c r="R18" s="285">
        <f>(Preencher!$K$18*Preencher!$K$20)+(Preencher!$K$19*Preencher!$K$21)</f>
        <v>0</v>
      </c>
    </row>
    <row r="19" spans="1:18">
      <c r="A19" s="265" t="s">
        <v>6</v>
      </c>
      <c r="B19" s="119">
        <v>0</v>
      </c>
      <c r="C19" s="770" t="str">
        <f>IF(B19=0,"-",3600/B19)</f>
        <v>-</v>
      </c>
      <c r="D19" s="259" t="str">
        <f>IFERROR((H19/C19),"-")</f>
        <v>-</v>
      </c>
      <c r="E19" s="770">
        <f>IFERROR(ROUNDUP(D19/0.95,0.999),0)*Preencher!$I$20</f>
        <v>0</v>
      </c>
      <c r="F19" s="772" t="str">
        <f>IFERROR((H19/C19/E19*Preencher!$I$20),"-")</f>
        <v>-</v>
      </c>
      <c r="G19" s="37"/>
      <c r="H19" s="285">
        <f>Preencher!$I$18</f>
        <v>4800</v>
      </c>
      <c r="I19" s="259" t="str">
        <f>IFERROR((M19/C19),"-")</f>
        <v>-</v>
      </c>
      <c r="J19" s="770">
        <f>IFERROR(ROUNDUP(I19/0.95,0.999),0)*Preencher!$J$20</f>
        <v>0</v>
      </c>
      <c r="K19" s="772" t="str">
        <f>IFERROR((M19/C19/J19*Preencher!$J$20),"-")</f>
        <v>-</v>
      </c>
      <c r="L19" s="37"/>
      <c r="M19" s="285">
        <f>Preencher!$J$18</f>
        <v>0</v>
      </c>
      <c r="N19" s="259" t="str">
        <f>IFERROR((R19/C19),"-")</f>
        <v>-</v>
      </c>
      <c r="O19" s="770">
        <f>IFERROR(ROUNDUP(N19/0.95,0.999),0)*Preencher!$K$20</f>
        <v>0</v>
      </c>
      <c r="P19" s="772" t="str">
        <f>IFERROR((R19/C19/O19*Preencher!$K$20),"-")</f>
        <v>-</v>
      </c>
      <c r="Q19" s="37"/>
      <c r="R19" s="285">
        <f>Preencher!$K$18</f>
        <v>0</v>
      </c>
    </row>
    <row r="20" spans="1:18">
      <c r="A20" s="265" t="s">
        <v>7</v>
      </c>
      <c r="B20" s="119"/>
      <c r="C20" s="309"/>
      <c r="D20" s="259"/>
      <c r="E20" s="309">
        <f>E21+E22</f>
        <v>5</v>
      </c>
      <c r="F20" s="310">
        <f>IFERROR(MEDIAN(F21:F22),"-")</f>
        <v>0.91199999999999992</v>
      </c>
      <c r="G20" s="37"/>
      <c r="H20" s="285"/>
      <c r="I20" s="259"/>
      <c r="J20" s="309">
        <f>J21+J22</f>
        <v>0</v>
      </c>
      <c r="K20" s="310" t="str">
        <f>IFERROR(MEDIAN(K21:K22),"-")</f>
        <v>-</v>
      </c>
      <c r="L20" s="37"/>
      <c r="M20" s="285"/>
      <c r="N20" s="259"/>
      <c r="O20" s="309">
        <f>O21+O22</f>
        <v>0</v>
      </c>
      <c r="P20" s="310" t="str">
        <f>IFERROR(MEDIAN(P21:P22),"-")</f>
        <v>-</v>
      </c>
      <c r="Q20" s="37"/>
      <c r="R20" s="285"/>
    </row>
    <row r="21" spans="1:18">
      <c r="A21" s="314" t="s">
        <v>1109</v>
      </c>
      <c r="B21" s="119">
        <f>IF(Preencher!$B$20="Não",3.42,4.28)</f>
        <v>3.42</v>
      </c>
      <c r="C21" s="309">
        <f>IF(B21=0,"-",3600/B21)</f>
        <v>1052.6315789473686</v>
      </c>
      <c r="D21" s="259">
        <f>IFERROR((H21/C21),"-")</f>
        <v>4.5599999999999996</v>
      </c>
      <c r="E21" s="309">
        <f>IFERROR(ROUNDUP(D21/0.95,0.999),0)*Preencher!$I$20</f>
        <v>5</v>
      </c>
      <c r="F21" s="310">
        <f>IFERROR((H21/C21/E21*Preencher!$I$20),"-")</f>
        <v>0.91199999999999992</v>
      </c>
      <c r="G21" s="37"/>
      <c r="H21" s="285">
        <f>Preencher!$I$18</f>
        <v>4800</v>
      </c>
      <c r="I21" s="259">
        <f>IFERROR((M21/C21),"-")</f>
        <v>0</v>
      </c>
      <c r="J21" s="309">
        <f>IFERROR(ROUNDUP(I21/0.95,0.999),0)*Preencher!$J$20</f>
        <v>0</v>
      </c>
      <c r="K21" s="310" t="str">
        <f>IFERROR((M21/C21/J21*Preencher!$J$20),"-")</f>
        <v>-</v>
      </c>
      <c r="L21" s="37"/>
      <c r="M21" s="285">
        <f>Preencher!$J$18</f>
        <v>0</v>
      </c>
      <c r="N21" s="259">
        <f>IFERROR((R21/C21),"-")</f>
        <v>0</v>
      </c>
      <c r="O21" s="309">
        <f>IFERROR(ROUNDUP(N21/0.95,0.999),0)*Preencher!$K$20</f>
        <v>0</v>
      </c>
      <c r="P21" s="310" t="str">
        <f>IFERROR((R21/C21/O21*Preencher!$K$20),"-")</f>
        <v>-</v>
      </c>
      <c r="Q21" s="37"/>
      <c r="R21" s="285">
        <f>Preencher!$K$18</f>
        <v>0</v>
      </c>
    </row>
    <row r="22" spans="1:18">
      <c r="A22" s="314" t="s">
        <v>1110</v>
      </c>
      <c r="B22" s="119">
        <f>IF(Preencher!$B$20="Não",2.85,4.28)</f>
        <v>2.85</v>
      </c>
      <c r="C22" s="309">
        <f>IF(B22=0,"-",3600/B22)</f>
        <v>1263.1578947368421</v>
      </c>
      <c r="D22" s="259">
        <f>IFERROR((H22/C22),"-")</f>
        <v>0</v>
      </c>
      <c r="E22" s="309">
        <f>IFERROR(ROUNDUP(D22/0.95,0.999),0)*Preencher!$I$21</f>
        <v>0</v>
      </c>
      <c r="F22" s="310" t="str">
        <f>IFERROR((H22/C22/E22*Preencher!$I$21),"-")</f>
        <v>-</v>
      </c>
      <c r="G22" s="37"/>
      <c r="H22" s="285">
        <f>Preencher!$I$19</f>
        <v>0</v>
      </c>
      <c r="I22" s="259">
        <f>IFERROR((M22/C22),"-")</f>
        <v>0</v>
      </c>
      <c r="J22" s="309">
        <f>IFERROR(ROUNDUP(I22/0.95,0.999),0)*Preencher!$J$21</f>
        <v>0</v>
      </c>
      <c r="K22" s="310" t="str">
        <f>IFERROR((M22/C22/J22*Preencher!$J$21),"-")</f>
        <v>-</v>
      </c>
      <c r="L22" s="37"/>
      <c r="M22" s="285">
        <f>Preencher!$J$19</f>
        <v>0</v>
      </c>
      <c r="N22" s="259">
        <f>IFERROR((R22/C22),"-")</f>
        <v>0</v>
      </c>
      <c r="O22" s="309">
        <f>IFERROR(ROUNDUP(N22/0.95,0.999),0)*Preencher!$K$21</f>
        <v>0</v>
      </c>
      <c r="P22" s="310" t="str">
        <f>IFERROR((R22/C22/O22*Preencher!$K$20),"-")</f>
        <v>-</v>
      </c>
      <c r="Q22" s="37"/>
      <c r="R22" s="285">
        <f>Preencher!$K$19</f>
        <v>0</v>
      </c>
    </row>
    <row r="23" spans="1:18">
      <c r="A23" s="266" t="s">
        <v>8</v>
      </c>
      <c r="B23" s="119"/>
      <c r="C23" s="309"/>
      <c r="D23" s="259"/>
      <c r="E23" s="309">
        <f>E24+E25</f>
        <v>1</v>
      </c>
      <c r="F23" s="310">
        <f>IFERROR(MEDIAN(F24:F25),"-")</f>
        <v>0.36000000000000004</v>
      </c>
      <c r="G23" s="37"/>
      <c r="H23" s="285"/>
      <c r="I23" s="259"/>
      <c r="J23" s="309">
        <f>J24+J25</f>
        <v>0</v>
      </c>
      <c r="K23" s="310" t="str">
        <f>IFERROR(MEDIAN(K24:K25),"-")</f>
        <v>-</v>
      </c>
      <c r="L23" s="37"/>
      <c r="M23" s="285"/>
      <c r="N23" s="259"/>
      <c r="O23" s="309">
        <f>O24+O25</f>
        <v>0</v>
      </c>
      <c r="P23" s="310" t="str">
        <f>IFERROR(MEDIAN(P24:P25),"-")</f>
        <v>-</v>
      </c>
      <c r="Q23" s="37"/>
      <c r="R23" s="285"/>
    </row>
    <row r="24" spans="1:18">
      <c r="A24" s="314" t="s">
        <v>1113</v>
      </c>
      <c r="B24" s="119">
        <f>IF(Preencher!$B$21="Não",0.27,0.59)</f>
        <v>0.27</v>
      </c>
      <c r="C24" s="309">
        <f t="shared" si="0"/>
        <v>13333.333333333332</v>
      </c>
      <c r="D24" s="259">
        <f>IFERROR((H24/C24),"-")</f>
        <v>0.36000000000000004</v>
      </c>
      <c r="E24" s="309">
        <f>IFERROR(ROUNDUP(D24/0.95,0.999),0)*Preencher!$I$20</f>
        <v>1</v>
      </c>
      <c r="F24" s="310">
        <f>IFERROR((H24/C24/E24*Preencher!$I$20),"-")</f>
        <v>0.36000000000000004</v>
      </c>
      <c r="G24" s="37"/>
      <c r="H24" s="285">
        <f>Preencher!$I$18</f>
        <v>4800</v>
      </c>
      <c r="I24" s="259">
        <f>IFERROR((M24/C24),"-")</f>
        <v>0</v>
      </c>
      <c r="J24" s="309">
        <f>IFERROR(ROUNDUP(I24/0.95,0.999),0)*Preencher!$J$20</f>
        <v>0</v>
      </c>
      <c r="K24" s="310" t="str">
        <f>IFERROR((M24/C24/J24*Preencher!$J$20),"-")</f>
        <v>-</v>
      </c>
      <c r="L24" s="37"/>
      <c r="M24" s="285">
        <f>Preencher!$J$18</f>
        <v>0</v>
      </c>
      <c r="N24" s="259">
        <f>IFERROR((R24/C24),"-")</f>
        <v>0</v>
      </c>
      <c r="O24" s="309">
        <f>IFERROR(ROUNDUP(N24/0.95,0.999),0)*Preencher!$K$20</f>
        <v>0</v>
      </c>
      <c r="P24" s="310" t="str">
        <f>IFERROR((R24/C24/O24*Preencher!$K$20),"-")</f>
        <v>-</v>
      </c>
      <c r="Q24" s="37"/>
      <c r="R24" s="285">
        <f>Preencher!$K$18</f>
        <v>0</v>
      </c>
    </row>
    <row r="25" spans="1:18">
      <c r="A25" s="314" t="s">
        <v>1114</v>
      </c>
      <c r="B25" s="119">
        <f>IF(Preencher!$B$21="Não",0.27,0.59)</f>
        <v>0.27</v>
      </c>
      <c r="C25" s="309">
        <f t="shared" si="0"/>
        <v>13333.333333333332</v>
      </c>
      <c r="D25" s="259">
        <f>IFERROR((H25/C25),"-")</f>
        <v>0</v>
      </c>
      <c r="E25" s="309">
        <f>IFERROR(ROUNDUP(D25/0.95,0.999),0)*Preencher!$I$21</f>
        <v>0</v>
      </c>
      <c r="F25" s="310" t="str">
        <f>IFERROR((H25/C25/E25*Preencher!$I$21),"-")</f>
        <v>-</v>
      </c>
      <c r="G25" s="37"/>
      <c r="H25" s="285">
        <f>Preencher!$I$19</f>
        <v>0</v>
      </c>
      <c r="I25" s="259">
        <f>IFERROR((M25/C25),"-")</f>
        <v>0</v>
      </c>
      <c r="J25" s="309">
        <f>IFERROR(ROUNDUP(I25/0.95,0.999),0)*Preencher!$J$21</f>
        <v>0</v>
      </c>
      <c r="K25" s="310" t="str">
        <f>IFERROR((M25/C25/J25*Preencher!$J$21),"-")</f>
        <v>-</v>
      </c>
      <c r="L25" s="37"/>
      <c r="M25" s="285">
        <f>Preencher!$J$19</f>
        <v>0</v>
      </c>
      <c r="N25" s="259">
        <f>IFERROR((R25/C25),"-")</f>
        <v>0</v>
      </c>
      <c r="O25" s="309">
        <f>IFERROR(ROUNDUP(N25/0.95,0.999),0)*Preencher!$K$21</f>
        <v>0</v>
      </c>
      <c r="P25" s="310" t="str">
        <f>IFERROR((R25/C25/O25*Preencher!$K$20),"-")</f>
        <v>-</v>
      </c>
      <c r="Q25" s="37"/>
      <c r="R25" s="285">
        <f>Preencher!$K$19</f>
        <v>0</v>
      </c>
    </row>
    <row r="26" spans="1:18">
      <c r="A26" s="267" t="s">
        <v>584</v>
      </c>
      <c r="B26" s="119">
        <f>IF(Preencher!$B$13="sim",0.17,0)</f>
        <v>0</v>
      </c>
      <c r="C26" s="251" t="str">
        <f t="shared" si="0"/>
        <v>-</v>
      </c>
      <c r="D26" s="259" t="str">
        <f>IFERROR((H26/C26),"-")</f>
        <v>-</v>
      </c>
      <c r="E26" s="251">
        <f>IFERROR(ROUNDUP(D26/0.95,0.999),0)</f>
        <v>0</v>
      </c>
      <c r="F26" s="252" t="str">
        <f>IFERROR((H26/C26/E26),"-")</f>
        <v>-</v>
      </c>
      <c r="G26" s="37"/>
      <c r="H26" s="285">
        <f>(Preencher!$I$18*Preencher!$I$20)+(Preencher!$I$19*Preencher!$I$21)</f>
        <v>4800</v>
      </c>
      <c r="I26" s="259" t="str">
        <f>IFERROR((M26/C26),"-")</f>
        <v>-</v>
      </c>
      <c r="J26" s="319">
        <f>IFERROR(ROUNDUP(I26/0.95,0.999),0)</f>
        <v>0</v>
      </c>
      <c r="K26" s="320" t="str">
        <f>IFERROR((M26/C26/J26),"-")</f>
        <v>-</v>
      </c>
      <c r="L26" s="37"/>
      <c r="M26" s="285">
        <f>(Preencher!$J$18*Preencher!$J$20)+(Preencher!$J$19*Preencher!$J$21)</f>
        <v>0</v>
      </c>
      <c r="N26" s="259" t="str">
        <f>IFERROR((R26/C26),"-")</f>
        <v>-</v>
      </c>
      <c r="O26" s="319">
        <f>IFERROR(ROUNDUP(N26/0.95,0.999),0)</f>
        <v>0</v>
      </c>
      <c r="P26" s="320" t="str">
        <f>IFERROR((R26/C26/O26),"-")</f>
        <v>-</v>
      </c>
      <c r="Q26" s="37"/>
      <c r="R26" s="285">
        <f>(Preencher!$K$18*Preencher!$K$20)+(Preencher!$K$19*Preencher!$K$21)</f>
        <v>0</v>
      </c>
    </row>
    <row r="27" spans="1:18">
      <c r="A27" s="266" t="s">
        <v>9</v>
      </c>
      <c r="B27" s="119"/>
      <c r="C27" s="309"/>
      <c r="D27" s="259"/>
      <c r="E27" s="309">
        <f>E28+E29</f>
        <v>1</v>
      </c>
      <c r="F27" s="310">
        <f>IFERROR(MEDIAN(F28:F29),"-")</f>
        <v>0.4</v>
      </c>
      <c r="G27" s="37"/>
      <c r="H27" s="285"/>
      <c r="I27" s="259"/>
      <c r="J27" s="309">
        <f>J28+J29</f>
        <v>0</v>
      </c>
      <c r="K27" s="310" t="str">
        <f>IFERROR(MEDIAN(K28:K29),"-")</f>
        <v>-</v>
      </c>
      <c r="L27" s="37"/>
      <c r="M27" s="285"/>
      <c r="N27" s="259"/>
      <c r="O27" s="309">
        <f>O28+O29</f>
        <v>0</v>
      </c>
      <c r="P27" s="310" t="str">
        <f>IFERROR(MEDIAN(P28:P29),"-")</f>
        <v>-</v>
      </c>
      <c r="Q27" s="37"/>
      <c r="R27" s="285"/>
    </row>
    <row r="28" spans="1:18">
      <c r="A28" s="314" t="s">
        <v>1115</v>
      </c>
      <c r="B28" s="119">
        <f>IF(Preencher!$B$13="sim",0,0.3)</f>
        <v>0.3</v>
      </c>
      <c r="C28" s="309">
        <f>IF(B28=0,"-",3600/B28)</f>
        <v>12000</v>
      </c>
      <c r="D28" s="259">
        <f>IFERROR((H28/C28),"-")</f>
        <v>0.4</v>
      </c>
      <c r="E28" s="309">
        <f>IFERROR(ROUNDUP(D28/0.95,0.999),0)*Preencher!$I$20</f>
        <v>1</v>
      </c>
      <c r="F28" s="310">
        <f>IFERROR((H28/C28/E28*Preencher!$I$20),"-")</f>
        <v>0.4</v>
      </c>
      <c r="G28" s="37"/>
      <c r="H28" s="285">
        <f>Preencher!$I$18</f>
        <v>4800</v>
      </c>
      <c r="I28" s="259">
        <f>IFERROR((M28/C28),"-")</f>
        <v>0</v>
      </c>
      <c r="J28" s="309">
        <f>IFERROR(ROUNDUP(I28/0.95,0.999),0)*Preencher!$J$20</f>
        <v>0</v>
      </c>
      <c r="K28" s="310" t="str">
        <f>IFERROR((M28/C28/J28*Preencher!$J$20),"-")</f>
        <v>-</v>
      </c>
      <c r="L28" s="37"/>
      <c r="M28" s="285">
        <f>Preencher!$J$18</f>
        <v>0</v>
      </c>
      <c r="N28" s="259">
        <f>IFERROR((R28/C28),"-")</f>
        <v>0</v>
      </c>
      <c r="O28" s="309">
        <f>IFERROR(ROUNDUP(N28/0.95,0.999),0)*Preencher!$K$20</f>
        <v>0</v>
      </c>
      <c r="P28" s="310" t="str">
        <f>IFERROR((R28/C28/O28*Preencher!$K$20),"-")</f>
        <v>-</v>
      </c>
      <c r="Q28" s="37"/>
      <c r="R28" s="285">
        <f>Preencher!$K$18</f>
        <v>0</v>
      </c>
    </row>
    <row r="29" spans="1:18">
      <c r="A29" s="314" t="s">
        <v>1116</v>
      </c>
      <c r="B29" s="119">
        <f>IF(Preencher!$B$13="sim",0,0.27)</f>
        <v>0.27</v>
      </c>
      <c r="C29" s="309">
        <f>IF(B29=0,"-",3600/B29)</f>
        <v>13333.333333333332</v>
      </c>
      <c r="D29" s="259">
        <f>IFERROR((H29/C29),"-")</f>
        <v>0</v>
      </c>
      <c r="E29" s="309">
        <f>IFERROR(ROUNDUP(D29/0.95,0.999),0)*Preencher!$I$21</f>
        <v>0</v>
      </c>
      <c r="F29" s="310" t="str">
        <f>IFERROR((H29/C29/E29*Preencher!$I$21),"-")</f>
        <v>-</v>
      </c>
      <c r="G29" s="37"/>
      <c r="H29" s="285">
        <f>Preencher!$I$19</f>
        <v>0</v>
      </c>
      <c r="I29" s="259">
        <f>IFERROR((M29/C29),"-")</f>
        <v>0</v>
      </c>
      <c r="J29" s="309">
        <f>IFERROR(ROUNDUP(I29/0.95,0.999),0)*Preencher!$J$21</f>
        <v>0</v>
      </c>
      <c r="K29" s="310" t="str">
        <f>IFERROR((M29/C29/J29*Preencher!$J$21),"-")</f>
        <v>-</v>
      </c>
      <c r="L29" s="37"/>
      <c r="M29" s="285">
        <f>Preencher!$J$19</f>
        <v>0</v>
      </c>
      <c r="N29" s="259">
        <f>IFERROR((R29/C29),"-")</f>
        <v>0</v>
      </c>
      <c r="O29" s="309">
        <f>IFERROR(ROUNDUP(N29/0.95,0.999),0)*Preencher!$K$21</f>
        <v>0</v>
      </c>
      <c r="P29" s="310" t="str">
        <f>IFERROR((R29/C29/O29*Preencher!$K$20),"-")</f>
        <v>-</v>
      </c>
      <c r="Q29" s="37"/>
      <c r="R29" s="285">
        <f>Preencher!$K$19</f>
        <v>0</v>
      </c>
    </row>
    <row r="30" spans="1:18">
      <c r="A30" s="265" t="s">
        <v>183</v>
      </c>
      <c r="B30" s="119">
        <f>IF(Preencher!I20=2,0.35,0.14)</f>
        <v>0.14000000000000001</v>
      </c>
      <c r="C30" s="309">
        <f>IF(B30=0,"-",3600/B30)</f>
        <v>25714.28571428571</v>
      </c>
      <c r="D30" s="259">
        <f>IFERROR((H30/C30),"-")</f>
        <v>0.1866666666666667</v>
      </c>
      <c r="E30" s="309">
        <f>IFERROR(ROUNDUP(D30/0.95,0.999),0)</f>
        <v>1</v>
      </c>
      <c r="F30" s="310">
        <f>IFERROR((H30/C30/E30),"-")</f>
        <v>0.1866666666666667</v>
      </c>
      <c r="G30" s="37"/>
      <c r="H30" s="285">
        <f>(Preencher!$I$18*Preencher!$I$20)+(Preencher!$I$19*Preencher!$I$21)</f>
        <v>4800</v>
      </c>
      <c r="I30" s="259">
        <f>IFERROR((M30/C30),"-")</f>
        <v>0</v>
      </c>
      <c r="J30" s="319">
        <f>IFERROR(ROUNDUP(I30/0.95,0.999),0)</f>
        <v>0</v>
      </c>
      <c r="K30" s="320" t="str">
        <f>IFERROR((M30/C30/J30),"-")</f>
        <v>-</v>
      </c>
      <c r="L30" s="37"/>
      <c r="M30" s="285">
        <f>(Preencher!$J$18*Preencher!$J$20)+(Preencher!$J$19*Preencher!$J$21)</f>
        <v>0</v>
      </c>
      <c r="N30" s="259">
        <f>IFERROR((R30/C30),"-")</f>
        <v>0</v>
      </c>
      <c r="O30" s="319">
        <f>IFERROR(ROUNDUP(N30/0.95,0.999),0)</f>
        <v>0</v>
      </c>
      <c r="P30" s="320" t="str">
        <f>IFERROR((R30/C30/O30),"-")</f>
        <v>-</v>
      </c>
      <c r="Q30" s="37"/>
      <c r="R30" s="285">
        <f>(Preencher!$K$18*Preencher!$K$20)+(Preencher!$K$19*Preencher!$K$21)</f>
        <v>0</v>
      </c>
    </row>
    <row r="31" spans="1:18">
      <c r="A31" s="265" t="s">
        <v>10</v>
      </c>
      <c r="B31" s="284"/>
      <c r="C31" s="251" t="str">
        <f t="shared" si="0"/>
        <v>-</v>
      </c>
      <c r="D31" s="259" t="str">
        <f>IFERROR((H31/C31),"-")</f>
        <v>-</v>
      </c>
      <c r="E31" s="251">
        <f>IFERROR(ROUNDUP(D31/0.95,0.999),0)</f>
        <v>0</v>
      </c>
      <c r="F31" s="252" t="str">
        <f>IFERROR((H31/C31/E31),"-")</f>
        <v>-</v>
      </c>
      <c r="G31" s="37"/>
      <c r="H31" s="285"/>
      <c r="I31" s="259" t="str">
        <f>IFERROR((M31/C31),"-")</f>
        <v>-</v>
      </c>
      <c r="J31" s="251">
        <f>IFERROR(ROUNDUP(I31/0.95,0.999),0)</f>
        <v>0</v>
      </c>
      <c r="K31" s="252" t="str">
        <f>IFERROR((M31/C31/J31),"-")</f>
        <v>-</v>
      </c>
      <c r="L31" s="37"/>
      <c r="M31" s="285"/>
      <c r="N31" s="259" t="str">
        <f>IFERROR((R31/C31),"-")</f>
        <v>-</v>
      </c>
      <c r="O31" s="251">
        <f>IFERROR(ROUNDUP(N31/0.95,0.999),0)</f>
        <v>0</v>
      </c>
      <c r="P31" s="252" t="str">
        <f>IFERROR((R31/C31/O31),"-")</f>
        <v>-</v>
      </c>
      <c r="Q31" s="37"/>
      <c r="R31" s="285"/>
    </row>
    <row r="32" spans="1:18">
      <c r="A32" s="265" t="s">
        <v>11</v>
      </c>
      <c r="B32" s="119"/>
      <c r="C32" s="309"/>
      <c r="D32" s="259"/>
      <c r="E32" s="309">
        <f>E33+E34</f>
        <v>1</v>
      </c>
      <c r="F32" s="310">
        <f>IFERROR(MEDIAN(F33:F34),"-")</f>
        <v>0.06</v>
      </c>
      <c r="G32" s="37"/>
      <c r="H32" s="285"/>
      <c r="I32" s="259"/>
      <c r="J32" s="309">
        <f>J33+J34</f>
        <v>0</v>
      </c>
      <c r="K32" s="310" t="str">
        <f>IFERROR(MEDIAN(K33:K34),"-")</f>
        <v>-</v>
      </c>
      <c r="L32" s="37"/>
      <c r="M32" s="285"/>
      <c r="N32" s="259"/>
      <c r="O32" s="309">
        <f>O33+O34</f>
        <v>0</v>
      </c>
      <c r="P32" s="310" t="str">
        <f>IFERROR(MEDIAN(P33:P34),"-")</f>
        <v>-</v>
      </c>
      <c r="Q32" s="37"/>
      <c r="R32" s="285"/>
    </row>
    <row r="33" spans="1:18">
      <c r="A33" s="314" t="s">
        <v>1117</v>
      </c>
      <c r="B33" s="119">
        <v>4.4999999999999998E-2</v>
      </c>
      <c r="C33" s="309">
        <f t="shared" si="0"/>
        <v>80000</v>
      </c>
      <c r="D33" s="259">
        <f t="shared" ref="D33:D39" si="1">IFERROR((H33/C33),"-")</f>
        <v>0.06</v>
      </c>
      <c r="E33" s="309">
        <f>IFERROR(ROUNDUP(D33/0.95,0.999),0)*Preencher!$I$20</f>
        <v>1</v>
      </c>
      <c r="F33" s="310">
        <f>IFERROR((H33/C33/E33*Preencher!$I$20),"-")</f>
        <v>0.06</v>
      </c>
      <c r="G33" s="37"/>
      <c r="H33" s="285">
        <f>IF(Preencher!$B$14="Sim",0,Preencher!$I$18)</f>
        <v>4800</v>
      </c>
      <c r="I33" s="259">
        <f t="shared" ref="I33:I40" si="2">IFERROR((M33/C33),"-")</f>
        <v>0</v>
      </c>
      <c r="J33" s="309">
        <f>IFERROR(ROUNDUP(I33/0.95,0.999),0)*Preencher!$J$20</f>
        <v>0</v>
      </c>
      <c r="K33" s="310" t="str">
        <f>IFERROR((M33/C33/J33*Preencher!$J$20),"-")</f>
        <v>-</v>
      </c>
      <c r="L33" s="37"/>
      <c r="M33" s="285">
        <f>IF(Preencher!$C$14="Sim",0,Preencher!$J$18)</f>
        <v>0</v>
      </c>
      <c r="N33" s="259">
        <f t="shared" ref="N33:N40" si="3">IFERROR((R33/C33),"-")</f>
        <v>0</v>
      </c>
      <c r="O33" s="309">
        <f>IFERROR(ROUNDUP(N33/0.95,0.999),0)*Preencher!$K$20</f>
        <v>0</v>
      </c>
      <c r="P33" s="310" t="str">
        <f>IFERROR((R33/C33/O33*Preencher!$K$20),"-")</f>
        <v>-</v>
      </c>
      <c r="Q33" s="37"/>
      <c r="R33" s="285">
        <f>IF(Preencher!$D$14="Sim",0,Preencher!$K$18)</f>
        <v>0</v>
      </c>
    </row>
    <row r="34" spans="1:18">
      <c r="A34" s="314" t="s">
        <v>1118</v>
      </c>
      <c r="B34" s="119">
        <v>4.4999999999999998E-2</v>
      </c>
      <c r="C34" s="309">
        <f t="shared" si="0"/>
        <v>80000</v>
      </c>
      <c r="D34" s="259">
        <f t="shared" si="1"/>
        <v>0</v>
      </c>
      <c r="E34" s="309">
        <f>IFERROR(ROUNDUP(D34/0.95,0.999),0)*Preencher!$I$21</f>
        <v>0</v>
      </c>
      <c r="F34" s="310" t="str">
        <f>IFERROR((H34/C34/E34*Preencher!$I$21),"-")</f>
        <v>-</v>
      </c>
      <c r="G34" s="37"/>
      <c r="H34" s="285">
        <f>IF(Preencher!$B$14="Sim",0,Preencher!$I$19)</f>
        <v>0</v>
      </c>
      <c r="I34" s="259">
        <f t="shared" si="2"/>
        <v>0</v>
      </c>
      <c r="J34" s="309">
        <f>IFERROR(ROUNDUP(I34/0.95,0.999),0)*Preencher!$J$21</f>
        <v>0</v>
      </c>
      <c r="K34" s="310" t="str">
        <f>IFERROR((M34/C34/J34*Preencher!$J$21),"-")</f>
        <v>-</v>
      </c>
      <c r="L34" s="37"/>
      <c r="M34" s="285">
        <f>IF(Preencher!$C$14="Sim",0,Preencher!$J$19)</f>
        <v>0</v>
      </c>
      <c r="N34" s="259">
        <f t="shared" si="3"/>
        <v>0</v>
      </c>
      <c r="O34" s="309">
        <f>IFERROR(ROUNDUP(N34/0.95,0.999),0)*Preencher!$K$21</f>
        <v>0</v>
      </c>
      <c r="P34" s="310" t="str">
        <f>IFERROR((R34/C34/O34*Preencher!$K$20),"-")</f>
        <v>-</v>
      </c>
      <c r="Q34" s="37"/>
      <c r="R34" s="285">
        <f>IF(Preencher!$D$14="Sim",0,Preencher!$K$19)</f>
        <v>0</v>
      </c>
    </row>
    <row r="35" spans="1:18">
      <c r="A35" s="265" t="s">
        <v>12</v>
      </c>
      <c r="B35" s="284"/>
      <c r="C35" s="251" t="str">
        <f t="shared" si="0"/>
        <v>-</v>
      </c>
      <c r="D35" s="259" t="str">
        <f t="shared" si="1"/>
        <v>-</v>
      </c>
      <c r="E35" s="251">
        <f>IFERROR(ROUNDUP(D35/0.95,0.999),0)</f>
        <v>0</v>
      </c>
      <c r="F35" s="252" t="str">
        <f t="shared" ref="F35:F40" si="4">IFERROR((H35/C35/E35),"-")</f>
        <v>-</v>
      </c>
      <c r="G35" s="37"/>
      <c r="H35" s="285"/>
      <c r="I35" s="259" t="str">
        <f t="shared" si="2"/>
        <v>-</v>
      </c>
      <c r="J35" s="251">
        <f>IFERROR(ROUNDUP(I35/0.95,0.999),0)</f>
        <v>0</v>
      </c>
      <c r="K35" s="252" t="str">
        <f t="shared" ref="K35:K40" si="5">IFERROR((M35/C35/J35),"-")</f>
        <v>-</v>
      </c>
      <c r="L35" s="37"/>
      <c r="M35" s="285"/>
      <c r="N35" s="259" t="str">
        <f t="shared" si="3"/>
        <v>-</v>
      </c>
      <c r="O35" s="251">
        <f>IFERROR(ROUNDUP(N35/0.95,0.999),0)</f>
        <v>0</v>
      </c>
      <c r="P35" s="252" t="str">
        <f t="shared" ref="P35:P40" si="6">IFERROR((R35/C35/O35),"-")</f>
        <v>-</v>
      </c>
      <c r="Q35" s="37"/>
      <c r="R35" s="285"/>
    </row>
    <row r="36" spans="1:18">
      <c r="A36" s="265" t="s">
        <v>585</v>
      </c>
      <c r="B36" s="119">
        <f>0.29-0.29</f>
        <v>0</v>
      </c>
      <c r="C36" s="706" t="str">
        <f>IF(B36=0,"-",3600/B36)</f>
        <v>-</v>
      </c>
      <c r="D36" s="259" t="str">
        <f>IFERROR((H36/C36),"-")</f>
        <v>-</v>
      </c>
      <c r="E36" s="706">
        <f>IFERROR(ROUNDUP(D36/0.95,0.999),0)*Preencher!$I$20</f>
        <v>0</v>
      </c>
      <c r="F36" s="705" t="str">
        <f>IFERROR((H36/C36/E36*Preencher!$I$20),"-")</f>
        <v>-</v>
      </c>
      <c r="G36" s="37"/>
      <c r="H36" s="285">
        <f>Preencher!$I$18</f>
        <v>4800</v>
      </c>
      <c r="I36" s="259" t="str">
        <f t="shared" si="2"/>
        <v>-</v>
      </c>
      <c r="J36" s="706">
        <f>IFERROR(ROUNDUP(I36/0.95,0.999),0)*Preencher!$J$20</f>
        <v>0</v>
      </c>
      <c r="K36" s="705" t="str">
        <f>IFERROR((M36/C36/J36*Preencher!$J$20),"-")</f>
        <v>-</v>
      </c>
      <c r="L36" s="37"/>
      <c r="M36" s="285">
        <f>Preencher!$J$18</f>
        <v>0</v>
      </c>
      <c r="N36" s="259" t="str">
        <f t="shared" si="3"/>
        <v>-</v>
      </c>
      <c r="O36" s="706">
        <f>IFERROR(ROUNDUP(N36/0.95,0.999),0)*Preencher!$K$20</f>
        <v>0</v>
      </c>
      <c r="P36" s="705" t="str">
        <f>IFERROR((R36/C36/O36*Preencher!$K$20),"-")</f>
        <v>-</v>
      </c>
      <c r="Q36" s="37"/>
      <c r="R36" s="285">
        <f>Preencher!$K$18</f>
        <v>0</v>
      </c>
    </row>
    <row r="37" spans="1:18">
      <c r="A37" s="265" t="s">
        <v>3115</v>
      </c>
      <c r="B37" s="119">
        <f>0.24-0.24</f>
        <v>0</v>
      </c>
      <c r="C37" s="770" t="str">
        <f>IF(B37=0,"-",3600/B37)</f>
        <v>-</v>
      </c>
      <c r="D37" s="259" t="str">
        <f>IFERROR((H37/C37),"-")</f>
        <v>-</v>
      </c>
      <c r="E37" s="770">
        <f>IFERROR(ROUNDUP(D37/0.95,0.999),0)*Preencher!$I$20</f>
        <v>0</v>
      </c>
      <c r="F37" s="772" t="str">
        <f>IFERROR((H37/C37/E37*Preencher!$I$20),"-")</f>
        <v>-</v>
      </c>
      <c r="G37" s="37"/>
      <c r="H37" s="285">
        <f>Preencher!$I$18</f>
        <v>4800</v>
      </c>
      <c r="I37" s="259" t="str">
        <f t="shared" si="2"/>
        <v>-</v>
      </c>
      <c r="J37" s="770">
        <f>IFERROR(ROUNDUP(I37/0.95,0.999),0)*Preencher!$J$20</f>
        <v>0</v>
      </c>
      <c r="K37" s="772" t="str">
        <f>IFERROR((M37/C37/J37*Preencher!$J$20),"-")</f>
        <v>-</v>
      </c>
      <c r="L37" s="37"/>
      <c r="M37" s="285">
        <f>Preencher!$J$18</f>
        <v>0</v>
      </c>
      <c r="N37" s="259" t="str">
        <f t="shared" si="3"/>
        <v>-</v>
      </c>
      <c r="O37" s="770">
        <f>IFERROR(ROUNDUP(N37/0.95,0.999),0)*Preencher!$K$20</f>
        <v>0</v>
      </c>
      <c r="P37" s="772" t="str">
        <f>IFERROR((R37/C37/O37*Preencher!$K$20),"-")</f>
        <v>-</v>
      </c>
      <c r="Q37" s="37"/>
      <c r="R37" s="285">
        <f>Preencher!$K$18</f>
        <v>0</v>
      </c>
    </row>
    <row r="38" spans="1:18">
      <c r="A38" s="265" t="s">
        <v>0</v>
      </c>
      <c r="B38" s="284"/>
      <c r="C38" s="251" t="str">
        <f t="shared" si="0"/>
        <v>-</v>
      </c>
      <c r="D38" s="259" t="str">
        <f t="shared" si="1"/>
        <v>-</v>
      </c>
      <c r="E38" s="251">
        <f>IFERROR(ROUNDUP(D38/0.95,0.999),0)</f>
        <v>0</v>
      </c>
      <c r="F38" s="252" t="str">
        <f t="shared" si="4"/>
        <v>-</v>
      </c>
      <c r="G38" s="37"/>
      <c r="H38" s="285"/>
      <c r="I38" s="259" t="str">
        <f t="shared" si="2"/>
        <v>-</v>
      </c>
      <c r="J38" s="251">
        <f>IFERROR(ROUNDUP(I38/0.95,0.999),0)</f>
        <v>0</v>
      </c>
      <c r="K38" s="252" t="str">
        <f t="shared" si="5"/>
        <v>-</v>
      </c>
      <c r="L38" s="37"/>
      <c r="M38" s="285"/>
      <c r="N38" s="259" t="str">
        <f t="shared" si="3"/>
        <v>-</v>
      </c>
      <c r="O38" s="251">
        <f>IFERROR(ROUNDUP(N38/0.95,0.999),0)</f>
        <v>0</v>
      </c>
      <c r="P38" s="252" t="str">
        <f t="shared" si="6"/>
        <v>-</v>
      </c>
      <c r="Q38" s="37"/>
      <c r="R38" s="285"/>
    </row>
    <row r="39" spans="1:18">
      <c r="A39" s="266" t="s">
        <v>586</v>
      </c>
      <c r="B39" s="119">
        <f>0.18-0.18</f>
        <v>0</v>
      </c>
      <c r="C39" s="309" t="str">
        <f t="shared" si="0"/>
        <v>-</v>
      </c>
      <c r="D39" s="259" t="str">
        <f t="shared" si="1"/>
        <v>-</v>
      </c>
      <c r="E39" s="309">
        <f>IFERROR(ROUNDUP(D39/0.95,0.999),0)</f>
        <v>0</v>
      </c>
      <c r="F39" s="310" t="str">
        <f t="shared" si="4"/>
        <v>-</v>
      </c>
      <c r="G39" s="37"/>
      <c r="H39" s="285">
        <f>(Preencher!$I$18*Preencher!$I$20)+(Preencher!$I$19*Preencher!$I$21)</f>
        <v>4800</v>
      </c>
      <c r="I39" s="259" t="str">
        <f t="shared" si="2"/>
        <v>-</v>
      </c>
      <c r="J39" s="319">
        <f>IFERROR(ROUNDUP(I39/0.95,0.999),0)</f>
        <v>0</v>
      </c>
      <c r="K39" s="320" t="str">
        <f t="shared" si="5"/>
        <v>-</v>
      </c>
      <c r="L39" s="37"/>
      <c r="M39" s="285">
        <f>(Preencher!$J$18*Preencher!$J$20)+(Preencher!$J$19*Preencher!$J$21)</f>
        <v>0</v>
      </c>
      <c r="N39" s="259" t="str">
        <f t="shared" si="3"/>
        <v>-</v>
      </c>
      <c r="O39" s="319">
        <f>IFERROR(ROUNDUP(N39/0.95,0.999),0)</f>
        <v>0</v>
      </c>
      <c r="P39" s="320" t="str">
        <f t="shared" si="6"/>
        <v>-</v>
      </c>
      <c r="Q39" s="37"/>
      <c r="R39" s="285">
        <f>(Preencher!$K$18*Preencher!$K$20)+(Preencher!$K$19*Preencher!$K$21)</f>
        <v>0</v>
      </c>
    </row>
    <row r="40" spans="1:18">
      <c r="A40" s="265" t="s">
        <v>184</v>
      </c>
      <c r="B40" s="284"/>
      <c r="C40" s="251"/>
      <c r="D40" s="259"/>
      <c r="E40" s="251">
        <f>IFERROR(ROUNDUP(SUM(Avaliação!J15:J26)*'BD Temp'!H40,0.999),0)</f>
        <v>5</v>
      </c>
      <c r="F40" s="252" t="str">
        <f t="shared" si="4"/>
        <v>-</v>
      </c>
      <c r="G40" s="37"/>
      <c r="H40" s="285">
        <f>IF(Preencher!$A$15=Preencher!$R$28,0,IF(Preencher!$A$15=Preencher!$R$29,Preencher!$C$15,Preencher!$D$15))</f>
        <v>0.33</v>
      </c>
      <c r="I40" s="259" t="str">
        <f t="shared" si="2"/>
        <v>-</v>
      </c>
      <c r="J40" s="712">
        <f>IFERROR(ROUNDUP(SUM(Avaliação!N15:N26)*'BD Temp'!M40,0.999),0)</f>
        <v>0</v>
      </c>
      <c r="K40" s="252" t="str">
        <f t="shared" si="5"/>
        <v>-</v>
      </c>
      <c r="L40" s="37"/>
      <c r="M40" s="285">
        <f>IF(Preencher!$A$15=Preencher!$R$28,0,IF(Preencher!$A$15=Preencher!$R$29,Preencher!$C$15,Preencher!$D$15))</f>
        <v>0.33</v>
      </c>
      <c r="N40" s="259" t="str">
        <f t="shared" si="3"/>
        <v>-</v>
      </c>
      <c r="O40" s="712">
        <f>IFERROR(ROUNDUP(SUM(Avaliação!R15:R26)*'BD Temp'!R40,0.999),0)</f>
        <v>0</v>
      </c>
      <c r="P40" s="252" t="str">
        <f t="shared" si="6"/>
        <v>-</v>
      </c>
      <c r="Q40" s="37"/>
      <c r="R40" s="285">
        <f>IF(Preencher!$A$15=Preencher!$R$28,0,IF(Preencher!$A$15=Preencher!$R$29,Preencher!$C$15,Preencher!$D$15))</f>
        <v>0.33</v>
      </c>
    </row>
    <row r="41" spans="1:18">
      <c r="A41" s="268"/>
      <c r="B41" s="288"/>
      <c r="C41" s="13"/>
      <c r="D41" s="13"/>
      <c r="E41" s="13"/>
      <c r="F41" s="13"/>
      <c r="G41" s="13"/>
      <c r="H41" s="113"/>
      <c r="I41" s="13"/>
      <c r="J41" s="13"/>
      <c r="K41" s="13"/>
      <c r="L41" s="13"/>
      <c r="M41" s="113"/>
      <c r="N41" s="13"/>
      <c r="O41" s="13"/>
      <c r="P41" s="13"/>
      <c r="Q41" s="13"/>
      <c r="R41" s="113"/>
    </row>
    <row r="42" spans="1:18">
      <c r="A42" s="269" t="s">
        <v>723</v>
      </c>
      <c r="B42" s="289"/>
      <c r="C42" s="36"/>
      <c r="D42" s="36"/>
      <c r="E42" s="36"/>
      <c r="F42" s="36"/>
      <c r="G42" s="36"/>
      <c r="H42" s="290"/>
      <c r="I42" s="36"/>
      <c r="J42" s="36"/>
      <c r="K42" s="36"/>
      <c r="L42" s="36"/>
      <c r="M42" s="290"/>
      <c r="N42" s="36"/>
      <c r="O42" s="36"/>
      <c r="P42" s="36"/>
      <c r="Q42" s="36"/>
      <c r="R42" s="290"/>
    </row>
    <row r="43" spans="1:18">
      <c r="A43" s="268"/>
      <c r="B43" s="288"/>
      <c r="C43" s="13"/>
      <c r="D43" s="13"/>
      <c r="E43" s="13"/>
      <c r="F43" s="13"/>
      <c r="G43" s="13"/>
      <c r="H43" s="113"/>
      <c r="I43" s="13"/>
      <c r="J43" s="13"/>
      <c r="K43" s="13"/>
      <c r="L43" s="13"/>
      <c r="M43" s="113"/>
      <c r="N43" s="13"/>
      <c r="O43" s="13"/>
      <c r="P43" s="13"/>
      <c r="Q43" s="13"/>
      <c r="R43" s="113"/>
    </row>
    <row r="44" spans="1:18">
      <c r="A44" s="268"/>
      <c r="B44" s="288"/>
      <c r="C44" s="13"/>
      <c r="D44" s="13"/>
      <c r="E44" s="13"/>
      <c r="F44" s="13"/>
      <c r="G44" s="13"/>
      <c r="H44" s="113"/>
      <c r="I44" s="13"/>
      <c r="J44" s="13"/>
      <c r="K44" s="13"/>
      <c r="L44" s="13"/>
      <c r="M44" s="113"/>
      <c r="N44" s="13"/>
      <c r="O44" s="13"/>
      <c r="P44" s="13"/>
      <c r="Q44" s="13"/>
      <c r="R44" s="113"/>
    </row>
    <row r="45" spans="1:18">
      <c r="A45" s="268"/>
      <c r="B45" s="288"/>
      <c r="C45" s="13"/>
      <c r="D45" s="13"/>
      <c r="E45" s="13"/>
      <c r="F45" s="13"/>
      <c r="G45" s="13"/>
      <c r="H45" s="113"/>
      <c r="I45" s="13"/>
      <c r="J45" s="13"/>
      <c r="K45" s="13"/>
      <c r="L45" s="13"/>
      <c r="M45" s="113"/>
      <c r="N45" s="13"/>
      <c r="O45" s="13"/>
      <c r="P45" s="13"/>
      <c r="Q45" s="13"/>
      <c r="R45" s="113"/>
    </row>
    <row r="46" spans="1:18">
      <c r="A46" s="268"/>
      <c r="B46" s="288"/>
      <c r="C46" s="13"/>
      <c r="D46" s="13"/>
      <c r="E46" s="13"/>
      <c r="F46" s="13"/>
      <c r="G46" s="13"/>
      <c r="H46" s="113"/>
      <c r="I46" s="13"/>
      <c r="J46" s="13"/>
      <c r="K46" s="13"/>
      <c r="L46" s="13"/>
      <c r="M46" s="113"/>
      <c r="N46" s="13"/>
      <c r="O46" s="13"/>
      <c r="P46" s="13"/>
      <c r="Q46" s="13"/>
      <c r="R46" s="113"/>
    </row>
    <row r="47" spans="1:18">
      <c r="A47" s="268"/>
      <c r="B47" s="288"/>
      <c r="C47" s="13"/>
      <c r="D47" s="13"/>
      <c r="E47" s="13"/>
      <c r="F47" s="13"/>
      <c r="G47" s="13"/>
      <c r="H47" s="113"/>
      <c r="I47" s="13"/>
      <c r="J47" s="13"/>
      <c r="K47" s="13"/>
      <c r="L47" s="13"/>
      <c r="M47" s="113"/>
      <c r="N47" s="13"/>
      <c r="O47" s="13"/>
      <c r="P47" s="13"/>
      <c r="Q47" s="13"/>
      <c r="R47" s="113"/>
    </row>
    <row r="48" spans="1:18">
      <c r="A48" s="268"/>
      <c r="B48" s="288"/>
      <c r="C48" s="13"/>
      <c r="D48" s="13"/>
      <c r="E48" s="13"/>
      <c r="F48" s="13"/>
      <c r="G48" s="13"/>
      <c r="H48" s="113"/>
      <c r="I48" s="13"/>
      <c r="J48" s="13"/>
      <c r="K48" s="13"/>
      <c r="L48" s="13"/>
      <c r="M48" s="113"/>
      <c r="N48" s="13"/>
      <c r="O48" s="13"/>
      <c r="P48" s="13"/>
      <c r="Q48" s="13"/>
      <c r="R48" s="113"/>
    </row>
    <row r="49" spans="1:18">
      <c r="A49" s="264" t="s">
        <v>235</v>
      </c>
      <c r="B49" s="282"/>
      <c r="C49" s="40"/>
      <c r="D49" s="40"/>
      <c r="E49" s="40"/>
      <c r="F49" s="40"/>
      <c r="G49" s="40"/>
      <c r="H49" s="283"/>
      <c r="I49" s="40"/>
      <c r="J49" s="40"/>
      <c r="K49" s="40"/>
      <c r="L49" s="40"/>
      <c r="M49" s="283"/>
      <c r="N49" s="40"/>
      <c r="O49" s="40"/>
      <c r="P49" s="40"/>
      <c r="Q49" s="40"/>
      <c r="R49" s="283"/>
    </row>
    <row r="50" spans="1:18">
      <c r="A50" s="268" t="s">
        <v>17</v>
      </c>
      <c r="B50" s="288"/>
      <c r="C50" s="13"/>
      <c r="D50" s="13"/>
      <c r="E50" s="13"/>
      <c r="F50" s="13"/>
      <c r="G50" s="13"/>
      <c r="H50" s="113"/>
      <c r="I50" s="13"/>
      <c r="J50" s="13"/>
      <c r="K50" s="13"/>
      <c r="L50" s="13"/>
      <c r="M50" s="113"/>
      <c r="N50" s="13"/>
      <c r="O50" s="13"/>
      <c r="P50" s="13"/>
      <c r="Q50" s="13"/>
      <c r="R50" s="113"/>
    </row>
    <row r="51" spans="1:18">
      <c r="A51" s="268" t="s">
        <v>18</v>
      </c>
      <c r="B51" s="288"/>
      <c r="C51" s="13"/>
      <c r="D51" s="13"/>
      <c r="E51" s="13"/>
      <c r="F51" s="13"/>
      <c r="G51" s="13"/>
      <c r="H51" s="113"/>
      <c r="I51" s="13"/>
      <c r="J51" s="13"/>
      <c r="K51" s="13"/>
      <c r="L51" s="13"/>
      <c r="M51" s="113"/>
      <c r="N51" s="13"/>
      <c r="O51" s="13"/>
      <c r="P51" s="13"/>
      <c r="Q51" s="13"/>
      <c r="R51" s="113"/>
    </row>
    <row r="52" spans="1:18">
      <c r="A52" s="268"/>
      <c r="B52" s="288"/>
      <c r="C52" s="13"/>
      <c r="D52" s="13"/>
      <c r="E52" s="13"/>
      <c r="F52" s="13"/>
      <c r="G52" s="13"/>
      <c r="H52" s="113"/>
      <c r="I52" s="13"/>
      <c r="J52" s="13"/>
      <c r="K52" s="13"/>
      <c r="L52" s="13"/>
      <c r="M52" s="113"/>
      <c r="N52" s="13"/>
      <c r="O52" s="13"/>
      <c r="P52" s="13"/>
      <c r="Q52" s="13"/>
      <c r="R52" s="113"/>
    </row>
    <row r="53" spans="1:18">
      <c r="A53" s="263" t="s">
        <v>721</v>
      </c>
      <c r="B53" s="280"/>
      <c r="C53" s="35"/>
      <c r="D53" s="35"/>
      <c r="E53" s="35"/>
      <c r="F53" s="35"/>
      <c r="G53" s="35"/>
      <c r="H53" s="281"/>
      <c r="I53" s="35"/>
      <c r="J53" s="35"/>
      <c r="K53" s="35"/>
      <c r="L53" s="35"/>
      <c r="M53" s="281"/>
      <c r="N53" s="35"/>
      <c r="O53" s="35"/>
      <c r="P53" s="35"/>
      <c r="Q53" s="35"/>
      <c r="R53" s="281"/>
    </row>
    <row r="54" spans="1:18">
      <c r="A54" s="264" t="s">
        <v>714</v>
      </c>
      <c r="B54" s="282"/>
      <c r="C54" s="40"/>
      <c r="D54" s="40"/>
      <c r="E54" s="40"/>
      <c r="F54" s="40"/>
      <c r="G54" s="40"/>
      <c r="H54" s="283"/>
      <c r="I54" s="40"/>
      <c r="J54" s="40"/>
      <c r="K54" s="40"/>
      <c r="L54" s="40"/>
      <c r="M54" s="283"/>
      <c r="N54" s="40"/>
      <c r="O54" s="40"/>
      <c r="P54" s="40"/>
      <c r="Q54" s="40"/>
      <c r="R54" s="283"/>
    </row>
    <row r="55" spans="1:18">
      <c r="A55" s="265" t="s">
        <v>344</v>
      </c>
      <c r="B55" s="284"/>
      <c r="C55" s="251" t="str">
        <f t="shared" ref="C55:C114" si="7">IF(B55=0,"-",3600/B55)</f>
        <v>-</v>
      </c>
      <c r="D55" s="259" t="str">
        <f>IFERROR((H55/C55),"-")</f>
        <v>-</v>
      </c>
      <c r="E55" s="251">
        <f>IFERROR(ROUNDUP(D55/0.95,0.999),0)</f>
        <v>0</v>
      </c>
      <c r="F55" s="252" t="str">
        <f>IFERROR((H55/C55/E55),"-")</f>
        <v>-</v>
      </c>
      <c r="G55" s="37"/>
      <c r="H55" s="285"/>
      <c r="I55" s="259" t="str">
        <f t="shared" ref="I55:I114" si="8">IFERROR((M55/C55),"-")</f>
        <v>-</v>
      </c>
      <c r="J55" s="251">
        <f>IFERROR(ROUNDUP(I55/0.95,0.999),0)</f>
        <v>0</v>
      </c>
      <c r="K55" s="252" t="str">
        <f>IFERROR((M55/C55/J55),"-")</f>
        <v>-</v>
      </c>
      <c r="L55" s="37"/>
      <c r="M55" s="285"/>
      <c r="N55" s="259" t="str">
        <f t="shared" ref="N55:N114" si="9">IFERROR((R55/C55),"-")</f>
        <v>-</v>
      </c>
      <c r="O55" s="251">
        <f>IFERROR(ROUNDUP(N55/0.95,0.999),0)</f>
        <v>0</v>
      </c>
      <c r="P55" s="252" t="str">
        <f>IFERROR((R55/C55/O55),"-")</f>
        <v>-</v>
      </c>
      <c r="Q55" s="37"/>
      <c r="R55" s="285"/>
    </row>
    <row r="56" spans="1:18">
      <c r="A56" s="265" t="s">
        <v>237</v>
      </c>
      <c r="B56" s="119"/>
      <c r="C56" s="309"/>
      <c r="D56" s="259"/>
      <c r="E56" s="309">
        <f>E57+E58</f>
        <v>1</v>
      </c>
      <c r="F56" s="310">
        <f>IFERROR(MEDIAN(F57:F58),"-")</f>
        <v>0.72000000000000008</v>
      </c>
      <c r="G56" s="37"/>
      <c r="H56" s="285"/>
      <c r="I56" s="259"/>
      <c r="J56" s="309">
        <f>J57+J58</f>
        <v>0</v>
      </c>
      <c r="K56" s="310" t="str">
        <f>IFERROR(MEDIAN(K57:K58),"-")</f>
        <v>-</v>
      </c>
      <c r="L56" s="37"/>
      <c r="M56" s="285"/>
      <c r="N56" s="259"/>
      <c r="O56" s="309">
        <f>O57+O58</f>
        <v>0</v>
      </c>
      <c r="P56" s="310" t="str">
        <f>IFERROR(MEDIAN(P57:P58),"-")</f>
        <v>-</v>
      </c>
      <c r="Q56" s="37"/>
      <c r="R56" s="285"/>
    </row>
    <row r="57" spans="1:18">
      <c r="A57" s="314" t="s">
        <v>1119</v>
      </c>
      <c r="B57" s="119">
        <f>0.54</f>
        <v>0.54</v>
      </c>
      <c r="C57" s="309">
        <f t="shared" si="7"/>
        <v>6666.6666666666661</v>
      </c>
      <c r="D57" s="259">
        <f>IFERROR((H57/C57),"-")</f>
        <v>0.72000000000000008</v>
      </c>
      <c r="E57" s="309">
        <f>IFERROR(ROUNDUP(D57/0.95,0.999),0)*Preencher!$I$20</f>
        <v>1</v>
      </c>
      <c r="F57" s="310">
        <f>IFERROR((H57/C57/E57*Preencher!$I$20),"-")</f>
        <v>0.72000000000000008</v>
      </c>
      <c r="G57" s="37"/>
      <c r="H57" s="285">
        <f>Preencher!$I$18</f>
        <v>4800</v>
      </c>
      <c r="I57" s="259">
        <f t="shared" si="8"/>
        <v>0</v>
      </c>
      <c r="J57" s="309">
        <f>IFERROR(ROUNDUP(I57/0.95,0.999),0)*Preencher!$J$20</f>
        <v>0</v>
      </c>
      <c r="K57" s="310" t="str">
        <f>IFERROR((M57/C57/J57*Preencher!$J$20),"-")</f>
        <v>-</v>
      </c>
      <c r="L57" s="37"/>
      <c r="M57" s="285">
        <f>Preencher!$J$18</f>
        <v>0</v>
      </c>
      <c r="N57" s="259">
        <f t="shared" si="9"/>
        <v>0</v>
      </c>
      <c r="O57" s="309">
        <f>IFERROR(ROUNDUP(N57/0.95,0.999),0)*Preencher!$K$20</f>
        <v>0</v>
      </c>
      <c r="P57" s="310" t="str">
        <f>IFERROR((R57/C57/O57*Preencher!$K$20),"-")</f>
        <v>-</v>
      </c>
      <c r="Q57" s="37"/>
      <c r="R57" s="285">
        <f>Preencher!$K$18</f>
        <v>0</v>
      </c>
    </row>
    <row r="58" spans="1:18">
      <c r="A58" s="314" t="s">
        <v>1120</v>
      </c>
      <c r="B58" s="119">
        <v>0.64</v>
      </c>
      <c r="C58" s="309">
        <f t="shared" si="7"/>
        <v>5625</v>
      </c>
      <c r="D58" s="259">
        <f>IFERROR((H58/C58),"-")</f>
        <v>0</v>
      </c>
      <c r="E58" s="309">
        <f>IFERROR(ROUNDUP(D58/0.95,0.999),0)*Preencher!$I$21</f>
        <v>0</v>
      </c>
      <c r="F58" s="310" t="str">
        <f>IFERROR((H58/C58/E58*Preencher!$I$21),"-")</f>
        <v>-</v>
      </c>
      <c r="G58" s="37"/>
      <c r="H58" s="285">
        <f>Preencher!$I$19</f>
        <v>0</v>
      </c>
      <c r="I58" s="259">
        <f t="shared" si="8"/>
        <v>0</v>
      </c>
      <c r="J58" s="309">
        <f>IFERROR(ROUNDUP(I58/0.95,0.999),0)*Preencher!$J$21</f>
        <v>0</v>
      </c>
      <c r="K58" s="310" t="str">
        <f>IFERROR((M58/C58/J58*Preencher!$J$21),"-")</f>
        <v>-</v>
      </c>
      <c r="L58" s="37"/>
      <c r="M58" s="285">
        <f>Preencher!$J$19</f>
        <v>0</v>
      </c>
      <c r="N58" s="259">
        <f t="shared" si="9"/>
        <v>0</v>
      </c>
      <c r="O58" s="309">
        <f>IFERROR(ROUNDUP(N58/0.95,0.999),0)*Preencher!$K$21</f>
        <v>0</v>
      </c>
      <c r="P58" s="310" t="str">
        <f>IFERROR((R58/C58/O58*Preencher!$K$20),"-")</f>
        <v>-</v>
      </c>
      <c r="Q58" s="37"/>
      <c r="R58" s="285">
        <f>Preencher!$K$19</f>
        <v>0</v>
      </c>
    </row>
    <row r="59" spans="1:18">
      <c r="A59" s="266" t="s">
        <v>19</v>
      </c>
      <c r="B59" s="119">
        <f>IF(Preencher!I20=2,0.35,0.15)</f>
        <v>0.15</v>
      </c>
      <c r="C59" s="309">
        <f t="shared" si="7"/>
        <v>24000</v>
      </c>
      <c r="D59" s="259">
        <f>IFERROR((H59/C59),"-")</f>
        <v>0.2</v>
      </c>
      <c r="E59" s="309">
        <f>IFERROR(ROUNDUP(D59/0.95,0.999),0)</f>
        <v>1</v>
      </c>
      <c r="F59" s="310">
        <f>IFERROR((H59/C59/E59),"-")</f>
        <v>0.2</v>
      </c>
      <c r="G59" s="37"/>
      <c r="H59" s="285">
        <f>(Preencher!$I$18*Preencher!$I$20)+(Preencher!$I$19*Preencher!$I$21)</f>
        <v>4800</v>
      </c>
      <c r="I59" s="259">
        <f t="shared" si="8"/>
        <v>0</v>
      </c>
      <c r="J59" s="319">
        <f>IFERROR(ROUNDUP(I59/0.95,0.999),0)</f>
        <v>0</v>
      </c>
      <c r="K59" s="320" t="str">
        <f>IFERROR((M59/C59/J59),"-")</f>
        <v>-</v>
      </c>
      <c r="L59" s="37"/>
      <c r="M59" s="285">
        <f>(Preencher!$J$18*Preencher!$J$20)+(Preencher!$J$19*Preencher!$J$21)</f>
        <v>0</v>
      </c>
      <c r="N59" s="259">
        <f t="shared" si="9"/>
        <v>0</v>
      </c>
      <c r="O59" s="319">
        <f>IFERROR(ROUNDUP(N59/0.95,0.999),0)</f>
        <v>0</v>
      </c>
      <c r="P59" s="320" t="str">
        <f>IFERROR((R59/C59/O59),"-")</f>
        <v>-</v>
      </c>
      <c r="Q59" s="37"/>
      <c r="R59" s="285">
        <f>(Preencher!$K$18*Preencher!$K$20)+(Preencher!$K$19*Preencher!$K$21)</f>
        <v>0</v>
      </c>
    </row>
    <row r="60" spans="1:18">
      <c r="A60" s="268" t="s">
        <v>588</v>
      </c>
      <c r="B60" s="119">
        <v>0.12</v>
      </c>
      <c r="C60" s="309">
        <f t="shared" si="7"/>
        <v>30000</v>
      </c>
      <c r="D60" s="259">
        <f>IFERROR((H60/C60),"-")</f>
        <v>0.16</v>
      </c>
      <c r="E60" s="309">
        <f>IFERROR(ROUNDUP(D60/0.95,0.999),0)</f>
        <v>1</v>
      </c>
      <c r="F60" s="310">
        <f>IFERROR((H60/C60/E60),"-")</f>
        <v>0.16</v>
      </c>
      <c r="G60" s="37"/>
      <c r="H60" s="285">
        <f>(Preencher!$I$18*Preencher!$I$20)+(Preencher!$I$19*Preencher!$I$21)</f>
        <v>4800</v>
      </c>
      <c r="I60" s="259">
        <f t="shared" si="8"/>
        <v>0</v>
      </c>
      <c r="J60" s="319">
        <f>IFERROR(ROUNDUP(I60/0.95,0.999),0)</f>
        <v>0</v>
      </c>
      <c r="K60" s="320" t="str">
        <f>IFERROR((M60/C60/J60),"-")</f>
        <v>-</v>
      </c>
      <c r="L60" s="37"/>
      <c r="M60" s="285">
        <f>(Preencher!$J$18*Preencher!$J$20)+(Preencher!$J$19*Preencher!$J$21)</f>
        <v>0</v>
      </c>
      <c r="N60" s="259">
        <f t="shared" si="9"/>
        <v>0</v>
      </c>
      <c r="O60" s="319">
        <f>IFERROR(ROUNDUP(N60/0.95,0.999),0)</f>
        <v>0</v>
      </c>
      <c r="P60" s="320" t="str">
        <f>IFERROR((R60/C60/O60),"-")</f>
        <v>-</v>
      </c>
      <c r="Q60" s="37"/>
      <c r="R60" s="285">
        <f>(Preencher!$K$18*Preencher!$K$20)+(Preencher!$K$19*Preencher!$K$21)</f>
        <v>0</v>
      </c>
    </row>
    <row r="61" spans="1:18">
      <c r="A61" s="265" t="s">
        <v>20</v>
      </c>
      <c r="B61" s="119"/>
      <c r="C61" s="309"/>
      <c r="D61" s="259"/>
      <c r="E61" s="309">
        <f>E62+E63</f>
        <v>1</v>
      </c>
      <c r="F61" s="310">
        <f>IFERROR(MEDIAN(F62:F63),"-")</f>
        <v>0.15866666666666665</v>
      </c>
      <c r="G61" s="37"/>
      <c r="H61" s="285"/>
      <c r="I61" s="259"/>
      <c r="J61" s="309">
        <f>J62+J63</f>
        <v>0</v>
      </c>
      <c r="K61" s="310" t="str">
        <f>IFERROR(MEDIAN(K62:K63),"-")</f>
        <v>-</v>
      </c>
      <c r="L61" s="37"/>
      <c r="M61" s="285"/>
      <c r="N61" s="259"/>
      <c r="O61" s="309">
        <f>O62+O63</f>
        <v>0</v>
      </c>
      <c r="P61" s="310" t="str">
        <f>IFERROR(MEDIAN(P62:P63),"-")</f>
        <v>-</v>
      </c>
      <c r="Q61" s="37"/>
      <c r="R61" s="285"/>
    </row>
    <row r="62" spans="1:18">
      <c r="A62" s="314" t="s">
        <v>1121</v>
      </c>
      <c r="B62" s="119">
        <v>0.11899999999999999</v>
      </c>
      <c r="C62" s="309">
        <f>IF(B62=0,"-",3600/B62)</f>
        <v>30252.100840336137</v>
      </c>
      <c r="D62" s="259">
        <f t="shared" ref="D62:D74" si="10">IFERROR((H62/C62),"-")</f>
        <v>0.15866666666666665</v>
      </c>
      <c r="E62" s="309">
        <f>IFERROR(ROUNDUP(D62/0.95,0.999),0)*Preencher!$I$20</f>
        <v>1</v>
      </c>
      <c r="F62" s="310">
        <f>IFERROR((H62/C62/E62*Preencher!$I$20),"-")</f>
        <v>0.15866666666666665</v>
      </c>
      <c r="G62" s="37"/>
      <c r="H62" s="285">
        <f>Preencher!$I$18</f>
        <v>4800</v>
      </c>
      <c r="I62" s="259">
        <f>IFERROR((M62/C62),"-")</f>
        <v>0</v>
      </c>
      <c r="J62" s="309">
        <f>IFERROR(ROUNDUP(I62/0.95,0.999),0)*Preencher!$J$20</f>
        <v>0</v>
      </c>
      <c r="K62" s="310" t="str">
        <f>IFERROR((M62/C62/J62*Preencher!$J$20),"-")</f>
        <v>-</v>
      </c>
      <c r="L62" s="37"/>
      <c r="M62" s="285">
        <f>Preencher!$J$18</f>
        <v>0</v>
      </c>
      <c r="N62" s="259">
        <f>IFERROR((R62/C62),"-")</f>
        <v>0</v>
      </c>
      <c r="O62" s="309">
        <f>IFERROR(ROUNDUP(N62/0.95,0.999),0)*Preencher!$K$20</f>
        <v>0</v>
      </c>
      <c r="P62" s="310" t="str">
        <f>IFERROR((R62/C62/O62*Preencher!$K$20),"-")</f>
        <v>-</v>
      </c>
      <c r="Q62" s="37"/>
      <c r="R62" s="285">
        <f>Preencher!$K$18</f>
        <v>0</v>
      </c>
    </row>
    <row r="63" spans="1:18">
      <c r="A63" s="314" t="s">
        <v>1122</v>
      </c>
      <c r="B63" s="119">
        <v>0.11899999999999999</v>
      </c>
      <c r="C63" s="309">
        <f>IF(B63=0,"-",3600/B63)</f>
        <v>30252.100840336137</v>
      </c>
      <c r="D63" s="259">
        <f t="shared" si="10"/>
        <v>0</v>
      </c>
      <c r="E63" s="309">
        <f>IFERROR(ROUNDUP(D63/0.95,0.999),0)*Preencher!$I$21</f>
        <v>0</v>
      </c>
      <c r="F63" s="310" t="str">
        <f>IFERROR((H63/C63/E63*Preencher!$I$21),"-")</f>
        <v>-</v>
      </c>
      <c r="G63" s="37"/>
      <c r="H63" s="285">
        <f>Preencher!$I$19</f>
        <v>0</v>
      </c>
      <c r="I63" s="259">
        <f>IFERROR((M63/C63),"-")</f>
        <v>0</v>
      </c>
      <c r="J63" s="309">
        <f>IFERROR(ROUNDUP(I63/0.95,0.999),0)*Preencher!$J$21</f>
        <v>0</v>
      </c>
      <c r="K63" s="310" t="str">
        <f>IFERROR((M63/C63/J63*Preencher!$J$21),"-")</f>
        <v>-</v>
      </c>
      <c r="L63" s="37"/>
      <c r="M63" s="285">
        <f>Preencher!$J$19</f>
        <v>0</v>
      </c>
      <c r="N63" s="259">
        <f>IFERROR((R63/C63),"-")</f>
        <v>0</v>
      </c>
      <c r="O63" s="309">
        <f>IFERROR(ROUNDUP(N63/0.95,0.999),0)*Preencher!$K$21</f>
        <v>0</v>
      </c>
      <c r="P63" s="310" t="str">
        <f>IFERROR((R63/C63/O63*Preencher!$K$20),"-")</f>
        <v>-</v>
      </c>
      <c r="Q63" s="37"/>
      <c r="R63" s="285">
        <f>Preencher!$K$19</f>
        <v>0</v>
      </c>
    </row>
    <row r="64" spans="1:18">
      <c r="A64" s="265" t="s">
        <v>21</v>
      </c>
      <c r="B64" s="284"/>
      <c r="C64" s="251" t="str">
        <f t="shared" si="7"/>
        <v>-</v>
      </c>
      <c r="D64" s="259" t="str">
        <f t="shared" si="10"/>
        <v>-</v>
      </c>
      <c r="E64" s="251">
        <f t="shared" ref="E64:E74" si="11">IFERROR(ROUNDUP(D64/0.95,0.999),0)</f>
        <v>0</v>
      </c>
      <c r="F64" s="252" t="str">
        <f t="shared" ref="F64:F74" si="12">IFERROR((H64/C64/E64),"-")</f>
        <v>-</v>
      </c>
      <c r="G64" s="37"/>
      <c r="H64" s="285"/>
      <c r="I64" s="259" t="str">
        <f t="shared" si="8"/>
        <v>-</v>
      </c>
      <c r="J64" s="251">
        <f t="shared" ref="J64:J74" si="13">IFERROR(ROUNDUP(I64/0.95,0.999),0)</f>
        <v>0</v>
      </c>
      <c r="K64" s="252" t="str">
        <f t="shared" ref="K64:K74" si="14">IFERROR((M64/C64/J64),"-")</f>
        <v>-</v>
      </c>
      <c r="L64" s="37"/>
      <c r="M64" s="285"/>
      <c r="N64" s="259" t="str">
        <f t="shared" si="9"/>
        <v>-</v>
      </c>
      <c r="O64" s="251">
        <f t="shared" ref="O64:O74" si="15">IFERROR(ROUNDUP(N64/0.95,0.999),0)</f>
        <v>0</v>
      </c>
      <c r="P64" s="252" t="str">
        <f t="shared" ref="P64:P74" si="16">IFERROR((R64/C64/O64),"-")</f>
        <v>-</v>
      </c>
      <c r="Q64" s="37"/>
      <c r="R64" s="285"/>
    </row>
    <row r="65" spans="1:18">
      <c r="A65" s="265" t="s">
        <v>22</v>
      </c>
      <c r="B65" s="284"/>
      <c r="C65" s="251" t="str">
        <f t="shared" si="7"/>
        <v>-</v>
      </c>
      <c r="D65" s="259" t="str">
        <f t="shared" si="10"/>
        <v>-</v>
      </c>
      <c r="E65" s="251">
        <f t="shared" si="11"/>
        <v>0</v>
      </c>
      <c r="F65" s="252" t="str">
        <f t="shared" si="12"/>
        <v>-</v>
      </c>
      <c r="G65" s="37"/>
      <c r="H65" s="285"/>
      <c r="I65" s="259" t="str">
        <f t="shared" si="8"/>
        <v>-</v>
      </c>
      <c r="J65" s="251">
        <f t="shared" si="13"/>
        <v>0</v>
      </c>
      <c r="K65" s="252" t="str">
        <f t="shared" si="14"/>
        <v>-</v>
      </c>
      <c r="L65" s="37"/>
      <c r="M65" s="285"/>
      <c r="N65" s="259" t="str">
        <f t="shared" si="9"/>
        <v>-</v>
      </c>
      <c r="O65" s="251">
        <f t="shared" si="15"/>
        <v>0</v>
      </c>
      <c r="P65" s="252" t="str">
        <f t="shared" si="16"/>
        <v>-</v>
      </c>
      <c r="Q65" s="37"/>
      <c r="R65" s="285"/>
    </row>
    <row r="66" spans="1:18">
      <c r="A66" s="265" t="s">
        <v>23</v>
      </c>
      <c r="B66" s="284"/>
      <c r="C66" s="251" t="str">
        <f t="shared" si="7"/>
        <v>-</v>
      </c>
      <c r="D66" s="259" t="str">
        <f t="shared" si="10"/>
        <v>-</v>
      </c>
      <c r="E66" s="251">
        <f t="shared" si="11"/>
        <v>0</v>
      </c>
      <c r="F66" s="252" t="str">
        <f t="shared" si="12"/>
        <v>-</v>
      </c>
      <c r="G66" s="37"/>
      <c r="H66" s="285"/>
      <c r="I66" s="259" t="str">
        <f t="shared" si="8"/>
        <v>-</v>
      </c>
      <c r="J66" s="251">
        <f t="shared" si="13"/>
        <v>0</v>
      </c>
      <c r="K66" s="252" t="str">
        <f t="shared" si="14"/>
        <v>-</v>
      </c>
      <c r="L66" s="37"/>
      <c r="M66" s="285"/>
      <c r="N66" s="259" t="str">
        <f t="shared" si="9"/>
        <v>-</v>
      </c>
      <c r="O66" s="251">
        <f t="shared" si="15"/>
        <v>0</v>
      </c>
      <c r="P66" s="252" t="str">
        <f t="shared" si="16"/>
        <v>-</v>
      </c>
      <c r="Q66" s="37"/>
      <c r="R66" s="285"/>
    </row>
    <row r="67" spans="1:18">
      <c r="A67" s="265" t="s">
        <v>24</v>
      </c>
      <c r="B67" s="284"/>
      <c r="C67" s="251" t="str">
        <f t="shared" si="7"/>
        <v>-</v>
      </c>
      <c r="D67" s="259" t="str">
        <f t="shared" si="10"/>
        <v>-</v>
      </c>
      <c r="E67" s="251">
        <f t="shared" si="11"/>
        <v>0</v>
      </c>
      <c r="F67" s="252" t="str">
        <f t="shared" si="12"/>
        <v>-</v>
      </c>
      <c r="G67" s="37"/>
      <c r="H67" s="285"/>
      <c r="I67" s="259" t="str">
        <f t="shared" si="8"/>
        <v>-</v>
      </c>
      <c r="J67" s="251">
        <f t="shared" si="13"/>
        <v>0</v>
      </c>
      <c r="K67" s="252" t="str">
        <f t="shared" si="14"/>
        <v>-</v>
      </c>
      <c r="L67" s="37"/>
      <c r="M67" s="285"/>
      <c r="N67" s="259" t="str">
        <f t="shared" si="9"/>
        <v>-</v>
      </c>
      <c r="O67" s="251">
        <f t="shared" si="15"/>
        <v>0</v>
      </c>
      <c r="P67" s="252" t="str">
        <f t="shared" si="16"/>
        <v>-</v>
      </c>
      <c r="Q67" s="37"/>
      <c r="R67" s="285"/>
    </row>
    <row r="68" spans="1:18">
      <c r="A68" s="265" t="s">
        <v>25</v>
      </c>
      <c r="B68" s="284"/>
      <c r="C68" s="251" t="str">
        <f t="shared" si="7"/>
        <v>-</v>
      </c>
      <c r="D68" s="259" t="str">
        <f t="shared" si="10"/>
        <v>-</v>
      </c>
      <c r="E68" s="251">
        <f t="shared" si="11"/>
        <v>0</v>
      </c>
      <c r="F68" s="252" t="str">
        <f t="shared" si="12"/>
        <v>-</v>
      </c>
      <c r="G68" s="37"/>
      <c r="H68" s="285"/>
      <c r="I68" s="259" t="str">
        <f t="shared" si="8"/>
        <v>-</v>
      </c>
      <c r="J68" s="251">
        <f t="shared" si="13"/>
        <v>0</v>
      </c>
      <c r="K68" s="252" t="str">
        <f t="shared" si="14"/>
        <v>-</v>
      </c>
      <c r="L68" s="37"/>
      <c r="M68" s="285"/>
      <c r="N68" s="259" t="str">
        <f t="shared" si="9"/>
        <v>-</v>
      </c>
      <c r="O68" s="251">
        <f t="shared" si="15"/>
        <v>0</v>
      </c>
      <c r="P68" s="252" t="str">
        <f t="shared" si="16"/>
        <v>-</v>
      </c>
      <c r="Q68" s="37"/>
      <c r="R68" s="285"/>
    </row>
    <row r="69" spans="1:18">
      <c r="A69" s="265" t="s">
        <v>26</v>
      </c>
      <c r="B69" s="284"/>
      <c r="C69" s="251" t="str">
        <f t="shared" si="7"/>
        <v>-</v>
      </c>
      <c r="D69" s="259" t="str">
        <f t="shared" si="10"/>
        <v>-</v>
      </c>
      <c r="E69" s="251">
        <f t="shared" si="11"/>
        <v>0</v>
      </c>
      <c r="F69" s="252" t="str">
        <f t="shared" si="12"/>
        <v>-</v>
      </c>
      <c r="G69" s="37"/>
      <c r="H69" s="285"/>
      <c r="I69" s="259" t="str">
        <f t="shared" si="8"/>
        <v>-</v>
      </c>
      <c r="J69" s="251">
        <f t="shared" si="13"/>
        <v>0</v>
      </c>
      <c r="K69" s="252" t="str">
        <f t="shared" si="14"/>
        <v>-</v>
      </c>
      <c r="L69" s="37"/>
      <c r="M69" s="285"/>
      <c r="N69" s="259" t="str">
        <f t="shared" si="9"/>
        <v>-</v>
      </c>
      <c r="O69" s="251">
        <f t="shared" si="15"/>
        <v>0</v>
      </c>
      <c r="P69" s="252" t="str">
        <f t="shared" si="16"/>
        <v>-</v>
      </c>
      <c r="Q69" s="37"/>
      <c r="R69" s="285"/>
    </row>
    <row r="70" spans="1:18">
      <c r="A70" s="265" t="s">
        <v>29</v>
      </c>
      <c r="B70" s="284"/>
      <c r="C70" s="251" t="str">
        <f t="shared" si="7"/>
        <v>-</v>
      </c>
      <c r="D70" s="259" t="str">
        <f t="shared" si="10"/>
        <v>-</v>
      </c>
      <c r="E70" s="251">
        <f t="shared" si="11"/>
        <v>0</v>
      </c>
      <c r="F70" s="252" t="str">
        <f t="shared" si="12"/>
        <v>-</v>
      </c>
      <c r="G70" s="37"/>
      <c r="H70" s="285"/>
      <c r="I70" s="259" t="str">
        <f t="shared" si="8"/>
        <v>-</v>
      </c>
      <c r="J70" s="251">
        <f t="shared" si="13"/>
        <v>0</v>
      </c>
      <c r="K70" s="252" t="str">
        <f t="shared" si="14"/>
        <v>-</v>
      </c>
      <c r="L70" s="37"/>
      <c r="M70" s="285"/>
      <c r="N70" s="259" t="str">
        <f t="shared" si="9"/>
        <v>-</v>
      </c>
      <c r="O70" s="251">
        <f t="shared" si="15"/>
        <v>0</v>
      </c>
      <c r="P70" s="252" t="str">
        <f t="shared" si="16"/>
        <v>-</v>
      </c>
      <c r="Q70" s="37"/>
      <c r="R70" s="285"/>
    </row>
    <row r="71" spans="1:18">
      <c r="A71" s="265" t="s">
        <v>34</v>
      </c>
      <c r="B71" s="284"/>
      <c r="C71" s="251" t="str">
        <f t="shared" si="7"/>
        <v>-</v>
      </c>
      <c r="D71" s="259" t="str">
        <f t="shared" si="10"/>
        <v>-</v>
      </c>
      <c r="E71" s="251">
        <f t="shared" si="11"/>
        <v>0</v>
      </c>
      <c r="F71" s="252" t="str">
        <f t="shared" si="12"/>
        <v>-</v>
      </c>
      <c r="G71" s="37"/>
      <c r="H71" s="285"/>
      <c r="I71" s="259" t="str">
        <f t="shared" si="8"/>
        <v>-</v>
      </c>
      <c r="J71" s="251">
        <f t="shared" si="13"/>
        <v>0</v>
      </c>
      <c r="K71" s="252" t="str">
        <f t="shared" si="14"/>
        <v>-</v>
      </c>
      <c r="L71" s="37"/>
      <c r="M71" s="285"/>
      <c r="N71" s="259" t="str">
        <f t="shared" si="9"/>
        <v>-</v>
      </c>
      <c r="O71" s="251">
        <f t="shared" si="15"/>
        <v>0</v>
      </c>
      <c r="P71" s="252" t="str">
        <f t="shared" si="16"/>
        <v>-</v>
      </c>
      <c r="Q71" s="37"/>
      <c r="R71" s="285"/>
    </row>
    <row r="72" spans="1:18">
      <c r="A72" s="265" t="s">
        <v>35</v>
      </c>
      <c r="B72" s="284"/>
      <c r="C72" s="251" t="str">
        <f t="shared" si="7"/>
        <v>-</v>
      </c>
      <c r="D72" s="259" t="str">
        <f t="shared" si="10"/>
        <v>-</v>
      </c>
      <c r="E72" s="251">
        <f t="shared" si="11"/>
        <v>0</v>
      </c>
      <c r="F72" s="252" t="str">
        <f t="shared" si="12"/>
        <v>-</v>
      </c>
      <c r="G72" s="37"/>
      <c r="H72" s="285"/>
      <c r="I72" s="259" t="str">
        <f t="shared" si="8"/>
        <v>-</v>
      </c>
      <c r="J72" s="251">
        <f t="shared" si="13"/>
        <v>0</v>
      </c>
      <c r="K72" s="252" t="str">
        <f t="shared" si="14"/>
        <v>-</v>
      </c>
      <c r="L72" s="37"/>
      <c r="M72" s="285"/>
      <c r="N72" s="259" t="str">
        <f t="shared" si="9"/>
        <v>-</v>
      </c>
      <c r="O72" s="251">
        <f t="shared" si="15"/>
        <v>0</v>
      </c>
      <c r="P72" s="252" t="str">
        <f t="shared" si="16"/>
        <v>-</v>
      </c>
      <c r="Q72" s="37"/>
      <c r="R72" s="285"/>
    </row>
    <row r="73" spans="1:18">
      <c r="A73" s="265" t="s">
        <v>37</v>
      </c>
      <c r="B73" s="284"/>
      <c r="C73" s="251" t="str">
        <f t="shared" si="7"/>
        <v>-</v>
      </c>
      <c r="D73" s="259" t="str">
        <f t="shared" si="10"/>
        <v>-</v>
      </c>
      <c r="E73" s="251">
        <f t="shared" si="11"/>
        <v>0</v>
      </c>
      <c r="F73" s="252" t="str">
        <f t="shared" si="12"/>
        <v>-</v>
      </c>
      <c r="G73" s="37"/>
      <c r="H73" s="285"/>
      <c r="I73" s="259" t="str">
        <f t="shared" si="8"/>
        <v>-</v>
      </c>
      <c r="J73" s="251">
        <f t="shared" si="13"/>
        <v>0</v>
      </c>
      <c r="K73" s="252" t="str">
        <f t="shared" si="14"/>
        <v>-</v>
      </c>
      <c r="L73" s="37"/>
      <c r="M73" s="285"/>
      <c r="N73" s="259" t="str">
        <f t="shared" si="9"/>
        <v>-</v>
      </c>
      <c r="O73" s="251">
        <f t="shared" si="15"/>
        <v>0</v>
      </c>
      <c r="P73" s="252" t="str">
        <f t="shared" si="16"/>
        <v>-</v>
      </c>
      <c r="Q73" s="37"/>
      <c r="R73" s="285"/>
    </row>
    <row r="74" spans="1:18">
      <c r="A74" s="265" t="s">
        <v>38</v>
      </c>
      <c r="B74" s="284"/>
      <c r="C74" s="251" t="str">
        <f t="shared" si="7"/>
        <v>-</v>
      </c>
      <c r="D74" s="259" t="str">
        <f t="shared" si="10"/>
        <v>-</v>
      </c>
      <c r="E74" s="251">
        <f t="shared" si="11"/>
        <v>0</v>
      </c>
      <c r="F74" s="252" t="str">
        <f t="shared" si="12"/>
        <v>-</v>
      </c>
      <c r="G74" s="37"/>
      <c r="H74" s="285"/>
      <c r="I74" s="259" t="str">
        <f t="shared" si="8"/>
        <v>-</v>
      </c>
      <c r="J74" s="251">
        <f t="shared" si="13"/>
        <v>0</v>
      </c>
      <c r="K74" s="252" t="str">
        <f t="shared" si="14"/>
        <v>-</v>
      </c>
      <c r="L74" s="37"/>
      <c r="M74" s="285"/>
      <c r="N74" s="259" t="str">
        <f t="shared" si="9"/>
        <v>-</v>
      </c>
      <c r="O74" s="251">
        <f t="shared" si="15"/>
        <v>0</v>
      </c>
      <c r="P74" s="252" t="str">
        <f t="shared" si="16"/>
        <v>-</v>
      </c>
      <c r="Q74" s="37"/>
      <c r="R74" s="285"/>
    </row>
    <row r="75" spans="1:18">
      <c r="A75" s="265" t="s">
        <v>30</v>
      </c>
      <c r="B75" s="119"/>
      <c r="C75" s="309"/>
      <c r="D75" s="259"/>
      <c r="E75" s="309">
        <f>E76+E77</f>
        <v>0</v>
      </c>
      <c r="F75" s="310" t="str">
        <f>IFERROR(MEDIAN(F76:F77),"-")</f>
        <v>-</v>
      </c>
      <c r="G75" s="37"/>
      <c r="H75" s="285"/>
      <c r="I75" s="259"/>
      <c r="J75" s="309">
        <f>J76+J77</f>
        <v>0</v>
      </c>
      <c r="K75" s="310" t="str">
        <f>IFERROR(MEDIAN(K76:K77),"-")</f>
        <v>-</v>
      </c>
      <c r="L75" s="37"/>
      <c r="M75" s="285"/>
      <c r="N75" s="259"/>
      <c r="O75" s="309">
        <f>O76+O77</f>
        <v>0</v>
      </c>
      <c r="P75" s="310" t="str">
        <f>IFERROR(MEDIAN(P76:P77),"-")</f>
        <v>-</v>
      </c>
      <c r="Q75" s="37"/>
      <c r="R75" s="285"/>
    </row>
    <row r="76" spans="1:18">
      <c r="A76" s="314" t="s">
        <v>1127</v>
      </c>
      <c r="B76" s="119">
        <f>IF(Preencher!$B$29="não",0,IF(Preencher!$B$30="manual",5.9,0))</f>
        <v>0</v>
      </c>
      <c r="C76" s="309" t="str">
        <f>IF(B76=0,"-",3600/B76)</f>
        <v>-</v>
      </c>
      <c r="D76" s="259" t="str">
        <f>IFERROR((H76/C76),"-")</f>
        <v>-</v>
      </c>
      <c r="E76" s="309">
        <f>IFERROR(ROUNDUP(D76/0.95,0.999),0)*Preencher!$I$20</f>
        <v>0</v>
      </c>
      <c r="F76" s="310" t="str">
        <f>IFERROR((H76/C76/E76*Preencher!$I$20),"-")</f>
        <v>-</v>
      </c>
      <c r="G76" s="37"/>
      <c r="H76" s="285">
        <f>Preencher!$I$18</f>
        <v>4800</v>
      </c>
      <c r="I76" s="259" t="str">
        <f>IFERROR((M76/C76),"-")</f>
        <v>-</v>
      </c>
      <c r="J76" s="309">
        <f>IFERROR(ROUNDUP(I76/0.95,0.999),0)*Preencher!$J$20</f>
        <v>0</v>
      </c>
      <c r="K76" s="310" t="str">
        <f>IFERROR((M76/C76/J76*Preencher!$J$20),"-")</f>
        <v>-</v>
      </c>
      <c r="L76" s="37"/>
      <c r="M76" s="285">
        <f>Preencher!$J$18</f>
        <v>0</v>
      </c>
      <c r="N76" s="259" t="str">
        <f>IFERROR((R76/C76),"-")</f>
        <v>-</v>
      </c>
      <c r="O76" s="309">
        <f>IFERROR(ROUNDUP(N76/0.95,0.999),0)*Preencher!$K$20</f>
        <v>0</v>
      </c>
      <c r="P76" s="310" t="str">
        <f>IFERROR((R76/C76/O76*Preencher!$K$20),"-")</f>
        <v>-</v>
      </c>
      <c r="Q76" s="37"/>
      <c r="R76" s="285">
        <f>Preencher!$K$18</f>
        <v>0</v>
      </c>
    </row>
    <row r="77" spans="1:18">
      <c r="A77" s="314" t="s">
        <v>1128</v>
      </c>
      <c r="B77" s="119">
        <f>IF(Preencher!$B$29="não",0,IF(Preencher!$B$30="manual",5.9,0))</f>
        <v>0</v>
      </c>
      <c r="C77" s="309" t="str">
        <f>IF(B77=0,"-",3600/B77)</f>
        <v>-</v>
      </c>
      <c r="D77" s="259" t="str">
        <f>IFERROR((H77/C77),"-")</f>
        <v>-</v>
      </c>
      <c r="E77" s="309">
        <f>IFERROR(ROUNDUP(D77/0.95,0.999),0)*Preencher!$I$21</f>
        <v>0</v>
      </c>
      <c r="F77" s="310" t="str">
        <f>IFERROR((H77/C77/E77*Preencher!$I$21),"-")</f>
        <v>-</v>
      </c>
      <c r="G77" s="37"/>
      <c r="H77" s="285">
        <f>Preencher!$I$19</f>
        <v>0</v>
      </c>
      <c r="I77" s="259" t="str">
        <f>IFERROR((M77/C77),"-")</f>
        <v>-</v>
      </c>
      <c r="J77" s="309">
        <f>IFERROR(ROUNDUP(I77/0.95,0.999),0)*Preencher!$J$21</f>
        <v>0</v>
      </c>
      <c r="K77" s="310" t="str">
        <f>IFERROR((M77/C77/J77*Preencher!$J$21),"-")</f>
        <v>-</v>
      </c>
      <c r="L77" s="37"/>
      <c r="M77" s="285">
        <f>Preencher!$J$19</f>
        <v>0</v>
      </c>
      <c r="N77" s="259" t="str">
        <f>IFERROR((R77/C77),"-")</f>
        <v>-</v>
      </c>
      <c r="O77" s="309">
        <f>IFERROR(ROUNDUP(N77/0.95,0.999),0)*Preencher!$K$21</f>
        <v>0</v>
      </c>
      <c r="P77" s="310" t="str">
        <f>IFERROR((R77/C77/O77*Preencher!$K$20),"-")</f>
        <v>-</v>
      </c>
      <c r="Q77" s="37"/>
      <c r="R77" s="285">
        <f>Preencher!$K$19</f>
        <v>0</v>
      </c>
    </row>
    <row r="78" spans="1:18">
      <c r="A78" s="265" t="s">
        <v>186</v>
      </c>
      <c r="B78" s="284"/>
      <c r="C78" s="251" t="str">
        <f t="shared" si="7"/>
        <v>-</v>
      </c>
      <c r="D78" s="259" t="str">
        <f>IFERROR((H78/C78),"-")</f>
        <v>-</v>
      </c>
      <c r="E78" s="251">
        <f>IFERROR(ROUNDUP(D78/0.95,0.999),0)</f>
        <v>0</v>
      </c>
      <c r="F78" s="252" t="str">
        <f>IFERROR((H78/C78/E78),"-")</f>
        <v>-</v>
      </c>
      <c r="G78" s="37"/>
      <c r="H78" s="285"/>
      <c r="I78" s="259" t="str">
        <f t="shared" si="8"/>
        <v>-</v>
      </c>
      <c r="J78" s="251">
        <f>IFERROR(ROUNDUP(I78/0.95,0.999),0)</f>
        <v>0</v>
      </c>
      <c r="K78" s="252" t="str">
        <f>IFERROR((M78/C78/J78),"-")</f>
        <v>-</v>
      </c>
      <c r="L78" s="37"/>
      <c r="M78" s="285"/>
      <c r="N78" s="259" t="str">
        <f t="shared" si="9"/>
        <v>-</v>
      </c>
      <c r="O78" s="251">
        <f>IFERROR(ROUNDUP(N78/0.95,0.999),0)</f>
        <v>0</v>
      </c>
      <c r="P78" s="252" t="str">
        <f>IFERROR((R78/C78/O78),"-")</f>
        <v>-</v>
      </c>
      <c r="Q78" s="37"/>
      <c r="R78" s="285"/>
    </row>
    <row r="79" spans="1:18">
      <c r="A79" s="265" t="s">
        <v>185</v>
      </c>
      <c r="B79" s="119">
        <f>IF(Preencher!I30="Não",IF(Preencher!$B$29="não",0,IF(Preencher!$B$30="pancover",2.85,0)),IF(Preencher!$B$29="não",0,IF(Preencher!$B$30="pancover",2.85,0)))</f>
        <v>2.85</v>
      </c>
      <c r="C79" s="309">
        <f t="shared" si="7"/>
        <v>1263.1578947368421</v>
      </c>
      <c r="D79" s="259">
        <f>IFERROR((H79/C79),"-")</f>
        <v>3.8000000000000003</v>
      </c>
      <c r="E79" s="309">
        <f>IFERROR(ROUNDUP(D79/0.95,0.999),0)*Preencher!$I$20</f>
        <v>4</v>
      </c>
      <c r="F79" s="310">
        <f>IFERROR((H79/C79/E79*Preencher!$I$20),"-")</f>
        <v>0.95000000000000007</v>
      </c>
      <c r="G79" s="37"/>
      <c r="H79" s="285">
        <f>Preencher!$I$18</f>
        <v>4800</v>
      </c>
      <c r="I79" s="259">
        <f t="shared" si="8"/>
        <v>0</v>
      </c>
      <c r="J79" s="309">
        <f>IFERROR(ROUNDUP(I79/0.95,0.999),0)*Preencher!$J$20</f>
        <v>0</v>
      </c>
      <c r="K79" s="310" t="str">
        <f>IFERROR((M79/C79/J79*Preencher!$J$20),"-")</f>
        <v>-</v>
      </c>
      <c r="L79" s="37"/>
      <c r="M79" s="285">
        <f>Preencher!$J$18</f>
        <v>0</v>
      </c>
      <c r="N79" s="259">
        <f t="shared" si="9"/>
        <v>0</v>
      </c>
      <c r="O79" s="309">
        <f>IFERROR(ROUNDUP(N79/0.95,0.999),0)*Preencher!$K$20</f>
        <v>0</v>
      </c>
      <c r="P79" s="310" t="str">
        <f>IFERROR((R79/C79/O79*Preencher!$K$20),"-")</f>
        <v>-</v>
      </c>
      <c r="Q79" s="37"/>
      <c r="R79" s="285">
        <f>Preencher!$K$18</f>
        <v>0</v>
      </c>
    </row>
    <row r="80" spans="1:18">
      <c r="A80" s="265" t="s">
        <v>31</v>
      </c>
      <c r="B80" s="119"/>
      <c r="C80" s="309"/>
      <c r="D80" s="259"/>
      <c r="E80" s="309">
        <f>E81+E82</f>
        <v>0</v>
      </c>
      <c r="F80" s="310" t="str">
        <f>IFERROR(MEDIAN(F81:F82),"-")</f>
        <v>-</v>
      </c>
      <c r="G80" s="37"/>
      <c r="H80" s="285"/>
      <c r="I80" s="259"/>
      <c r="J80" s="309">
        <f>J81+J82</f>
        <v>0</v>
      </c>
      <c r="K80" s="310" t="str">
        <f>IFERROR(MEDIAN(K81:K82),"-")</f>
        <v>-</v>
      </c>
      <c r="L80" s="37"/>
      <c r="M80" s="285"/>
      <c r="N80" s="259"/>
      <c r="O80" s="309">
        <f>O81+O82</f>
        <v>0</v>
      </c>
      <c r="P80" s="310" t="str">
        <f>IFERROR(MEDIAN(P81:P82),"-")</f>
        <v>-</v>
      </c>
      <c r="Q80" s="37"/>
      <c r="R80" s="285"/>
    </row>
    <row r="81" spans="1:18">
      <c r="A81" s="314" t="s">
        <v>1123</v>
      </c>
      <c r="B81" s="119">
        <f>IF(RESUMO!$C$9=0,0,IF(Preencher!$B$29="não",0,IF(Preencher!$B$30="stork",2.42,0)))</f>
        <v>0</v>
      </c>
      <c r="C81" s="309" t="str">
        <f t="shared" si="7"/>
        <v>-</v>
      </c>
      <c r="D81" s="259" t="str">
        <f>IFERROR((H81/C81),"-")</f>
        <v>-</v>
      </c>
      <c r="E81" s="309">
        <f>IFERROR(ROUNDUP(D81/0.95,0.999),0)*Preencher!$I$20</f>
        <v>0</v>
      </c>
      <c r="F81" s="310" t="str">
        <f>IFERROR((H81/C81/E81*Preencher!$I$20),"-")</f>
        <v>-</v>
      </c>
      <c r="G81" s="37"/>
      <c r="H81" s="285">
        <f>Preencher!$I$18</f>
        <v>4800</v>
      </c>
      <c r="I81" s="259" t="str">
        <f t="shared" si="8"/>
        <v>-</v>
      </c>
      <c r="J81" s="309">
        <f>IFERROR(ROUNDUP(I81/0.95,0.999),0)*Preencher!$J$20</f>
        <v>0</v>
      </c>
      <c r="K81" s="310" t="str">
        <f>IFERROR((M81/C81/J81*Preencher!$J$20),"-")</f>
        <v>-</v>
      </c>
      <c r="L81" s="37"/>
      <c r="M81" s="285">
        <f>Preencher!$J$18</f>
        <v>0</v>
      </c>
      <c r="N81" s="259" t="str">
        <f t="shared" si="9"/>
        <v>-</v>
      </c>
      <c r="O81" s="309">
        <f>IFERROR(ROUNDUP(N81/0.95,0.999),0)*Preencher!$K$20</f>
        <v>0</v>
      </c>
      <c r="P81" s="310" t="str">
        <f>IFERROR((R81/C81/O81*Preencher!$K$20),"-")</f>
        <v>-</v>
      </c>
      <c r="Q81" s="37"/>
      <c r="R81" s="285">
        <f>Preencher!$K$18</f>
        <v>0</v>
      </c>
    </row>
    <row r="82" spans="1:18">
      <c r="A82" s="314" t="s">
        <v>1124</v>
      </c>
      <c r="B82" s="119">
        <f>IF(RESUMO!$C$9=0,0,IF(Preencher!$B$29="não",0,IF(Preencher!$B$30="stork",2.21,0)))</f>
        <v>0</v>
      </c>
      <c r="C82" s="309" t="str">
        <f t="shared" si="7"/>
        <v>-</v>
      </c>
      <c r="D82" s="259" t="str">
        <f>IFERROR((H82/C82),"-")</f>
        <v>-</v>
      </c>
      <c r="E82" s="309">
        <f>IFERROR(ROUNDUP(D82/0.95,0.999),0)*Preencher!$I$21</f>
        <v>0</v>
      </c>
      <c r="F82" s="310" t="str">
        <f>IFERROR((H82/C82/E82*Preencher!$I$21),"-")</f>
        <v>-</v>
      </c>
      <c r="G82" s="37"/>
      <c r="H82" s="285">
        <f>Preencher!$I$19</f>
        <v>0</v>
      </c>
      <c r="I82" s="259" t="str">
        <f t="shared" si="8"/>
        <v>-</v>
      </c>
      <c r="J82" s="309">
        <f>IFERROR(ROUNDUP(I82/0.95,0.999),0)*Preencher!$J$21</f>
        <v>0</v>
      </c>
      <c r="K82" s="310" t="str">
        <f>IFERROR((M82/C82/J82*Preencher!$J$21),"-")</f>
        <v>-</v>
      </c>
      <c r="L82" s="37"/>
      <c r="M82" s="285">
        <f>Preencher!$J$19</f>
        <v>0</v>
      </c>
      <c r="N82" s="259" t="str">
        <f t="shared" si="9"/>
        <v>-</v>
      </c>
      <c r="O82" s="309">
        <f>IFERROR(ROUNDUP(N82/0.95,0.999),0)*Preencher!$K$21</f>
        <v>0</v>
      </c>
      <c r="P82" s="310" t="str">
        <f>IFERROR((R82/C82/O82*Preencher!$K$20),"-")</f>
        <v>-</v>
      </c>
      <c r="Q82" s="37"/>
      <c r="R82" s="285">
        <f>Preencher!$K$19</f>
        <v>0</v>
      </c>
    </row>
    <row r="83" spans="1:18">
      <c r="A83" s="265" t="s">
        <v>32</v>
      </c>
      <c r="B83" s="119"/>
      <c r="C83" s="309"/>
      <c r="D83" s="259"/>
      <c r="E83" s="309">
        <f>E84+E85</f>
        <v>0</v>
      </c>
      <c r="F83" s="310" t="str">
        <f>IFERROR(MEDIAN(F84:F85),"-")</f>
        <v>-</v>
      </c>
      <c r="G83" s="37"/>
      <c r="H83" s="285"/>
      <c r="I83" s="259"/>
      <c r="J83" s="309">
        <f>J84+J85</f>
        <v>0</v>
      </c>
      <c r="K83" s="310" t="str">
        <f>IFERROR(MEDIAN(K84:K85),"-")</f>
        <v>-</v>
      </c>
      <c r="L83" s="37"/>
      <c r="M83" s="285"/>
      <c r="N83" s="259"/>
      <c r="O83" s="309">
        <f>O84+O85</f>
        <v>0</v>
      </c>
      <c r="P83" s="310" t="str">
        <f>IFERROR(MEDIAN(P84:P85),"-")</f>
        <v>-</v>
      </c>
      <c r="Q83" s="37"/>
      <c r="R83" s="285"/>
    </row>
    <row r="84" spans="1:18">
      <c r="A84" s="314" t="s">
        <v>1125</v>
      </c>
      <c r="B84" s="119">
        <f>IF(RESUMO!$C$21=0,0,IF(Preencher!$B$29="não",0,IF(Preencher!$B$30="stork",0.96,0)))</f>
        <v>0</v>
      </c>
      <c r="C84" s="309" t="str">
        <f t="shared" si="7"/>
        <v>-</v>
      </c>
      <c r="D84" s="259" t="str">
        <f t="shared" ref="D84:D89" si="17">IFERROR((H84/C84),"-")</f>
        <v>-</v>
      </c>
      <c r="E84" s="309">
        <f>IFERROR(ROUNDUP(D84/0.95,0.999),0)*Preencher!$I$20</f>
        <v>0</v>
      </c>
      <c r="F84" s="310" t="str">
        <f>IFERROR((H84/C84/E84*Preencher!$I$20),"-")</f>
        <v>-</v>
      </c>
      <c r="G84" s="37"/>
      <c r="H84" s="285">
        <f>Preencher!$I$18</f>
        <v>4800</v>
      </c>
      <c r="I84" s="259" t="str">
        <f t="shared" si="8"/>
        <v>-</v>
      </c>
      <c r="J84" s="309">
        <f>IFERROR(ROUNDUP(I84/0.95,0.999),0)*Preencher!$J$20</f>
        <v>0</v>
      </c>
      <c r="K84" s="310" t="str">
        <f>IFERROR((M84/C84/J84*Preencher!$J$20),"-")</f>
        <v>-</v>
      </c>
      <c r="L84" s="37"/>
      <c r="M84" s="285">
        <f>Preencher!$J$18</f>
        <v>0</v>
      </c>
      <c r="N84" s="259" t="str">
        <f t="shared" si="9"/>
        <v>-</v>
      </c>
      <c r="O84" s="309">
        <f>IFERROR(ROUNDUP(N84/0.95,0.999),0)*Preencher!$K$20</f>
        <v>0</v>
      </c>
      <c r="P84" s="310" t="str">
        <f>IFERROR((R84/C84/O84*Preencher!$K$20),"-")</f>
        <v>-</v>
      </c>
      <c r="Q84" s="37"/>
      <c r="R84" s="285">
        <f>Preencher!$K$18</f>
        <v>0</v>
      </c>
    </row>
    <row r="85" spans="1:18">
      <c r="A85" s="314" t="s">
        <v>1126</v>
      </c>
      <c r="B85" s="119">
        <f>IF(RESUMO!$C$21=0,0,IF(Preencher!$B$29="não",0,IF(Preencher!$B$30="stork",0.96,0)))</f>
        <v>0</v>
      </c>
      <c r="C85" s="309" t="str">
        <f t="shared" si="7"/>
        <v>-</v>
      </c>
      <c r="D85" s="259" t="str">
        <f t="shared" si="17"/>
        <v>-</v>
      </c>
      <c r="E85" s="309">
        <f>IFERROR(ROUNDUP(D85/0.95,0.999),0)*Preencher!$I$21</f>
        <v>0</v>
      </c>
      <c r="F85" s="310" t="str">
        <f>IFERROR((H85/C85/E85*Preencher!$I$21),"-")</f>
        <v>-</v>
      </c>
      <c r="G85" s="37"/>
      <c r="H85" s="285">
        <f>Preencher!$I$19</f>
        <v>0</v>
      </c>
      <c r="I85" s="259" t="str">
        <f t="shared" si="8"/>
        <v>-</v>
      </c>
      <c r="J85" s="309">
        <f>IFERROR(ROUNDUP(I85/0.95,0.999),0)*Preencher!$J$21</f>
        <v>0</v>
      </c>
      <c r="K85" s="310" t="str">
        <f>IFERROR((M85/C85/J85*Preencher!$J$21),"-")</f>
        <v>-</v>
      </c>
      <c r="L85" s="37"/>
      <c r="M85" s="285">
        <f>Preencher!$J$19</f>
        <v>0</v>
      </c>
      <c r="N85" s="259" t="str">
        <f t="shared" si="9"/>
        <v>-</v>
      </c>
      <c r="O85" s="309">
        <f>IFERROR(ROUNDUP(N85/0.95,0.999),0)*Preencher!$K$21</f>
        <v>0</v>
      </c>
      <c r="P85" s="310" t="str">
        <f>IFERROR((R85/C85/O85*Preencher!$K$20),"-")</f>
        <v>-</v>
      </c>
      <c r="Q85" s="37"/>
      <c r="R85" s="285">
        <f>Preencher!$K$19</f>
        <v>0</v>
      </c>
    </row>
    <row r="86" spans="1:18">
      <c r="A86" s="265" t="s">
        <v>33</v>
      </c>
      <c r="B86" s="284"/>
      <c r="C86" s="251" t="str">
        <f t="shared" si="7"/>
        <v>-</v>
      </c>
      <c r="D86" s="259" t="str">
        <f t="shared" si="17"/>
        <v>-</v>
      </c>
      <c r="E86" s="251">
        <f>IFERROR(ROUNDUP(D86/0.95,0.999),0)</f>
        <v>0</v>
      </c>
      <c r="F86" s="252" t="str">
        <f>IFERROR((H86/C86/E86),"-")</f>
        <v>-</v>
      </c>
      <c r="G86" s="37"/>
      <c r="H86" s="285"/>
      <c r="I86" s="259" t="str">
        <f t="shared" si="8"/>
        <v>-</v>
      </c>
      <c r="J86" s="251">
        <f>IFERROR(ROUNDUP(I86/0.95,0.999),0)</f>
        <v>0</v>
      </c>
      <c r="K86" s="252" t="str">
        <f>IFERROR((M86/C86/J86),"-")</f>
        <v>-</v>
      </c>
      <c r="L86" s="37"/>
      <c r="M86" s="285"/>
      <c r="N86" s="259" t="str">
        <f t="shared" si="9"/>
        <v>-</v>
      </c>
      <c r="O86" s="251">
        <f>IFERROR(ROUNDUP(N86/0.95,0.999),0)</f>
        <v>0</v>
      </c>
      <c r="P86" s="252" t="str">
        <f>IFERROR((R86/C86/O86),"-")</f>
        <v>-</v>
      </c>
      <c r="Q86" s="37"/>
      <c r="R86" s="285"/>
    </row>
    <row r="87" spans="1:18">
      <c r="A87" s="265" t="s">
        <v>36</v>
      </c>
      <c r="B87" s="284">
        <f>IF(Preencher!$B$100=Preencher!$R$92,10,0)</f>
        <v>10</v>
      </c>
      <c r="C87" s="251">
        <f>IF(B87=0,"-",3600/B87)</f>
        <v>360</v>
      </c>
      <c r="D87" s="259">
        <f t="shared" si="17"/>
        <v>0</v>
      </c>
      <c r="E87" s="251">
        <f>IFERROR(ROUNDUP(D87/0.95,0.999),0)</f>
        <v>0</v>
      </c>
      <c r="F87" s="252" t="str">
        <f>IFERROR((H87/C87/E87),"-")</f>
        <v>-</v>
      </c>
      <c r="G87" s="37"/>
      <c r="H87" s="285">
        <f>IF(RESUMO!$D$243&lt;180,RESUMO!$D$243,RESUMO!$D$243/Preencher!$I$12)</f>
        <v>0</v>
      </c>
      <c r="I87" s="259">
        <f t="shared" si="8"/>
        <v>0</v>
      </c>
      <c r="J87" s="251">
        <f>IFERROR(ROUNDUP(I87/0.95,0.999),0)</f>
        <v>0</v>
      </c>
      <c r="K87" s="252" t="str">
        <f>IFERROR((M87/C87/J87),"-")</f>
        <v>-</v>
      </c>
      <c r="L87" s="37"/>
      <c r="M87" s="285">
        <f>IF(RESUMO!$D$243&lt;180,0,RESUMO!$D$243/Preencher!$J$12)</f>
        <v>0</v>
      </c>
      <c r="N87" s="259">
        <f>IFERROR((R87/C87),"-")</f>
        <v>0</v>
      </c>
      <c r="O87" s="251">
        <f>IFERROR(ROUNDUP(N87/0.95,0.999),0)</f>
        <v>0</v>
      </c>
      <c r="P87" s="252" t="str">
        <f>IFERROR((R87/C87/O87),"-")</f>
        <v>-</v>
      </c>
      <c r="Q87" s="37"/>
      <c r="R87" s="285">
        <f>IFERROR(IF(RESUMO!$D$243&lt;540,0,RESUMO!$D$243/Preencher!$K$12),0)</f>
        <v>0</v>
      </c>
    </row>
    <row r="88" spans="1:18">
      <c r="A88" s="265" t="s">
        <v>187</v>
      </c>
      <c r="B88" s="284">
        <v>0.21</v>
      </c>
      <c r="C88" s="251">
        <f t="shared" si="7"/>
        <v>17142.857142857145</v>
      </c>
      <c r="D88" s="259">
        <f>IFERROR((H88/C88),"-")</f>
        <v>0.27999999999999997</v>
      </c>
      <c r="E88" s="251">
        <f>IFERROR(ROUNDUP(D88/0.95,0.999)*Preencher!I20,0)</f>
        <v>1</v>
      </c>
      <c r="F88" s="252">
        <f>IFERROR((H88/C88/E88)*Preencher!I20,"-")</f>
        <v>0.27999999999999997</v>
      </c>
      <c r="G88" s="37"/>
      <c r="H88" s="285">
        <f>Preencher!$I$18</f>
        <v>4800</v>
      </c>
      <c r="I88" s="259">
        <f t="shared" si="8"/>
        <v>0</v>
      </c>
      <c r="J88" s="251">
        <f>IFERROR(ROUNDUP(I88/0.95,0.999)*Preencher!J20,0)</f>
        <v>0</v>
      </c>
      <c r="K88" s="252" t="str">
        <f>IFERROR((M88/C88/J88)*Preencher!J20,"-")</f>
        <v>-</v>
      </c>
      <c r="L88" s="37"/>
      <c r="M88" s="285">
        <f>Preencher!$J$18</f>
        <v>0</v>
      </c>
      <c r="N88" s="259">
        <f t="shared" si="9"/>
        <v>0</v>
      </c>
      <c r="O88" s="251">
        <f>IFERROR(ROUNDUP(N88/0.95,0.999)*Preencher!K20,0)</f>
        <v>0</v>
      </c>
      <c r="P88" s="252" t="str">
        <f>IFERROR((R88/C88/O88)*Preencher!K20,"-")</f>
        <v>-</v>
      </c>
      <c r="Q88" s="37"/>
      <c r="R88" s="285">
        <f>Preencher!$K$18</f>
        <v>0</v>
      </c>
    </row>
    <row r="89" spans="1:18">
      <c r="A89" s="265" t="s">
        <v>188</v>
      </c>
      <c r="B89" s="284">
        <v>0</v>
      </c>
      <c r="C89" s="251" t="str">
        <f t="shared" si="7"/>
        <v>-</v>
      </c>
      <c r="D89" s="259" t="str">
        <f t="shared" si="17"/>
        <v>-</v>
      </c>
      <c r="E89" s="251">
        <f>IFERROR(ROUNDUP(D89/0.95,0.999),0)</f>
        <v>0</v>
      </c>
      <c r="F89" s="252" t="str">
        <f>IFERROR((H89/C89/E89),"-")</f>
        <v>-</v>
      </c>
      <c r="G89" s="37"/>
      <c r="H89" s="285">
        <f>Preencher!$I$18</f>
        <v>4800</v>
      </c>
      <c r="I89" s="259" t="str">
        <f t="shared" si="8"/>
        <v>-</v>
      </c>
      <c r="J89" s="251">
        <f>IFERROR(ROUNDUP(I89/0.95,0.999),0)</f>
        <v>0</v>
      </c>
      <c r="K89" s="252" t="str">
        <f>IFERROR((M89/C89/J89),"-")</f>
        <v>-</v>
      </c>
      <c r="L89" s="37"/>
      <c r="M89" s="285">
        <f>Preencher!$J$18</f>
        <v>0</v>
      </c>
      <c r="N89" s="259" t="str">
        <f t="shared" si="9"/>
        <v>-</v>
      </c>
      <c r="O89" s="251">
        <f>IFERROR(ROUNDUP(N89/0.95,0.999),0)</f>
        <v>0</v>
      </c>
      <c r="P89" s="252" t="str">
        <f>IFERROR((R89/C89/O89),"-")</f>
        <v>-</v>
      </c>
      <c r="Q89" s="37"/>
      <c r="R89" s="285">
        <f>Preencher!$K$18</f>
        <v>0</v>
      </c>
    </row>
    <row r="90" spans="1:18">
      <c r="A90" s="265" t="s">
        <v>189</v>
      </c>
      <c r="B90" s="284"/>
      <c r="C90" s="251"/>
      <c r="D90" s="259"/>
      <c r="E90" s="119">
        <f>Preencher!B31</f>
        <v>5</v>
      </c>
      <c r="F90" s="252" t="str">
        <f>IFERROR((H90/C90/E90),"-")</f>
        <v>-</v>
      </c>
      <c r="G90" s="37"/>
      <c r="H90" s="285"/>
      <c r="I90" s="259"/>
      <c r="J90" s="655">
        <f>Preencher!C31</f>
        <v>0</v>
      </c>
      <c r="K90" s="320" t="str">
        <f>IFERROR((M90/H90/J90),"-")</f>
        <v>-</v>
      </c>
      <c r="L90" s="37"/>
      <c r="M90" s="285"/>
      <c r="N90" s="259"/>
      <c r="O90" s="655">
        <f>Preencher!D31</f>
        <v>0</v>
      </c>
      <c r="P90" s="252" t="str">
        <f>IFERROR((R90/C90/O90),"-")</f>
        <v>-</v>
      </c>
      <c r="Q90" s="37"/>
      <c r="R90" s="285"/>
    </row>
    <row r="91" spans="1:18">
      <c r="A91" s="265" t="s">
        <v>587</v>
      </c>
      <c r="B91" s="284"/>
      <c r="C91" s="251"/>
      <c r="D91" s="259"/>
      <c r="E91" s="119"/>
      <c r="F91" s="252"/>
      <c r="G91" s="37"/>
      <c r="H91" s="285"/>
      <c r="I91" s="259"/>
      <c r="J91" s="655"/>
      <c r="K91" s="320"/>
      <c r="L91" s="37"/>
      <c r="M91" s="285"/>
      <c r="N91" s="259"/>
      <c r="O91" s="655"/>
      <c r="P91" s="252"/>
      <c r="Q91" s="37"/>
      <c r="R91" s="285"/>
    </row>
    <row r="92" spans="1:18">
      <c r="A92" s="265" t="s">
        <v>27</v>
      </c>
      <c r="B92" s="119"/>
      <c r="C92" s="319"/>
      <c r="D92" s="259"/>
      <c r="E92" s="319">
        <f>E93+E94</f>
        <v>1</v>
      </c>
      <c r="F92" s="320">
        <f>IFERROR(MEDIAN(F93:F94),"-")</f>
        <v>0.29333333333333333</v>
      </c>
      <c r="G92" s="37"/>
      <c r="H92" s="285"/>
      <c r="I92" s="259"/>
      <c r="J92" s="319">
        <f>J93+J94</f>
        <v>0</v>
      </c>
      <c r="K92" s="320" t="str">
        <f>IFERROR(MEDIAN(K93:K94),"-")</f>
        <v>-</v>
      </c>
      <c r="L92" s="37"/>
      <c r="M92" s="285"/>
      <c r="N92" s="259"/>
      <c r="O92" s="319">
        <f>O93+O94</f>
        <v>0</v>
      </c>
      <c r="P92" s="320" t="str">
        <f>IFERROR(MEDIAN(P93:P94),"-")</f>
        <v>-</v>
      </c>
      <c r="Q92" s="37"/>
      <c r="R92" s="285"/>
    </row>
    <row r="93" spans="1:18">
      <c r="A93" s="314" t="s">
        <v>1132</v>
      </c>
      <c r="B93" s="119">
        <v>0.22</v>
      </c>
      <c r="C93" s="319">
        <f>IF(B93=0,"-",3600/B93)</f>
        <v>16363.636363636364</v>
      </c>
      <c r="D93" s="259">
        <f>IFERROR((H93/C93),"-")</f>
        <v>0.29333333333333333</v>
      </c>
      <c r="E93" s="319">
        <f>IFERROR(ROUNDUP(D93/0.95,0.999),0)*Preencher!$I$20</f>
        <v>1</v>
      </c>
      <c r="F93" s="320">
        <f>IFERROR((H93/C93/E93*Preencher!$I$20),"-")</f>
        <v>0.29333333333333333</v>
      </c>
      <c r="G93" s="37"/>
      <c r="H93" s="285">
        <f>Preencher!$I$18</f>
        <v>4800</v>
      </c>
      <c r="I93" s="259">
        <f>IFERROR((M93/C93),"-")</f>
        <v>0</v>
      </c>
      <c r="J93" s="319">
        <f>IFERROR(ROUNDUP(I93/0.95,0.999),0)*Preencher!$J$20</f>
        <v>0</v>
      </c>
      <c r="K93" s="320" t="str">
        <f>IFERROR((M93/C93/J93*Preencher!$J$20),"-")</f>
        <v>-</v>
      </c>
      <c r="L93" s="37"/>
      <c r="M93" s="285">
        <f>Preencher!$J$18</f>
        <v>0</v>
      </c>
      <c r="N93" s="259">
        <f>IFERROR((R93/C93),"-")</f>
        <v>0</v>
      </c>
      <c r="O93" s="319">
        <f>IFERROR(ROUNDUP(N93/0.95,0.999),0)*Preencher!$K$20</f>
        <v>0</v>
      </c>
      <c r="P93" s="320" t="str">
        <f>IFERROR((R93/C93/O93*Preencher!$K$20),"-")</f>
        <v>-</v>
      </c>
      <c r="Q93" s="37"/>
      <c r="R93" s="285">
        <f>Preencher!$K$18</f>
        <v>0</v>
      </c>
    </row>
    <row r="94" spans="1:18">
      <c r="A94" s="314" t="s">
        <v>1133</v>
      </c>
      <c r="B94" s="119">
        <v>0.22</v>
      </c>
      <c r="C94" s="319">
        <f>IF(B94=0,"-",3600/B94)</f>
        <v>16363.636363636364</v>
      </c>
      <c r="D94" s="259">
        <f>IFERROR((H94/C94),"-")</f>
        <v>0</v>
      </c>
      <c r="E94" s="319">
        <f>IFERROR(ROUNDUP(D94/0.95,0.999),0)*Preencher!$I$21</f>
        <v>0</v>
      </c>
      <c r="F94" s="320" t="str">
        <f>IFERROR((H94/C94/E94*Preencher!$I$21),"-")</f>
        <v>-</v>
      </c>
      <c r="G94" s="37"/>
      <c r="H94" s="285">
        <f>Preencher!$I$19</f>
        <v>0</v>
      </c>
      <c r="I94" s="259">
        <f>IFERROR((M94/C94),"-")</f>
        <v>0</v>
      </c>
      <c r="J94" s="319">
        <f>IFERROR(ROUNDUP(I94/0.95,0.999),0)*Preencher!$J$21</f>
        <v>0</v>
      </c>
      <c r="K94" s="320" t="str">
        <f>IFERROR((M94/C94/J94*Preencher!$J$21),"-")</f>
        <v>-</v>
      </c>
      <c r="L94" s="37"/>
      <c r="M94" s="285">
        <f>Preencher!$J$19</f>
        <v>0</v>
      </c>
      <c r="N94" s="259">
        <f>IFERROR((R94/C94),"-")</f>
        <v>0</v>
      </c>
      <c r="O94" s="319">
        <f>IFERROR(ROUNDUP(N94/0.95,0.999),0)*Preencher!$K$21</f>
        <v>0</v>
      </c>
      <c r="P94" s="320" t="str">
        <f>IFERROR((R94/C94/O94*Preencher!$K$20),"-")</f>
        <v>-</v>
      </c>
      <c r="Q94" s="37"/>
      <c r="R94" s="285">
        <f>Preencher!$K$19</f>
        <v>0</v>
      </c>
    </row>
    <row r="95" spans="1:18">
      <c r="A95" s="265" t="s">
        <v>28</v>
      </c>
      <c r="B95" s="119"/>
      <c r="C95" s="319"/>
      <c r="D95" s="259"/>
      <c r="E95" s="319">
        <f>E96+E97</f>
        <v>0</v>
      </c>
      <c r="F95" s="320" t="str">
        <f>IFERROR(MEDIAN(F96:F97),"-")</f>
        <v>-</v>
      </c>
      <c r="G95" s="37"/>
      <c r="H95" s="285"/>
      <c r="I95" s="259"/>
      <c r="J95" s="319">
        <f>J96+J97</f>
        <v>0</v>
      </c>
      <c r="K95" s="320" t="str">
        <f>IFERROR(MEDIAN(K96:K97),"-")</f>
        <v>-</v>
      </c>
      <c r="L95" s="37"/>
      <c r="M95" s="285"/>
      <c r="N95" s="259"/>
      <c r="O95" s="319">
        <f>O96+O97</f>
        <v>0</v>
      </c>
      <c r="P95" s="320" t="str">
        <f>IFERROR(MEDIAN(P96:P97),"-")</f>
        <v>-</v>
      </c>
      <c r="Q95" s="37"/>
      <c r="R95" s="285"/>
    </row>
    <row r="96" spans="1:18">
      <c r="A96" s="314" t="s">
        <v>1134</v>
      </c>
      <c r="B96" s="119">
        <f>0.2-0.2</f>
        <v>0</v>
      </c>
      <c r="C96" s="319" t="str">
        <f t="shared" si="7"/>
        <v>-</v>
      </c>
      <c r="D96" s="259" t="str">
        <f>IFERROR((H96/C96),"-")</f>
        <v>-</v>
      </c>
      <c r="E96" s="319">
        <f>IFERROR(ROUNDUP(D96/0.95,0.999),0)*Preencher!$I$20</f>
        <v>0</v>
      </c>
      <c r="F96" s="320" t="str">
        <f>IFERROR((H96/C96/E96*Preencher!$I$20),"-")</f>
        <v>-</v>
      </c>
      <c r="G96" s="37"/>
      <c r="H96" s="285">
        <f>Preencher!$I$18</f>
        <v>4800</v>
      </c>
      <c r="I96" s="259" t="str">
        <f t="shared" si="8"/>
        <v>-</v>
      </c>
      <c r="J96" s="319">
        <f>IFERROR(ROUNDUP(I96/0.95,0.999),0)*Preencher!$J$20</f>
        <v>0</v>
      </c>
      <c r="K96" s="320" t="str">
        <f>IFERROR((M96/C96/J96*Preencher!$J$20),"-")</f>
        <v>-</v>
      </c>
      <c r="L96" s="37"/>
      <c r="M96" s="285">
        <f>Preencher!$J$18</f>
        <v>0</v>
      </c>
      <c r="N96" s="259" t="str">
        <f t="shared" si="9"/>
        <v>-</v>
      </c>
      <c r="O96" s="319">
        <f>IFERROR(ROUNDUP(N96/0.95,0.999),0)*Preencher!$K$20</f>
        <v>0</v>
      </c>
      <c r="P96" s="320" t="str">
        <f>IFERROR((R96/C96/O96*Preencher!$K$20),"-")</f>
        <v>-</v>
      </c>
      <c r="Q96" s="37"/>
      <c r="R96" s="285">
        <f>Preencher!$K$18</f>
        <v>0</v>
      </c>
    </row>
    <row r="97" spans="1:18">
      <c r="A97" s="314" t="s">
        <v>1135</v>
      </c>
      <c r="B97" s="119">
        <f>0.2-0.2</f>
        <v>0</v>
      </c>
      <c r="C97" s="319" t="str">
        <f t="shared" si="7"/>
        <v>-</v>
      </c>
      <c r="D97" s="259" t="str">
        <f>IFERROR((H97/C97),"-")</f>
        <v>-</v>
      </c>
      <c r="E97" s="319">
        <f>IFERROR(ROUNDUP(D97/0.95,0.999),0)*Preencher!$I$21</f>
        <v>0</v>
      </c>
      <c r="F97" s="320" t="str">
        <f>IFERROR((H97/C97/E97*Preencher!$I$21),"-")</f>
        <v>-</v>
      </c>
      <c r="G97" s="37"/>
      <c r="H97" s="285">
        <f>Preencher!$I$19</f>
        <v>0</v>
      </c>
      <c r="I97" s="259" t="str">
        <f t="shared" si="8"/>
        <v>-</v>
      </c>
      <c r="J97" s="319">
        <f>IFERROR(ROUNDUP(I97/0.95,0.999),0)*Preencher!$J$21</f>
        <v>0</v>
      </c>
      <c r="K97" s="320" t="str">
        <f>IFERROR((M97/C97/J97*Preencher!$J$21),"-")</f>
        <v>-</v>
      </c>
      <c r="L97" s="37"/>
      <c r="M97" s="285">
        <f>Preencher!$J$19</f>
        <v>0</v>
      </c>
      <c r="N97" s="259" t="str">
        <f t="shared" si="9"/>
        <v>-</v>
      </c>
      <c r="O97" s="319">
        <f>IFERROR(ROUNDUP(N97/0.95,0.999),0)*Preencher!$K$21</f>
        <v>0</v>
      </c>
      <c r="P97" s="320" t="str">
        <f>IFERROR((R97/C97/O97*Preencher!$K$20),"-")</f>
        <v>-</v>
      </c>
      <c r="Q97" s="37"/>
      <c r="R97" s="285">
        <f>Preencher!$K$19</f>
        <v>0</v>
      </c>
    </row>
    <row r="98" spans="1:18">
      <c r="A98" s="265" t="s">
        <v>190</v>
      </c>
      <c r="B98" s="284"/>
      <c r="C98" s="251"/>
      <c r="D98" s="259"/>
      <c r="E98" s="119">
        <f>Preencher!$B$32</f>
        <v>1</v>
      </c>
      <c r="F98" s="665" t="str">
        <f>IFERROR((H98/C98/E98),"-")</f>
        <v>-</v>
      </c>
      <c r="G98" s="37"/>
      <c r="H98" s="285"/>
      <c r="I98" s="259"/>
      <c r="J98" s="655">
        <f>Preencher!$C$32</f>
        <v>0</v>
      </c>
      <c r="K98" s="665" t="str">
        <f>IFERROR((M98/H98/J98),"-")</f>
        <v>-</v>
      </c>
      <c r="L98" s="37"/>
      <c r="M98" s="285"/>
      <c r="N98" s="259"/>
      <c r="O98" s="655">
        <f>Preencher!$D$32</f>
        <v>0</v>
      </c>
      <c r="P98" s="665" t="str">
        <f>IFERROR((R98/C98/O98),"-")</f>
        <v>-</v>
      </c>
      <c r="Q98" s="37"/>
      <c r="R98" s="285"/>
    </row>
    <row r="99" spans="1:18">
      <c r="A99" s="154" t="s">
        <v>39</v>
      </c>
      <c r="B99" s="119">
        <f>0</f>
        <v>0</v>
      </c>
      <c r="C99" s="251" t="str">
        <f>IF(B99=0,"-",3600/B99)</f>
        <v>-</v>
      </c>
      <c r="D99" s="259" t="str">
        <f>IFERROR((H96/C99),"-")</f>
        <v>-</v>
      </c>
      <c r="E99" s="251">
        <f>IFERROR(ROUNDUP(D99/0.95,0.999),0)</f>
        <v>0</v>
      </c>
      <c r="F99" s="252" t="str">
        <f>IFERROR((H96/C99/E99),"-")</f>
        <v>-</v>
      </c>
      <c r="G99" s="37"/>
      <c r="H99" s="285">
        <f>H87</f>
        <v>0</v>
      </c>
      <c r="I99" s="259" t="str">
        <f>IFERROR((M96/C99),"-")</f>
        <v>-</v>
      </c>
      <c r="J99" s="251">
        <f>IFERROR(ROUNDUP(I99/0.95,0.999),0)</f>
        <v>0</v>
      </c>
      <c r="K99" s="252" t="str">
        <f>IFERROR((M96/C99/J99),"-")</f>
        <v>-</v>
      </c>
      <c r="L99" s="37"/>
      <c r="M99" s="285">
        <f>M87</f>
        <v>0</v>
      </c>
      <c r="N99" s="259" t="str">
        <f>IFERROR((R96/C99),"-")</f>
        <v>-</v>
      </c>
      <c r="O99" s="251">
        <f>IFERROR(ROUNDUP(N99/0.95,0.999),0)</f>
        <v>0</v>
      </c>
      <c r="P99" s="252" t="str">
        <f>IFERROR((R96/C99/O99),"-")</f>
        <v>-</v>
      </c>
      <c r="Q99" s="37"/>
      <c r="R99" s="285"/>
    </row>
    <row r="100" spans="1:18">
      <c r="A100" s="265" t="s">
        <v>191</v>
      </c>
      <c r="B100" s="119">
        <v>0</v>
      </c>
      <c r="C100" s="724" t="str">
        <f>IF(B100=0,"-",3600/B100)</f>
        <v>-</v>
      </c>
      <c r="D100" s="259" t="str">
        <f>IFERROR((H100/C100),"-")</f>
        <v>-</v>
      </c>
      <c r="E100" s="724">
        <f>IFERROR(ROUNDUP(D100/0.95,0.999),0)</f>
        <v>0</v>
      </c>
      <c r="F100" s="723" t="str">
        <f>IFERROR((H100/C100/E100),"-")</f>
        <v>-</v>
      </c>
      <c r="G100" s="37"/>
      <c r="H100" s="285">
        <f>Preencher!$I$18</f>
        <v>4800</v>
      </c>
      <c r="I100" s="259" t="str">
        <f>IFERROR((M100/C100),"-")</f>
        <v>-</v>
      </c>
      <c r="J100" s="724">
        <f>IFERROR(ROUNDUP(I100/0.95,0.999),0)</f>
        <v>0</v>
      </c>
      <c r="K100" s="723" t="str">
        <f>IFERROR((M100/C100/J100),"-")</f>
        <v>-</v>
      </c>
      <c r="L100" s="37"/>
      <c r="M100" s="285">
        <f>Preencher!$J$18</f>
        <v>0</v>
      </c>
      <c r="N100" s="259" t="str">
        <f>IFERROR((R100/C100),"-")</f>
        <v>-</v>
      </c>
      <c r="O100" s="724">
        <f>IFERROR(ROUNDUP(N100/0.95,0.999),0)</f>
        <v>0</v>
      </c>
      <c r="P100" s="723" t="str">
        <f>IFERROR((R100/C100/O100),"-")</f>
        <v>-</v>
      </c>
      <c r="Q100" s="37"/>
      <c r="R100" s="285"/>
    </row>
    <row r="101" spans="1:18">
      <c r="A101" s="265" t="s">
        <v>192</v>
      </c>
      <c r="B101" s="284"/>
      <c r="C101" s="251" t="str">
        <f t="shared" si="7"/>
        <v>-</v>
      </c>
      <c r="D101" s="259" t="str">
        <f>IFERROR((H101/C101),"-")</f>
        <v>-</v>
      </c>
      <c r="E101" s="251">
        <f>IFERROR(ROUNDUP(D101/0.95,0.999),0)</f>
        <v>0</v>
      </c>
      <c r="F101" s="252" t="str">
        <f>IFERROR((H101/C101/E101),"-")</f>
        <v>-</v>
      </c>
      <c r="G101" s="37"/>
      <c r="H101" s="285"/>
      <c r="I101" s="259" t="str">
        <f t="shared" si="8"/>
        <v>-</v>
      </c>
      <c r="J101" s="251">
        <f>IFERROR(ROUNDUP(I101/0.95,0.999),0)</f>
        <v>0</v>
      </c>
      <c r="K101" s="252" t="str">
        <f>IFERROR((M101/C101/J101),"-")</f>
        <v>-</v>
      </c>
      <c r="L101" s="37"/>
      <c r="M101" s="285"/>
      <c r="N101" s="259" t="str">
        <f t="shared" si="9"/>
        <v>-</v>
      </c>
      <c r="O101" s="251">
        <f>IFERROR(ROUNDUP(N101/0.95,0.999),0)</f>
        <v>0</v>
      </c>
      <c r="P101" s="252" t="str">
        <f>IFERROR((R101/C101/O101),"-")</f>
        <v>-</v>
      </c>
      <c r="Q101" s="37"/>
      <c r="R101" s="285"/>
    </row>
    <row r="102" spans="1:18">
      <c r="A102" s="265" t="s">
        <v>41</v>
      </c>
      <c r="B102" s="119">
        <v>0</v>
      </c>
      <c r="C102" s="251" t="str">
        <f t="shared" si="7"/>
        <v>-</v>
      </c>
      <c r="D102" s="259" t="str">
        <f>IFERROR((H102/C102),"-")</f>
        <v>-</v>
      </c>
      <c r="E102" s="251">
        <f>IFERROR(ROUNDUP(D102/0.95,0.999),0)</f>
        <v>0</v>
      </c>
      <c r="F102" s="252" t="str">
        <f>IFERROR((H102/C102/E102),"-")</f>
        <v>-</v>
      </c>
      <c r="G102" s="37"/>
      <c r="H102" s="285">
        <f>Preencher!$I$18</f>
        <v>4800</v>
      </c>
      <c r="I102" s="259" t="str">
        <f t="shared" si="8"/>
        <v>-</v>
      </c>
      <c r="J102" s="251">
        <f>IFERROR(ROUNDUP(I102/0.95,0.999),0)</f>
        <v>0</v>
      </c>
      <c r="K102" s="252" t="str">
        <f>IFERROR((M102/C102/J102),"-")</f>
        <v>-</v>
      </c>
      <c r="L102" s="37"/>
      <c r="M102" s="285">
        <f>Preencher!$J$18</f>
        <v>0</v>
      </c>
      <c r="N102" s="259" t="str">
        <f t="shared" si="9"/>
        <v>-</v>
      </c>
      <c r="O102" s="251">
        <f>IFERROR(ROUNDUP(N102/0.95,0.999),0)</f>
        <v>0</v>
      </c>
      <c r="P102" s="252" t="str">
        <f>IFERROR((R102/C102/O102),"-")</f>
        <v>-</v>
      </c>
      <c r="Q102" s="37"/>
      <c r="R102" s="285"/>
    </row>
    <row r="103" spans="1:18">
      <c r="A103" s="265" t="s">
        <v>42</v>
      </c>
      <c r="B103" s="284">
        <v>0</v>
      </c>
      <c r="C103" s="251" t="str">
        <f t="shared" si="7"/>
        <v>-</v>
      </c>
      <c r="D103" s="259" t="str">
        <f>IFERROR((H103/C103),"-")</f>
        <v>-</v>
      </c>
      <c r="E103" s="251">
        <f>IFERROR(ROUNDUP(D103/0.95,0.999),0)</f>
        <v>0</v>
      </c>
      <c r="F103" s="252" t="str">
        <f>IFERROR((H103/C103/E103),"-")</f>
        <v>-</v>
      </c>
      <c r="G103" s="37"/>
      <c r="H103" s="285">
        <f>Preencher!$I$18</f>
        <v>4800</v>
      </c>
      <c r="I103" s="259" t="str">
        <f t="shared" si="8"/>
        <v>-</v>
      </c>
      <c r="J103" s="251">
        <f>IFERROR(ROUNDUP(I103/0.95,0.999),0)</f>
        <v>0</v>
      </c>
      <c r="K103" s="252" t="str">
        <f>IFERROR((M103/C103/J103),"-")</f>
        <v>-</v>
      </c>
      <c r="L103" s="37"/>
      <c r="M103" s="285">
        <f>Preencher!$J$18</f>
        <v>0</v>
      </c>
      <c r="N103" s="259" t="str">
        <f t="shared" si="9"/>
        <v>-</v>
      </c>
      <c r="O103" s="251">
        <f>IFERROR(ROUNDUP(N103/0.95,0.999),0)</f>
        <v>0</v>
      </c>
      <c r="P103" s="252" t="str">
        <f>IFERROR((R103/C103/O103),"-")</f>
        <v>-</v>
      </c>
      <c r="Q103" s="37"/>
      <c r="R103" s="285">
        <f>Preencher!$K$18</f>
        <v>0</v>
      </c>
    </row>
    <row r="104" spans="1:18">
      <c r="A104" s="265" t="s">
        <v>589</v>
      </c>
      <c r="B104" s="119"/>
      <c r="C104" s="319"/>
      <c r="D104" s="259"/>
      <c r="E104" s="319">
        <f>E105+E106</f>
        <v>1</v>
      </c>
      <c r="F104" s="320">
        <f>IFERROR(MEDIAN(F105:F106),"-")</f>
        <v>0.3866666666666666</v>
      </c>
      <c r="G104" s="37"/>
      <c r="H104" s="285"/>
      <c r="I104" s="259"/>
      <c r="J104" s="319">
        <f>J105+J106</f>
        <v>0</v>
      </c>
      <c r="K104" s="320" t="str">
        <f>IFERROR(MEDIAN(K105:K106),"-")</f>
        <v>-</v>
      </c>
      <c r="L104" s="37"/>
      <c r="M104" s="285"/>
      <c r="N104" s="259"/>
      <c r="O104" s="319">
        <f>O105+O106</f>
        <v>0</v>
      </c>
      <c r="P104" s="320" t="str">
        <f>IFERROR(MEDIAN(P105:P106),"-")</f>
        <v>-</v>
      </c>
      <c r="Q104" s="37"/>
      <c r="R104" s="285"/>
    </row>
    <row r="105" spans="1:18">
      <c r="A105" s="314" t="s">
        <v>1136</v>
      </c>
      <c r="B105" s="119">
        <f>0.29</f>
        <v>0.28999999999999998</v>
      </c>
      <c r="C105" s="319">
        <f>IF(B105=0,"-",3600/B105)</f>
        <v>12413.793103448277</v>
      </c>
      <c r="D105" s="259">
        <f>IFERROR((H105/C105),"-")</f>
        <v>0.3866666666666666</v>
      </c>
      <c r="E105" s="319">
        <f>IFERROR(ROUNDUP(D105/0.98,0.999),0)*Preencher!$I$20</f>
        <v>1</v>
      </c>
      <c r="F105" s="320">
        <f>IFERROR((H105/C105/E105*Preencher!$I$20),"-")</f>
        <v>0.3866666666666666</v>
      </c>
      <c r="G105" s="37"/>
      <c r="H105" s="285">
        <f>Preencher!$I$18</f>
        <v>4800</v>
      </c>
      <c r="I105" s="259">
        <f>IFERROR((M105/C105),"-")</f>
        <v>0</v>
      </c>
      <c r="J105" s="319">
        <f>IFERROR(ROUNDUP(I105/0.97,0.999),0)*Preencher!$J$20</f>
        <v>0</v>
      </c>
      <c r="K105" s="320" t="str">
        <f>IFERROR((M105/C105/J105*Preencher!$J$20),"-")</f>
        <v>-</v>
      </c>
      <c r="L105" s="37"/>
      <c r="M105" s="285">
        <f>Preencher!$J$18</f>
        <v>0</v>
      </c>
      <c r="N105" s="259">
        <f>IFERROR((R105/C105),"-")</f>
        <v>0</v>
      </c>
      <c r="O105" s="319">
        <f>IFERROR(ROUNDUP(N105/0.95,0.999),0)*Preencher!$K$20</f>
        <v>0</v>
      </c>
      <c r="P105" s="320" t="str">
        <f>IFERROR((R105/C105/O105*Preencher!$K$20),"-")</f>
        <v>-</v>
      </c>
      <c r="Q105" s="37"/>
      <c r="R105" s="285">
        <f>Preencher!$K$18</f>
        <v>0</v>
      </c>
    </row>
    <row r="106" spans="1:18">
      <c r="A106" s="314" t="s">
        <v>1137</v>
      </c>
      <c r="B106" s="119">
        <v>0.27</v>
      </c>
      <c r="C106" s="319">
        <f>IF(B106=0,"-",3600/B106)</f>
        <v>13333.333333333332</v>
      </c>
      <c r="D106" s="259">
        <f>IFERROR((H106/C106),"-")</f>
        <v>0</v>
      </c>
      <c r="E106" s="319">
        <f>IFERROR(ROUNDUP(D106/0.95,0.999),0)*Preencher!$I$21</f>
        <v>0</v>
      </c>
      <c r="F106" s="320" t="str">
        <f>IFERROR((H106/C106/E106*Preencher!$I$21),"-")</f>
        <v>-</v>
      </c>
      <c r="G106" s="37"/>
      <c r="H106" s="285">
        <f>Preencher!$I$19</f>
        <v>0</v>
      </c>
      <c r="I106" s="259">
        <f>IFERROR((M106/C106),"-")</f>
        <v>0</v>
      </c>
      <c r="J106" s="319">
        <f>IFERROR(ROUNDUP(I106/0.95,0.999),0)*Preencher!$J$21</f>
        <v>0</v>
      </c>
      <c r="K106" s="320" t="str">
        <f>IFERROR((M106/C106/J106*Preencher!$J$21),"-")</f>
        <v>-</v>
      </c>
      <c r="L106" s="37"/>
      <c r="M106" s="285">
        <f>Preencher!$J$19</f>
        <v>0</v>
      </c>
      <c r="N106" s="259">
        <f>IFERROR((R106/C106),"-")</f>
        <v>0</v>
      </c>
      <c r="O106" s="319">
        <f>IFERROR(ROUNDUP(N106/0.95,0.999),0)*Preencher!$K$21</f>
        <v>0</v>
      </c>
      <c r="P106" s="320" t="str">
        <f>IFERROR((R106/C106/O106*Preencher!$K$20),"-")</f>
        <v>-</v>
      </c>
      <c r="Q106" s="37"/>
      <c r="R106" s="285">
        <f>Preencher!$K$19</f>
        <v>0</v>
      </c>
    </row>
    <row r="107" spans="1:18">
      <c r="A107" s="265" t="s">
        <v>3134</v>
      </c>
      <c r="B107" s="119">
        <f>0.29</f>
        <v>0.28999999999999998</v>
      </c>
      <c r="C107" s="770">
        <f>IF(B107=0,"-",3600/B107)</f>
        <v>12413.793103448277</v>
      </c>
      <c r="D107" s="259">
        <f>IFERROR((H107/C107),"-")</f>
        <v>0.3866666666666666</v>
      </c>
      <c r="E107" s="770">
        <f>IFERROR(ROUNDUP(D107/0.98,0.999),0)*Preencher!$I$20</f>
        <v>1</v>
      </c>
      <c r="F107" s="772">
        <f>IFERROR((H107/C107/E107*Preencher!$I$20),"-")</f>
        <v>0.3866666666666666</v>
      </c>
      <c r="G107" s="37"/>
      <c r="H107" s="285">
        <f>Preencher!$I$18</f>
        <v>4800</v>
      </c>
      <c r="I107" s="259">
        <f>IFERROR((M107/C107),"-")</f>
        <v>0</v>
      </c>
      <c r="J107" s="770">
        <f>IFERROR(ROUNDUP(I107/0.97,0.999),0)*Preencher!$J$20</f>
        <v>0</v>
      </c>
      <c r="K107" s="772" t="str">
        <f>IFERROR((M107/C107/J107*Preencher!$J$20),"-")</f>
        <v>-</v>
      </c>
      <c r="L107" s="37"/>
      <c r="M107" s="285">
        <f>Preencher!$J$18</f>
        <v>0</v>
      </c>
      <c r="N107" s="259">
        <f>IFERROR((R107/C107),"-")</f>
        <v>0</v>
      </c>
      <c r="O107" s="770">
        <f>IFERROR(ROUNDUP(N107/0.95,0.999),0)*Preencher!$K$20</f>
        <v>0</v>
      </c>
      <c r="P107" s="772" t="str">
        <f>IFERROR((R107/C107/O107*Preencher!$K$20),"-")</f>
        <v>-</v>
      </c>
      <c r="Q107" s="37"/>
      <c r="R107" s="285">
        <f>Preencher!$K$18</f>
        <v>0</v>
      </c>
    </row>
    <row r="108" spans="1:18">
      <c r="A108" s="265" t="s">
        <v>0</v>
      </c>
      <c r="B108" s="284"/>
      <c r="C108" s="251" t="str">
        <f t="shared" si="7"/>
        <v>-</v>
      </c>
      <c r="D108" s="259" t="str">
        <f>IFERROR((H108/C108),"-")</f>
        <v>-</v>
      </c>
      <c r="E108" s="251">
        <f>IFERROR(ROUNDUP(D108/0.95,0.999),0)</f>
        <v>0</v>
      </c>
      <c r="F108" s="252" t="str">
        <f>IFERROR((H108/C108/E108),"-")</f>
        <v>-</v>
      </c>
      <c r="G108" s="37"/>
      <c r="H108" s="285"/>
      <c r="I108" s="259" t="str">
        <f t="shared" si="8"/>
        <v>-</v>
      </c>
      <c r="J108" s="251">
        <f>IFERROR(ROUNDUP(I108/0.95,0.999),0)</f>
        <v>0</v>
      </c>
      <c r="K108" s="252" t="str">
        <f>IFERROR((M108/C108/J108),"-")</f>
        <v>-</v>
      </c>
      <c r="L108" s="37"/>
      <c r="M108" s="285"/>
      <c r="N108" s="259" t="str">
        <f t="shared" si="9"/>
        <v>-</v>
      </c>
      <c r="O108" s="251">
        <f>IFERROR(ROUNDUP(N108/0.95,0.999),0)</f>
        <v>0</v>
      </c>
      <c r="P108" s="252" t="str">
        <f>IFERROR((R108/C108/O108),"-")</f>
        <v>-</v>
      </c>
      <c r="Q108" s="37"/>
      <c r="R108" s="285"/>
    </row>
    <row r="109" spans="1:18">
      <c r="A109" s="265" t="s">
        <v>590</v>
      </c>
      <c r="B109" s="284">
        <v>0</v>
      </c>
      <c r="C109" s="251" t="str">
        <f t="shared" si="7"/>
        <v>-</v>
      </c>
      <c r="D109" s="259" t="str">
        <f>IFERROR((H109/C109),"-")</f>
        <v>-</v>
      </c>
      <c r="E109" s="251">
        <f>IFERROR(ROUNDUP(D109/0.95,0.999),0)</f>
        <v>0</v>
      </c>
      <c r="F109" s="252" t="str">
        <f>IFERROR((H109/C109/E109),"-")</f>
        <v>-</v>
      </c>
      <c r="G109" s="37"/>
      <c r="H109" s="285">
        <f>(Preencher!$I$18*Preencher!$I$20)+(Preencher!$I$19*Preencher!$I$21)</f>
        <v>4800</v>
      </c>
      <c r="I109" s="259" t="str">
        <f t="shared" si="8"/>
        <v>-</v>
      </c>
      <c r="J109" s="319">
        <f>IFERROR(ROUNDUP(I109/0.95,0.999),0)</f>
        <v>0</v>
      </c>
      <c r="K109" s="320" t="str">
        <f>IFERROR((M109/C109/J109),"-")</f>
        <v>-</v>
      </c>
      <c r="L109" s="37"/>
      <c r="M109" s="285">
        <f>(Preencher!$J$18*Preencher!$J$20)+(Preencher!$J$19*Preencher!$J$21)</f>
        <v>0</v>
      </c>
      <c r="N109" s="259" t="str">
        <f t="shared" si="9"/>
        <v>-</v>
      </c>
      <c r="O109" s="319">
        <f>IFERROR(ROUNDUP(N109/0.95,0.999),0)</f>
        <v>0</v>
      </c>
      <c r="P109" s="320" t="str">
        <f>IFERROR((R109/C109/O109),"-")</f>
        <v>-</v>
      </c>
      <c r="Q109" s="37"/>
      <c r="R109" s="285">
        <f>(Preencher!$K$18*Preencher!$K$20)+(Preencher!$K$19*Preencher!$K$21)</f>
        <v>0</v>
      </c>
    </row>
    <row r="110" spans="1:18">
      <c r="A110" s="265" t="s">
        <v>16</v>
      </c>
      <c r="B110" s="284"/>
      <c r="C110" s="770"/>
      <c r="D110" s="259"/>
      <c r="E110" s="770">
        <f>IFERROR(ROUNDUP(SUM(Avaliação!J45:J83)*'BD Temp'!H110,0.999),0)</f>
        <v>6</v>
      </c>
      <c r="F110" s="772" t="str">
        <f t="shared" ref="F110" si="18">IFERROR((H110/C110/E110),"-")</f>
        <v>-</v>
      </c>
      <c r="G110" s="37"/>
      <c r="H110" s="285">
        <f>IF(Preencher!$A$15=Preencher!$R$28,0,IF(Preencher!$A$15=Preencher!$R$29,Preencher!$C$15,Preencher!$D$15))</f>
        <v>0.33</v>
      </c>
      <c r="I110" s="259" t="str">
        <f t="shared" si="8"/>
        <v>-</v>
      </c>
      <c r="J110" s="770">
        <f>IFERROR(ROUNDUP(SUM(Avaliação!N45:N83)*'BD Temp'!M110,0.999),0)</f>
        <v>0</v>
      </c>
      <c r="K110" s="772" t="str">
        <f t="shared" ref="K110" si="19">IFERROR((M110/C110/J110),"-")</f>
        <v>-</v>
      </c>
      <c r="L110" s="37"/>
      <c r="M110" s="285">
        <f>IF(Preencher!$A$15=Preencher!$R$28,0,IF(Preencher!$A$15=Preencher!$R$29,Preencher!$C$15,Preencher!$D$15))</f>
        <v>0.33</v>
      </c>
      <c r="N110" s="259" t="str">
        <f t="shared" si="9"/>
        <v>-</v>
      </c>
      <c r="O110" s="770">
        <f>IFERROR(ROUNDUP(SUM(Avaliação!R46:R83)*'BD Temp'!R110,0.999),0)</f>
        <v>0</v>
      </c>
      <c r="P110" s="772" t="str">
        <f t="shared" ref="P110" si="20">IFERROR((R110/C110/O110),"-")</f>
        <v>-</v>
      </c>
      <c r="Q110" s="37"/>
      <c r="R110" s="285">
        <f>IF(Preencher!$A$15=Preencher!$R$28,0,IF(Preencher!$A$15=Preencher!$R$29,Preencher!$C$15,Preencher!$D$15))</f>
        <v>0.33</v>
      </c>
    </row>
    <row r="111" spans="1:18">
      <c r="A111" s="265" t="s">
        <v>40</v>
      </c>
      <c r="B111" s="119"/>
      <c r="C111" s="319"/>
      <c r="D111" s="259"/>
      <c r="E111" s="319">
        <f>E112+E113</f>
        <v>1</v>
      </c>
      <c r="F111" s="320">
        <f>IFERROR(MEDIAN(F112:F113),"-")</f>
        <v>0.3</v>
      </c>
      <c r="G111" s="37"/>
      <c r="H111" s="285"/>
      <c r="I111" s="259"/>
      <c r="J111" s="319">
        <f>J112+J113</f>
        <v>0</v>
      </c>
      <c r="K111" s="320" t="str">
        <f>IFERROR(MEDIAN(K112:K113),"-")</f>
        <v>-</v>
      </c>
      <c r="L111" s="37"/>
      <c r="M111" s="285"/>
      <c r="N111" s="259"/>
      <c r="O111" s="319">
        <f>O112+O113</f>
        <v>0</v>
      </c>
      <c r="P111" s="320" t="str">
        <f>IFERROR(MEDIAN(P112:P113),"-")</f>
        <v>-</v>
      </c>
      <c r="Q111" s="37"/>
      <c r="R111" s="285"/>
    </row>
    <row r="112" spans="1:18">
      <c r="A112" s="314" t="s">
        <v>1138</v>
      </c>
      <c r="B112" s="119">
        <v>0.22500000000000001</v>
      </c>
      <c r="C112" s="319">
        <f t="shared" si="7"/>
        <v>16000</v>
      </c>
      <c r="D112" s="259">
        <f>IFERROR((H112/C112),"-")</f>
        <v>0.3</v>
      </c>
      <c r="E112" s="319">
        <f>IFERROR(ROUNDUP(D112/0.95,0.999),0)</f>
        <v>1</v>
      </c>
      <c r="F112" s="320">
        <f>IFERROR((H112/C112/E112*Preencher!$I$20),"-")</f>
        <v>0.3</v>
      </c>
      <c r="G112" s="37"/>
      <c r="H112" s="285">
        <f>Preencher!$I$18</f>
        <v>4800</v>
      </c>
      <c r="I112" s="259">
        <f t="shared" si="8"/>
        <v>0</v>
      </c>
      <c r="J112" s="319">
        <f>IFERROR(ROUNDUP(I112/0.95,0.999),0)</f>
        <v>0</v>
      </c>
      <c r="K112" s="320" t="str">
        <f>IFERROR((M112/C112/J112*Preencher!$J$20),"-")</f>
        <v>-</v>
      </c>
      <c r="L112" s="37"/>
      <c r="M112" s="285">
        <f>Preencher!$J$18</f>
        <v>0</v>
      </c>
      <c r="N112" s="259">
        <f t="shared" si="9"/>
        <v>0</v>
      </c>
      <c r="O112" s="319">
        <f>IFERROR(ROUNDUP(N112/0.95,0.999),0)</f>
        <v>0</v>
      </c>
      <c r="P112" s="320" t="str">
        <f>IFERROR((R112/C112/O112*Preencher!$K$20),"-")</f>
        <v>-</v>
      </c>
      <c r="Q112" s="37"/>
      <c r="R112" s="285">
        <f>Preencher!$K$18</f>
        <v>0</v>
      </c>
    </row>
    <row r="113" spans="1:18">
      <c r="A113" s="314" t="s">
        <v>1139</v>
      </c>
      <c r="B113" s="119">
        <v>0.20100000000000001</v>
      </c>
      <c r="C113" s="319">
        <f>IF(B113=0,"-",3600/B113)</f>
        <v>17910.447761194027</v>
      </c>
      <c r="D113" s="259">
        <f>IFERROR((H113/C113),"-")</f>
        <v>0</v>
      </c>
      <c r="E113" s="319">
        <f>IFERROR(ROUNDUP(D113/0.95,0.999),0)</f>
        <v>0</v>
      </c>
      <c r="F113" s="320" t="str">
        <f>IFERROR((H113/C113/E113),"-")</f>
        <v>-</v>
      </c>
      <c r="G113" s="37"/>
      <c r="H113" s="285">
        <f>Preencher!$I$19</f>
        <v>0</v>
      </c>
      <c r="I113" s="259">
        <f>IFERROR((M113/C113),"-")</f>
        <v>0</v>
      </c>
      <c r="J113" s="319">
        <f>IFERROR(ROUNDUP(I113/0.95,0.999),0)</f>
        <v>0</v>
      </c>
      <c r="K113" s="320" t="str">
        <f>IFERROR((M113/C113/J113),"-")</f>
        <v>-</v>
      </c>
      <c r="L113" s="37"/>
      <c r="M113" s="285">
        <f>Preencher!$J$19</f>
        <v>0</v>
      </c>
      <c r="N113" s="259">
        <f t="shared" si="9"/>
        <v>0</v>
      </c>
      <c r="O113" s="319">
        <f>IFERROR(ROUNDUP(N113/0.95,0.999),0)</f>
        <v>0</v>
      </c>
      <c r="P113" s="320" t="str">
        <f>IFERROR((R113/C113/O113),"-")</f>
        <v>-</v>
      </c>
      <c r="Q113" s="37"/>
      <c r="R113" s="285">
        <f>Preencher!$K$19</f>
        <v>0</v>
      </c>
    </row>
    <row r="114" spans="1:18">
      <c r="A114" s="265" t="s">
        <v>591</v>
      </c>
      <c r="B114" s="284"/>
      <c r="C114" s="251" t="str">
        <f t="shared" si="7"/>
        <v>-</v>
      </c>
      <c r="D114" s="259" t="str">
        <f>IFERROR((H114/C114),"-")</f>
        <v>-</v>
      </c>
      <c r="E114" s="251">
        <f>IFERROR(ROUNDUP(D114/0.95,0.999),0)</f>
        <v>0</v>
      </c>
      <c r="F114" s="252" t="str">
        <f>IFERROR((H114/C114/E114),"-")</f>
        <v>-</v>
      </c>
      <c r="G114" s="37"/>
      <c r="H114" s="285"/>
      <c r="I114" s="259" t="str">
        <f t="shared" si="8"/>
        <v>-</v>
      </c>
      <c r="J114" s="251">
        <f>IFERROR(ROUNDUP(I114/0.95,0.999),0)</f>
        <v>0</v>
      </c>
      <c r="K114" s="252" t="str">
        <f>IFERROR((M114/C114/J114),"-")</f>
        <v>-</v>
      </c>
      <c r="L114" s="37"/>
      <c r="M114" s="285"/>
      <c r="N114" s="259" t="str">
        <f t="shared" si="9"/>
        <v>-</v>
      </c>
      <c r="O114" s="251">
        <f>IFERROR(ROUNDUP(N114/0.95,0.999),0)</f>
        <v>0</v>
      </c>
      <c r="P114" s="252" t="str">
        <f>IFERROR((R114/C114/O114),"-")</f>
        <v>-</v>
      </c>
      <c r="Q114" s="37"/>
      <c r="R114" s="285"/>
    </row>
    <row r="115" spans="1:18">
      <c r="A115" s="265"/>
      <c r="B115" s="286"/>
      <c r="C115" s="37"/>
      <c r="D115" s="37"/>
      <c r="E115" s="37"/>
      <c r="F115" s="37"/>
      <c r="G115" s="37"/>
      <c r="H115" s="287"/>
      <c r="I115" s="37"/>
      <c r="J115" s="37"/>
      <c r="K115" s="37"/>
      <c r="L115" s="37"/>
      <c r="M115" s="287"/>
      <c r="N115" s="37"/>
      <c r="O115" s="37"/>
      <c r="P115" s="37"/>
      <c r="Q115" s="37"/>
      <c r="R115" s="287"/>
    </row>
    <row r="116" spans="1:18">
      <c r="A116" s="270" t="s">
        <v>723</v>
      </c>
      <c r="B116" s="291"/>
      <c r="C116" s="39"/>
      <c r="D116" s="39"/>
      <c r="E116" s="39"/>
      <c r="F116" s="39"/>
      <c r="G116" s="39"/>
      <c r="H116" s="292"/>
      <c r="I116" s="39"/>
      <c r="J116" s="39"/>
      <c r="K116" s="39"/>
      <c r="L116" s="39"/>
      <c r="M116" s="292"/>
      <c r="N116" s="39"/>
      <c r="O116" s="39"/>
      <c r="P116" s="39"/>
      <c r="Q116" s="39"/>
      <c r="R116" s="292"/>
    </row>
    <row r="117" spans="1:18">
      <c r="A117" s="265"/>
      <c r="B117" s="286"/>
      <c r="C117" s="37"/>
      <c r="D117" s="37"/>
      <c r="E117" s="37"/>
      <c r="F117" s="37"/>
      <c r="G117" s="37"/>
      <c r="H117" s="287"/>
      <c r="I117" s="37"/>
      <c r="J117" s="37"/>
      <c r="K117" s="37"/>
      <c r="L117" s="37"/>
      <c r="M117" s="287"/>
      <c r="N117" s="37"/>
      <c r="O117" s="37"/>
      <c r="P117" s="37"/>
      <c r="Q117" s="37"/>
      <c r="R117" s="287"/>
    </row>
    <row r="118" spans="1:18">
      <c r="A118" s="265"/>
      <c r="B118" s="286"/>
      <c r="C118" s="37"/>
      <c r="D118" s="37"/>
      <c r="E118" s="37"/>
      <c r="F118" s="37"/>
      <c r="G118" s="37"/>
      <c r="H118" s="287"/>
      <c r="I118" s="37"/>
      <c r="J118" s="37"/>
      <c r="K118" s="37"/>
      <c r="L118" s="37"/>
      <c r="M118" s="287"/>
      <c r="N118" s="37"/>
      <c r="O118" s="37"/>
      <c r="P118" s="37"/>
      <c r="Q118" s="37"/>
      <c r="R118" s="287"/>
    </row>
    <row r="119" spans="1:18">
      <c r="A119" s="265"/>
      <c r="B119" s="286"/>
      <c r="C119" s="37"/>
      <c r="D119" s="37"/>
      <c r="E119" s="37"/>
      <c r="F119" s="37"/>
      <c r="G119" s="37"/>
      <c r="H119" s="287"/>
      <c r="I119" s="37"/>
      <c r="J119" s="37"/>
      <c r="K119" s="37"/>
      <c r="L119" s="37"/>
      <c r="M119" s="287"/>
      <c r="N119" s="37"/>
      <c r="O119" s="37"/>
      <c r="P119" s="37"/>
      <c r="Q119" s="37"/>
      <c r="R119" s="287"/>
    </row>
    <row r="120" spans="1:18">
      <c r="A120" s="265"/>
      <c r="B120" s="286"/>
      <c r="C120" s="37"/>
      <c r="D120" s="37"/>
      <c r="E120" s="37"/>
      <c r="F120" s="37"/>
      <c r="G120" s="37"/>
      <c r="H120" s="287"/>
      <c r="I120" s="37"/>
      <c r="J120" s="37"/>
      <c r="K120" s="37"/>
      <c r="L120" s="37"/>
      <c r="M120" s="287"/>
      <c r="N120" s="37"/>
      <c r="O120" s="37"/>
      <c r="P120" s="37"/>
      <c r="Q120" s="37"/>
      <c r="R120" s="287"/>
    </row>
    <row r="121" spans="1:18">
      <c r="A121" s="265"/>
      <c r="B121" s="286"/>
      <c r="C121" s="37"/>
      <c r="D121" s="37"/>
      <c r="E121" s="37"/>
      <c r="F121" s="37"/>
      <c r="G121" s="37"/>
      <c r="H121" s="287"/>
      <c r="I121" s="37"/>
      <c r="J121" s="37"/>
      <c r="K121" s="37"/>
      <c r="L121" s="37"/>
      <c r="M121" s="287"/>
      <c r="N121" s="37"/>
      <c r="O121" s="37"/>
      <c r="P121" s="37"/>
      <c r="Q121" s="37"/>
      <c r="R121" s="287"/>
    </row>
    <row r="122" spans="1:18">
      <c r="A122" s="265"/>
      <c r="B122" s="286"/>
      <c r="C122" s="37"/>
      <c r="D122" s="37"/>
      <c r="E122" s="37"/>
      <c r="F122" s="37"/>
      <c r="G122" s="37"/>
      <c r="H122" s="287"/>
      <c r="I122" s="37"/>
      <c r="J122" s="37"/>
      <c r="K122" s="37"/>
      <c r="L122" s="37"/>
      <c r="M122" s="287"/>
      <c r="N122" s="37"/>
      <c r="O122" s="37"/>
      <c r="P122" s="37"/>
      <c r="Q122" s="37"/>
      <c r="R122" s="287"/>
    </row>
    <row r="123" spans="1:18">
      <c r="A123" s="264" t="s">
        <v>235</v>
      </c>
      <c r="B123" s="282"/>
      <c r="C123" s="40"/>
      <c r="D123" s="40"/>
      <c r="E123" s="40"/>
      <c r="F123" s="40"/>
      <c r="G123" s="40"/>
      <c r="H123" s="283"/>
      <c r="I123" s="40"/>
      <c r="J123" s="40"/>
      <c r="K123" s="40"/>
      <c r="L123" s="40"/>
      <c r="M123" s="283"/>
      <c r="N123" s="40"/>
      <c r="O123" s="40"/>
      <c r="P123" s="40"/>
      <c r="Q123" s="40"/>
      <c r="R123" s="283"/>
    </row>
    <row r="124" spans="1:18">
      <c r="A124" s="268" t="s">
        <v>17</v>
      </c>
      <c r="B124" s="288"/>
      <c r="C124" s="13"/>
      <c r="D124" s="13"/>
      <c r="E124" s="13"/>
      <c r="F124" s="13"/>
      <c r="G124" s="13"/>
      <c r="H124" s="113"/>
      <c r="I124" s="13"/>
      <c r="J124" s="13"/>
      <c r="K124" s="13"/>
      <c r="L124" s="13"/>
      <c r="M124" s="113"/>
      <c r="N124" s="13"/>
      <c r="O124" s="13"/>
      <c r="P124" s="13"/>
      <c r="Q124" s="13"/>
      <c r="R124" s="113"/>
    </row>
    <row r="125" spans="1:18">
      <c r="A125" s="268" t="s">
        <v>18</v>
      </c>
      <c r="B125" s="288"/>
      <c r="C125" s="13"/>
      <c r="D125" s="13"/>
      <c r="E125" s="13"/>
      <c r="F125" s="13"/>
      <c r="G125" s="13"/>
      <c r="H125" s="113"/>
      <c r="I125" s="13"/>
      <c r="J125" s="13"/>
      <c r="K125" s="13"/>
      <c r="L125" s="13"/>
      <c r="M125" s="113"/>
      <c r="N125" s="13"/>
      <c r="O125" s="13"/>
      <c r="P125" s="13"/>
      <c r="Q125" s="13"/>
      <c r="R125" s="113"/>
    </row>
    <row r="126" spans="1:18">
      <c r="A126" s="268"/>
      <c r="B126" s="288"/>
      <c r="C126" s="13"/>
      <c r="D126" s="13"/>
      <c r="E126" s="13"/>
      <c r="F126" s="13"/>
      <c r="G126" s="13"/>
      <c r="H126" s="113"/>
      <c r="I126" s="13"/>
      <c r="J126" s="13"/>
      <c r="K126" s="13"/>
      <c r="L126" s="13"/>
      <c r="M126" s="113"/>
      <c r="N126" s="13"/>
      <c r="O126" s="13"/>
      <c r="P126" s="13"/>
      <c r="Q126" s="13"/>
      <c r="R126" s="113"/>
    </row>
    <row r="127" spans="1:18">
      <c r="A127" s="262" t="s">
        <v>1</v>
      </c>
      <c r="B127" s="278"/>
      <c r="C127" s="17"/>
      <c r="D127" s="17"/>
      <c r="E127" s="17"/>
      <c r="F127" s="17"/>
      <c r="G127" s="17"/>
      <c r="H127" s="279"/>
      <c r="I127" s="17"/>
      <c r="J127" s="17"/>
      <c r="K127" s="17"/>
      <c r="L127" s="17"/>
      <c r="M127" s="279"/>
      <c r="N127" s="17"/>
      <c r="O127" s="17"/>
      <c r="P127" s="17"/>
      <c r="Q127" s="17"/>
      <c r="R127" s="279"/>
    </row>
    <row r="128" spans="1:18">
      <c r="A128" s="263" t="s">
        <v>1</v>
      </c>
      <c r="B128" s="280"/>
      <c r="C128" s="35"/>
      <c r="D128" s="35"/>
      <c r="E128" s="35"/>
      <c r="F128" s="35"/>
      <c r="G128" s="35"/>
      <c r="H128" s="281"/>
      <c r="I128" s="35"/>
      <c r="J128" s="35"/>
      <c r="K128" s="35"/>
      <c r="L128" s="35"/>
      <c r="M128" s="281"/>
      <c r="N128" s="35"/>
      <c r="O128" s="35"/>
      <c r="P128" s="35"/>
      <c r="Q128" s="35"/>
      <c r="R128" s="281"/>
    </row>
    <row r="129" spans="1:18">
      <c r="A129" s="264" t="s">
        <v>714</v>
      </c>
      <c r="B129" s="282"/>
      <c r="C129" s="40"/>
      <c r="D129" s="40"/>
      <c r="E129" s="40"/>
      <c r="F129" s="40"/>
      <c r="G129" s="40"/>
      <c r="H129" s="283"/>
      <c r="I129" s="40"/>
      <c r="J129" s="40"/>
      <c r="K129" s="40"/>
      <c r="L129" s="40"/>
      <c r="M129" s="283"/>
      <c r="N129" s="40"/>
      <c r="O129" s="40"/>
      <c r="P129" s="40"/>
      <c r="Q129" s="40"/>
      <c r="R129" s="283"/>
    </row>
    <row r="130" spans="1:18">
      <c r="A130" s="268" t="s">
        <v>43</v>
      </c>
      <c r="B130" s="119">
        <v>0.3</v>
      </c>
      <c r="C130" s="770">
        <f t="shared" ref="C130:C133" si="21">IF(B130=0,"-",3600/B130)</f>
        <v>12000</v>
      </c>
      <c r="D130" s="259">
        <f t="shared" ref="D130:D133" si="22">IFERROR((H130/C130),"-")</f>
        <v>0.4</v>
      </c>
      <c r="E130" s="770">
        <f t="shared" ref="E130:E133" si="23">IFERROR(ROUNDUP(D130/0.95,0.999),0)</f>
        <v>1</v>
      </c>
      <c r="F130" s="772">
        <f>IFERROR((H130/C130/E130*Preencher!$I$20),"-")</f>
        <v>0.4</v>
      </c>
      <c r="G130" s="37"/>
      <c r="H130" s="285">
        <f>Preencher!$I$18</f>
        <v>4800</v>
      </c>
      <c r="I130" s="259">
        <f t="shared" ref="I130:I133" si="24">IFERROR((M130/C130),"-")</f>
        <v>0</v>
      </c>
      <c r="J130" s="770">
        <f t="shared" ref="J130:J133" si="25">IFERROR(ROUNDUP(I130/0.95,0.999),0)</f>
        <v>0</v>
      </c>
      <c r="K130" s="772" t="str">
        <f>IFERROR((M130/C130/J130*Preencher!$J$20),"-")</f>
        <v>-</v>
      </c>
      <c r="L130" s="37"/>
      <c r="M130" s="285">
        <f>Preencher!$J$18</f>
        <v>0</v>
      </c>
      <c r="N130" s="259">
        <f t="shared" ref="N130:N133" si="26">IFERROR((R130/C130),"-")</f>
        <v>0</v>
      </c>
      <c r="O130" s="770">
        <f t="shared" ref="O130:O133" si="27">IFERROR(ROUNDUP(N130/0.95,0.999),0)</f>
        <v>0</v>
      </c>
      <c r="P130" s="772" t="str">
        <f>IFERROR((R130/C130/O130*Preencher!$K$20),"-")</f>
        <v>-</v>
      </c>
      <c r="Q130" s="37"/>
      <c r="R130" s="285">
        <f>Preencher!$K$18</f>
        <v>0</v>
      </c>
    </row>
    <row r="131" spans="1:18">
      <c r="A131" s="268" t="s">
        <v>44</v>
      </c>
      <c r="B131" s="119">
        <v>0</v>
      </c>
      <c r="C131" s="770" t="str">
        <f t="shared" si="21"/>
        <v>-</v>
      </c>
      <c r="D131" s="259" t="str">
        <f t="shared" si="22"/>
        <v>-</v>
      </c>
      <c r="E131" s="770">
        <f t="shared" si="23"/>
        <v>0</v>
      </c>
      <c r="F131" s="772" t="str">
        <f>IFERROR((H131/C131/E131*Preencher!$I$20),"-")</f>
        <v>-</v>
      </c>
      <c r="G131" s="37"/>
      <c r="H131" s="285">
        <f>Preencher!$I$18</f>
        <v>4800</v>
      </c>
      <c r="I131" s="259" t="str">
        <f t="shared" si="24"/>
        <v>-</v>
      </c>
      <c r="J131" s="770">
        <f t="shared" si="25"/>
        <v>0</v>
      </c>
      <c r="K131" s="772" t="str">
        <f>IFERROR((M131/C131/J131*Preencher!$J$20),"-")</f>
        <v>-</v>
      </c>
      <c r="L131" s="37"/>
      <c r="M131" s="285">
        <f>Preencher!$J$18</f>
        <v>0</v>
      </c>
      <c r="N131" s="259" t="str">
        <f t="shared" si="26"/>
        <v>-</v>
      </c>
      <c r="O131" s="770">
        <f t="shared" si="27"/>
        <v>0</v>
      </c>
      <c r="P131" s="772" t="str">
        <f>IFERROR((R131/C131/O131*Preencher!$K$20),"-")</f>
        <v>-</v>
      </c>
      <c r="Q131" s="37"/>
      <c r="R131" s="285">
        <f>Preencher!$K$18</f>
        <v>0</v>
      </c>
    </row>
    <row r="132" spans="1:18">
      <c r="A132" s="268" t="s">
        <v>5234</v>
      </c>
      <c r="B132" s="119">
        <v>2</v>
      </c>
      <c r="C132" s="770">
        <f t="shared" si="21"/>
        <v>1800</v>
      </c>
      <c r="D132" s="259">
        <f t="shared" si="22"/>
        <v>2.6666666666666665</v>
      </c>
      <c r="E132" s="770">
        <f>IFERROR(ROUNDUP(D132/0.95,0.999),0)*3*Preencher!I20</f>
        <v>9</v>
      </c>
      <c r="F132" s="772">
        <f>IFERROR((H132/C132/E132*Preencher!$I$20),"-")</f>
        <v>0.29629629629629628</v>
      </c>
      <c r="G132" s="37"/>
      <c r="H132" s="285">
        <f>Preencher!$I$18</f>
        <v>4800</v>
      </c>
      <c r="I132" s="259">
        <f t="shared" si="24"/>
        <v>0</v>
      </c>
      <c r="J132" s="770">
        <f>IFERROR(ROUNDUP(I132/0.95,0.999),0)*3*Preencher!J20</f>
        <v>0</v>
      </c>
      <c r="K132" s="772" t="str">
        <f>IFERROR((M132/C132/J132*Preencher!$J$20),"-")</f>
        <v>-</v>
      </c>
      <c r="L132" s="37"/>
      <c r="M132" s="285">
        <f>Preencher!$J$18</f>
        <v>0</v>
      </c>
      <c r="N132" s="259">
        <f t="shared" si="26"/>
        <v>0</v>
      </c>
      <c r="O132" s="770">
        <f>IFERROR(ROUNDUP(N132/0.95,0.999),0)*3*Preencher!K20</f>
        <v>0</v>
      </c>
      <c r="P132" s="772" t="str">
        <f>IFERROR((R132/C132/O132*Preencher!$K$20),"-")</f>
        <v>-</v>
      </c>
      <c r="Q132" s="37"/>
      <c r="R132" s="285">
        <f>Preencher!$K$18</f>
        <v>0</v>
      </c>
    </row>
    <row r="133" spans="1:18">
      <c r="A133" s="268" t="s">
        <v>5235</v>
      </c>
      <c r="B133" s="119">
        <v>0</v>
      </c>
      <c r="C133" s="770" t="str">
        <f t="shared" si="21"/>
        <v>-</v>
      </c>
      <c r="D133" s="259" t="str">
        <f t="shared" si="22"/>
        <v>-</v>
      </c>
      <c r="E133" s="770">
        <f t="shared" si="23"/>
        <v>0</v>
      </c>
      <c r="F133" s="772" t="str">
        <f>IFERROR((H133/C133/E133*Preencher!$I$20),"-")</f>
        <v>-</v>
      </c>
      <c r="G133" s="37"/>
      <c r="H133" s="285">
        <f>Preencher!$I$18</f>
        <v>4800</v>
      </c>
      <c r="I133" s="259" t="str">
        <f t="shared" si="24"/>
        <v>-</v>
      </c>
      <c r="J133" s="770">
        <f t="shared" si="25"/>
        <v>0</v>
      </c>
      <c r="K133" s="772" t="str">
        <f>IFERROR((M133/C133/J133*Preencher!$J$20),"-")</f>
        <v>-</v>
      </c>
      <c r="L133" s="37"/>
      <c r="M133" s="285">
        <f>Preencher!$J$18</f>
        <v>0</v>
      </c>
      <c r="N133" s="259" t="str">
        <f t="shared" si="26"/>
        <v>-</v>
      </c>
      <c r="O133" s="770">
        <f t="shared" si="27"/>
        <v>0</v>
      </c>
      <c r="P133" s="772" t="str">
        <f>IFERROR((R133/C133/O133*Preencher!$K$20),"-")</f>
        <v>-</v>
      </c>
      <c r="Q133" s="37"/>
      <c r="R133" s="285">
        <f>Preencher!$K$18</f>
        <v>0</v>
      </c>
    </row>
    <row r="134" spans="1:18">
      <c r="A134" s="268"/>
      <c r="B134" s="288"/>
      <c r="C134" s="13"/>
      <c r="D134" s="13"/>
      <c r="E134" s="13"/>
      <c r="F134" s="13"/>
      <c r="G134" s="13"/>
      <c r="H134" s="113"/>
      <c r="I134" s="13"/>
      <c r="J134" s="13"/>
      <c r="K134" s="13"/>
      <c r="L134" s="13"/>
      <c r="M134" s="113"/>
      <c r="N134" s="13"/>
      <c r="O134" s="13"/>
      <c r="P134" s="13"/>
      <c r="Q134" s="13"/>
      <c r="R134" s="113"/>
    </row>
    <row r="135" spans="1:18">
      <c r="A135" s="268" t="s">
        <v>3168</v>
      </c>
      <c r="B135" s="288"/>
      <c r="C135" s="13"/>
      <c r="D135" s="13"/>
      <c r="E135" s="13"/>
      <c r="F135" s="13"/>
      <c r="G135" s="13"/>
      <c r="H135" s="113"/>
      <c r="I135" s="13"/>
      <c r="J135" s="13"/>
      <c r="K135" s="13"/>
      <c r="L135" s="13"/>
      <c r="M135" s="113"/>
      <c r="N135" s="13"/>
      <c r="O135" s="13"/>
      <c r="P135" s="13"/>
      <c r="Q135" s="13"/>
      <c r="R135" s="113"/>
    </row>
    <row r="136" spans="1:18">
      <c r="A136" s="268" t="s">
        <v>3169</v>
      </c>
      <c r="B136" s="119">
        <v>0.6</v>
      </c>
      <c r="C136" s="770">
        <f t="shared" ref="C136:C140" si="28">IF(B136=0,"-",3600/B136)</f>
        <v>6000</v>
      </c>
      <c r="D136" s="259">
        <f t="shared" ref="D136:D140" si="29">IFERROR((H136/C136),"-")</f>
        <v>0.8</v>
      </c>
      <c r="E136" s="770">
        <f t="shared" ref="E136:E140" si="30">IFERROR(ROUNDUP(D136/0.95,0.999),0)</f>
        <v>1</v>
      </c>
      <c r="F136" s="772">
        <f>IFERROR((H136/C136/E136*Preencher!$I$20),"-")</f>
        <v>0.8</v>
      </c>
      <c r="G136" s="37"/>
      <c r="H136" s="285">
        <f>Preencher!$I$18</f>
        <v>4800</v>
      </c>
      <c r="I136" s="259">
        <f t="shared" ref="I136:I140" si="31">IFERROR((M136/C136),"-")</f>
        <v>0</v>
      </c>
      <c r="J136" s="770">
        <f t="shared" ref="J136:J140" si="32">IFERROR(ROUNDUP(I136/0.95,0.999),0)</f>
        <v>0</v>
      </c>
      <c r="K136" s="772" t="str">
        <f>IFERROR((M136/C136/J136*Preencher!$J$20),"-")</f>
        <v>-</v>
      </c>
      <c r="L136" s="37"/>
      <c r="M136" s="285">
        <f>Preencher!$J$18</f>
        <v>0</v>
      </c>
      <c r="N136" s="259">
        <f t="shared" ref="N136:N140" si="33">IFERROR((R136/C136),"-")</f>
        <v>0</v>
      </c>
      <c r="O136" s="770">
        <f t="shared" ref="O136:O140" si="34">IFERROR(ROUNDUP(N136/0.95,0.999),0)</f>
        <v>0</v>
      </c>
      <c r="P136" s="772" t="str">
        <f>IFERROR((R136/C136/O136*Preencher!$K$20),"-")</f>
        <v>-</v>
      </c>
      <c r="Q136" s="37"/>
      <c r="R136" s="285">
        <f>Preencher!$K$18</f>
        <v>0</v>
      </c>
    </row>
    <row r="137" spans="1:18">
      <c r="A137" s="268" t="s">
        <v>3170</v>
      </c>
      <c r="B137" s="119">
        <v>15</v>
      </c>
      <c r="C137" s="770">
        <f t="shared" si="28"/>
        <v>240</v>
      </c>
      <c r="D137" s="259">
        <f t="shared" si="29"/>
        <v>3</v>
      </c>
      <c r="E137" s="770">
        <f t="shared" si="30"/>
        <v>4</v>
      </c>
      <c r="F137" s="772">
        <f>IFERROR((H137/C137/E137*Preencher!$I$20),"-")</f>
        <v>0.75</v>
      </c>
      <c r="G137" s="37"/>
      <c r="H137" s="285">
        <f>Preencher!$I$18*0.15</f>
        <v>720</v>
      </c>
      <c r="I137" s="259">
        <f t="shared" si="31"/>
        <v>0</v>
      </c>
      <c r="J137" s="770">
        <f t="shared" si="32"/>
        <v>0</v>
      </c>
      <c r="K137" s="772" t="str">
        <f>IFERROR((M137/C137/J137*Preencher!$J$20),"-")</f>
        <v>-</v>
      </c>
      <c r="L137" s="37"/>
      <c r="M137" s="285">
        <f>Preencher!$J$18*0.15</f>
        <v>0</v>
      </c>
      <c r="N137" s="259">
        <f t="shared" si="33"/>
        <v>0</v>
      </c>
      <c r="O137" s="770">
        <f t="shared" si="34"/>
        <v>0</v>
      </c>
      <c r="P137" s="772" t="str">
        <f>IFERROR((R137/C137/O137*Preencher!$K$20),"-")</f>
        <v>-</v>
      </c>
      <c r="Q137" s="37"/>
      <c r="R137" s="285">
        <f>Preencher!$K$18*0.15</f>
        <v>0</v>
      </c>
    </row>
    <row r="138" spans="1:18">
      <c r="A138" s="268" t="s">
        <v>5236</v>
      </c>
      <c r="B138" s="119">
        <v>0</v>
      </c>
      <c r="C138" s="770" t="str">
        <f t="shared" si="28"/>
        <v>-</v>
      </c>
      <c r="D138" s="259" t="str">
        <f t="shared" si="29"/>
        <v>-</v>
      </c>
      <c r="E138" s="770">
        <f t="shared" si="30"/>
        <v>0</v>
      </c>
      <c r="F138" s="772" t="str">
        <f>IFERROR((H138/C138/E138*Preencher!$I$20),"-")</f>
        <v>-</v>
      </c>
      <c r="G138" s="37"/>
      <c r="H138" s="285">
        <f>Preencher!$I$18</f>
        <v>4800</v>
      </c>
      <c r="I138" s="259" t="str">
        <f t="shared" si="31"/>
        <v>-</v>
      </c>
      <c r="J138" s="770">
        <f t="shared" si="32"/>
        <v>0</v>
      </c>
      <c r="K138" s="772" t="str">
        <f>IFERROR((M138/C138/J138*Preencher!$J$20),"-")</f>
        <v>-</v>
      </c>
      <c r="L138" s="37"/>
      <c r="M138" s="285">
        <f>Preencher!$J$18</f>
        <v>0</v>
      </c>
      <c r="N138" s="259" t="str">
        <f t="shared" si="33"/>
        <v>-</v>
      </c>
      <c r="O138" s="770">
        <f t="shared" si="34"/>
        <v>0</v>
      </c>
      <c r="P138" s="772" t="str">
        <f>IFERROR((R138/C138/O138*Preencher!$K$20),"-")</f>
        <v>-</v>
      </c>
      <c r="Q138" s="37"/>
      <c r="R138" s="285">
        <f>Preencher!$K$18</f>
        <v>0</v>
      </c>
    </row>
    <row r="139" spans="1:18">
      <c r="A139" s="268" t="s">
        <v>5237</v>
      </c>
      <c r="B139" s="119">
        <v>0.22500000000000001</v>
      </c>
      <c r="C139" s="770">
        <f t="shared" si="28"/>
        <v>16000</v>
      </c>
      <c r="D139" s="259">
        <f t="shared" si="29"/>
        <v>0.3</v>
      </c>
      <c r="E139" s="770">
        <f t="shared" si="30"/>
        <v>1</v>
      </c>
      <c r="F139" s="772">
        <f>IFERROR((H139/C139/E139*Preencher!$I$20),"-")</f>
        <v>0.3</v>
      </c>
      <c r="G139" s="37"/>
      <c r="H139" s="285">
        <f>Preencher!$I$18</f>
        <v>4800</v>
      </c>
      <c r="I139" s="259">
        <f t="shared" si="31"/>
        <v>0</v>
      </c>
      <c r="J139" s="770">
        <f t="shared" si="32"/>
        <v>0</v>
      </c>
      <c r="K139" s="772" t="str">
        <f>IFERROR((M139/C139/J139*Preencher!$J$20),"-")</f>
        <v>-</v>
      </c>
      <c r="L139" s="37"/>
      <c r="M139" s="285">
        <f>Preencher!$J$18</f>
        <v>0</v>
      </c>
      <c r="N139" s="259">
        <f t="shared" si="33"/>
        <v>0</v>
      </c>
      <c r="O139" s="770">
        <f t="shared" si="34"/>
        <v>0</v>
      </c>
      <c r="P139" s="772" t="str">
        <f>IFERROR((R139/C139/O139*Preencher!$K$20),"-")</f>
        <v>-</v>
      </c>
      <c r="Q139" s="37"/>
      <c r="R139" s="285">
        <f>Preencher!$K$18</f>
        <v>0</v>
      </c>
    </row>
    <row r="140" spans="1:18">
      <c r="A140" s="268" t="s">
        <v>5238</v>
      </c>
      <c r="B140" s="119">
        <v>0.22500000000000001</v>
      </c>
      <c r="C140" s="770">
        <f t="shared" si="28"/>
        <v>16000</v>
      </c>
      <c r="D140" s="259">
        <f t="shared" si="29"/>
        <v>0.3</v>
      </c>
      <c r="E140" s="770">
        <f t="shared" si="30"/>
        <v>1</v>
      </c>
      <c r="F140" s="772">
        <f>IFERROR((H140/C140/E140*Preencher!$I$20),"-")</f>
        <v>0.3</v>
      </c>
      <c r="G140" s="37"/>
      <c r="H140" s="285">
        <f>Preencher!$I$18</f>
        <v>4800</v>
      </c>
      <c r="I140" s="259">
        <f t="shared" si="31"/>
        <v>0</v>
      </c>
      <c r="J140" s="770">
        <f t="shared" si="32"/>
        <v>0</v>
      </c>
      <c r="K140" s="772" t="str">
        <f>IFERROR((M140/C140/J140*Preencher!$J$20),"-")</f>
        <v>-</v>
      </c>
      <c r="L140" s="37"/>
      <c r="M140" s="285">
        <f>Preencher!$J$18</f>
        <v>0</v>
      </c>
      <c r="N140" s="259">
        <f t="shared" si="33"/>
        <v>0</v>
      </c>
      <c r="O140" s="770">
        <f t="shared" si="34"/>
        <v>0</v>
      </c>
      <c r="P140" s="772" t="str">
        <f>IFERROR((R140/C140/O140*Preencher!$K$20),"-")</f>
        <v>-</v>
      </c>
      <c r="Q140" s="37"/>
      <c r="R140" s="285">
        <f>Preencher!$K$18</f>
        <v>0</v>
      </c>
    </row>
    <row r="141" spans="1:18">
      <c r="A141" s="268"/>
      <c r="B141" s="288"/>
      <c r="C141" s="13"/>
      <c r="D141" s="13"/>
      <c r="E141" s="13"/>
      <c r="F141" s="13"/>
      <c r="G141" s="13"/>
      <c r="H141" s="113"/>
      <c r="I141" s="13"/>
      <c r="J141" s="13"/>
      <c r="K141" s="13"/>
      <c r="L141" s="13"/>
      <c r="M141" s="113"/>
      <c r="N141" s="13"/>
      <c r="O141" s="13"/>
      <c r="P141" s="13"/>
      <c r="Q141" s="13"/>
      <c r="R141" s="113"/>
    </row>
    <row r="142" spans="1:18">
      <c r="A142" s="268" t="s">
        <v>234</v>
      </c>
      <c r="B142" s="288"/>
      <c r="C142" s="13"/>
      <c r="D142" s="13"/>
      <c r="E142" s="13"/>
      <c r="F142" s="13"/>
      <c r="G142" s="13"/>
      <c r="H142" s="113"/>
      <c r="I142" s="13"/>
      <c r="J142" s="13"/>
      <c r="K142" s="13"/>
      <c r="L142" s="13"/>
      <c r="M142" s="113"/>
      <c r="N142" s="13"/>
      <c r="O142" s="13"/>
      <c r="P142" s="13"/>
      <c r="Q142" s="13"/>
      <c r="R142" s="113"/>
    </row>
    <row r="143" spans="1:18">
      <c r="A143" s="268" t="s">
        <v>3171</v>
      </c>
      <c r="B143" s="119">
        <f>0.3-0.3</f>
        <v>0</v>
      </c>
      <c r="C143" s="770" t="str">
        <f t="shared" ref="C143:C145" si="35">IF(B143=0,"-",3600/B143)</f>
        <v>-</v>
      </c>
      <c r="D143" s="259" t="str">
        <f t="shared" ref="D143:D145" si="36">IFERROR((H143/C143),"-")</f>
        <v>-</v>
      </c>
      <c r="E143" s="770">
        <f t="shared" ref="E143:E145" si="37">IFERROR(ROUNDUP(D143/0.95,0.999),0)</f>
        <v>0</v>
      </c>
      <c r="F143" s="772" t="str">
        <f>IFERROR((H143/C143/E143*Preencher!$I$20),"-")</f>
        <v>-</v>
      </c>
      <c r="G143" s="37"/>
      <c r="H143" s="285">
        <f>Preencher!$I$18</f>
        <v>4800</v>
      </c>
      <c r="I143" s="259" t="str">
        <f t="shared" ref="I143:I146" si="38">IFERROR((M143/C143),"-")</f>
        <v>-</v>
      </c>
      <c r="J143" s="770">
        <f t="shared" ref="J143:J145" si="39">IFERROR(ROUNDUP(I143/0.95,0.999),0)</f>
        <v>0</v>
      </c>
      <c r="K143" s="772" t="str">
        <f>IFERROR((M143/C143/J143*Preencher!$J$20),"-")</f>
        <v>-</v>
      </c>
      <c r="L143" s="37"/>
      <c r="M143" s="285">
        <f>Preencher!$J$18</f>
        <v>0</v>
      </c>
      <c r="N143" s="259" t="str">
        <f t="shared" ref="N143:N146" si="40">IFERROR((R143/C143),"-")</f>
        <v>-</v>
      </c>
      <c r="O143" s="770">
        <f t="shared" ref="O143:O145" si="41">IFERROR(ROUNDUP(N143/0.95,0.999),0)</f>
        <v>0</v>
      </c>
      <c r="P143" s="772" t="str">
        <f>IFERROR((R143/C143/O143*Preencher!$K$20),"-")</f>
        <v>-</v>
      </c>
      <c r="Q143" s="37"/>
      <c r="R143" s="285">
        <f>Preencher!$K$18</f>
        <v>0</v>
      </c>
    </row>
    <row r="144" spans="1:18">
      <c r="A144" s="268" t="s">
        <v>3172</v>
      </c>
      <c r="B144" s="119">
        <f>0.3-0.3</f>
        <v>0</v>
      </c>
      <c r="C144" s="770" t="str">
        <f t="shared" si="35"/>
        <v>-</v>
      </c>
      <c r="D144" s="259" t="str">
        <f t="shared" si="36"/>
        <v>-</v>
      </c>
      <c r="E144" s="770">
        <f t="shared" si="37"/>
        <v>0</v>
      </c>
      <c r="F144" s="772" t="str">
        <f>IFERROR((H144/C144/E144*Preencher!$I$20),"-")</f>
        <v>-</v>
      </c>
      <c r="G144" s="37"/>
      <c r="H144" s="285">
        <f>Preencher!$I$18</f>
        <v>4800</v>
      </c>
      <c r="I144" s="259" t="str">
        <f t="shared" si="38"/>
        <v>-</v>
      </c>
      <c r="J144" s="770">
        <f t="shared" si="39"/>
        <v>0</v>
      </c>
      <c r="K144" s="772" t="str">
        <f>IFERROR((M144/C144/J144*Preencher!$J$20),"-")</f>
        <v>-</v>
      </c>
      <c r="L144" s="37"/>
      <c r="M144" s="285">
        <f>Preencher!$J$18</f>
        <v>0</v>
      </c>
      <c r="N144" s="259" t="str">
        <f t="shared" si="40"/>
        <v>-</v>
      </c>
      <c r="O144" s="770">
        <f t="shared" si="41"/>
        <v>0</v>
      </c>
      <c r="P144" s="772" t="str">
        <f>IFERROR((R144/C144/O144*Preencher!$K$20),"-")</f>
        <v>-</v>
      </c>
      <c r="Q144" s="37"/>
      <c r="R144" s="285">
        <f>Preencher!$K$18</f>
        <v>0</v>
      </c>
    </row>
    <row r="145" spans="1:19">
      <c r="A145" s="268" t="s">
        <v>954</v>
      </c>
      <c r="B145" s="119">
        <v>0</v>
      </c>
      <c r="C145" s="770" t="str">
        <f t="shared" si="35"/>
        <v>-</v>
      </c>
      <c r="D145" s="259" t="str">
        <f t="shared" si="36"/>
        <v>-</v>
      </c>
      <c r="E145" s="770">
        <f t="shared" si="37"/>
        <v>0</v>
      </c>
      <c r="F145" s="772" t="str">
        <f>IFERROR((H145/C145/E145*Preencher!$I$20),"-")</f>
        <v>-</v>
      </c>
      <c r="G145" s="37"/>
      <c r="H145" s="285">
        <f>Preencher!$I$18</f>
        <v>4800</v>
      </c>
      <c r="I145" s="259" t="str">
        <f t="shared" si="38"/>
        <v>-</v>
      </c>
      <c r="J145" s="770">
        <f t="shared" si="39"/>
        <v>0</v>
      </c>
      <c r="K145" s="772" t="str">
        <f>IFERROR((M145/C145/J145*Preencher!$J$20),"-")</f>
        <v>-</v>
      </c>
      <c r="L145" s="37"/>
      <c r="M145" s="285">
        <f>Preencher!$J$18</f>
        <v>0</v>
      </c>
      <c r="N145" s="259" t="str">
        <f t="shared" si="40"/>
        <v>-</v>
      </c>
      <c r="O145" s="770">
        <f t="shared" si="41"/>
        <v>0</v>
      </c>
      <c r="P145" s="772" t="str">
        <f>IFERROR((R145/C145/O145*Preencher!$K$20),"-")</f>
        <v>-</v>
      </c>
      <c r="Q145" s="37"/>
      <c r="R145" s="285">
        <f>Preencher!$K$18</f>
        <v>0</v>
      </c>
    </row>
    <row r="146" spans="1:19">
      <c r="A146" s="268" t="s">
        <v>16</v>
      </c>
      <c r="B146" s="284"/>
      <c r="C146" s="770"/>
      <c r="D146" s="259"/>
      <c r="E146" s="770">
        <f>IFERROR(((SUM(Avaliação!J102:J117))/H146),"-")</f>
        <v>2.25</v>
      </c>
      <c r="F146" s="772" t="str">
        <f>IFERROR((H146/C146/E146),"-")</f>
        <v>-</v>
      </c>
      <c r="G146" s="37"/>
      <c r="H146" s="285">
        <f>IF(Preencher!$B$15="Não",0,4)</f>
        <v>4</v>
      </c>
      <c r="I146" s="259" t="str">
        <f t="shared" si="38"/>
        <v>-</v>
      </c>
      <c r="J146" s="770">
        <f>IFERROR(((SUM(Avaliação!N102:N117))/M146),"-")</f>
        <v>0</v>
      </c>
      <c r="K146" s="772" t="str">
        <f ca="1">IFERROR((M146/C146/A104n110),"-")</f>
        <v>-</v>
      </c>
      <c r="L146" s="37"/>
      <c r="M146" s="285">
        <f>IF(Preencher!$C$15="Não",0,4)</f>
        <v>4</v>
      </c>
      <c r="N146" s="259" t="str">
        <f t="shared" si="40"/>
        <v>-</v>
      </c>
      <c r="O146" s="770">
        <f>IFERROR(((SUM(Avaliação!R102:R117))/R146),"-")</f>
        <v>0</v>
      </c>
      <c r="P146" s="772" t="str">
        <f>IFERROR((R146/C146/O146),"-")</f>
        <v>-</v>
      </c>
      <c r="Q146" s="37"/>
      <c r="R146" s="285">
        <f>IF(Preencher!$D$15="Não",0,4)</f>
        <v>4</v>
      </c>
    </row>
    <row r="147" spans="1:19">
      <c r="A147" s="268"/>
      <c r="B147" s="119"/>
      <c r="C147" s="770"/>
      <c r="D147" s="259"/>
      <c r="E147" s="770"/>
      <c r="F147" s="772"/>
      <c r="G147" s="37"/>
      <c r="H147" s="285"/>
      <c r="I147" s="259"/>
      <c r="J147" s="770"/>
      <c r="K147" s="772"/>
      <c r="L147" s="37"/>
      <c r="M147" s="285"/>
      <c r="N147" s="259"/>
      <c r="O147" s="770"/>
      <c r="P147" s="772"/>
      <c r="Q147" s="37"/>
      <c r="R147" s="285"/>
    </row>
    <row r="148" spans="1:19">
      <c r="A148" s="268"/>
      <c r="B148" s="288"/>
      <c r="C148" s="13"/>
      <c r="D148" s="13"/>
      <c r="E148" s="13"/>
      <c r="F148" s="13"/>
      <c r="G148" s="13"/>
      <c r="H148" s="113"/>
      <c r="I148" s="13"/>
      <c r="J148" s="13"/>
      <c r="K148" s="13"/>
      <c r="L148" s="13"/>
      <c r="M148" s="113"/>
      <c r="N148" s="13"/>
      <c r="O148" s="13"/>
      <c r="P148" s="13"/>
      <c r="Q148" s="13"/>
      <c r="R148" s="113"/>
    </row>
    <row r="149" spans="1:19">
      <c r="A149" s="264" t="s">
        <v>235</v>
      </c>
      <c r="B149" s="282"/>
      <c r="C149" s="40"/>
      <c r="D149" s="40"/>
      <c r="E149" s="40"/>
      <c r="F149" s="40"/>
      <c r="G149" s="40"/>
      <c r="H149" s="283"/>
      <c r="I149" s="40"/>
      <c r="J149" s="40"/>
      <c r="K149" s="40"/>
      <c r="L149" s="40"/>
      <c r="M149" s="283"/>
      <c r="N149" s="40"/>
      <c r="O149" s="40"/>
      <c r="P149" s="40"/>
      <c r="Q149" s="40"/>
      <c r="R149" s="283"/>
    </row>
    <row r="150" spans="1:19">
      <c r="A150" s="268" t="s">
        <v>17</v>
      </c>
      <c r="B150" s="288"/>
      <c r="C150" s="13"/>
      <c r="D150" s="13"/>
      <c r="E150" s="13"/>
      <c r="F150" s="13"/>
      <c r="G150" s="13"/>
      <c r="H150" s="113"/>
      <c r="I150" s="13"/>
      <c r="J150" s="13"/>
      <c r="K150" s="13"/>
      <c r="L150" s="13"/>
      <c r="M150" s="113"/>
      <c r="N150" s="13"/>
      <c r="O150" s="13"/>
      <c r="P150" s="13"/>
      <c r="Q150" s="13"/>
      <c r="R150" s="113"/>
    </row>
    <row r="151" spans="1:19">
      <c r="A151" s="268" t="s">
        <v>18</v>
      </c>
      <c r="B151" s="288"/>
      <c r="C151" s="13"/>
      <c r="D151" s="13"/>
      <c r="E151" s="13"/>
      <c r="F151" s="13"/>
      <c r="G151" s="13"/>
      <c r="H151" s="113"/>
      <c r="I151" s="13"/>
      <c r="J151" s="13"/>
      <c r="K151" s="13"/>
      <c r="L151" s="13"/>
      <c r="M151" s="113"/>
      <c r="N151" s="13"/>
      <c r="O151" s="13"/>
      <c r="P151" s="13"/>
      <c r="Q151" s="13"/>
      <c r="R151" s="113"/>
    </row>
    <row r="152" spans="1:19">
      <c r="A152" s="268"/>
      <c r="B152" s="288"/>
      <c r="C152" s="13"/>
      <c r="D152" s="13"/>
      <c r="E152" s="13"/>
      <c r="F152" s="13"/>
      <c r="G152" s="13"/>
      <c r="H152" s="113"/>
      <c r="I152" s="13"/>
      <c r="J152" s="13"/>
      <c r="K152" s="13"/>
      <c r="L152" s="13"/>
      <c r="M152" s="113"/>
      <c r="N152" s="13"/>
      <c r="O152" s="13"/>
      <c r="P152" s="13"/>
      <c r="Q152" s="13"/>
      <c r="R152" s="113"/>
    </row>
    <row r="153" spans="1:19">
      <c r="A153" s="262" t="s">
        <v>242</v>
      </c>
      <c r="B153" s="278"/>
      <c r="C153" s="17"/>
      <c r="D153" s="17"/>
      <c r="E153" s="17"/>
      <c r="F153" s="17"/>
      <c r="G153" s="17"/>
      <c r="H153" s="279"/>
      <c r="I153" s="17"/>
      <c r="J153" s="17"/>
      <c r="K153" s="17"/>
      <c r="L153" s="17"/>
      <c r="M153" s="279"/>
      <c r="N153" s="17"/>
      <c r="O153" s="17"/>
      <c r="P153" s="17"/>
      <c r="Q153" s="17"/>
      <c r="R153" s="279"/>
    </row>
    <row r="154" spans="1:19">
      <c r="A154" s="263" t="s">
        <v>195</v>
      </c>
      <c r="B154" s="280"/>
      <c r="C154" s="35"/>
      <c r="D154" s="35"/>
      <c r="E154" s="35"/>
      <c r="F154" s="35"/>
      <c r="G154" s="35"/>
      <c r="H154" s="281"/>
      <c r="I154" s="35"/>
      <c r="J154" s="35"/>
      <c r="K154" s="35"/>
      <c r="L154" s="35"/>
      <c r="M154" s="281"/>
      <c r="N154" s="35"/>
      <c r="O154" s="35"/>
      <c r="P154" s="35"/>
      <c r="Q154" s="35"/>
      <c r="R154" s="281"/>
    </row>
    <row r="155" spans="1:19">
      <c r="A155" s="264" t="s">
        <v>722</v>
      </c>
      <c r="B155" s="282"/>
      <c r="C155" s="40"/>
      <c r="D155" s="40"/>
      <c r="E155" s="40"/>
      <c r="F155" s="40"/>
      <c r="G155" s="40"/>
      <c r="H155" s="283"/>
      <c r="I155" s="40"/>
      <c r="J155" s="40"/>
      <c r="K155" s="40"/>
      <c r="L155" s="40"/>
      <c r="M155" s="283"/>
      <c r="N155" s="40"/>
      <c r="O155" s="40"/>
      <c r="P155" s="40"/>
      <c r="Q155" s="40"/>
      <c r="R155" s="283"/>
    </row>
    <row r="156" spans="1:19">
      <c r="A156" s="265" t="s">
        <v>45</v>
      </c>
      <c r="B156" s="119"/>
      <c r="C156" s="319"/>
      <c r="D156" s="259"/>
      <c r="E156" s="319">
        <f>E157+E158</f>
        <v>1</v>
      </c>
      <c r="F156" s="320">
        <f>IFERROR(MEDIAN(F157:F158),"-")</f>
        <v>0.6</v>
      </c>
      <c r="G156" s="37"/>
      <c r="H156" s="285"/>
      <c r="I156" s="259"/>
      <c r="J156" s="319">
        <f>J157+J158</f>
        <v>0</v>
      </c>
      <c r="K156" s="320" t="str">
        <f>IFERROR(MEDIAN(K157:K158),"-")</f>
        <v>-</v>
      </c>
      <c r="L156" s="37"/>
      <c r="M156" s="285"/>
      <c r="N156" s="259"/>
      <c r="O156" s="319">
        <f>O157+O158</f>
        <v>0</v>
      </c>
      <c r="P156" s="320" t="str">
        <f>IFERROR(MEDIAN(P157:P158),"-")</f>
        <v>-</v>
      </c>
      <c r="Q156" s="37"/>
      <c r="R156" s="285"/>
    </row>
    <row r="157" spans="1:19">
      <c r="A157" s="314" t="s">
        <v>1140</v>
      </c>
      <c r="B157" s="119">
        <f>0.45</f>
        <v>0.45</v>
      </c>
      <c r="C157" s="319">
        <f>IF(B157=0,"-",3600/B157)</f>
        <v>8000</v>
      </c>
      <c r="D157" s="259">
        <f>IFERROR((H157/C157),"-")</f>
        <v>0.6</v>
      </c>
      <c r="E157" s="319">
        <f>IFERROR(ROUNDUP(D157/0.98,0.999),0)</f>
        <v>1</v>
      </c>
      <c r="F157" s="320">
        <f t="shared" ref="F157:F164" si="42">IFERROR((H157/C157/E157),"-")</f>
        <v>0.6</v>
      </c>
      <c r="G157" s="37"/>
      <c r="H157" s="285">
        <f>Preencher!$I$18*Preencher!$I$20*RESUMO!$C$28</f>
        <v>4800</v>
      </c>
      <c r="I157" s="259">
        <f>IFERROR((M157/C157),"-")</f>
        <v>0</v>
      </c>
      <c r="J157" s="319">
        <f>IFERROR(ROUNDUP(I157/0.95,0.999),0)</f>
        <v>0</v>
      </c>
      <c r="K157" s="320" t="str">
        <f>IFERROR((M157/C157/J157),"-")</f>
        <v>-</v>
      </c>
      <c r="L157" s="37"/>
      <c r="M157" s="285">
        <f>Preencher!$J$18*Preencher!$J$20*RESUMO!$C$28</f>
        <v>0</v>
      </c>
      <c r="N157" s="259">
        <f>IFERROR((R157/C157),"-")</f>
        <v>0</v>
      </c>
      <c r="O157" s="319">
        <f>IFERROR(ROUNDUP(N157/0.95,0.999),0)</f>
        <v>0</v>
      </c>
      <c r="P157" s="320" t="str">
        <f>IFERROR((R157/C157/O157),"-")</f>
        <v>-</v>
      </c>
      <c r="Q157" s="37"/>
      <c r="R157" s="285">
        <f>Preencher!$K$18*Preencher!$K$20*RESUMO!$C$28</f>
        <v>0</v>
      </c>
    </row>
    <row r="158" spans="1:19">
      <c r="A158" s="314" t="s">
        <v>1141</v>
      </c>
      <c r="B158" s="119">
        <v>0.27</v>
      </c>
      <c r="C158" s="319">
        <f>IF(B158=0,"-",3600/B158)</f>
        <v>13333.333333333332</v>
      </c>
      <c r="D158" s="259">
        <f>IFERROR((H158/C158),"-")</f>
        <v>0</v>
      </c>
      <c r="E158" s="319">
        <f t="shared" ref="E158:E164" si="43">IFERROR(ROUNDUP(D158/0.95,0.999),0)</f>
        <v>0</v>
      </c>
      <c r="F158" s="320" t="str">
        <f t="shared" si="42"/>
        <v>-</v>
      </c>
      <c r="G158" s="37"/>
      <c r="H158" s="285">
        <f>Preencher!$I$19*Preencher!$I$21*RESUMO!$C$28</f>
        <v>0</v>
      </c>
      <c r="I158" s="259">
        <f>IFERROR((M158/C158),"-")</f>
        <v>0</v>
      </c>
      <c r="J158" s="319">
        <f>IFERROR(ROUNDUP(I158/0.95,0.999),0)</f>
        <v>0</v>
      </c>
      <c r="K158" s="320" t="str">
        <f>IFERROR((M158/C158/J158),"-")</f>
        <v>-</v>
      </c>
      <c r="L158" s="37"/>
      <c r="M158" s="285">
        <f>Preencher!$J$19*Preencher!$J$21*RESUMO!$C$28</f>
        <v>0</v>
      </c>
      <c r="N158" s="259">
        <f>IFERROR((R158/C158),"-")</f>
        <v>0</v>
      </c>
      <c r="O158" s="319">
        <f>IFERROR(ROUNDUP(N158/0.95,0.999),0)</f>
        <v>0</v>
      </c>
      <c r="P158" s="320" t="str">
        <f>IFERROR((R158/C158/O158),"-")</f>
        <v>-</v>
      </c>
      <c r="Q158" s="37"/>
      <c r="R158" s="285">
        <f>Preencher!$K$19*Preencher!$K$21*RESUMO!$C$28</f>
        <v>0</v>
      </c>
    </row>
    <row r="159" spans="1:19">
      <c r="A159" s="265" t="s">
        <v>46</v>
      </c>
      <c r="B159" s="119"/>
      <c r="C159" s="259">
        <f>AVERAGE(C160:C164)</f>
        <v>74.57180500658761</v>
      </c>
      <c r="D159" s="259">
        <f>SUM(D160:D164)</f>
        <v>0.49503916449086172</v>
      </c>
      <c r="E159" s="686">
        <f t="shared" si="43"/>
        <v>1</v>
      </c>
      <c r="F159" s="687">
        <f t="shared" si="42"/>
        <v>0.43451494155310977</v>
      </c>
      <c r="G159" s="326"/>
      <c r="H159" s="690">
        <f>SUM(H160:H164)</f>
        <v>32.402563493947312</v>
      </c>
      <c r="I159" s="606">
        <f>SUM(I160:I164)</f>
        <v>0</v>
      </c>
      <c r="J159" s="686">
        <f>IFERROR(ROUNDUP(I159/0.95,0.999),0)</f>
        <v>0</v>
      </c>
      <c r="K159" s="687" t="str">
        <f>IFERROR((M159/C159/J159),"-")</f>
        <v>-</v>
      </c>
      <c r="L159" s="326"/>
      <c r="M159" s="690">
        <f>SUM(M160:M164)</f>
        <v>0</v>
      </c>
      <c r="N159" s="606">
        <f>SUM(N160:N164)</f>
        <v>0</v>
      </c>
      <c r="O159" s="686">
        <f>IFERROR(ROUNDUP(N159/0.95,0.999),0)</f>
        <v>0</v>
      </c>
      <c r="P159" s="687" t="str">
        <f>IFERROR((R159/C159/O159),"-")</f>
        <v>-</v>
      </c>
      <c r="Q159" s="326"/>
      <c r="R159" s="690">
        <f>SUM(R160:R164)</f>
        <v>0</v>
      </c>
      <c r="S159" s="691"/>
    </row>
    <row r="160" spans="1:19">
      <c r="A160" s="314" t="s">
        <v>984</v>
      </c>
      <c r="B160" s="119"/>
      <c r="C160" s="319" t="str">
        <f>IF(B160=0,"-",3600/B160)</f>
        <v>-</v>
      </c>
      <c r="D160" s="259" t="str">
        <f>IFERROR((H160/C160),"-")</f>
        <v>-</v>
      </c>
      <c r="E160" s="319">
        <f t="shared" si="43"/>
        <v>0</v>
      </c>
      <c r="F160" s="320" t="str">
        <f t="shared" si="42"/>
        <v>-</v>
      </c>
      <c r="G160" s="325"/>
      <c r="H160" s="556">
        <f>RESUMO!$F$29*Preencher!$I$12*SUM(Preencher!$I$13:$I$14)/SUM(Preencher!$I$13:$K$14)</f>
        <v>0</v>
      </c>
      <c r="I160" s="259" t="str">
        <f>IFERROR((M160/C160),"-")</f>
        <v>-</v>
      </c>
      <c r="J160" s="319">
        <f t="shared" ref="J160:J208" si="44">IFERROR(ROUNDUP(I160/0.95,0.999),0)</f>
        <v>0</v>
      </c>
      <c r="K160" s="320" t="str">
        <f t="shared" ref="K160:K208" si="45">IFERROR((M160/C160/J160),"-")</f>
        <v>-</v>
      </c>
      <c r="L160" s="325"/>
      <c r="M160" s="556">
        <f>RESUMO!$F$29*Preencher!$I$12*SUM(Preencher!$J$13:$J$14)/SUM(Preencher!$I$13:$K$14)</f>
        <v>0</v>
      </c>
      <c r="N160" s="259" t="str">
        <f t="shared" ref="N160:N208" si="46">IFERROR((R160/C160),"-")</f>
        <v>-</v>
      </c>
      <c r="O160" s="319">
        <f t="shared" ref="O160:O208" si="47">IFERROR(ROUNDUP(N160/0.95,0.999),0)</f>
        <v>0</v>
      </c>
      <c r="P160" s="320" t="str">
        <f t="shared" ref="P160:P208" si="48">IFERROR((R160/C160/O160),"-")</f>
        <v>-</v>
      </c>
      <c r="Q160" s="325"/>
      <c r="R160" s="556">
        <f>RESUMO!F29*Preencher!$I$12*SUM(Preencher!$K$13:$K$14)/SUM(Preencher!$I$13:$K$14)</f>
        <v>0</v>
      </c>
    </row>
    <row r="161" spans="1:19">
      <c r="A161" s="314" t="s">
        <v>983</v>
      </c>
      <c r="B161" s="119">
        <v>45</v>
      </c>
      <c r="C161" s="319">
        <f>IF(B161=0,"-",3600/B161)</f>
        <v>80</v>
      </c>
      <c r="D161" s="259">
        <f>IFERROR((H161/C161),"-")</f>
        <v>0</v>
      </c>
      <c r="E161" s="319">
        <f t="shared" si="43"/>
        <v>0</v>
      </c>
      <c r="F161" s="320" t="str">
        <f t="shared" si="42"/>
        <v>-</v>
      </c>
      <c r="G161" s="37"/>
      <c r="H161" s="556">
        <f>RESUMO!F30*Preencher!$I$12*SUM(Preencher!$I$13:$I$14)/SUM(Preencher!$I$13:$K$14)</f>
        <v>0</v>
      </c>
      <c r="I161" s="259">
        <f>IFERROR((M161/C161),"-")</f>
        <v>0</v>
      </c>
      <c r="J161" s="319">
        <f t="shared" si="44"/>
        <v>0</v>
      </c>
      <c r="K161" s="320" t="str">
        <f t="shared" si="45"/>
        <v>-</v>
      </c>
      <c r="L161" s="37"/>
      <c r="M161" s="556">
        <f>RESUMO!F30*Preencher!$I$12*SUM(Preencher!$J$13:$J$14)/SUM(Preencher!$I$13:$K$14)</f>
        <v>0</v>
      </c>
      <c r="N161" s="259">
        <f t="shared" si="46"/>
        <v>0</v>
      </c>
      <c r="O161" s="319">
        <f t="shared" si="47"/>
        <v>0</v>
      </c>
      <c r="P161" s="320" t="str">
        <f t="shared" si="48"/>
        <v>-</v>
      </c>
      <c r="Q161" s="37"/>
      <c r="R161" s="556">
        <f>RESUMO!F30*Preencher!$I$12*SUM(Preencher!$K$13:$K$14)/SUM(Preencher!$I$13:$K$14)</f>
        <v>0</v>
      </c>
    </row>
    <row r="162" spans="1:19">
      <c r="A162" s="314" t="s">
        <v>1142</v>
      </c>
      <c r="B162" s="119">
        <f>45+10</f>
        <v>55</v>
      </c>
      <c r="C162" s="319">
        <f>IF(B162=0,"-",3600/B162)</f>
        <v>65.454545454545453</v>
      </c>
      <c r="D162" s="259">
        <f>IFERROR((H162/C162),"-")</f>
        <v>0.49503916449086172</v>
      </c>
      <c r="E162" s="319">
        <f t="shared" si="43"/>
        <v>1</v>
      </c>
      <c r="F162" s="320">
        <f t="shared" si="42"/>
        <v>0.49503916449086172</v>
      </c>
      <c r="G162" s="37"/>
      <c r="H162" s="556">
        <f>RESUMO!F31*Preencher!$I$12*SUM(Preencher!$I$13:$I$14)/SUM(Preencher!$I$13:$K$14)</f>
        <v>32.402563493947312</v>
      </c>
      <c r="I162" s="259">
        <f>IFERROR((M162/C162),"-")</f>
        <v>0</v>
      </c>
      <c r="J162" s="319">
        <f t="shared" si="44"/>
        <v>0</v>
      </c>
      <c r="K162" s="320" t="str">
        <f t="shared" si="45"/>
        <v>-</v>
      </c>
      <c r="L162" s="37"/>
      <c r="M162" s="556">
        <f>RESUMO!F31*Preencher!$I$12*SUM(Preencher!$J$13:$J$14)/SUM(Preencher!$I$13:$K$14)</f>
        <v>0</v>
      </c>
      <c r="N162" s="259">
        <f t="shared" si="46"/>
        <v>0</v>
      </c>
      <c r="O162" s="319">
        <f t="shared" si="47"/>
        <v>0</v>
      </c>
      <c r="P162" s="320" t="str">
        <f t="shared" si="48"/>
        <v>-</v>
      </c>
      <c r="Q162" s="37"/>
      <c r="R162" s="556">
        <f>RESUMO!F31*Preencher!$I$12*SUM(Preencher!$K$13:$K$14)/SUM(Preencher!$I$13:$K$14)</f>
        <v>0</v>
      </c>
    </row>
    <row r="163" spans="1:19">
      <c r="A163" s="314" t="s">
        <v>1143</v>
      </c>
      <c r="B163" s="119">
        <v>46</v>
      </c>
      <c r="C163" s="319">
        <f>IF(B163=0,"-",3600/B163)</f>
        <v>78.260869565217391</v>
      </c>
      <c r="D163" s="259">
        <f>IFERROR((H163/C163),"-")</f>
        <v>0</v>
      </c>
      <c r="E163" s="319">
        <f t="shared" si="43"/>
        <v>0</v>
      </c>
      <c r="F163" s="320" t="str">
        <f t="shared" si="42"/>
        <v>-</v>
      </c>
      <c r="G163" s="37"/>
      <c r="H163" s="556">
        <f>RESUMO!F32*Preencher!$I$12*SUM(Preencher!$I$13:$I$14)/SUM(Preencher!$I$13:$K$14)</f>
        <v>0</v>
      </c>
      <c r="I163" s="259">
        <f>IFERROR((M163/C163),"-")</f>
        <v>0</v>
      </c>
      <c r="J163" s="319">
        <f t="shared" si="44"/>
        <v>0</v>
      </c>
      <c r="K163" s="320" t="str">
        <f t="shared" si="45"/>
        <v>-</v>
      </c>
      <c r="L163" s="37"/>
      <c r="M163" s="556">
        <f>RESUMO!F32*Preencher!$I$12*SUM(Preencher!$J$13:$J$14)/SUM(Preencher!$I$13:$K$14)</f>
        <v>0</v>
      </c>
      <c r="N163" s="259">
        <f t="shared" si="46"/>
        <v>0</v>
      </c>
      <c r="O163" s="319">
        <f t="shared" si="47"/>
        <v>0</v>
      </c>
      <c r="P163" s="320" t="str">
        <f t="shared" si="48"/>
        <v>-</v>
      </c>
      <c r="Q163" s="37"/>
      <c r="R163" s="556">
        <f>RESUMO!F32*Preencher!$I$12*SUM(Preencher!$K$13:$K$14)/SUM(Preencher!$I$13:$K$14)</f>
        <v>0</v>
      </c>
    </row>
    <row r="164" spans="1:19">
      <c r="A164" s="265" t="s">
        <v>193</v>
      </c>
      <c r="B164" s="284"/>
      <c r="C164" s="251" t="str">
        <f>IF(B164=0,"-",3600/B164)</f>
        <v>-</v>
      </c>
      <c r="D164" s="259" t="str">
        <f>IFERROR((H164/C164),"-")</f>
        <v>-</v>
      </c>
      <c r="E164" s="251">
        <f t="shared" si="43"/>
        <v>0</v>
      </c>
      <c r="F164" s="252" t="str">
        <f t="shared" si="42"/>
        <v>-</v>
      </c>
      <c r="G164" s="37"/>
      <c r="H164" s="285"/>
      <c r="I164" s="259" t="str">
        <f>IFERROR((M164/C164),"-")</f>
        <v>-</v>
      </c>
      <c r="J164" s="251">
        <f t="shared" si="44"/>
        <v>0</v>
      </c>
      <c r="K164" s="252" t="str">
        <f t="shared" si="45"/>
        <v>-</v>
      </c>
      <c r="L164" s="37"/>
      <c r="M164" s="285"/>
      <c r="N164" s="259" t="str">
        <f t="shared" si="46"/>
        <v>-</v>
      </c>
      <c r="O164" s="251">
        <f t="shared" si="47"/>
        <v>0</v>
      </c>
      <c r="P164" s="252" t="str">
        <f t="shared" si="48"/>
        <v>-</v>
      </c>
      <c r="Q164" s="37"/>
      <c r="R164" s="285"/>
    </row>
    <row r="165" spans="1:19">
      <c r="A165" s="265" t="s">
        <v>47</v>
      </c>
      <c r="B165" s="119"/>
      <c r="C165" s="319"/>
      <c r="D165" s="259"/>
      <c r="E165" s="319">
        <f>E166+E167</f>
        <v>1</v>
      </c>
      <c r="F165" s="320">
        <f>IFERROR(MEDIAN(F166:F167),"-")</f>
        <v>0.3666666666666667</v>
      </c>
      <c r="G165" s="37"/>
      <c r="H165" s="285"/>
      <c r="I165" s="259"/>
      <c r="J165" s="319">
        <f>J166+J167</f>
        <v>0</v>
      </c>
      <c r="K165" s="320" t="str">
        <f>IFERROR(MEDIAN(K166:K167),"-")</f>
        <v>-</v>
      </c>
      <c r="L165" s="37"/>
      <c r="M165" s="285"/>
      <c r="N165" s="259"/>
      <c r="O165" s="319">
        <f>O166+O167</f>
        <v>0</v>
      </c>
      <c r="P165" s="320" t="str">
        <f>IFERROR(MEDIAN(P166:P167),"-")</f>
        <v>-</v>
      </c>
      <c r="Q165" s="37"/>
      <c r="R165" s="285"/>
    </row>
    <row r="166" spans="1:19">
      <c r="A166" s="314" t="s">
        <v>1151</v>
      </c>
      <c r="B166" s="119">
        <f>IF(RESUMO!$C$9=0,0,IF(Preencher!$B$30="automático",0.555+0.2,IF(Preencher!$B$30="pancover",0.275,0)))</f>
        <v>0.27500000000000002</v>
      </c>
      <c r="C166" s="319">
        <f>IF(B166=0,"-",3600/B166)</f>
        <v>13090.90909090909</v>
      </c>
      <c r="D166" s="259">
        <f>IFERROR((H166/C166),"-")</f>
        <v>0.3666666666666667</v>
      </c>
      <c r="E166" s="319">
        <f>IFERROR(ROUNDUP(D166/0.95,0.999),0)*Preencher!$I$20</f>
        <v>1</v>
      </c>
      <c r="F166" s="320">
        <f>IFERROR((H166/C166/E166*Preencher!$I$20),"-")</f>
        <v>0.3666666666666667</v>
      </c>
      <c r="G166" s="37"/>
      <c r="H166" s="285">
        <f>Preencher!$I$18</f>
        <v>4800</v>
      </c>
      <c r="I166" s="259">
        <f>IFERROR((M166/C166),"-")</f>
        <v>0</v>
      </c>
      <c r="J166" s="319">
        <f>IFERROR(ROUNDUP(I166/0.95,0.999),0)*Preencher!$J$20</f>
        <v>0</v>
      </c>
      <c r="K166" s="320" t="str">
        <f>IFERROR((M166/C166/J166*Preencher!$J$20),"-")</f>
        <v>-</v>
      </c>
      <c r="L166" s="37"/>
      <c r="M166" s="285">
        <f>Preencher!$J$18</f>
        <v>0</v>
      </c>
      <c r="N166" s="259">
        <f t="shared" si="46"/>
        <v>0</v>
      </c>
      <c r="O166" s="319">
        <f>IFERROR(ROUNDUP(N166/0.95,0.999),0)*Preencher!$K$20</f>
        <v>0</v>
      </c>
      <c r="P166" s="320" t="str">
        <f>IFERROR((R166/C166/O166*Preencher!$K$20),"-")</f>
        <v>-</v>
      </c>
      <c r="Q166" s="37"/>
      <c r="R166" s="285">
        <f>Preencher!$K$18</f>
        <v>0</v>
      </c>
    </row>
    <row r="167" spans="1:19">
      <c r="A167" s="314" t="s">
        <v>1152</v>
      </c>
      <c r="B167" s="119">
        <f>IF(RESUMO!$C$9=0,0,IF(Preencher!$B$30="automático",0.555,IF(Preencher!$B$30="pancover",0.275,0)))</f>
        <v>0.27500000000000002</v>
      </c>
      <c r="C167" s="319">
        <f>IF(B167=0,"-",3600/B167)</f>
        <v>13090.90909090909</v>
      </c>
      <c r="D167" s="259">
        <f>IFERROR((H167/C167),"-")</f>
        <v>0</v>
      </c>
      <c r="E167" s="319">
        <f>IFERROR(ROUNDUP(D167/0.95,0.999),0)*Preencher!$I$21</f>
        <v>0</v>
      </c>
      <c r="F167" s="320" t="str">
        <f>IFERROR((H167/C167/E167*Preencher!$I$21),"-")</f>
        <v>-</v>
      </c>
      <c r="G167" s="37"/>
      <c r="H167" s="285">
        <f>Preencher!$I$19</f>
        <v>0</v>
      </c>
      <c r="I167" s="259">
        <f>IFERROR((M167/C167),"-")</f>
        <v>0</v>
      </c>
      <c r="J167" s="319">
        <f>IFERROR(ROUNDUP(I167/0.95,0.999),0)*Preencher!$J$21</f>
        <v>0</v>
      </c>
      <c r="K167" s="320" t="str">
        <f>IFERROR((M167/C167/J167*Preencher!$J$21),"-")</f>
        <v>-</v>
      </c>
      <c r="L167" s="37"/>
      <c r="M167" s="285">
        <f>Preencher!$J$19</f>
        <v>0</v>
      </c>
      <c r="N167" s="259">
        <f t="shared" si="46"/>
        <v>0</v>
      </c>
      <c r="O167" s="319">
        <f>IFERROR(ROUNDUP(N167/0.95,0.999),0)*Preencher!$K$21</f>
        <v>0</v>
      </c>
      <c r="P167" s="320" t="str">
        <f>IFERROR((R167/C167/O167*Preencher!$K$20),"-")</f>
        <v>-</v>
      </c>
      <c r="Q167" s="37"/>
      <c r="R167" s="285">
        <f>Preencher!$K$19</f>
        <v>0</v>
      </c>
    </row>
    <row r="168" spans="1:19">
      <c r="A168" s="265" t="s">
        <v>48</v>
      </c>
      <c r="B168" s="284">
        <f>IF(RESUMO!$C$9=0,0,IF(Preencher!$B$30="automático",0.555-0.3,IF(Preencher!$B$30="pancover",0.275,0)))</f>
        <v>0.27500000000000002</v>
      </c>
      <c r="C168" s="251">
        <f>IF(B168=0,"-",3600/B168)</f>
        <v>13090.90909090909</v>
      </c>
      <c r="D168" s="259">
        <f>IFERROR((H168/C168),"-")</f>
        <v>0.3666666666666667</v>
      </c>
      <c r="E168" s="686">
        <f>IFERROR(ROUNDUP(D168/0.95,0.999),0)*Preencher!$I$20</f>
        <v>1</v>
      </c>
      <c r="F168" s="687">
        <f>IFERROR((H168/C168/E168*Preencher!$I$20),"-")</f>
        <v>0.3666666666666667</v>
      </c>
      <c r="G168" s="37"/>
      <c r="H168" s="285">
        <f>Preencher!$I$18</f>
        <v>4800</v>
      </c>
      <c r="I168" s="259">
        <f>IFERROR((M168/C168),"-")</f>
        <v>0</v>
      </c>
      <c r="J168" s="686">
        <f>IFERROR(ROUNDUP(I168/0.95,0.999),0)*Preencher!$J$20</f>
        <v>0</v>
      </c>
      <c r="K168" s="687" t="str">
        <f>IFERROR((M168/C168/J168*Preencher!$J$20),"-")</f>
        <v>-</v>
      </c>
      <c r="L168" s="37"/>
      <c r="M168" s="285">
        <f>Preencher!$J$18</f>
        <v>0</v>
      </c>
      <c r="N168" s="259">
        <f>IFERROR((R168/C168),"-")</f>
        <v>0</v>
      </c>
      <c r="O168" s="686">
        <f>IFERROR(ROUNDUP(N168/0.95,0.999),0)*Preencher!$K$20</f>
        <v>0</v>
      </c>
      <c r="P168" s="687" t="str">
        <f>IFERROR((R168/C168/O168*Preencher!$K$20),"-")</f>
        <v>-</v>
      </c>
      <c r="Q168" s="37"/>
      <c r="R168" s="285">
        <f>Preencher!$K$18</f>
        <v>0</v>
      </c>
    </row>
    <row r="169" spans="1:19">
      <c r="A169" s="265" t="s">
        <v>49</v>
      </c>
      <c r="B169" s="119"/>
      <c r="C169" s="319"/>
      <c r="D169" s="259"/>
      <c r="E169" s="770">
        <f>IFERROR(ROUNDUP(SUM(D170:D171)/0.95,0.999),0)</f>
        <v>1</v>
      </c>
      <c r="F169" s="320">
        <f>IFERROR(MEDIAN(F170:F171),"-")</f>
        <v>0.73333333333333339</v>
      </c>
      <c r="G169" s="37"/>
      <c r="H169" s="285"/>
      <c r="I169" s="259"/>
      <c r="J169" s="770">
        <f>IFERROR(ROUNDUP(SUM(I170:I171)/0.95,0.999),0)</f>
        <v>0</v>
      </c>
      <c r="K169" s="320" t="str">
        <f>IFERROR(MEDIAN(K170:K171),"-")</f>
        <v>-</v>
      </c>
      <c r="L169" s="37"/>
      <c r="M169" s="285"/>
      <c r="N169" s="259"/>
      <c r="O169" s="319">
        <f>O170+O171</f>
        <v>0</v>
      </c>
      <c r="P169" s="320" t="str">
        <f>IFERROR(MEDIAN(P170:P171),"-")</f>
        <v>-</v>
      </c>
      <c r="Q169" s="37"/>
      <c r="R169" s="285"/>
    </row>
    <row r="170" spans="1:19">
      <c r="A170" s="314" t="s">
        <v>1153</v>
      </c>
      <c r="B170" s="119">
        <f>IF(RESUMO!$C$15=0,0,0.65-0.1)</f>
        <v>0.55000000000000004</v>
      </c>
      <c r="C170" s="319">
        <f>IF(B170=0,"-",3600/B170)</f>
        <v>6545.454545454545</v>
      </c>
      <c r="D170" s="259">
        <f>IFERROR((H170/C170),"-")</f>
        <v>0.73333333333333339</v>
      </c>
      <c r="E170" s="319">
        <f>IFERROR(ROUNDUP(D170/0.95,0.999),0)*Preencher!$I$20</f>
        <v>1</v>
      </c>
      <c r="F170" s="320">
        <f>IFERROR((H170/C170/E170*Preencher!$I$20),"-")</f>
        <v>0.73333333333333339</v>
      </c>
      <c r="G170" s="37"/>
      <c r="H170" s="285">
        <f>Preencher!$I$18</f>
        <v>4800</v>
      </c>
      <c r="I170" s="259">
        <f>IFERROR((M170/C170),"-")</f>
        <v>0</v>
      </c>
      <c r="J170" s="319">
        <f>IFERROR(ROUNDUP(I170/0.95,0.999),0)*Preencher!$J$20</f>
        <v>0</v>
      </c>
      <c r="K170" s="320" t="str">
        <f>IFERROR((M170/C170/J170*Preencher!$J$20),"-")</f>
        <v>-</v>
      </c>
      <c r="L170" s="37"/>
      <c r="M170" s="285">
        <f>Preencher!$J$18</f>
        <v>0</v>
      </c>
      <c r="N170" s="259">
        <f>IFERROR((R170/C170),"-")</f>
        <v>0</v>
      </c>
      <c r="O170" s="319">
        <f>IFERROR(ROUNDUP(N170/0.95,0.999),0)*Preencher!$K$20</f>
        <v>0</v>
      </c>
      <c r="P170" s="320" t="str">
        <f>IFERROR((R170/C170/O170*Preencher!$K$20),"-")</f>
        <v>-</v>
      </c>
      <c r="Q170" s="37"/>
      <c r="R170" s="285">
        <f>Preencher!$K$18</f>
        <v>0</v>
      </c>
    </row>
    <row r="171" spans="1:19">
      <c r="A171" s="314" t="s">
        <v>1154</v>
      </c>
      <c r="B171" s="119">
        <f>IF(RESUMO!$C$15=0,0,0.65)</f>
        <v>0.65</v>
      </c>
      <c r="C171" s="319">
        <f>IF(B171=0,"-",3600/B171)</f>
        <v>5538.4615384615381</v>
      </c>
      <c r="D171" s="259">
        <f>IFERROR((H171/C171),"-")</f>
        <v>0</v>
      </c>
      <c r="E171" s="319">
        <f>IFERROR(ROUNDUP(D171/0.95,0.999),0)*Preencher!$I$21</f>
        <v>0</v>
      </c>
      <c r="F171" s="320" t="str">
        <f>IFERROR((H171/C171/E171*Preencher!$I$21),"-")</f>
        <v>-</v>
      </c>
      <c r="G171" s="37"/>
      <c r="H171" s="285">
        <f>Preencher!$I$19</f>
        <v>0</v>
      </c>
      <c r="I171" s="259">
        <f>IFERROR((M171/C171),"-")</f>
        <v>0</v>
      </c>
      <c r="J171" s="319">
        <f>IFERROR(ROUNDUP(I171/0.95,0.999),0)*Preencher!$J$21</f>
        <v>0</v>
      </c>
      <c r="K171" s="320" t="str">
        <f>IFERROR((M171/C171/J171*Preencher!$J$21),"-")</f>
        <v>-</v>
      </c>
      <c r="L171" s="37"/>
      <c r="M171" s="285">
        <f>Preencher!$J$19</f>
        <v>0</v>
      </c>
      <c r="N171" s="259">
        <f>IFERROR((R171/C171),"-")</f>
        <v>0</v>
      </c>
      <c r="O171" s="319">
        <f>IFERROR(ROUNDUP(N171/0.95,0.999),0)*Preencher!$K$21</f>
        <v>0</v>
      </c>
      <c r="P171" s="320" t="str">
        <f>IFERROR((R171/C171/O171*Preencher!$K$20),"-")</f>
        <v>-</v>
      </c>
      <c r="Q171" s="37"/>
      <c r="R171" s="285">
        <f>Preencher!$K$19</f>
        <v>0</v>
      </c>
    </row>
    <row r="172" spans="1:19">
      <c r="A172" s="265" t="s">
        <v>50</v>
      </c>
      <c r="B172" s="119">
        <v>0</v>
      </c>
      <c r="C172" s="770" t="str">
        <f>IF(B172=0,"-",3600/B172)</f>
        <v>-</v>
      </c>
      <c r="D172" s="259" t="str">
        <f>IFERROR((H172/C172),"-")</f>
        <v>-</v>
      </c>
      <c r="E172" s="770">
        <f>IFERROR(ROUNDUP(D172/0.95,0.999),0)*Preencher!$I$20</f>
        <v>0</v>
      </c>
      <c r="F172" s="772" t="str">
        <f>IFERROR((H172/C172/E172*Preencher!$I$20),"-")</f>
        <v>-</v>
      </c>
      <c r="G172" s="37"/>
      <c r="H172" s="285">
        <f>Preencher!$I$18</f>
        <v>4800</v>
      </c>
      <c r="I172" s="259" t="str">
        <f>IFERROR((M172/C172),"-")</f>
        <v>-</v>
      </c>
      <c r="J172" s="770">
        <f>IFERROR(ROUNDUP(I172/0.95,0.999),0)*Preencher!$J$20</f>
        <v>0</v>
      </c>
      <c r="K172" s="772" t="str">
        <f>IFERROR((M172/C172/J172*Preencher!$J$20),"-")</f>
        <v>-</v>
      </c>
      <c r="L172" s="37"/>
      <c r="M172" s="285">
        <f>Preencher!$J$18</f>
        <v>0</v>
      </c>
      <c r="N172" s="259" t="str">
        <f>IFERROR((R172/C172),"-")</f>
        <v>-</v>
      </c>
      <c r="O172" s="770">
        <f>IFERROR(ROUNDUP(N172/0.95,0.999),0)*Preencher!$K$20</f>
        <v>0</v>
      </c>
      <c r="P172" s="772" t="str">
        <f>IFERROR((R172/C172/O172*Preencher!$K$20),"-")</f>
        <v>-</v>
      </c>
      <c r="Q172" s="37"/>
      <c r="R172" s="285">
        <f>Preencher!$K$18</f>
        <v>0</v>
      </c>
    </row>
    <row r="173" spans="1:19">
      <c r="A173" s="265" t="s">
        <v>51</v>
      </c>
      <c r="B173" s="119"/>
      <c r="C173" s="259">
        <f>AVERAGE(C174:C178)</f>
        <v>304.05448747646182</v>
      </c>
      <c r="D173" s="259">
        <f>SUM(D174:D178)</f>
        <v>0.18917446000474719</v>
      </c>
      <c r="E173" s="686">
        <f>IFERROR(ROUNDUP(D173/0.95,0.999),0)</f>
        <v>1</v>
      </c>
      <c r="F173" s="687">
        <f t="shared" ref="F173:F185" si="49">IFERROR((H173/C173/E173),"-")</f>
        <v>0.18885517821570963</v>
      </c>
      <c r="G173" s="326"/>
      <c r="H173" s="690">
        <f>SUM(H174:H178)</f>
        <v>57.422264419653452</v>
      </c>
      <c r="I173" s="606">
        <f>SUM(I174:I178)</f>
        <v>0</v>
      </c>
      <c r="J173" s="686">
        <f t="shared" ref="J173:J178" si="50">IFERROR(ROUNDUP(I173/0.95,0.999),0)</f>
        <v>0</v>
      </c>
      <c r="K173" s="687" t="str">
        <f t="shared" ref="K173:K179" si="51">IFERROR((M173/C173/J173),"-")</f>
        <v>-</v>
      </c>
      <c r="L173" s="326"/>
      <c r="M173" s="690">
        <f>SUM(M174:M178)</f>
        <v>0</v>
      </c>
      <c r="N173" s="606">
        <f>SUM(N174:N178)</f>
        <v>0</v>
      </c>
      <c r="O173" s="686">
        <f t="shared" ref="O173:O179" si="52">IFERROR(ROUNDUP(N173/0.95,0.999),0)</f>
        <v>0</v>
      </c>
      <c r="P173" s="687" t="str">
        <f t="shared" ref="P173:P179" si="53">IFERROR((R173/C173/O173),"-")</f>
        <v>-</v>
      </c>
      <c r="Q173" s="326"/>
      <c r="R173" s="690">
        <f>SUM(R174:R178)</f>
        <v>0</v>
      </c>
      <c r="S173" s="691"/>
    </row>
    <row r="174" spans="1:19">
      <c r="A174" s="314" t="s">
        <v>1898</v>
      </c>
      <c r="B174" s="119">
        <f>11.83</f>
        <v>11.83</v>
      </c>
      <c r="C174" s="546">
        <f>IF(B174=0,"-",3600/B174)</f>
        <v>304.31107354184275</v>
      </c>
      <c r="D174" s="259">
        <f>IFERROR((H174/C174),"-")</f>
        <v>0</v>
      </c>
      <c r="E174" s="546">
        <f>IFERROR(ROUNDUP(D174/0.95,0.999),0)</f>
        <v>0</v>
      </c>
      <c r="F174" s="547" t="str">
        <f t="shared" si="49"/>
        <v>-</v>
      </c>
      <c r="G174" s="325"/>
      <c r="H174" s="285">
        <f>Preencher!AC43</f>
        <v>0</v>
      </c>
      <c r="I174" s="259">
        <f>IFERROR((M174/C174),"-")</f>
        <v>0</v>
      </c>
      <c r="J174" s="319">
        <f t="shared" si="50"/>
        <v>0</v>
      </c>
      <c r="K174" s="320" t="str">
        <f t="shared" si="51"/>
        <v>-</v>
      </c>
      <c r="L174" s="325"/>
      <c r="M174" s="285">
        <f>Preencher!AD43</f>
        <v>0</v>
      </c>
      <c r="N174" s="259">
        <f>IFERROR((R174/C174),"-")</f>
        <v>0</v>
      </c>
      <c r="O174" s="319">
        <f t="shared" si="52"/>
        <v>0</v>
      </c>
      <c r="P174" s="320" t="str">
        <f t="shared" si="53"/>
        <v>-</v>
      </c>
      <c r="Q174" s="325"/>
      <c r="R174" s="285">
        <f>Preencher!AE43</f>
        <v>0</v>
      </c>
    </row>
    <row r="175" spans="1:19">
      <c r="A175" s="314" t="s">
        <v>1899</v>
      </c>
      <c r="B175" s="119">
        <f>11.83</f>
        <v>11.83</v>
      </c>
      <c r="C175" s="319">
        <f>IF(B175=0,"-",3600/B175)</f>
        <v>304.31107354184275</v>
      </c>
      <c r="D175" s="259">
        <f>IFERROR((H175/C175),"-")</f>
        <v>0</v>
      </c>
      <c r="E175" s="319">
        <f t="shared" ref="E175:E184" si="54">IFERROR(ROUNDUP(D175/0.95,0.999),0)</f>
        <v>0</v>
      </c>
      <c r="F175" s="320" t="str">
        <f t="shared" si="49"/>
        <v>-</v>
      </c>
      <c r="G175" s="37"/>
      <c r="H175" s="285">
        <f>Preencher!AC44</f>
        <v>0</v>
      </c>
      <c r="I175" s="259">
        <f>IFERROR((M175/C175),"-")</f>
        <v>0</v>
      </c>
      <c r="J175" s="546">
        <f t="shared" si="50"/>
        <v>0</v>
      </c>
      <c r="K175" s="547" t="str">
        <f t="shared" si="51"/>
        <v>-</v>
      </c>
      <c r="L175" s="37"/>
      <c r="M175" s="285">
        <f>Preencher!AD44</f>
        <v>0</v>
      </c>
      <c r="N175" s="259">
        <f>IFERROR((R175/C175),"-")</f>
        <v>0</v>
      </c>
      <c r="O175" s="546">
        <f t="shared" si="52"/>
        <v>0</v>
      </c>
      <c r="P175" s="547" t="str">
        <f t="shared" si="53"/>
        <v>-</v>
      </c>
      <c r="Q175" s="37"/>
      <c r="R175" s="285">
        <f>Preencher!AE44</f>
        <v>0</v>
      </c>
    </row>
    <row r="176" spans="1:19">
      <c r="A176" s="314" t="s">
        <v>1900</v>
      </c>
      <c r="B176" s="119"/>
      <c r="C176" s="319" t="str">
        <f>IF(B176=0,"-",3600/B176)</f>
        <v>-</v>
      </c>
      <c r="D176" s="259" t="str">
        <f>IFERROR((H176/C176),"-")</f>
        <v>-</v>
      </c>
      <c r="E176" s="319">
        <f t="shared" si="54"/>
        <v>0</v>
      </c>
      <c r="F176" s="320" t="str">
        <f t="shared" si="49"/>
        <v>-</v>
      </c>
      <c r="G176" s="325"/>
      <c r="H176" s="285">
        <f>Preencher!AC45</f>
        <v>0</v>
      </c>
      <c r="I176" s="259" t="str">
        <f>IFERROR((M176/C176),"-")</f>
        <v>-</v>
      </c>
      <c r="J176" s="546">
        <f t="shared" si="50"/>
        <v>0</v>
      </c>
      <c r="K176" s="547" t="str">
        <f t="shared" si="51"/>
        <v>-</v>
      </c>
      <c r="L176" s="325"/>
      <c r="M176" s="285">
        <f>Preencher!AD45</f>
        <v>0</v>
      </c>
      <c r="N176" s="259" t="str">
        <f>IFERROR((R176/C176),"-")</f>
        <v>-</v>
      </c>
      <c r="O176" s="546">
        <f t="shared" si="52"/>
        <v>0</v>
      </c>
      <c r="P176" s="547" t="str">
        <f t="shared" si="53"/>
        <v>-</v>
      </c>
      <c r="Q176" s="325"/>
      <c r="R176" s="285">
        <f>Preencher!AE45</f>
        <v>0</v>
      </c>
    </row>
    <row r="177" spans="1:20">
      <c r="A177" s="314" t="s">
        <v>1901</v>
      </c>
      <c r="B177" s="119">
        <v>11.86</v>
      </c>
      <c r="C177" s="546">
        <f>IF(B177=0,"-",3600/B177)</f>
        <v>303.54131534569984</v>
      </c>
      <c r="D177" s="259">
        <f>IFERROR((H177/C177),"-")</f>
        <v>0.18917446000474719</v>
      </c>
      <c r="E177" s="546">
        <f t="shared" si="54"/>
        <v>1</v>
      </c>
      <c r="F177" s="547">
        <f t="shared" si="49"/>
        <v>0.18917446000474719</v>
      </c>
      <c r="G177" s="325"/>
      <c r="H177" s="285">
        <f>Preencher!AC46</f>
        <v>57.422264419653452</v>
      </c>
      <c r="I177" s="259">
        <f>IFERROR((M177/C177),"-")</f>
        <v>0</v>
      </c>
      <c r="J177" s="546">
        <f t="shared" si="50"/>
        <v>0</v>
      </c>
      <c r="K177" s="547" t="str">
        <f t="shared" si="51"/>
        <v>-</v>
      </c>
      <c r="L177" s="325"/>
      <c r="M177" s="285">
        <f>Preencher!AD46</f>
        <v>0</v>
      </c>
      <c r="N177" s="259">
        <f>IFERROR((R177/C177),"-")</f>
        <v>0</v>
      </c>
      <c r="O177" s="546">
        <f t="shared" si="52"/>
        <v>0</v>
      </c>
      <c r="P177" s="547" t="str">
        <f t="shared" si="53"/>
        <v>-</v>
      </c>
      <c r="Q177" s="325"/>
      <c r="R177" s="285">
        <f>Preencher!AE46</f>
        <v>0</v>
      </c>
    </row>
    <row r="178" spans="1:20">
      <c r="A178" s="314" t="s">
        <v>1902</v>
      </c>
      <c r="B178" s="119"/>
      <c r="C178" s="546" t="str">
        <f>IF(B178=0,"-",3600/B178)</f>
        <v>-</v>
      </c>
      <c r="D178" s="259" t="str">
        <f>IFERROR((H178/C178),"-")</f>
        <v>-</v>
      </c>
      <c r="E178" s="546">
        <f t="shared" si="54"/>
        <v>0</v>
      </c>
      <c r="F178" s="547" t="str">
        <f t="shared" si="49"/>
        <v>-</v>
      </c>
      <c r="G178" s="37"/>
      <c r="H178" s="285">
        <f>Preencher!AC47</f>
        <v>0</v>
      </c>
      <c r="I178" s="259" t="str">
        <f>IFERROR((M178/C178),"-")</f>
        <v>-</v>
      </c>
      <c r="J178" s="546">
        <f t="shared" si="50"/>
        <v>0</v>
      </c>
      <c r="K178" s="547" t="str">
        <f t="shared" si="51"/>
        <v>-</v>
      </c>
      <c r="L178" s="37"/>
      <c r="M178" s="285">
        <f>Preencher!AD47</f>
        <v>0</v>
      </c>
      <c r="N178" s="259" t="str">
        <f>IFERROR((R178/C178),"-")</f>
        <v>-</v>
      </c>
      <c r="O178" s="546">
        <f t="shared" si="52"/>
        <v>0</v>
      </c>
      <c r="P178" s="547" t="str">
        <f t="shared" si="53"/>
        <v>-</v>
      </c>
      <c r="Q178" s="37"/>
      <c r="R178" s="285">
        <f>Preencher!AE47</f>
        <v>0</v>
      </c>
    </row>
    <row r="179" spans="1:20">
      <c r="A179" s="265" t="s">
        <v>52</v>
      </c>
      <c r="B179" s="119"/>
      <c r="C179" s="259">
        <f>AVERAGE(C180:C184)</f>
        <v>305.65787850448697</v>
      </c>
      <c r="D179" s="259">
        <f>SUM(D180:D184)</f>
        <v>0.88298124851649662</v>
      </c>
      <c r="E179" s="686">
        <f>IFERROR(ROUNDUP(SUM(D180:D184)/0.98,0.999),0)</f>
        <v>1</v>
      </c>
      <c r="F179" s="687">
        <f t="shared" si="49"/>
        <v>0.55464757049499269</v>
      </c>
      <c r="G179" s="326"/>
      <c r="H179" s="690">
        <f>SUM(H180:H184)</f>
        <v>169.53239971516734</v>
      </c>
      <c r="I179" s="606">
        <f>SUM(I180:I184)</f>
        <v>0</v>
      </c>
      <c r="J179" s="686">
        <f>IFERROR(ROUNDUP(I179/0.98,0.999),0)</f>
        <v>0</v>
      </c>
      <c r="K179" s="687" t="str">
        <f t="shared" si="51"/>
        <v>-</v>
      </c>
      <c r="L179" s="326"/>
      <c r="M179" s="690">
        <f>SUM(M180:M184)</f>
        <v>0</v>
      </c>
      <c r="N179" s="606">
        <f>SUM(N180:N184)</f>
        <v>0</v>
      </c>
      <c r="O179" s="686">
        <f t="shared" si="52"/>
        <v>0</v>
      </c>
      <c r="P179" s="687" t="str">
        <f t="shared" si="53"/>
        <v>-</v>
      </c>
      <c r="Q179" s="326"/>
      <c r="R179" s="690">
        <f>SUM(R180:R184)</f>
        <v>0</v>
      </c>
      <c r="S179" s="691"/>
    </row>
    <row r="180" spans="1:20">
      <c r="A180" s="314" t="s">
        <v>1903</v>
      </c>
      <c r="B180" s="119">
        <v>6.96</v>
      </c>
      <c r="C180" s="319">
        <f>IF(B180=0,"-",3600/B180)</f>
        <v>517.24137931034488</v>
      </c>
      <c r="D180" s="259">
        <f>IFERROR((H180/C180),"-")</f>
        <v>0</v>
      </c>
      <c r="E180" s="319">
        <f t="shared" si="54"/>
        <v>0</v>
      </c>
      <c r="F180" s="320" t="str">
        <f t="shared" si="49"/>
        <v>-</v>
      </c>
      <c r="G180" s="325"/>
      <c r="H180" s="285">
        <f>Preencher!AC51</f>
        <v>0</v>
      </c>
      <c r="I180" s="259">
        <f>IFERROR((M180/C180),"-")</f>
        <v>0</v>
      </c>
      <c r="J180" s="319">
        <f t="shared" si="44"/>
        <v>0</v>
      </c>
      <c r="K180" s="320" t="str">
        <f t="shared" si="45"/>
        <v>-</v>
      </c>
      <c r="L180" s="325"/>
      <c r="M180" s="285">
        <f>Preencher!AD51</f>
        <v>0</v>
      </c>
      <c r="N180" s="259">
        <f t="shared" si="46"/>
        <v>0</v>
      </c>
      <c r="O180" s="319">
        <f t="shared" si="47"/>
        <v>0</v>
      </c>
      <c r="P180" s="320" t="str">
        <f t="shared" si="48"/>
        <v>-</v>
      </c>
      <c r="Q180" s="325"/>
      <c r="R180" s="285">
        <f>Preencher!AE51</f>
        <v>0</v>
      </c>
    </row>
    <row r="181" spans="1:20">
      <c r="A181" s="314" t="s">
        <v>1904</v>
      </c>
      <c r="B181" s="119">
        <v>17.329999999999998</v>
      </c>
      <c r="C181" s="319">
        <f>IF(B181=0,"-",3600/B181)</f>
        <v>207.73225620311601</v>
      </c>
      <c r="D181" s="259">
        <f>IFERROR((H181/C181),"-")</f>
        <v>0</v>
      </c>
      <c r="E181" s="319">
        <f t="shared" si="54"/>
        <v>0</v>
      </c>
      <c r="F181" s="320" t="str">
        <f t="shared" si="49"/>
        <v>-</v>
      </c>
      <c r="G181" s="37"/>
      <c r="H181" s="285">
        <f>Preencher!AC52</f>
        <v>0</v>
      </c>
      <c r="I181" s="259">
        <f>IFERROR((M181/C181),"-")</f>
        <v>0</v>
      </c>
      <c r="J181" s="319">
        <f t="shared" si="44"/>
        <v>0</v>
      </c>
      <c r="K181" s="320" t="str">
        <f t="shared" si="45"/>
        <v>-</v>
      </c>
      <c r="L181" s="37"/>
      <c r="M181" s="285">
        <f>Preencher!AD52</f>
        <v>0</v>
      </c>
      <c r="N181" s="259">
        <f t="shared" si="46"/>
        <v>0</v>
      </c>
      <c r="O181" s="319">
        <f t="shared" si="47"/>
        <v>0</v>
      </c>
      <c r="P181" s="320" t="str">
        <f t="shared" si="48"/>
        <v>-</v>
      </c>
      <c r="Q181" s="37"/>
      <c r="R181" s="285">
        <f>Preencher!AE52</f>
        <v>0</v>
      </c>
    </row>
    <row r="182" spans="1:20">
      <c r="A182" s="314" t="s">
        <v>1905</v>
      </c>
      <c r="B182" s="119"/>
      <c r="C182" s="319" t="str">
        <f>IF(B182=0,"-",3600/B182)</f>
        <v>-</v>
      </c>
      <c r="D182" s="259" t="str">
        <f>IFERROR((H182/C182),"-")</f>
        <v>-</v>
      </c>
      <c r="E182" s="319">
        <f t="shared" si="54"/>
        <v>0</v>
      </c>
      <c r="F182" s="320" t="str">
        <f t="shared" si="49"/>
        <v>-</v>
      </c>
      <c r="G182" s="325"/>
      <c r="H182" s="285">
        <f>Preencher!AC53</f>
        <v>0</v>
      </c>
      <c r="I182" s="259" t="str">
        <f>IFERROR((M182/C182),"-")</f>
        <v>-</v>
      </c>
      <c r="J182" s="319">
        <f t="shared" si="44"/>
        <v>0</v>
      </c>
      <c r="K182" s="320" t="str">
        <f t="shared" si="45"/>
        <v>-</v>
      </c>
      <c r="L182" s="325"/>
      <c r="M182" s="285">
        <f>Preencher!AD53</f>
        <v>0</v>
      </c>
      <c r="N182" s="259" t="str">
        <f t="shared" si="46"/>
        <v>-</v>
      </c>
      <c r="O182" s="319">
        <f t="shared" si="47"/>
        <v>0</v>
      </c>
      <c r="P182" s="320" t="str">
        <f t="shared" si="48"/>
        <v>-</v>
      </c>
      <c r="Q182" s="325"/>
      <c r="R182" s="285">
        <f>Preencher!AE53</f>
        <v>0</v>
      </c>
    </row>
    <row r="183" spans="1:20">
      <c r="A183" s="314" t="s">
        <v>1906</v>
      </c>
      <c r="B183" s="119">
        <f>18.75</f>
        <v>18.75</v>
      </c>
      <c r="C183" s="546">
        <f>IF(B183=0,"-",3600/B183)</f>
        <v>192</v>
      </c>
      <c r="D183" s="259">
        <f>IFERROR((H183/C183),"-")</f>
        <v>0.88298124851649662</v>
      </c>
      <c r="E183" s="546">
        <f t="shared" si="54"/>
        <v>1</v>
      </c>
      <c r="F183" s="547">
        <f t="shared" si="49"/>
        <v>0.88298124851649662</v>
      </c>
      <c r="G183" s="325"/>
      <c r="H183" s="285">
        <f>Preencher!AC54</f>
        <v>169.53239971516734</v>
      </c>
      <c r="I183" s="259">
        <f>IFERROR((M183/C183),"-")</f>
        <v>0</v>
      </c>
      <c r="J183" s="546">
        <f>IFERROR(ROUNDUP(I183/0.95,0.999),0)</f>
        <v>0</v>
      </c>
      <c r="K183" s="547" t="str">
        <f>IFERROR((M183/C183/J183),"-")</f>
        <v>-</v>
      </c>
      <c r="L183" s="325"/>
      <c r="M183" s="285">
        <f>Preencher!AD54</f>
        <v>0</v>
      </c>
      <c r="N183" s="259">
        <f>IFERROR((R183/C183),"-")</f>
        <v>0</v>
      </c>
      <c r="O183" s="546">
        <f>IFERROR(ROUNDUP(N183/0.95,0.999),0)</f>
        <v>0</v>
      </c>
      <c r="P183" s="547" t="str">
        <f>IFERROR((R183/C183/O183),"-")</f>
        <v>-</v>
      </c>
      <c r="Q183" s="325"/>
      <c r="R183" s="285">
        <f>Preencher!AE54</f>
        <v>0</v>
      </c>
    </row>
    <row r="184" spans="1:20">
      <c r="A184" s="314" t="s">
        <v>1907</v>
      </c>
      <c r="B184" s="119"/>
      <c r="C184" s="319" t="str">
        <f>IF(B184=0,"-",3600/B184)</f>
        <v>-</v>
      </c>
      <c r="D184" s="259" t="str">
        <f>IFERROR((H184/C184),"-")</f>
        <v>-</v>
      </c>
      <c r="E184" s="319">
        <f t="shared" si="54"/>
        <v>0</v>
      </c>
      <c r="F184" s="320" t="str">
        <f t="shared" si="49"/>
        <v>-</v>
      </c>
      <c r="G184" s="37"/>
      <c r="H184" s="285">
        <f>Preencher!AC55</f>
        <v>0</v>
      </c>
      <c r="I184" s="259" t="str">
        <f>IFERROR((M184/C184),"-")</f>
        <v>-</v>
      </c>
      <c r="J184" s="319">
        <f t="shared" si="44"/>
        <v>0</v>
      </c>
      <c r="K184" s="320" t="str">
        <f t="shared" si="45"/>
        <v>-</v>
      </c>
      <c r="L184" s="37"/>
      <c r="M184" s="285">
        <f>Preencher!AD55</f>
        <v>0</v>
      </c>
      <c r="N184" s="259" t="str">
        <f t="shared" si="46"/>
        <v>-</v>
      </c>
      <c r="O184" s="319">
        <f t="shared" si="47"/>
        <v>0</v>
      </c>
      <c r="P184" s="320" t="str">
        <f t="shared" si="48"/>
        <v>-</v>
      </c>
      <c r="Q184" s="37"/>
      <c r="R184" s="285">
        <f>Preencher!AE55</f>
        <v>0</v>
      </c>
    </row>
    <row r="185" spans="1:20">
      <c r="A185" s="265" t="s">
        <v>53</v>
      </c>
      <c r="B185" s="119"/>
      <c r="C185" s="259">
        <f>AVERAGE(C186:C190)</f>
        <v>195.31732932123987</v>
      </c>
      <c r="D185" s="259">
        <f>SUM(D186:D190)</f>
        <v>1.0428521243769286</v>
      </c>
      <c r="E185" s="686">
        <f>IFERROR(ROUNDUP(D185/0.98,0.999),0)</f>
        <v>2</v>
      </c>
      <c r="F185" s="687">
        <f t="shared" si="49"/>
        <v>0.51449076783718772</v>
      </c>
      <c r="G185" s="326"/>
      <c r="H185" s="690">
        <f>SUM(H186:H190)</f>
        <v>200.97792546878711</v>
      </c>
      <c r="I185" s="606">
        <f>SUM(I186:I190)</f>
        <v>0</v>
      </c>
      <c r="J185" s="770">
        <f>IFERROR(ROUNDUP(I185/0.98,0.999),0)</f>
        <v>0</v>
      </c>
      <c r="K185" s="687" t="str">
        <f t="shared" ref="K185:K190" si="55">IFERROR((M185/C185/J185),"-")</f>
        <v>-</v>
      </c>
      <c r="L185" s="326"/>
      <c r="M185" s="690">
        <f>SUM(M186:M190)</f>
        <v>0</v>
      </c>
      <c r="N185" s="606">
        <f>SUM(N186:N190)</f>
        <v>0</v>
      </c>
      <c r="O185" s="686">
        <f t="shared" ref="O185:O190" si="56">IFERROR(ROUNDUP(N185/0.95,0.999),0)</f>
        <v>0</v>
      </c>
      <c r="P185" s="687" t="str">
        <f t="shared" ref="P185:P190" si="57">IFERROR((R185/C185/O185),"-")</f>
        <v>-</v>
      </c>
      <c r="Q185" s="326"/>
      <c r="R185" s="690">
        <f>SUM(R186:R190)</f>
        <v>0</v>
      </c>
      <c r="S185" s="691"/>
    </row>
    <row r="186" spans="1:20">
      <c r="A186" s="314" t="s">
        <v>1910</v>
      </c>
      <c r="B186" s="546">
        <v>12</v>
      </c>
      <c r="C186" s="319">
        <f t="shared" ref="C186:C192" si="58">IF(B186=0,"-",3600/B186)</f>
        <v>300</v>
      </c>
      <c r="D186" s="259">
        <f t="shared" ref="D186:D192" si="59">IFERROR((H186/C186),"-")</f>
        <v>0</v>
      </c>
      <c r="E186" s="319">
        <f t="shared" ref="E186:E192" si="60">IFERROR(ROUNDUP(D186/0.95,0.999),0)</f>
        <v>0</v>
      </c>
      <c r="F186" s="320" t="str">
        <f t="shared" ref="F186:F192" si="61">IFERROR((H186/C186/E186),"-")</f>
        <v>-</v>
      </c>
      <c r="G186" s="325"/>
      <c r="H186" s="285">
        <f>Preencher!AC59</f>
        <v>0</v>
      </c>
      <c r="I186" s="259">
        <f t="shared" ref="I186:I192" si="62">IFERROR((M186/C186),"-")</f>
        <v>0</v>
      </c>
      <c r="J186" s="319">
        <f>IFERROR(ROUNDUP(I186/0.95,0.999),0)</f>
        <v>0</v>
      </c>
      <c r="K186" s="320" t="str">
        <f t="shared" si="55"/>
        <v>-</v>
      </c>
      <c r="L186" s="325"/>
      <c r="M186" s="285">
        <f>Preencher!AD59</f>
        <v>0</v>
      </c>
      <c r="N186" s="259">
        <f>IFERROR((R186/C186),"-")</f>
        <v>0</v>
      </c>
      <c r="O186" s="319">
        <f t="shared" si="56"/>
        <v>0</v>
      </c>
      <c r="P186" s="320" t="str">
        <f t="shared" si="57"/>
        <v>-</v>
      </c>
      <c r="Q186" s="325"/>
      <c r="R186" s="285">
        <f>Preencher!AE59</f>
        <v>0</v>
      </c>
      <c r="S186" s="123" t="s">
        <v>325</v>
      </c>
      <c r="T186" s="123">
        <v>17</v>
      </c>
    </row>
    <row r="187" spans="1:20">
      <c r="A187" s="314" t="s">
        <v>1911</v>
      </c>
      <c r="B187" s="116">
        <v>18.739999999999998</v>
      </c>
      <c r="C187" s="319">
        <f t="shared" si="58"/>
        <v>192.102454642476</v>
      </c>
      <c r="D187" s="259">
        <f t="shared" si="59"/>
        <v>0</v>
      </c>
      <c r="E187" s="319">
        <f t="shared" si="60"/>
        <v>0</v>
      </c>
      <c r="F187" s="320" t="str">
        <f t="shared" si="61"/>
        <v>-</v>
      </c>
      <c r="G187" s="37"/>
      <c r="H187" s="285">
        <f>Preencher!AC60</f>
        <v>0</v>
      </c>
      <c r="I187" s="259">
        <f t="shared" si="62"/>
        <v>0</v>
      </c>
      <c r="J187" s="319">
        <f>IFERROR(ROUNDUP(I187/0.95,0.999),0)</f>
        <v>0</v>
      </c>
      <c r="K187" s="320" t="str">
        <f t="shared" si="55"/>
        <v>-</v>
      </c>
      <c r="L187" s="37"/>
      <c r="M187" s="285">
        <f>Preencher!AD60</f>
        <v>0</v>
      </c>
      <c r="N187" s="259">
        <f>IFERROR((R187/C187),"-")</f>
        <v>0</v>
      </c>
      <c r="O187" s="319">
        <f t="shared" si="56"/>
        <v>0</v>
      </c>
      <c r="P187" s="320" t="str">
        <f t="shared" si="57"/>
        <v>-</v>
      </c>
      <c r="Q187" s="37"/>
      <c r="R187" s="285">
        <f>Preencher!AE60</f>
        <v>0</v>
      </c>
      <c r="S187" s="123" t="s">
        <v>326</v>
      </c>
      <c r="T187" s="123">
        <v>14.68</v>
      </c>
    </row>
    <row r="188" spans="1:20">
      <c r="A188" s="314" t="s">
        <v>1912</v>
      </c>
      <c r="B188" s="546">
        <v>17</v>
      </c>
      <c r="C188" s="319">
        <f t="shared" si="58"/>
        <v>211.76470588235293</v>
      </c>
      <c r="D188" s="259">
        <f t="shared" si="59"/>
        <v>0</v>
      </c>
      <c r="E188" s="319">
        <f t="shared" si="60"/>
        <v>0</v>
      </c>
      <c r="F188" s="320" t="str">
        <f t="shared" si="61"/>
        <v>-</v>
      </c>
      <c r="G188" s="325"/>
      <c r="H188" s="285">
        <f>Preencher!AC61</f>
        <v>0</v>
      </c>
      <c r="I188" s="259">
        <f t="shared" si="62"/>
        <v>0</v>
      </c>
      <c r="J188" s="319">
        <f>IFERROR(ROUNDUP(I188/0.95,0.999),0)</f>
        <v>0</v>
      </c>
      <c r="K188" s="320" t="str">
        <f t="shared" si="55"/>
        <v>-</v>
      </c>
      <c r="L188" s="325"/>
      <c r="M188" s="285">
        <f>Preencher!AD61</f>
        <v>0</v>
      </c>
      <c r="N188" s="259">
        <f>IFERROR((R188/C188),"-")</f>
        <v>0</v>
      </c>
      <c r="O188" s="319">
        <f t="shared" si="56"/>
        <v>0</v>
      </c>
      <c r="P188" s="320" t="str">
        <f t="shared" si="57"/>
        <v>-</v>
      </c>
      <c r="Q188" s="325"/>
      <c r="R188" s="285">
        <f>Preencher!AE61</f>
        <v>0</v>
      </c>
      <c r="S188" s="123" t="s">
        <v>1155</v>
      </c>
      <c r="T188" s="123">
        <v>5.74</v>
      </c>
    </row>
    <row r="189" spans="1:20">
      <c r="A189" s="314" t="s">
        <v>1913</v>
      </c>
      <c r="B189" s="116">
        <v>18.68</v>
      </c>
      <c r="C189" s="319">
        <f t="shared" si="58"/>
        <v>192.71948608137046</v>
      </c>
      <c r="D189" s="259">
        <f t="shared" si="59"/>
        <v>1.0428521243769286</v>
      </c>
      <c r="E189" s="319">
        <f t="shared" si="60"/>
        <v>2</v>
      </c>
      <c r="F189" s="320">
        <f t="shared" si="61"/>
        <v>0.52142606218846432</v>
      </c>
      <c r="G189" s="37"/>
      <c r="H189" s="285">
        <f>Preencher!AC62</f>
        <v>200.97792546878711</v>
      </c>
      <c r="I189" s="259">
        <f t="shared" si="62"/>
        <v>0</v>
      </c>
      <c r="J189" s="319">
        <f>IFERROR(ROUNDUP(I189/0.95,0.999),0)</f>
        <v>0</v>
      </c>
      <c r="K189" s="320" t="str">
        <f t="shared" si="55"/>
        <v>-</v>
      </c>
      <c r="L189" s="37"/>
      <c r="M189" s="285">
        <f>Preencher!AD62</f>
        <v>0</v>
      </c>
      <c r="N189" s="259">
        <f>IFERROR((R189/C189),"-")</f>
        <v>0</v>
      </c>
      <c r="O189" s="319">
        <f t="shared" si="56"/>
        <v>0</v>
      </c>
      <c r="P189" s="320" t="str">
        <f t="shared" si="57"/>
        <v>-</v>
      </c>
      <c r="Q189" s="37"/>
      <c r="R189" s="285">
        <f>Preencher!AE62</f>
        <v>0</v>
      </c>
      <c r="S189" s="123" t="s">
        <v>1156</v>
      </c>
      <c r="T189" s="123">
        <v>12</v>
      </c>
    </row>
    <row r="190" spans="1:20">
      <c r="A190" s="314" t="s">
        <v>1914</v>
      </c>
      <c r="B190" s="546">
        <v>45</v>
      </c>
      <c r="C190" s="319">
        <f t="shared" si="58"/>
        <v>80</v>
      </c>
      <c r="D190" s="259">
        <f t="shared" si="59"/>
        <v>0</v>
      </c>
      <c r="E190" s="319">
        <f t="shared" si="60"/>
        <v>0</v>
      </c>
      <c r="F190" s="320" t="str">
        <f t="shared" si="61"/>
        <v>-</v>
      </c>
      <c r="G190" s="37"/>
      <c r="H190" s="285">
        <f>Preencher!AC63</f>
        <v>0</v>
      </c>
      <c r="I190" s="259">
        <f t="shared" si="62"/>
        <v>0</v>
      </c>
      <c r="J190" s="319">
        <f>IFERROR(ROUNDUP(I190/0.95,0.999),0)</f>
        <v>0</v>
      </c>
      <c r="K190" s="320" t="str">
        <f t="shared" si="55"/>
        <v>-</v>
      </c>
      <c r="L190" s="37"/>
      <c r="M190" s="285">
        <f>Preencher!AD63</f>
        <v>0</v>
      </c>
      <c r="N190" s="259">
        <f>IFERROR((R190/C190),"-")</f>
        <v>0</v>
      </c>
      <c r="O190" s="319">
        <f t="shared" si="56"/>
        <v>0</v>
      </c>
      <c r="P190" s="320" t="str">
        <f t="shared" si="57"/>
        <v>-</v>
      </c>
      <c r="Q190" s="37"/>
      <c r="R190" s="285">
        <f>Preencher!AE63</f>
        <v>0</v>
      </c>
      <c r="S190" s="123" t="s">
        <v>1157</v>
      </c>
      <c r="T190" s="123">
        <v>49</v>
      </c>
    </row>
    <row r="191" spans="1:20">
      <c r="A191" s="265" t="s">
        <v>54</v>
      </c>
      <c r="B191" s="284">
        <f>IF(Preencher!$B$45="Sim",7.25-5.5,0)</f>
        <v>1.75</v>
      </c>
      <c r="C191" s="251">
        <f t="shared" si="58"/>
        <v>2057.1428571428573</v>
      </c>
      <c r="D191" s="259">
        <f t="shared" si="59"/>
        <v>0.11032518395442677</v>
      </c>
      <c r="E191" s="251">
        <f t="shared" si="60"/>
        <v>1</v>
      </c>
      <c r="F191" s="252">
        <f t="shared" si="61"/>
        <v>0.11032518395442677</v>
      </c>
      <c r="G191" s="37"/>
      <c r="H191" s="285">
        <f>H187+H181+H175+H179+H177</f>
        <v>226.9546641348208</v>
      </c>
      <c r="I191" s="259">
        <f t="shared" si="62"/>
        <v>0</v>
      </c>
      <c r="J191" s="251">
        <f t="shared" si="44"/>
        <v>0</v>
      </c>
      <c r="K191" s="252" t="str">
        <f t="shared" si="45"/>
        <v>-</v>
      </c>
      <c r="L191" s="37"/>
      <c r="M191" s="285">
        <f>M187+M181+M175+M179+M177</f>
        <v>0</v>
      </c>
      <c r="N191" s="259">
        <f t="shared" si="46"/>
        <v>0</v>
      </c>
      <c r="O191" s="251">
        <f t="shared" si="47"/>
        <v>0</v>
      </c>
      <c r="P191" s="252" t="str">
        <f t="shared" si="48"/>
        <v>-</v>
      </c>
      <c r="Q191" s="37"/>
      <c r="R191" s="285">
        <f>R187+R181+R175+R179+R177</f>
        <v>0</v>
      </c>
    </row>
    <row r="192" spans="1:20">
      <c r="A192" s="265" t="s">
        <v>55</v>
      </c>
      <c r="B192" s="284">
        <f>IF(Preencher!$B$33="Sim",IF(RESUMO!$C$260=0,0,0.139),0)-0.139</f>
        <v>0</v>
      </c>
      <c r="C192" s="251" t="str">
        <f t="shared" si="58"/>
        <v>-</v>
      </c>
      <c r="D192" s="259" t="str">
        <f t="shared" si="59"/>
        <v>-</v>
      </c>
      <c r="E192" s="251">
        <f t="shared" si="60"/>
        <v>0</v>
      </c>
      <c r="F192" s="252" t="str">
        <f t="shared" si="61"/>
        <v>-</v>
      </c>
      <c r="G192" s="37"/>
      <c r="H192" s="285">
        <f>Preencher!$I$18*Preencher!$I$20*RESUMO!$C$260</f>
        <v>4800</v>
      </c>
      <c r="I192" s="259" t="str">
        <f t="shared" si="62"/>
        <v>-</v>
      </c>
      <c r="J192" s="251">
        <f t="shared" si="44"/>
        <v>0</v>
      </c>
      <c r="K192" s="252" t="str">
        <f t="shared" si="45"/>
        <v>-</v>
      </c>
      <c r="L192" s="37"/>
      <c r="M192" s="285">
        <f>Preencher!$J$18*Preencher!$J$20*RESUMO!$C$260</f>
        <v>0</v>
      </c>
      <c r="N192" s="259" t="str">
        <f t="shared" si="46"/>
        <v>-</v>
      </c>
      <c r="O192" s="251">
        <f t="shared" si="47"/>
        <v>0</v>
      </c>
      <c r="P192" s="252" t="str">
        <f t="shared" si="48"/>
        <v>-</v>
      </c>
      <c r="Q192" s="37"/>
      <c r="R192" s="285">
        <f>Preencher!$K$18*Preencher!$K$20*RESUMO!$C$260</f>
        <v>0</v>
      </c>
    </row>
    <row r="193" spans="1:18">
      <c r="A193" s="265" t="s">
        <v>56</v>
      </c>
      <c r="B193" s="119"/>
      <c r="C193" s="319"/>
      <c r="D193" s="259"/>
      <c r="E193" s="363">
        <f>ROUNDUP(SUM(D194:D195),0.999)</f>
        <v>1</v>
      </c>
      <c r="F193" s="364">
        <f>IFERROR(AVERAGE(F194:F195),"-")</f>
        <v>0.59814858770472346</v>
      </c>
      <c r="G193" s="326"/>
      <c r="H193" s="285"/>
      <c r="I193" s="259"/>
      <c r="J193" s="363">
        <f>ROUNDUP(SUM(I194:I195),0.999)</f>
        <v>0</v>
      </c>
      <c r="K193" s="364" t="str">
        <f>IFERROR(AVERAGE(K194:K195),"-")</f>
        <v>-</v>
      </c>
      <c r="L193" s="326"/>
      <c r="M193" s="285"/>
      <c r="N193" s="259"/>
      <c r="O193" s="363">
        <f>ROUNDUP(SUM(N194:N195),0.999)</f>
        <v>0</v>
      </c>
      <c r="P193" s="364" t="str">
        <f>IFERROR(AVERAGE(P194:P195),"-")</f>
        <v>-</v>
      </c>
      <c r="Q193" s="326"/>
      <c r="R193" s="285"/>
    </row>
    <row r="194" spans="1:18">
      <c r="A194" s="314" t="s">
        <v>1159</v>
      </c>
      <c r="B194" s="116">
        <v>22.5</v>
      </c>
      <c r="C194" s="319">
        <f t="shared" ref="C194:C208" si="63">IF(B194=0,"-",3600/B194)</f>
        <v>160</v>
      </c>
      <c r="D194" s="259">
        <f t="shared" ref="D194:D208" si="64">IFERROR((H194/C194),"-")</f>
        <v>0.59814858770472346</v>
      </c>
      <c r="E194" s="319">
        <f t="shared" ref="E194:E208" si="65">IFERROR(ROUNDUP(D194/0.95,0.999),0)</f>
        <v>1</v>
      </c>
      <c r="F194" s="320">
        <f t="shared" ref="F194:F208" si="66">IFERROR((H194/C194/E194),"-")</f>
        <v>0.59814858770472346</v>
      </c>
      <c r="G194" s="325"/>
      <c r="H194" s="556">
        <f>RESUMO!F261*Preencher!$I$12*SUM(Preencher!$I$13:$I$14)/SUM(Preencher!$I$13:$K$14)</f>
        <v>95.70377403275576</v>
      </c>
      <c r="I194" s="259">
        <f t="shared" ref="I194:I208" si="67">IFERROR((M194/C194),"-")</f>
        <v>0</v>
      </c>
      <c r="J194" s="319">
        <f t="shared" si="44"/>
        <v>0</v>
      </c>
      <c r="K194" s="320" t="str">
        <f t="shared" si="45"/>
        <v>-</v>
      </c>
      <c r="L194" s="325"/>
      <c r="M194" s="556">
        <f>RESUMO!F261*Preencher!$I$12*SUM(Preencher!$J$13:$J$14)/SUM(Preencher!$I$13:$K$14)</f>
        <v>0</v>
      </c>
      <c r="N194" s="259">
        <f t="shared" si="46"/>
        <v>0</v>
      </c>
      <c r="O194" s="319">
        <f t="shared" si="47"/>
        <v>0</v>
      </c>
      <c r="P194" s="320" t="str">
        <f t="shared" si="48"/>
        <v>-</v>
      </c>
      <c r="Q194" s="325"/>
      <c r="R194" s="556">
        <f>RESUMO!F261*Preencher!$I$12*SUM(Preencher!$K$13:$K$14)/SUM(Preencher!$I$13:$K$14)</f>
        <v>0</v>
      </c>
    </row>
    <row r="195" spans="1:18">
      <c r="A195" s="314" t="s">
        <v>1160</v>
      </c>
      <c r="B195" s="319"/>
      <c r="C195" s="319" t="str">
        <f t="shared" si="63"/>
        <v>-</v>
      </c>
      <c r="D195" s="259" t="str">
        <f t="shared" si="64"/>
        <v>-</v>
      </c>
      <c r="E195" s="319">
        <f t="shared" si="65"/>
        <v>0</v>
      </c>
      <c r="F195" s="320" t="str">
        <f t="shared" si="66"/>
        <v>-</v>
      </c>
      <c r="G195" s="325"/>
      <c r="H195" s="556">
        <f>RESUMO!F262*Preencher!$I$12*SUM(Preencher!$I$13:$I$14)/SUM(Preencher!$I$13:$K$14)</f>
        <v>0</v>
      </c>
      <c r="I195" s="259" t="str">
        <f t="shared" si="67"/>
        <v>-</v>
      </c>
      <c r="J195" s="319">
        <f t="shared" si="44"/>
        <v>0</v>
      </c>
      <c r="K195" s="320" t="str">
        <f t="shared" si="45"/>
        <v>-</v>
      </c>
      <c r="L195" s="325"/>
      <c r="M195" s="556">
        <f>RESUMO!F262*Preencher!$I$12*SUM(Preencher!$J$13:$J$14)/SUM(Preencher!$I$13:$K$14)</f>
        <v>0</v>
      </c>
      <c r="N195" s="259" t="str">
        <f t="shared" si="46"/>
        <v>-</v>
      </c>
      <c r="O195" s="319">
        <f t="shared" si="47"/>
        <v>0</v>
      </c>
      <c r="P195" s="320" t="str">
        <f t="shared" si="48"/>
        <v>-</v>
      </c>
      <c r="Q195" s="325"/>
      <c r="R195" s="556">
        <f>RESUMO!F262*Preencher!$I$12*SUM(Preencher!$K$13:$K$14)/SUM(Preencher!$I$13:$K$14)</f>
        <v>0</v>
      </c>
    </row>
    <row r="196" spans="1:18">
      <c r="A196" s="265" t="s">
        <v>57</v>
      </c>
      <c r="B196" s="284"/>
      <c r="C196" s="251" t="str">
        <f t="shared" si="63"/>
        <v>-</v>
      </c>
      <c r="D196" s="259" t="str">
        <f t="shared" si="64"/>
        <v>-</v>
      </c>
      <c r="E196" s="251">
        <f t="shared" si="65"/>
        <v>0</v>
      </c>
      <c r="F196" s="252" t="str">
        <f t="shared" si="66"/>
        <v>-</v>
      </c>
      <c r="G196" s="37"/>
      <c r="H196" s="285"/>
      <c r="I196" s="259" t="str">
        <f t="shared" si="67"/>
        <v>-</v>
      </c>
      <c r="J196" s="251">
        <f t="shared" si="44"/>
        <v>0</v>
      </c>
      <c r="K196" s="252" t="str">
        <f t="shared" si="45"/>
        <v>-</v>
      </c>
      <c r="L196" s="37"/>
      <c r="M196" s="285"/>
      <c r="N196" s="259" t="str">
        <f t="shared" si="46"/>
        <v>-</v>
      </c>
      <c r="O196" s="251">
        <f t="shared" si="47"/>
        <v>0</v>
      </c>
      <c r="P196" s="252" t="str">
        <f t="shared" si="48"/>
        <v>-</v>
      </c>
      <c r="Q196" s="37"/>
      <c r="R196" s="285"/>
    </row>
    <row r="197" spans="1:18">
      <c r="A197" s="265" t="s">
        <v>194</v>
      </c>
      <c r="B197" s="284">
        <f>IF(RESUMO!F243&gt;20,30,0)</f>
        <v>0</v>
      </c>
      <c r="C197" s="251" t="str">
        <f t="shared" si="63"/>
        <v>-</v>
      </c>
      <c r="D197" s="259" t="str">
        <f t="shared" si="64"/>
        <v>-</v>
      </c>
      <c r="E197" s="251">
        <f t="shared" si="65"/>
        <v>0</v>
      </c>
      <c r="F197" s="252" t="str">
        <f t="shared" si="66"/>
        <v>-</v>
      </c>
      <c r="G197" s="37"/>
      <c r="H197" s="285">
        <f>Preencher!AC67</f>
        <v>0</v>
      </c>
      <c r="I197" s="259" t="str">
        <f t="shared" si="67"/>
        <v>-</v>
      </c>
      <c r="J197" s="251">
        <f t="shared" si="44"/>
        <v>0</v>
      </c>
      <c r="K197" s="252" t="str">
        <f t="shared" si="45"/>
        <v>-</v>
      </c>
      <c r="L197" s="37"/>
      <c r="M197" s="285">
        <f>Preencher!AD67</f>
        <v>0</v>
      </c>
      <c r="N197" s="259" t="str">
        <f t="shared" si="46"/>
        <v>-</v>
      </c>
      <c r="O197" s="251">
        <f t="shared" si="47"/>
        <v>0</v>
      </c>
      <c r="P197" s="252" t="str">
        <f t="shared" si="48"/>
        <v>-</v>
      </c>
      <c r="Q197" s="37"/>
      <c r="R197" s="285">
        <f>Preencher!AE67</f>
        <v>0</v>
      </c>
    </row>
    <row r="198" spans="1:18">
      <c r="A198" s="265" t="s">
        <v>58</v>
      </c>
      <c r="B198" s="284">
        <f>IF(Preencher!$AB$44=0,0,0.3)</f>
        <v>0</v>
      </c>
      <c r="C198" s="251" t="str">
        <f t="shared" si="63"/>
        <v>-</v>
      </c>
      <c r="D198" s="259" t="str">
        <f t="shared" si="64"/>
        <v>-</v>
      </c>
      <c r="E198" s="251">
        <f t="shared" si="65"/>
        <v>0</v>
      </c>
      <c r="F198" s="252" t="str">
        <f t="shared" si="66"/>
        <v>-</v>
      </c>
      <c r="G198" s="37"/>
      <c r="H198" s="285">
        <f>(Preencher!$I$18*Preencher!$I$20)+(Preencher!$I$19*Preencher!$I$21)</f>
        <v>4800</v>
      </c>
      <c r="I198" s="259" t="str">
        <f t="shared" si="67"/>
        <v>-</v>
      </c>
      <c r="J198" s="319">
        <f t="shared" si="44"/>
        <v>0</v>
      </c>
      <c r="K198" s="320" t="str">
        <f t="shared" si="45"/>
        <v>-</v>
      </c>
      <c r="L198" s="37"/>
      <c r="M198" s="285">
        <f>(Preencher!$J$18*Preencher!$J$20)+(Preencher!$J$19*Preencher!$J$21)</f>
        <v>0</v>
      </c>
      <c r="N198" s="259" t="str">
        <f t="shared" si="46"/>
        <v>-</v>
      </c>
      <c r="O198" s="319">
        <f t="shared" si="47"/>
        <v>0</v>
      </c>
      <c r="P198" s="320" t="str">
        <f t="shared" si="48"/>
        <v>-</v>
      </c>
      <c r="Q198" s="37"/>
      <c r="R198" s="285">
        <f>(Preencher!$K$18*Preencher!$K$20)+(Preencher!$K$19*Preencher!$K$21)</f>
        <v>0</v>
      </c>
    </row>
    <row r="199" spans="1:18">
      <c r="A199" s="265" t="s">
        <v>40</v>
      </c>
      <c r="B199" s="284">
        <f>IF(Preencher!$B$44="Não",0.13,0)</f>
        <v>0</v>
      </c>
      <c r="C199" s="319" t="str">
        <f t="shared" si="63"/>
        <v>-</v>
      </c>
      <c r="D199" s="259" t="str">
        <f t="shared" si="64"/>
        <v>-</v>
      </c>
      <c r="E199" s="319">
        <f t="shared" si="65"/>
        <v>0</v>
      </c>
      <c r="F199" s="320" t="str">
        <f t="shared" si="66"/>
        <v>-</v>
      </c>
      <c r="G199" s="37"/>
      <c r="H199" s="285">
        <f>(Preencher!$I$18*Preencher!$I$20)+(Preencher!$I$19*Preencher!$I$21)</f>
        <v>4800</v>
      </c>
      <c r="I199" s="259" t="str">
        <f t="shared" si="67"/>
        <v>-</v>
      </c>
      <c r="J199" s="319">
        <f>IFERROR(ROUNDUP(I199/0.95,0.999),0)</f>
        <v>0</v>
      </c>
      <c r="K199" s="320" t="str">
        <f>IFERROR((M199/C199/J199),"-")</f>
        <v>-</v>
      </c>
      <c r="L199" s="37"/>
      <c r="M199" s="285">
        <f>(Preencher!$J$18*Preencher!$J$20)+(Preencher!$J$19*Preencher!$J$21)</f>
        <v>0</v>
      </c>
      <c r="N199" s="259" t="str">
        <f>IFERROR((R199/C199),"-")</f>
        <v>-</v>
      </c>
      <c r="O199" s="319">
        <f>IFERROR(ROUNDUP(N199/0.95,0.999),0)</f>
        <v>0</v>
      </c>
      <c r="P199" s="320" t="str">
        <f>IFERROR((R199/C199/O199),"-")</f>
        <v>-</v>
      </c>
      <c r="Q199" s="37"/>
      <c r="R199" s="285">
        <f>(Preencher!$K$18*Preencher!$K$20)+(Preencher!$K$19*Preencher!$K$21)</f>
        <v>0</v>
      </c>
    </row>
    <row r="200" spans="1:18">
      <c r="A200" s="265" t="s">
        <v>592</v>
      </c>
      <c r="B200" s="284"/>
      <c r="C200" s="251" t="str">
        <f t="shared" si="63"/>
        <v>-</v>
      </c>
      <c r="D200" s="259" t="str">
        <f t="shared" si="64"/>
        <v>-</v>
      </c>
      <c r="E200" s="251">
        <f t="shared" si="65"/>
        <v>0</v>
      </c>
      <c r="F200" s="252" t="str">
        <f t="shared" si="66"/>
        <v>-</v>
      </c>
      <c r="G200" s="37"/>
      <c r="H200" s="285"/>
      <c r="I200" s="259" t="str">
        <f t="shared" si="67"/>
        <v>-</v>
      </c>
      <c r="J200" s="251">
        <f t="shared" si="44"/>
        <v>0</v>
      </c>
      <c r="K200" s="252" t="str">
        <f t="shared" si="45"/>
        <v>-</v>
      </c>
      <c r="L200" s="37"/>
      <c r="M200" s="285"/>
      <c r="N200" s="259" t="str">
        <f t="shared" si="46"/>
        <v>-</v>
      </c>
      <c r="O200" s="251">
        <f t="shared" si="47"/>
        <v>0</v>
      </c>
      <c r="P200" s="252" t="str">
        <f t="shared" si="48"/>
        <v>-</v>
      </c>
      <c r="Q200" s="37"/>
      <c r="R200" s="285"/>
    </row>
    <row r="201" spans="1:18">
      <c r="A201" s="265" t="s">
        <v>59</v>
      </c>
      <c r="B201" s="284"/>
      <c r="C201" s="251" t="str">
        <f t="shared" si="63"/>
        <v>-</v>
      </c>
      <c r="D201" s="259" t="str">
        <f t="shared" si="64"/>
        <v>-</v>
      </c>
      <c r="E201" s="251">
        <f t="shared" si="65"/>
        <v>0</v>
      </c>
      <c r="F201" s="252" t="str">
        <f t="shared" si="66"/>
        <v>-</v>
      </c>
      <c r="G201" s="37"/>
      <c r="H201" s="285"/>
      <c r="I201" s="259" t="str">
        <f t="shared" si="67"/>
        <v>-</v>
      </c>
      <c r="J201" s="251">
        <f t="shared" si="44"/>
        <v>0</v>
      </c>
      <c r="K201" s="252" t="str">
        <f t="shared" si="45"/>
        <v>-</v>
      </c>
      <c r="L201" s="37"/>
      <c r="M201" s="285"/>
      <c r="N201" s="259" t="str">
        <f t="shared" si="46"/>
        <v>-</v>
      </c>
      <c r="O201" s="251">
        <f t="shared" si="47"/>
        <v>0</v>
      </c>
      <c r="P201" s="252" t="str">
        <f t="shared" si="48"/>
        <v>-</v>
      </c>
      <c r="Q201" s="37"/>
      <c r="R201" s="285"/>
    </row>
    <row r="202" spans="1:18">
      <c r="A202" s="265" t="s">
        <v>593</v>
      </c>
      <c r="B202" s="284"/>
      <c r="C202" s="251" t="str">
        <f t="shared" si="63"/>
        <v>-</v>
      </c>
      <c r="D202" s="259" t="str">
        <f t="shared" si="64"/>
        <v>-</v>
      </c>
      <c r="E202" s="251">
        <f t="shared" si="65"/>
        <v>0</v>
      </c>
      <c r="F202" s="252" t="str">
        <f t="shared" si="66"/>
        <v>-</v>
      </c>
      <c r="G202" s="37"/>
      <c r="H202" s="285"/>
      <c r="I202" s="259" t="str">
        <f t="shared" si="67"/>
        <v>-</v>
      </c>
      <c r="J202" s="251">
        <f t="shared" si="44"/>
        <v>0</v>
      </c>
      <c r="K202" s="252" t="str">
        <f t="shared" si="45"/>
        <v>-</v>
      </c>
      <c r="L202" s="37"/>
      <c r="M202" s="285"/>
      <c r="N202" s="259" t="str">
        <f t="shared" si="46"/>
        <v>-</v>
      </c>
      <c r="O202" s="251">
        <f t="shared" si="47"/>
        <v>0</v>
      </c>
      <c r="P202" s="252" t="str">
        <f t="shared" si="48"/>
        <v>-</v>
      </c>
      <c r="Q202" s="37"/>
      <c r="R202" s="285"/>
    </row>
    <row r="203" spans="1:18">
      <c r="A203" s="265" t="s">
        <v>139</v>
      </c>
      <c r="B203" s="284"/>
      <c r="C203" s="251" t="str">
        <f t="shared" si="63"/>
        <v>-</v>
      </c>
      <c r="D203" s="259" t="str">
        <f t="shared" si="64"/>
        <v>-</v>
      </c>
      <c r="E203" s="251">
        <f t="shared" si="65"/>
        <v>0</v>
      </c>
      <c r="F203" s="252" t="str">
        <f t="shared" si="66"/>
        <v>-</v>
      </c>
      <c r="G203" s="37"/>
      <c r="H203" s="285"/>
      <c r="I203" s="259" t="str">
        <f t="shared" si="67"/>
        <v>-</v>
      </c>
      <c r="J203" s="251">
        <f t="shared" si="44"/>
        <v>0</v>
      </c>
      <c r="K203" s="252" t="str">
        <f t="shared" si="45"/>
        <v>-</v>
      </c>
      <c r="L203" s="37"/>
      <c r="M203" s="285"/>
      <c r="N203" s="259" t="str">
        <f t="shared" si="46"/>
        <v>-</v>
      </c>
      <c r="O203" s="251">
        <f t="shared" si="47"/>
        <v>0</v>
      </c>
      <c r="P203" s="252" t="str">
        <f t="shared" si="48"/>
        <v>-</v>
      </c>
      <c r="Q203" s="37"/>
      <c r="R203" s="285"/>
    </row>
    <row r="204" spans="1:18">
      <c r="A204" s="265" t="s">
        <v>594</v>
      </c>
      <c r="B204" s="284"/>
      <c r="C204" s="251" t="str">
        <f t="shared" si="63"/>
        <v>-</v>
      </c>
      <c r="D204" s="259" t="str">
        <f t="shared" si="64"/>
        <v>-</v>
      </c>
      <c r="E204" s="251">
        <f t="shared" si="65"/>
        <v>0</v>
      </c>
      <c r="F204" s="252" t="str">
        <f t="shared" si="66"/>
        <v>-</v>
      </c>
      <c r="G204" s="37"/>
      <c r="H204" s="285"/>
      <c r="I204" s="259" t="str">
        <f t="shared" si="67"/>
        <v>-</v>
      </c>
      <c r="J204" s="251">
        <f t="shared" si="44"/>
        <v>0</v>
      </c>
      <c r="K204" s="252" t="str">
        <f t="shared" si="45"/>
        <v>-</v>
      </c>
      <c r="L204" s="37"/>
      <c r="M204" s="285"/>
      <c r="N204" s="259" t="str">
        <f t="shared" si="46"/>
        <v>-</v>
      </c>
      <c r="O204" s="251">
        <f t="shared" si="47"/>
        <v>0</v>
      </c>
      <c r="P204" s="252" t="str">
        <f t="shared" si="48"/>
        <v>-</v>
      </c>
      <c r="Q204" s="37"/>
      <c r="R204" s="285"/>
    </row>
    <row r="205" spans="1:18">
      <c r="A205" s="265" t="s">
        <v>13</v>
      </c>
      <c r="B205" s="284">
        <v>0.11</v>
      </c>
      <c r="C205" s="319">
        <f t="shared" si="63"/>
        <v>32727.272727272728</v>
      </c>
      <c r="D205" s="259">
        <f t="shared" si="64"/>
        <v>0.14666666666666667</v>
      </c>
      <c r="E205" s="319">
        <f t="shared" si="65"/>
        <v>1</v>
      </c>
      <c r="F205" s="320">
        <f t="shared" si="66"/>
        <v>0.14666666666666667</v>
      </c>
      <c r="G205" s="37"/>
      <c r="H205" s="285">
        <f>(Preencher!$I$18*Preencher!$I$20)+(Preencher!$I$19*Preencher!$I$21)</f>
        <v>4800</v>
      </c>
      <c r="I205" s="259">
        <f t="shared" si="67"/>
        <v>0</v>
      </c>
      <c r="J205" s="319">
        <f t="shared" si="44"/>
        <v>0</v>
      </c>
      <c r="K205" s="320" t="str">
        <f t="shared" si="45"/>
        <v>-</v>
      </c>
      <c r="L205" s="37"/>
      <c r="M205" s="285">
        <f>(Preencher!$J$18*Preencher!$J$20)+(Preencher!$J$19*Preencher!$J$21)</f>
        <v>0</v>
      </c>
      <c r="N205" s="259">
        <f t="shared" si="46"/>
        <v>0</v>
      </c>
      <c r="O205" s="319">
        <f t="shared" si="47"/>
        <v>0</v>
      </c>
      <c r="P205" s="320" t="str">
        <f t="shared" si="48"/>
        <v>-</v>
      </c>
      <c r="Q205" s="37"/>
      <c r="R205" s="285">
        <f>(Preencher!$K$18*Preencher!$K$20)+(Preencher!$K$19*Preencher!$K$21)</f>
        <v>0</v>
      </c>
    </row>
    <row r="206" spans="1:18">
      <c r="A206" s="265" t="s">
        <v>3116</v>
      </c>
      <c r="B206" s="284">
        <v>0.21</v>
      </c>
      <c r="C206" s="770">
        <f>IF(B206=0,"-",3600/B206)</f>
        <v>17142.857142857145</v>
      </c>
      <c r="D206" s="259">
        <f>IFERROR((H206/C206),"-")</f>
        <v>0.27999999999999997</v>
      </c>
      <c r="E206" s="770">
        <f>IFERROR(ROUNDUP(D206/0.95,0.999),0)</f>
        <v>1</v>
      </c>
      <c r="F206" s="772">
        <f>IFERROR((H206/C206/E206),"-")</f>
        <v>0.27999999999999997</v>
      </c>
      <c r="G206" s="37"/>
      <c r="H206" s="285">
        <f>(Preencher!$I$18*Preencher!$I$20)+(Preencher!$I$19*Preencher!$I$21)</f>
        <v>4800</v>
      </c>
      <c r="I206" s="259">
        <f>IFERROR((M206/C206),"-")</f>
        <v>0</v>
      </c>
      <c r="J206" s="770">
        <f>IFERROR(ROUNDUP(I206/0.95,0.999),0)</f>
        <v>0</v>
      </c>
      <c r="K206" s="772" t="str">
        <f>IFERROR((M206/C206/J206),"-")</f>
        <v>-</v>
      </c>
      <c r="L206" s="37"/>
      <c r="M206" s="285">
        <f>(Preencher!$J$18*Preencher!$J$20)+(Preencher!$J$19*Preencher!$J$21)</f>
        <v>0</v>
      </c>
      <c r="N206" s="259">
        <f>IFERROR((R206/C206),"-")</f>
        <v>0</v>
      </c>
      <c r="O206" s="770">
        <f>IFERROR(ROUNDUP(N206/0.95,0.999),0)</f>
        <v>0</v>
      </c>
      <c r="P206" s="772" t="str">
        <f>IFERROR((R206/C206/O206),"-")</f>
        <v>-</v>
      </c>
      <c r="Q206" s="37"/>
      <c r="R206" s="285">
        <f>(Preencher!$K$18*Preencher!$K$20)+(Preencher!$K$19*Preencher!$K$21)</f>
        <v>0</v>
      </c>
    </row>
    <row r="207" spans="1:18">
      <c r="A207" s="265" t="s">
        <v>16</v>
      </c>
      <c r="B207" s="284"/>
      <c r="C207" s="770"/>
      <c r="D207" s="259"/>
      <c r="E207" s="770">
        <f>IFERROR(ROUNDUP(SUM(Avaliação!J127:J149)*'BD Temp'!H207,0.999),0)</f>
        <v>4</v>
      </c>
      <c r="F207" s="772" t="str">
        <f t="shared" ref="F207" si="68">IFERROR((H207/C207/E207),"-")</f>
        <v>-</v>
      </c>
      <c r="G207" s="37"/>
      <c r="H207" s="285">
        <f>IF(Preencher!$A$15=Preencher!$R$28,0,IF(Preencher!$A$15=Preencher!$R$29,Preencher!$C$15,Preencher!$D$15))</f>
        <v>0.33</v>
      </c>
      <c r="I207" s="259" t="str">
        <f t="shared" ref="I207" si="69">IFERROR((M207/C207),"-")</f>
        <v>-</v>
      </c>
      <c r="J207" s="770">
        <f>IFERROR(ROUNDUP(SUM(Avaliação!N127:N149)*'BD Temp'!M207,0.999),0)</f>
        <v>0</v>
      </c>
      <c r="K207" s="772" t="str">
        <f t="shared" ref="K207" si="70">IFERROR((M207/C207/J207),"-")</f>
        <v>-</v>
      </c>
      <c r="L207" s="37"/>
      <c r="M207" s="285">
        <f>IF(Preencher!$A$15=Preencher!$R$28,0,IF(Preencher!$A$15=Preencher!$R$29,Preencher!$C$15,Preencher!$D$15))</f>
        <v>0.33</v>
      </c>
      <c r="N207" s="259" t="str">
        <f t="shared" ref="N207" si="71">IFERROR((R207/C207),"-")</f>
        <v>-</v>
      </c>
      <c r="O207" s="770">
        <f>IFERROR(ROUNDUP(SUM(Avaliação!R127:R149)*'BD Temp'!R207,0.999),0)</f>
        <v>0</v>
      </c>
      <c r="P207" s="772" t="str">
        <f t="shared" ref="P207" si="72">IFERROR((R207/C207/O207),"-")</f>
        <v>-</v>
      </c>
      <c r="Q207" s="37"/>
      <c r="R207" s="285">
        <f>IF(Preencher!$A$15=Preencher!$R$28,0,IF(Preencher!$A$15=Preencher!$R$29,Preencher!$C$15,Preencher!$D$15))</f>
        <v>0.33</v>
      </c>
    </row>
    <row r="208" spans="1:18">
      <c r="A208" s="265" t="s">
        <v>15</v>
      </c>
      <c r="B208" s="284">
        <f>0.21-0.21</f>
        <v>0</v>
      </c>
      <c r="C208" s="251" t="str">
        <f t="shared" si="63"/>
        <v>-</v>
      </c>
      <c r="D208" s="259" t="str">
        <f t="shared" si="64"/>
        <v>-</v>
      </c>
      <c r="E208" s="251">
        <f t="shared" si="65"/>
        <v>0</v>
      </c>
      <c r="F208" s="252" t="str">
        <f t="shared" si="66"/>
        <v>-</v>
      </c>
      <c r="G208" s="37"/>
      <c r="H208" s="285">
        <f>H205</f>
        <v>4800</v>
      </c>
      <c r="I208" s="259" t="str">
        <f t="shared" si="67"/>
        <v>-</v>
      </c>
      <c r="J208" s="251">
        <f t="shared" si="44"/>
        <v>0</v>
      </c>
      <c r="K208" s="252" t="str">
        <f t="shared" si="45"/>
        <v>-</v>
      </c>
      <c r="L208" s="37"/>
      <c r="M208" s="285">
        <f>M205</f>
        <v>0</v>
      </c>
      <c r="N208" s="259" t="str">
        <f t="shared" si="46"/>
        <v>-</v>
      </c>
      <c r="O208" s="251">
        <f t="shared" si="47"/>
        <v>0</v>
      </c>
      <c r="P208" s="252" t="str">
        <f t="shared" si="48"/>
        <v>-</v>
      </c>
      <c r="Q208" s="37"/>
      <c r="R208" s="285">
        <f>R205</f>
        <v>0</v>
      </c>
    </row>
    <row r="209" spans="1:18">
      <c r="A209" s="265"/>
      <c r="B209" s="286"/>
      <c r="C209" s="37"/>
      <c r="D209" s="37"/>
      <c r="E209" s="37"/>
      <c r="F209" s="37"/>
      <c r="G209" s="37"/>
      <c r="H209" s="287"/>
      <c r="I209" s="37"/>
      <c r="J209" s="37"/>
      <c r="K209" s="37"/>
      <c r="L209" s="37"/>
      <c r="M209" s="287"/>
      <c r="N209" s="37"/>
      <c r="O209" s="37"/>
      <c r="P209" s="37"/>
      <c r="Q209" s="37"/>
      <c r="R209" s="287"/>
    </row>
    <row r="210" spans="1:18">
      <c r="A210" s="270" t="s">
        <v>723</v>
      </c>
      <c r="B210" s="291"/>
      <c r="C210" s="39"/>
      <c r="D210" s="39"/>
      <c r="E210" s="39"/>
      <c r="F210" s="39"/>
      <c r="G210" s="39"/>
      <c r="H210" s="292"/>
      <c r="I210" s="39"/>
      <c r="J210" s="39"/>
      <c r="K210" s="39"/>
      <c r="L210" s="39"/>
      <c r="M210" s="292"/>
      <c r="N210" s="39"/>
      <c r="O210" s="39"/>
      <c r="P210" s="39"/>
      <c r="Q210" s="39"/>
      <c r="R210" s="292"/>
    </row>
    <row r="211" spans="1:18">
      <c r="A211" s="265"/>
      <c r="B211" s="286"/>
      <c r="C211" s="37"/>
      <c r="D211" s="37"/>
      <c r="E211" s="37"/>
      <c r="F211" s="37"/>
      <c r="G211" s="37"/>
      <c r="H211" s="287"/>
      <c r="I211" s="37"/>
      <c r="J211" s="37"/>
      <c r="K211" s="37"/>
      <c r="L211" s="37"/>
      <c r="M211" s="287"/>
      <c r="N211" s="37"/>
      <c r="O211" s="37"/>
      <c r="P211" s="37"/>
      <c r="Q211" s="37"/>
      <c r="R211" s="287"/>
    </row>
    <row r="212" spans="1:18">
      <c r="A212" s="265"/>
      <c r="B212" s="286"/>
      <c r="C212" s="37"/>
      <c r="D212" s="37"/>
      <c r="E212" s="37"/>
      <c r="F212" s="37"/>
      <c r="G212" s="37"/>
      <c r="H212" s="287"/>
      <c r="I212" s="37"/>
      <c r="J212" s="37"/>
      <c r="K212" s="37"/>
      <c r="L212" s="37"/>
      <c r="M212" s="287"/>
      <c r="N212" s="37"/>
      <c r="O212" s="37"/>
      <c r="P212" s="37"/>
      <c r="Q212" s="37"/>
      <c r="R212" s="287"/>
    </row>
    <row r="213" spans="1:18">
      <c r="A213" s="265"/>
      <c r="B213" s="286"/>
      <c r="C213" s="37"/>
      <c r="D213" s="37"/>
      <c r="E213" s="37"/>
      <c r="F213" s="37"/>
      <c r="G213" s="37"/>
      <c r="H213" s="287"/>
      <c r="I213" s="37"/>
      <c r="J213" s="37"/>
      <c r="K213" s="37"/>
      <c r="L213" s="37"/>
      <c r="M213" s="287"/>
      <c r="N213" s="37"/>
      <c r="O213" s="37"/>
      <c r="P213" s="37"/>
      <c r="Q213" s="37"/>
      <c r="R213" s="287"/>
    </row>
    <row r="214" spans="1:18">
      <c r="A214" s="265"/>
      <c r="B214" s="286"/>
      <c r="C214" s="37"/>
      <c r="D214" s="37"/>
      <c r="E214" s="37"/>
      <c r="F214" s="37"/>
      <c r="G214" s="37"/>
      <c r="H214" s="287"/>
      <c r="I214" s="37"/>
      <c r="J214" s="37"/>
      <c r="K214" s="37"/>
      <c r="L214" s="37"/>
      <c r="M214" s="287"/>
      <c r="N214" s="37"/>
      <c r="O214" s="37"/>
      <c r="P214" s="37"/>
      <c r="Q214" s="37"/>
      <c r="R214" s="287"/>
    </row>
    <row r="215" spans="1:18">
      <c r="A215" s="265"/>
      <c r="B215" s="286"/>
      <c r="C215" s="37"/>
      <c r="D215" s="37"/>
      <c r="E215" s="37"/>
      <c r="F215" s="37"/>
      <c r="G215" s="37"/>
      <c r="H215" s="287"/>
      <c r="I215" s="37"/>
      <c r="J215" s="37"/>
      <c r="K215" s="37"/>
      <c r="L215" s="37"/>
      <c r="M215" s="287"/>
      <c r="N215" s="37"/>
      <c r="O215" s="37"/>
      <c r="P215" s="37"/>
      <c r="Q215" s="37"/>
      <c r="R215" s="287"/>
    </row>
    <row r="216" spans="1:18">
      <c r="A216" s="265"/>
      <c r="B216" s="286"/>
      <c r="C216" s="37"/>
      <c r="D216" s="37"/>
      <c r="E216" s="37"/>
      <c r="F216" s="37"/>
      <c r="G216" s="37"/>
      <c r="H216" s="287"/>
      <c r="I216" s="37"/>
      <c r="J216" s="37"/>
      <c r="K216" s="37"/>
      <c r="L216" s="37"/>
      <c r="M216" s="287"/>
      <c r="N216" s="37"/>
      <c r="O216" s="37"/>
      <c r="P216" s="37"/>
      <c r="Q216" s="37"/>
      <c r="R216" s="287"/>
    </row>
    <row r="217" spans="1:18">
      <c r="A217" s="264" t="s">
        <v>235</v>
      </c>
      <c r="B217" s="282"/>
      <c r="C217" s="40"/>
      <c r="D217" s="40"/>
      <c r="E217" s="40"/>
      <c r="F217" s="40"/>
      <c r="G217" s="40"/>
      <c r="H217" s="283"/>
      <c r="I217" s="40"/>
      <c r="J217" s="40"/>
      <c r="K217" s="40"/>
      <c r="L217" s="40"/>
      <c r="M217" s="283"/>
      <c r="N217" s="40"/>
      <c r="O217" s="40"/>
      <c r="P217" s="40"/>
      <c r="Q217" s="40"/>
      <c r="R217" s="283"/>
    </row>
    <row r="218" spans="1:18">
      <c r="A218" s="268" t="s">
        <v>17</v>
      </c>
      <c r="B218" s="288"/>
      <c r="C218" s="13"/>
      <c r="D218" s="13"/>
      <c r="E218" s="13"/>
      <c r="F218" s="13"/>
      <c r="G218" s="13"/>
      <c r="H218" s="113"/>
      <c r="I218" s="13"/>
      <c r="J218" s="13"/>
      <c r="K218" s="13"/>
      <c r="L218" s="13"/>
      <c r="M218" s="113"/>
      <c r="N218" s="13"/>
      <c r="O218" s="13"/>
      <c r="P218" s="13"/>
      <c r="Q218" s="13"/>
      <c r="R218" s="113"/>
    </row>
    <row r="219" spans="1:18">
      <c r="A219" s="268" t="s">
        <v>18</v>
      </c>
      <c r="B219" s="288"/>
      <c r="C219" s="13"/>
      <c r="D219" s="13"/>
      <c r="E219" s="13"/>
      <c r="F219" s="13"/>
      <c r="G219" s="13"/>
      <c r="H219" s="113"/>
      <c r="I219" s="13"/>
      <c r="J219" s="13"/>
      <c r="K219" s="13"/>
      <c r="L219" s="13"/>
      <c r="M219" s="113"/>
      <c r="N219" s="13"/>
      <c r="O219" s="13"/>
      <c r="P219" s="13"/>
      <c r="Q219" s="13"/>
      <c r="R219" s="113"/>
    </row>
    <row r="220" spans="1:18">
      <c r="A220" s="268"/>
      <c r="B220" s="288"/>
      <c r="C220" s="13"/>
      <c r="D220" s="13"/>
      <c r="E220" s="13"/>
      <c r="F220" s="13"/>
      <c r="G220" s="13"/>
      <c r="H220" s="113"/>
      <c r="I220" s="13"/>
      <c r="J220" s="13"/>
      <c r="K220" s="13"/>
      <c r="L220" s="13"/>
      <c r="M220" s="113"/>
      <c r="N220" s="13"/>
      <c r="O220" s="13"/>
      <c r="P220" s="13"/>
      <c r="Q220" s="13"/>
      <c r="R220" s="113"/>
    </row>
    <row r="221" spans="1:18">
      <c r="A221" s="262" t="s">
        <v>243</v>
      </c>
      <c r="B221" s="278" t="s">
        <v>5400</v>
      </c>
      <c r="C221" s="17"/>
      <c r="D221" s="17"/>
      <c r="E221" s="17"/>
      <c r="F221" s="17"/>
      <c r="G221" s="17"/>
      <c r="H221" s="279"/>
      <c r="I221" s="17"/>
      <c r="J221" s="17"/>
      <c r="K221" s="17"/>
      <c r="L221" s="17"/>
      <c r="M221" s="279"/>
      <c r="N221" s="17"/>
      <c r="O221" s="17"/>
      <c r="P221" s="17"/>
      <c r="Q221" s="17"/>
      <c r="R221" s="279"/>
    </row>
    <row r="222" spans="1:18">
      <c r="A222" s="263" t="s">
        <v>60</v>
      </c>
      <c r="B222" s="280"/>
      <c r="C222" s="35"/>
      <c r="D222" s="35"/>
      <c r="E222" s="35"/>
      <c r="F222" s="35"/>
      <c r="G222" s="35"/>
      <c r="H222" s="281"/>
      <c r="I222" s="35"/>
      <c r="J222" s="35"/>
      <c r="K222" s="35"/>
      <c r="L222" s="35"/>
      <c r="M222" s="281"/>
      <c r="N222" s="35"/>
      <c r="O222" s="35"/>
      <c r="P222" s="35"/>
      <c r="Q222" s="35"/>
      <c r="R222" s="281"/>
    </row>
    <row r="223" spans="1:18">
      <c r="A223" s="264" t="s">
        <v>714</v>
      </c>
      <c r="B223" s="282"/>
      <c r="C223" s="40"/>
      <c r="D223" s="40"/>
      <c r="E223" s="40"/>
      <c r="F223" s="40"/>
      <c r="G223" s="40"/>
      <c r="H223" s="283"/>
      <c r="I223" s="40"/>
      <c r="J223" s="40"/>
      <c r="K223" s="40"/>
      <c r="L223" s="40"/>
      <c r="M223" s="283"/>
      <c r="N223" s="40"/>
      <c r="O223" s="40"/>
      <c r="P223" s="40"/>
      <c r="Q223" s="40"/>
      <c r="R223" s="283"/>
    </row>
    <row r="224" spans="1:18">
      <c r="A224" s="265" t="s">
        <v>738</v>
      </c>
      <c r="B224" s="119"/>
      <c r="C224" s="259"/>
      <c r="D224" s="259"/>
      <c r="E224" s="686">
        <f>IFERROR(ROUNDUP(SUM(D225:D232)/0.95,0.999),0)</f>
        <v>0</v>
      </c>
      <c r="F224" s="687" t="str">
        <f>IFERROR(((SUM(H225:H232))/(AVERAGE(C225:C232))/E224),"-")</f>
        <v>-</v>
      </c>
      <c r="G224" s="326"/>
      <c r="H224" s="690"/>
      <c r="I224" s="259"/>
      <c r="J224" s="686">
        <f>IFERROR(ROUNDUP(SUM(I225:I232)/0.95,0.999),0)</f>
        <v>0</v>
      </c>
      <c r="K224" s="687" t="str">
        <f>IFERROR(((SUM(M225:M232))/(AVERAGE(C225:C232))/J224),"-")</f>
        <v>-</v>
      </c>
      <c r="L224" s="326"/>
      <c r="M224" s="285"/>
      <c r="N224" s="259"/>
      <c r="O224" s="686">
        <f>IFERROR(ROUNDUP(SUM(N225:N232)/0.95,0.999),0)</f>
        <v>0</v>
      </c>
      <c r="P224" s="687" t="str">
        <f>IFERROR(((SUM(R225:R232))/(AVERAGE(C225:C232))/O224),"-")</f>
        <v>-</v>
      </c>
      <c r="Q224" s="326"/>
      <c r="R224" s="285"/>
    </row>
    <row r="225" spans="1:18">
      <c r="A225" s="314" t="s">
        <v>2575</v>
      </c>
      <c r="B225" s="284">
        <f t="shared" ref="B225:B231" si="73">1.86</f>
        <v>1.86</v>
      </c>
      <c r="C225" s="322">
        <f t="shared" ref="C225:C232" si="74">IF(B225=0,"-",3600/B225)</f>
        <v>1935.4838709677417</v>
      </c>
      <c r="D225" s="259">
        <f>IFERROR((H225/C225/Preencher!$B$68),"-")</f>
        <v>0</v>
      </c>
      <c r="E225" s="322">
        <f>IFERROR(ROUNDUP(D225/0.95,0.999),0)*Preencher!$B$68</f>
        <v>0</v>
      </c>
      <c r="F225" s="323" t="str">
        <f>IFERROR((H225/C225/E225),"-")</f>
        <v>-</v>
      </c>
      <c r="G225" s="37"/>
      <c r="H225" s="285">
        <f>Preencher!$Q$64</f>
        <v>0</v>
      </c>
      <c r="I225" s="259" t="str">
        <f>IFERROR((M225/C225/Preencher!$C$68),"-")</f>
        <v>-</v>
      </c>
      <c r="J225" s="322">
        <f>IFERROR(ROUNDUP(I225/0.95,0.999),0)*Preencher!$C$68</f>
        <v>0</v>
      </c>
      <c r="K225" s="323" t="str">
        <f t="shared" ref="K225:K232" si="75">IFERROR((M225/C225/J225),"-")</f>
        <v>-</v>
      </c>
      <c r="L225" s="37"/>
      <c r="M225" s="285">
        <f>Preencher!$R$64</f>
        <v>0</v>
      </c>
      <c r="N225" s="259" t="str">
        <f>IFERROR((R225/C225/Preencher!$D$68),"-")</f>
        <v>-</v>
      </c>
      <c r="O225" s="322">
        <f>IFERROR(ROUNDUP(N225/0.95,0.999),0)*Preencher!$D$68</f>
        <v>0</v>
      </c>
      <c r="P225" s="323" t="str">
        <f t="shared" ref="P225:P232" si="76">IFERROR((R225/C225/O225),"-")</f>
        <v>-</v>
      </c>
      <c r="Q225" s="37"/>
      <c r="R225" s="285">
        <f>Preencher!$S$64</f>
        <v>0</v>
      </c>
    </row>
    <row r="226" spans="1:18">
      <c r="A226" s="314" t="s">
        <v>2576</v>
      </c>
      <c r="B226" s="284">
        <f t="shared" si="73"/>
        <v>1.86</v>
      </c>
      <c r="C226" s="686">
        <f t="shared" si="74"/>
        <v>1935.4838709677417</v>
      </c>
      <c r="D226" s="259">
        <f>IFERROR((H226/C226/Preencher!$B$68),"-")</f>
        <v>0</v>
      </c>
      <c r="E226" s="686">
        <f>IFERROR(ROUNDUP(D226/0.95,0.999),0)*Preencher!$B$68</f>
        <v>0</v>
      </c>
      <c r="F226" s="687" t="str">
        <f>IFERROR((#REF!/C226/E226),"-")</f>
        <v>-</v>
      </c>
      <c r="G226" s="37"/>
      <c r="H226" s="285">
        <f>Preencher!$Q$65</f>
        <v>0</v>
      </c>
      <c r="I226" s="259" t="str">
        <f>IFERROR((M226/C226/Preencher!$C$68),"-")</f>
        <v>-</v>
      </c>
      <c r="J226" s="686">
        <f>IFERROR(ROUNDUP(I226/0.95,0.999),0)*Preencher!$C$68</f>
        <v>0</v>
      </c>
      <c r="K226" s="687" t="str">
        <f t="shared" si="75"/>
        <v>-</v>
      </c>
      <c r="L226" s="37"/>
      <c r="M226" s="285">
        <f>Preencher!$R$65</f>
        <v>0</v>
      </c>
      <c r="N226" s="259" t="str">
        <f>IFERROR((R226/C226/Preencher!$D$68),"-")</f>
        <v>-</v>
      </c>
      <c r="O226" s="686">
        <f>IFERROR(ROUNDUP(N226/0.95,0.999),0)*Preencher!$D$68</f>
        <v>0</v>
      </c>
      <c r="P226" s="687" t="str">
        <f t="shared" si="76"/>
        <v>-</v>
      </c>
      <c r="Q226" s="37"/>
      <c r="R226" s="285">
        <f>Preencher!$S$65</f>
        <v>0</v>
      </c>
    </row>
    <row r="227" spans="1:18">
      <c r="A227" s="314" t="s">
        <v>2577</v>
      </c>
      <c r="B227" s="284">
        <f t="shared" si="73"/>
        <v>1.86</v>
      </c>
      <c r="C227" s="686">
        <f t="shared" si="74"/>
        <v>1935.4838709677417</v>
      </c>
      <c r="D227" s="259">
        <f>IFERROR((H227/C227/Preencher!$B$68),"-")</f>
        <v>0</v>
      </c>
      <c r="E227" s="686">
        <f>IFERROR(ROUNDUP(D227/0.95,0.999),0)*Preencher!$B$68</f>
        <v>0</v>
      </c>
      <c r="F227" s="687" t="str">
        <f>IFERROR((H226/C227/E227),"-")</f>
        <v>-</v>
      </c>
      <c r="G227" s="37"/>
      <c r="H227" s="285">
        <f>Preencher!$Q$66</f>
        <v>0</v>
      </c>
      <c r="I227" s="259" t="str">
        <f>IFERROR((M227/C227/Preencher!$C$68),"-")</f>
        <v>-</v>
      </c>
      <c r="J227" s="686">
        <f>IFERROR(ROUNDUP(I227/0.95,0.999),0)*Preencher!$C$68</f>
        <v>0</v>
      </c>
      <c r="K227" s="687" t="str">
        <f t="shared" si="75"/>
        <v>-</v>
      </c>
      <c r="L227" s="37"/>
      <c r="M227" s="285">
        <f>Preencher!$R$66</f>
        <v>0</v>
      </c>
      <c r="N227" s="259" t="str">
        <f>IFERROR((R227/C227/Preencher!$D$68),"-")</f>
        <v>-</v>
      </c>
      <c r="O227" s="686">
        <f>IFERROR(ROUNDUP(N227/0.95,0.999),0)*Preencher!$D$68</f>
        <v>0</v>
      </c>
      <c r="P227" s="687" t="str">
        <f t="shared" si="76"/>
        <v>-</v>
      </c>
      <c r="Q227" s="37"/>
      <c r="R227" s="285">
        <f>Preencher!$S$66</f>
        <v>0</v>
      </c>
    </row>
    <row r="228" spans="1:18">
      <c r="A228" s="314" t="s">
        <v>2638</v>
      </c>
      <c r="B228" s="284">
        <f t="shared" si="73"/>
        <v>1.86</v>
      </c>
      <c r="C228" s="686">
        <f t="shared" si="74"/>
        <v>1935.4838709677417</v>
      </c>
      <c r="D228" s="259">
        <f>IFERROR((H228/C228/Preencher!$B$68),"-")</f>
        <v>0</v>
      </c>
      <c r="E228" s="686">
        <f>IFERROR(ROUNDUP(D228/0.95,0.999),0)*Preencher!$B$68</f>
        <v>0</v>
      </c>
      <c r="F228" s="687" t="str">
        <f>IFERROR((H227/C228/E228),"-")</f>
        <v>-</v>
      </c>
      <c r="G228" s="37"/>
      <c r="H228" s="285">
        <f>Preencher!$Q$67</f>
        <v>0</v>
      </c>
      <c r="I228" s="259" t="str">
        <f>IFERROR((M228/C228/Preencher!$C$68),"-")</f>
        <v>-</v>
      </c>
      <c r="J228" s="686">
        <f>IFERROR(ROUNDUP(I228/0.95,0.999),0)*Preencher!$C$68</f>
        <v>0</v>
      </c>
      <c r="K228" s="687" t="str">
        <f t="shared" si="75"/>
        <v>-</v>
      </c>
      <c r="L228" s="37"/>
      <c r="M228" s="285">
        <f>Preencher!$R$67</f>
        <v>0</v>
      </c>
      <c r="N228" s="259" t="str">
        <f>IFERROR((R228/C228/Preencher!$D$68),"-")</f>
        <v>-</v>
      </c>
      <c r="O228" s="686">
        <f>IFERROR(ROUNDUP(N228/0.95,0.999),0)*Preencher!$D$68</f>
        <v>0</v>
      </c>
      <c r="P228" s="687" t="str">
        <f t="shared" si="76"/>
        <v>-</v>
      </c>
      <c r="Q228" s="37"/>
      <c r="R228" s="285">
        <f>Preencher!$S$67</f>
        <v>0</v>
      </c>
    </row>
    <row r="229" spans="1:18">
      <c r="A229" s="314" t="s">
        <v>2639</v>
      </c>
      <c r="B229" s="284">
        <f t="shared" si="73"/>
        <v>1.86</v>
      </c>
      <c r="C229" s="686">
        <f t="shared" si="74"/>
        <v>1935.4838709677417</v>
      </c>
      <c r="D229" s="259">
        <f>IFERROR((H229/C229/Preencher!$B$68),"-")</f>
        <v>0</v>
      </c>
      <c r="E229" s="686">
        <f>IFERROR(ROUNDUP(D229/0.95,0.999),0)*Preencher!$B$68</f>
        <v>0</v>
      </c>
      <c r="F229" s="687" t="str">
        <f>IFERROR((H228/C229/E229),"-")</f>
        <v>-</v>
      </c>
      <c r="G229" s="37"/>
      <c r="H229" s="285">
        <f>Preencher!$Q$68</f>
        <v>0</v>
      </c>
      <c r="I229" s="259" t="str">
        <f>IFERROR((M229/C229/Preencher!$C$68),"-")</f>
        <v>-</v>
      </c>
      <c r="J229" s="686">
        <f>IFERROR(ROUNDUP(I229/0.95,0.999),0)*Preencher!$C$68</f>
        <v>0</v>
      </c>
      <c r="K229" s="687" t="str">
        <f t="shared" si="75"/>
        <v>-</v>
      </c>
      <c r="L229" s="37"/>
      <c r="M229" s="285">
        <f>Preencher!$R$68</f>
        <v>0</v>
      </c>
      <c r="N229" s="259" t="str">
        <f>IFERROR((R229/C229/Preencher!$D$68),"-")</f>
        <v>-</v>
      </c>
      <c r="O229" s="686">
        <f>IFERROR(ROUNDUP(N229/0.95,0.999),0)*Preencher!$D$68</f>
        <v>0</v>
      </c>
      <c r="P229" s="687" t="str">
        <f t="shared" si="76"/>
        <v>-</v>
      </c>
      <c r="Q229" s="37"/>
      <c r="R229" s="285">
        <f>Preencher!$S$68</f>
        <v>0</v>
      </c>
    </row>
    <row r="230" spans="1:18">
      <c r="A230" s="314" t="s">
        <v>2592</v>
      </c>
      <c r="B230" s="284">
        <f t="shared" si="73"/>
        <v>1.86</v>
      </c>
      <c r="C230" s="686">
        <f t="shared" si="74"/>
        <v>1935.4838709677417</v>
      </c>
      <c r="D230" s="259">
        <f>IFERROR((H230/C230/Preencher!$B$68),"-")</f>
        <v>0</v>
      </c>
      <c r="E230" s="686">
        <f>IFERROR(ROUNDUP(D230/0.95,0.999),0)*Preencher!$B$68</f>
        <v>0</v>
      </c>
      <c r="F230" s="687" t="str">
        <f>IFERROR((H229/C230/E230),"-")</f>
        <v>-</v>
      </c>
      <c r="G230" s="37"/>
      <c r="H230" s="285">
        <f>Preencher!$Q$69</f>
        <v>0</v>
      </c>
      <c r="I230" s="259" t="str">
        <f>IFERROR((M230/C230/Preencher!$C$68),"-")</f>
        <v>-</v>
      </c>
      <c r="J230" s="686">
        <f>IFERROR(ROUNDUP(I230/0.95,0.999),0)*Preencher!$C$68</f>
        <v>0</v>
      </c>
      <c r="K230" s="687" t="str">
        <f t="shared" si="75"/>
        <v>-</v>
      </c>
      <c r="L230" s="37"/>
      <c r="M230" s="285">
        <f>Preencher!$R$69</f>
        <v>0</v>
      </c>
      <c r="N230" s="259" t="str">
        <f>IFERROR((R230/C230/Preencher!$D$68),"-")</f>
        <v>-</v>
      </c>
      <c r="O230" s="686">
        <f>IFERROR(ROUNDUP(N230/0.95,0.999),0)*Preencher!$D$68</f>
        <v>0</v>
      </c>
      <c r="P230" s="687" t="str">
        <f t="shared" si="76"/>
        <v>-</v>
      </c>
      <c r="Q230" s="37"/>
      <c r="R230" s="285">
        <f>Preencher!$S$69</f>
        <v>0</v>
      </c>
    </row>
    <row r="231" spans="1:18">
      <c r="A231" s="314" t="s">
        <v>2578</v>
      </c>
      <c r="B231" s="284">
        <f t="shared" si="73"/>
        <v>1.86</v>
      </c>
      <c r="C231" s="686">
        <f t="shared" si="74"/>
        <v>1935.4838709677417</v>
      </c>
      <c r="D231" s="259">
        <f>IFERROR((H231/C231/Preencher!$B$68),"-")</f>
        <v>0</v>
      </c>
      <c r="E231" s="686">
        <f>IFERROR(ROUNDUP(D231/0.95,0.999),0)*Preencher!$B$68</f>
        <v>0</v>
      </c>
      <c r="F231" s="687" t="str">
        <f>IFERROR((H229/C231/E231),"-")</f>
        <v>-</v>
      </c>
      <c r="G231" s="37"/>
      <c r="H231" s="285">
        <f>Preencher!$Q$70</f>
        <v>0</v>
      </c>
      <c r="I231" s="259" t="str">
        <f>IFERROR((M231/C231/Preencher!$C$68),"-")</f>
        <v>-</v>
      </c>
      <c r="J231" s="686">
        <f>IFERROR(ROUNDUP(I231/0.95,0.999),0)*Preencher!$C$68</f>
        <v>0</v>
      </c>
      <c r="K231" s="687" t="str">
        <f t="shared" si="75"/>
        <v>-</v>
      </c>
      <c r="L231" s="37"/>
      <c r="M231" s="285">
        <f>Preencher!$R$70</f>
        <v>0</v>
      </c>
      <c r="N231" s="259" t="str">
        <f>IFERROR((R231/C231/Preencher!$D$68),"-")</f>
        <v>-</v>
      </c>
      <c r="O231" s="686">
        <f>IFERROR(ROUNDUP(N231/0.95,0.999),0)*Preencher!$D$68</f>
        <v>0</v>
      </c>
      <c r="P231" s="687" t="str">
        <f t="shared" si="76"/>
        <v>-</v>
      </c>
      <c r="Q231" s="37"/>
      <c r="R231" s="285">
        <f>Preencher!$S$70</f>
        <v>0</v>
      </c>
    </row>
    <row r="232" spans="1:18">
      <c r="A232" s="314" t="s">
        <v>1331</v>
      </c>
      <c r="B232" s="284">
        <f>1.6</f>
        <v>1.6</v>
      </c>
      <c r="C232" s="322">
        <f t="shared" si="74"/>
        <v>2250</v>
      </c>
      <c r="D232" s="259" t="str">
        <f>IFERROR((H231/C232/Preencher!$B$61),"-")</f>
        <v>-</v>
      </c>
      <c r="E232" s="322">
        <f>IFERROR(ROUNDUP(D232/0.95,0.999),0)*Preencher!$B$61</f>
        <v>0</v>
      </c>
      <c r="F232" s="323" t="str">
        <f>IFERROR((H231/C232/E232),"-")</f>
        <v>-</v>
      </c>
      <c r="G232" s="37"/>
      <c r="H232" s="285">
        <f>Preencher!$B$60</f>
        <v>0</v>
      </c>
      <c r="I232" s="259" t="str">
        <f>IFERROR((M232/C232/Preencher!$C$61),"-")</f>
        <v>-</v>
      </c>
      <c r="J232" s="322">
        <f>IFERROR(ROUNDUP(I232/0.95,0.999),0)*Preencher!$C$61</f>
        <v>0</v>
      </c>
      <c r="K232" s="323" t="str">
        <f t="shared" si="75"/>
        <v>-</v>
      </c>
      <c r="L232" s="37"/>
      <c r="M232" s="285">
        <f>Preencher!C$60</f>
        <v>0</v>
      </c>
      <c r="N232" s="259" t="str">
        <f>IFERROR((R232/C232/Preencher!$D$61),"-")</f>
        <v>-</v>
      </c>
      <c r="O232" s="322">
        <f>IFERROR(ROUNDUP(N232/0.95,0.999),0)*Preencher!$D$61</f>
        <v>0</v>
      </c>
      <c r="P232" s="323" t="str">
        <f t="shared" si="76"/>
        <v>-</v>
      </c>
      <c r="Q232" s="37"/>
      <c r="R232" s="285">
        <f>Preencher!$D$60</f>
        <v>0</v>
      </c>
    </row>
    <row r="233" spans="1:18">
      <c r="A233" s="265" t="s">
        <v>61</v>
      </c>
      <c r="B233" s="284"/>
      <c r="C233" s="251"/>
      <c r="D233" s="259"/>
      <c r="E233" s="251">
        <f>IF(SUM(H227:H232)&gt;0,1,0)+IF(SUM(H225:H226)&gt;0,1,0)</f>
        <v>0</v>
      </c>
      <c r="F233" s="252"/>
      <c r="G233" s="37"/>
      <c r="H233" s="285"/>
      <c r="I233" s="259"/>
      <c r="J233" s="686">
        <f>IF(SUM(M227:M230)&gt;0,1,0)+IF(SUM(M225:M226)&gt;0,1,0)</f>
        <v>0</v>
      </c>
      <c r="K233" s="252"/>
      <c r="L233" s="37"/>
      <c r="M233" s="285"/>
      <c r="N233" s="259"/>
      <c r="O233" s="597">
        <f>IF(R225&gt;0,1,0)</f>
        <v>0</v>
      </c>
      <c r="P233" s="686">
        <f>IF(SUM(S227:S230)&gt;0,1,0)+IF(SUM(S225:S226)&gt;0,1,0)</f>
        <v>0</v>
      </c>
      <c r="Q233" s="37"/>
      <c r="R233" s="285"/>
    </row>
    <row r="234" spans="1:18">
      <c r="A234" s="266" t="s">
        <v>62</v>
      </c>
      <c r="B234" s="284">
        <f>1.2-1.2</f>
        <v>0</v>
      </c>
      <c r="C234" s="251" t="str">
        <f>IF(B234=0,"-",3600/B234)</f>
        <v>-</v>
      </c>
      <c r="D234" s="259" t="str">
        <f>IFERROR((H225/C234),"-")</f>
        <v>-</v>
      </c>
      <c r="E234" s="251">
        <f>IFERROR(ROUNDUP(D234/0.95,0.999),0)</f>
        <v>0</v>
      </c>
      <c r="F234" s="252" t="str">
        <f>IFERROR((H225/C234/E234),"-")</f>
        <v>-</v>
      </c>
      <c r="G234" s="37"/>
      <c r="H234" s="285"/>
      <c r="I234" s="259" t="str">
        <f>IFERROR((M225/C234),"-")</f>
        <v>-</v>
      </c>
      <c r="J234" s="251">
        <f>IFERROR(ROUNDUP(I234/0.95,0.999),0)</f>
        <v>0</v>
      </c>
      <c r="K234" s="252" t="str">
        <f>IFERROR((M225/C234/J234),"-")</f>
        <v>-</v>
      </c>
      <c r="L234" s="37"/>
      <c r="M234" s="285"/>
      <c r="N234" s="259" t="str">
        <f>IFERROR((R232/C234),"-")</f>
        <v>-</v>
      </c>
      <c r="O234" s="251">
        <f>IFERROR(ROUNDUP(N234/0.95,0.999),0)</f>
        <v>0</v>
      </c>
      <c r="P234" s="252" t="str">
        <f>IFERROR((R232/C234/O234),"-")</f>
        <v>-</v>
      </c>
      <c r="Q234" s="37"/>
      <c r="R234" s="285"/>
    </row>
    <row r="235" spans="1:18">
      <c r="A235" s="265" t="s">
        <v>63</v>
      </c>
      <c r="B235" s="119"/>
      <c r="C235" s="322"/>
      <c r="D235" s="259"/>
      <c r="E235" s="706">
        <f>IFERROR(ROUNDUP(SUM(D236:D237)/0.95,0.999),0)+IFERROR(ROUNDUP(SUM(D238:D241)/0.95,0.999),0)+IFERROR(ROUNDUP(D242/0.95,0.999),0)+IFERROR(ROUNDUP(D243/0.95,0.999),0)</f>
        <v>0</v>
      </c>
      <c r="F235" s="705" t="str">
        <f>IFERROR(((SUM(H236:H243))/(AVERAGE(C236:C243))/(SUM(E236:E243))),"-")</f>
        <v>-</v>
      </c>
      <c r="G235" s="326"/>
      <c r="H235" s="285">
        <f>Preencher!$B$67</f>
        <v>0</v>
      </c>
      <c r="I235" s="259"/>
      <c r="J235" s="706">
        <f>IFERROR(ROUNDUP(SUM(I236:I237)/0.95,0.999),0)+IFERROR(ROUNDUP(SUM(I238:I241)/0.95,0.999),0)+IFERROR(ROUNDUP(I242/0.95,0.999),0)+IFERROR(ROUNDUP(I243/0.95,0.999),0)</f>
        <v>0</v>
      </c>
      <c r="K235" s="705" t="str">
        <f>IFERROR(((SUM(M236:M243))/(AVERAGE($C$236:$C$243))/(SUM(J236:J243))),"-")</f>
        <v>-</v>
      </c>
      <c r="L235" s="326"/>
      <c r="M235" s="285"/>
      <c r="N235" s="259"/>
      <c r="O235" s="686">
        <f>IFERROR(ROUNDUP(SUM(N236:N237)/0.95,0.999),0)+IFERROR(ROUNDUP(SUM(N238:N241)/0.95,0.999),0)+IFERROR(ROUNDUP(N242/0.95,0.999),0)+IFERROR(ROUNDUP(N243/0.95,0.999),0)</f>
        <v>0</v>
      </c>
      <c r="P235" s="705" t="str">
        <f>IFERROR(((SUM(R236:R243))/(AVERAGE($C$236:$C$243))/(SUM(O236:O243))),"-")</f>
        <v>-</v>
      </c>
      <c r="Q235" s="326"/>
      <c r="R235" s="285"/>
    </row>
    <row r="236" spans="1:18">
      <c r="A236" s="314" t="s">
        <v>2580</v>
      </c>
      <c r="B236" s="284">
        <f t="shared" ref="B236:B242" si="77">3.5+3.5</f>
        <v>7</v>
      </c>
      <c r="C236" s="686">
        <f t="shared" ref="C236:C242" si="78">IF(B236=0,"-",3600/B236)</f>
        <v>514.28571428571433</v>
      </c>
      <c r="D236" s="259">
        <f>IFERROR((H236/C236/Preencher!$B$68),"-")</f>
        <v>0</v>
      </c>
      <c r="E236" s="686">
        <f>IFERROR(ROUNDUP(D236/0.95,0.999),0)*Preencher!$B$68</f>
        <v>0</v>
      </c>
      <c r="F236" s="687" t="str">
        <f t="shared" ref="F236:F243" si="79">IFERROR((H236/C236/E236),"-")</f>
        <v>-</v>
      </c>
      <c r="G236" s="37"/>
      <c r="H236" s="285">
        <f>Preencher!$Q$64</f>
        <v>0</v>
      </c>
      <c r="I236" s="259">
        <f>IFERROR((M236/C236),"-")</f>
        <v>0</v>
      </c>
      <c r="J236" s="328">
        <f>IFERROR(ROUNDUP(I236/0.95,0.999),0)</f>
        <v>0</v>
      </c>
      <c r="K236" s="329" t="str">
        <f>IFERROR((M236/C236/J236),"-")</f>
        <v>-</v>
      </c>
      <c r="L236" s="37"/>
      <c r="M236" s="285">
        <f>Preencher!$R$64</f>
        <v>0</v>
      </c>
      <c r="N236" s="259" t="str">
        <f>IFERROR((R236/C236/Preencher!$D$68),"-")</f>
        <v>-</v>
      </c>
      <c r="O236" s="686">
        <f>IFERROR(ROUNDUP(N236/0.95,0.999),0)*Preencher!$D$68</f>
        <v>0</v>
      </c>
      <c r="P236" s="687" t="str">
        <f t="shared" ref="P236:P243" si="80">IFERROR((R236/C236/O236),"-")</f>
        <v>-</v>
      </c>
      <c r="Q236" s="37"/>
      <c r="R236" s="285">
        <f>Preencher!$S$64</f>
        <v>0</v>
      </c>
    </row>
    <row r="237" spans="1:18">
      <c r="A237" s="314" t="s">
        <v>2581</v>
      </c>
      <c r="B237" s="284">
        <f t="shared" si="77"/>
        <v>7</v>
      </c>
      <c r="C237" s="686">
        <f t="shared" si="78"/>
        <v>514.28571428571433</v>
      </c>
      <c r="D237" s="259">
        <f>IFERROR((H237/C237/Preencher!$B$68),"-")</f>
        <v>0</v>
      </c>
      <c r="E237" s="686">
        <f>IFERROR(ROUNDUP(D237/0.95,0.999),0)*Preencher!$B$68</f>
        <v>0</v>
      </c>
      <c r="F237" s="687" t="str">
        <f>IFERROR((H237/C237/E237),"-")</f>
        <v>-</v>
      </c>
      <c r="G237" s="37"/>
      <c r="H237" s="285">
        <f>Preencher!$Q$65</f>
        <v>0</v>
      </c>
      <c r="I237" s="259" t="str">
        <f>IFERROR((M237/C237/Preencher!$C$68),"-")</f>
        <v>-</v>
      </c>
      <c r="J237" s="686">
        <f>IFERROR(ROUNDUP(I237/0.95,0.999),0)*Preencher!$C$68</f>
        <v>0</v>
      </c>
      <c r="K237" s="687" t="str">
        <f t="shared" ref="K237:K243" si="81">IFERROR((M237/C237/J237),"-")</f>
        <v>-</v>
      </c>
      <c r="L237" s="37"/>
      <c r="M237" s="285">
        <f>Preencher!$R$65</f>
        <v>0</v>
      </c>
      <c r="N237" s="259" t="str">
        <f>IFERROR((R237/C237/Preencher!$D$68),"-")</f>
        <v>-</v>
      </c>
      <c r="O237" s="686">
        <f>IFERROR(ROUNDUP(N237/0.95,0.999),0)*Preencher!$D$68</f>
        <v>0</v>
      </c>
      <c r="P237" s="687" t="str">
        <f t="shared" si="80"/>
        <v>-</v>
      </c>
      <c r="Q237" s="37"/>
      <c r="R237" s="285">
        <f>Preencher!$S$65</f>
        <v>0</v>
      </c>
    </row>
    <row r="238" spans="1:18">
      <c r="A238" s="314" t="s">
        <v>2583</v>
      </c>
      <c r="B238" s="284">
        <f t="shared" si="77"/>
        <v>7</v>
      </c>
      <c r="C238" s="686">
        <f t="shared" si="78"/>
        <v>514.28571428571433</v>
      </c>
      <c r="D238" s="259">
        <f>IFERROR((H238/C238/Preencher!$B$68),"-")</f>
        <v>0</v>
      </c>
      <c r="E238" s="686">
        <f>IFERROR(ROUNDUP(D238/0.95,0.999),0)*Preencher!$B$68</f>
        <v>0</v>
      </c>
      <c r="F238" s="687" t="str">
        <f t="shared" si="79"/>
        <v>-</v>
      </c>
      <c r="G238" s="37"/>
      <c r="H238" s="285">
        <f>Preencher!$Q$66</f>
        <v>0</v>
      </c>
      <c r="I238" s="259" t="str">
        <f>IFERROR((M238/C238/Preencher!$C$68),"-")</f>
        <v>-</v>
      </c>
      <c r="J238" s="686">
        <f>IFERROR(ROUNDUP(I238/0.95,0.999),0)*Preencher!$C$68</f>
        <v>0</v>
      </c>
      <c r="K238" s="687" t="str">
        <f t="shared" si="81"/>
        <v>-</v>
      </c>
      <c r="L238" s="37"/>
      <c r="M238" s="285">
        <f>Preencher!$R$66</f>
        <v>0</v>
      </c>
      <c r="N238" s="259" t="str">
        <f>IFERROR((R238/C238/Preencher!$D$68),"-")</f>
        <v>-</v>
      </c>
      <c r="O238" s="686">
        <f>IFERROR(ROUNDUP(N238/0.95,0.999),0)*Preencher!$D$68</f>
        <v>0</v>
      </c>
      <c r="P238" s="687" t="str">
        <f t="shared" si="80"/>
        <v>-</v>
      </c>
      <c r="Q238" s="37"/>
      <c r="R238" s="285">
        <f>Preencher!$S$66</f>
        <v>0</v>
      </c>
    </row>
    <row r="239" spans="1:18">
      <c r="A239" s="314" t="s">
        <v>2594</v>
      </c>
      <c r="B239" s="284">
        <f t="shared" si="77"/>
        <v>7</v>
      </c>
      <c r="C239" s="686">
        <f t="shared" si="78"/>
        <v>514.28571428571433</v>
      </c>
      <c r="D239" s="259">
        <f>IFERROR((H239/C239/Preencher!$B$68),"-")</f>
        <v>0</v>
      </c>
      <c r="E239" s="686">
        <f>IFERROR(ROUNDUP(D239/0.95,0.999),0)*Preencher!$B$68</f>
        <v>0</v>
      </c>
      <c r="F239" s="687" t="str">
        <f t="shared" si="79"/>
        <v>-</v>
      </c>
      <c r="G239" s="37"/>
      <c r="H239" s="285">
        <f>Preencher!$Q$67</f>
        <v>0</v>
      </c>
      <c r="I239" s="259" t="str">
        <f>IFERROR((M239/C239/Preencher!$C$68),"-")</f>
        <v>-</v>
      </c>
      <c r="J239" s="686">
        <f>IFERROR(ROUNDUP(I239/0.95,0.999),0)*Preencher!$C$68</f>
        <v>0</v>
      </c>
      <c r="K239" s="687" t="str">
        <f t="shared" si="81"/>
        <v>-</v>
      </c>
      <c r="L239" s="37"/>
      <c r="M239" s="285">
        <f>Preencher!$R$67</f>
        <v>0</v>
      </c>
      <c r="N239" s="259" t="str">
        <f>IFERROR((R239/C239/Preencher!$D$68),"-")</f>
        <v>-</v>
      </c>
      <c r="O239" s="686">
        <f>IFERROR(ROUNDUP(N239/0.95,0.999),0)*Preencher!$D$68</f>
        <v>0</v>
      </c>
      <c r="P239" s="687" t="str">
        <f t="shared" si="80"/>
        <v>-</v>
      </c>
      <c r="Q239" s="37"/>
      <c r="R239" s="285">
        <f>Preencher!$S$67</f>
        <v>0</v>
      </c>
    </row>
    <row r="240" spans="1:18">
      <c r="A240" s="314" t="s">
        <v>2593</v>
      </c>
      <c r="B240" s="284">
        <f t="shared" si="77"/>
        <v>7</v>
      </c>
      <c r="C240" s="686">
        <f t="shared" si="78"/>
        <v>514.28571428571433</v>
      </c>
      <c r="D240" s="259">
        <f>IFERROR((H240/C240/Preencher!$B$68),"-")</f>
        <v>0</v>
      </c>
      <c r="E240" s="686">
        <f>IFERROR(ROUNDUP(D240/0.95,0.999),0)*Preencher!$B$68</f>
        <v>0</v>
      </c>
      <c r="F240" s="687" t="str">
        <f t="shared" si="79"/>
        <v>-</v>
      </c>
      <c r="G240" s="37"/>
      <c r="H240" s="285">
        <f>Preencher!$Q$68</f>
        <v>0</v>
      </c>
      <c r="I240" s="259" t="str">
        <f>IFERROR((M240/C240/Preencher!$C$68),"-")</f>
        <v>-</v>
      </c>
      <c r="J240" s="686">
        <f>IFERROR(ROUNDUP(I240/0.95,0.999),0)*Preencher!$C$68</f>
        <v>0</v>
      </c>
      <c r="K240" s="687" t="str">
        <f t="shared" si="81"/>
        <v>-</v>
      </c>
      <c r="L240" s="37"/>
      <c r="M240" s="285">
        <f>Preencher!$R$68</f>
        <v>0</v>
      </c>
      <c r="N240" s="259" t="str">
        <f>IFERROR((R240/C240/Preencher!$D$68),"-")</f>
        <v>-</v>
      </c>
      <c r="O240" s="686">
        <f>IFERROR(ROUNDUP(N240/0.95,0.999),0)*Preencher!$D$68</f>
        <v>0</v>
      </c>
      <c r="P240" s="687" t="str">
        <f t="shared" si="80"/>
        <v>-</v>
      </c>
      <c r="Q240" s="37"/>
      <c r="R240" s="285">
        <f>Preencher!$S$68</f>
        <v>0</v>
      </c>
    </row>
    <row r="241" spans="1:18">
      <c r="A241" s="314" t="s">
        <v>2592</v>
      </c>
      <c r="B241" s="284">
        <f t="shared" si="77"/>
        <v>7</v>
      </c>
      <c r="C241" s="686">
        <f t="shared" si="78"/>
        <v>514.28571428571433</v>
      </c>
      <c r="D241" s="259">
        <f>IFERROR((H241/C241/Preencher!$B$68),"-")</f>
        <v>0</v>
      </c>
      <c r="E241" s="686">
        <f>IFERROR(ROUNDUP(D241/0.95,0.999),0)*Preencher!$B$68</f>
        <v>0</v>
      </c>
      <c r="F241" s="687" t="str">
        <f t="shared" si="79"/>
        <v>-</v>
      </c>
      <c r="G241" s="37"/>
      <c r="H241" s="285">
        <f>Preencher!$Q$69</f>
        <v>0</v>
      </c>
      <c r="I241" s="259" t="str">
        <f>IFERROR((M241/C241/Preencher!$C$68),"-")</f>
        <v>-</v>
      </c>
      <c r="J241" s="686">
        <f>IFERROR(ROUNDUP(I241/0.95,0.999),0)*Preencher!$C$68</f>
        <v>0</v>
      </c>
      <c r="K241" s="687" t="str">
        <f>IFERROR((M241/C241/J241),"-")</f>
        <v>-</v>
      </c>
      <c r="L241" s="37"/>
      <c r="M241" s="285">
        <f>Preencher!$R$69</f>
        <v>0</v>
      </c>
      <c r="N241" s="259" t="str">
        <f>IFERROR((R241/C241/Preencher!$D$68),"-")</f>
        <v>-</v>
      </c>
      <c r="O241" s="686">
        <f>IFERROR(ROUNDUP(N241/0.95,0.999),0)*Preencher!$D$68</f>
        <v>0</v>
      </c>
      <c r="P241" s="687" t="str">
        <f t="shared" si="80"/>
        <v>-</v>
      </c>
      <c r="Q241" s="37"/>
      <c r="R241" s="285">
        <f>Preencher!$S$69</f>
        <v>0</v>
      </c>
    </row>
    <row r="242" spans="1:18">
      <c r="A242" s="314" t="s">
        <v>2582</v>
      </c>
      <c r="B242" s="284">
        <f t="shared" si="77"/>
        <v>7</v>
      </c>
      <c r="C242" s="686">
        <f t="shared" si="78"/>
        <v>514.28571428571433</v>
      </c>
      <c r="D242" s="259">
        <f>IFERROR((H242/C242/Preencher!$B$68),"-")</f>
        <v>0</v>
      </c>
      <c r="E242" s="686">
        <f>IFERROR(ROUNDUP(D242/0.95,0.999),0)*Preencher!$B$68</f>
        <v>0</v>
      </c>
      <c r="F242" s="687" t="str">
        <f t="shared" si="79"/>
        <v>-</v>
      </c>
      <c r="G242" s="37"/>
      <c r="H242" s="285">
        <f>Preencher!$Q$70</f>
        <v>0</v>
      </c>
      <c r="I242" s="259" t="str">
        <f>IFERROR((M242/C242/Preencher!$C$68),"-")</f>
        <v>-</v>
      </c>
      <c r="J242" s="686">
        <f>IFERROR(ROUNDUP(I242/0.95,0.999),0)*Preencher!$C$68</f>
        <v>0</v>
      </c>
      <c r="K242" s="687" t="str">
        <f t="shared" si="81"/>
        <v>-</v>
      </c>
      <c r="L242" s="37"/>
      <c r="M242" s="285">
        <f>Preencher!$R$70</f>
        <v>0</v>
      </c>
      <c r="N242" s="259" t="str">
        <f>IFERROR((R242/C242/Preencher!$D$68),"-")</f>
        <v>-</v>
      </c>
      <c r="O242" s="686">
        <f>IFERROR(ROUNDUP(N242/0.95,0.999),0)*Preencher!$D$68</f>
        <v>0</v>
      </c>
      <c r="P242" s="687" t="str">
        <f t="shared" si="80"/>
        <v>-</v>
      </c>
      <c r="Q242" s="37"/>
      <c r="R242" s="285">
        <f>Preencher!$S$70</f>
        <v>0</v>
      </c>
    </row>
    <row r="243" spans="1:18">
      <c r="A243" s="314" t="s">
        <v>1332</v>
      </c>
      <c r="B243" s="284">
        <v>4.3499999999999996</v>
      </c>
      <c r="C243" s="322">
        <f>IF(B243=0,0,3600/B243)</f>
        <v>827.58620689655174</v>
      </c>
      <c r="D243" s="259">
        <f>IFERROR((H243/C243),"-")</f>
        <v>0</v>
      </c>
      <c r="E243" s="322">
        <f>IFERROR(ROUNDUP(D243/0.95,0.999),0)</f>
        <v>0</v>
      </c>
      <c r="F243" s="323" t="str">
        <f t="shared" si="79"/>
        <v>-</v>
      </c>
      <c r="G243" s="37"/>
      <c r="H243" s="285">
        <f>Preencher!$B$60</f>
        <v>0</v>
      </c>
      <c r="I243" s="259" t="str">
        <f>IFERROR((M243/C243/Preencher!$C$68),"-")</f>
        <v>-</v>
      </c>
      <c r="J243" s="686">
        <f>IFERROR(ROUNDUP(I243/0.95,0.999),0)*Preencher!$C$68</f>
        <v>0</v>
      </c>
      <c r="K243" s="687" t="str">
        <f t="shared" si="81"/>
        <v>-</v>
      </c>
      <c r="L243" s="37"/>
      <c r="M243" s="285">
        <f>Preencher!C$60</f>
        <v>0</v>
      </c>
      <c r="N243" s="259" t="str">
        <f>IFERROR((R243/C243/Preencher!$D$61),"-")</f>
        <v>-</v>
      </c>
      <c r="O243" s="686">
        <f>IFERROR(ROUNDUP(N243/0.95,0.999),0)*Preencher!$D$61</f>
        <v>0</v>
      </c>
      <c r="P243" s="687" t="str">
        <f t="shared" si="80"/>
        <v>-</v>
      </c>
      <c r="Q243" s="37"/>
      <c r="R243" s="285">
        <f>Preencher!$D$60</f>
        <v>0</v>
      </c>
    </row>
    <row r="244" spans="1:18">
      <c r="A244" s="265" t="s">
        <v>64</v>
      </c>
      <c r="B244" s="119"/>
      <c r="C244" s="328"/>
      <c r="D244" s="259"/>
      <c r="E244" s="686">
        <f>IFERROR(ROUNDUP(SUM(D245:D246)/0.95,0.999),0)+IFERROR(ROUNDUP(SUM(D247:D250)/0.95,0.999),0)+IFERROR(ROUNDUP(D251/0.95,0.999),0)+IFERROR(ROUNDUP(D252/0.95,0.999),0)</f>
        <v>0</v>
      </c>
      <c r="F244" s="687" t="str">
        <f>IFERROR(((SUM(H245:H252))/(AVERAGE(C245:C252))/(SUM(E245:E252))),"-")</f>
        <v>-</v>
      </c>
      <c r="G244" s="326"/>
      <c r="H244" s="285">
        <f>Preencher!$B$67</f>
        <v>0</v>
      </c>
      <c r="I244" s="259"/>
      <c r="J244" s="686">
        <f>IFERROR(ROUNDUP(SUM(I245:I246)/0.95,0.999),0)+IFERROR(ROUNDUP(SUM(I247:I250)/0.95,0.999),0)+IFERROR(ROUNDUP(I251/0.95,0.999),0)+IFERROR(ROUNDUP(I252/0.95,0.999),0)</f>
        <v>0</v>
      </c>
      <c r="K244" s="705" t="str">
        <f>IFERROR(((SUM(M245:M252))/(AVERAGE($C$245:$C$252))/(SUM(J245:J252))),"-")</f>
        <v>-</v>
      </c>
      <c r="L244" s="326"/>
      <c r="M244" s="285"/>
      <c r="N244" s="259"/>
      <c r="O244" s="686">
        <f>IFERROR(ROUNDUP(SUM(N245:N246)/0.95,0.999),0)+IFERROR(ROUNDUP(SUM(N247:N250)/0.95,0.999),0)+IFERROR(ROUNDUP(N251/0.95,0.999),0)+IFERROR(ROUNDUP(N252/0.95,0.999),0)</f>
        <v>0</v>
      </c>
      <c r="P244" s="705" t="str">
        <f>IFERROR(((SUM(R245:R252))/(AVERAGE($C$245:$C$252))/(SUM(O245:O252))),"-")</f>
        <v>-</v>
      </c>
      <c r="Q244" s="326"/>
      <c r="R244" s="285"/>
    </row>
    <row r="245" spans="1:18">
      <c r="A245" s="314" t="s">
        <v>2580</v>
      </c>
      <c r="B245" s="284">
        <f t="shared" ref="B245:B252" si="82">4.9+2.1</f>
        <v>7</v>
      </c>
      <c r="C245" s="686">
        <f t="shared" ref="C245:C252" si="83">IF(B245=0,"-",3600/B245)</f>
        <v>514.28571428571433</v>
      </c>
      <c r="D245" s="259">
        <f>IFERROR((H245/C245/Preencher!$B$68),"-")</f>
        <v>0</v>
      </c>
      <c r="E245" s="686">
        <f>IFERROR(ROUNDUP(D245/0.95,0.999),0)*Preencher!$B$68</f>
        <v>0</v>
      </c>
      <c r="F245" s="687" t="str">
        <f>IFERROR((H245/C245/E245),"-")</f>
        <v>-</v>
      </c>
      <c r="G245" s="37"/>
      <c r="H245" s="285">
        <f>Preencher!$Q$64</f>
        <v>0</v>
      </c>
      <c r="I245" s="259">
        <f>IFERROR((M245/C245),"-")</f>
        <v>0</v>
      </c>
      <c r="J245" s="686">
        <f>IFERROR(ROUNDUP(I245/0.95,0.999),0)</f>
        <v>0</v>
      </c>
      <c r="K245" s="687" t="str">
        <f>IFERROR((M245/C245/J245),"-")</f>
        <v>-</v>
      </c>
      <c r="L245" s="37"/>
      <c r="M245" s="285">
        <f>Preencher!$R$64</f>
        <v>0</v>
      </c>
      <c r="N245" s="259" t="str">
        <f>IFERROR((R245/C245/Preencher!$D$68),"-")</f>
        <v>-</v>
      </c>
      <c r="O245" s="686">
        <f>IFERROR(ROUNDUP(N245/0.95,0.999),0)*Preencher!$D$68</f>
        <v>0</v>
      </c>
      <c r="P245" s="687" t="str">
        <f t="shared" ref="P245:P253" si="84">IFERROR((R245/C245/O245),"-")</f>
        <v>-</v>
      </c>
      <c r="Q245" s="37"/>
      <c r="R245" s="285">
        <f>Preencher!$S$64</f>
        <v>0</v>
      </c>
    </row>
    <row r="246" spans="1:18">
      <c r="A246" s="314" t="s">
        <v>2581</v>
      </c>
      <c r="B246" s="284">
        <f t="shared" si="82"/>
        <v>7</v>
      </c>
      <c r="C246" s="686">
        <f t="shared" si="83"/>
        <v>514.28571428571433</v>
      </c>
      <c r="D246" s="259">
        <f>IFERROR((H246/C246/Preencher!$B$68),"-")</f>
        <v>0</v>
      </c>
      <c r="E246" s="686">
        <f>IFERROR(ROUNDUP(D246/0.95,0.999),0)*Preencher!$B$68</f>
        <v>0</v>
      </c>
      <c r="F246" s="687" t="str">
        <f t="shared" ref="F246:F253" si="85">IFERROR((H246/C246/E246),"-")</f>
        <v>-</v>
      </c>
      <c r="G246" s="37"/>
      <c r="H246" s="285">
        <f>Preencher!$Q$65</f>
        <v>0</v>
      </c>
      <c r="I246" s="259" t="str">
        <f>IFERROR((M246/C246/Preencher!$C$68),"-")</f>
        <v>-</v>
      </c>
      <c r="J246" s="686">
        <f>IFERROR(ROUNDUP(I246/0.95,0.999),0)</f>
        <v>0</v>
      </c>
      <c r="K246" s="687" t="str">
        <f t="shared" ref="K246:K253" si="86">IFERROR((M246/C246/J246),"-")</f>
        <v>-</v>
      </c>
      <c r="L246" s="37"/>
      <c r="M246" s="285">
        <f>Preencher!$R$65</f>
        <v>0</v>
      </c>
      <c r="N246" s="259" t="str">
        <f>IFERROR((R246/C246/Preencher!$D$68),"-")</f>
        <v>-</v>
      </c>
      <c r="O246" s="686">
        <f>IFERROR(ROUNDUP(N246/0.95,0.999),0)*Preencher!$D$68</f>
        <v>0</v>
      </c>
      <c r="P246" s="687" t="str">
        <f t="shared" si="84"/>
        <v>-</v>
      </c>
      <c r="Q246" s="37"/>
      <c r="R246" s="285">
        <f>Preencher!$S$65</f>
        <v>0</v>
      </c>
    </row>
    <row r="247" spans="1:18">
      <c r="A247" s="314" t="s">
        <v>2583</v>
      </c>
      <c r="B247" s="284">
        <f t="shared" si="82"/>
        <v>7</v>
      </c>
      <c r="C247" s="686">
        <f t="shared" si="83"/>
        <v>514.28571428571433</v>
      </c>
      <c r="D247" s="259">
        <f>IFERROR((H247/C247/Preencher!$B$68),"-")</f>
        <v>0</v>
      </c>
      <c r="E247" s="686">
        <f>IFERROR(ROUNDUP(D247/0.95,0.999),0)*Preencher!$B$68</f>
        <v>0</v>
      </c>
      <c r="F247" s="687" t="str">
        <f t="shared" si="85"/>
        <v>-</v>
      </c>
      <c r="G247" s="37"/>
      <c r="H247" s="285">
        <f>Preencher!$Q$66</f>
        <v>0</v>
      </c>
      <c r="I247" s="259" t="str">
        <f>IFERROR((M247/C247/Preencher!$C$68),"-")</f>
        <v>-</v>
      </c>
      <c r="J247" s="686">
        <f t="shared" ref="J247:J253" si="87">IFERROR(ROUNDUP(I247/0.95,0.999),0)</f>
        <v>0</v>
      </c>
      <c r="K247" s="687" t="str">
        <f t="shared" si="86"/>
        <v>-</v>
      </c>
      <c r="L247" s="37"/>
      <c r="M247" s="285">
        <f>Preencher!$R$66</f>
        <v>0</v>
      </c>
      <c r="N247" s="259" t="str">
        <f>IFERROR((R247/C247/Preencher!$D$68),"-")</f>
        <v>-</v>
      </c>
      <c r="O247" s="686">
        <f>IFERROR(ROUNDUP(N247/0.95,0.999),0)*Preencher!$D$68</f>
        <v>0</v>
      </c>
      <c r="P247" s="687" t="str">
        <f t="shared" si="84"/>
        <v>-</v>
      </c>
      <c r="Q247" s="37"/>
      <c r="R247" s="285">
        <f>Preencher!$S$66</f>
        <v>0</v>
      </c>
    </row>
    <row r="248" spans="1:18">
      <c r="A248" s="314" t="s">
        <v>2594</v>
      </c>
      <c r="B248" s="284">
        <f t="shared" si="82"/>
        <v>7</v>
      </c>
      <c r="C248" s="686">
        <f t="shared" si="83"/>
        <v>514.28571428571433</v>
      </c>
      <c r="D248" s="259">
        <f>IFERROR((H248/C248/Preencher!$B$68),"-")</f>
        <v>0</v>
      </c>
      <c r="E248" s="686">
        <f>IFERROR(ROUNDUP(D248/0.95,0.999),0)*Preencher!$B$68</f>
        <v>0</v>
      </c>
      <c r="F248" s="687" t="str">
        <f t="shared" si="85"/>
        <v>-</v>
      </c>
      <c r="G248" s="37"/>
      <c r="H248" s="285">
        <f>Preencher!$Q$67</f>
        <v>0</v>
      </c>
      <c r="I248" s="259" t="str">
        <f>IFERROR((M248/C248/Preencher!$C$68),"-")</f>
        <v>-</v>
      </c>
      <c r="J248" s="686">
        <f t="shared" si="87"/>
        <v>0</v>
      </c>
      <c r="K248" s="687" t="str">
        <f t="shared" si="86"/>
        <v>-</v>
      </c>
      <c r="L248" s="37"/>
      <c r="M248" s="285">
        <f>Preencher!$R$67</f>
        <v>0</v>
      </c>
      <c r="N248" s="259" t="str">
        <f>IFERROR((R248/C248/Preencher!$D$68),"-")</f>
        <v>-</v>
      </c>
      <c r="O248" s="686">
        <f>IFERROR(ROUNDUP(N248/0.95,0.999),0)*Preencher!$D$68</f>
        <v>0</v>
      </c>
      <c r="P248" s="687" t="str">
        <f t="shared" si="84"/>
        <v>-</v>
      </c>
      <c r="Q248" s="37"/>
      <c r="R248" s="285">
        <f>Preencher!$S$67</f>
        <v>0</v>
      </c>
    </row>
    <row r="249" spans="1:18">
      <c r="A249" s="314" t="s">
        <v>2593</v>
      </c>
      <c r="B249" s="284">
        <f t="shared" si="82"/>
        <v>7</v>
      </c>
      <c r="C249" s="686">
        <f t="shared" si="83"/>
        <v>514.28571428571433</v>
      </c>
      <c r="D249" s="259">
        <f>IFERROR((H249/C249/Preencher!$B$68),"-")</f>
        <v>0</v>
      </c>
      <c r="E249" s="686">
        <f>IFERROR(ROUNDUP(D249/0.95,0.999),0)*Preencher!$B$68</f>
        <v>0</v>
      </c>
      <c r="F249" s="687" t="str">
        <f t="shared" si="85"/>
        <v>-</v>
      </c>
      <c r="G249" s="37"/>
      <c r="H249" s="285">
        <f>Preencher!$Q$68</f>
        <v>0</v>
      </c>
      <c r="I249" s="259" t="str">
        <f>IFERROR((M249/C249/Preencher!$C$68),"-")</f>
        <v>-</v>
      </c>
      <c r="J249" s="686">
        <f t="shared" si="87"/>
        <v>0</v>
      </c>
      <c r="K249" s="687" t="str">
        <f t="shared" si="86"/>
        <v>-</v>
      </c>
      <c r="L249" s="37"/>
      <c r="M249" s="285">
        <f>Preencher!$R$68</f>
        <v>0</v>
      </c>
      <c r="N249" s="259" t="str">
        <f>IFERROR((R249/C249/Preencher!$D$68),"-")</f>
        <v>-</v>
      </c>
      <c r="O249" s="686">
        <f>IFERROR(ROUNDUP(N249/0.95,0.999),0)*Preencher!$D$68</f>
        <v>0</v>
      </c>
      <c r="P249" s="687" t="str">
        <f t="shared" si="84"/>
        <v>-</v>
      </c>
      <c r="Q249" s="37"/>
      <c r="R249" s="285">
        <f>Preencher!$S$68</f>
        <v>0</v>
      </c>
    </row>
    <row r="250" spans="1:18">
      <c r="A250" s="314" t="s">
        <v>2592</v>
      </c>
      <c r="B250" s="284">
        <f t="shared" si="82"/>
        <v>7</v>
      </c>
      <c r="C250" s="686">
        <f t="shared" si="83"/>
        <v>514.28571428571433</v>
      </c>
      <c r="D250" s="259">
        <f>IFERROR((H250/C250/Preencher!$B$68),"-")</f>
        <v>0</v>
      </c>
      <c r="E250" s="686">
        <f>IFERROR(ROUNDUP(D250/0.95,0.999),0)*Preencher!$B$68</f>
        <v>0</v>
      </c>
      <c r="F250" s="687" t="str">
        <f t="shared" si="85"/>
        <v>-</v>
      </c>
      <c r="G250" s="37"/>
      <c r="H250" s="285">
        <f>Preencher!$Q$69</f>
        <v>0</v>
      </c>
      <c r="I250" s="259" t="str">
        <f>IFERROR((M250/C250/Preencher!$C$68),"-")</f>
        <v>-</v>
      </c>
      <c r="J250" s="686">
        <f t="shared" si="87"/>
        <v>0</v>
      </c>
      <c r="K250" s="687" t="str">
        <f t="shared" si="86"/>
        <v>-</v>
      </c>
      <c r="L250" s="37"/>
      <c r="M250" s="285">
        <f>Preencher!$R$69</f>
        <v>0</v>
      </c>
      <c r="N250" s="259" t="str">
        <f>IFERROR((R250/C250/Preencher!$D$68),"-")</f>
        <v>-</v>
      </c>
      <c r="O250" s="686">
        <f>IFERROR(ROUNDUP(N250/0.95,0.999),0)*Preencher!$D$68</f>
        <v>0</v>
      </c>
      <c r="P250" s="687" t="str">
        <f t="shared" si="84"/>
        <v>-</v>
      </c>
      <c r="Q250" s="37"/>
      <c r="R250" s="285">
        <f>Preencher!$S$69</f>
        <v>0</v>
      </c>
    </row>
    <row r="251" spans="1:18">
      <c r="A251" s="314" t="s">
        <v>2582</v>
      </c>
      <c r="B251" s="284">
        <f t="shared" si="82"/>
        <v>7</v>
      </c>
      <c r="C251" s="686">
        <f t="shared" si="83"/>
        <v>514.28571428571433</v>
      </c>
      <c r="D251" s="259">
        <f>IFERROR((H251/C251/Preencher!$B$68),"-")</f>
        <v>0</v>
      </c>
      <c r="E251" s="686">
        <f>IFERROR(ROUNDUP(D251/0.95,0.999),0)*Preencher!$B$68</f>
        <v>0</v>
      </c>
      <c r="F251" s="687" t="str">
        <f t="shared" si="85"/>
        <v>-</v>
      </c>
      <c r="G251" s="37"/>
      <c r="H251" s="285">
        <f>Preencher!$Q$70</f>
        <v>0</v>
      </c>
      <c r="I251" s="259" t="str">
        <f>IFERROR((M251/C251/Preencher!$C$68),"-")</f>
        <v>-</v>
      </c>
      <c r="J251" s="686">
        <f t="shared" si="87"/>
        <v>0</v>
      </c>
      <c r="K251" s="687" t="str">
        <f t="shared" si="86"/>
        <v>-</v>
      </c>
      <c r="L251" s="37"/>
      <c r="M251" s="285">
        <f>Preencher!$R$70</f>
        <v>0</v>
      </c>
      <c r="N251" s="259" t="str">
        <f>IFERROR((R251/C251/Preencher!$D$68),"-")</f>
        <v>-</v>
      </c>
      <c r="O251" s="686">
        <f>IFERROR(ROUNDUP(N251/0.95,0.999),0)*Preencher!$D$68</f>
        <v>0</v>
      </c>
      <c r="P251" s="687" t="str">
        <f t="shared" si="84"/>
        <v>-</v>
      </c>
      <c r="Q251" s="37"/>
      <c r="R251" s="285">
        <f>Preencher!$S$70</f>
        <v>0</v>
      </c>
    </row>
    <row r="252" spans="1:18">
      <c r="A252" s="314" t="s">
        <v>1332</v>
      </c>
      <c r="B252" s="284">
        <f t="shared" si="82"/>
        <v>7</v>
      </c>
      <c r="C252" s="328">
        <f t="shared" si="83"/>
        <v>514.28571428571433</v>
      </c>
      <c r="D252" s="259">
        <f>IFERROR((H252/C252),"-")</f>
        <v>0</v>
      </c>
      <c r="E252" s="328">
        <f>IFERROR(ROUNDUP(D252/0.95,0.999),0)</f>
        <v>0</v>
      </c>
      <c r="F252" s="687" t="str">
        <f t="shared" si="85"/>
        <v>-</v>
      </c>
      <c r="G252" s="37"/>
      <c r="H252" s="285">
        <f>Preencher!$B$60</f>
        <v>0</v>
      </c>
      <c r="I252" s="259" t="str">
        <f>IFERROR((M252/C252/Preencher!$C$68),"-")</f>
        <v>-</v>
      </c>
      <c r="J252" s="686">
        <f t="shared" si="87"/>
        <v>0</v>
      </c>
      <c r="K252" s="329" t="str">
        <f t="shared" si="86"/>
        <v>-</v>
      </c>
      <c r="L252" s="37"/>
      <c r="M252" s="285">
        <f>Preencher!C$60</f>
        <v>0</v>
      </c>
      <c r="N252" s="259" t="str">
        <f>IFERROR((R252/C252/Preencher!$D$61),"-")</f>
        <v>-</v>
      </c>
      <c r="O252" s="686">
        <f>IFERROR(ROUNDUP(N252/0.95,0.999),0)*Preencher!$D$61</f>
        <v>0</v>
      </c>
      <c r="P252" s="687" t="str">
        <f t="shared" si="84"/>
        <v>-</v>
      </c>
      <c r="Q252" s="37"/>
      <c r="R252" s="285">
        <f>Preencher!$D$60</f>
        <v>0</v>
      </c>
    </row>
    <row r="253" spans="1:18">
      <c r="A253" s="265" t="s">
        <v>595</v>
      </c>
      <c r="B253" s="284">
        <f>IF(Preencher!$A$60=Preencher!$O$59,2.75,0)</f>
        <v>0</v>
      </c>
      <c r="C253" s="251" t="str">
        <f>IF(B253=0,"-",3600/B253)</f>
        <v>-</v>
      </c>
      <c r="D253" s="259" t="str">
        <f>IFERROR((H252/C253),"-")</f>
        <v>-</v>
      </c>
      <c r="E253" s="251">
        <f>IFERROR(ROUNDUP(D253/0.95,0.999),0)</f>
        <v>0</v>
      </c>
      <c r="F253" s="687" t="str">
        <f t="shared" si="85"/>
        <v>-</v>
      </c>
      <c r="G253" s="37"/>
      <c r="H253" s="285"/>
      <c r="I253" s="259" t="str">
        <f>IFERROR((M253/C253/Preencher!$C$68),"-")</f>
        <v>-</v>
      </c>
      <c r="J253" s="686">
        <f t="shared" si="87"/>
        <v>0</v>
      </c>
      <c r="K253" s="252" t="str">
        <f t="shared" si="86"/>
        <v>-</v>
      </c>
      <c r="L253" s="37"/>
      <c r="M253" s="285">
        <f>Preencher!$C$60</f>
        <v>0</v>
      </c>
      <c r="N253" s="259" t="str">
        <f>IFERROR((R253/C253),"-")</f>
        <v>-</v>
      </c>
      <c r="O253" s="251">
        <f>IFERROR(ROUNDUP(N253/0.95,0.999),0)</f>
        <v>0</v>
      </c>
      <c r="P253" s="252" t="str">
        <f t="shared" si="84"/>
        <v>-</v>
      </c>
      <c r="Q253" s="37"/>
      <c r="R253" s="285">
        <f>Preencher!$D$60</f>
        <v>0</v>
      </c>
    </row>
    <row r="254" spans="1:18">
      <c r="A254" s="265" t="s">
        <v>65</v>
      </c>
      <c r="B254" s="119"/>
      <c r="C254" s="328"/>
      <c r="D254" s="259"/>
      <c r="E254" s="686">
        <f>IFERROR(ROUNDUP(SUM(D255:D262)/0.95,0.999),0)</f>
        <v>0</v>
      </c>
      <c r="F254" s="687" t="str">
        <f>IFERROR(((SUM(H255:H262))/(AVERAGE(C255:C262))/E254),"-")</f>
        <v>-</v>
      </c>
      <c r="G254" s="326"/>
      <c r="H254" s="690"/>
      <c r="I254" s="259"/>
      <c r="J254" s="686">
        <f>IFERROR(ROUNDUP(SUM(I255:I262)/0.95,0.999),0)</f>
        <v>0</v>
      </c>
      <c r="K254" s="687" t="str">
        <f>IFERROR(((SUM(M255:M262))/(AVERAGE(C255:C262))/J254),"-")</f>
        <v>-</v>
      </c>
      <c r="L254" s="326"/>
      <c r="M254" s="285"/>
      <c r="N254" s="259"/>
      <c r="O254" s="686">
        <f>IFERROR(ROUNDUP(SUM(N255:N267)/0.95,0.999),0)</f>
        <v>0</v>
      </c>
      <c r="P254" s="687" t="str">
        <f>IFERROR(((SUM(R255:R267))/(AVERAGE(C255:C267))/O254),"-")</f>
        <v>-</v>
      </c>
      <c r="Q254" s="326"/>
      <c r="R254" s="285"/>
    </row>
    <row r="255" spans="1:18">
      <c r="A255" s="314" t="s">
        <v>2630</v>
      </c>
      <c r="B255" s="284">
        <f t="shared" ref="B255:B262" si="88">4.375</f>
        <v>4.375</v>
      </c>
      <c r="C255" s="328">
        <f t="shared" ref="C255:C262" si="89">IF(B255=0,"-",3600/B255)</f>
        <v>822.85714285714289</v>
      </c>
      <c r="D255" s="259">
        <f t="shared" ref="D255:D262" si="90">IFERROR((H255/C255),"-")</f>
        <v>0</v>
      </c>
      <c r="E255" s="328">
        <f t="shared" ref="E255:E262" si="91">IFERROR(ROUNDUP(D255/0.95,0.999),0)</f>
        <v>0</v>
      </c>
      <c r="F255" s="329" t="str">
        <f t="shared" ref="F255:F262" si="92">IFERROR((H255/C255/E255),"-")</f>
        <v>-</v>
      </c>
      <c r="G255" s="37"/>
      <c r="H255" s="285">
        <f>Preencher!$Q$64</f>
        <v>0</v>
      </c>
      <c r="I255" s="259">
        <f t="shared" ref="I255:I262" si="93">IFERROR((M255/C255),"-")</f>
        <v>0</v>
      </c>
      <c r="J255" s="328">
        <f t="shared" ref="J255:J262" si="94">IFERROR(ROUNDUP(I255/0.95,0.999),0)</f>
        <v>0</v>
      </c>
      <c r="K255" s="329" t="str">
        <f t="shared" ref="K255:K262" si="95">IFERROR((M255/C255/J255),"-")</f>
        <v>-</v>
      </c>
      <c r="L255" s="37"/>
      <c r="M255" s="285">
        <f>Preencher!$R$64</f>
        <v>0</v>
      </c>
      <c r="N255" s="259">
        <f t="shared" ref="N255:N262" si="96">IFERROR((R255/C255),"-")</f>
        <v>0</v>
      </c>
      <c r="O255" s="328">
        <f t="shared" ref="O255:O262" si="97">IFERROR(ROUNDUP(N255/0.95,0.999),0)</f>
        <v>0</v>
      </c>
      <c r="P255" s="329" t="str">
        <f t="shared" ref="P255:P262" si="98">IFERROR((R255/C255/O255),"-")</f>
        <v>-</v>
      </c>
      <c r="Q255" s="37"/>
      <c r="R255" s="285">
        <f>Preencher!$S$64</f>
        <v>0</v>
      </c>
    </row>
    <row r="256" spans="1:18">
      <c r="A256" s="314" t="s">
        <v>2631</v>
      </c>
      <c r="B256" s="284">
        <f t="shared" si="88"/>
        <v>4.375</v>
      </c>
      <c r="C256" s="706">
        <f t="shared" si="89"/>
        <v>822.85714285714289</v>
      </c>
      <c r="D256" s="259">
        <f t="shared" si="90"/>
        <v>0</v>
      </c>
      <c r="E256" s="706">
        <f t="shared" si="91"/>
        <v>0</v>
      </c>
      <c r="F256" s="705" t="str">
        <f t="shared" si="92"/>
        <v>-</v>
      </c>
      <c r="G256" s="37"/>
      <c r="H256" s="285">
        <f>Preencher!$Q$65</f>
        <v>0</v>
      </c>
      <c r="I256" s="259">
        <f t="shared" si="93"/>
        <v>0</v>
      </c>
      <c r="J256" s="706">
        <f t="shared" si="94"/>
        <v>0</v>
      </c>
      <c r="K256" s="705" t="str">
        <f t="shared" si="95"/>
        <v>-</v>
      </c>
      <c r="L256" s="37"/>
      <c r="M256" s="285">
        <f>Preencher!$R$65</f>
        <v>0</v>
      </c>
      <c r="N256" s="259">
        <f t="shared" si="96"/>
        <v>0</v>
      </c>
      <c r="O256" s="706">
        <f t="shared" si="97"/>
        <v>0</v>
      </c>
      <c r="P256" s="705" t="str">
        <f t="shared" si="98"/>
        <v>-</v>
      </c>
      <c r="Q256" s="37"/>
      <c r="R256" s="285">
        <f>Preencher!$S$65</f>
        <v>0</v>
      </c>
    </row>
    <row r="257" spans="1:18">
      <c r="A257" s="314" t="s">
        <v>2632</v>
      </c>
      <c r="B257" s="284">
        <f t="shared" si="88"/>
        <v>4.375</v>
      </c>
      <c r="C257" s="706">
        <f t="shared" si="89"/>
        <v>822.85714285714289</v>
      </c>
      <c r="D257" s="259">
        <f t="shared" si="90"/>
        <v>0</v>
      </c>
      <c r="E257" s="706">
        <f t="shared" si="91"/>
        <v>0</v>
      </c>
      <c r="F257" s="705" t="str">
        <f t="shared" si="92"/>
        <v>-</v>
      </c>
      <c r="G257" s="37"/>
      <c r="H257" s="285">
        <f>Preencher!$Q$66</f>
        <v>0</v>
      </c>
      <c r="I257" s="259">
        <f t="shared" si="93"/>
        <v>0</v>
      </c>
      <c r="J257" s="706">
        <f t="shared" si="94"/>
        <v>0</v>
      </c>
      <c r="K257" s="705" t="str">
        <f t="shared" si="95"/>
        <v>-</v>
      </c>
      <c r="L257" s="37"/>
      <c r="M257" s="285">
        <f>Preencher!$R$66</f>
        <v>0</v>
      </c>
      <c r="N257" s="259">
        <f t="shared" si="96"/>
        <v>0</v>
      </c>
      <c r="O257" s="706">
        <f t="shared" si="97"/>
        <v>0</v>
      </c>
      <c r="P257" s="705" t="str">
        <f t="shared" si="98"/>
        <v>-</v>
      </c>
      <c r="Q257" s="37"/>
      <c r="R257" s="285">
        <f>Preencher!$S$66</f>
        <v>0</v>
      </c>
    </row>
    <row r="258" spans="1:18">
      <c r="A258" s="314" t="s">
        <v>2633</v>
      </c>
      <c r="B258" s="284">
        <f t="shared" si="88"/>
        <v>4.375</v>
      </c>
      <c r="C258" s="706">
        <f t="shared" si="89"/>
        <v>822.85714285714289</v>
      </c>
      <c r="D258" s="259">
        <f t="shared" si="90"/>
        <v>0</v>
      </c>
      <c r="E258" s="706">
        <f t="shared" si="91"/>
        <v>0</v>
      </c>
      <c r="F258" s="705" t="str">
        <f t="shared" si="92"/>
        <v>-</v>
      </c>
      <c r="G258" s="37"/>
      <c r="H258" s="285">
        <f>Preencher!$Q$67</f>
        <v>0</v>
      </c>
      <c r="I258" s="259">
        <f t="shared" si="93"/>
        <v>0</v>
      </c>
      <c r="J258" s="706">
        <f t="shared" si="94"/>
        <v>0</v>
      </c>
      <c r="K258" s="705" t="str">
        <f t="shared" si="95"/>
        <v>-</v>
      </c>
      <c r="L258" s="37"/>
      <c r="M258" s="285">
        <f>Preencher!$R$67</f>
        <v>0</v>
      </c>
      <c r="N258" s="259">
        <f t="shared" si="96"/>
        <v>0</v>
      </c>
      <c r="O258" s="706">
        <f t="shared" si="97"/>
        <v>0</v>
      </c>
      <c r="P258" s="705" t="str">
        <f t="shared" si="98"/>
        <v>-</v>
      </c>
      <c r="Q258" s="37"/>
      <c r="R258" s="285">
        <f>Preencher!$S$67</f>
        <v>0</v>
      </c>
    </row>
    <row r="259" spans="1:18">
      <c r="A259" s="314" t="s">
        <v>2634</v>
      </c>
      <c r="B259" s="284">
        <f t="shared" si="88"/>
        <v>4.375</v>
      </c>
      <c r="C259" s="706">
        <f t="shared" si="89"/>
        <v>822.85714285714289</v>
      </c>
      <c r="D259" s="259">
        <f t="shared" si="90"/>
        <v>0</v>
      </c>
      <c r="E259" s="706">
        <f t="shared" si="91"/>
        <v>0</v>
      </c>
      <c r="F259" s="705" t="str">
        <f t="shared" si="92"/>
        <v>-</v>
      </c>
      <c r="G259" s="37"/>
      <c r="H259" s="285">
        <f>Preencher!$Q$68</f>
        <v>0</v>
      </c>
      <c r="I259" s="259">
        <f t="shared" si="93"/>
        <v>0</v>
      </c>
      <c r="J259" s="706">
        <f t="shared" si="94"/>
        <v>0</v>
      </c>
      <c r="K259" s="705" t="str">
        <f t="shared" si="95"/>
        <v>-</v>
      </c>
      <c r="L259" s="37"/>
      <c r="M259" s="285">
        <f>Preencher!$R$68</f>
        <v>0</v>
      </c>
      <c r="N259" s="259">
        <f t="shared" si="96"/>
        <v>0</v>
      </c>
      <c r="O259" s="706">
        <f t="shared" si="97"/>
        <v>0</v>
      </c>
      <c r="P259" s="705" t="str">
        <f t="shared" si="98"/>
        <v>-</v>
      </c>
      <c r="Q259" s="37"/>
      <c r="R259" s="285">
        <f>Preencher!$S$68</f>
        <v>0</v>
      </c>
    </row>
    <row r="260" spans="1:18">
      <c r="A260" s="314" t="s">
        <v>2635</v>
      </c>
      <c r="B260" s="284">
        <f t="shared" si="88"/>
        <v>4.375</v>
      </c>
      <c r="C260" s="706">
        <f t="shared" si="89"/>
        <v>822.85714285714289</v>
      </c>
      <c r="D260" s="259">
        <f t="shared" si="90"/>
        <v>0</v>
      </c>
      <c r="E260" s="706">
        <f t="shared" si="91"/>
        <v>0</v>
      </c>
      <c r="F260" s="705" t="str">
        <f t="shared" si="92"/>
        <v>-</v>
      </c>
      <c r="G260" s="37"/>
      <c r="H260" s="285">
        <f>Preencher!$Q$69</f>
        <v>0</v>
      </c>
      <c r="I260" s="259">
        <f t="shared" si="93"/>
        <v>0</v>
      </c>
      <c r="J260" s="706">
        <f t="shared" si="94"/>
        <v>0</v>
      </c>
      <c r="K260" s="705" t="str">
        <f t="shared" si="95"/>
        <v>-</v>
      </c>
      <c r="L260" s="37"/>
      <c r="M260" s="285">
        <f>Preencher!$R$69</f>
        <v>0</v>
      </c>
      <c r="N260" s="259">
        <f t="shared" si="96"/>
        <v>0</v>
      </c>
      <c r="O260" s="706">
        <f t="shared" si="97"/>
        <v>0</v>
      </c>
      <c r="P260" s="705" t="str">
        <f t="shared" si="98"/>
        <v>-</v>
      </c>
      <c r="Q260" s="37"/>
      <c r="R260" s="285">
        <f>Preencher!$S$69</f>
        <v>0</v>
      </c>
    </row>
    <row r="261" spans="1:18">
      <c r="A261" s="314" t="s">
        <v>2636</v>
      </c>
      <c r="B261" s="284">
        <f t="shared" si="88"/>
        <v>4.375</v>
      </c>
      <c r="C261" s="686">
        <f t="shared" si="89"/>
        <v>822.85714285714289</v>
      </c>
      <c r="D261" s="259">
        <f t="shared" si="90"/>
        <v>0</v>
      </c>
      <c r="E261" s="686">
        <f t="shared" si="91"/>
        <v>0</v>
      </c>
      <c r="F261" s="687" t="str">
        <f t="shared" si="92"/>
        <v>-</v>
      </c>
      <c r="G261" s="37"/>
      <c r="H261" s="285">
        <f>Preencher!$Q$70</f>
        <v>0</v>
      </c>
      <c r="I261" s="259">
        <f t="shared" si="93"/>
        <v>0</v>
      </c>
      <c r="J261" s="686">
        <f t="shared" si="94"/>
        <v>0</v>
      </c>
      <c r="K261" s="687" t="str">
        <f t="shared" si="95"/>
        <v>-</v>
      </c>
      <c r="L261" s="37"/>
      <c r="M261" s="285">
        <f>Preencher!$R$70</f>
        <v>0</v>
      </c>
      <c r="N261" s="259">
        <f t="shared" si="96"/>
        <v>0</v>
      </c>
      <c r="O261" s="706">
        <f t="shared" si="97"/>
        <v>0</v>
      </c>
      <c r="P261" s="705" t="str">
        <f t="shared" si="98"/>
        <v>-</v>
      </c>
      <c r="Q261" s="37"/>
      <c r="R261" s="285">
        <f>Preencher!$S$70</f>
        <v>0</v>
      </c>
    </row>
    <row r="262" spans="1:18">
      <c r="A262" s="314" t="s">
        <v>2637</v>
      </c>
      <c r="B262" s="284">
        <f t="shared" si="88"/>
        <v>4.375</v>
      </c>
      <c r="C262" s="328">
        <f t="shared" si="89"/>
        <v>822.85714285714289</v>
      </c>
      <c r="D262" s="259">
        <f t="shared" si="90"/>
        <v>0</v>
      </c>
      <c r="E262" s="328">
        <f t="shared" si="91"/>
        <v>0</v>
      </c>
      <c r="F262" s="329" t="str">
        <f t="shared" si="92"/>
        <v>-</v>
      </c>
      <c r="G262" s="37"/>
      <c r="H262" s="285">
        <f>Preencher!$B$60</f>
        <v>0</v>
      </c>
      <c r="I262" s="259">
        <f t="shared" si="93"/>
        <v>0</v>
      </c>
      <c r="J262" s="686">
        <f t="shared" si="94"/>
        <v>0</v>
      </c>
      <c r="K262" s="687" t="str">
        <f t="shared" si="95"/>
        <v>-</v>
      </c>
      <c r="L262" s="37"/>
      <c r="M262" s="285">
        <f>Preencher!C$60</f>
        <v>0</v>
      </c>
      <c r="N262" s="259">
        <f t="shared" si="96"/>
        <v>0</v>
      </c>
      <c r="O262" s="328">
        <f t="shared" si="97"/>
        <v>0</v>
      </c>
      <c r="P262" s="329" t="str">
        <f t="shared" si="98"/>
        <v>-</v>
      </c>
      <c r="Q262" s="37"/>
      <c r="R262" s="285">
        <f>Preencher!$D$60</f>
        <v>0</v>
      </c>
    </row>
    <row r="263" spans="1:18">
      <c r="A263" s="265" t="s">
        <v>596</v>
      </c>
      <c r="B263" s="119"/>
      <c r="C263" s="328"/>
      <c r="D263" s="259"/>
      <c r="E263" s="328">
        <f>SUM(E264:E265)</f>
        <v>0</v>
      </c>
      <c r="F263" s="329" t="str">
        <f>IFERROR(MEDIAN(F264:F265),"-")</f>
        <v>-</v>
      </c>
      <c r="G263" s="326"/>
      <c r="H263" s="285" t="e">
        <f>(Preencher!$B$67*(RESUMO!$C$37/(RESUMO!$C$37+RESUMO!$C$38+RESUMO!$C$40)*2))+(Preencher!$B$67*(RESUMO!$C$38/(RESUMO!$C$37+RESUMO!$C$38+RESUMO!$C$40)))</f>
        <v>#DIV/0!</v>
      </c>
      <c r="I263" s="259"/>
      <c r="J263" s="328">
        <f>SUM(J264:J265)</f>
        <v>0</v>
      </c>
      <c r="K263" s="329" t="str">
        <f>IFERROR(MEDIAN(K264:K265),"-")</f>
        <v>-</v>
      </c>
      <c r="L263" s="326"/>
      <c r="M263" s="285"/>
      <c r="N263" s="259"/>
      <c r="O263" s="328">
        <f>SUM(O264:O265)</f>
        <v>0</v>
      </c>
      <c r="P263" s="329" t="str">
        <f>IFERROR(MEDIAN(P264:P265),"-")</f>
        <v>-</v>
      </c>
      <c r="Q263" s="326"/>
      <c r="R263" s="285"/>
    </row>
    <row r="264" spans="1:18">
      <c r="A264" s="314" t="s">
        <v>596</v>
      </c>
      <c r="B264" s="284">
        <f>(1.2*Preencher!$B$71)</f>
        <v>0</v>
      </c>
      <c r="C264" s="328" t="str">
        <f t="shared" ref="C264:C270" si="99">IF(B264=0,"-",3600/B264)</f>
        <v>-</v>
      </c>
      <c r="D264" s="259" t="str">
        <f>IFERROR((H263/C264/Preencher!$B$71),"-")</f>
        <v>-</v>
      </c>
      <c r="E264" s="328">
        <f>IFERROR(ROUNDUP(D264/0.95,0.999),0)*Preencher!$B$71</f>
        <v>0</v>
      </c>
      <c r="F264" s="329" t="str">
        <f>IFERROR((H263/C264/E264),"-")</f>
        <v>-</v>
      </c>
      <c r="G264" s="37"/>
      <c r="H264" s="285">
        <f>Preencher!$B$67</f>
        <v>0</v>
      </c>
      <c r="I264" s="259" t="str">
        <f>IFERROR((M264/C264/Preencher!$B$71),"-")</f>
        <v>-</v>
      </c>
      <c r="J264" s="328">
        <f>IFERROR(ROUNDUP(I264/0.95,0.999),0)*Preencher!$C$71</f>
        <v>0</v>
      </c>
      <c r="K264" s="329" t="str">
        <f t="shared" ref="K264:K270" si="100">IFERROR((M264/C264/J264),"-")</f>
        <v>-</v>
      </c>
      <c r="L264" s="37"/>
      <c r="M264" s="285" t="e">
        <f>(Preencher!$C$67*(RESUMO!$C$37/(RESUMO!$C$37+RESUMO!$C$38+RESUMO!$C$40)*2))+(Preencher!$C$67*(RESUMO!$C$38/(RESUMO!$C$37+RESUMO!$C$38+RESUMO!$C$40)))</f>
        <v>#DIV/0!</v>
      </c>
      <c r="N264" s="259" t="str">
        <f>IFERROR((R264/C264/Preencher!$B$71),"-")</f>
        <v>-</v>
      </c>
      <c r="O264" s="328">
        <f>IFERROR(ROUNDUP(N264/0.95,0.999),0)*Preencher!$C$71</f>
        <v>0</v>
      </c>
      <c r="P264" s="329" t="str">
        <f>IFERROR((R264/C264/O264),"-")</f>
        <v>-</v>
      </c>
      <c r="Q264" s="37"/>
      <c r="R264" s="285" t="e">
        <f>(Preencher!$D$67*(RESUMO!$C$37/(RESUMO!$C$37+RESUMO!$C$38+RESUMO!$C$40)*2))+(Preencher!$D$67*(RESUMO!$C$38/(RESUMO!$C$37+RESUMO!$C$38+RESUMO!$C$40)))</f>
        <v>#DIV/0!</v>
      </c>
    </row>
    <row r="265" spans="1:18">
      <c r="A265" s="314" t="s">
        <v>1333</v>
      </c>
      <c r="B265" s="284">
        <f>0.3*Preencher!$B$70</f>
        <v>0</v>
      </c>
      <c r="C265" s="328" t="str">
        <f t="shared" si="99"/>
        <v>-</v>
      </c>
      <c r="D265" s="259" t="str">
        <f>IFERROR((H264/C265/Preencher!$B$70),"-")</f>
        <v>-</v>
      </c>
      <c r="E265" s="328">
        <f>IFERROR(ROUNDUP(D265/0.95,0.999),0)*Preencher!$B$70</f>
        <v>0</v>
      </c>
      <c r="F265" s="329" t="str">
        <f>IFERROR((H264/C265/E265),"-")</f>
        <v>-</v>
      </c>
      <c r="G265" s="37"/>
      <c r="H265" s="285" t="e">
        <f>Preencher!$B$67*((RESUMO!$C$37+RESUMO!$C$38)/(SUM(RESUMO!$C$37:$C$40)))</f>
        <v>#DIV/0!</v>
      </c>
      <c r="I265" s="259" t="str">
        <f>IFERROR((M265/C265/Preencher!$C$70),"-")</f>
        <v>-</v>
      </c>
      <c r="J265" s="328">
        <f>IFERROR(ROUNDUP(I265/0.95,0.999),0)*Preencher!$C$70</f>
        <v>0</v>
      </c>
      <c r="K265" s="329" t="str">
        <f t="shared" si="100"/>
        <v>-</v>
      </c>
      <c r="L265" s="37"/>
      <c r="M265" s="285">
        <f>Preencher!$C$67</f>
        <v>0</v>
      </c>
      <c r="N265" s="259" t="str">
        <f>IFERROR((R265/C265/Preencher!$D$70),"-")</f>
        <v>-</v>
      </c>
      <c r="O265" s="328">
        <f>IFERROR(ROUNDUP(N265/0.95,0.999),0)*Preencher!$D$70</f>
        <v>0</v>
      </c>
      <c r="P265" s="329" t="str">
        <f>IFERROR((R265/H264/O265),"-")</f>
        <v>-</v>
      </c>
      <c r="Q265" s="37"/>
      <c r="R265" s="285">
        <f>Preencher!$D$67</f>
        <v>0</v>
      </c>
    </row>
    <row r="266" spans="1:18">
      <c r="A266" s="265" t="s">
        <v>597</v>
      </c>
      <c r="B266" s="284">
        <f>3.5+0.5</f>
        <v>4</v>
      </c>
      <c r="C266" s="328">
        <f t="shared" si="99"/>
        <v>900</v>
      </c>
      <c r="D266" s="259" t="str">
        <f>IFERROR((H265/C266),"-")</f>
        <v>-</v>
      </c>
      <c r="E266" s="328">
        <f>IFERROR(ROUNDUP(D266/0.95,0.999),0)</f>
        <v>0</v>
      </c>
      <c r="F266" s="329" t="str">
        <f>IFERROR((H265/C266/E266),"-")</f>
        <v>-</v>
      </c>
      <c r="G266" s="37"/>
      <c r="H266" s="285">
        <f>Preencher!$B$67*Preencher!$B$69</f>
        <v>0</v>
      </c>
      <c r="I266" s="259" t="str">
        <f>IFERROR((M266/C266),"-")</f>
        <v>-</v>
      </c>
      <c r="J266" s="328">
        <f>IFERROR(ROUNDUP(I266/0.95,0.999),0)</f>
        <v>0</v>
      </c>
      <c r="K266" s="329" t="str">
        <f t="shared" si="100"/>
        <v>-</v>
      </c>
      <c r="L266" s="37"/>
      <c r="M266" s="285" t="e">
        <f>Preencher!$C$67*((RESUMO!$C$37+RESUMO!$C$38)/(SUM(RESUMO!$C$37:$C$40)))</f>
        <v>#DIV/0!</v>
      </c>
      <c r="N266" s="259" t="str">
        <f>IFERROR((R266/C266),"-")</f>
        <v>-</v>
      </c>
      <c r="O266" s="328">
        <f>IFERROR(ROUNDUP(N266/0.95,0.999),0)</f>
        <v>0</v>
      </c>
      <c r="P266" s="329" t="str">
        <f>IFERROR((R266/C266/O266),"-")</f>
        <v>-</v>
      </c>
      <c r="Q266" s="37"/>
      <c r="R266" s="285" t="e">
        <f>Preencher!$D$67*((RESUMO!$C$37+RESUMO!$C$38)/(SUM(RESUMO!$C$37:$C$40)))</f>
        <v>#DIV/0!</v>
      </c>
    </row>
    <row r="267" spans="1:18">
      <c r="A267" s="265" t="s">
        <v>66</v>
      </c>
      <c r="B267" s="284">
        <v>4.7</v>
      </c>
      <c r="C267" s="251">
        <f t="shared" si="99"/>
        <v>765.95744680851055</v>
      </c>
      <c r="D267" s="259" t="str">
        <f>IFERROR((H267/C267),"-")</f>
        <v>-</v>
      </c>
      <c r="E267" s="251">
        <f>IFERROR(ROUNDUP(D267/0.95,0.999),0)</f>
        <v>0</v>
      </c>
      <c r="F267" s="705" t="str">
        <f>IFERROR((H267/C267/E267),"-")</f>
        <v>-</v>
      </c>
      <c r="G267" s="37"/>
      <c r="H267" s="285" t="e">
        <f>H265</f>
        <v>#DIV/0!</v>
      </c>
      <c r="I267" s="259" t="str">
        <f>IFERROR((M267/C267),"-")</f>
        <v>-</v>
      </c>
      <c r="J267" s="251">
        <f>IFERROR(ROUNDUP(I267/0.95,0.999),0)</f>
        <v>0</v>
      </c>
      <c r="K267" s="252" t="str">
        <f t="shared" si="100"/>
        <v>-</v>
      </c>
      <c r="L267" s="37"/>
      <c r="M267" s="285" t="e">
        <f>M266</f>
        <v>#DIV/0!</v>
      </c>
      <c r="N267" s="259" t="str">
        <f>IFERROR((R267/C267),"-")</f>
        <v>-</v>
      </c>
      <c r="O267" s="251">
        <f>IFERROR(ROUNDUP(N267/0.95,0.999),0)</f>
        <v>0</v>
      </c>
      <c r="P267" s="252" t="str">
        <f>IFERROR((R267/C267/O267),"-")</f>
        <v>-</v>
      </c>
      <c r="Q267" s="37"/>
      <c r="R267" s="285" t="e">
        <f>R266</f>
        <v>#DIV/0!</v>
      </c>
    </row>
    <row r="268" spans="1:18">
      <c r="A268" s="265" t="s">
        <v>67</v>
      </c>
      <c r="B268" s="284"/>
      <c r="C268" s="251" t="str">
        <f t="shared" si="99"/>
        <v>-</v>
      </c>
      <c r="D268" s="259" t="str">
        <f>IFERROR((H267/C268),"-")</f>
        <v>-</v>
      </c>
      <c r="E268" s="251">
        <f>IFERROR(ROUNDUP(D268/0.95,0.999),0)</f>
        <v>0</v>
      </c>
      <c r="F268" s="252" t="str">
        <f>IFERROR((H267/C268/E268),"-")</f>
        <v>-</v>
      </c>
      <c r="G268" s="37"/>
      <c r="H268" s="285">
        <f>Preencher!$B$60+Preencher!$B$67</f>
        <v>0</v>
      </c>
      <c r="I268" s="259" t="str">
        <f>IFERROR((M268/C268),"-")</f>
        <v>-</v>
      </c>
      <c r="J268" s="251">
        <f>IFERROR(ROUNDUP(I268/0.95,0.999),0)</f>
        <v>0</v>
      </c>
      <c r="K268" s="252" t="str">
        <f t="shared" si="100"/>
        <v>-</v>
      </c>
      <c r="L268" s="37"/>
      <c r="M268" s="285"/>
      <c r="N268" s="259" t="str">
        <f>IFERROR((R268/C268),"-")</f>
        <v>-</v>
      </c>
      <c r="O268" s="251">
        <f>IFERROR(ROUNDUP(N268/0.95,0.999),0)</f>
        <v>0</v>
      </c>
      <c r="P268" s="252" t="str">
        <f>IFERROR((R268/C268/O268),"-")</f>
        <v>-</v>
      </c>
      <c r="Q268" s="37"/>
      <c r="R268" s="285"/>
    </row>
    <row r="269" spans="1:18">
      <c r="A269" s="265" t="s">
        <v>58</v>
      </c>
      <c r="B269" s="284">
        <v>2.8</v>
      </c>
      <c r="C269" s="251">
        <f t="shared" si="99"/>
        <v>1285.7142857142858</v>
      </c>
      <c r="D269" s="259">
        <f>IFERROR((H268/C269),"-")</f>
        <v>0</v>
      </c>
      <c r="E269" s="251">
        <f>IFERROR(ROUNDUP(D269/0.95,0.999),0)</f>
        <v>0</v>
      </c>
      <c r="F269" s="252" t="str">
        <f>IFERROR((H268/C269/E269),"-")</f>
        <v>-</v>
      </c>
      <c r="G269" s="37"/>
      <c r="H269" s="285"/>
      <c r="I269" s="259">
        <f>IFERROR((M269/C269),"-")</f>
        <v>0</v>
      </c>
      <c r="J269" s="251">
        <f>IFERROR(ROUNDUP(I269/0.95,0.999),0)</f>
        <v>0</v>
      </c>
      <c r="K269" s="252" t="str">
        <f t="shared" si="100"/>
        <v>-</v>
      </c>
      <c r="L269" s="37"/>
      <c r="M269" s="285">
        <f>Preencher!$C$60+Preencher!$C$67</f>
        <v>0</v>
      </c>
      <c r="N269" s="259">
        <f>IFERROR((R269/C269),"-")</f>
        <v>0</v>
      </c>
      <c r="O269" s="251">
        <f>IFERROR(ROUNDUP(N269/0.95,0.999),0)</f>
        <v>0</v>
      </c>
      <c r="P269" s="252" t="str">
        <f>IFERROR((R269/C269/O269),"-")</f>
        <v>-</v>
      </c>
      <c r="Q269" s="37"/>
      <c r="R269" s="285">
        <f>Preencher!$D$60+Preencher!$D$67</f>
        <v>0</v>
      </c>
    </row>
    <row r="270" spans="1:18">
      <c r="A270" s="265" t="s">
        <v>203</v>
      </c>
      <c r="B270" s="284">
        <v>9</v>
      </c>
      <c r="C270" s="251">
        <f t="shared" si="99"/>
        <v>400</v>
      </c>
      <c r="D270" s="259">
        <f>IFERROR((H270/C270),"-")</f>
        <v>0</v>
      </c>
      <c r="E270" s="251">
        <f>IFERROR(ROUNDUP(D270/0.95,0.999),0)</f>
        <v>0</v>
      </c>
      <c r="F270" s="252" t="str">
        <f>IFERROR((H270/C270/E270),"-")</f>
        <v>-</v>
      </c>
      <c r="G270" s="37"/>
      <c r="H270" s="285">
        <f>Preencher!Q66</f>
        <v>0</v>
      </c>
      <c r="I270" s="259">
        <f>IFERROR((M270/C270),"-")</f>
        <v>0</v>
      </c>
      <c r="J270" s="251">
        <f>IFERROR(ROUNDUP(I270/0.95,0.999),0)</f>
        <v>0</v>
      </c>
      <c r="K270" s="252" t="str">
        <f t="shared" si="100"/>
        <v>-</v>
      </c>
      <c r="L270" s="37"/>
      <c r="M270" s="285">
        <f>Preencher!R66</f>
        <v>0</v>
      </c>
      <c r="N270" s="259">
        <f>IFERROR((R270/C270),"-")</f>
        <v>0</v>
      </c>
      <c r="O270" s="251">
        <f>IFERROR(ROUNDUP(N270/0.95,0.999),0)</f>
        <v>0</v>
      </c>
      <c r="P270" s="252" t="str">
        <f>IFERROR((R270/C270/O270),"-")</f>
        <v>-</v>
      </c>
      <c r="Q270" s="37"/>
      <c r="R270" s="285">
        <f>Preencher!S66</f>
        <v>0</v>
      </c>
    </row>
    <row r="271" spans="1:18">
      <c r="A271" s="314" t="s">
        <v>2496</v>
      </c>
      <c r="B271" s="284"/>
      <c r="C271" s="674"/>
      <c r="D271" s="259"/>
      <c r="E271" s="674"/>
      <c r="F271" s="673"/>
      <c r="G271" s="37"/>
      <c r="H271" s="285"/>
      <c r="I271" s="259"/>
      <c r="J271" s="674"/>
      <c r="K271" s="673"/>
      <c r="L271" s="37"/>
      <c r="M271" s="285"/>
      <c r="N271" s="259"/>
      <c r="O271" s="674"/>
      <c r="P271" s="673"/>
      <c r="Q271" s="37"/>
      <c r="R271" s="285"/>
    </row>
    <row r="272" spans="1:18">
      <c r="A272" s="314" t="s">
        <v>2497</v>
      </c>
      <c r="B272" s="284"/>
      <c r="C272" s="674"/>
      <c r="D272" s="259"/>
      <c r="E272" s="674"/>
      <c r="F272" s="673"/>
      <c r="G272" s="37"/>
      <c r="H272" s="285"/>
      <c r="I272" s="259"/>
      <c r="J272" s="674"/>
      <c r="K272" s="673"/>
      <c r="L272" s="37"/>
      <c r="M272" s="285"/>
      <c r="N272" s="259"/>
      <c r="O272" s="674"/>
      <c r="P272" s="673"/>
      <c r="Q272" s="37"/>
      <c r="R272" s="285"/>
    </row>
    <row r="273" spans="1:18">
      <c r="A273" s="314" t="s">
        <v>2498</v>
      </c>
      <c r="B273" s="284"/>
      <c r="C273" s="674"/>
      <c r="D273" s="259"/>
      <c r="E273" s="674"/>
      <c r="F273" s="673"/>
      <c r="G273" s="37"/>
      <c r="H273" s="285"/>
      <c r="I273" s="259"/>
      <c r="J273" s="674"/>
      <c r="K273" s="673"/>
      <c r="L273" s="37"/>
      <c r="M273" s="285"/>
      <c r="N273" s="259"/>
      <c r="O273" s="674"/>
      <c r="P273" s="673"/>
      <c r="Q273" s="37"/>
      <c r="R273" s="285"/>
    </row>
    <row r="274" spans="1:18">
      <c r="A274" s="314" t="s">
        <v>2499</v>
      </c>
      <c r="B274" s="284"/>
      <c r="C274" s="674"/>
      <c r="D274" s="259"/>
      <c r="E274" s="674"/>
      <c r="F274" s="673"/>
      <c r="G274" s="37"/>
      <c r="H274" s="285"/>
      <c r="I274" s="259"/>
      <c r="J274" s="674"/>
      <c r="K274" s="673"/>
      <c r="L274" s="37"/>
      <c r="M274" s="285"/>
      <c r="N274" s="259"/>
      <c r="O274" s="674"/>
      <c r="P274" s="673"/>
      <c r="Q274" s="37"/>
      <c r="R274" s="285"/>
    </row>
    <row r="275" spans="1:18">
      <c r="A275" s="314" t="s">
        <v>2500</v>
      </c>
      <c r="B275" s="284"/>
      <c r="C275" s="674"/>
      <c r="D275" s="259"/>
      <c r="E275" s="674"/>
      <c r="F275" s="673"/>
      <c r="G275" s="37"/>
      <c r="H275" s="285"/>
      <c r="I275" s="259"/>
      <c r="J275" s="674"/>
      <c r="K275" s="673"/>
      <c r="L275" s="37"/>
      <c r="M275" s="285"/>
      <c r="N275" s="259"/>
      <c r="O275" s="674"/>
      <c r="P275" s="673"/>
      <c r="Q275" s="37"/>
      <c r="R275" s="285"/>
    </row>
    <row r="276" spans="1:18">
      <c r="A276" s="314" t="s">
        <v>2501</v>
      </c>
      <c r="B276" s="284"/>
      <c r="C276" s="674"/>
      <c r="D276" s="259"/>
      <c r="E276" s="674"/>
      <c r="F276" s="673"/>
      <c r="G276" s="37"/>
      <c r="H276" s="285"/>
      <c r="I276" s="259"/>
      <c r="J276" s="674"/>
      <c r="K276" s="673"/>
      <c r="L276" s="37"/>
      <c r="M276" s="285"/>
      <c r="N276" s="259"/>
      <c r="O276" s="674"/>
      <c r="P276" s="673"/>
      <c r="Q276" s="37"/>
      <c r="R276" s="285"/>
    </row>
    <row r="277" spans="1:18">
      <c r="A277" s="314" t="s">
        <v>2502</v>
      </c>
      <c r="B277" s="284"/>
      <c r="C277" s="674"/>
      <c r="D277" s="259"/>
      <c r="E277" s="674"/>
      <c r="F277" s="673"/>
      <c r="G277" s="37"/>
      <c r="H277" s="285"/>
      <c r="I277" s="259"/>
      <c r="J277" s="674"/>
      <c r="K277" s="673"/>
      <c r="L277" s="37"/>
      <c r="M277" s="285"/>
      <c r="N277" s="259"/>
      <c r="O277" s="674"/>
      <c r="P277" s="673"/>
      <c r="Q277" s="37"/>
      <c r="R277" s="285"/>
    </row>
    <row r="278" spans="1:18">
      <c r="A278" s="265"/>
      <c r="B278" s="284"/>
      <c r="C278" s="674"/>
      <c r="D278" s="259"/>
      <c r="E278" s="674"/>
      <c r="F278" s="673"/>
      <c r="G278" s="37"/>
      <c r="H278" s="285"/>
      <c r="I278" s="259"/>
      <c r="J278" s="674"/>
      <c r="K278" s="673"/>
      <c r="L278" s="37"/>
      <c r="M278" s="285"/>
      <c r="N278" s="259"/>
      <c r="O278" s="674"/>
      <c r="P278" s="673"/>
      <c r="Q278" s="37"/>
      <c r="R278" s="285"/>
    </row>
    <row r="279" spans="1:18">
      <c r="A279" s="265"/>
      <c r="B279" s="284"/>
      <c r="C279" s="674"/>
      <c r="D279" s="259"/>
      <c r="E279" s="674"/>
      <c r="F279" s="673"/>
      <c r="G279" s="37"/>
      <c r="H279" s="285"/>
      <c r="I279" s="259"/>
      <c r="J279" s="674"/>
      <c r="K279" s="673"/>
      <c r="L279" s="37"/>
      <c r="M279" s="285"/>
      <c r="N279" s="259"/>
      <c r="O279" s="674"/>
      <c r="P279" s="673"/>
      <c r="Q279" s="37"/>
      <c r="R279" s="285"/>
    </row>
    <row r="280" spans="1:18">
      <c r="A280" s="265"/>
      <c r="B280" s="284"/>
      <c r="C280" s="674"/>
      <c r="D280" s="259"/>
      <c r="E280" s="674"/>
      <c r="F280" s="673"/>
      <c r="G280" s="37"/>
      <c r="H280" s="285"/>
      <c r="I280" s="259"/>
      <c r="J280" s="674"/>
      <c r="K280" s="673"/>
      <c r="L280" s="37"/>
      <c r="M280" s="285"/>
      <c r="N280" s="259"/>
      <c r="O280" s="674"/>
      <c r="P280" s="673"/>
      <c r="Q280" s="37"/>
      <c r="R280" s="285"/>
    </row>
    <row r="281" spans="1:18">
      <c r="A281" s="265" t="s">
        <v>71</v>
      </c>
      <c r="B281" s="284">
        <v>0</v>
      </c>
      <c r="C281" s="251" t="str">
        <f t="shared" ref="C281:C286" si="101">IF(B281=0,"-",3600/B281)</f>
        <v>-</v>
      </c>
      <c r="D281" s="259" t="str">
        <f>IFERROR((H282/C281),"-")</f>
        <v>-</v>
      </c>
      <c r="E281" s="251">
        <f t="shared" ref="E281:E286" si="102">IFERROR(ROUNDUP(D281/0.95,0.999),0)</f>
        <v>0</v>
      </c>
      <c r="F281" s="252" t="str">
        <f>IFERROR((H282/C281/E281),"-")</f>
        <v>-</v>
      </c>
      <c r="G281" s="37"/>
      <c r="H281" s="285"/>
      <c r="I281" s="259" t="str">
        <f>IFERROR((M282/C281),"-")</f>
        <v>-</v>
      </c>
      <c r="J281" s="251">
        <f t="shared" ref="J281:J286" si="103">IFERROR(ROUNDUP(I281/0.95,0.999),0)</f>
        <v>0</v>
      </c>
      <c r="K281" s="252" t="str">
        <f>IFERROR((M282/C281/J281),"-")</f>
        <v>-</v>
      </c>
      <c r="L281" s="37"/>
      <c r="M281" s="285"/>
      <c r="N281" s="259" t="str">
        <f>IFERROR((R282/C281),"-")</f>
        <v>-</v>
      </c>
      <c r="O281" s="251">
        <f t="shared" ref="O281:O286" si="104">IFERROR(ROUNDUP(N281/0.95,0.999),0)</f>
        <v>0</v>
      </c>
      <c r="P281" s="252" t="str">
        <f>IFERROR((R282/C281/O281),"-")</f>
        <v>-</v>
      </c>
      <c r="Q281" s="37"/>
      <c r="R281" s="285"/>
    </row>
    <row r="282" spans="1:18">
      <c r="A282" s="265" t="s">
        <v>72</v>
      </c>
      <c r="B282" s="284">
        <v>2.8</v>
      </c>
      <c r="C282" s="706">
        <f>IF(B282=0,"-",3600/B282)</f>
        <v>1285.7142857142858</v>
      </c>
      <c r="D282" s="259">
        <f>IFERROR((H282/C282),"-")</f>
        <v>0</v>
      </c>
      <c r="E282" s="706">
        <f t="shared" si="102"/>
        <v>0</v>
      </c>
      <c r="F282" s="705" t="str">
        <f>IFERROR((H282/C282/E282),"-")</f>
        <v>-</v>
      </c>
      <c r="G282" s="37"/>
      <c r="H282" s="285">
        <f>Preencher!B60+Preencher!B67+Preencher!B75+Preencher!B80+Preencher!I77+Preencher!I72+Preencher!I67</f>
        <v>0</v>
      </c>
      <c r="I282" s="259">
        <f>IFERROR((M282/C282),"-")</f>
        <v>0</v>
      </c>
      <c r="J282" s="251">
        <f>IFERROR(ROUNDUP(I282/0.95,0.999),0)</f>
        <v>0</v>
      </c>
      <c r="K282" s="705" t="str">
        <f>IFERROR((M282/C282/J282),"-")</f>
        <v>-</v>
      </c>
      <c r="L282" s="37"/>
      <c r="M282" s="285">
        <f>Preencher!C60+Preencher!C67+Preencher!C75+Preencher!C80+Preencher!I77+Preencher!I72+Preencher!I67</f>
        <v>0</v>
      </c>
      <c r="N282" s="259">
        <f>IFERROR((R282/C282),"-")</f>
        <v>0</v>
      </c>
      <c r="O282" s="251">
        <f t="shared" si="104"/>
        <v>0</v>
      </c>
      <c r="P282" s="252" t="str">
        <f>IFERROR((#REF!/C282/O282),"-")</f>
        <v>-</v>
      </c>
      <c r="Q282" s="37"/>
      <c r="R282" s="285">
        <f>Preencher!D60+Preencher!D67+Preencher!D75+Preencher!D80+Preencher!J77+Preencher!J72+Preencher!J67</f>
        <v>0</v>
      </c>
    </row>
    <row r="283" spans="1:18">
      <c r="A283" s="265" t="s">
        <v>599</v>
      </c>
      <c r="B283" s="284">
        <v>0.11</v>
      </c>
      <c r="C283" s="328">
        <f t="shared" si="101"/>
        <v>32727.272727272728</v>
      </c>
      <c r="D283" s="259" t="str">
        <f>IFERROR((#REF!/C283),"-")</f>
        <v>-</v>
      </c>
      <c r="E283" s="328">
        <f t="shared" si="102"/>
        <v>0</v>
      </c>
      <c r="F283" s="329" t="str">
        <f>IFERROR((#REF!/C283/E283),"-")</f>
        <v>-</v>
      </c>
      <c r="G283" s="37"/>
      <c r="H283" s="285"/>
      <c r="I283" s="259">
        <f>IFERROR((M283/C283),"-")</f>
        <v>0</v>
      </c>
      <c r="J283" s="328">
        <f t="shared" si="103"/>
        <v>0</v>
      </c>
      <c r="K283" s="329" t="str">
        <f>IFERROR((M283/C283/J283),"-")</f>
        <v>-</v>
      </c>
      <c r="L283" s="37"/>
      <c r="M283" s="285">
        <f>IF(Preencher!$C$60+Preencher!$C$67&gt;5000,Preencher!$C$60+Preencher!$C$67,0)</f>
        <v>0</v>
      </c>
      <c r="N283" s="259">
        <f>IFERROR((R283/C283),"-")</f>
        <v>0</v>
      </c>
      <c r="O283" s="328">
        <f t="shared" si="104"/>
        <v>0</v>
      </c>
      <c r="P283" s="329" t="str">
        <f>IFERROR((R283/C283/O283),"-")</f>
        <v>-</v>
      </c>
      <c r="Q283" s="37"/>
      <c r="R283" s="285">
        <f>IF(Preencher!$D$60+Preencher!$D$67&gt;5000,Preencher!$D$60+Preencher!$D$67,0)</f>
        <v>0</v>
      </c>
    </row>
    <row r="284" spans="1:18">
      <c r="A284" s="265" t="s">
        <v>14</v>
      </c>
      <c r="B284" s="284"/>
      <c r="C284" s="251" t="str">
        <f t="shared" si="101"/>
        <v>-</v>
      </c>
      <c r="D284" s="259" t="str">
        <f>IFERROR((H283/C284),"-")</f>
        <v>-</v>
      </c>
      <c r="E284" s="251">
        <f t="shared" si="102"/>
        <v>0</v>
      </c>
      <c r="F284" s="252" t="str">
        <f>IFERROR((H283/C284/E284),"-")</f>
        <v>-</v>
      </c>
      <c r="G284" s="37"/>
      <c r="H284" s="285"/>
      <c r="I284" s="259" t="str">
        <f>IFERROR((M284/C284),"-")</f>
        <v>-</v>
      </c>
      <c r="J284" s="251">
        <f t="shared" si="103"/>
        <v>0</v>
      </c>
      <c r="K284" s="252" t="str">
        <f>IFERROR((M284/C284/J284),"-")</f>
        <v>-</v>
      </c>
      <c r="L284" s="37"/>
      <c r="M284" s="285"/>
      <c r="N284" s="259" t="str">
        <f>IFERROR((R284/C284),"-")</f>
        <v>-</v>
      </c>
      <c r="O284" s="251">
        <f t="shared" si="104"/>
        <v>0</v>
      </c>
      <c r="P284" s="252" t="str">
        <f>IFERROR((R284/C284/O284),"-")</f>
        <v>-</v>
      </c>
      <c r="Q284" s="37"/>
      <c r="R284" s="285"/>
    </row>
    <row r="285" spans="1:18">
      <c r="A285" s="37" t="s">
        <v>16</v>
      </c>
      <c r="B285" s="284"/>
      <c r="C285" s="912" t="s">
        <v>1075</v>
      </c>
      <c r="D285" s="259"/>
      <c r="E285" s="770">
        <f>IFERROR(ROUNDUP(SUM(Avaliação!J168:J184)*'BD Temp'!H285,0.999),0)</f>
        <v>0</v>
      </c>
      <c r="F285" s="772" t="str">
        <f t="shared" ref="F285" si="105">IFERROR((H285/C285/E285),"-")</f>
        <v>-</v>
      </c>
      <c r="G285" s="37"/>
      <c r="H285" s="285">
        <f>IF(Preencher!$A$15=Preencher!$R$28,0,IF(Preencher!$A$15=Preencher!$R$29,Preencher!$C$15,Preencher!$D$15))</f>
        <v>0.33</v>
      </c>
      <c r="I285" s="259" t="str">
        <f t="shared" ref="I285" si="106">IFERROR((M285/C285),"-")</f>
        <v>-</v>
      </c>
      <c r="J285" s="770">
        <f>IFERROR(ROUNDUP(SUM(Avaliação!N168:N184)*'BD Temp'!M285,0.999),0)</f>
        <v>0</v>
      </c>
      <c r="K285" s="772" t="str">
        <f t="shared" ref="K285" si="107">IFERROR((M285/C285/J285),"-")</f>
        <v>-</v>
      </c>
      <c r="L285" s="37"/>
      <c r="M285" s="285">
        <f>IF(Preencher!$A$15=Preencher!$R$28,0,IF(Preencher!$A$15=Preencher!$R$29,Preencher!$C$15,Preencher!$D$15))</f>
        <v>0.33</v>
      </c>
      <c r="N285" s="259" t="str">
        <f t="shared" ref="N285" si="108">IFERROR((R285/C285),"-")</f>
        <v>-</v>
      </c>
      <c r="O285" s="770">
        <f>IFERROR(ROUNDUP(SUM(Avaliação!R168:R184)*'BD Temp'!R285,0.999),0)</f>
        <v>0</v>
      </c>
      <c r="P285" s="772" t="str">
        <f t="shared" ref="P285" si="109">IFERROR((R285/C285/O285),"-")</f>
        <v>-</v>
      </c>
      <c r="Q285" s="37"/>
      <c r="R285" s="285">
        <f>IF(Preencher!$A$15=Preencher!$R$28,0,IF(Preencher!$A$15=Preencher!$R$29,Preencher!$C$15,Preencher!$D$15))</f>
        <v>0.33</v>
      </c>
    </row>
    <row r="286" spans="1:18">
      <c r="A286" s="265" t="s">
        <v>15</v>
      </c>
      <c r="B286" s="284">
        <v>0.11</v>
      </c>
      <c r="C286" s="328">
        <f t="shared" si="101"/>
        <v>32727.272727272728</v>
      </c>
      <c r="D286" s="259">
        <f>IFERROR((H285/C286),"-")</f>
        <v>1.0083333333333334E-5</v>
      </c>
      <c r="E286" s="328">
        <f t="shared" si="102"/>
        <v>1</v>
      </c>
      <c r="F286" s="329">
        <f>IFERROR((H285/C286/E286),"-")</f>
        <v>1.0083333333333334E-5</v>
      </c>
      <c r="G286" s="37"/>
      <c r="H286" s="113"/>
      <c r="I286" s="259">
        <f>IFERROR((M286/C286),"-")</f>
        <v>0</v>
      </c>
      <c r="J286" s="328">
        <f t="shared" si="103"/>
        <v>0</v>
      </c>
      <c r="K286" s="329" t="str">
        <f>IFERROR((M286/C286/J286),"-")</f>
        <v>-</v>
      </c>
      <c r="L286" s="37"/>
      <c r="M286" s="285">
        <f>M245</f>
        <v>0</v>
      </c>
      <c r="N286" s="259">
        <f>IFERROR((R286/C286),"-")</f>
        <v>0</v>
      </c>
      <c r="O286" s="328">
        <f t="shared" si="104"/>
        <v>0</v>
      </c>
      <c r="P286" s="329" t="str">
        <f>IFERROR((R286/C286/O286),"-")</f>
        <v>-</v>
      </c>
      <c r="Q286" s="37"/>
      <c r="R286" s="285">
        <f>R245</f>
        <v>0</v>
      </c>
    </row>
    <row r="287" spans="1:18">
      <c r="A287" s="268"/>
      <c r="B287" s="288"/>
      <c r="C287" s="13"/>
      <c r="D287" s="13"/>
      <c r="E287" s="13"/>
      <c r="F287" s="13"/>
      <c r="G287" s="13"/>
      <c r="H287" s="292"/>
      <c r="I287" s="13"/>
      <c r="J287" s="13"/>
      <c r="K287" s="13"/>
      <c r="L287" s="13"/>
      <c r="M287" s="113"/>
      <c r="N287" s="13"/>
      <c r="O287" s="13"/>
      <c r="P287" s="13"/>
      <c r="Q287" s="13"/>
      <c r="R287" s="113"/>
    </row>
    <row r="288" spans="1:18">
      <c r="A288" s="270" t="s">
        <v>244</v>
      </c>
      <c r="B288" s="291"/>
      <c r="C288" s="39"/>
      <c r="D288" s="39"/>
      <c r="E288" s="39"/>
      <c r="F288" s="39"/>
      <c r="G288" s="39"/>
      <c r="H288" s="285"/>
      <c r="I288" s="39"/>
      <c r="J288" s="39"/>
      <c r="K288" s="39"/>
      <c r="L288" s="39"/>
      <c r="M288" s="292"/>
      <c r="N288" s="39"/>
      <c r="O288" s="39"/>
      <c r="P288" s="39"/>
      <c r="Q288" s="39"/>
      <c r="R288" s="292"/>
    </row>
    <row r="289" spans="1:18">
      <c r="A289" s="265" t="s">
        <v>68</v>
      </c>
      <c r="B289" s="284"/>
      <c r="C289" s="251" t="str">
        <f t="shared" ref="C289:C300" si="110">IF(B289=0,"-",3600/B289)</f>
        <v>-</v>
      </c>
      <c r="D289" s="259" t="str">
        <f t="shared" ref="D289:D300" si="111">IFERROR((H288/C289),"-")</f>
        <v>-</v>
      </c>
      <c r="E289" s="251">
        <f t="shared" ref="E289:E300" si="112">IFERROR(ROUNDUP(D289/0.95,0.999),0)</f>
        <v>0</v>
      </c>
      <c r="F289" s="252" t="str">
        <f t="shared" ref="F289:F300" si="113">IFERROR((H288/C289/E289),"-")</f>
        <v>-</v>
      </c>
      <c r="G289" s="37"/>
      <c r="H289" s="285"/>
      <c r="I289" s="259" t="str">
        <f t="shared" ref="I289:I300" si="114">IFERROR((M289/C289),"-")</f>
        <v>-</v>
      </c>
      <c r="J289" s="251">
        <f t="shared" ref="J289:J300" si="115">IFERROR(ROUNDUP(I289/0.95,0.999),0)</f>
        <v>0</v>
      </c>
      <c r="K289" s="252" t="str">
        <f t="shared" ref="K289:K300" si="116">IFERROR((M289/C289/J289),"-")</f>
        <v>-</v>
      </c>
      <c r="L289" s="37"/>
      <c r="M289" s="285"/>
      <c r="N289" s="259" t="str">
        <f t="shared" ref="N289:N300" si="117">IFERROR((R289/C289),"-")</f>
        <v>-</v>
      </c>
      <c r="O289" s="251">
        <f t="shared" ref="O289:O300" si="118">IFERROR(ROUNDUP(N289/0.95,0.999),0)</f>
        <v>0</v>
      </c>
      <c r="P289" s="252" t="str">
        <f t="shared" ref="P289:P300" si="119">IFERROR((R289/C289/O289),"-")</f>
        <v>-</v>
      </c>
      <c r="Q289" s="37"/>
      <c r="R289" s="285"/>
    </row>
    <row r="290" spans="1:18">
      <c r="A290" s="265" t="s">
        <v>327</v>
      </c>
      <c r="B290" s="284"/>
      <c r="C290" s="251" t="str">
        <f t="shared" si="110"/>
        <v>-</v>
      </c>
      <c r="D290" s="259" t="str">
        <f t="shared" si="111"/>
        <v>-</v>
      </c>
      <c r="E290" s="251">
        <f t="shared" si="112"/>
        <v>0</v>
      </c>
      <c r="F290" s="252" t="str">
        <f t="shared" si="113"/>
        <v>-</v>
      </c>
      <c r="G290" s="37"/>
      <c r="H290" s="285"/>
      <c r="I290" s="259" t="str">
        <f t="shared" si="114"/>
        <v>-</v>
      </c>
      <c r="J290" s="251">
        <f t="shared" si="115"/>
        <v>0</v>
      </c>
      <c r="K290" s="252" t="str">
        <f t="shared" si="116"/>
        <v>-</v>
      </c>
      <c r="L290" s="37"/>
      <c r="M290" s="285"/>
      <c r="N290" s="259" t="str">
        <f t="shared" si="117"/>
        <v>-</v>
      </c>
      <c r="O290" s="251">
        <f t="shared" si="118"/>
        <v>0</v>
      </c>
      <c r="P290" s="252" t="str">
        <f t="shared" si="119"/>
        <v>-</v>
      </c>
      <c r="Q290" s="37"/>
      <c r="R290" s="285"/>
    </row>
    <row r="291" spans="1:18">
      <c r="A291" s="265" t="s">
        <v>196</v>
      </c>
      <c r="B291" s="284"/>
      <c r="C291" s="251" t="str">
        <f t="shared" si="110"/>
        <v>-</v>
      </c>
      <c r="D291" s="259" t="str">
        <f t="shared" si="111"/>
        <v>-</v>
      </c>
      <c r="E291" s="251">
        <f t="shared" si="112"/>
        <v>0</v>
      </c>
      <c r="F291" s="252" t="str">
        <f t="shared" si="113"/>
        <v>-</v>
      </c>
      <c r="G291" s="37"/>
      <c r="H291" s="285"/>
      <c r="I291" s="259" t="str">
        <f t="shared" si="114"/>
        <v>-</v>
      </c>
      <c r="J291" s="251">
        <f t="shared" si="115"/>
        <v>0</v>
      </c>
      <c r="K291" s="252" t="str">
        <f t="shared" si="116"/>
        <v>-</v>
      </c>
      <c r="L291" s="37"/>
      <c r="M291" s="285"/>
      <c r="N291" s="259" t="str">
        <f t="shared" si="117"/>
        <v>-</v>
      </c>
      <c r="O291" s="251">
        <f t="shared" si="118"/>
        <v>0</v>
      </c>
      <c r="P291" s="252" t="str">
        <f t="shared" si="119"/>
        <v>-</v>
      </c>
      <c r="Q291" s="37"/>
      <c r="R291" s="285"/>
    </row>
    <row r="292" spans="1:18">
      <c r="A292" s="265" t="s">
        <v>197</v>
      </c>
      <c r="B292" s="284"/>
      <c r="C292" s="251" t="str">
        <f t="shared" si="110"/>
        <v>-</v>
      </c>
      <c r="D292" s="259" t="str">
        <f t="shared" si="111"/>
        <v>-</v>
      </c>
      <c r="E292" s="251">
        <f t="shared" si="112"/>
        <v>0</v>
      </c>
      <c r="F292" s="252" t="str">
        <f t="shared" si="113"/>
        <v>-</v>
      </c>
      <c r="G292" s="37"/>
      <c r="H292" s="285"/>
      <c r="I292" s="259" t="str">
        <f t="shared" si="114"/>
        <v>-</v>
      </c>
      <c r="J292" s="251">
        <f t="shared" si="115"/>
        <v>0</v>
      </c>
      <c r="K292" s="252" t="str">
        <f t="shared" si="116"/>
        <v>-</v>
      </c>
      <c r="L292" s="37"/>
      <c r="M292" s="285"/>
      <c r="N292" s="259" t="str">
        <f t="shared" si="117"/>
        <v>-</v>
      </c>
      <c r="O292" s="251">
        <f t="shared" si="118"/>
        <v>0</v>
      </c>
      <c r="P292" s="252" t="str">
        <f t="shared" si="119"/>
        <v>-</v>
      </c>
      <c r="Q292" s="37"/>
      <c r="R292" s="285"/>
    </row>
    <row r="293" spans="1:18">
      <c r="A293" s="265" t="s">
        <v>198</v>
      </c>
      <c r="B293" s="284"/>
      <c r="C293" s="251" t="str">
        <f t="shared" si="110"/>
        <v>-</v>
      </c>
      <c r="D293" s="259" t="str">
        <f t="shared" si="111"/>
        <v>-</v>
      </c>
      <c r="E293" s="251">
        <f t="shared" si="112"/>
        <v>0</v>
      </c>
      <c r="F293" s="252" t="str">
        <f t="shared" si="113"/>
        <v>-</v>
      </c>
      <c r="G293" s="37"/>
      <c r="H293" s="285"/>
      <c r="I293" s="259" t="str">
        <f t="shared" si="114"/>
        <v>-</v>
      </c>
      <c r="J293" s="251">
        <f t="shared" si="115"/>
        <v>0</v>
      </c>
      <c r="K293" s="252" t="str">
        <f t="shared" si="116"/>
        <v>-</v>
      </c>
      <c r="L293" s="37"/>
      <c r="M293" s="285"/>
      <c r="N293" s="259" t="str">
        <f t="shared" si="117"/>
        <v>-</v>
      </c>
      <c r="O293" s="251">
        <f t="shared" si="118"/>
        <v>0</v>
      </c>
      <c r="P293" s="252" t="str">
        <f t="shared" si="119"/>
        <v>-</v>
      </c>
      <c r="Q293" s="37"/>
      <c r="R293" s="285"/>
    </row>
    <row r="294" spans="1:18">
      <c r="A294" s="265" t="s">
        <v>199</v>
      </c>
      <c r="B294" s="284"/>
      <c r="C294" s="251" t="str">
        <f t="shared" si="110"/>
        <v>-</v>
      </c>
      <c r="D294" s="259" t="str">
        <f t="shared" si="111"/>
        <v>-</v>
      </c>
      <c r="E294" s="251">
        <f t="shared" si="112"/>
        <v>0</v>
      </c>
      <c r="F294" s="252" t="str">
        <f t="shared" si="113"/>
        <v>-</v>
      </c>
      <c r="G294" s="37"/>
      <c r="H294" s="285"/>
      <c r="I294" s="259" t="str">
        <f t="shared" si="114"/>
        <v>-</v>
      </c>
      <c r="J294" s="251">
        <f t="shared" si="115"/>
        <v>0</v>
      </c>
      <c r="K294" s="252" t="str">
        <f t="shared" si="116"/>
        <v>-</v>
      </c>
      <c r="L294" s="37"/>
      <c r="M294" s="285"/>
      <c r="N294" s="259" t="str">
        <f t="shared" si="117"/>
        <v>-</v>
      </c>
      <c r="O294" s="251">
        <f t="shared" si="118"/>
        <v>0</v>
      </c>
      <c r="P294" s="252" t="str">
        <f t="shared" si="119"/>
        <v>-</v>
      </c>
      <c r="Q294" s="37"/>
      <c r="R294" s="285"/>
    </row>
    <row r="295" spans="1:18">
      <c r="A295" s="265" t="s">
        <v>200</v>
      </c>
      <c r="B295" s="284"/>
      <c r="C295" s="251" t="str">
        <f t="shared" si="110"/>
        <v>-</v>
      </c>
      <c r="D295" s="259" t="str">
        <f t="shared" si="111"/>
        <v>-</v>
      </c>
      <c r="E295" s="251">
        <f t="shared" si="112"/>
        <v>0</v>
      </c>
      <c r="F295" s="252" t="str">
        <f t="shared" si="113"/>
        <v>-</v>
      </c>
      <c r="G295" s="37"/>
      <c r="H295" s="285"/>
      <c r="I295" s="259" t="str">
        <f t="shared" si="114"/>
        <v>-</v>
      </c>
      <c r="J295" s="251">
        <f t="shared" si="115"/>
        <v>0</v>
      </c>
      <c r="K295" s="252" t="str">
        <f t="shared" si="116"/>
        <v>-</v>
      </c>
      <c r="L295" s="37"/>
      <c r="M295" s="285"/>
      <c r="N295" s="259" t="str">
        <f t="shared" si="117"/>
        <v>-</v>
      </c>
      <c r="O295" s="251">
        <f t="shared" si="118"/>
        <v>0</v>
      </c>
      <c r="P295" s="252" t="str">
        <f t="shared" si="119"/>
        <v>-</v>
      </c>
      <c r="Q295" s="37"/>
      <c r="R295" s="285"/>
    </row>
    <row r="296" spans="1:18">
      <c r="A296" s="265" t="s">
        <v>201</v>
      </c>
      <c r="B296" s="284"/>
      <c r="C296" s="251" t="str">
        <f t="shared" si="110"/>
        <v>-</v>
      </c>
      <c r="D296" s="259" t="str">
        <f t="shared" si="111"/>
        <v>-</v>
      </c>
      <c r="E296" s="251">
        <f t="shared" si="112"/>
        <v>0</v>
      </c>
      <c r="F296" s="252" t="str">
        <f t="shared" si="113"/>
        <v>-</v>
      </c>
      <c r="G296" s="37"/>
      <c r="H296" s="285"/>
      <c r="I296" s="259" t="str">
        <f t="shared" si="114"/>
        <v>-</v>
      </c>
      <c r="J296" s="251">
        <f t="shared" si="115"/>
        <v>0</v>
      </c>
      <c r="K296" s="252" t="str">
        <f t="shared" si="116"/>
        <v>-</v>
      </c>
      <c r="L296" s="37"/>
      <c r="M296" s="285"/>
      <c r="N296" s="259" t="str">
        <f t="shared" si="117"/>
        <v>-</v>
      </c>
      <c r="O296" s="251">
        <f t="shared" si="118"/>
        <v>0</v>
      </c>
      <c r="P296" s="252" t="str">
        <f t="shared" si="119"/>
        <v>-</v>
      </c>
      <c r="Q296" s="37"/>
      <c r="R296" s="285"/>
    </row>
    <row r="297" spans="1:18">
      <c r="A297" s="265" t="s">
        <v>202</v>
      </c>
      <c r="B297" s="284"/>
      <c r="C297" s="251" t="str">
        <f t="shared" si="110"/>
        <v>-</v>
      </c>
      <c r="D297" s="259" t="str">
        <f t="shared" si="111"/>
        <v>-</v>
      </c>
      <c r="E297" s="251">
        <f t="shared" si="112"/>
        <v>0</v>
      </c>
      <c r="F297" s="252" t="str">
        <f t="shared" si="113"/>
        <v>-</v>
      </c>
      <c r="G297" s="37"/>
      <c r="H297" s="285"/>
      <c r="I297" s="259" t="str">
        <f t="shared" si="114"/>
        <v>-</v>
      </c>
      <c r="J297" s="251">
        <f t="shared" si="115"/>
        <v>0</v>
      </c>
      <c r="K297" s="252" t="str">
        <f t="shared" si="116"/>
        <v>-</v>
      </c>
      <c r="L297" s="37"/>
      <c r="M297" s="285"/>
      <c r="N297" s="259" t="str">
        <f t="shared" si="117"/>
        <v>-</v>
      </c>
      <c r="O297" s="251">
        <f t="shared" si="118"/>
        <v>0</v>
      </c>
      <c r="P297" s="252" t="str">
        <f t="shared" si="119"/>
        <v>-</v>
      </c>
      <c r="Q297" s="37"/>
      <c r="R297" s="285"/>
    </row>
    <row r="298" spans="1:18">
      <c r="A298" s="265" t="s">
        <v>69</v>
      </c>
      <c r="B298" s="284"/>
      <c r="C298" s="251" t="str">
        <f t="shared" si="110"/>
        <v>-</v>
      </c>
      <c r="D298" s="259" t="str">
        <f t="shared" si="111"/>
        <v>-</v>
      </c>
      <c r="E298" s="251">
        <f t="shared" si="112"/>
        <v>0</v>
      </c>
      <c r="F298" s="252" t="str">
        <f t="shared" si="113"/>
        <v>-</v>
      </c>
      <c r="G298" s="37"/>
      <c r="H298" s="285"/>
      <c r="I298" s="259" t="str">
        <f t="shared" si="114"/>
        <v>-</v>
      </c>
      <c r="J298" s="251">
        <f t="shared" si="115"/>
        <v>0</v>
      </c>
      <c r="K298" s="252" t="str">
        <f t="shared" si="116"/>
        <v>-</v>
      </c>
      <c r="L298" s="37"/>
      <c r="M298" s="285"/>
      <c r="N298" s="259" t="str">
        <f t="shared" si="117"/>
        <v>-</v>
      </c>
      <c r="O298" s="251">
        <f t="shared" si="118"/>
        <v>0</v>
      </c>
      <c r="P298" s="252" t="str">
        <f t="shared" si="119"/>
        <v>-</v>
      </c>
      <c r="Q298" s="37"/>
      <c r="R298" s="285"/>
    </row>
    <row r="299" spans="1:18">
      <c r="A299" s="265" t="s">
        <v>170</v>
      </c>
      <c r="B299" s="284"/>
      <c r="C299" s="251" t="str">
        <f t="shared" si="110"/>
        <v>-</v>
      </c>
      <c r="D299" s="259" t="str">
        <f t="shared" si="111"/>
        <v>-</v>
      </c>
      <c r="E299" s="251">
        <f t="shared" si="112"/>
        <v>0</v>
      </c>
      <c r="F299" s="252" t="str">
        <f t="shared" si="113"/>
        <v>-</v>
      </c>
      <c r="G299" s="37"/>
      <c r="H299" s="285"/>
      <c r="I299" s="259" t="str">
        <f t="shared" si="114"/>
        <v>-</v>
      </c>
      <c r="J299" s="251">
        <f t="shared" si="115"/>
        <v>0</v>
      </c>
      <c r="K299" s="252" t="str">
        <f t="shared" si="116"/>
        <v>-</v>
      </c>
      <c r="L299" s="37"/>
      <c r="M299" s="285"/>
      <c r="N299" s="259" t="str">
        <f t="shared" si="117"/>
        <v>-</v>
      </c>
      <c r="O299" s="251">
        <f t="shared" si="118"/>
        <v>0</v>
      </c>
      <c r="P299" s="252" t="str">
        <f t="shared" si="119"/>
        <v>-</v>
      </c>
      <c r="Q299" s="37"/>
      <c r="R299" s="285"/>
    </row>
    <row r="300" spans="1:18">
      <c r="A300" s="265" t="s">
        <v>598</v>
      </c>
      <c r="B300" s="284"/>
      <c r="C300" s="251" t="str">
        <f t="shared" si="110"/>
        <v>-</v>
      </c>
      <c r="D300" s="259" t="str">
        <f t="shared" si="111"/>
        <v>-</v>
      </c>
      <c r="E300" s="251">
        <f t="shared" si="112"/>
        <v>0</v>
      </c>
      <c r="F300" s="252" t="str">
        <f t="shared" si="113"/>
        <v>-</v>
      </c>
      <c r="G300" s="37"/>
      <c r="H300" s="113"/>
      <c r="I300" s="259" t="str">
        <f t="shared" si="114"/>
        <v>-</v>
      </c>
      <c r="J300" s="251">
        <f t="shared" si="115"/>
        <v>0</v>
      </c>
      <c r="K300" s="252" t="str">
        <f t="shared" si="116"/>
        <v>-</v>
      </c>
      <c r="L300" s="37"/>
      <c r="M300" s="285"/>
      <c r="N300" s="259" t="str">
        <f t="shared" si="117"/>
        <v>-</v>
      </c>
      <c r="O300" s="251">
        <f t="shared" si="118"/>
        <v>0</v>
      </c>
      <c r="P300" s="252" t="str">
        <f t="shared" si="119"/>
        <v>-</v>
      </c>
      <c r="Q300" s="37"/>
      <c r="R300" s="285"/>
    </row>
    <row r="301" spans="1:18">
      <c r="A301" s="268"/>
      <c r="B301" s="288"/>
      <c r="C301" s="13"/>
      <c r="D301" s="13"/>
      <c r="E301" s="13"/>
      <c r="F301" s="13"/>
      <c r="G301" s="13"/>
      <c r="H301" s="290"/>
      <c r="I301" s="13"/>
      <c r="J301" s="13"/>
      <c r="K301" s="13"/>
      <c r="L301" s="13"/>
      <c r="M301" s="113"/>
      <c r="N301" s="13"/>
      <c r="O301" s="13"/>
      <c r="P301" s="13"/>
      <c r="Q301" s="13"/>
      <c r="R301" s="113"/>
    </row>
    <row r="302" spans="1:18">
      <c r="A302" s="269" t="s">
        <v>723</v>
      </c>
      <c r="B302" s="289"/>
      <c r="C302" s="36"/>
      <c r="D302" s="36"/>
      <c r="E302" s="36"/>
      <c r="F302" s="36"/>
      <c r="G302" s="36"/>
      <c r="H302" s="113"/>
      <c r="I302" s="36"/>
      <c r="J302" s="36"/>
      <c r="K302" s="36"/>
      <c r="L302" s="36"/>
      <c r="M302" s="290"/>
      <c r="N302" s="36"/>
      <c r="O302" s="36"/>
      <c r="P302" s="36"/>
      <c r="Q302" s="36"/>
      <c r="R302" s="290"/>
    </row>
    <row r="303" spans="1:18">
      <c r="A303" s="268"/>
      <c r="B303" s="288"/>
      <c r="C303" s="13"/>
      <c r="D303" s="13"/>
      <c r="E303" s="13"/>
      <c r="F303" s="13"/>
      <c r="G303" s="13"/>
      <c r="H303" s="113"/>
      <c r="I303" s="13"/>
      <c r="J303" s="13"/>
      <c r="K303" s="13"/>
      <c r="L303" s="13"/>
      <c r="M303" s="113"/>
      <c r="N303" s="13"/>
      <c r="O303" s="13"/>
      <c r="P303" s="13"/>
      <c r="Q303" s="13"/>
      <c r="R303" s="113"/>
    </row>
    <row r="304" spans="1:18">
      <c r="A304" s="268"/>
      <c r="B304" s="288"/>
      <c r="C304" s="13"/>
      <c r="D304" s="13"/>
      <c r="E304" s="13"/>
      <c r="F304" s="13"/>
      <c r="G304" s="13"/>
      <c r="H304" s="113"/>
      <c r="I304" s="13"/>
      <c r="J304" s="13"/>
      <c r="K304" s="13"/>
      <c r="L304" s="13"/>
      <c r="M304" s="113"/>
      <c r="N304" s="13"/>
      <c r="O304" s="13"/>
      <c r="P304" s="13"/>
      <c r="Q304" s="13"/>
      <c r="R304" s="113"/>
    </row>
    <row r="305" spans="1:18">
      <c r="A305" s="268"/>
      <c r="B305" s="288"/>
      <c r="C305" s="13"/>
      <c r="D305" s="13"/>
      <c r="E305" s="13"/>
      <c r="F305" s="13"/>
      <c r="G305" s="13"/>
      <c r="H305" s="113"/>
      <c r="I305" s="13"/>
      <c r="J305" s="13"/>
      <c r="K305" s="13"/>
      <c r="L305" s="13"/>
      <c r="M305" s="113"/>
      <c r="N305" s="13"/>
      <c r="O305" s="13"/>
      <c r="P305" s="13"/>
      <c r="Q305" s="13"/>
      <c r="R305" s="113"/>
    </row>
    <row r="306" spans="1:18">
      <c r="A306" s="268"/>
      <c r="B306" s="288"/>
      <c r="C306" s="13"/>
      <c r="D306" s="13"/>
      <c r="E306" s="13"/>
      <c r="F306" s="13"/>
      <c r="G306" s="13"/>
      <c r="H306" s="113"/>
      <c r="I306" s="13"/>
      <c r="J306" s="13"/>
      <c r="K306" s="13"/>
      <c r="L306" s="13"/>
      <c r="M306" s="113"/>
      <c r="N306" s="13"/>
      <c r="O306" s="13"/>
      <c r="P306" s="13"/>
      <c r="Q306" s="13"/>
      <c r="R306" s="113"/>
    </row>
    <row r="307" spans="1:18">
      <c r="A307" s="268"/>
      <c r="B307" s="288"/>
      <c r="C307" s="13"/>
      <c r="D307" s="13"/>
      <c r="E307" s="13"/>
      <c r="F307" s="13"/>
      <c r="G307" s="13"/>
      <c r="H307" s="113"/>
      <c r="I307" s="13"/>
      <c r="J307" s="13"/>
      <c r="K307" s="13"/>
      <c r="L307" s="13"/>
      <c r="M307" s="113"/>
      <c r="N307" s="13"/>
      <c r="O307" s="13"/>
      <c r="P307" s="13"/>
      <c r="Q307" s="13"/>
      <c r="R307" s="113"/>
    </row>
    <row r="308" spans="1:18">
      <c r="A308" s="268"/>
      <c r="B308" s="288"/>
      <c r="C308" s="13"/>
      <c r="D308" s="13"/>
      <c r="E308" s="13"/>
      <c r="F308" s="13"/>
      <c r="G308" s="13"/>
      <c r="I308" s="13"/>
      <c r="J308" s="13"/>
      <c r="K308" s="13"/>
      <c r="L308" s="13"/>
      <c r="M308" s="113"/>
      <c r="N308" s="13"/>
      <c r="O308" s="13"/>
      <c r="P308" s="13"/>
      <c r="Q308" s="13"/>
      <c r="R308" s="113"/>
    </row>
    <row r="309" spans="1:18">
      <c r="A309" s="264" t="s">
        <v>235</v>
      </c>
      <c r="B309" s="282"/>
      <c r="C309" s="40"/>
      <c r="D309" s="40"/>
      <c r="E309" s="40"/>
      <c r="F309" s="40"/>
      <c r="G309" s="40"/>
      <c r="H309" s="283"/>
      <c r="I309" s="40"/>
      <c r="J309" s="40"/>
      <c r="K309" s="40"/>
      <c r="L309" s="40"/>
      <c r="M309" s="283"/>
      <c r="N309" s="40"/>
      <c r="O309" s="40"/>
      <c r="P309" s="40"/>
      <c r="Q309" s="40"/>
      <c r="R309" s="283"/>
    </row>
    <row r="310" spans="1:18">
      <c r="A310" s="268" t="s">
        <v>17</v>
      </c>
      <c r="B310" s="288"/>
      <c r="C310" s="13"/>
      <c r="D310" s="13"/>
      <c r="E310" s="13"/>
      <c r="F310" s="13"/>
      <c r="G310" s="13"/>
      <c r="H310" s="113"/>
      <c r="I310" s="13"/>
      <c r="J310" s="13"/>
      <c r="K310" s="13"/>
      <c r="L310" s="13"/>
      <c r="M310" s="113"/>
      <c r="N310" s="13"/>
      <c r="O310" s="13"/>
      <c r="P310" s="13"/>
      <c r="Q310" s="13"/>
      <c r="R310" s="113"/>
    </row>
    <row r="311" spans="1:18">
      <c r="A311" s="268" t="s">
        <v>18</v>
      </c>
      <c r="B311" s="288"/>
      <c r="C311" s="13"/>
      <c r="D311" s="13"/>
      <c r="E311" s="13"/>
      <c r="F311" s="13"/>
      <c r="G311" s="13"/>
      <c r="H311" s="113"/>
      <c r="I311" s="13"/>
      <c r="J311" s="13"/>
      <c r="K311" s="13"/>
      <c r="L311" s="13"/>
      <c r="M311" s="113"/>
      <c r="N311" s="13"/>
      <c r="O311" s="13"/>
      <c r="P311" s="13"/>
      <c r="Q311" s="13"/>
      <c r="R311" s="113"/>
    </row>
    <row r="312" spans="1:18">
      <c r="A312" s="268"/>
      <c r="B312" s="288"/>
      <c r="C312" s="13"/>
      <c r="D312" s="13"/>
      <c r="E312" s="13"/>
      <c r="F312" s="13"/>
      <c r="G312" s="13"/>
      <c r="H312" s="113"/>
      <c r="I312" s="13"/>
      <c r="J312" s="13"/>
      <c r="K312" s="13"/>
      <c r="L312" s="13"/>
      <c r="M312" s="113"/>
      <c r="N312" s="13"/>
      <c r="O312" s="13"/>
      <c r="P312" s="13"/>
      <c r="Q312" s="13"/>
      <c r="R312" s="113"/>
    </row>
    <row r="313" spans="1:18">
      <c r="A313" s="263" t="s">
        <v>328</v>
      </c>
      <c r="B313" s="280"/>
      <c r="C313" s="35"/>
      <c r="D313" s="35"/>
      <c r="E313" s="35"/>
      <c r="F313" s="35"/>
      <c r="G313" s="35"/>
      <c r="H313" s="281"/>
      <c r="I313" s="35"/>
      <c r="J313" s="35"/>
      <c r="K313" s="35"/>
      <c r="L313" s="35"/>
      <c r="M313" s="281"/>
      <c r="N313" s="35"/>
      <c r="O313" s="35"/>
      <c r="P313" s="35"/>
      <c r="Q313" s="35"/>
      <c r="R313" s="281"/>
    </row>
    <row r="314" spans="1:18">
      <c r="A314" s="264" t="s">
        <v>714</v>
      </c>
      <c r="B314" s="282"/>
      <c r="C314" s="40"/>
      <c r="D314" s="40"/>
      <c r="E314" s="40"/>
      <c r="F314" s="40"/>
      <c r="G314" s="40"/>
      <c r="H314" s="283"/>
      <c r="I314" s="40"/>
      <c r="J314" s="40"/>
      <c r="K314" s="40"/>
      <c r="L314" s="40"/>
      <c r="M314" s="283"/>
      <c r="N314" s="40"/>
      <c r="O314" s="40"/>
      <c r="P314" s="40"/>
      <c r="Q314" s="40"/>
      <c r="R314" s="283"/>
    </row>
    <row r="315" spans="1:18">
      <c r="A315" s="264" t="s">
        <v>329</v>
      </c>
      <c r="B315" s="282"/>
      <c r="C315" s="40"/>
      <c r="D315" s="40"/>
      <c r="E315" s="40"/>
      <c r="F315" s="40"/>
      <c r="G315" s="40"/>
      <c r="H315" s="283"/>
      <c r="I315" s="40"/>
      <c r="J315" s="40"/>
      <c r="K315" s="40"/>
      <c r="L315" s="40"/>
      <c r="M315" s="283"/>
      <c r="N315" s="40"/>
      <c r="O315" s="40"/>
      <c r="P315" s="40"/>
      <c r="Q315" s="40"/>
      <c r="R315" s="283"/>
    </row>
    <row r="316" spans="1:18">
      <c r="A316" s="265" t="s">
        <v>601</v>
      </c>
      <c r="B316" s="284"/>
      <c r="C316" s="251" t="str">
        <f>IF(B316=0,"-",3600/B316)</f>
        <v>-</v>
      </c>
      <c r="D316" s="259" t="str">
        <f>IFERROR((H316/C316),"-")</f>
        <v>-</v>
      </c>
      <c r="E316" s="251">
        <f>IFERROR(ROUNDUP(D316/0.95,0.999),0)</f>
        <v>0</v>
      </c>
      <c r="F316" s="252" t="str">
        <f t="shared" ref="F316:F326" si="120">IFERROR((H316/C316/E316),"-")</f>
        <v>-</v>
      </c>
      <c r="G316" s="37"/>
      <c r="H316" s="285"/>
      <c r="I316" s="259" t="str">
        <f>IFERROR((M316/C316),"-")</f>
        <v>-</v>
      </c>
      <c r="J316" s="251">
        <f>IFERROR(ROUNDUP(I316/0.95,0.999),0)</f>
        <v>0</v>
      </c>
      <c r="K316" s="252" t="str">
        <f t="shared" ref="K316:K325" si="121">IFERROR((M316/C316/J316),"-")</f>
        <v>-</v>
      </c>
      <c r="L316" s="37"/>
      <c r="M316" s="285"/>
      <c r="N316" s="259" t="str">
        <f>IFERROR((R316/C316),"-")</f>
        <v>-</v>
      </c>
      <c r="O316" s="251">
        <f>IFERROR(ROUNDUP(N316/0.95,0.999),0)</f>
        <v>0</v>
      </c>
      <c r="P316" s="252" t="str">
        <f>IFERROR((R316/C316/O316),"-")</f>
        <v>-</v>
      </c>
      <c r="Q316" s="37"/>
      <c r="R316" s="285"/>
    </row>
    <row r="317" spans="1:18">
      <c r="A317" s="265" t="s">
        <v>600</v>
      </c>
      <c r="B317" s="284">
        <v>1.2</v>
      </c>
      <c r="C317" s="251">
        <f>IF(B317=0,"-",3600/B317)</f>
        <v>3000</v>
      </c>
      <c r="D317" s="259">
        <f>IFERROR((H317/C317/Preencher!$B$97),"-")</f>
        <v>0.8</v>
      </c>
      <c r="E317" s="251">
        <f>IFERROR(ROUNDUP(D317/0.95,0.999),0)*Preencher!$B$97</f>
        <v>2</v>
      </c>
      <c r="F317" s="252">
        <f t="shared" si="120"/>
        <v>0.8</v>
      </c>
      <c r="G317" s="37"/>
      <c r="H317" s="285">
        <f>Preencher!$B$96</f>
        <v>4800</v>
      </c>
      <c r="I317" s="259" t="str">
        <f>IFERROR((M317/C317/Preencher!$C$97),"-")</f>
        <v>-</v>
      </c>
      <c r="J317" s="334">
        <f>IFERROR(ROUNDUP(I317/0.95,0.999),0)*Preencher!$C$97</f>
        <v>0</v>
      </c>
      <c r="K317" s="335" t="str">
        <f t="shared" si="121"/>
        <v>-</v>
      </c>
      <c r="L317" s="37"/>
      <c r="M317" s="285">
        <f>Preencher!$C$96</f>
        <v>0</v>
      </c>
      <c r="N317" s="259" t="str">
        <f>IFERROR((R317/C317/Preencher!$D$97),"-")</f>
        <v>-</v>
      </c>
      <c r="O317" s="334">
        <f>IFERROR(ROUNDUP(N317/0.95,0.999),0)*Preencher!$D$97</f>
        <v>0</v>
      </c>
      <c r="P317" s="335" t="str">
        <f t="shared" ref="P317:P325" si="122">IFERROR((R317/C317/O317),"-")</f>
        <v>-</v>
      </c>
      <c r="Q317" s="37"/>
      <c r="R317" s="285">
        <f>Preencher!$D$96</f>
        <v>0</v>
      </c>
    </row>
    <row r="318" spans="1:18">
      <c r="A318" s="265" t="s">
        <v>602</v>
      </c>
      <c r="B318" s="284">
        <f>1.07-1.07</f>
        <v>0</v>
      </c>
      <c r="C318" s="328" t="str">
        <f t="shared" ref="C318:C323" si="123">IF(B318=0,"-",3600/B318)</f>
        <v>-</v>
      </c>
      <c r="D318" s="259" t="str">
        <f>IFERROR((H318/C318/G318),"-")</f>
        <v>-</v>
      </c>
      <c r="E318" s="328">
        <f>IFERROR(ROUNDUP(D318/0.95,0.999),0)*G318</f>
        <v>0</v>
      </c>
      <c r="F318" s="329" t="str">
        <f t="shared" si="120"/>
        <v>-</v>
      </c>
      <c r="G318" s="93">
        <f>IF(OR(Preencher!$B$92=Preencher!$O$97,Preencher!$B$92,Preencher!$O$98),(ROUNDUP(IFERROR(H318/60/IF(Preencher!$B$97&gt;0,Preencher!$B$96/Preencher!$B$97/60,Preencher!$B$96/Preencher!$B$97/60),0),0)),Preencher!$B$97)</f>
        <v>2</v>
      </c>
      <c r="H318" s="285">
        <f>IF(Preencher!$B$93&lt;Preencher!$E$94,0,IF(OR(Preencher!$B$92=Preencher!$O$97,Preencher!$B$92=Preencher!$O$98),Preencher!$B$96-Preencher!$E$94,Preencher!$B$96))+H320</f>
        <v>4800</v>
      </c>
      <c r="I318" s="259" t="str">
        <f>IFERROR((M318/C318/L318),"-")</f>
        <v>-</v>
      </c>
      <c r="J318" s="334">
        <f>IFERROR(ROUNDUP(I318/0.95,0.999),0)*L318</f>
        <v>0</v>
      </c>
      <c r="K318" s="335" t="str">
        <f t="shared" si="121"/>
        <v>-</v>
      </c>
      <c r="L318" s="93">
        <f>IF(OR(Preencher!$C$92=Preencher!$O$97,Preencher!$C$92,Preencher!$O$98),(ROUNDUP(IFERROR(M318/60/IF(Preencher!$C$97&gt;0,Preencher!$C$96/Preencher!$C$97/60,Preencher!$C$96/Preencher!$C$98/60),0),0)),Preencher!$C$97)</f>
        <v>0</v>
      </c>
      <c r="M318" s="285">
        <f>IF(Preencher!$C$93&lt;Preencher!$E$94,0,IF(OR(Preencher!$C$92=Preencher!$O$97,Preencher!$C$92=Preencher!$O$98),Preencher!$C$96-Preencher!$E$94,Preencher!$C$96))+M320</f>
        <v>0</v>
      </c>
      <c r="N318" s="259" t="str">
        <f>IFERROR((R318/C318/Q318),"-")</f>
        <v>-</v>
      </c>
      <c r="O318" s="334">
        <f>IFERROR(ROUNDUP(N318/0.95,0.999),0)*Q318</f>
        <v>0</v>
      </c>
      <c r="P318" s="335" t="str">
        <f t="shared" si="122"/>
        <v>-</v>
      </c>
      <c r="Q318" s="93">
        <f>IF(OR(Preencher!$C$92=Preencher!$O$97,Preencher!$D$92,Preencher!$O$98),(ROUNDUP(IFERROR(R318/60/IF(Preencher!$D$97&gt;0,Preencher!$D$96/Preencher!$D$97/60,Preencher!$D$96/Preencher!$D$98/60),0),0)),Preencher!$D$97)</f>
        <v>0</v>
      </c>
      <c r="R318" s="285">
        <f>IF(Preencher!$D$93&lt;Preencher!$E$94,0,IF(OR(Preencher!$D$92=Preencher!$O$97,Preencher!$D$92=Preencher!$O$98),Preencher!$D$96-Preencher!$E$94,Preencher!$D$96))</f>
        <v>0</v>
      </c>
    </row>
    <row r="319" spans="1:18">
      <c r="A319" s="265" t="s">
        <v>603</v>
      </c>
      <c r="B319" s="284">
        <v>6</v>
      </c>
      <c r="C319" s="328">
        <f t="shared" si="123"/>
        <v>600</v>
      </c>
      <c r="D319" s="259" t="str">
        <f>IFERROR((H319/C319/G319),"-")</f>
        <v>-</v>
      </c>
      <c r="E319" s="328">
        <f>IFERROR(ROUNDUP(D319/0.95,0.999),0)*G319</f>
        <v>0</v>
      </c>
      <c r="F319" s="329" t="str">
        <f t="shared" si="120"/>
        <v>-</v>
      </c>
      <c r="G319" s="93">
        <f>IF(OR(Preencher!$B$92=Preencher!$O$97,Preencher!$B$92,Preencher!$O$98),(ROUNDUP(IFERROR(H319/60/IF(Preencher!$B$97&gt;0,Preencher!$B$96/Preencher!$B$97/60,Preencher!$B$96/Preencher!$B$97/60),0),0)),Preencher!$B$97)</f>
        <v>0</v>
      </c>
      <c r="H319" s="285">
        <f>IF(Preencher!$B$93&lt;Preencher!$E$94,0,IF(OR(Preencher!$B$92=Preencher!$O$97,Preencher!$B$92=Preencher!$O$98),Preencher!$B$96-Preencher!$E$94,Preencher!$B$96))</f>
        <v>0</v>
      </c>
      <c r="I319" s="259" t="str">
        <f>IFERROR((M319/C319/L319),"-")</f>
        <v>-</v>
      </c>
      <c r="J319" s="334">
        <f>IFERROR(ROUNDUP(I319/0.95,0.999),0)*L319</f>
        <v>0</v>
      </c>
      <c r="K319" s="335" t="str">
        <f t="shared" si="121"/>
        <v>-</v>
      </c>
      <c r="L319" s="93">
        <f>IF(OR(Preencher!$C$92=Preencher!$O$97,Preencher!$C$92,Preencher!$O$98),(ROUNDUP(IFERROR(M319/60/IF(Preencher!$C$97&gt;0,Preencher!$C$96/Preencher!$C$97/60,Preencher!$C$96/Preencher!$C$98/60),0),0)),Preencher!$C$97)</f>
        <v>0</v>
      </c>
      <c r="M319" s="285">
        <f>IF(Preencher!$C$93&lt;Preencher!$E$94,0,IF(OR(Preencher!$C$92=Preencher!$O$97,Preencher!$C$92=Preencher!$O$98),Preencher!$C$96-Preencher!$E$94,Preencher!$C$96))</f>
        <v>0</v>
      </c>
      <c r="N319" s="259" t="str">
        <f>IFERROR((R319/C319/Q319),"-")</f>
        <v>-</v>
      </c>
      <c r="O319" s="334">
        <f>IFERROR(ROUNDUP(N319/0.95,0.999),0)*Q319</f>
        <v>0</v>
      </c>
      <c r="P319" s="335" t="str">
        <f t="shared" si="122"/>
        <v>-</v>
      </c>
      <c r="Q319" s="93">
        <f>IF(OR(Preencher!$C$92=Preencher!$O$97,Preencher!$D$92,Preencher!$O$98),(ROUNDUP(IFERROR(R319/60/IF(Preencher!$D$97&gt;0,Preencher!$D$96/Preencher!$D$97/60,Preencher!$D$96/Preencher!$D$98/60),0),0)),Preencher!$D$97)</f>
        <v>0</v>
      </c>
      <c r="R319" s="285">
        <f>IF(Preencher!$D$93&lt;Preencher!$E$94,0,IF(OR(Preencher!$D$92=Preencher!$O$97,Preencher!$D$92=Preencher!$O$98),Preencher!$D$96-Preencher!$E$94,Preencher!$D$96))</f>
        <v>0</v>
      </c>
    </row>
    <row r="320" spans="1:18">
      <c r="A320" s="265" t="s">
        <v>604</v>
      </c>
      <c r="B320" s="284">
        <f>IF(Preencher!$B$96&gt;400,5.74,8.58)</f>
        <v>5.74</v>
      </c>
      <c r="C320" s="328">
        <f t="shared" si="123"/>
        <v>627.17770034843204</v>
      </c>
      <c r="D320" s="259">
        <f>IFERROR((H320/C320/Preencher!$B$97/G320),"-")</f>
        <v>1.9133333333333333</v>
      </c>
      <c r="E320" s="328">
        <f>IFERROR(ROUNDUP(D320/0.95,0.999),0)*Preencher!$B$97*G320</f>
        <v>12</v>
      </c>
      <c r="F320" s="329">
        <f t="shared" si="120"/>
        <v>0.63777777777777778</v>
      </c>
      <c r="G320" s="93">
        <f>IF(H320&lt;400,1,2)</f>
        <v>2</v>
      </c>
      <c r="H320" s="285">
        <f>Preencher!$B$96</f>
        <v>4800</v>
      </c>
      <c r="I320" s="259" t="str">
        <f>IFERROR((M320/C320/Preencher!$C$97/L320),"-")</f>
        <v>-</v>
      </c>
      <c r="J320" s="334">
        <f>IFERROR(ROUNDUP(I320/0.95,0.999),0)*Preencher!$C$97*L320</f>
        <v>0</v>
      </c>
      <c r="K320" s="335" t="str">
        <f t="shared" si="121"/>
        <v>-</v>
      </c>
      <c r="L320" s="93">
        <f>IF(M320&lt;400,1,2)</f>
        <v>1</v>
      </c>
      <c r="M320" s="285">
        <f>Preencher!$C$96</f>
        <v>0</v>
      </c>
      <c r="N320" s="259" t="str">
        <f>IFERROR((R320/C320/Preencher!$D$97/Q320),"-")</f>
        <v>-</v>
      </c>
      <c r="O320" s="334">
        <f>IFERROR(ROUNDUP(N320/0.95,0.999),0)*Preencher!$D$97*Q320</f>
        <v>0</v>
      </c>
      <c r="P320" s="335" t="str">
        <f t="shared" si="122"/>
        <v>-</v>
      </c>
      <c r="Q320" s="93">
        <f>IF(R320&lt;400,1,2)</f>
        <v>1</v>
      </c>
      <c r="R320" s="285">
        <f>Preencher!$D$96</f>
        <v>0</v>
      </c>
    </row>
    <row r="321" spans="1:18">
      <c r="A321" s="265" t="s">
        <v>605</v>
      </c>
      <c r="B321" s="284">
        <f>IF(Preencher!$B$96&gt;400,2.84,0)</f>
        <v>2.84</v>
      </c>
      <c r="C321" s="328">
        <f t="shared" si="123"/>
        <v>1267.605633802817</v>
      </c>
      <c r="D321" s="259">
        <f>IFERROR((H321/C321/Preencher!$B$97/G321),"-")</f>
        <v>0.94666666666666655</v>
      </c>
      <c r="E321" s="334">
        <f>IFERROR(ROUNDUP(D321/0.95,0.999),0)*Preencher!$B$97*G321</f>
        <v>4</v>
      </c>
      <c r="F321" s="335">
        <f t="shared" si="120"/>
        <v>0.94666666666666655</v>
      </c>
      <c r="G321" s="93">
        <f>IF(H321&lt;400,1,2)</f>
        <v>2</v>
      </c>
      <c r="H321" s="285">
        <f>Preencher!$B$96</f>
        <v>4800</v>
      </c>
      <c r="I321" s="259" t="str">
        <f>IFERROR((M321/C321/Preencher!$C$97/L321),"-")</f>
        <v>-</v>
      </c>
      <c r="J321" s="334">
        <f>IFERROR(ROUNDUP(I321/0.95,0.999),0)*Preencher!$C$97*L321</f>
        <v>0</v>
      </c>
      <c r="K321" s="335" t="str">
        <f t="shared" si="121"/>
        <v>-</v>
      </c>
      <c r="L321" s="93">
        <f>IF(M321&lt;400,1,2)</f>
        <v>1</v>
      </c>
      <c r="M321" s="285">
        <f>Preencher!$C$96</f>
        <v>0</v>
      </c>
      <c r="N321" s="259" t="str">
        <f>IFERROR((R321/C321/Preencher!$D$97),"-")</f>
        <v>-</v>
      </c>
      <c r="O321" s="334">
        <f>IFERROR(ROUNDUP(N321/0.95,0.999),0)*Preencher!$D$97</f>
        <v>0</v>
      </c>
      <c r="P321" s="335" t="str">
        <f t="shared" si="122"/>
        <v>-</v>
      </c>
      <c r="Q321" s="37"/>
      <c r="R321" s="285">
        <f>Preencher!$D$96</f>
        <v>0</v>
      </c>
    </row>
    <row r="322" spans="1:18">
      <c r="A322" s="265" t="s">
        <v>606</v>
      </c>
      <c r="B322" s="284">
        <f>IF(Preencher!$B$137=Preencher!$P$137,0,1.525)+1.525+1</f>
        <v>2.5249999999999999</v>
      </c>
      <c r="C322" s="328">
        <f t="shared" si="123"/>
        <v>1425.7425742574258</v>
      </c>
      <c r="D322" s="259">
        <f>IFERROR((H322/C322/Preencher!$B$97),"-")</f>
        <v>1.6833333333333333</v>
      </c>
      <c r="E322" s="328">
        <f>IFERROR(ROUNDUP(D322/0.95,0.999),0)*Preencher!$B$97</f>
        <v>4</v>
      </c>
      <c r="F322" s="329">
        <f t="shared" si="120"/>
        <v>0.84166666666666667</v>
      </c>
      <c r="G322" s="37"/>
      <c r="H322" s="285">
        <f>Preencher!$B$96</f>
        <v>4800</v>
      </c>
      <c r="I322" s="259" t="str">
        <f>IFERROR((M322/C322/Preencher!$C$97),"-")</f>
        <v>-</v>
      </c>
      <c r="J322" s="334">
        <f>IFERROR(ROUNDUP(I322/0.95,0.999),0)*Preencher!$C$97</f>
        <v>0</v>
      </c>
      <c r="K322" s="335" t="str">
        <f>IFERROR((M322/C322/J322),"-")</f>
        <v>-</v>
      </c>
      <c r="L322" s="37"/>
      <c r="M322" s="285">
        <f>Preencher!$C$96</f>
        <v>0</v>
      </c>
      <c r="N322" s="259" t="str">
        <f>IFERROR((R322/C322/Preencher!$D$97),"-")</f>
        <v>-</v>
      </c>
      <c r="O322" s="334">
        <f>IFERROR(ROUNDUP(N322/0.95,0.999),0)*Preencher!$D$97</f>
        <v>0</v>
      </c>
      <c r="P322" s="335" t="str">
        <f t="shared" si="122"/>
        <v>-</v>
      </c>
      <c r="Q322" s="37"/>
      <c r="R322" s="285">
        <f>Preencher!$D$96</f>
        <v>0</v>
      </c>
    </row>
    <row r="323" spans="1:18">
      <c r="A323" s="265" t="s">
        <v>607</v>
      </c>
      <c r="B323" s="284">
        <f>IF(Preencher!$B$136="Sim",0,2.8)</f>
        <v>2.8</v>
      </c>
      <c r="C323" s="328">
        <f t="shared" si="123"/>
        <v>1285.7142857142858</v>
      </c>
      <c r="D323" s="259">
        <f>IFERROR((H323/C323/Preencher!$B$97),"-")</f>
        <v>1.8666666666666665</v>
      </c>
      <c r="E323" s="328">
        <f>IFERROR(ROUNDUP(D323/0.95,0.999),0)*Preencher!$B$97</f>
        <v>4</v>
      </c>
      <c r="F323" s="329">
        <f t="shared" si="120"/>
        <v>0.93333333333333324</v>
      </c>
      <c r="G323" s="37"/>
      <c r="H323" s="285">
        <f>Preencher!$B$96</f>
        <v>4800</v>
      </c>
      <c r="I323" s="259" t="str">
        <f>IFERROR((M323/C323/Preencher!$C$97),"-")</f>
        <v>-</v>
      </c>
      <c r="J323" s="334">
        <f>IFERROR(ROUNDUP(I323/0.95,0.999),0)*Preencher!$C$97</f>
        <v>0</v>
      </c>
      <c r="K323" s="335" t="str">
        <f t="shared" si="121"/>
        <v>-</v>
      </c>
      <c r="L323" s="37"/>
      <c r="M323" s="285">
        <f>Preencher!$C$96</f>
        <v>0</v>
      </c>
      <c r="N323" s="259" t="str">
        <f>IFERROR((R323/C323/Preencher!$D$97),"-")</f>
        <v>-</v>
      </c>
      <c r="O323" s="334">
        <f>IFERROR(ROUNDUP(N323/0.95,0.999),0)*Preencher!$D$97</f>
        <v>0</v>
      </c>
      <c r="P323" s="335" t="str">
        <f t="shared" si="122"/>
        <v>-</v>
      </c>
      <c r="Q323" s="37"/>
      <c r="R323" s="285">
        <f>Preencher!$D$96</f>
        <v>0</v>
      </c>
    </row>
    <row r="324" spans="1:18">
      <c r="A324" s="265" t="s">
        <v>608</v>
      </c>
      <c r="B324" s="284">
        <f>4.2+1</f>
        <v>5.2</v>
      </c>
      <c r="C324" s="328">
        <f>IF(B324=0,"-",3600/B324)</f>
        <v>692.30769230769226</v>
      </c>
      <c r="D324" s="259">
        <f>IFERROR((H324/C324/Preencher!$B$97),"-")</f>
        <v>3.4666666666666668</v>
      </c>
      <c r="E324" s="328">
        <f>IFERROR(ROUNDUP(D324/0.95,0.999),0)*Preencher!$B$97</f>
        <v>8</v>
      </c>
      <c r="F324" s="329">
        <f t="shared" si="120"/>
        <v>0.8666666666666667</v>
      </c>
      <c r="G324" s="93"/>
      <c r="H324" s="285">
        <f>Preencher!$B$96</f>
        <v>4800</v>
      </c>
      <c r="I324" s="259" t="str">
        <f>IFERROR((M324/C324/Preencher!$C$97),"-")</f>
        <v>-</v>
      </c>
      <c r="J324" s="334">
        <f>IFERROR(ROUNDUP(I324/0.95,0.999),0)*Preencher!$C$97</f>
        <v>0</v>
      </c>
      <c r="K324" s="335" t="str">
        <f t="shared" si="121"/>
        <v>-</v>
      </c>
      <c r="L324" s="93"/>
      <c r="M324" s="285">
        <f>Preencher!$C$96</f>
        <v>0</v>
      </c>
      <c r="N324" s="259" t="str">
        <f>IFERROR((R324/C324/Preencher!$D$97),"-")</f>
        <v>-</v>
      </c>
      <c r="O324" s="334">
        <f>IFERROR(ROUNDUP(N324/0.95,0.999),0)*Preencher!$D$97</f>
        <v>0</v>
      </c>
      <c r="P324" s="335" t="str">
        <f t="shared" si="122"/>
        <v>-</v>
      </c>
      <c r="Q324" s="93"/>
      <c r="R324" s="285">
        <f>Preencher!$D$96</f>
        <v>0</v>
      </c>
    </row>
    <row r="325" spans="1:18">
      <c r="A325" s="265" t="s">
        <v>609</v>
      </c>
      <c r="B325" s="284">
        <v>1.4</v>
      </c>
      <c r="C325" s="328">
        <f>IF(B325=0,"-",3600/B325)</f>
        <v>2571.4285714285716</v>
      </c>
      <c r="D325" s="259">
        <f>IFERROR((H325/C325),"-")</f>
        <v>0</v>
      </c>
      <c r="E325" s="770">
        <f>IFERROR(ROUNDUP(D325/0.95,0.999),0)</f>
        <v>0</v>
      </c>
      <c r="F325" s="335" t="str">
        <f t="shared" si="120"/>
        <v>-</v>
      </c>
      <c r="G325" s="93">
        <f>Preencher!$B$97</f>
        <v>2</v>
      </c>
      <c r="H325" s="285">
        <f>Preencher!$B$96*RESUMO!$C$241</f>
        <v>0</v>
      </c>
      <c r="I325" s="259">
        <f>IFERROR((M325/C325),"-")</f>
        <v>0</v>
      </c>
      <c r="J325" s="334">
        <f>IFERROR(ROUNDUP(I325/0.95,0.999),0)</f>
        <v>0</v>
      </c>
      <c r="K325" s="335" t="str">
        <f t="shared" si="121"/>
        <v>-</v>
      </c>
      <c r="L325" s="93">
        <f>Preencher!$C$97</f>
        <v>0</v>
      </c>
      <c r="M325" s="285">
        <f>Preencher!$C$96*RESUMO!$C$241</f>
        <v>0</v>
      </c>
      <c r="N325" s="259" t="str">
        <f>IFERROR((R325/C325/Q325),"-")</f>
        <v>-</v>
      </c>
      <c r="O325" s="334">
        <f>IFERROR(ROUNDUP(N325/0.95,0.999),0)*Q325</f>
        <v>0</v>
      </c>
      <c r="P325" s="335" t="str">
        <f t="shared" si="122"/>
        <v>-</v>
      </c>
      <c r="Q325" s="93">
        <f>ROUNDUP(IFERROR(R325/60/IF(Preencher!$D$97&gt;0,Preencher!$D$96/Preencher!$D$97/60,Preencher!$D$96/Preencher!$D$97/60),0),0)</f>
        <v>0</v>
      </c>
      <c r="R325" s="285">
        <f>Preencher!$D$96*RESUMO!$C$241</f>
        <v>0</v>
      </c>
    </row>
    <row r="326" spans="1:18">
      <c r="A326" s="265" t="s">
        <v>610</v>
      </c>
      <c r="B326" s="284">
        <f>IF(Preencher!$B$137=Preencher!$P$137,0,1.525-1.525)</f>
        <v>0</v>
      </c>
      <c r="C326" s="328" t="str">
        <f>IF(B326=0,"-",3600/B326)</f>
        <v>-</v>
      </c>
      <c r="D326" s="259" t="str">
        <f>IFERROR((H326/C326/Preencher!$B$97),"-")</f>
        <v>-</v>
      </c>
      <c r="E326" s="328">
        <f>IFERROR(ROUNDUP(D326/0.95,0.999),0)*Preencher!$B$97</f>
        <v>0</v>
      </c>
      <c r="F326" s="329" t="str">
        <f t="shared" si="120"/>
        <v>-</v>
      </c>
      <c r="G326" s="37"/>
      <c r="H326" s="285">
        <f>H324</f>
        <v>4800</v>
      </c>
      <c r="I326" s="259" t="str">
        <f>IFERROR((M326/C326/Preencher!$B$97),"-")</f>
        <v>-</v>
      </c>
      <c r="J326" s="334">
        <f>IFERROR(ROUNDUP(I326/0.95,0.999),0)*Preencher!$B$97</f>
        <v>0</v>
      </c>
      <c r="K326" s="335" t="str">
        <f>IFERROR((M326/C326/J326),"-")</f>
        <v>-</v>
      </c>
      <c r="L326" s="37"/>
      <c r="M326" s="285">
        <f>M324</f>
        <v>0</v>
      </c>
      <c r="N326" s="259" t="str">
        <f>IFERROR((R326/C326),"-")</f>
        <v>-</v>
      </c>
      <c r="O326" s="251">
        <f>IFERROR(ROUNDUP(N326/0.95,0.999),0)</f>
        <v>0</v>
      </c>
      <c r="P326" s="252" t="str">
        <f>IFERROR((R326/C326/O326),"-")</f>
        <v>-</v>
      </c>
      <c r="Q326" s="37"/>
      <c r="R326" s="285">
        <f>R324</f>
        <v>0</v>
      </c>
    </row>
    <row r="327" spans="1:18">
      <c r="A327" s="265"/>
      <c r="B327" s="286"/>
      <c r="C327" s="37"/>
      <c r="D327" s="37"/>
      <c r="E327" s="37"/>
      <c r="F327" s="37"/>
      <c r="G327" s="37"/>
      <c r="H327" s="287"/>
      <c r="I327" s="37"/>
      <c r="J327" s="37"/>
      <c r="K327" s="37"/>
      <c r="L327" s="37"/>
      <c r="M327" s="287"/>
      <c r="N327" s="37"/>
      <c r="O327" s="37"/>
      <c r="P327" s="37"/>
      <c r="Q327" s="37"/>
      <c r="R327" s="287"/>
    </row>
    <row r="328" spans="1:18">
      <c r="A328" s="270" t="s">
        <v>723</v>
      </c>
      <c r="B328" s="291"/>
      <c r="C328" s="39"/>
      <c r="D328" s="39"/>
      <c r="E328" s="39"/>
      <c r="F328" s="39"/>
      <c r="G328" s="39"/>
      <c r="H328" s="292"/>
      <c r="I328" s="39"/>
      <c r="J328" s="39"/>
      <c r="K328" s="39"/>
      <c r="L328" s="39"/>
      <c r="M328" s="292"/>
      <c r="N328" s="39"/>
      <c r="O328" s="39"/>
      <c r="P328" s="39"/>
      <c r="Q328" s="39"/>
      <c r="R328" s="292"/>
    </row>
    <row r="329" spans="1:18">
      <c r="A329" s="265"/>
      <c r="B329" s="286"/>
      <c r="C329" s="37"/>
      <c r="D329" s="37"/>
      <c r="E329" s="37"/>
      <c r="F329" s="37"/>
      <c r="G329" s="37"/>
      <c r="H329" s="287"/>
      <c r="I329" s="37"/>
      <c r="J329" s="37"/>
      <c r="K329" s="37"/>
      <c r="L329" s="37"/>
      <c r="M329" s="287"/>
      <c r="N329" s="37"/>
      <c r="O329" s="37"/>
      <c r="P329" s="37"/>
      <c r="Q329" s="37"/>
      <c r="R329" s="287"/>
    </row>
    <row r="330" spans="1:18">
      <c r="A330" s="265"/>
      <c r="B330" s="286"/>
      <c r="C330" s="37"/>
      <c r="D330" s="37"/>
      <c r="E330" s="37"/>
      <c r="F330" s="37"/>
      <c r="G330" s="37"/>
      <c r="H330" s="287"/>
      <c r="I330" s="37"/>
      <c r="J330" s="37"/>
      <c r="K330" s="37"/>
      <c r="L330" s="37"/>
      <c r="M330" s="287"/>
      <c r="N330" s="37"/>
      <c r="O330" s="37"/>
      <c r="P330" s="37"/>
      <c r="Q330" s="37"/>
      <c r="R330" s="287"/>
    </row>
    <row r="331" spans="1:18">
      <c r="A331" s="265"/>
      <c r="B331" s="286"/>
      <c r="C331" s="37"/>
      <c r="D331" s="37"/>
      <c r="E331" s="37"/>
      <c r="F331" s="37"/>
      <c r="G331" s="37"/>
      <c r="H331" s="287"/>
      <c r="I331" s="37"/>
      <c r="J331" s="37"/>
      <c r="K331" s="37"/>
      <c r="L331" s="37"/>
      <c r="M331" s="287"/>
      <c r="N331" s="37"/>
      <c r="O331" s="37"/>
      <c r="P331" s="37"/>
      <c r="Q331" s="37"/>
      <c r="R331" s="287"/>
    </row>
    <row r="332" spans="1:18">
      <c r="A332" s="265"/>
      <c r="B332" s="286"/>
      <c r="C332" s="37"/>
      <c r="D332" s="37"/>
      <c r="E332" s="37"/>
      <c r="F332" s="37"/>
      <c r="G332" s="37"/>
      <c r="H332" s="287"/>
      <c r="I332" s="37"/>
      <c r="J332" s="37"/>
      <c r="K332" s="37"/>
      <c r="L332" s="37"/>
      <c r="M332" s="287"/>
      <c r="N332" s="37"/>
      <c r="O332" s="37"/>
      <c r="P332" s="37"/>
      <c r="Q332" s="37"/>
      <c r="R332" s="287"/>
    </row>
    <row r="333" spans="1:18">
      <c r="A333" s="265"/>
      <c r="B333" s="286"/>
      <c r="C333" s="37"/>
      <c r="D333" s="37"/>
      <c r="E333" s="37"/>
      <c r="F333" s="37"/>
      <c r="G333" s="37"/>
      <c r="H333" s="285">
        <f>Preencher!$B$402</f>
        <v>0</v>
      </c>
      <c r="I333" s="37"/>
      <c r="J333" s="37"/>
      <c r="K333" s="37"/>
      <c r="L333" s="37"/>
      <c r="M333" s="287"/>
      <c r="N333" s="37"/>
      <c r="O333" s="37"/>
      <c r="P333" s="37"/>
      <c r="Q333" s="37"/>
      <c r="R333" s="287"/>
    </row>
    <row r="334" spans="1:18">
      <c r="A334" s="268"/>
      <c r="B334" s="288"/>
      <c r="C334" s="13"/>
      <c r="D334" s="13"/>
      <c r="E334" s="13"/>
      <c r="F334" s="13"/>
      <c r="G334" s="13"/>
      <c r="H334" s="113"/>
      <c r="I334" s="13"/>
      <c r="J334" s="13"/>
      <c r="K334" s="13"/>
      <c r="L334" s="13"/>
      <c r="M334" s="113"/>
      <c r="N334" s="13"/>
      <c r="O334" s="13"/>
      <c r="P334" s="13"/>
      <c r="Q334" s="13"/>
      <c r="R334" s="113"/>
    </row>
    <row r="335" spans="1:18">
      <c r="A335" s="264" t="s">
        <v>330</v>
      </c>
      <c r="B335" s="282"/>
      <c r="C335" s="40"/>
      <c r="D335" s="40"/>
      <c r="E335" s="40"/>
      <c r="F335" s="40"/>
      <c r="G335" s="40"/>
      <c r="H335" s="283"/>
      <c r="I335" s="40"/>
      <c r="J335" s="40"/>
      <c r="K335" s="40"/>
      <c r="L335" s="40"/>
      <c r="M335" s="283"/>
      <c r="N335" s="40"/>
      <c r="O335" s="40"/>
      <c r="P335" s="40"/>
      <c r="Q335" s="40"/>
      <c r="R335" s="283"/>
    </row>
    <row r="336" spans="1:18">
      <c r="A336" s="271" t="s">
        <v>611</v>
      </c>
      <c r="B336" s="284">
        <f>IF(Preencher!I38="Não",2.57,2.87)</f>
        <v>2.57</v>
      </c>
      <c r="C336" s="251">
        <f t="shared" ref="C336:C347" si="124">IF(B336=0,"-",3600/B336)</f>
        <v>1400.7782101167315</v>
      </c>
      <c r="D336" s="259">
        <f>IFERROR((H336/C336),"-")</f>
        <v>0</v>
      </c>
      <c r="E336" s="251">
        <f>IFERROR(ROUNDUP(D336/0.95,0.999),0)</f>
        <v>0</v>
      </c>
      <c r="F336" s="252" t="str">
        <f t="shared" ref="F336:F347" si="125">IFERROR((H336/C336/E336),"-")</f>
        <v>-</v>
      </c>
      <c r="G336" s="37"/>
      <c r="H336" s="285">
        <f>Preencher!$B$38</f>
        <v>0</v>
      </c>
      <c r="I336" s="259">
        <f>IFERROR((M336/C336),"-")</f>
        <v>0</v>
      </c>
      <c r="J336" s="251">
        <f>IFERROR(ROUNDUP(I336/0.95,0.999),0)</f>
        <v>0</v>
      </c>
      <c r="K336" s="252" t="str">
        <f>IFERROR((M336/C336/J336),"-")</f>
        <v>-</v>
      </c>
      <c r="L336" s="37"/>
      <c r="M336" s="285">
        <f>Preencher!$C$38</f>
        <v>0</v>
      </c>
      <c r="N336" s="259">
        <f>IFERROR((R336/C336),"-")</f>
        <v>0</v>
      </c>
      <c r="O336" s="251">
        <f>IFERROR(ROUNDUP(N336/0.95,0.999),0)</f>
        <v>0</v>
      </c>
      <c r="P336" s="252" t="str">
        <f>IFERROR((R336/C336/O336),"-")</f>
        <v>-</v>
      </c>
      <c r="Q336" s="37"/>
      <c r="R336" s="285">
        <f>Preencher!$D$38</f>
        <v>0</v>
      </c>
    </row>
    <row r="337" spans="1:18">
      <c r="A337" s="271" t="s">
        <v>612</v>
      </c>
      <c r="B337" s="284"/>
      <c r="C337" s="251" t="str">
        <f t="shared" si="124"/>
        <v>-</v>
      </c>
      <c r="D337" s="259" t="str">
        <f>IFERROR((H337/C337/Preencher!$B$98),"-")</f>
        <v>-</v>
      </c>
      <c r="E337" s="334">
        <f>IFERROR(ROUNDUP(D337/0.95,0.999),0)*Preencher!$B$98</f>
        <v>0</v>
      </c>
      <c r="F337" s="252" t="str">
        <f t="shared" si="125"/>
        <v>-</v>
      </c>
      <c r="G337" s="37"/>
      <c r="H337" s="285"/>
      <c r="I337" s="259" t="str">
        <f>IFERROR((M337/C337),"-")</f>
        <v>-</v>
      </c>
      <c r="J337" s="251">
        <f>IFERROR(ROUNDUP(I337/0.95,0.999),0)</f>
        <v>0</v>
      </c>
      <c r="K337" s="252" t="str">
        <f>IFERROR((M337/C337/J337),"-")</f>
        <v>-</v>
      </c>
      <c r="L337" s="37"/>
      <c r="M337" s="285"/>
      <c r="N337" s="259" t="str">
        <f>IFERROR((R337/C337/Preencher!$D$98),"-")</f>
        <v>-</v>
      </c>
      <c r="O337" s="334">
        <f>IFERROR(ROUNDUP(N337/0.95,0.999),0)*Preencher!$D$98</f>
        <v>0</v>
      </c>
      <c r="P337" s="335" t="str">
        <f t="shared" ref="P337:P345" si="126">IFERROR((R337/C337/O337),"-")</f>
        <v>-</v>
      </c>
      <c r="Q337" s="37"/>
      <c r="R337" s="285"/>
    </row>
    <row r="338" spans="1:18">
      <c r="A338" s="271" t="s">
        <v>613</v>
      </c>
      <c r="B338" s="284">
        <v>1.2</v>
      </c>
      <c r="C338" s="251">
        <f t="shared" si="124"/>
        <v>3000</v>
      </c>
      <c r="D338" s="259" t="str">
        <f>IFERROR((H338/C338/Preencher!$B$98),"-")</f>
        <v>-</v>
      </c>
      <c r="E338" s="334">
        <f>IFERROR(ROUNDUP(D338/0.95,0.999),0)*Preencher!$B$98</f>
        <v>0</v>
      </c>
      <c r="F338" s="252" t="str">
        <f t="shared" si="125"/>
        <v>-</v>
      </c>
      <c r="G338" s="37"/>
      <c r="H338" s="285">
        <f>IF(Preencher!$B$93&lt;Preencher!$E$94,0,IF(OR(Preencher!$B$92=Preencher!$O$98,Preencher!$B$92=Preencher!$O$98),Preencher!$B$96-Preencher!$E$94,Preencher!$B$96))</f>
        <v>0</v>
      </c>
      <c r="I338" s="259" t="str">
        <f>IFERROR((M338/C338/Preencher!$C$98),"-")</f>
        <v>-</v>
      </c>
      <c r="J338" s="334">
        <f>IFERROR(ROUNDUP(I338/0.95,0.999),0)*Preencher!$C$98</f>
        <v>0</v>
      </c>
      <c r="K338" s="252" t="str">
        <f>IFERROR((M338/C338/J338),"-")</f>
        <v>-</v>
      </c>
      <c r="L338" s="37"/>
      <c r="M338" s="285">
        <f>IF(Preencher!$C$93&lt;Preencher!$E$94,0,IF(OR(Preencher!$C$92=Preencher!$O$98,Preencher!$C$92=Preencher!$O$98),Preencher!$C$96-Preencher!$E$94,Preencher!$C$96))</f>
        <v>0</v>
      </c>
      <c r="N338" s="259" t="str">
        <f>IFERROR((R338/C338/Preencher!$D$98),"-")</f>
        <v>-</v>
      </c>
      <c r="O338" s="334">
        <f>IFERROR(ROUNDUP(N338/0.95,0.999),0)*Preencher!$D$98</f>
        <v>0</v>
      </c>
      <c r="P338" s="335" t="str">
        <f t="shared" si="126"/>
        <v>-</v>
      </c>
      <c r="Q338" s="37"/>
      <c r="R338" s="285">
        <f>IF(Preencher!$D$93&lt;Preencher!$E$94,0,IF(OR(Preencher!$D$92=Preencher!$O$98,Preencher!$D$92=Preencher!$O$98),Preencher!$D$96-Preencher!$E$94,Preencher!$D$96))</f>
        <v>0</v>
      </c>
    </row>
    <row r="339" spans="1:18">
      <c r="A339" s="271" t="s">
        <v>614</v>
      </c>
      <c r="B339" s="284">
        <v>3.8</v>
      </c>
      <c r="C339" s="251">
        <f t="shared" si="124"/>
        <v>947.36842105263167</v>
      </c>
      <c r="D339" s="259" t="str">
        <f>IFERROR((H339/C339/Preencher!$B$98),"-")</f>
        <v>-</v>
      </c>
      <c r="E339" s="334">
        <f>IFERROR(ROUNDUP(D339/0.95,0.999),0)*Preencher!$B$98</f>
        <v>0</v>
      </c>
      <c r="F339" s="252" t="str">
        <f t="shared" si="125"/>
        <v>-</v>
      </c>
      <c r="G339" s="37"/>
      <c r="H339" s="285">
        <f>IF(Preencher!$B$93&lt;Preencher!$E$94,0,IF(OR(Preencher!$B$92=Preencher!$O$98,Preencher!$B$92=Preencher!$O$98),Preencher!$B$96-Preencher!$E$94,Preencher!$B$96))</f>
        <v>0</v>
      </c>
      <c r="I339" s="259" t="str">
        <f>IFERROR((M339/C339/Preencher!$C$98),"-")</f>
        <v>-</v>
      </c>
      <c r="J339" s="334">
        <f>IFERROR(ROUNDUP(I339/0.95,0.999),0)*Preencher!$C$98</f>
        <v>0</v>
      </c>
      <c r="K339" s="252" t="str">
        <f>IFERROR((M339/C339/J339),"-")</f>
        <v>-</v>
      </c>
      <c r="L339" s="37"/>
      <c r="M339" s="285">
        <f>IF(Preencher!$C$93&lt;Preencher!$E$94,0,IF(OR(Preencher!$C$92=Preencher!$O$98,Preencher!$C$92=Preencher!$O$98),Preencher!$C$96-Preencher!$E$94,Preencher!$C$96))</f>
        <v>0</v>
      </c>
      <c r="N339" s="259" t="str">
        <f>IFERROR((R339/C339/Preencher!$D$98),"-")</f>
        <v>-</v>
      </c>
      <c r="O339" s="334">
        <f>IFERROR(ROUNDUP(N339/0.95,0.999),0)*Preencher!$D$98</f>
        <v>0</v>
      </c>
      <c r="P339" s="335" t="str">
        <f t="shared" si="126"/>
        <v>-</v>
      </c>
      <c r="Q339" s="37"/>
      <c r="R339" s="285">
        <f>IF(Preencher!$D$93&lt;Preencher!$E$94,0,IF(OR(Preencher!$D$92=Preencher!$O$98,Preencher!$D$92=Preencher!$O$98),Preencher!$D$96-Preencher!$E$94,Preencher!$D$96))</f>
        <v>0</v>
      </c>
    </row>
    <row r="340" spans="1:18">
      <c r="A340" s="271" t="s">
        <v>615</v>
      </c>
      <c r="B340" s="284">
        <v>5.1120000000000001</v>
      </c>
      <c r="C340" s="334">
        <f t="shared" si="124"/>
        <v>704.22535211267609</v>
      </c>
      <c r="D340" s="259" t="str">
        <f>IFERROR((H340/C340/Preencher!$B$98/G340),"-")</f>
        <v>-</v>
      </c>
      <c r="E340" s="334">
        <f>IFERROR(ROUNDUP(D340/0.95,0.999),0)*Preencher!$B$98*G340</f>
        <v>0</v>
      </c>
      <c r="F340" s="335" t="str">
        <f t="shared" si="125"/>
        <v>-</v>
      </c>
      <c r="G340" s="93">
        <f>IF(H340&lt;400,1,2)</f>
        <v>1</v>
      </c>
      <c r="H340" s="285">
        <f>IF(Preencher!$B$93&lt;Preencher!$E$94,0,IF(OR(Preencher!$B$92=Preencher!$O$98,Preencher!$B$92=Preencher!$O$98),Preencher!$B$96-Preencher!$E$94,Preencher!$B$96))</f>
        <v>0</v>
      </c>
      <c r="I340" s="259" t="str">
        <f>IFERROR((M340/C340/Preencher!$C$98/L340),"-")</f>
        <v>-</v>
      </c>
      <c r="J340" s="334">
        <f>IFERROR(ROUNDUP(I340/0.95,0.999),0)*Preencher!$C$98*L340</f>
        <v>0</v>
      </c>
      <c r="K340" s="335" t="str">
        <f t="shared" ref="K340:K347" si="127">IFERROR((M340/C340/J340),"-")</f>
        <v>-</v>
      </c>
      <c r="L340" s="93">
        <f>IF(M340&lt;400,1,2)</f>
        <v>1</v>
      </c>
      <c r="M340" s="285">
        <f>IF(Preencher!$C$93&lt;Preencher!$E$94,0,IF(OR(Preencher!$C$92=Preencher!$O$98,Preencher!$C$92=Preencher!$O$98),Preencher!$C$96-Preencher!$E$94,Preencher!$C$96))</f>
        <v>0</v>
      </c>
      <c r="N340" s="259" t="str">
        <f>IFERROR((R340/C340/Preencher!$D$98/Q340),"-")</f>
        <v>-</v>
      </c>
      <c r="O340" s="334">
        <f>IFERROR(ROUNDUP(N340/0.95,0.999),0)*Preencher!$D$98*Q340</f>
        <v>0</v>
      </c>
      <c r="P340" s="335" t="str">
        <f t="shared" si="126"/>
        <v>-</v>
      </c>
      <c r="Q340" s="93">
        <f>IF(R340&lt;400,1,2)</f>
        <v>1</v>
      </c>
      <c r="R340" s="285">
        <f>IF(Preencher!$D$93&lt;Preencher!$E$94,0,IF(OR(Preencher!$D$92=Preencher!$O$98,Preencher!$D$92=Preencher!$O$98),Preencher!$D$96-Preencher!$E$94,Preencher!$D$96))</f>
        <v>0</v>
      </c>
    </row>
    <row r="341" spans="1:18">
      <c r="A341" s="271" t="s">
        <v>616</v>
      </c>
      <c r="B341" s="284">
        <f>8.14-B342</f>
        <v>8.14</v>
      </c>
      <c r="C341" s="251">
        <f t="shared" si="124"/>
        <v>442.26044226044223</v>
      </c>
      <c r="D341" s="259" t="str">
        <f>IFERROR((H341/C341/Preencher!$B$98/G341),"-")</f>
        <v>-</v>
      </c>
      <c r="E341" s="334">
        <f>IFERROR(ROUNDUP(D341/0.95,0.999),0)*Preencher!$B$98*G341</f>
        <v>0</v>
      </c>
      <c r="F341" s="335" t="str">
        <f t="shared" si="125"/>
        <v>-</v>
      </c>
      <c r="G341" s="93">
        <f>IF(H341&lt;400,1,2)</f>
        <v>2</v>
      </c>
      <c r="H341" s="285">
        <f>Preencher!$B$96</f>
        <v>4800</v>
      </c>
      <c r="I341" s="259" t="str">
        <f>IFERROR((M341/C341/Preencher!$C$98/L341),"-")</f>
        <v>-</v>
      </c>
      <c r="J341" s="334">
        <f>IFERROR(ROUNDUP(I341/0.95,0.999),0)*Preencher!$C$98*L341</f>
        <v>0</v>
      </c>
      <c r="K341" s="335" t="str">
        <f t="shared" si="127"/>
        <v>-</v>
      </c>
      <c r="L341" s="93">
        <f>IF(M341&lt;400,1,2)</f>
        <v>1</v>
      </c>
      <c r="M341" s="285">
        <f>Preencher!$C$96</f>
        <v>0</v>
      </c>
      <c r="N341" s="259" t="str">
        <f>IFERROR((R341/C341/Preencher!$D$98/Q341),"-")</f>
        <v>-</v>
      </c>
      <c r="O341" s="334">
        <f>IFERROR(ROUNDUP(N341/0.95,0.999),0)*Preencher!$D$98*Q341</f>
        <v>0</v>
      </c>
      <c r="P341" s="335" t="str">
        <f t="shared" si="126"/>
        <v>-</v>
      </c>
      <c r="Q341" s="93">
        <f>IF(R341&lt;400,1,2)</f>
        <v>1</v>
      </c>
      <c r="R341" s="285">
        <f>Preencher!$D$96</f>
        <v>0</v>
      </c>
    </row>
    <row r="342" spans="1:18">
      <c r="A342" s="271" t="s">
        <v>617</v>
      </c>
      <c r="B342" s="284">
        <f>IF(Preencher!$B$96/60&lt;70,2.71,0)</f>
        <v>0</v>
      </c>
      <c r="C342" s="251" t="str">
        <f t="shared" si="124"/>
        <v>-</v>
      </c>
      <c r="D342" s="259" t="str">
        <f>IFERROR((H342/C342/Preencher!$B$98/G342),"-")</f>
        <v>-</v>
      </c>
      <c r="E342" s="334">
        <f>IFERROR(ROUNDUP(D342/0.95,0.999),0)*Preencher!$B$98*G342</f>
        <v>0</v>
      </c>
      <c r="F342" s="335" t="str">
        <f t="shared" si="125"/>
        <v>-</v>
      </c>
      <c r="G342" s="93">
        <f>IF(H342&lt;400,1,2)</f>
        <v>2</v>
      </c>
      <c r="H342" s="285">
        <f>Preencher!$B$96</f>
        <v>4800</v>
      </c>
      <c r="I342" s="259" t="str">
        <f>IFERROR((M342/C342/Preencher!$C$98/L342),"-")</f>
        <v>-</v>
      </c>
      <c r="J342" s="334">
        <f>IFERROR(ROUNDUP(I342/0.95,0.999),0)*Preencher!$C$98*L342</f>
        <v>0</v>
      </c>
      <c r="K342" s="335" t="str">
        <f t="shared" si="127"/>
        <v>-</v>
      </c>
      <c r="L342" s="93">
        <f>IF(M342&lt;400,1,2)</f>
        <v>1</v>
      </c>
      <c r="M342" s="285">
        <f>Preencher!$C$96</f>
        <v>0</v>
      </c>
      <c r="N342" s="259" t="str">
        <f>IFERROR((R342/C342/Preencher!$D$98/Q342),"-")</f>
        <v>-</v>
      </c>
      <c r="O342" s="334">
        <f>IFERROR(ROUNDUP(N342/0.95,0.999),0)*Preencher!$D$98*Q342</f>
        <v>0</v>
      </c>
      <c r="P342" s="335" t="str">
        <f t="shared" si="126"/>
        <v>-</v>
      </c>
      <c r="Q342" s="93">
        <f>IF(R342&lt;400,1,2)</f>
        <v>1</v>
      </c>
      <c r="R342" s="285">
        <f>Preencher!$D$96</f>
        <v>0</v>
      </c>
    </row>
    <row r="343" spans="1:18">
      <c r="A343" s="271" t="s">
        <v>618</v>
      </c>
      <c r="B343" s="284">
        <v>1.8009999999999999</v>
      </c>
      <c r="C343" s="251">
        <f t="shared" si="124"/>
        <v>1998.8895058300945</v>
      </c>
      <c r="D343" s="259" t="str">
        <f>IFERROR((H343/C343/Preencher!$B$98),"-")</f>
        <v>-</v>
      </c>
      <c r="E343" s="334">
        <f>IFERROR(ROUNDUP(D343/0.95,0.999),0)*Preencher!$B$98</f>
        <v>0</v>
      </c>
      <c r="F343" s="252" t="str">
        <f t="shared" si="125"/>
        <v>-</v>
      </c>
      <c r="G343" s="37"/>
      <c r="H343" s="285">
        <f>Preencher!$B$96+Preencher!$B$402</f>
        <v>4800</v>
      </c>
      <c r="I343" s="259" t="str">
        <f>IFERROR((M343/C343/Preencher!$C$98),"-")</f>
        <v>-</v>
      </c>
      <c r="J343" s="334">
        <f>IFERROR(ROUNDUP(I343/0.95,0.999),0)*Preencher!$C$98</f>
        <v>0</v>
      </c>
      <c r="K343" s="335" t="str">
        <f t="shared" si="127"/>
        <v>-</v>
      </c>
      <c r="L343" s="37"/>
      <c r="M343" s="285">
        <f>Preencher!$C$96+Preencher!$C$402</f>
        <v>0</v>
      </c>
      <c r="N343" s="259" t="str">
        <f>IFERROR((R343/C343/Preencher!$D$98),"-")</f>
        <v>-</v>
      </c>
      <c r="O343" s="334">
        <f>IFERROR(ROUNDUP(N343/0.95,0.999),0)*Preencher!$D$98</f>
        <v>0</v>
      </c>
      <c r="P343" s="335" t="str">
        <f t="shared" si="126"/>
        <v>-</v>
      </c>
      <c r="Q343" s="37"/>
      <c r="R343" s="285">
        <f>Preencher!$D$96+Preencher!$D$402</f>
        <v>0</v>
      </c>
    </row>
    <row r="344" spans="1:18">
      <c r="A344" s="271" t="s">
        <v>619</v>
      </c>
      <c r="B344" s="284">
        <f>IF(Preencher!$B$136="Sim",0,2.6)</f>
        <v>2.6</v>
      </c>
      <c r="C344" s="251">
        <f t="shared" si="124"/>
        <v>1384.6153846153845</v>
      </c>
      <c r="D344" s="259" t="str">
        <f>IFERROR((H344/C344/Preencher!$B$98),"-")</f>
        <v>-</v>
      </c>
      <c r="E344" s="334">
        <f>IFERROR(ROUNDUP(D344/0.95,0.999),0)*Preencher!$B$98</f>
        <v>0</v>
      </c>
      <c r="F344" s="252" t="str">
        <f t="shared" si="125"/>
        <v>-</v>
      </c>
      <c r="G344" s="37"/>
      <c r="H344" s="285">
        <f>Preencher!$B$96</f>
        <v>4800</v>
      </c>
      <c r="I344" s="259" t="str">
        <f>IFERROR((M344/C344/Preencher!$C$98),"-")</f>
        <v>-</v>
      </c>
      <c r="J344" s="334">
        <f>IFERROR(ROUNDUP(I344/0.95,0.999),0)*Preencher!$C$98</f>
        <v>0</v>
      </c>
      <c r="K344" s="335" t="str">
        <f t="shared" si="127"/>
        <v>-</v>
      </c>
      <c r="L344" s="37"/>
      <c r="M344" s="285">
        <f>Preencher!$C$96</f>
        <v>0</v>
      </c>
      <c r="N344" s="259" t="str">
        <f>IFERROR((R344/C344/Preencher!$D$98),"-")</f>
        <v>-</v>
      </c>
      <c r="O344" s="334">
        <f>IFERROR(ROUNDUP(N344/0.95,0.999),0)*Preencher!$D$98</f>
        <v>0</v>
      </c>
      <c r="P344" s="335" t="str">
        <f t="shared" si="126"/>
        <v>-</v>
      </c>
      <c r="Q344" s="37"/>
      <c r="R344" s="285">
        <f>Preencher!$D$96</f>
        <v>0</v>
      </c>
    </row>
    <row r="345" spans="1:18">
      <c r="A345" s="271" t="s">
        <v>622</v>
      </c>
      <c r="B345" s="284">
        <v>4.2</v>
      </c>
      <c r="C345" s="251">
        <f t="shared" si="124"/>
        <v>857.14285714285711</v>
      </c>
      <c r="D345" s="259" t="str">
        <f>IFERROR((H345/C345/Preencher!$B$98),"-")</f>
        <v>-</v>
      </c>
      <c r="E345" s="334">
        <f>IFERROR(ROUNDUP(D345/0.95,0.999),0)*Preencher!$B$98</f>
        <v>0</v>
      </c>
      <c r="F345" s="252" t="str">
        <f t="shared" si="125"/>
        <v>-</v>
      </c>
      <c r="G345" s="37"/>
      <c r="H345" s="285">
        <f>Preencher!$B$96</f>
        <v>4800</v>
      </c>
      <c r="I345" s="259" t="str">
        <f>IFERROR((M345/C345/Preencher!$C$98),"-")</f>
        <v>-</v>
      </c>
      <c r="J345" s="334">
        <f>IFERROR(ROUNDUP(I345/0.95,0.999),0)*Preencher!$C$98</f>
        <v>0</v>
      </c>
      <c r="K345" s="335" t="str">
        <f t="shared" si="127"/>
        <v>-</v>
      </c>
      <c r="L345" s="37"/>
      <c r="M345" s="285">
        <f>Preencher!$C$96</f>
        <v>0</v>
      </c>
      <c r="N345" s="259" t="str">
        <f>IFERROR((R345/C345/Preencher!$D$98),"-")</f>
        <v>-</v>
      </c>
      <c r="O345" s="334">
        <f>IFERROR(ROUNDUP(N345/0.95,0.999),0)*Preencher!$D$98</f>
        <v>0</v>
      </c>
      <c r="P345" s="335" t="str">
        <f t="shared" si="126"/>
        <v>-</v>
      </c>
      <c r="Q345" s="37"/>
      <c r="R345" s="285">
        <f>Preencher!$D$96</f>
        <v>0</v>
      </c>
    </row>
    <row r="346" spans="1:18">
      <c r="A346" s="265" t="s">
        <v>620</v>
      </c>
      <c r="B346" s="284">
        <v>1.4</v>
      </c>
      <c r="C346" s="334">
        <f>IF(B346=0,"-",3600/B346)</f>
        <v>2571.4285714285716</v>
      </c>
      <c r="D346" s="259" t="str">
        <f>IFERROR((H346/C346/G346),"-")</f>
        <v>-</v>
      </c>
      <c r="E346" s="334">
        <f>IFERROR(ROUNDUP(D346/0.95,0.999),0)*G346</f>
        <v>0</v>
      </c>
      <c r="F346" s="335" t="str">
        <f t="shared" si="125"/>
        <v>-</v>
      </c>
      <c r="G346" s="93">
        <f>ROUNDUP(IFERROR(H346/60/IF(Preencher!$B$98&gt;0,Preencher!$B$96/Preencher!$B$98/60,Preencher!$B$96/Preencher!$B$98/60),0),0)</f>
        <v>0</v>
      </c>
      <c r="H346" s="285">
        <f>Preencher!$B$96*RESUMO!$C$241</f>
        <v>0</v>
      </c>
      <c r="I346" s="259" t="str">
        <f>IFERROR((M346/C346/Preencher!$C$98/L346),"-")</f>
        <v>-</v>
      </c>
      <c r="J346" s="334">
        <f>IFERROR(ROUNDUP(I346/0.95,0.999),0)*Preencher!$C$98*L346</f>
        <v>0</v>
      </c>
      <c r="K346" s="335" t="str">
        <f t="shared" si="127"/>
        <v>-</v>
      </c>
      <c r="L346" s="93">
        <f>ROUNDUP(IFERROR(M346/60/IF(Preencher!$C$98&gt;0,Preencher!$C$96/Preencher!$C$98/60,Preencher!$C$96/Preencher!$C$98/60),0),0)</f>
        <v>0</v>
      </c>
      <c r="M346" s="285">
        <f>Preencher!$C$96*RESUMO!$C$241</f>
        <v>0</v>
      </c>
      <c r="N346" s="259" t="str">
        <f>IFERROR((R346/C346/Q346),"-")</f>
        <v>-</v>
      </c>
      <c r="O346" s="251">
        <f>IFERROR(ROUNDUP(N346/0.95,0.999),0)*Q346</f>
        <v>0</v>
      </c>
      <c r="P346" s="252" t="str">
        <f>IFERROR((R346/C346/O346),"-")</f>
        <v>-</v>
      </c>
      <c r="Q346" s="93">
        <f>ROUNDUP(IFERROR(R346/60/IF(Preencher!$C$98&gt;0,Preencher!$C$96/Preencher!$C$98/60,Preencher!$C$96/Preencher!$C$98/60),0),0)</f>
        <v>0</v>
      </c>
      <c r="R346" s="285">
        <f>Preencher!$D$96*RESUMO!$C$241</f>
        <v>0</v>
      </c>
    </row>
    <row r="347" spans="1:18">
      <c r="A347" s="265" t="s">
        <v>621</v>
      </c>
      <c r="B347" s="284"/>
      <c r="C347" s="251" t="str">
        <f t="shared" si="124"/>
        <v>-</v>
      </c>
      <c r="D347" s="259" t="str">
        <f>IFERROR((H347/C347/Preencher!$B$98),"-")</f>
        <v>-</v>
      </c>
      <c r="E347" s="334">
        <f>IFERROR(ROUNDUP(D347/0.95,0.999),0)*Preencher!$B$98</f>
        <v>0</v>
      </c>
      <c r="F347" s="335" t="str">
        <f t="shared" si="125"/>
        <v>-</v>
      </c>
      <c r="G347" s="37"/>
      <c r="H347" s="285"/>
      <c r="I347" s="259" t="str">
        <f>IFERROR((M347/C347/Preencher!$C$98),"-")</f>
        <v>-</v>
      </c>
      <c r="J347" s="334">
        <f>IFERROR(ROUNDUP(I347/0.95,0.999),0)*Preencher!$C$98</f>
        <v>0</v>
      </c>
      <c r="K347" s="335" t="str">
        <f t="shared" si="127"/>
        <v>-</v>
      </c>
      <c r="L347" s="37"/>
      <c r="M347" s="285"/>
      <c r="N347" s="259" t="str">
        <f>IFERROR((R347/C347),"-")</f>
        <v>-</v>
      </c>
      <c r="O347" s="251">
        <f>IFERROR(ROUNDUP(N347/0.95,0.999),0)</f>
        <v>0</v>
      </c>
      <c r="P347" s="252" t="str">
        <f>IFERROR((R347/C347/O347),"-")</f>
        <v>-</v>
      </c>
      <c r="Q347" s="37"/>
      <c r="R347" s="285"/>
    </row>
    <row r="348" spans="1:18">
      <c r="A348" s="265"/>
      <c r="B348" s="286"/>
      <c r="C348" s="37"/>
      <c r="D348" s="37"/>
      <c r="E348" s="37"/>
      <c r="F348" s="37"/>
      <c r="G348" s="37"/>
      <c r="H348" s="287"/>
      <c r="I348" s="37"/>
      <c r="J348" s="37"/>
      <c r="K348" s="37"/>
      <c r="L348" s="37"/>
      <c r="M348" s="287"/>
      <c r="N348" s="37"/>
      <c r="O348" s="37"/>
      <c r="P348" s="37"/>
      <c r="Q348" s="37"/>
      <c r="R348" s="287"/>
    </row>
    <row r="349" spans="1:18">
      <c r="A349" s="270" t="s">
        <v>723</v>
      </c>
      <c r="B349" s="291"/>
      <c r="C349" s="39"/>
      <c r="D349" s="39"/>
      <c r="E349" s="39"/>
      <c r="F349" s="39"/>
      <c r="G349" s="39"/>
      <c r="H349" s="292"/>
      <c r="I349" s="39"/>
      <c r="J349" s="39"/>
      <c r="K349" s="39"/>
      <c r="L349" s="39"/>
      <c r="M349" s="292"/>
      <c r="N349" s="39"/>
      <c r="O349" s="39"/>
      <c r="P349" s="39"/>
      <c r="Q349" s="39"/>
      <c r="R349" s="292"/>
    </row>
    <row r="350" spans="1:18">
      <c r="A350" s="265"/>
      <c r="B350" s="286"/>
      <c r="C350" s="37"/>
      <c r="D350" s="37"/>
      <c r="E350" s="37"/>
      <c r="F350" s="37"/>
      <c r="G350" s="37"/>
      <c r="H350" s="287"/>
      <c r="I350" s="37"/>
      <c r="J350" s="37"/>
      <c r="K350" s="37"/>
      <c r="L350" s="37"/>
      <c r="M350" s="287"/>
      <c r="N350" s="37"/>
      <c r="O350" s="37"/>
      <c r="P350" s="37"/>
      <c r="Q350" s="37"/>
      <c r="R350" s="287"/>
    </row>
    <row r="351" spans="1:18">
      <c r="A351" s="265"/>
      <c r="B351" s="286"/>
      <c r="C351" s="37"/>
      <c r="D351" s="37"/>
      <c r="E351" s="37"/>
      <c r="F351" s="37"/>
      <c r="G351" s="37"/>
      <c r="H351" s="287"/>
      <c r="I351" s="37"/>
      <c r="J351" s="37"/>
      <c r="K351" s="37"/>
      <c r="L351" s="37"/>
      <c r="M351" s="287"/>
      <c r="N351" s="37"/>
      <c r="O351" s="37"/>
      <c r="P351" s="37"/>
      <c r="Q351" s="37"/>
      <c r="R351" s="287"/>
    </row>
    <row r="352" spans="1:18">
      <c r="A352" s="265"/>
      <c r="B352" s="286"/>
      <c r="C352" s="37"/>
      <c r="D352" s="37"/>
      <c r="E352" s="37"/>
      <c r="F352" s="37"/>
      <c r="G352" s="37"/>
      <c r="H352" s="287"/>
      <c r="I352" s="37"/>
      <c r="J352" s="37"/>
      <c r="K352" s="37"/>
      <c r="L352" s="37"/>
      <c r="M352" s="287"/>
      <c r="N352" s="37"/>
      <c r="O352" s="37"/>
      <c r="P352" s="37"/>
      <c r="Q352" s="37"/>
      <c r="R352" s="287"/>
    </row>
    <row r="353" spans="1:18">
      <c r="A353" s="265"/>
      <c r="B353" s="286"/>
      <c r="C353" s="37"/>
      <c r="D353" s="37"/>
      <c r="E353" s="37"/>
      <c r="F353" s="37"/>
      <c r="G353" s="37"/>
      <c r="H353" s="287"/>
      <c r="I353" s="37"/>
      <c r="J353" s="37"/>
      <c r="K353" s="37"/>
      <c r="L353" s="37"/>
      <c r="M353" s="287"/>
      <c r="N353" s="37"/>
      <c r="O353" s="37"/>
      <c r="P353" s="37"/>
      <c r="Q353" s="37"/>
      <c r="R353" s="287"/>
    </row>
    <row r="354" spans="1:18">
      <c r="A354" s="265"/>
      <c r="B354" s="286"/>
      <c r="C354" s="37"/>
      <c r="D354" s="37"/>
      <c r="E354" s="37"/>
      <c r="F354" s="37"/>
      <c r="G354" s="37"/>
      <c r="H354" s="287"/>
      <c r="I354" s="37"/>
      <c r="J354" s="37"/>
      <c r="K354" s="37"/>
      <c r="L354" s="37"/>
      <c r="M354" s="287"/>
      <c r="N354" s="37"/>
      <c r="O354" s="37"/>
      <c r="P354" s="37"/>
      <c r="Q354" s="37"/>
      <c r="R354" s="287"/>
    </row>
    <row r="355" spans="1:18">
      <c r="A355" s="268"/>
      <c r="B355" s="288"/>
      <c r="C355" s="13"/>
      <c r="D355" s="13"/>
      <c r="E355" s="13"/>
      <c r="F355" s="13"/>
      <c r="G355" s="13"/>
      <c r="H355" s="113"/>
      <c r="I355" s="13"/>
      <c r="J355" s="13"/>
      <c r="K355" s="13"/>
      <c r="L355" s="13"/>
      <c r="M355" s="113"/>
      <c r="N355" s="13"/>
      <c r="O355" s="13"/>
      <c r="P355" s="13"/>
      <c r="Q355" s="13"/>
      <c r="R355" s="113"/>
    </row>
    <row r="356" spans="1:18">
      <c r="A356" s="264" t="s">
        <v>331</v>
      </c>
      <c r="B356" s="282"/>
      <c r="C356" s="40"/>
      <c r="D356" s="40"/>
      <c r="E356" s="40"/>
      <c r="F356" s="40"/>
      <c r="G356" s="40"/>
      <c r="H356" s="283"/>
      <c r="I356" s="40"/>
      <c r="J356" s="40"/>
      <c r="K356" s="40"/>
      <c r="L356" s="40"/>
      <c r="M356" s="283"/>
      <c r="N356" s="40"/>
      <c r="O356" s="40"/>
      <c r="P356" s="40"/>
      <c r="Q356" s="40"/>
      <c r="R356" s="283"/>
    </row>
    <row r="357" spans="1:18">
      <c r="A357" s="265" t="s">
        <v>75</v>
      </c>
      <c r="B357" s="284">
        <f>IF(Preencher!I38="Não",IF(OR(Preencher!$B$92=Preencher!$O$93,Preencher!$B$92=Preencher!$O$94),1.84,IF(OR(Preencher!$B$92=Preencher!$O$95,Preencher!$B$92=Preencher!$O$96,Preencher!$B$92=Preencher!$O$97,Preencher!$B$92=Preencher!$O$98),2.15,0)),IF(OR(Preencher!$B$92=Preencher!$O$93,Preencher!$B$92=Preencher!$O$94),1.84,IF(OR(Preencher!$B$92=Preencher!$O$95,Preencher!$B$92=Preencher!$O$96,Preencher!$B$92=Preencher!$O$97,Preencher!$B$92=Preencher!$O$98),2.87,0)))</f>
        <v>2.15</v>
      </c>
      <c r="C357" s="600">
        <f>IF(B357=0,"-",3600/B357)</f>
        <v>1674.4186046511629</v>
      </c>
      <c r="D357" s="259">
        <f>IFERROR((H357/C357/Preencher!$B$94),"-")</f>
        <v>2.8666666666666663</v>
      </c>
      <c r="E357" s="600">
        <f>IFERROR(ROUNDUP(D357/0.95,0.999),0)*Preencher!$B$94</f>
        <v>4</v>
      </c>
      <c r="F357" s="601">
        <f>IFERROR((H357/C357/E357),"-")</f>
        <v>0.71666666666666656</v>
      </c>
      <c r="G357" s="37"/>
      <c r="H357" s="285">
        <f>IF(Preencher!$E$94&lt;Preencher!$B$93,Preencher!$E$94,Preencher!$B$93)+Preencher!$B$125</f>
        <v>4800</v>
      </c>
      <c r="I357" s="259" t="str">
        <f>IFERROR((M357/C357/Preencher!$C$94),"-")</f>
        <v>-</v>
      </c>
      <c r="J357" s="600">
        <f>IFERROR(ROUNDUP(I357/0.95,0.999),0)*Preencher!$C$94</f>
        <v>0</v>
      </c>
      <c r="K357" s="601" t="str">
        <f>IFERROR((M357/C357/J357),"-")</f>
        <v>-</v>
      </c>
      <c r="L357" s="37"/>
      <c r="M357" s="285">
        <f>IF(Preencher!$E$94&lt;Preencher!$C$93,Preencher!$E$94,Preencher!$C$93)+Preencher!$C$125</f>
        <v>0</v>
      </c>
      <c r="N357" s="259" t="str">
        <f>IFERROR((R357/C357/Preencher!$D$94),"-")</f>
        <v>-</v>
      </c>
      <c r="O357" s="600">
        <f>IFERROR(ROUNDUP(N357/0.95,0.999),0)*Preencher!$D$94+IF(Preencher!$D$125&gt;0,1,0)</f>
        <v>0</v>
      </c>
      <c r="P357" s="601" t="str">
        <f>IFERROR((R357/C357/O357),"-")</f>
        <v>-</v>
      </c>
      <c r="Q357" s="37"/>
      <c r="R357" s="285">
        <f>IF(Preencher!$E$94&lt;Preencher!$D$93,Preencher!$E$94,Preencher!$D$93)+Preencher!$D$125</f>
        <v>0</v>
      </c>
    </row>
    <row r="358" spans="1:18">
      <c r="A358" s="265" t="s">
        <v>76</v>
      </c>
      <c r="B358" s="284">
        <f>IF(OR(Preencher!$B$92=Preencher!$O$91,Preencher!$B$92=Preencher!$O$92,Preencher!$B$92=Preencher!$O$97,Preencher!$B$92=Preencher!$O$98),0,1.8)</f>
        <v>0</v>
      </c>
      <c r="C358" s="251" t="str">
        <f>IF(B358=0,"-",3600/B358)</f>
        <v>-</v>
      </c>
      <c r="D358" s="259" t="str">
        <f>IFERROR((H358/C358/Preencher!$B$95),"-")</f>
        <v>-</v>
      </c>
      <c r="E358" s="251">
        <f>IFERROR(ROUNDUP(D358/0.95,0.999),0)*Preencher!$B$95</f>
        <v>0</v>
      </c>
      <c r="F358" s="252" t="str">
        <f>IFERROR((H358/C358/E358),"-")</f>
        <v>-</v>
      </c>
      <c r="G358" s="37"/>
      <c r="H358" s="285">
        <f>IF(Preencher!$E$95&lt;Preencher!$B$93,Preencher!$E$95,Preencher!$B$93)</f>
        <v>0</v>
      </c>
      <c r="I358" s="259" t="str">
        <f>IFERROR((M358/C358/Preencher!$C$95),"-")</f>
        <v>-</v>
      </c>
      <c r="J358" s="251">
        <f>IFERROR(ROUNDUP(I358/0.95,0.999),0)*Preencher!$C$95</f>
        <v>0</v>
      </c>
      <c r="K358" s="252" t="str">
        <f t="shared" ref="K358:K365" si="128">IFERROR((M358/C358/J358),"-")</f>
        <v>-</v>
      </c>
      <c r="L358" s="37"/>
      <c r="M358" s="285">
        <f>IF(Preencher!$E$95&lt;Preencher!$C$93,Preencher!$E$95,Preencher!$C$93)</f>
        <v>0</v>
      </c>
      <c r="N358" s="259" t="str">
        <f>IFERROR((R358/C358/Preencher!$D$95),"-")</f>
        <v>-</v>
      </c>
      <c r="O358" s="251">
        <f>IFERROR(ROUNDUP(N358/0.95,0.999),0)*Preencher!$D$95</f>
        <v>0</v>
      </c>
      <c r="P358" s="252" t="str">
        <f t="shared" ref="P358:P365" si="129">IFERROR((R358/C358/O358),"-")</f>
        <v>-</v>
      </c>
      <c r="Q358" s="37"/>
      <c r="R358" s="285">
        <f>IF(Preencher!$E$95&lt;Preencher!$D$93,Preencher!$E$95,Preencher!$D$93)</f>
        <v>0</v>
      </c>
    </row>
    <row r="359" spans="1:18">
      <c r="A359" s="265" t="s">
        <v>205</v>
      </c>
      <c r="B359" s="284"/>
      <c r="C359" s="251"/>
      <c r="D359" s="259"/>
      <c r="E359" s="343">
        <f>SUM(E360:E362)</f>
        <v>0</v>
      </c>
      <c r="F359" s="344" t="str">
        <f>IFERROR(MEDIAN(F360:F362),"-")</f>
        <v>-</v>
      </c>
      <c r="G359" s="37"/>
      <c r="H359" s="285"/>
      <c r="I359" s="259"/>
      <c r="J359" s="343">
        <f>SUM(J360:J362)</f>
        <v>0</v>
      </c>
      <c r="K359" s="344" t="str">
        <f>IFERROR(MEDIAN(K360:K362),"-")</f>
        <v>-</v>
      </c>
      <c r="L359" s="37"/>
      <c r="M359" s="285"/>
      <c r="N359" s="259"/>
      <c r="O359" s="343">
        <f>SUM(O360:O362)</f>
        <v>0</v>
      </c>
      <c r="P359" s="344" t="str">
        <f>IFERROR(MEDIAN(P360:P362),"-")</f>
        <v>-</v>
      </c>
      <c r="Q359" s="37"/>
      <c r="R359" s="285"/>
    </row>
    <row r="360" spans="1:18">
      <c r="A360" s="314" t="s">
        <v>1353</v>
      </c>
      <c r="B360" s="284">
        <v>0.2</v>
      </c>
      <c r="C360" s="343">
        <f t="shared" ref="C360:C365" si="130">IF(B360=0,"-",3600/B360)</f>
        <v>18000</v>
      </c>
      <c r="D360" s="259" t="str">
        <f>IFERROR((H360/C360/Preencher!$B$95),"-")</f>
        <v>-</v>
      </c>
      <c r="E360" s="343">
        <f>IFERROR(ROUNDUP(D360/0.95,0.999),0)</f>
        <v>0</v>
      </c>
      <c r="F360" s="344" t="str">
        <f t="shared" ref="F360:F365" si="131">IFERROR((H360/C360/E360),"-")</f>
        <v>-</v>
      </c>
      <c r="G360" s="37"/>
      <c r="H360" s="285">
        <f>IF(OR(Preencher!$B$92=Preencher!$O$93,Preencher!$B$92=Preencher!$O$96),IF(Preencher!$E$95&lt;Preencher!$B$93,Preencher!$E$95,Preencher!$B$93),0)</f>
        <v>0</v>
      </c>
      <c r="I360" s="259" t="str">
        <f>IFERROR((M360/C360/Preencher!$C$95),"-")</f>
        <v>-</v>
      </c>
      <c r="J360" s="343">
        <f>IFERROR(ROUNDUP(I360/0.95,0.999),0)</f>
        <v>0</v>
      </c>
      <c r="K360" s="344" t="str">
        <f>IFERROR((M360/C360/J360),"-")</f>
        <v>-</v>
      </c>
      <c r="L360" s="37"/>
      <c r="M360" s="285">
        <f>IF(OR(Preencher!$C$92=Preencher!$O$93,Preencher!$C$92=Preencher!$O$96),IF(Preencher!$E$95&lt;Preencher!$C$93,Preencher!$E$95,Preencher!$C$93),0)</f>
        <v>0</v>
      </c>
      <c r="N360" s="259" t="str">
        <f>IFERROR((R360/C360/Preencher!$D$95),"-")</f>
        <v>-</v>
      </c>
      <c r="O360" s="343">
        <f>IFERROR(ROUNDUP(N360/0.95,0.999),0)</f>
        <v>0</v>
      </c>
      <c r="P360" s="344" t="str">
        <f>IFERROR((R360/C360/O360),"-")</f>
        <v>-</v>
      </c>
      <c r="Q360" s="37"/>
      <c r="R360" s="285">
        <f>IF(OR(Preencher!$D$92=Preencher!$O$93,Preencher!$D$92=Preencher!$O$96),IF(Preencher!$E$95&lt;Preencher!$D$93,Preencher!$E$95,Preencher!$D$93),0)</f>
        <v>0</v>
      </c>
    </row>
    <row r="361" spans="1:18">
      <c r="A361" s="314" t="s">
        <v>1355</v>
      </c>
      <c r="B361" s="347">
        <v>2.11</v>
      </c>
      <c r="C361" s="343">
        <f t="shared" si="130"/>
        <v>1706.1611374407585</v>
      </c>
      <c r="D361" s="259" t="str">
        <f>IFERROR((H361/C361/Preencher!$B$95),"-")</f>
        <v>-</v>
      </c>
      <c r="E361" s="343">
        <f>IFERROR(ROUNDUP(D361/0.95,0.999),0)*Preencher!$B$95</f>
        <v>0</v>
      </c>
      <c r="F361" s="344" t="str">
        <f t="shared" si="131"/>
        <v>-</v>
      </c>
      <c r="G361" s="37"/>
      <c r="H361" s="285">
        <f>IF(OR(Preencher!$B$92=Preencher!$O$94,Preencher!$B$92=Preencher!$O$95),IF(Preencher!$E$95&lt;Preencher!$B$93,Preencher!$E$95,Preencher!$B$93),0)</f>
        <v>0</v>
      </c>
      <c r="I361" s="259" t="str">
        <f>IFERROR((M361/C361/Preencher!$C$95),"-")</f>
        <v>-</v>
      </c>
      <c r="J361" s="343">
        <f>IFERROR(ROUNDUP(I361/0.95,0.999),0)*Preencher!$C$95</f>
        <v>0</v>
      </c>
      <c r="K361" s="344" t="str">
        <f>IFERROR((M361/C361/J361),"-")</f>
        <v>-</v>
      </c>
      <c r="L361" s="37"/>
      <c r="M361" s="285">
        <f>IF(OR(Preencher!$C$92=Preencher!$O$94,Preencher!$C$92=Preencher!$O$95),IF(Preencher!$E$95&lt;Preencher!$C$93,Preencher!$E$95,Preencher!$C$93),0)</f>
        <v>0</v>
      </c>
      <c r="N361" s="259" t="str">
        <f>IFERROR((R361/C361/Preencher!$D$95),"-")</f>
        <v>-</v>
      </c>
      <c r="O361" s="343">
        <f>IFERROR(ROUNDUP(N361/0.95,0.999),0)*Preencher!$D$95</f>
        <v>0</v>
      </c>
      <c r="P361" s="344" t="str">
        <f>IFERROR((R361/C361/O361),"-")</f>
        <v>-</v>
      </c>
      <c r="Q361" s="37"/>
      <c r="R361" s="285">
        <f>IF(OR(Preencher!$D$92=Preencher!$O$94,Preencher!$D$92=Preencher!$O$95),IF(Preencher!$E$95&lt;Preencher!$D$93,Preencher!$E$95,Preencher!$D$93),0)</f>
        <v>0</v>
      </c>
    </row>
    <row r="362" spans="1:18">
      <c r="A362" s="314" t="s">
        <v>1354</v>
      </c>
      <c r="B362" s="284">
        <v>2.11</v>
      </c>
      <c r="C362" s="343">
        <f t="shared" si="130"/>
        <v>1706.1611374407585</v>
      </c>
      <c r="D362" s="259" t="str">
        <f>IFERROR((H362/C362/Preencher!$B$95),"-")</f>
        <v>-</v>
      </c>
      <c r="E362" s="343">
        <f>IFERROR(ROUNDUP(D362/0.95,0.999),0)*Preencher!$B$95</f>
        <v>0</v>
      </c>
      <c r="F362" s="344" t="str">
        <f t="shared" si="131"/>
        <v>-</v>
      </c>
      <c r="G362" s="37"/>
      <c r="H362" s="285">
        <f>IF(OR(Preencher!$B$92=Preencher!$O$94,Preencher!$B$92=Preencher!$O$95),IF(Preencher!$E$95&lt;Preencher!$B$93,Preencher!$E$95,Preencher!$B$93),0)</f>
        <v>0</v>
      </c>
      <c r="I362" s="259" t="str">
        <f>IFERROR((M362/C362/Preencher!$C$95),"-")</f>
        <v>-</v>
      </c>
      <c r="J362" s="343">
        <f>IFERROR(ROUNDUP(I362/0.95,0.999),0)*Preencher!$C$95</f>
        <v>0</v>
      </c>
      <c r="K362" s="344" t="str">
        <f>IFERROR((M362/C362/J362),"-")</f>
        <v>-</v>
      </c>
      <c r="L362" s="37"/>
      <c r="M362" s="285">
        <f>IF(OR(Preencher!$C$92=Preencher!$O$94,Preencher!$C$92=Preencher!$O$95),IF(Preencher!$E$95&lt;Preencher!$C$93,Preencher!$E$95,Preencher!$C$93),0)</f>
        <v>0</v>
      </c>
      <c r="N362" s="259" t="str">
        <f>IFERROR((R362/C362/Preencher!$D$95),"-")</f>
        <v>-</v>
      </c>
      <c r="O362" s="343">
        <f>IFERROR(ROUNDUP(N362/0.95,0.999),0)*Preencher!$D$95</f>
        <v>0</v>
      </c>
      <c r="P362" s="344" t="str">
        <f>IFERROR((R362/C362/O362),"-")</f>
        <v>-</v>
      </c>
      <c r="Q362" s="37"/>
      <c r="R362" s="285">
        <f>IF(OR(Preencher!$D$92=Preencher!$O$94,Preencher!$D$92=Preencher!$O$95),IF(Preencher!$E$95&lt;Preencher!$D$93,Preencher!$E$95,Preencher!$D$93),0)</f>
        <v>0</v>
      </c>
    </row>
    <row r="363" spans="1:18">
      <c r="A363" s="265" t="s">
        <v>77</v>
      </c>
      <c r="B363" s="284">
        <f>IF(Preencher!B92="Stork/Cone",0.2,0.593)</f>
        <v>0.2</v>
      </c>
      <c r="C363" s="251">
        <f t="shared" si="130"/>
        <v>18000</v>
      </c>
      <c r="D363" s="259">
        <f>IFERROR((H363/C363),"-")</f>
        <v>0.26666666666666666</v>
      </c>
      <c r="E363" s="251">
        <f>IFERROR(ROUNDUP(D363/0.95,0.999),0)</f>
        <v>1</v>
      </c>
      <c r="F363" s="252">
        <f t="shared" si="131"/>
        <v>0.26666666666666666</v>
      </c>
      <c r="G363" s="37"/>
      <c r="H363" s="285">
        <f>Preencher!$B$93</f>
        <v>4800</v>
      </c>
      <c r="I363" s="259">
        <f>IFERROR((M363/C363),"-")</f>
        <v>0</v>
      </c>
      <c r="J363" s="251">
        <f>IFERROR(ROUNDUP(I363/0.95,0.999),0)</f>
        <v>0</v>
      </c>
      <c r="K363" s="252" t="str">
        <f t="shared" si="128"/>
        <v>-</v>
      </c>
      <c r="L363" s="37"/>
      <c r="M363" s="285">
        <f>Preencher!$C$93</f>
        <v>0</v>
      </c>
      <c r="N363" s="259">
        <f>IFERROR((R363/C363),"-")</f>
        <v>0</v>
      </c>
      <c r="O363" s="251">
        <f>IFERROR(ROUNDUP(N363/0.95,0.999),0)</f>
        <v>0</v>
      </c>
      <c r="P363" s="252" t="str">
        <f t="shared" si="129"/>
        <v>-</v>
      </c>
      <c r="Q363" s="37"/>
      <c r="R363" s="285">
        <f>Preencher!$D$93</f>
        <v>0</v>
      </c>
    </row>
    <row r="364" spans="1:18">
      <c r="A364" s="265" t="s">
        <v>632</v>
      </c>
      <c r="B364" s="284">
        <f>3600*0.95</f>
        <v>3420</v>
      </c>
      <c r="C364" s="251">
        <f t="shared" si="130"/>
        <v>1.0526315789473684</v>
      </c>
      <c r="D364" s="259">
        <f>IFERROR((H364/C364),"-")</f>
        <v>0.95000000000000007</v>
      </c>
      <c r="E364" s="251">
        <f>IFERROR(ROUNDUP(D364/0.95,0.999),0)</f>
        <v>1</v>
      </c>
      <c r="F364" s="252">
        <f t="shared" si="131"/>
        <v>0.95000000000000007</v>
      </c>
      <c r="G364" s="37"/>
      <c r="H364" s="285">
        <f>Preencher!$B$94</f>
        <v>1</v>
      </c>
      <c r="I364" s="259">
        <f>IFERROR((M364/C364),"-")</f>
        <v>0</v>
      </c>
      <c r="J364" s="251">
        <f>IFERROR(ROUNDUP(I364/0.95,0.999),0)</f>
        <v>0</v>
      </c>
      <c r="K364" s="252" t="str">
        <f t="shared" si="128"/>
        <v>-</v>
      </c>
      <c r="L364" s="37"/>
      <c r="M364" s="285">
        <f>Preencher!$C$94</f>
        <v>0</v>
      </c>
      <c r="N364" s="259">
        <f>IFERROR((R364/C364),"-")</f>
        <v>0</v>
      </c>
      <c r="O364" s="251">
        <f>IFERROR(ROUNDUP(N364/0.95,0.999),0)</f>
        <v>0</v>
      </c>
      <c r="P364" s="252" t="str">
        <f t="shared" si="129"/>
        <v>-</v>
      </c>
      <c r="Q364" s="37"/>
      <c r="R364" s="285">
        <f>Preencher!$D$94</f>
        <v>0</v>
      </c>
    </row>
    <row r="365" spans="1:18">
      <c r="A365" s="265" t="s">
        <v>633</v>
      </c>
      <c r="B365" s="284">
        <f>3600*0.95</f>
        <v>3420</v>
      </c>
      <c r="C365" s="251">
        <f t="shared" si="130"/>
        <v>1.0526315789473684</v>
      </c>
      <c r="D365" s="259">
        <f>IFERROR((H365/C365),"-")</f>
        <v>0</v>
      </c>
      <c r="E365" s="251">
        <f>IFERROR(ROUNDUP(D365/0.95,0.999),0)</f>
        <v>0</v>
      </c>
      <c r="F365" s="252" t="str">
        <f t="shared" si="131"/>
        <v>-</v>
      </c>
      <c r="G365" s="37"/>
      <c r="H365" s="285">
        <f>Preencher!$B$95</f>
        <v>0</v>
      </c>
      <c r="I365" s="259">
        <f>IFERROR((M365/C365),"-")</f>
        <v>0</v>
      </c>
      <c r="J365" s="251">
        <f>IFERROR(ROUNDUP(I365/0.95,0.999),0)</f>
        <v>0</v>
      </c>
      <c r="K365" s="252" t="str">
        <f t="shared" si="128"/>
        <v>-</v>
      </c>
      <c r="L365" s="37"/>
      <c r="M365" s="285">
        <f>Preencher!$C$95</f>
        <v>0</v>
      </c>
      <c r="N365" s="259">
        <f>IFERROR((R365/C365),"-")</f>
        <v>0</v>
      </c>
      <c r="O365" s="251">
        <f>IFERROR(ROUNDUP(N365/0.95,0.999),0)</f>
        <v>0</v>
      </c>
      <c r="P365" s="252" t="str">
        <f t="shared" si="129"/>
        <v>-</v>
      </c>
      <c r="Q365" s="37"/>
      <c r="R365" s="285">
        <f>Preencher!$D$95</f>
        <v>0</v>
      </c>
    </row>
    <row r="366" spans="1:18">
      <c r="A366" s="265"/>
      <c r="B366" s="286"/>
      <c r="C366" s="37"/>
      <c r="D366" s="37"/>
      <c r="E366" s="37"/>
      <c r="F366" s="37"/>
      <c r="G366" s="37"/>
      <c r="H366" s="287"/>
      <c r="I366" s="37"/>
      <c r="J366" s="37"/>
      <c r="K366" s="37"/>
      <c r="L366" s="37"/>
      <c r="M366" s="287"/>
      <c r="N366" s="37"/>
      <c r="O366" s="37"/>
      <c r="P366" s="37"/>
      <c r="Q366" s="37"/>
      <c r="R366" s="287"/>
    </row>
    <row r="367" spans="1:18">
      <c r="A367" s="270" t="s">
        <v>723</v>
      </c>
      <c r="B367" s="291"/>
      <c r="C367" s="39"/>
      <c r="D367" s="39"/>
      <c r="E367" s="39"/>
      <c r="F367" s="39"/>
      <c r="G367" s="39"/>
      <c r="H367" s="292"/>
      <c r="I367" s="39"/>
      <c r="J367" s="39"/>
      <c r="K367" s="39"/>
      <c r="L367" s="39"/>
      <c r="M367" s="292"/>
      <c r="N367" s="39"/>
      <c r="O367" s="39"/>
      <c r="P367" s="39"/>
      <c r="Q367" s="39"/>
      <c r="R367" s="292"/>
    </row>
    <row r="368" spans="1:18">
      <c r="A368" s="265"/>
      <c r="B368" s="286"/>
      <c r="C368" s="37"/>
      <c r="D368" s="37"/>
      <c r="E368" s="37"/>
      <c r="F368" s="37"/>
      <c r="G368" s="37"/>
      <c r="H368" s="287"/>
      <c r="I368" s="37"/>
      <c r="J368" s="37"/>
      <c r="K368" s="37"/>
      <c r="L368" s="37"/>
      <c r="M368" s="287"/>
      <c r="N368" s="37"/>
      <c r="O368" s="37"/>
      <c r="P368" s="37"/>
      <c r="Q368" s="37"/>
      <c r="R368" s="287"/>
    </row>
    <row r="369" spans="1:18">
      <c r="A369" s="265"/>
      <c r="B369" s="286"/>
      <c r="C369" s="37"/>
      <c r="D369" s="37"/>
      <c r="E369" s="37"/>
      <c r="F369" s="37"/>
      <c r="G369" s="37"/>
      <c r="H369" s="287"/>
      <c r="I369" s="37"/>
      <c r="J369" s="37"/>
      <c r="K369" s="37"/>
      <c r="L369" s="37"/>
      <c r="M369" s="287"/>
      <c r="N369" s="37"/>
      <c r="O369" s="37"/>
      <c r="P369" s="37"/>
      <c r="Q369" s="37"/>
      <c r="R369" s="287"/>
    </row>
    <row r="370" spans="1:18">
      <c r="A370" s="265"/>
      <c r="B370" s="286"/>
      <c r="C370" s="37"/>
      <c r="D370" s="37"/>
      <c r="E370" s="37"/>
      <c r="F370" s="37"/>
      <c r="G370" s="37"/>
      <c r="H370" s="287"/>
      <c r="I370" s="37"/>
      <c r="J370" s="37"/>
      <c r="K370" s="37"/>
      <c r="L370" s="37"/>
      <c r="M370" s="287"/>
      <c r="N370" s="37"/>
      <c r="O370" s="37"/>
      <c r="P370" s="37"/>
      <c r="Q370" s="37"/>
      <c r="R370" s="287"/>
    </row>
    <row r="371" spans="1:18">
      <c r="A371" s="265"/>
      <c r="B371" s="286"/>
      <c r="C371" s="37"/>
      <c r="D371" s="37"/>
      <c r="E371" s="37"/>
      <c r="F371" s="37"/>
      <c r="G371" s="37"/>
      <c r="H371" s="287"/>
      <c r="I371" s="37"/>
      <c r="J371" s="37"/>
      <c r="K371" s="37"/>
      <c r="L371" s="37"/>
      <c r="M371" s="287"/>
      <c r="N371" s="37"/>
      <c r="O371" s="37"/>
      <c r="P371" s="37"/>
      <c r="Q371" s="37"/>
      <c r="R371" s="287"/>
    </row>
    <row r="372" spans="1:18">
      <c r="A372" s="265"/>
      <c r="B372" s="286"/>
      <c r="C372" s="37"/>
      <c r="D372" s="37"/>
      <c r="E372" s="37"/>
      <c r="F372" s="37"/>
      <c r="G372" s="37"/>
      <c r="H372" s="287"/>
      <c r="I372" s="37"/>
      <c r="J372" s="37"/>
      <c r="K372" s="37"/>
      <c r="L372" s="37"/>
      <c r="M372" s="287"/>
      <c r="N372" s="37"/>
      <c r="O372" s="37"/>
      <c r="P372" s="37"/>
      <c r="Q372" s="37"/>
      <c r="R372" s="287"/>
    </row>
    <row r="373" spans="1:18">
      <c r="A373" s="268"/>
      <c r="B373" s="288"/>
      <c r="C373" s="13"/>
      <c r="D373" s="13"/>
      <c r="E373" s="13"/>
      <c r="F373" s="13"/>
      <c r="G373" s="13"/>
      <c r="H373" s="113"/>
      <c r="I373" s="13"/>
      <c r="J373" s="13"/>
      <c r="K373" s="13"/>
      <c r="L373" s="13"/>
      <c r="M373" s="113"/>
      <c r="N373" s="13"/>
      <c r="O373" s="13"/>
      <c r="P373" s="13"/>
      <c r="Q373" s="13"/>
      <c r="R373" s="113"/>
    </row>
    <row r="374" spans="1:18">
      <c r="A374" s="264" t="s">
        <v>234</v>
      </c>
      <c r="B374" s="282"/>
      <c r="C374" s="40"/>
      <c r="D374" s="40"/>
      <c r="E374" s="40"/>
      <c r="F374" s="40"/>
      <c r="G374" s="40"/>
      <c r="H374" s="283"/>
      <c r="I374" s="40"/>
      <c r="J374" s="40"/>
      <c r="K374" s="40"/>
      <c r="L374" s="40"/>
      <c r="M374" s="283"/>
      <c r="N374" s="40"/>
      <c r="O374" s="40"/>
      <c r="P374" s="40"/>
      <c r="Q374" s="40"/>
      <c r="R374" s="283"/>
    </row>
    <row r="375" spans="1:18">
      <c r="A375" s="265" t="s">
        <v>206</v>
      </c>
      <c r="B375" s="284"/>
      <c r="C375" s="251"/>
      <c r="D375" s="259"/>
      <c r="E375" s="600">
        <f>MEDIAN(E376:E377)</f>
        <v>0</v>
      </c>
      <c r="F375" s="601" t="str">
        <f>IFERROR(MEDIAN(F376:F377),"-")</f>
        <v>-</v>
      </c>
      <c r="G375" s="37"/>
      <c r="H375" s="285"/>
      <c r="I375" s="259"/>
      <c r="J375" s="664">
        <f>MEDIAN(J376:J377)</f>
        <v>0</v>
      </c>
      <c r="K375" s="665" t="str">
        <f>IFERROR(MEDIAN(K376:K377),"-")</f>
        <v>-</v>
      </c>
      <c r="L375" s="37"/>
      <c r="M375" s="285"/>
      <c r="N375" s="259"/>
      <c r="O375" s="664">
        <f>MEDIAN(O376:O377)</f>
        <v>0</v>
      </c>
      <c r="P375" s="665" t="str">
        <f>IFERROR(MEDIAN(P376:P377),"-")</f>
        <v>-</v>
      </c>
      <c r="Q375" s="37"/>
      <c r="R375" s="285"/>
    </row>
    <row r="376" spans="1:18">
      <c r="A376" s="314" t="s">
        <v>2162</v>
      </c>
      <c r="B376" s="284">
        <f>480</f>
        <v>480</v>
      </c>
      <c r="C376" s="600">
        <f>IF(B376=0,"-",3600/B376)</f>
        <v>7.5</v>
      </c>
      <c r="D376" s="259">
        <f t="shared" ref="D376:D381" si="132">IFERROR((H376/C376),"-")</f>
        <v>0</v>
      </c>
      <c r="E376" s="600">
        <f>IFERROR(ROUNDUP(D376/0.95,0.999),0)</f>
        <v>0</v>
      </c>
      <c r="F376" s="601" t="str">
        <f t="shared" ref="F376:F381" si="133">IFERROR((H376/C376/E376),"-")</f>
        <v>-</v>
      </c>
      <c r="G376" s="37"/>
      <c r="H376" s="285">
        <f>Preencher!$B$138/(SUM(Preencher!$B$138:$D$138))*((RESUMO!$F$248+RESUMO!$F$240)*Preencher!$I$12)/2/4</f>
        <v>0</v>
      </c>
      <c r="I376" s="259">
        <f>IFERROR((M376/C376),"-")</f>
        <v>0</v>
      </c>
      <c r="J376" s="600">
        <f>IFERROR(ROUNDUP(I376/0.95,0.999),0)</f>
        <v>0</v>
      </c>
      <c r="K376" s="601" t="str">
        <f>IFERROR((M376/C376/J376),"-")</f>
        <v>-</v>
      </c>
      <c r="L376" s="37"/>
      <c r="M376" s="285">
        <f>Preencher!$C$138/(SUM(Preencher!$B$138:$D$138))*((RESUMO!$F$248+RESUMO!$F$240)*Preencher!$I$12)/2/4</f>
        <v>0</v>
      </c>
      <c r="N376" s="259">
        <f>IFERROR((R376/C376),"-")</f>
        <v>0</v>
      </c>
      <c r="O376" s="600">
        <f>IFERROR(ROUNDUP(N376/0.95,0.999),0)</f>
        <v>0</v>
      </c>
      <c r="P376" s="601" t="str">
        <f>IFERROR((R376/C376/O376),"-")</f>
        <v>-</v>
      </c>
      <c r="Q376" s="37"/>
      <c r="R376" s="285">
        <f>Preencher!$D$138/(SUM(Preencher!$B$138:$D$138))*((RESUMO!$F$248+RESUMO!$F$240)*Preencher!$I$12)/2/4</f>
        <v>0</v>
      </c>
    </row>
    <row r="377" spans="1:18">
      <c r="A377" s="314" t="s">
        <v>2163</v>
      </c>
      <c r="B377" s="284">
        <f>480</f>
        <v>480</v>
      </c>
      <c r="C377" s="600">
        <f>IF(B377=0,"-",3600/B377)</f>
        <v>7.5</v>
      </c>
      <c r="D377" s="259">
        <f t="shared" si="132"/>
        <v>0</v>
      </c>
      <c r="E377" s="600">
        <f>IFERROR(ROUNDUP(D377/0.95,0.999),0)</f>
        <v>0</v>
      </c>
      <c r="F377" s="601" t="str">
        <f t="shared" si="133"/>
        <v>-</v>
      </c>
      <c r="G377" s="37"/>
      <c r="H377" s="285">
        <f>Preencher!$B$138/(SUM(Preencher!$B$138:$D$138))*((RESUMO!$F$248+RESUMO!$F$240)*Preencher!$I$12)/2/4</f>
        <v>0</v>
      </c>
      <c r="I377" s="259">
        <f>IFERROR((M377/C377),"-")</f>
        <v>0</v>
      </c>
      <c r="J377" s="600">
        <f>IFERROR(ROUNDUP(I377/0.95,0.999),0)</f>
        <v>0</v>
      </c>
      <c r="K377" s="601" t="str">
        <f>IFERROR((M377/C377/J377),"-")</f>
        <v>-</v>
      </c>
      <c r="L377" s="37"/>
      <c r="M377" s="285">
        <f>Preencher!$C$138/(SUM(Preencher!$B$138:$D$138))*((RESUMO!$F$248+RESUMO!$F$240)*Preencher!$I$12)/2/4</f>
        <v>0</v>
      </c>
      <c r="N377" s="259">
        <f>IFERROR((R377/C377),"-")</f>
        <v>0</v>
      </c>
      <c r="O377" s="600">
        <f>IFERROR(ROUNDUP(N377/0.95,0.999),0)</f>
        <v>0</v>
      </c>
      <c r="P377" s="601" t="str">
        <f>IFERROR((R377/C377/O377),"-")</f>
        <v>-</v>
      </c>
      <c r="Q377" s="37"/>
      <c r="R377" s="285">
        <f>Preencher!$D$138/(SUM(Preencher!$B$138:$D$138))*((RESUMO!$F$248+RESUMO!$F$240)*Preencher!$I$12)/2/4</f>
        <v>0</v>
      </c>
    </row>
    <row r="378" spans="1:18">
      <c r="A378" s="265" t="s">
        <v>207</v>
      </c>
      <c r="B378" s="284">
        <f>30</f>
        <v>30</v>
      </c>
      <c r="C378" s="251">
        <f t="shared" ref="C378:C389" si="134">IF(B378=0,"-",3600/B378)</f>
        <v>120</v>
      </c>
      <c r="D378" s="259">
        <f t="shared" si="132"/>
        <v>0</v>
      </c>
      <c r="E378" s="251">
        <f t="shared" ref="E378:E389" si="135">IFERROR(ROUNDUP(D378/0.95,0.999),0)</f>
        <v>0</v>
      </c>
      <c r="F378" s="252" t="str">
        <f t="shared" si="133"/>
        <v>-</v>
      </c>
      <c r="G378" s="37"/>
      <c r="H378" s="285">
        <f>RESUMO!F244</f>
        <v>0</v>
      </c>
      <c r="I378" s="259">
        <f t="shared" ref="I378:I389" si="136">IFERROR((M378/C378),"-")</f>
        <v>0</v>
      </c>
      <c r="J378" s="251">
        <f t="shared" ref="J378:J389" si="137">IFERROR(ROUNDUP(I378/0.95,0.999),0)</f>
        <v>0</v>
      </c>
      <c r="K378" s="252" t="str">
        <f t="shared" ref="K378:K389" si="138">IFERROR((M378/C378/J378),"-")</f>
        <v>-</v>
      </c>
      <c r="L378" s="37"/>
      <c r="M378" s="285">
        <f>H378</f>
        <v>0</v>
      </c>
      <c r="N378" s="259">
        <f t="shared" ref="N378:N389" si="139">IFERROR((R378/C378),"-")</f>
        <v>0</v>
      </c>
      <c r="O378" s="251">
        <f t="shared" ref="O378:O389" si="140">IFERROR(ROUNDUP(N378/0.95,0.999),0)</f>
        <v>0</v>
      </c>
      <c r="P378" s="252" t="str">
        <f t="shared" ref="P378:P389" si="141">IFERROR((R378/C378/O378),"-")</f>
        <v>-</v>
      </c>
      <c r="Q378" s="37"/>
      <c r="R378" s="285">
        <f>Preencher!$D$93</f>
        <v>0</v>
      </c>
    </row>
    <row r="379" spans="1:18">
      <c r="A379" s="265" t="s">
        <v>211</v>
      </c>
      <c r="B379" s="284"/>
      <c r="C379" s="251" t="str">
        <f t="shared" si="134"/>
        <v>-</v>
      </c>
      <c r="D379" s="259" t="str">
        <f t="shared" si="132"/>
        <v>-</v>
      </c>
      <c r="E379" s="251">
        <f t="shared" si="135"/>
        <v>0</v>
      </c>
      <c r="F379" s="252" t="str">
        <f t="shared" si="133"/>
        <v>-</v>
      </c>
      <c r="G379" s="37"/>
      <c r="H379" s="285">
        <f>H378</f>
        <v>0</v>
      </c>
      <c r="I379" s="259" t="str">
        <f t="shared" si="136"/>
        <v>-</v>
      </c>
      <c r="J379" s="251">
        <f t="shared" si="137"/>
        <v>0</v>
      </c>
      <c r="K379" s="252" t="str">
        <f t="shared" si="138"/>
        <v>-</v>
      </c>
      <c r="L379" s="37"/>
      <c r="M379" s="285">
        <f>M378</f>
        <v>0</v>
      </c>
      <c r="N379" s="259" t="str">
        <f t="shared" si="139"/>
        <v>-</v>
      </c>
      <c r="O379" s="251">
        <f t="shared" si="140"/>
        <v>0</v>
      </c>
      <c r="P379" s="252" t="str">
        <f t="shared" si="141"/>
        <v>-</v>
      </c>
      <c r="Q379" s="37"/>
      <c r="R379" s="285"/>
    </row>
    <row r="380" spans="1:18">
      <c r="A380" s="265" t="s">
        <v>58</v>
      </c>
      <c r="B380" s="284">
        <f>260-260</f>
        <v>0</v>
      </c>
      <c r="C380" s="251" t="str">
        <f>IF(B380=0,"-",3600/B380)</f>
        <v>-</v>
      </c>
      <c r="D380" s="259" t="str">
        <f>IFERROR((H380/C380),"-")</f>
        <v>-</v>
      </c>
      <c r="E380" s="251">
        <f>IFERROR(ROUNDUP(D380/0.95,0.999),0)</f>
        <v>0</v>
      </c>
      <c r="F380" s="252" t="str">
        <f>IFERROR((H380/C380/E380),"-")</f>
        <v>-</v>
      </c>
      <c r="G380" s="37"/>
      <c r="H380" s="285">
        <f>Preencher!$B$138/(SUM(Preencher!$B$138:$D$138))*((RESUMO!$F$248+RESUMO!$F$240)*Preencher!$I$12)/2/4</f>
        <v>0</v>
      </c>
      <c r="I380" s="259" t="str">
        <f t="shared" si="136"/>
        <v>-</v>
      </c>
      <c r="J380" s="251">
        <f t="shared" si="137"/>
        <v>0</v>
      </c>
      <c r="K380" s="252" t="str">
        <f t="shared" si="138"/>
        <v>-</v>
      </c>
      <c r="L380" s="37"/>
      <c r="M380" s="285">
        <f>Preencher!$C$138/(SUM(Preencher!$B$138:$D$138))*((RESUMO!$F$248+RESUMO!$F$240)*Preencher!$I$12)/2/4</f>
        <v>0</v>
      </c>
      <c r="N380" s="259" t="str">
        <f t="shared" si="139"/>
        <v>-</v>
      </c>
      <c r="O380" s="251">
        <f t="shared" si="140"/>
        <v>0</v>
      </c>
      <c r="P380" s="252" t="str">
        <f t="shared" si="141"/>
        <v>-</v>
      </c>
      <c r="Q380" s="37"/>
      <c r="R380" s="285">
        <f>Preencher!$D$138/(SUM(Preencher!$B$138:$D$138))*((RESUMO!$F$248+RESUMO!$F$240)*Preencher!$I$12)/2/4</f>
        <v>0</v>
      </c>
    </row>
    <row r="381" spans="1:18">
      <c r="A381" s="265" t="s">
        <v>164</v>
      </c>
      <c r="B381" s="284">
        <f>1.2</f>
        <v>1.2</v>
      </c>
      <c r="C381" s="706">
        <f>IF(B381=0,"-",3600/B381)</f>
        <v>3000</v>
      </c>
      <c r="D381" s="259">
        <f t="shared" si="132"/>
        <v>0</v>
      </c>
      <c r="E381" s="706">
        <f>IFERROR(ROUNDUP(D381/0.95,0.999),0)</f>
        <v>0</v>
      </c>
      <c r="F381" s="705" t="str">
        <f t="shared" si="133"/>
        <v>-</v>
      </c>
      <c r="G381" s="37"/>
      <c r="H381" s="285">
        <f>H389</f>
        <v>0</v>
      </c>
      <c r="I381" s="259">
        <f>IFERROR((M381/C381),"-")</f>
        <v>0</v>
      </c>
      <c r="J381" s="706">
        <f>IFERROR(ROUNDUP(I381/0.95,0.999),0)</f>
        <v>0</v>
      </c>
      <c r="K381" s="705" t="str">
        <f>IFERROR((M381/C381/J381),"-")</f>
        <v>-</v>
      </c>
      <c r="L381" s="37"/>
      <c r="M381" s="285">
        <f>M389</f>
        <v>0</v>
      </c>
      <c r="N381" s="259">
        <f>IFERROR((R381/C381),"-")</f>
        <v>0</v>
      </c>
      <c r="O381" s="706">
        <f>IFERROR(ROUNDUP(N381/0.95,0.999),0)</f>
        <v>0</v>
      </c>
      <c r="P381" s="705" t="str">
        <f>IFERROR((R381/C381/O381),"-")</f>
        <v>-</v>
      </c>
      <c r="Q381" s="37"/>
      <c r="R381" s="285">
        <f>Preencher!$D$138/(SUM(Preencher!$B$138:$D$138))*((RESUMO!$F$248+RESUMO!$F$240)*Preencher!$I$12)/2/4</f>
        <v>0</v>
      </c>
    </row>
    <row r="382" spans="1:18">
      <c r="A382" s="265" t="s">
        <v>36</v>
      </c>
      <c r="B382" s="284">
        <f>IF(Preencher!$B$100=Preencher!$R$92,0,8+12)</f>
        <v>0</v>
      </c>
      <c r="C382" s="251" t="str">
        <f t="shared" si="134"/>
        <v>-</v>
      </c>
      <c r="D382" s="259" t="str">
        <f t="shared" ref="D382:D389" si="142">IFERROR((H382/C382),"-")</f>
        <v>-</v>
      </c>
      <c r="E382" s="251">
        <f>IFERROR(ROUNDUP(D382/0.95,0.999),0)</f>
        <v>0</v>
      </c>
      <c r="F382" s="252" t="str">
        <f t="shared" ref="F382:F389" si="143">IFERROR((H382/C382/E382),"-")</f>
        <v>-</v>
      </c>
      <c r="G382" s="37"/>
      <c r="H382" s="285">
        <f>IF(RESUMO!$D$243&lt;180,RESUMO!$D$243,RESUMO!$D$243/Preencher!$I$12)</f>
        <v>0</v>
      </c>
      <c r="I382" s="259" t="str">
        <f t="shared" si="136"/>
        <v>-</v>
      </c>
      <c r="J382" s="251">
        <f t="shared" si="137"/>
        <v>0</v>
      </c>
      <c r="K382" s="252" t="str">
        <f t="shared" si="138"/>
        <v>-</v>
      </c>
      <c r="L382" s="37"/>
      <c r="M382" s="285">
        <f>IF(RESUMO!$D$243&lt;180,0,RESUMO!$D$243/Preencher!$J$12)</f>
        <v>0</v>
      </c>
      <c r="N382" s="259" t="str">
        <f t="shared" si="139"/>
        <v>-</v>
      </c>
      <c r="O382" s="251">
        <f t="shared" si="140"/>
        <v>0</v>
      </c>
      <c r="P382" s="252" t="str">
        <f t="shared" si="141"/>
        <v>-</v>
      </c>
      <c r="Q382" s="37"/>
      <c r="R382" s="285">
        <f>IFERROR(IF(RESUMO!$D$243&lt;540,0,RESUMO!$D$243/Preencher!$K$12),0)</f>
        <v>0</v>
      </c>
    </row>
    <row r="383" spans="1:18">
      <c r="A383" s="265" t="s">
        <v>212</v>
      </c>
      <c r="B383" s="284"/>
      <c r="C383" s="251" t="str">
        <f t="shared" si="134"/>
        <v>-</v>
      </c>
      <c r="D383" s="259" t="str">
        <f t="shared" si="142"/>
        <v>-</v>
      </c>
      <c r="E383" s="251">
        <f t="shared" si="135"/>
        <v>0</v>
      </c>
      <c r="F383" s="252" t="str">
        <f t="shared" si="143"/>
        <v>-</v>
      </c>
      <c r="G383" s="37"/>
      <c r="H383" s="285"/>
      <c r="I383" s="259" t="str">
        <f t="shared" si="136"/>
        <v>-</v>
      </c>
      <c r="J383" s="251">
        <f t="shared" si="137"/>
        <v>0</v>
      </c>
      <c r="K383" s="252" t="str">
        <f t="shared" si="138"/>
        <v>-</v>
      </c>
      <c r="L383" s="37"/>
      <c r="M383" s="285"/>
      <c r="N383" s="259" t="str">
        <f t="shared" si="139"/>
        <v>-</v>
      </c>
      <c r="O383" s="251">
        <f t="shared" si="140"/>
        <v>0</v>
      </c>
      <c r="P383" s="252" t="str">
        <f t="shared" si="141"/>
        <v>-</v>
      </c>
      <c r="Q383" s="37"/>
      <c r="R383" s="285"/>
    </row>
    <row r="384" spans="1:18">
      <c r="A384" s="265" t="s">
        <v>213</v>
      </c>
      <c r="B384" s="284">
        <f>0.258</f>
        <v>0.25800000000000001</v>
      </c>
      <c r="C384" s="251">
        <f>IF(B384=0,"-",3600/B384)</f>
        <v>13953.488372093023</v>
      </c>
      <c r="D384" s="259">
        <f>IFERROR((H384/C384),"-")</f>
        <v>0.34400000000000003</v>
      </c>
      <c r="E384" s="251">
        <f>IFERROR(ROUNDUP(D384/0.95,0.999),0)</f>
        <v>1</v>
      </c>
      <c r="F384" s="252">
        <f>IFERROR((H384/C384/E384),"-")</f>
        <v>0.34400000000000003</v>
      </c>
      <c r="G384" s="37"/>
      <c r="H384" s="285">
        <f>Preencher!$B$93</f>
        <v>4800</v>
      </c>
      <c r="I384" s="259">
        <f t="shared" si="136"/>
        <v>0</v>
      </c>
      <c r="J384" s="251">
        <f t="shared" si="137"/>
        <v>0</v>
      </c>
      <c r="K384" s="252" t="str">
        <f t="shared" si="138"/>
        <v>-</v>
      </c>
      <c r="L384" s="37"/>
      <c r="M384" s="285">
        <f>Preencher!$C$93</f>
        <v>0</v>
      </c>
      <c r="N384" s="259">
        <f t="shared" si="139"/>
        <v>0</v>
      </c>
      <c r="O384" s="251">
        <f t="shared" si="140"/>
        <v>0</v>
      </c>
      <c r="P384" s="252" t="str">
        <f t="shared" si="141"/>
        <v>-</v>
      </c>
      <c r="Q384" s="37"/>
      <c r="R384" s="285">
        <f>Preencher!$D$93</f>
        <v>0</v>
      </c>
    </row>
    <row r="385" spans="1:18">
      <c r="A385" s="265" t="s">
        <v>214</v>
      </c>
      <c r="B385" s="284">
        <f>0.566+0.5</f>
        <v>1.0659999999999998</v>
      </c>
      <c r="C385" s="251">
        <f t="shared" si="134"/>
        <v>3377.1106941838652</v>
      </c>
      <c r="D385" s="259">
        <f t="shared" si="142"/>
        <v>1.4213333333333331</v>
      </c>
      <c r="E385" s="251">
        <f t="shared" si="135"/>
        <v>2</v>
      </c>
      <c r="F385" s="252">
        <f t="shared" si="143"/>
        <v>0.71066666666666656</v>
      </c>
      <c r="G385" s="37"/>
      <c r="H385" s="285">
        <f>Preencher!$B$93+H399</f>
        <v>4800</v>
      </c>
      <c r="I385" s="259">
        <f t="shared" si="136"/>
        <v>0</v>
      </c>
      <c r="J385" s="251">
        <f t="shared" si="137"/>
        <v>0</v>
      </c>
      <c r="K385" s="252" t="str">
        <f t="shared" si="138"/>
        <v>-</v>
      </c>
      <c r="L385" s="37"/>
      <c r="M385" s="285">
        <f>Preencher!$C$93+M399</f>
        <v>0</v>
      </c>
      <c r="N385" s="259">
        <f t="shared" si="139"/>
        <v>0</v>
      </c>
      <c r="O385" s="251">
        <f t="shared" si="140"/>
        <v>0</v>
      </c>
      <c r="P385" s="252" t="str">
        <f t="shared" si="141"/>
        <v>-</v>
      </c>
      <c r="Q385" s="37"/>
      <c r="R385" s="285">
        <f>Preencher!$D$93</f>
        <v>0</v>
      </c>
    </row>
    <row r="386" spans="1:18">
      <c r="A386" s="265" t="s">
        <v>781</v>
      </c>
      <c r="B386" s="284">
        <f>0.506</f>
        <v>0.50600000000000001</v>
      </c>
      <c r="C386" s="251">
        <f t="shared" si="134"/>
        <v>7114.624505928854</v>
      </c>
      <c r="D386" s="259">
        <f t="shared" si="142"/>
        <v>0.67466666666666664</v>
      </c>
      <c r="E386" s="251">
        <f t="shared" si="135"/>
        <v>1</v>
      </c>
      <c r="F386" s="252">
        <f t="shared" si="143"/>
        <v>0.67466666666666664</v>
      </c>
      <c r="G386" s="37"/>
      <c r="H386" s="285">
        <f>H385</f>
        <v>4800</v>
      </c>
      <c r="I386" s="259">
        <f t="shared" si="136"/>
        <v>0</v>
      </c>
      <c r="J386" s="251">
        <f t="shared" si="137"/>
        <v>0</v>
      </c>
      <c r="K386" s="252" t="str">
        <f t="shared" si="138"/>
        <v>-</v>
      </c>
      <c r="L386" s="37"/>
      <c r="M386" s="285">
        <f>M385</f>
        <v>0</v>
      </c>
      <c r="N386" s="259">
        <f t="shared" si="139"/>
        <v>0</v>
      </c>
      <c r="O386" s="251">
        <f t="shared" si="140"/>
        <v>0</v>
      </c>
      <c r="P386" s="252" t="str">
        <f t="shared" si="141"/>
        <v>-</v>
      </c>
      <c r="Q386" s="37"/>
      <c r="R386" s="285">
        <f>Preencher!$D$93</f>
        <v>0</v>
      </c>
    </row>
    <row r="387" spans="1:18">
      <c r="A387" s="265" t="s">
        <v>3117</v>
      </c>
      <c r="B387" s="284">
        <f>0.206</f>
        <v>0.20599999999999999</v>
      </c>
      <c r="C387" s="770">
        <f>IF(B387=0,"-",3600/B387)</f>
        <v>17475.728155339806</v>
      </c>
      <c r="D387" s="259">
        <f>IFERROR((H387/C387),"-")</f>
        <v>0.27466666666666667</v>
      </c>
      <c r="E387" s="770">
        <f>IFERROR(ROUNDUP(D387/0.95,0.999),0)</f>
        <v>1</v>
      </c>
      <c r="F387" s="772">
        <f>IFERROR((H387/C387/E387),"-")</f>
        <v>0.27466666666666667</v>
      </c>
      <c r="G387" s="37"/>
      <c r="H387" s="285">
        <f>H386</f>
        <v>4800</v>
      </c>
      <c r="I387" s="259">
        <f>IFERROR((M387/C387),"-")</f>
        <v>0</v>
      </c>
      <c r="J387" s="770">
        <f>IFERROR(ROUNDUP(I387/0.95,0.999),0)</f>
        <v>0</v>
      </c>
      <c r="K387" s="772" t="str">
        <f>IFERROR((M387/C387/J387),"-")</f>
        <v>-</v>
      </c>
      <c r="L387" s="37"/>
      <c r="M387" s="285">
        <f>M386</f>
        <v>0</v>
      </c>
      <c r="N387" s="259">
        <f>IFERROR((R387/C387),"-")</f>
        <v>0</v>
      </c>
      <c r="O387" s="770">
        <f>IFERROR(ROUNDUP(N387/0.95,0.999),0)</f>
        <v>0</v>
      </c>
      <c r="P387" s="772" t="str">
        <f>IFERROR((R387/C387/O387),"-")</f>
        <v>-</v>
      </c>
      <c r="Q387" s="37"/>
      <c r="R387" s="285">
        <f>Preencher!$D$93</f>
        <v>0</v>
      </c>
    </row>
    <row r="388" spans="1:18">
      <c r="A388" s="37" t="s">
        <v>16</v>
      </c>
      <c r="B388" s="284"/>
      <c r="C388" s="912" t="s">
        <v>1075</v>
      </c>
      <c r="D388" s="259"/>
      <c r="E388" s="770">
        <f>IFERROR(ROUNDUP(SUM(Avaliação!J215+Avaliação!J235+Avaliação!J256+Avaliação!J293+Avaliação!J315+SUM(Avaliação!J272:J281))*'BD Temp'!H388,0.999),0)</f>
        <v>15</v>
      </c>
      <c r="F388" s="772" t="str">
        <f t="shared" ref="F388" si="144">IFERROR((H388/C388/E388),"-")</f>
        <v>-</v>
      </c>
      <c r="G388" s="37"/>
      <c r="H388" s="285">
        <f>IF(Preencher!$A$15=Preencher!$R$28,0,IF(Preencher!$A$15=Preencher!$R$29,Preencher!$C$15,Preencher!$D$15))</f>
        <v>0.33</v>
      </c>
      <c r="I388" s="259" t="str">
        <f t="shared" ref="I388" si="145">IFERROR((M388/C388),"-")</f>
        <v>-</v>
      </c>
      <c r="J388" s="770">
        <f>IFERROR(ROUNDUP(SUM(Avaliação!N215+Avaliação!N235+Avaliação!N256+Avaliação!N293+Avaliação!N315+SUM(Avaliação!N272:N281))*'BD Temp'!M388,0.999),0)</f>
        <v>0</v>
      </c>
      <c r="K388" s="772" t="str">
        <f t="shared" ref="K388" si="146">IFERROR((M388/C388/J388),"-")</f>
        <v>-</v>
      </c>
      <c r="L388" s="37"/>
      <c r="M388" s="285">
        <f>IF(Preencher!$A$15=Preencher!$R$28,0,IF(Preencher!$A$15=Preencher!$R$29,Preencher!$C$15,Preencher!$D$15))</f>
        <v>0.33</v>
      </c>
      <c r="N388" s="259" t="str">
        <f t="shared" ref="N388" si="147">IFERROR((R388/C388),"-")</f>
        <v>-</v>
      </c>
      <c r="O388" s="770">
        <f>IFERROR(ROUNDDOWN(SUM(Avaliação!R215+Avaliação!R235+Avaliação!R256+Avaliação!R293+Avaliação!R315+SUM(Avaliação!R272:R281))*'BD Temp'!R388,0.999),0)</f>
        <v>0</v>
      </c>
      <c r="P388" s="772" t="str">
        <f t="shared" ref="P388" si="148">IFERROR((R388/C388/O388),"-")</f>
        <v>-</v>
      </c>
      <c r="Q388" s="37"/>
      <c r="R388" s="285">
        <f>IF(Preencher!$A$15=Preencher!$R$28,0,IF(Preencher!$A$15=Preencher!$R$29,Preencher!$C$15,Preencher!$D$15))</f>
        <v>0.33</v>
      </c>
    </row>
    <row r="389" spans="1:18">
      <c r="A389" s="265" t="s">
        <v>15</v>
      </c>
      <c r="B389" s="284">
        <v>0.27</v>
      </c>
      <c r="C389" s="251">
        <f t="shared" si="134"/>
        <v>13333.333333333332</v>
      </c>
      <c r="D389" s="259">
        <f t="shared" si="142"/>
        <v>0</v>
      </c>
      <c r="E389" s="251">
        <f t="shared" si="135"/>
        <v>0</v>
      </c>
      <c r="F389" s="252" t="str">
        <f t="shared" si="143"/>
        <v>-</v>
      </c>
      <c r="G389" s="37"/>
      <c r="H389" s="285">
        <f>IF(Preencher!$B$96+Preencher!$B$125&gt;7399,Preencher!$B$96+Preencher!$B$125,0)</f>
        <v>0</v>
      </c>
      <c r="I389" s="259">
        <f t="shared" si="136"/>
        <v>0</v>
      </c>
      <c r="J389" s="251">
        <f t="shared" si="137"/>
        <v>0</v>
      </c>
      <c r="K389" s="252" t="str">
        <f t="shared" si="138"/>
        <v>-</v>
      </c>
      <c r="L389" s="37"/>
      <c r="M389" s="285">
        <f>IF(Preencher!$C$96+Preencher!$C$125&gt;7399,Preencher!$C$96+Preencher!$C$125,0)</f>
        <v>0</v>
      </c>
      <c r="N389" s="259">
        <f t="shared" si="139"/>
        <v>0</v>
      </c>
      <c r="O389" s="251">
        <f t="shared" si="140"/>
        <v>0</v>
      </c>
      <c r="P389" s="252" t="str">
        <f t="shared" si="141"/>
        <v>-</v>
      </c>
      <c r="Q389" s="37"/>
      <c r="R389" s="285">
        <f>IF(Preencher!$D$96+Preencher!$D$125&gt;7399,Preencher!$D$96+Preencher!$D$125,0)</f>
        <v>0</v>
      </c>
    </row>
    <row r="390" spans="1:18">
      <c r="A390" s="265"/>
      <c r="B390" s="286"/>
      <c r="C390" s="37"/>
      <c r="D390" s="37"/>
      <c r="E390" s="37"/>
      <c r="F390" s="37"/>
      <c r="G390" s="37"/>
      <c r="H390" s="287"/>
      <c r="I390" s="37"/>
      <c r="J390" s="37"/>
      <c r="K390" s="37"/>
      <c r="L390" s="37"/>
      <c r="M390" s="287"/>
      <c r="N390" s="37"/>
      <c r="O390" s="37"/>
      <c r="P390" s="37"/>
      <c r="Q390" s="37"/>
      <c r="R390" s="287"/>
    </row>
    <row r="391" spans="1:18">
      <c r="A391" s="270" t="s">
        <v>723</v>
      </c>
      <c r="B391" s="291"/>
      <c r="C391" s="39"/>
      <c r="D391" s="39"/>
      <c r="E391" s="39"/>
      <c r="F391" s="39"/>
      <c r="G391" s="39"/>
      <c r="H391" s="292"/>
      <c r="I391" s="39"/>
      <c r="J391" s="39"/>
      <c r="K391" s="39"/>
      <c r="L391" s="39"/>
      <c r="M391" s="292"/>
      <c r="N391" s="39"/>
      <c r="O391" s="39"/>
      <c r="P391" s="39"/>
      <c r="Q391" s="39"/>
      <c r="R391" s="292"/>
    </row>
    <row r="392" spans="1:18">
      <c r="A392" s="265"/>
      <c r="B392" s="286"/>
      <c r="C392" s="37"/>
      <c r="D392" s="37"/>
      <c r="E392" s="37"/>
      <c r="F392" s="37"/>
      <c r="G392" s="37"/>
      <c r="H392" s="287"/>
      <c r="I392" s="37"/>
      <c r="J392" s="37"/>
      <c r="K392" s="37"/>
      <c r="L392" s="37"/>
      <c r="M392" s="287"/>
      <c r="N392" s="37"/>
      <c r="O392" s="37"/>
      <c r="P392" s="37"/>
      <c r="Q392" s="37"/>
      <c r="R392" s="287"/>
    </row>
    <row r="393" spans="1:18">
      <c r="A393" s="265"/>
      <c r="B393" s="286"/>
      <c r="C393" s="37"/>
      <c r="D393" s="37"/>
      <c r="E393" s="37"/>
      <c r="F393" s="37"/>
      <c r="G393" s="37"/>
      <c r="H393" s="287"/>
      <c r="I393" s="37"/>
      <c r="J393" s="37"/>
      <c r="K393" s="37"/>
      <c r="L393" s="37"/>
      <c r="M393" s="287"/>
      <c r="N393" s="37"/>
      <c r="O393" s="37"/>
      <c r="P393" s="37"/>
      <c r="Q393" s="37"/>
      <c r="R393" s="287"/>
    </row>
    <row r="394" spans="1:18">
      <c r="A394" s="265"/>
      <c r="B394" s="286"/>
      <c r="C394" s="37"/>
      <c r="D394" s="37"/>
      <c r="E394" s="37"/>
      <c r="F394" s="37"/>
      <c r="G394" s="37"/>
      <c r="H394" s="287"/>
      <c r="I394" s="37"/>
      <c r="J394" s="37"/>
      <c r="K394" s="37"/>
      <c r="L394" s="37"/>
      <c r="M394" s="287"/>
      <c r="N394" s="37"/>
      <c r="O394" s="37"/>
      <c r="P394" s="37"/>
      <c r="Q394" s="37"/>
      <c r="R394" s="287"/>
    </row>
    <row r="395" spans="1:18">
      <c r="A395" s="265"/>
      <c r="B395" s="286"/>
      <c r="C395" s="37"/>
      <c r="D395" s="37"/>
      <c r="E395" s="37"/>
      <c r="F395" s="37"/>
      <c r="G395" s="37"/>
      <c r="H395" s="287"/>
      <c r="I395" s="37"/>
      <c r="J395" s="37"/>
      <c r="K395" s="37"/>
      <c r="L395" s="37"/>
      <c r="M395" s="287"/>
      <c r="N395" s="37"/>
      <c r="O395" s="37"/>
      <c r="P395" s="37"/>
      <c r="Q395" s="37"/>
      <c r="R395" s="287"/>
    </row>
    <row r="396" spans="1:18">
      <c r="A396" s="265"/>
      <c r="B396" s="286"/>
      <c r="C396" s="37"/>
      <c r="D396" s="37"/>
      <c r="E396" s="37"/>
      <c r="F396" s="37"/>
      <c r="G396" s="37"/>
      <c r="H396" s="287"/>
      <c r="I396" s="37"/>
      <c r="J396" s="37"/>
      <c r="K396" s="37"/>
      <c r="L396" s="37"/>
      <c r="M396" s="287"/>
      <c r="N396" s="37"/>
      <c r="O396" s="37"/>
      <c r="P396" s="37"/>
      <c r="Q396" s="37"/>
      <c r="R396" s="287"/>
    </row>
    <row r="397" spans="1:18">
      <c r="A397" s="268"/>
      <c r="B397" s="288"/>
      <c r="C397" s="13"/>
      <c r="D397" s="13"/>
      <c r="E397" s="13"/>
      <c r="F397" s="13"/>
      <c r="G397" s="13"/>
      <c r="H397" s="113"/>
      <c r="I397" s="13"/>
      <c r="J397" s="13"/>
      <c r="K397" s="13"/>
      <c r="L397" s="13"/>
      <c r="M397" s="113"/>
      <c r="N397" s="13"/>
      <c r="O397" s="13"/>
      <c r="P397" s="13"/>
      <c r="Q397" s="13"/>
      <c r="R397" s="113"/>
    </row>
    <row r="398" spans="1:18">
      <c r="A398" s="264" t="s">
        <v>238</v>
      </c>
      <c r="B398" s="282"/>
      <c r="C398" s="40"/>
      <c r="D398" s="40"/>
      <c r="E398" s="40"/>
      <c r="F398" s="40"/>
      <c r="G398" s="40"/>
      <c r="H398" s="283"/>
      <c r="I398" s="40"/>
      <c r="J398" s="40"/>
      <c r="K398" s="40"/>
      <c r="L398" s="40"/>
      <c r="M398" s="283"/>
      <c r="N398" s="40"/>
      <c r="O398" s="40"/>
      <c r="P398" s="40"/>
      <c r="Q398" s="40"/>
      <c r="R398" s="283"/>
    </row>
    <row r="399" spans="1:18">
      <c r="A399" s="271" t="s">
        <v>623</v>
      </c>
      <c r="B399" s="284">
        <f>IF($F$403&lt;50%,0,1.2)</f>
        <v>1.2</v>
      </c>
      <c r="C399" s="251">
        <f>IF(B399=0,"-",3600/B399)</f>
        <v>3000</v>
      </c>
      <c r="D399" s="259" t="str">
        <f>IFERROR((H399/C399/(Preencher!$B$126+Preencher!$I$126)),"-")</f>
        <v>-</v>
      </c>
      <c r="E399" s="251">
        <f>IFERROR(ROUNDUP(D399/0.95,0.999),0)*(Preencher!$B$126+Preencher!$I$126)</f>
        <v>0</v>
      </c>
      <c r="F399" s="252" t="str">
        <f>IFERROR((H399/C399/E399),"-")</f>
        <v>-</v>
      </c>
      <c r="G399" s="37"/>
      <c r="H399" s="285">
        <f>Preencher!$B$125+Preencher!$I$125</f>
        <v>0</v>
      </c>
      <c r="I399" s="259" t="str">
        <f>IFERROR((M399/C399/(Preencher!$C$126+Preencher!$J$126)),"-")</f>
        <v>-</v>
      </c>
      <c r="J399" s="251">
        <f>IFERROR(ROUNDUP(I399/0.95,0.999),0)*(Preencher!$C$126+Preencher!$J$126)</f>
        <v>0</v>
      </c>
      <c r="K399" s="252" t="str">
        <f>IFERROR((M399/C399/J399),"-")</f>
        <v>-</v>
      </c>
      <c r="L399" s="37"/>
      <c r="M399" s="285">
        <f>Preencher!$C$125+Preencher!$J$125</f>
        <v>0</v>
      </c>
      <c r="N399" s="259" t="str">
        <f>IFERROR((R399/C399/(Preencher!$D$126+Preencher!$K$126)),"-")</f>
        <v>-</v>
      </c>
      <c r="O399" s="251">
        <f>IFERROR(ROUNDUP(N399/0.95,0.999),0)*(Preencher!$D$126+Preencher!$K$126)</f>
        <v>0</v>
      </c>
      <c r="P399" s="252" t="str">
        <f>IFERROR((R399/C399/O399),"-")</f>
        <v>-</v>
      </c>
      <c r="Q399" s="37"/>
      <c r="R399" s="285">
        <f>Preencher!$D$125+Preencher!$K$125</f>
        <v>0</v>
      </c>
    </row>
    <row r="400" spans="1:18">
      <c r="A400" s="271" t="s">
        <v>989</v>
      </c>
      <c r="B400" s="284"/>
      <c r="C400" s="350"/>
      <c r="D400" s="259"/>
      <c r="E400" s="350">
        <f>SUM(E401:E402)</f>
        <v>0</v>
      </c>
      <c r="F400" s="351" t="str">
        <f>IFERROR(MEDIAN(F401:F402),"-")</f>
        <v>-</v>
      </c>
      <c r="G400" s="37"/>
      <c r="H400" s="285"/>
      <c r="I400" s="259"/>
      <c r="J400" s="350">
        <f>SUM(J401:J402)</f>
        <v>0</v>
      </c>
      <c r="K400" s="351" t="str">
        <f>IFERROR(MEDIAN(K401:K402),"-")</f>
        <v>-</v>
      </c>
      <c r="L400" s="37"/>
      <c r="M400" s="285"/>
      <c r="N400" s="259"/>
      <c r="O400" s="350">
        <f>SUM(O401:O402)</f>
        <v>0</v>
      </c>
      <c r="P400" s="351" t="str">
        <f>IFERROR(MEDIAN(P401:P402),"-")</f>
        <v>-</v>
      </c>
      <c r="Q400" s="37"/>
      <c r="R400" s="285"/>
    </row>
    <row r="401" spans="1:18">
      <c r="A401" s="200" t="s">
        <v>1408</v>
      </c>
      <c r="B401" s="284">
        <f>IF($F$403&lt;50%,0,1.42-0.22)</f>
        <v>1.2</v>
      </c>
      <c r="C401" s="350">
        <f>IF(B401=0,"-",3600/B401)</f>
        <v>3000</v>
      </c>
      <c r="D401" s="259" t="str">
        <f>IFERROR((H401/C401/(Preencher!$B$126+Preencher!$I$126)),"-")</f>
        <v>-</v>
      </c>
      <c r="E401" s="699">
        <f>IFERROR(ROUNDUP(D401/0.95,0.999),0)*(Preencher!$B$126+Preencher!$I$126)</f>
        <v>0</v>
      </c>
      <c r="F401" s="351" t="str">
        <f>IFERROR((H401/C401/E401),"-")</f>
        <v>-</v>
      </c>
      <c r="G401" s="37"/>
      <c r="H401" s="285">
        <f>Preencher!$B$125+Preencher!$I$125</f>
        <v>0</v>
      </c>
      <c r="I401" s="259" t="str">
        <f>IFERROR((M401/C401/(Preencher!$C$126+Preencher!$J$126)),"-")</f>
        <v>-</v>
      </c>
      <c r="J401" s="699">
        <f>IFERROR(ROUNDUP(I401/0.95,0.999),0)*(Preencher!$C$126+Preencher!$J$126)</f>
        <v>0</v>
      </c>
      <c r="K401" s="700" t="str">
        <f>IFERROR((M401/C401/J401),"-")</f>
        <v>-</v>
      </c>
      <c r="L401" s="37"/>
      <c r="M401" s="285">
        <f>Preencher!$C$125+Preencher!$J$125</f>
        <v>0</v>
      </c>
      <c r="N401" s="259" t="str">
        <f>IFERROR((R401/C401/(Preencher!$D$126+Preencher!$K$126)),"-")</f>
        <v>-</v>
      </c>
      <c r="O401" s="350">
        <f>IFERROR(ROUNDUP(N401/0.95,0.999),0)*Preencher!$C$126</f>
        <v>0</v>
      </c>
      <c r="P401" s="351" t="str">
        <f>IFERROR((R401/C401/O401),"-")</f>
        <v>-</v>
      </c>
      <c r="Q401" s="37"/>
      <c r="R401" s="285">
        <f>Preencher!$D$125+Preencher!$K$125</f>
        <v>0</v>
      </c>
    </row>
    <row r="402" spans="1:18">
      <c r="A402" s="200" t="s">
        <v>1409</v>
      </c>
      <c r="B402" s="284">
        <f>IF($F$403&lt;50%,0,2.98)</f>
        <v>2.98</v>
      </c>
      <c r="C402" s="350">
        <f>IF(B402=0,"-",3600/B402)</f>
        <v>1208.0536912751677</v>
      </c>
      <c r="D402" s="259" t="str">
        <f>IFERROR((H402/C402/(Preencher!$B$126+Preencher!$I$126)),"-")</f>
        <v>-</v>
      </c>
      <c r="E402" s="699">
        <f>IFERROR(ROUNDUP(D402/0.95,0.999),0)*(Preencher!$B$126+Preencher!$I$126)</f>
        <v>0</v>
      </c>
      <c r="F402" s="351" t="str">
        <f>IFERROR((H402/C402/E402),"-")</f>
        <v>-</v>
      </c>
      <c r="G402" s="37"/>
      <c r="H402" s="285">
        <f>Preencher!$B$125+Preencher!$I$125</f>
        <v>0</v>
      </c>
      <c r="I402" s="259" t="str">
        <f>IFERROR((M402/C402/(Preencher!$C$126+Preencher!$J$126)),"-")</f>
        <v>-</v>
      </c>
      <c r="J402" s="699">
        <f>IFERROR(ROUNDUP(I402/0.95,0.999),0)*(Preencher!$C$126+Preencher!$J$126)</f>
        <v>0</v>
      </c>
      <c r="K402" s="351" t="str">
        <f>IFERROR((M402/C402/J402),"-")</f>
        <v>-</v>
      </c>
      <c r="L402" s="37"/>
      <c r="M402" s="285">
        <f>Preencher!$C$125+Preencher!$J$125</f>
        <v>0</v>
      </c>
      <c r="N402" s="259" t="str">
        <f>IFERROR((R402/C402/(Preencher!$D$126+Preencher!$K$126)),"-")</f>
        <v>-</v>
      </c>
      <c r="O402" s="350">
        <f>IFERROR(ROUNDUP(N402/0.95,0.999),0)*Preencher!$C$126</f>
        <v>0</v>
      </c>
      <c r="P402" s="351" t="str">
        <f>IFERROR((R402/C402/O402),"-")</f>
        <v>-</v>
      </c>
      <c r="Q402" s="37"/>
      <c r="R402" s="285">
        <f>Preencher!$D$125+Preencher!$K$125</f>
        <v>0</v>
      </c>
    </row>
    <row r="403" spans="1:18">
      <c r="A403" s="271" t="s">
        <v>991</v>
      </c>
      <c r="B403" s="284">
        <v>5.58</v>
      </c>
      <c r="C403" s="251">
        <f>IF(B403=0,"-",3600/B403)</f>
        <v>645.16129032258061</v>
      </c>
      <c r="D403" s="259" t="str">
        <f>IFERROR((H403/C403/(Preencher!$B$126+Preencher!$I$126)),"-")</f>
        <v>-</v>
      </c>
      <c r="E403" s="699">
        <f>IFERROR(ROUNDUP(D403/0.95,0.999),0)*(Preencher!$B$126+Preencher!$I$126)</f>
        <v>0</v>
      </c>
      <c r="F403" s="351" t="str">
        <f>IFERROR((H403/C403/E403),"-")</f>
        <v>-</v>
      </c>
      <c r="G403" s="93">
        <f>IF(H403&gt;540,2,1)</f>
        <v>1</v>
      </c>
      <c r="H403" s="285">
        <f>Preencher!$B$125+Preencher!$I$125</f>
        <v>0</v>
      </c>
      <c r="I403" s="259" t="str">
        <f>IFERROR((M403/C403/(Preencher!$C$126+Preencher!$J$126)),"-")</f>
        <v>-</v>
      </c>
      <c r="J403" s="699">
        <f>IFERROR(ROUNDUP(I403/0.95,0.999),0)*(Preencher!$C$126+Preencher!$J$126)</f>
        <v>0</v>
      </c>
      <c r="K403" s="351" t="str">
        <f>IFERROR((M403/C403/J403),"-")</f>
        <v>-</v>
      </c>
      <c r="L403" s="93">
        <f>IF(M403&gt;540,2,1)</f>
        <v>1</v>
      </c>
      <c r="M403" s="285">
        <f>Preencher!$C$125+Preencher!$J$125</f>
        <v>0</v>
      </c>
      <c r="N403" s="259" t="str">
        <f>IFERROR((R403/C403/(Preencher!$D$126+Preencher!$K$126)),"-")</f>
        <v>-</v>
      </c>
      <c r="O403" s="350">
        <f>IFERROR(ROUNDUP(N403/0.95,0.999),0)*Preencher!$C$126*Q403</f>
        <v>0</v>
      </c>
      <c r="P403" s="351" t="str">
        <f>IFERROR((R403/C403/O403),"-")</f>
        <v>-</v>
      </c>
      <c r="Q403" s="93">
        <f>IF(R403&gt;540,2,1)</f>
        <v>1</v>
      </c>
      <c r="R403" s="285">
        <f>Preencher!$D$125+Preencher!$K$125</f>
        <v>0</v>
      </c>
    </row>
    <row r="404" spans="1:18">
      <c r="A404" s="271" t="s">
        <v>624</v>
      </c>
      <c r="B404" s="284">
        <f>IF($F$403&lt;50%,0,2.74)</f>
        <v>2.74</v>
      </c>
      <c r="C404" s="251">
        <f>IF(B404=0,"-",3600/B404)</f>
        <v>1313.868613138686</v>
      </c>
      <c r="D404" s="259" t="str">
        <f>IFERROR((H404/C404/(Preencher!$B$126+Preencher!$I$126)),"-")</f>
        <v>-</v>
      </c>
      <c r="E404" s="699">
        <f>IFERROR(ROUNDUP(D404/0.95,0.999),0)*(Preencher!$B$126+Preencher!$I$126)</f>
        <v>0</v>
      </c>
      <c r="F404" s="351" t="str">
        <f>IFERROR((H404/C404/E404),"-")</f>
        <v>-</v>
      </c>
      <c r="G404" s="93">
        <f>IF(H404&gt;540,2,1)</f>
        <v>1</v>
      </c>
      <c r="H404" s="285">
        <f>Preencher!$B$125+Preencher!$I$125</f>
        <v>0</v>
      </c>
      <c r="I404" s="259" t="str">
        <f>IFERROR((M404/C404/(Preencher!$C$126+Preencher!$J$126)),"-")</f>
        <v>-</v>
      </c>
      <c r="J404" s="699">
        <f>IFERROR(ROUNDUP(I404/0.95,0.999),0)*(Preencher!$C$126+Preencher!$J$126)</f>
        <v>0</v>
      </c>
      <c r="K404" s="351" t="str">
        <f>IFERROR((M404/C404/J404),"-")</f>
        <v>-</v>
      </c>
      <c r="L404" s="93">
        <f>IF(M404&gt;540,2,1)</f>
        <v>1</v>
      </c>
      <c r="M404" s="285">
        <f>Preencher!$C$125+Preencher!$J$125</f>
        <v>0</v>
      </c>
      <c r="N404" s="259" t="str">
        <f>IFERROR((R404/C404/(Preencher!$D$126+Preencher!$K$126)),"-")</f>
        <v>-</v>
      </c>
      <c r="O404" s="350">
        <f>IFERROR(ROUNDUP(N404/0.95,0.999),0)*Preencher!$C$126*Q404</f>
        <v>0</v>
      </c>
      <c r="P404" s="351" t="str">
        <f>IFERROR((R404/C404/O404),"-")</f>
        <v>-</v>
      </c>
      <c r="Q404" s="93">
        <f>IF(R404&gt;540,2,1)</f>
        <v>1</v>
      </c>
      <c r="R404" s="285">
        <f>Preencher!$D$125+Preencher!$K$125</f>
        <v>0</v>
      </c>
    </row>
    <row r="405" spans="1:18">
      <c r="A405" s="271" t="s">
        <v>625</v>
      </c>
      <c r="B405" s="284"/>
      <c r="C405" s="350"/>
      <c r="D405" s="259"/>
      <c r="E405" s="350">
        <f>SUM(E406:E407)</f>
        <v>0</v>
      </c>
      <c r="F405" s="351" t="str">
        <f>IFERROR(MEDIAN(F406:F407),"-")</f>
        <v>-</v>
      </c>
      <c r="G405" s="37"/>
      <c r="H405" s="285"/>
      <c r="I405" s="259"/>
      <c r="J405" s="350">
        <f>SUM(J406:J407)</f>
        <v>0</v>
      </c>
      <c r="K405" s="351" t="str">
        <f>IFERROR(MEDIAN(K406:K407),"-")</f>
        <v>-</v>
      </c>
      <c r="L405" s="37"/>
      <c r="M405" s="285"/>
      <c r="N405" s="259"/>
      <c r="O405" s="350">
        <f>SUM(O406:O407)</f>
        <v>0</v>
      </c>
      <c r="P405" s="351" t="str">
        <f>IFERROR(MEDIAN(P406:P407),"-")</f>
        <v>-</v>
      </c>
      <c r="Q405" s="37"/>
      <c r="R405" s="285"/>
    </row>
    <row r="406" spans="1:18">
      <c r="A406" s="200" t="s">
        <v>625</v>
      </c>
      <c r="B406" s="284">
        <f>IF($F$403&lt;50%,0,1.4)</f>
        <v>1.4</v>
      </c>
      <c r="C406" s="350">
        <f>IF(B406=0,"-",3600/B406)</f>
        <v>2571.4285714285716</v>
      </c>
      <c r="D406" s="259" t="str">
        <f>IFERROR((H406/C406/(Preencher!$B$126+Preencher!$I$126)),"-")</f>
        <v>-</v>
      </c>
      <c r="E406" s="699">
        <f>IFERROR(ROUNDUP(D406/0.95,0.999),0)*(Preencher!$B$126+Preencher!$I$126)</f>
        <v>0</v>
      </c>
      <c r="F406" s="351" t="str">
        <f>IFERROR((H406/C406/E406),"-")</f>
        <v>-</v>
      </c>
      <c r="G406" s="37"/>
      <c r="H406" s="285">
        <f>Preencher!$B$125+Preencher!$I$125</f>
        <v>0</v>
      </c>
      <c r="I406" s="259" t="str">
        <f>IFERROR((M406/C406/(Preencher!$C$126+Preencher!$J$126)),"-")</f>
        <v>-</v>
      </c>
      <c r="J406" s="699">
        <f>IFERROR(ROUNDUP(I406/0.95,0.999),0)*(Preencher!$C$126+Preencher!$J$126)</f>
        <v>0</v>
      </c>
      <c r="K406" s="351" t="str">
        <f>IFERROR((M406/C406/J406),"-")</f>
        <v>-</v>
      </c>
      <c r="L406" s="37"/>
      <c r="M406" s="285">
        <f>Preencher!$C$125+Preencher!$J$125</f>
        <v>0</v>
      </c>
      <c r="N406" s="259" t="str">
        <f>IFERROR((R406/C406/(Preencher!$D$126+Preencher!$K$126)),"-")</f>
        <v>-</v>
      </c>
      <c r="O406" s="350">
        <f>IFERROR(ROUNDUP(N406/0.95,0.999),0)*Preencher!$C$126</f>
        <v>0</v>
      </c>
      <c r="P406" s="351" t="str">
        <f>IFERROR((R406/C406/O406),"-")</f>
        <v>-</v>
      </c>
      <c r="Q406" s="37"/>
      <c r="R406" s="285">
        <f>Preencher!$D$125+Preencher!$K$125</f>
        <v>0</v>
      </c>
    </row>
    <row r="407" spans="1:18">
      <c r="A407" s="200" t="s">
        <v>993</v>
      </c>
      <c r="B407" s="284">
        <f>5.61-1.59</f>
        <v>4.0200000000000005</v>
      </c>
      <c r="C407" s="350">
        <f>IF(B407=0,"-",3600/B407)</f>
        <v>895.52238805970137</v>
      </c>
      <c r="D407" s="259" t="str">
        <f>IFERROR((H407/C407/(Preencher!$B$126+Preencher!$I$126)),"-")</f>
        <v>-</v>
      </c>
      <c r="E407" s="699">
        <f>IFERROR(ROUNDUP(D407/0.95,0.999),0)*(Preencher!$B$126+Preencher!$I$126)</f>
        <v>0</v>
      </c>
      <c r="F407" s="351" t="str">
        <f>IFERROR((H407/C407/E407),"-")</f>
        <v>-</v>
      </c>
      <c r="G407" s="93">
        <f>IF(H407&gt;540,2,1)</f>
        <v>1</v>
      </c>
      <c r="H407" s="285">
        <f>Preencher!$B$125+Preencher!$I$125</f>
        <v>0</v>
      </c>
      <c r="I407" s="259" t="str">
        <f>IFERROR((M407/C407/(Preencher!$C$126+Preencher!$J$126)),"-")</f>
        <v>-</v>
      </c>
      <c r="J407" s="699">
        <f>IFERROR(ROUNDUP(I407/0.95,0.999),0)*(Preencher!$C$126+Preencher!$J$126)</f>
        <v>0</v>
      </c>
      <c r="K407" s="351" t="str">
        <f>IFERROR((M407/C407/J407),"-")</f>
        <v>-</v>
      </c>
      <c r="L407" s="93">
        <f>IF(M407&gt;540,2,1)</f>
        <v>1</v>
      </c>
      <c r="M407" s="285">
        <f>Preencher!$C$125+Preencher!$J$125</f>
        <v>0</v>
      </c>
      <c r="N407" s="259" t="str">
        <f>IFERROR((R407/C407/(Preencher!$D$126+Preencher!$K$126)),"-")</f>
        <v>-</v>
      </c>
      <c r="O407" s="350">
        <f>IFERROR(ROUNDUP(N407/0.95,0.999),0)*Preencher!$C$126*Q407</f>
        <v>0</v>
      </c>
      <c r="P407" s="351" t="str">
        <f>IFERROR((R407/C407/O407),"-")</f>
        <v>-</v>
      </c>
      <c r="Q407" s="93">
        <f>IF(R407&gt;540,2,1)</f>
        <v>1</v>
      </c>
      <c r="R407" s="285">
        <f>Preencher!$D$125+Preencher!$K$125</f>
        <v>0</v>
      </c>
    </row>
    <row r="408" spans="1:18">
      <c r="A408" s="271" t="s">
        <v>992</v>
      </c>
      <c r="B408" s="284"/>
      <c r="C408" s="350"/>
      <c r="D408" s="259"/>
      <c r="E408" s="350">
        <f>SUM(E409:E410)</f>
        <v>0</v>
      </c>
      <c r="F408" s="351" t="str">
        <f>IFERROR(MEDIAN(F409:F410),"-")</f>
        <v>-</v>
      </c>
      <c r="G408" s="37"/>
      <c r="H408" s="285"/>
      <c r="I408" s="259"/>
      <c r="J408" s="350">
        <f>SUM(J409:J410)</f>
        <v>0</v>
      </c>
      <c r="K408" s="351" t="str">
        <f>IFERROR(MEDIAN(K409:K410),"-")</f>
        <v>-</v>
      </c>
      <c r="L408" s="37"/>
      <c r="M408" s="285"/>
      <c r="N408" s="259"/>
      <c r="O408" s="350">
        <f>SUM(O409:O410)</f>
        <v>0</v>
      </c>
      <c r="P408" s="351" t="str">
        <f>IFERROR(MEDIAN(P409:P410),"-")</f>
        <v>-</v>
      </c>
      <c r="Q408" s="37"/>
      <c r="R408" s="285"/>
    </row>
    <row r="409" spans="1:18">
      <c r="A409" s="200" t="s">
        <v>1410</v>
      </c>
      <c r="B409" s="284">
        <f>IF($F$403&lt;50%,0,1.42-1.42)</f>
        <v>0</v>
      </c>
      <c r="C409" s="350" t="str">
        <f t="shared" ref="C409:C416" si="149">IF(B409=0,"-",3600/B409)</f>
        <v>-</v>
      </c>
      <c r="D409" s="259" t="str">
        <f>IFERROR((H409/C409/(Preencher!$B$126+Preencher!$I$126)),"-")</f>
        <v>-</v>
      </c>
      <c r="E409" s="699">
        <f>IFERROR(ROUNDUP(D409/0.95,0.999),0)*(Preencher!$B$126+Preencher!$I$126)</f>
        <v>0</v>
      </c>
      <c r="F409" s="351" t="str">
        <f t="shared" ref="F409:F416" si="150">IFERROR((H409/C409/E409),"-")</f>
        <v>-</v>
      </c>
      <c r="G409" s="37"/>
      <c r="H409" s="285">
        <f>Preencher!$B$125+Preencher!$I$125</f>
        <v>0</v>
      </c>
      <c r="I409" s="259" t="str">
        <f>IFERROR((M409/C409/(Preencher!$C$126+Preencher!$J$126)),"-")</f>
        <v>-</v>
      </c>
      <c r="J409" s="699">
        <f>IFERROR(ROUNDUP(I409/0.95,0.999),0)*(Preencher!$C$126+Preencher!$J$126)</f>
        <v>0</v>
      </c>
      <c r="K409" s="351" t="str">
        <f t="shared" ref="K409:K416" si="151">IFERROR((M409/C409/J409),"-")</f>
        <v>-</v>
      </c>
      <c r="L409" s="37"/>
      <c r="M409" s="285">
        <f>Preencher!$C$125+Preencher!$J$125</f>
        <v>0</v>
      </c>
      <c r="N409" s="259" t="str">
        <f>IFERROR((R409/C409/(Preencher!$D$126+Preencher!$K$126)),"-")</f>
        <v>-</v>
      </c>
      <c r="O409" s="350">
        <f>IFERROR(ROUNDUP(N409/0.95,0.999),0)*Preencher!$C$126</f>
        <v>0</v>
      </c>
      <c r="P409" s="351" t="str">
        <f t="shared" ref="P409:P416" si="152">IFERROR((R409/C409/O409),"-")</f>
        <v>-</v>
      </c>
      <c r="Q409" s="37"/>
      <c r="R409" s="285">
        <f>Preencher!$D$125+Preencher!$K$125</f>
        <v>0</v>
      </c>
    </row>
    <row r="410" spans="1:18">
      <c r="A410" s="200" t="s">
        <v>1411</v>
      </c>
      <c r="B410" s="284">
        <f>IF($F$403&lt;50%,0,2.48-2.48)</f>
        <v>0</v>
      </c>
      <c r="C410" s="350" t="str">
        <f t="shared" si="149"/>
        <v>-</v>
      </c>
      <c r="D410" s="259" t="str">
        <f>IFERROR((H410/C410/(Preencher!$B$126+Preencher!$I$126)),"-")</f>
        <v>-</v>
      </c>
      <c r="E410" s="699">
        <f>IFERROR(ROUNDUP(D410/0.95,0.999),0)*(Preencher!$B$126+Preencher!$I$126)</f>
        <v>0</v>
      </c>
      <c r="F410" s="351" t="str">
        <f t="shared" si="150"/>
        <v>-</v>
      </c>
      <c r="G410" s="37"/>
      <c r="H410" s="285">
        <f>Preencher!$B$125+Preencher!$I$125</f>
        <v>0</v>
      </c>
      <c r="I410" s="259" t="str">
        <f>IFERROR((M410/C410/(Preencher!$C$126+Preencher!$J$126)),"-")</f>
        <v>-</v>
      </c>
      <c r="J410" s="699">
        <f>IFERROR(ROUNDUP(I410/0.95,0.999),0)*(Preencher!$C$126+Preencher!$J$126)</f>
        <v>0</v>
      </c>
      <c r="K410" s="351" t="str">
        <f t="shared" si="151"/>
        <v>-</v>
      </c>
      <c r="L410" s="37"/>
      <c r="M410" s="285">
        <f>Preencher!$C$125+Preencher!$J$125</f>
        <v>0</v>
      </c>
      <c r="N410" s="259" t="str">
        <f>IFERROR((R410/C410/(Preencher!$D$126+Preencher!$K$126)),"-")</f>
        <v>-</v>
      </c>
      <c r="O410" s="350">
        <f>IFERROR(ROUNDUP(N410/0.95,0.999),0)*Preencher!$C$126</f>
        <v>0</v>
      </c>
      <c r="P410" s="351" t="str">
        <f t="shared" si="152"/>
        <v>-</v>
      </c>
      <c r="Q410" s="37"/>
      <c r="R410" s="285">
        <f>Preencher!$D$125+Preencher!$K$125</f>
        <v>0</v>
      </c>
    </row>
    <row r="411" spans="1:18">
      <c r="A411" s="271" t="s">
        <v>626</v>
      </c>
      <c r="B411" s="284">
        <f>IF($F$403&lt;50%,0,2.79)</f>
        <v>2.79</v>
      </c>
      <c r="C411" s="251">
        <f t="shared" si="149"/>
        <v>1290.3225806451612</v>
      </c>
      <c r="D411" s="259" t="str">
        <f>IFERROR((H411/C411/(Preencher!$B$126+Preencher!$I$126)),"-")</f>
        <v>-</v>
      </c>
      <c r="E411" s="699">
        <f>IFERROR(ROUNDUP(D411/0.95,0.999),0)*(Preencher!$B$126+Preencher!$I$126)</f>
        <v>0</v>
      </c>
      <c r="F411" s="351" t="str">
        <f t="shared" si="150"/>
        <v>-</v>
      </c>
      <c r="G411" s="37"/>
      <c r="H411" s="285">
        <f>Preencher!$B$125+Preencher!$I$125</f>
        <v>0</v>
      </c>
      <c r="I411" s="259" t="str">
        <f>IFERROR((M411/C411/(Preencher!$C$126+Preencher!$J$126)),"-")</f>
        <v>-</v>
      </c>
      <c r="J411" s="699">
        <f>IFERROR(ROUNDUP(I411/0.95,0.999),0)*(Preencher!$C$126+Preencher!$J$126)</f>
        <v>0</v>
      </c>
      <c r="K411" s="351" t="str">
        <f t="shared" si="151"/>
        <v>-</v>
      </c>
      <c r="L411" s="37"/>
      <c r="M411" s="285">
        <f>Preencher!$C$125+Preencher!$J$125</f>
        <v>0</v>
      </c>
      <c r="N411" s="259" t="str">
        <f>IFERROR((R411/C411/(Preencher!$D$126+Preencher!$K$126)),"-")</f>
        <v>-</v>
      </c>
      <c r="O411" s="350">
        <f>IFERROR(ROUNDUP(N411/0.95,0.999),0)*Preencher!$C$126</f>
        <v>0</v>
      </c>
      <c r="P411" s="351" t="str">
        <f t="shared" si="152"/>
        <v>-</v>
      </c>
      <c r="Q411" s="37"/>
      <c r="R411" s="285">
        <f>Preencher!$D$125+Preencher!$K$125</f>
        <v>0</v>
      </c>
    </row>
    <row r="412" spans="1:18">
      <c r="A412" s="271" t="s">
        <v>990</v>
      </c>
      <c r="B412" s="284">
        <f>IF($F$403&lt;50%,0,4.2+6)</f>
        <v>10.199999999999999</v>
      </c>
      <c r="C412" s="251">
        <f t="shared" si="149"/>
        <v>352.94117647058823</v>
      </c>
      <c r="D412" s="259" t="str">
        <f>IFERROR((H412/C412/(Preencher!$B$126+Preencher!$I$126)),"-")</f>
        <v>-</v>
      </c>
      <c r="E412" s="699">
        <f>IFERROR(ROUNDUP(D412/0.95,0.999),0)*(Preencher!$B$126+Preencher!$I$126)</f>
        <v>0</v>
      </c>
      <c r="F412" s="351" t="str">
        <f t="shared" si="150"/>
        <v>-</v>
      </c>
      <c r="G412" s="37"/>
      <c r="H412" s="285">
        <f>Preencher!$B$125+Preencher!$I$125</f>
        <v>0</v>
      </c>
      <c r="I412" s="259" t="str">
        <f>IFERROR((M412/C412/(Preencher!$C$126+Preencher!$J$126)),"-")</f>
        <v>-</v>
      </c>
      <c r="J412" s="699">
        <f>IFERROR(ROUNDUP(I412/0.95,0.999),0)*(Preencher!$C$126+Preencher!$J$126)</f>
        <v>0</v>
      </c>
      <c r="K412" s="351" t="str">
        <f t="shared" si="151"/>
        <v>-</v>
      </c>
      <c r="L412" s="37"/>
      <c r="M412" s="285">
        <f>Preencher!$C$125+Preencher!$J$125</f>
        <v>0</v>
      </c>
      <c r="N412" s="259" t="str">
        <f>IFERROR((R412/C412/(Preencher!$D$126+Preencher!$K$126)),"-")</f>
        <v>-</v>
      </c>
      <c r="O412" s="350">
        <f>IFERROR(ROUNDUP(N412/0.95,0.999),0)*Preencher!$C$126</f>
        <v>0</v>
      </c>
      <c r="P412" s="351" t="str">
        <f t="shared" si="152"/>
        <v>-</v>
      </c>
      <c r="Q412" s="37"/>
      <c r="R412" s="285">
        <f>Preencher!$D$125+Preencher!$K$125</f>
        <v>0</v>
      </c>
    </row>
    <row r="413" spans="1:18">
      <c r="A413" s="271" t="s">
        <v>627</v>
      </c>
      <c r="B413" s="284"/>
      <c r="C413" s="251" t="str">
        <f t="shared" si="149"/>
        <v>-</v>
      </c>
      <c r="D413" s="259" t="str">
        <f>IFERROR((H413/C413/Preencher!$B$126),"-")</f>
        <v>-</v>
      </c>
      <c r="E413" s="350">
        <f>IFERROR(ROUNDUP(D413/0.95,0.999),0)*Preencher!$B$126</f>
        <v>0</v>
      </c>
      <c r="F413" s="351" t="str">
        <f t="shared" si="150"/>
        <v>-</v>
      </c>
      <c r="G413" s="37"/>
      <c r="H413" s="285">
        <f>Preencher!$B$125+Preencher!$I$125</f>
        <v>0</v>
      </c>
      <c r="I413" s="259" t="str">
        <f>IFERROR((M413/C413/(Preencher!$C$126+Preencher!$J$126)),"-")</f>
        <v>-</v>
      </c>
      <c r="J413" s="699">
        <f>IFERROR(ROUNDUP(I413/0.95,0.999),0)*(Preencher!$C$126+Preencher!$J$126)</f>
        <v>0</v>
      </c>
      <c r="K413" s="351" t="str">
        <f t="shared" si="151"/>
        <v>-</v>
      </c>
      <c r="L413" s="37"/>
      <c r="M413" s="285">
        <f>Preencher!$C$125+Preencher!$J$125</f>
        <v>0</v>
      </c>
      <c r="N413" s="259" t="str">
        <f>IFERROR((R413/C413/(Preencher!$D$126+Preencher!$K$126)),"-")</f>
        <v>-</v>
      </c>
      <c r="O413" s="350">
        <f>IFERROR(ROUNDUP(N413/0.95,0.999),0)*Preencher!$C$126</f>
        <v>0</v>
      </c>
      <c r="P413" s="351" t="str">
        <f t="shared" si="152"/>
        <v>-</v>
      </c>
      <c r="Q413" s="37"/>
      <c r="R413" s="285">
        <f>Preencher!$D$125+Preencher!$K$125</f>
        <v>0</v>
      </c>
    </row>
    <row r="414" spans="1:18">
      <c r="A414" s="271" t="s">
        <v>628</v>
      </c>
      <c r="B414" s="284">
        <f>IF($F$403&lt;50%,0,1.75)</f>
        <v>1.75</v>
      </c>
      <c r="C414" s="350">
        <f t="shared" si="149"/>
        <v>2057.1428571428573</v>
      </c>
      <c r="D414" s="259" t="str">
        <f>IFERROR((H414/C414/(Preencher!$C$126+Preencher!$J$126)),"-")</f>
        <v>-</v>
      </c>
      <c r="E414" s="350">
        <f>IFERROR(ROUNDUP(D414/0.95,0.999),0)*(Preencher!$C$126+Preencher!$J$126)</f>
        <v>0</v>
      </c>
      <c r="F414" s="351" t="str">
        <f t="shared" si="150"/>
        <v>-</v>
      </c>
      <c r="G414" s="37"/>
      <c r="H414" s="285">
        <f>Preencher!$B$125+Preencher!$I$125</f>
        <v>0</v>
      </c>
      <c r="I414" s="259" t="str">
        <f>IFERROR((M414/C414/(Preencher!$C$126+Preencher!$J$126)),"-")</f>
        <v>-</v>
      </c>
      <c r="J414" s="699">
        <f>IFERROR(ROUNDUP(I414/0.95,0.999),0)*(Preencher!$C$126+Preencher!$J$126)</f>
        <v>0</v>
      </c>
      <c r="K414" s="351" t="str">
        <f t="shared" si="151"/>
        <v>-</v>
      </c>
      <c r="L414" s="37"/>
      <c r="M414" s="285">
        <f>Preencher!$C$125+Preencher!$J$125</f>
        <v>0</v>
      </c>
      <c r="N414" s="259" t="str">
        <f>IFERROR((R414/C414/(Preencher!$D$126+Preencher!$K$126)),"-")</f>
        <v>-</v>
      </c>
      <c r="O414" s="350">
        <f t="shared" ref="O414:O420" si="153">IFERROR(ROUNDUP(N414/0.95,0.999),0)</f>
        <v>0</v>
      </c>
      <c r="P414" s="351" t="str">
        <f t="shared" si="152"/>
        <v>-</v>
      </c>
      <c r="Q414" s="37"/>
      <c r="R414" s="285">
        <f>Preencher!$D$125+Preencher!$K$125</f>
        <v>0</v>
      </c>
    </row>
    <row r="415" spans="1:18">
      <c r="A415" s="271" t="s">
        <v>629</v>
      </c>
      <c r="B415" s="284">
        <v>38.5</v>
      </c>
      <c r="C415" s="350">
        <f>IF(B415=0,"-",3600/B415)</f>
        <v>93.506493506493513</v>
      </c>
      <c r="D415" s="259">
        <f>IFERROR((H415/C415),"-")</f>
        <v>0</v>
      </c>
      <c r="E415" s="350">
        <f>IFERROR(ROUNDUP(D415/0.92,0.999),0)</f>
        <v>0</v>
      </c>
      <c r="F415" s="351" t="str">
        <f t="shared" si="150"/>
        <v>-</v>
      </c>
      <c r="G415" s="37"/>
      <c r="H415" s="285">
        <f>Preencher!$B$125+Preencher!$I$125</f>
        <v>0</v>
      </c>
      <c r="I415" s="259">
        <f>IFERROR((M415/C415),"-")</f>
        <v>0</v>
      </c>
      <c r="J415" s="727">
        <f>IFERROR(ROUNDUP(I415/0.92,0.999),0)</f>
        <v>0</v>
      </c>
      <c r="K415" s="728" t="str">
        <f t="shared" si="151"/>
        <v>-</v>
      </c>
      <c r="L415" s="37"/>
      <c r="M415" s="285">
        <f>Preencher!$C$125+Preencher!$J$125</f>
        <v>0</v>
      </c>
      <c r="N415" s="259" t="str">
        <f>IFERROR((R415/C415/(Preencher!$D$126+Preencher!$K$126)),"-")</f>
        <v>-</v>
      </c>
      <c r="O415" s="350">
        <f t="shared" si="153"/>
        <v>0</v>
      </c>
      <c r="P415" s="351" t="str">
        <f t="shared" si="152"/>
        <v>-</v>
      </c>
      <c r="Q415" s="37"/>
      <c r="R415" s="285">
        <f>Preencher!$D$125+Preencher!$K$125</f>
        <v>0</v>
      </c>
    </row>
    <row r="416" spans="1:18">
      <c r="A416" s="271" t="s">
        <v>780</v>
      </c>
      <c r="B416" s="284">
        <f>IF(Preencher!B127&gt;0,IF($F$403&lt;50%,0,8.5),IF($F$403&lt;50%,0,7.1+8.9))</f>
        <v>8.5</v>
      </c>
      <c r="C416" s="350">
        <f t="shared" si="149"/>
        <v>423.52941176470586</v>
      </c>
      <c r="D416" s="259" t="str">
        <f>IFERROR((H416/C416/(Preencher!$B$126+Preencher!$I$126)),"-")</f>
        <v>-</v>
      </c>
      <c r="E416" s="350">
        <f>IFERROR(ROUNDUP(D416/0.95,0.999),0)*(Preencher!$B$126+Preencher!$I$126)</f>
        <v>0</v>
      </c>
      <c r="F416" s="351" t="str">
        <f t="shared" si="150"/>
        <v>-</v>
      </c>
      <c r="G416" s="37"/>
      <c r="H416" s="285">
        <f>Preencher!$B$125+Preencher!$I$125</f>
        <v>0</v>
      </c>
      <c r="I416" s="259" t="str">
        <f>IFERROR((M416/C416/(Preencher!$C$126+Preencher!$J$126)),"-")</f>
        <v>-</v>
      </c>
      <c r="J416" s="699">
        <f>IFERROR(ROUNDUP(I416/0.95,0.999),0)*(Preencher!$C$126+Preencher!$J$126)</f>
        <v>0</v>
      </c>
      <c r="K416" s="252" t="str">
        <f t="shared" si="151"/>
        <v>-</v>
      </c>
      <c r="L416" s="37"/>
      <c r="M416" s="285">
        <f>Preencher!$C$125+Preencher!$J$125</f>
        <v>0</v>
      </c>
      <c r="N416" s="259" t="str">
        <f>IFERROR((R416/C416/(Preencher!$D$126+Preencher!$K$126)),"-")</f>
        <v>-</v>
      </c>
      <c r="O416" s="350">
        <f t="shared" si="153"/>
        <v>0</v>
      </c>
      <c r="P416" s="351" t="str">
        <f t="shared" si="152"/>
        <v>-</v>
      </c>
      <c r="Q416" s="37"/>
      <c r="R416" s="285">
        <f>Preencher!$D$125+Preencher!$K$125</f>
        <v>0</v>
      </c>
    </row>
    <row r="417" spans="1:18">
      <c r="A417" s="271" t="s">
        <v>631</v>
      </c>
      <c r="B417" s="284"/>
      <c r="C417" s="251">
        <f>MEDIAN(C418:C420)</f>
        <v>308.61551650235748</v>
      </c>
      <c r="D417" s="702">
        <f>SUM(D418:D420)</f>
        <v>0</v>
      </c>
      <c r="E417" s="699">
        <f>IFERROR(ROUNDUP(D417/0.95,0.999),0)</f>
        <v>0</v>
      </c>
      <c r="F417" s="700" t="str">
        <f>IFERROR((H417/C417/E417),"-")</f>
        <v>-</v>
      </c>
      <c r="G417" s="37"/>
      <c r="H417" s="285">
        <f>AVERAGE(H418:H420)</f>
        <v>0</v>
      </c>
      <c r="I417" s="702">
        <f>SUM(I418:I420)</f>
        <v>0</v>
      </c>
      <c r="J417" s="699">
        <f>IFERROR(ROUNDUP(I417/0.95,0.999),0)</f>
        <v>0</v>
      </c>
      <c r="K417" s="700" t="str">
        <f>IFERROR((M417/$C$417/J417),"-")</f>
        <v>-</v>
      </c>
      <c r="L417" s="37"/>
      <c r="M417" s="285">
        <f>AVERAGE(M418:M420)</f>
        <v>0</v>
      </c>
      <c r="N417" s="702">
        <f>SUM(N418:N420)</f>
        <v>0</v>
      </c>
      <c r="O417" s="699">
        <f t="shared" si="153"/>
        <v>0</v>
      </c>
      <c r="P417" s="700" t="str">
        <f>IFERROR((R417/$C$417/O417),"-")</f>
        <v>-</v>
      </c>
      <c r="Q417" s="37"/>
      <c r="R417" s="285">
        <f>AVERAGE(R418:R420)</f>
        <v>0</v>
      </c>
    </row>
    <row r="418" spans="1:18">
      <c r="A418" s="200" t="s">
        <v>630</v>
      </c>
      <c r="B418" s="352">
        <f>18.33</f>
        <v>18.329999999999998</v>
      </c>
      <c r="C418" s="350">
        <f>IF(B418=0,"-",3600/B418)</f>
        <v>196.39934533551556</v>
      </c>
      <c r="D418" s="259">
        <f>IFERROR((H418/C418),"-")</f>
        <v>0</v>
      </c>
      <c r="E418" s="350">
        <f>IFERROR(ROUNDUP(D418/0.95,0.999),0)</f>
        <v>0</v>
      </c>
      <c r="F418" s="351" t="str">
        <f>IFERROR((H418/C418/E418),"-")</f>
        <v>-</v>
      </c>
      <c r="G418" s="37"/>
      <c r="H418" s="285">
        <f>IFERROR(((RESUMO!$F$45+RESUMO!$F$46)*'BD VOLUME'!$C$3*Preencher!$B$124)/(Preencher!$I$15),0)</f>
        <v>0</v>
      </c>
      <c r="I418" s="259">
        <f>IFERROR((M418/C418),"-")</f>
        <v>0</v>
      </c>
      <c r="J418" s="699">
        <f>IFERROR(ROUNDUP(I418/0.95,0.999),0)*(Preencher!$C$126+Preencher!$J$126)</f>
        <v>0</v>
      </c>
      <c r="K418" s="351" t="str">
        <f>IFERROR((M418/C418/J418),"-")</f>
        <v>-</v>
      </c>
      <c r="L418" s="37"/>
      <c r="M418" s="285">
        <f>IFERROR(((RESUMO!$F$45+RESUMO!$F$46)*'BD VOLUME'!$C$3*Preencher!$C$124)/(Preencher!$J$15),0)</f>
        <v>0</v>
      </c>
      <c r="N418" s="259">
        <f>IFERROR((R418/C418),"-")</f>
        <v>0</v>
      </c>
      <c r="O418" s="350">
        <f t="shared" si="153"/>
        <v>0</v>
      </c>
      <c r="P418" s="351" t="str">
        <f>IFERROR((R418/C418/O418),"-")</f>
        <v>-</v>
      </c>
      <c r="Q418" s="37"/>
      <c r="R418" s="285">
        <f>IFERROR(((RESUMO!$F$45+RESUMO!$F$46)*'BD VOLUME'!$C$3*Preencher!$D$124)/(Preencher!$K$15),0)</f>
        <v>0</v>
      </c>
    </row>
    <row r="419" spans="1:18">
      <c r="A419" s="200" t="s">
        <v>631</v>
      </c>
      <c r="B419" s="352">
        <f>11.665</f>
        <v>11.664999999999999</v>
      </c>
      <c r="C419" s="350">
        <f>IF(B419=0,"-",3600/B419)</f>
        <v>308.61551650235748</v>
      </c>
      <c r="D419" s="259">
        <f>IFERROR((H419/C419),"-")</f>
        <v>0</v>
      </c>
      <c r="E419" s="350">
        <f>IFERROR(ROUNDUP(D419/0.95,0.999),0)</f>
        <v>0</v>
      </c>
      <c r="F419" s="351" t="str">
        <f>IFERROR((H419/C419/E419),"-")</f>
        <v>-</v>
      </c>
      <c r="G419" s="37"/>
      <c r="H419" s="285">
        <f>IFERROR(((RESUMO!$F$45+RESUMO!$F$46)*'BD VOLUME'!$C$3*Preencher!$B$124)/(Preencher!$I$15),0)</f>
        <v>0</v>
      </c>
      <c r="I419" s="259">
        <f>IFERROR((M419/C419),"-")</f>
        <v>0</v>
      </c>
      <c r="J419" s="699">
        <f>IFERROR(ROUNDUP(I419/0.95,0.999),0)*(Preencher!$C$126+Preencher!$J$126)</f>
        <v>0</v>
      </c>
      <c r="K419" s="351" t="str">
        <f>IFERROR((M419/C419/J419),"-")</f>
        <v>-</v>
      </c>
      <c r="L419" s="37"/>
      <c r="M419" s="285">
        <f>IFERROR(((RESUMO!$F$45+RESUMO!$F$46)*'BD VOLUME'!$C$3*Preencher!$C$124)/(Preencher!$J$15),0)</f>
        <v>0</v>
      </c>
      <c r="N419" s="259">
        <f>IFERROR((R419/C419),"-")</f>
        <v>0</v>
      </c>
      <c r="O419" s="350">
        <f t="shared" si="153"/>
        <v>0</v>
      </c>
      <c r="P419" s="351" t="str">
        <f>IFERROR((R419/C419/O419),"-")</f>
        <v>-</v>
      </c>
      <c r="Q419" s="37"/>
      <c r="R419" s="285">
        <f>IFERROR(((RESUMO!$F$45+RESUMO!$F$46)*'BD VOLUME'!$C$3*Preencher!$D$124)/(Preencher!$K$15),0)</f>
        <v>0</v>
      </c>
    </row>
    <row r="420" spans="1:18">
      <c r="A420" s="200" t="s">
        <v>987</v>
      </c>
      <c r="B420" s="352">
        <f>7.77-1.4</f>
        <v>6.3699999999999992</v>
      </c>
      <c r="C420" s="350">
        <f>IF(B420=0,"-",3600/B420)</f>
        <v>565.14913657770808</v>
      </c>
      <c r="D420" s="259">
        <f>IFERROR((H420/C420),"-")</f>
        <v>0</v>
      </c>
      <c r="E420" s="350">
        <f>IFERROR(ROUNDUP(D420/0.95,0.999),0)</f>
        <v>0</v>
      </c>
      <c r="F420" s="351" t="str">
        <f>IFERROR((H420/C420/E420),"-")</f>
        <v>-</v>
      </c>
      <c r="G420" s="37"/>
      <c r="H420" s="285">
        <f>IFERROR(((RESUMO!$F$45+RESUMO!$F$46)*'BD VOLUME'!$C$3*Preencher!$B$124)/(Preencher!$I$15),0)</f>
        <v>0</v>
      </c>
      <c r="I420" s="259">
        <f>IFERROR((M420/C420),"-")</f>
        <v>0</v>
      </c>
      <c r="J420" s="699">
        <f>IFERROR(ROUNDUP(I420/0.95,0.999),0)*(Preencher!$C$126+Preencher!$J$126)</f>
        <v>0</v>
      </c>
      <c r="K420" s="351" t="str">
        <f>IFERROR((M420/C420/J420),"-")</f>
        <v>-</v>
      </c>
      <c r="L420" s="37"/>
      <c r="M420" s="285">
        <f>IFERROR(((RESUMO!$F$45+RESUMO!$F$46)*'BD VOLUME'!$C$3*Preencher!$C$124)/(Preencher!$J$15),0)</f>
        <v>0</v>
      </c>
      <c r="N420" s="259">
        <f>IFERROR((R420/C420),"-")</f>
        <v>0</v>
      </c>
      <c r="O420" s="350">
        <f t="shared" si="153"/>
        <v>0</v>
      </c>
      <c r="P420" s="351" t="str">
        <f>IFERROR((R420/C420/O420),"-")</f>
        <v>-</v>
      </c>
      <c r="Q420" s="37"/>
      <c r="R420" s="285">
        <f>IFERROR(((RESUMO!$F$45+RESUMO!$F$46)*'BD VOLUME'!$C$3*Preencher!$D$124)/(Preencher!$K$15),0)</f>
        <v>0</v>
      </c>
    </row>
    <row r="421" spans="1:18">
      <c r="A421" s="271"/>
      <c r="B421" s="293"/>
      <c r="C421" s="38"/>
      <c r="D421" s="38"/>
      <c r="E421" s="38"/>
      <c r="F421" s="38"/>
      <c r="G421" s="38"/>
      <c r="H421" s="294"/>
      <c r="I421" s="38"/>
      <c r="J421" s="38"/>
      <c r="K421" s="38"/>
      <c r="L421" s="38"/>
      <c r="M421" s="294"/>
      <c r="N421" s="38"/>
      <c r="O421" s="38"/>
      <c r="P421" s="38"/>
      <c r="Q421" s="38"/>
      <c r="R421" s="294"/>
    </row>
    <row r="422" spans="1:18">
      <c r="A422" s="272" t="s">
        <v>723</v>
      </c>
      <c r="B422" s="295"/>
      <c r="C422" s="46"/>
      <c r="D422" s="46"/>
      <c r="E422" s="46"/>
      <c r="F422" s="46"/>
      <c r="G422" s="46"/>
      <c r="H422" s="296"/>
      <c r="I422" s="46"/>
      <c r="J422" s="46"/>
      <c r="K422" s="46"/>
      <c r="L422" s="46"/>
      <c r="M422" s="296"/>
      <c r="N422" s="46"/>
      <c r="O422" s="46"/>
      <c r="P422" s="46"/>
      <c r="Q422" s="46"/>
      <c r="R422" s="296"/>
    </row>
    <row r="423" spans="1:18">
      <c r="A423" s="37" t="s">
        <v>3165</v>
      </c>
      <c r="B423" s="284">
        <f>IF(Preencher!$B$137=Preencher!$P$135,0,0.8)</f>
        <v>0.8</v>
      </c>
      <c r="C423" s="770">
        <f t="shared" ref="C423:C425" si="154">IF(B423=0,"-",3600/B423)</f>
        <v>4500</v>
      </c>
      <c r="D423" s="259">
        <f>IFERROR((H423/C423/Preencher!$B$127),"-")</f>
        <v>0</v>
      </c>
      <c r="E423" s="770">
        <f>IFERROR(ROUNDUP(D423/0.95,0.999),0)*Preencher!$B$127</f>
        <v>0</v>
      </c>
      <c r="F423" s="772" t="str">
        <f>IFERROR((H423/C423/E423),"-")</f>
        <v>-</v>
      </c>
      <c r="G423" s="37"/>
      <c r="H423" s="285">
        <f>IF(Preencher!$B$127&gt;Preencher!$B$126,0,IFERROR((Preencher!$B$125/(Preencher!$B$126/Preencher!$B$127)),0))</f>
        <v>0</v>
      </c>
      <c r="I423" s="259" t="str">
        <f>IFERROR((M423/C423/Preencher!$C$127),"-")</f>
        <v>-</v>
      </c>
      <c r="J423" s="770">
        <f>IFERROR(ROUNDUP(I423/0.95,0.999),0)*Preencher!$C$127</f>
        <v>0</v>
      </c>
      <c r="K423" s="772" t="str">
        <f t="shared" ref="K423:K425" si="155">IFERROR((M423/C423/J423),"-")</f>
        <v>-</v>
      </c>
      <c r="L423" s="37"/>
      <c r="M423" s="285">
        <f>IF(Preencher!$C$127&gt;Preencher!$C$126,0,IFERROR((Preencher!$C$125/(Preencher!$C$126/Preencher!$C$127)),0))</f>
        <v>0</v>
      </c>
      <c r="N423" s="259" t="str">
        <f>IFERROR((R423/C423/Preencher!$D$127),"-")</f>
        <v>-</v>
      </c>
      <c r="O423" s="770">
        <f>IFERROR(ROUNDUP(N423/0.95,0.999),0)*Preencher!$D$127</f>
        <v>0</v>
      </c>
      <c r="P423" s="772" t="str">
        <f t="shared" ref="P423:P425" si="156">IFERROR((R423/C423/O423),"-")</f>
        <v>-</v>
      </c>
      <c r="Q423" s="37"/>
      <c r="R423" s="285">
        <f>IF(Preencher!$D$127&gt;Preencher!$D$126,0,IFERROR((Preencher!$D$125/(Preencher!$D$126/Preencher!$D$127)),0))</f>
        <v>0</v>
      </c>
    </row>
    <row r="424" spans="1:18">
      <c r="A424" s="37" t="s">
        <v>3166</v>
      </c>
      <c r="B424" s="284">
        <f>IF(Preencher!$B$137=Preencher!$P$135,0,0.54)</f>
        <v>0.54</v>
      </c>
      <c r="C424" s="770">
        <f t="shared" si="154"/>
        <v>6666.6666666666661</v>
      </c>
      <c r="D424" s="259">
        <f>IFERROR((H424/C424/Preencher!$B$127),"-")</f>
        <v>0</v>
      </c>
      <c r="E424" s="770">
        <f>IFERROR(ROUNDUP(D424/0.95,0.999),0)*Preencher!$B$127</f>
        <v>0</v>
      </c>
      <c r="F424" s="772" t="str">
        <f>IFERROR((H424/C424/E424),"-")</f>
        <v>-</v>
      </c>
      <c r="G424" s="37"/>
      <c r="H424" s="285">
        <f>IF(Preencher!$B$127&gt;Preencher!$B$126,0,IFERROR((Preencher!$B$125/(Preencher!$B$126/Preencher!$B$127)),0))</f>
        <v>0</v>
      </c>
      <c r="I424" s="259" t="str">
        <f>IFERROR((M424/C424/Preencher!$C$127),"-")</f>
        <v>-</v>
      </c>
      <c r="J424" s="770">
        <f>IFERROR(ROUNDUP(I424/0.95,0.999),0)*Preencher!$C$127</f>
        <v>0</v>
      </c>
      <c r="K424" s="772" t="str">
        <f t="shared" si="155"/>
        <v>-</v>
      </c>
      <c r="L424" s="37"/>
      <c r="M424" s="285">
        <f>IF(Preencher!$C$127&gt;Preencher!$C$126,0,IFERROR((Preencher!$C$125/(Preencher!$C$126/Preencher!$C$127)),0))</f>
        <v>0</v>
      </c>
      <c r="N424" s="259" t="str">
        <f>IFERROR((R424/C424/Preencher!$D$127),"-")</f>
        <v>-</v>
      </c>
      <c r="O424" s="770">
        <f>IFERROR(ROUNDUP(N424/0.95,0.999),0)*Preencher!$D$127</f>
        <v>0</v>
      </c>
      <c r="P424" s="772" t="str">
        <f t="shared" si="156"/>
        <v>-</v>
      </c>
      <c r="Q424" s="37"/>
      <c r="R424" s="285">
        <f>IF(Preencher!$D$127&gt;Preencher!$D$126,0,IFERROR((Preencher!$D$125/(Preencher!$D$126/Preencher!$D$127)),0))</f>
        <v>0</v>
      </c>
    </row>
    <row r="425" spans="1:18">
      <c r="A425" s="37" t="s">
        <v>3167</v>
      </c>
      <c r="B425" s="284">
        <f>3420/2</f>
        <v>1710</v>
      </c>
      <c r="C425" s="770">
        <f t="shared" si="154"/>
        <v>2.1052631578947367</v>
      </c>
      <c r="D425" s="259">
        <f>IFERROR((H425/C425/Preencher!$B$127),"-")</f>
        <v>0.47500000000000003</v>
      </c>
      <c r="E425" s="770">
        <f>IFERROR(ROUNDUP(D425/0.95,0.999),0)*Preencher!$B$127</f>
        <v>1</v>
      </c>
      <c r="F425" s="772">
        <f>IFERROR((H425/C425/E425),"-")</f>
        <v>0.47500000000000003</v>
      </c>
      <c r="G425" s="37"/>
      <c r="H425" s="285">
        <f>Preencher!$B$127</f>
        <v>1</v>
      </c>
      <c r="I425" s="259">
        <f>IFERROR((M425/C425),"-")</f>
        <v>0</v>
      </c>
      <c r="J425" s="770">
        <f>IFERROR(ROUNDUP(I425/0.95,0.999),0)</f>
        <v>0</v>
      </c>
      <c r="K425" s="772" t="str">
        <f t="shared" si="155"/>
        <v>-</v>
      </c>
      <c r="L425" s="37"/>
      <c r="M425" s="285">
        <f>Preencher!$C$127</f>
        <v>0</v>
      </c>
      <c r="N425" s="259">
        <f>IFERROR((R425/C425),"-")</f>
        <v>0</v>
      </c>
      <c r="O425" s="770">
        <f>IFERROR(ROUNDUP(N425/0.95,0.999),0)</f>
        <v>0</v>
      </c>
      <c r="P425" s="772" t="str">
        <f t="shared" si="156"/>
        <v>-</v>
      </c>
      <c r="Q425" s="37"/>
      <c r="R425" s="285">
        <f>Preencher!$D$127</f>
        <v>0</v>
      </c>
    </row>
    <row r="426" spans="1:18">
      <c r="A426" s="271"/>
      <c r="B426" s="293"/>
      <c r="C426" s="38"/>
      <c r="D426" s="38"/>
      <c r="E426" s="38"/>
      <c r="F426" s="38"/>
      <c r="G426" s="38"/>
      <c r="H426" s="294"/>
      <c r="I426" s="38"/>
      <c r="J426" s="38"/>
      <c r="K426" s="38"/>
      <c r="L426" s="38"/>
      <c r="M426" s="294"/>
      <c r="N426" s="38"/>
      <c r="O426" s="38"/>
      <c r="P426" s="38"/>
      <c r="Q426" s="38"/>
      <c r="R426" s="294"/>
    </row>
    <row r="427" spans="1:18">
      <c r="A427" s="271"/>
      <c r="B427" s="293"/>
      <c r="C427" s="38"/>
      <c r="D427" s="38"/>
      <c r="E427" s="38"/>
      <c r="F427" s="38"/>
      <c r="G427" s="38"/>
      <c r="H427" s="294"/>
      <c r="I427" s="38"/>
      <c r="J427" s="38"/>
      <c r="K427" s="38"/>
      <c r="L427" s="38"/>
      <c r="M427" s="294"/>
      <c r="N427" s="38"/>
      <c r="O427" s="38"/>
      <c r="P427" s="38"/>
      <c r="Q427" s="38"/>
      <c r="R427" s="294"/>
    </row>
    <row r="428" spans="1:18">
      <c r="A428" s="268"/>
      <c r="B428" s="288"/>
      <c r="C428" s="13"/>
      <c r="D428" s="13"/>
      <c r="E428" s="13"/>
      <c r="F428" s="13"/>
      <c r="G428" s="13"/>
      <c r="H428" s="113"/>
      <c r="I428" s="13"/>
      <c r="J428" s="13"/>
      <c r="K428" s="13"/>
      <c r="L428" s="13"/>
      <c r="M428" s="113"/>
      <c r="N428" s="13"/>
      <c r="O428" s="13"/>
      <c r="P428" s="13"/>
      <c r="Q428" s="13"/>
      <c r="R428" s="113"/>
    </row>
    <row r="429" spans="1:18">
      <c r="A429" s="264" t="s">
        <v>701</v>
      </c>
      <c r="B429" s="282"/>
      <c r="C429" s="40"/>
      <c r="D429" s="40"/>
      <c r="E429" s="40"/>
      <c r="F429" s="40"/>
      <c r="G429" s="40"/>
      <c r="H429" s="283"/>
      <c r="I429" s="40"/>
      <c r="J429" s="40"/>
      <c r="K429" s="40"/>
      <c r="L429" s="40"/>
      <c r="M429" s="283"/>
      <c r="N429" s="40"/>
      <c r="O429" s="40"/>
      <c r="P429" s="40"/>
      <c r="Q429" s="40"/>
      <c r="R429" s="283"/>
    </row>
    <row r="430" spans="1:18">
      <c r="A430" s="265" t="s">
        <v>203</v>
      </c>
      <c r="B430" s="284"/>
      <c r="C430" s="251" t="str">
        <f t="shared" ref="C430:C436" si="157">IF(B430=0,"-",3600/B430)</f>
        <v>-</v>
      </c>
      <c r="D430" s="259" t="str">
        <f t="shared" ref="D430:D436" si="158">IFERROR((H430/C430),"-")</f>
        <v>-</v>
      </c>
      <c r="E430" s="251">
        <f t="shared" ref="E430:E436" si="159">IFERROR(ROUNDUP(D430/0.95,0.999),0)</f>
        <v>0</v>
      </c>
      <c r="F430" s="252" t="str">
        <f t="shared" ref="F430:F436" si="160">IFERROR((H430/C430/E430),"-")</f>
        <v>-</v>
      </c>
      <c r="G430" s="37"/>
      <c r="H430" s="285"/>
      <c r="I430" s="259" t="str">
        <f t="shared" ref="I430:I436" si="161">IFERROR((M430/C430),"-")</f>
        <v>-</v>
      </c>
      <c r="J430" s="251">
        <f t="shared" ref="J430:J436" si="162">IFERROR(ROUNDUP(I430/0.95,0.999),0)</f>
        <v>0</v>
      </c>
      <c r="K430" s="252" t="str">
        <f t="shared" ref="K430:K436" si="163">IFERROR((M430/C430/J430),"-")</f>
        <v>-</v>
      </c>
      <c r="L430" s="37"/>
      <c r="M430" s="285"/>
      <c r="N430" s="259" t="str">
        <f t="shared" ref="N430:N436" si="164">IFERROR((R430/C430),"-")</f>
        <v>-</v>
      </c>
      <c r="O430" s="251">
        <f t="shared" ref="O430:O436" si="165">IFERROR(ROUNDUP(N430/0.95,0.999),0)</f>
        <v>0</v>
      </c>
      <c r="P430" s="252" t="str">
        <f t="shared" ref="P430:P436" si="166">IFERROR((R430/C430/O430),"-")</f>
        <v>-</v>
      </c>
      <c r="Q430" s="37"/>
      <c r="R430" s="285"/>
    </row>
    <row r="431" spans="1:18">
      <c r="A431" s="265" t="s">
        <v>73</v>
      </c>
      <c r="B431" s="284"/>
      <c r="C431" s="251" t="str">
        <f t="shared" si="157"/>
        <v>-</v>
      </c>
      <c r="D431" s="259" t="str">
        <f t="shared" si="158"/>
        <v>-</v>
      </c>
      <c r="E431" s="251">
        <f t="shared" si="159"/>
        <v>0</v>
      </c>
      <c r="F431" s="252" t="str">
        <f t="shared" si="160"/>
        <v>-</v>
      </c>
      <c r="G431" s="37"/>
      <c r="H431" s="285"/>
      <c r="I431" s="259" t="str">
        <f t="shared" si="161"/>
        <v>-</v>
      </c>
      <c r="J431" s="251">
        <f t="shared" si="162"/>
        <v>0</v>
      </c>
      <c r="K431" s="252" t="str">
        <f t="shared" si="163"/>
        <v>-</v>
      </c>
      <c r="L431" s="37"/>
      <c r="M431" s="285"/>
      <c r="N431" s="259" t="str">
        <f t="shared" si="164"/>
        <v>-</v>
      </c>
      <c r="O431" s="251">
        <f t="shared" si="165"/>
        <v>0</v>
      </c>
      <c r="P431" s="252" t="str">
        <f t="shared" si="166"/>
        <v>-</v>
      </c>
      <c r="Q431" s="37"/>
      <c r="R431" s="285"/>
    </row>
    <row r="432" spans="1:18">
      <c r="A432" s="265" t="s">
        <v>74</v>
      </c>
      <c r="B432" s="284"/>
      <c r="C432" s="251" t="str">
        <f t="shared" si="157"/>
        <v>-</v>
      </c>
      <c r="D432" s="259" t="str">
        <f t="shared" si="158"/>
        <v>-</v>
      </c>
      <c r="E432" s="251">
        <f t="shared" si="159"/>
        <v>0</v>
      </c>
      <c r="F432" s="252" t="str">
        <f t="shared" si="160"/>
        <v>-</v>
      </c>
      <c r="G432" s="37"/>
      <c r="H432" s="285"/>
      <c r="I432" s="259" t="str">
        <f t="shared" si="161"/>
        <v>-</v>
      </c>
      <c r="J432" s="251">
        <f t="shared" si="162"/>
        <v>0</v>
      </c>
      <c r="K432" s="252" t="str">
        <f t="shared" si="163"/>
        <v>-</v>
      </c>
      <c r="L432" s="37"/>
      <c r="M432" s="285"/>
      <c r="N432" s="259" t="str">
        <f t="shared" si="164"/>
        <v>-</v>
      </c>
      <c r="O432" s="251">
        <f t="shared" si="165"/>
        <v>0</v>
      </c>
      <c r="P432" s="252" t="str">
        <f t="shared" si="166"/>
        <v>-</v>
      </c>
      <c r="Q432" s="37"/>
      <c r="R432" s="285"/>
    </row>
    <row r="433" spans="1:18">
      <c r="A433" s="265" t="s">
        <v>204</v>
      </c>
      <c r="B433" s="284"/>
      <c r="C433" s="251" t="str">
        <f t="shared" si="157"/>
        <v>-</v>
      </c>
      <c r="D433" s="259" t="str">
        <f t="shared" si="158"/>
        <v>-</v>
      </c>
      <c r="E433" s="251">
        <f t="shared" si="159"/>
        <v>0</v>
      </c>
      <c r="F433" s="252" t="str">
        <f t="shared" si="160"/>
        <v>-</v>
      </c>
      <c r="G433" s="37"/>
      <c r="H433" s="285"/>
      <c r="I433" s="259" t="str">
        <f t="shared" si="161"/>
        <v>-</v>
      </c>
      <c r="J433" s="251">
        <f t="shared" si="162"/>
        <v>0</v>
      </c>
      <c r="K433" s="252" t="str">
        <f t="shared" si="163"/>
        <v>-</v>
      </c>
      <c r="L433" s="37"/>
      <c r="M433" s="285"/>
      <c r="N433" s="259" t="str">
        <f t="shared" si="164"/>
        <v>-</v>
      </c>
      <c r="O433" s="251">
        <f t="shared" si="165"/>
        <v>0</v>
      </c>
      <c r="P433" s="252" t="str">
        <f t="shared" si="166"/>
        <v>-</v>
      </c>
      <c r="Q433" s="37"/>
      <c r="R433" s="285"/>
    </row>
    <row r="434" spans="1:18">
      <c r="A434" s="265" t="s">
        <v>208</v>
      </c>
      <c r="B434" s="284">
        <f>IF(Preencher!$B$103=Preencher!$U$91,13.2,0)</f>
        <v>13.2</v>
      </c>
      <c r="C434" s="251">
        <f t="shared" si="157"/>
        <v>272.72727272727275</v>
      </c>
      <c r="D434" s="259">
        <f t="shared" si="158"/>
        <v>0</v>
      </c>
      <c r="E434" s="251">
        <f t="shared" si="159"/>
        <v>0</v>
      </c>
      <c r="F434" s="252" t="str">
        <f t="shared" si="160"/>
        <v>-</v>
      </c>
      <c r="G434" s="37"/>
      <c r="H434" s="285">
        <f>IFERROR(Preencher!$C$115/Preencher!$I$15,0)</f>
        <v>0</v>
      </c>
      <c r="I434" s="259">
        <f t="shared" si="161"/>
        <v>0</v>
      </c>
      <c r="J434" s="251">
        <f t="shared" si="162"/>
        <v>0</v>
      </c>
      <c r="K434" s="252" t="str">
        <f t="shared" si="163"/>
        <v>-</v>
      </c>
      <c r="L434" s="37"/>
      <c r="M434" s="285">
        <f>IFERROR(Preencher!$D$115/Preencher!$J$15,0)</f>
        <v>0</v>
      </c>
      <c r="N434" s="259">
        <f t="shared" si="164"/>
        <v>0</v>
      </c>
      <c r="O434" s="251">
        <f t="shared" si="165"/>
        <v>0</v>
      </c>
      <c r="P434" s="252" t="str">
        <f t="shared" si="166"/>
        <v>-</v>
      </c>
      <c r="Q434" s="37"/>
      <c r="R434" s="285">
        <f>IFERROR(Preencher!$E$115/Preencher!$K$15,0)</f>
        <v>0</v>
      </c>
    </row>
    <row r="435" spans="1:18">
      <c r="A435" s="265" t="s">
        <v>209</v>
      </c>
      <c r="B435" s="284">
        <f>IF(Preencher!$B$103=Preencher!$U$91,0,6.6)</f>
        <v>0</v>
      </c>
      <c r="C435" s="251" t="str">
        <f t="shared" si="157"/>
        <v>-</v>
      </c>
      <c r="D435" s="259" t="str">
        <f t="shared" si="158"/>
        <v>-</v>
      </c>
      <c r="E435" s="251">
        <f t="shared" si="159"/>
        <v>0</v>
      </c>
      <c r="F435" s="252" t="str">
        <f t="shared" si="160"/>
        <v>-</v>
      </c>
      <c r="G435" s="37"/>
      <c r="H435" s="285">
        <f>IFERROR(Preencher!$C$115/Preencher!$I$15,0)</f>
        <v>0</v>
      </c>
      <c r="I435" s="259" t="str">
        <f t="shared" si="161"/>
        <v>-</v>
      </c>
      <c r="J435" s="251">
        <f t="shared" si="162"/>
        <v>0</v>
      </c>
      <c r="K435" s="252" t="str">
        <f t="shared" si="163"/>
        <v>-</v>
      </c>
      <c r="L435" s="37"/>
      <c r="M435" s="285">
        <f>IFERROR(Preencher!$D$115/Preencher!$J$15,0)</f>
        <v>0</v>
      </c>
      <c r="N435" s="259" t="str">
        <f t="shared" si="164"/>
        <v>-</v>
      </c>
      <c r="O435" s="251">
        <f t="shared" si="165"/>
        <v>0</v>
      </c>
      <c r="P435" s="252" t="str">
        <f t="shared" si="166"/>
        <v>-</v>
      </c>
      <c r="Q435" s="37"/>
      <c r="R435" s="285">
        <f>IFERROR(Preencher!$E$115/Preencher!$K$15,0)</f>
        <v>0</v>
      </c>
    </row>
    <row r="436" spans="1:18">
      <c r="A436" s="265" t="s">
        <v>210</v>
      </c>
      <c r="B436" s="284">
        <f>4-4</f>
        <v>0</v>
      </c>
      <c r="C436" s="251" t="str">
        <f t="shared" si="157"/>
        <v>-</v>
      </c>
      <c r="D436" s="259" t="str">
        <f t="shared" si="158"/>
        <v>-</v>
      </c>
      <c r="E436" s="251">
        <f t="shared" si="159"/>
        <v>0</v>
      </c>
      <c r="F436" s="252" t="str">
        <f t="shared" si="160"/>
        <v>-</v>
      </c>
      <c r="G436" s="37"/>
      <c r="H436" s="285">
        <f>IFERROR(Preencher!$C$115/Preencher!$I$15,0)</f>
        <v>0</v>
      </c>
      <c r="I436" s="259" t="str">
        <f t="shared" si="161"/>
        <v>-</v>
      </c>
      <c r="J436" s="251">
        <f t="shared" si="162"/>
        <v>0</v>
      </c>
      <c r="K436" s="252" t="str">
        <f t="shared" si="163"/>
        <v>-</v>
      </c>
      <c r="L436" s="37"/>
      <c r="M436" s="285">
        <f>IFERROR(Preencher!$D$115/Preencher!$J$15,0)</f>
        <v>0</v>
      </c>
      <c r="N436" s="259" t="str">
        <f t="shared" si="164"/>
        <v>-</v>
      </c>
      <c r="O436" s="251">
        <f t="shared" si="165"/>
        <v>0</v>
      </c>
      <c r="P436" s="252" t="str">
        <f t="shared" si="166"/>
        <v>-</v>
      </c>
      <c r="Q436" s="37"/>
      <c r="R436" s="285">
        <f>IFERROR(Preencher!$E$115/Preencher!$K$15,0)</f>
        <v>0</v>
      </c>
    </row>
    <row r="437" spans="1:18">
      <c r="A437" s="265" t="s">
        <v>239</v>
      </c>
      <c r="B437" s="284"/>
      <c r="C437" s="251"/>
      <c r="D437" s="259"/>
      <c r="E437" s="363">
        <f>ROUNDUP(SUM(D438:D441),0.999)</f>
        <v>0</v>
      </c>
      <c r="F437" s="364" t="str">
        <f>IFERROR(AVERAGE(F438:F439),"-")</f>
        <v>-</v>
      </c>
      <c r="G437" s="37"/>
      <c r="H437" s="285">
        <f>IF(SUM(H438:H441)&lt;50,0,1)</f>
        <v>0</v>
      </c>
      <c r="I437" s="259"/>
      <c r="J437" s="363">
        <f>ROUNDUP(SUM(I438:I441),0.999)</f>
        <v>0</v>
      </c>
      <c r="K437" s="364" t="str">
        <f>IFERROR(AVERAGE(K438:K439),"-")</f>
        <v>-</v>
      </c>
      <c r="L437" s="37"/>
      <c r="M437" s="285">
        <f>IF(SUM(M438:M441)&lt;50,0,1)</f>
        <v>0</v>
      </c>
      <c r="N437" s="259"/>
      <c r="O437" s="363">
        <f>ROUNDUP(SUM(N438:N441),0.999)</f>
        <v>0</v>
      </c>
      <c r="P437" s="364" t="str">
        <f>IFERROR(AVERAGE(P438:P439),"-")</f>
        <v>-</v>
      </c>
      <c r="Q437" s="37"/>
      <c r="R437" s="285">
        <f>IF(SUM(R438:R441)&lt;50,0,1)</f>
        <v>0</v>
      </c>
    </row>
    <row r="438" spans="1:18">
      <c r="A438" s="200" t="s">
        <v>1449</v>
      </c>
      <c r="B438" s="284"/>
      <c r="C438" s="353" t="str">
        <f>IF(B438=0,"-",3600/B438)</f>
        <v>-</v>
      </c>
      <c r="D438" s="259" t="str">
        <f>IFERROR((H438/C438),"-")</f>
        <v>-</v>
      </c>
      <c r="E438" s="353">
        <f>IFERROR(ROUNDUP(D438/0.95,0.999),0)</f>
        <v>0</v>
      </c>
      <c r="F438" s="354" t="str">
        <f>IFERROR((H438/C438/E438),"-")</f>
        <v>-</v>
      </c>
      <c r="G438" s="37"/>
      <c r="H438" s="285">
        <f>Preencher!AC108+Preencher!AC111</f>
        <v>0</v>
      </c>
      <c r="I438" s="259" t="str">
        <f>IFERROR((M438/C438),"-")</f>
        <v>-</v>
      </c>
      <c r="J438" s="353">
        <f>IFERROR(ROUNDUP(I438/0.95,0.999),0)</f>
        <v>0</v>
      </c>
      <c r="K438" s="354" t="str">
        <f>IFERROR((M438/C438/J438),"-")</f>
        <v>-</v>
      </c>
      <c r="L438" s="37"/>
      <c r="M438" s="285">
        <f>Preencher!AD108+Preencher!AD111</f>
        <v>0</v>
      </c>
      <c r="N438" s="259" t="str">
        <f>IFERROR((R438/C438),"-")</f>
        <v>-</v>
      </c>
      <c r="O438" s="353">
        <f>IFERROR(ROUNDUP(N438/0.95,0.999),0)</f>
        <v>0</v>
      </c>
      <c r="P438" s="354" t="str">
        <f>IFERROR((R438/C438/O438),"-")</f>
        <v>-</v>
      </c>
      <c r="Q438" s="37"/>
      <c r="R438" s="285">
        <f>Preencher!AE108+Preencher!AE111</f>
        <v>0</v>
      </c>
    </row>
    <row r="439" spans="1:18">
      <c r="A439" s="200" t="s">
        <v>1450</v>
      </c>
      <c r="B439" s="284">
        <f>IF(Preencher!$B$104=Preencher!$U$91,23,0)</f>
        <v>23</v>
      </c>
      <c r="C439" s="353">
        <f>IF(B439=0,"-",3600/B439)</f>
        <v>156.52173913043478</v>
      </c>
      <c r="D439" s="259">
        <f>IFERROR((H439/C439),"-")</f>
        <v>0</v>
      </c>
      <c r="E439" s="353">
        <f>IFERROR(ROUNDUP(D439/0.95,0.999),0)</f>
        <v>0</v>
      </c>
      <c r="F439" s="354" t="str">
        <f>IFERROR((H439/C439/E439),"-")</f>
        <v>-</v>
      </c>
      <c r="G439" s="37"/>
      <c r="H439" s="285">
        <f>Preencher!AC109+Preencher!AC110</f>
        <v>0</v>
      </c>
      <c r="I439" s="259">
        <f>IFERROR((M439/C439),"-")</f>
        <v>0</v>
      </c>
      <c r="J439" s="353">
        <f>IFERROR(ROUNDUP(I439/0.95,0.999),0)</f>
        <v>0</v>
      </c>
      <c r="K439" s="354" t="str">
        <f>IFERROR((M439/C439/J439),"-")</f>
        <v>-</v>
      </c>
      <c r="L439" s="37"/>
      <c r="M439" s="285">
        <f>Preencher!AD109+Preencher!AD110</f>
        <v>0</v>
      </c>
      <c r="N439" s="259">
        <f>IFERROR((R439/C439),"-")</f>
        <v>0</v>
      </c>
      <c r="O439" s="353">
        <f>IFERROR(ROUNDUP(N439/0.95,0.999),0)</f>
        <v>0</v>
      </c>
      <c r="P439" s="354" t="str">
        <f>IFERROR((R439/C439/O439),"-")</f>
        <v>-</v>
      </c>
      <c r="Q439" s="37"/>
      <c r="R439" s="285">
        <f>Preencher!AE109+Preencher!AE110</f>
        <v>0</v>
      </c>
    </row>
    <row r="440" spans="1:18">
      <c r="A440" s="200" t="s">
        <v>1452</v>
      </c>
      <c r="B440" s="284">
        <f>IF(Preencher!$B$358="Sim",15.7,0)</f>
        <v>0</v>
      </c>
      <c r="C440" s="353" t="str">
        <f>IF(B440=0,"-",3600/B440)</f>
        <v>-</v>
      </c>
      <c r="D440" s="259" t="str">
        <f>IFERROR((H440/C440),"-")</f>
        <v>-</v>
      </c>
      <c r="E440" s="353">
        <f>IFERROR(ROUNDUP(D440/0.95,0.999),0)</f>
        <v>0</v>
      </c>
      <c r="F440" s="354" t="str">
        <f>IFERROR((H440/C440/E440),"-")</f>
        <v>-</v>
      </c>
      <c r="G440" s="37"/>
      <c r="H440" s="285">
        <f>Preencher!AC106</f>
        <v>0</v>
      </c>
      <c r="I440" s="259" t="str">
        <f>IFERROR((M440/C440),"-")</f>
        <v>-</v>
      </c>
      <c r="J440" s="353">
        <f>IFERROR(ROUNDUP(I440/0.95,0.999),0)</f>
        <v>0</v>
      </c>
      <c r="K440" s="354" t="str">
        <f>IFERROR((M440/C440/J440),"-")</f>
        <v>-</v>
      </c>
      <c r="L440" s="37"/>
      <c r="M440" s="285">
        <f>Preencher!AD106</f>
        <v>0</v>
      </c>
      <c r="N440" s="259" t="str">
        <f>IFERROR((R440/C440),"-")</f>
        <v>-</v>
      </c>
      <c r="O440" s="353">
        <f>IFERROR(ROUNDUP(N440/0.95,0.999),0)</f>
        <v>0</v>
      </c>
      <c r="P440" s="354" t="str">
        <f>IFERROR((R440/C440/O440),"-")</f>
        <v>-</v>
      </c>
      <c r="Q440" s="37"/>
      <c r="R440" s="285">
        <f>Preencher!AE106</f>
        <v>0</v>
      </c>
    </row>
    <row r="441" spans="1:18">
      <c r="A441" s="200" t="s">
        <v>1453</v>
      </c>
      <c r="B441" s="284">
        <f>IF(Preencher!$B$358="Sim",9.8,0)</f>
        <v>0</v>
      </c>
      <c r="C441" s="353" t="str">
        <f>IF(B441=0,"-",3600/B441)</f>
        <v>-</v>
      </c>
      <c r="D441" s="259" t="str">
        <f>IFERROR((H441/C441),"-")</f>
        <v>-</v>
      </c>
      <c r="E441" s="353">
        <f>IFERROR(ROUNDUP(D441/0.95,0.999),0)</f>
        <v>0</v>
      </c>
      <c r="F441" s="354" t="str">
        <f>IFERROR((H441/C441/E441),"-")</f>
        <v>-</v>
      </c>
      <c r="G441" s="37"/>
      <c r="H441" s="285">
        <f>Preencher!AC105</f>
        <v>0</v>
      </c>
      <c r="I441" s="259" t="str">
        <f>IFERROR((M441/C441),"-")</f>
        <v>-</v>
      </c>
      <c r="J441" s="353">
        <f>IFERROR(ROUNDUP(I441/0.95,0.999),0)</f>
        <v>0</v>
      </c>
      <c r="K441" s="354" t="str">
        <f>IFERROR((M441/C441/J441),"-")</f>
        <v>-</v>
      </c>
      <c r="L441" s="37"/>
      <c r="M441" s="285">
        <f>Preencher!AD105</f>
        <v>0</v>
      </c>
      <c r="N441" s="259" t="str">
        <f>IFERROR((R441/C441),"-")</f>
        <v>-</v>
      </c>
      <c r="O441" s="353">
        <f>IFERROR(ROUNDUP(N441/0.95,0.999),0)</f>
        <v>0</v>
      </c>
      <c r="P441" s="354" t="str">
        <f>IFERROR((R441/C441/O441),"-")</f>
        <v>-</v>
      </c>
      <c r="Q441" s="37"/>
      <c r="R441" s="285">
        <f>Preencher!AE105</f>
        <v>0</v>
      </c>
    </row>
    <row r="442" spans="1:18">
      <c r="A442" s="200" t="s">
        <v>2559</v>
      </c>
      <c r="B442" s="284">
        <f>IF(Preencher!$B$104=Preencher!$U$91,23,0)</f>
        <v>23</v>
      </c>
      <c r="C442" s="684">
        <f>IF(B442=0,"-",3600/B442)</f>
        <v>156.52173913043478</v>
      </c>
      <c r="D442" s="259">
        <f>IFERROR((H442/C442),"-")</f>
        <v>0</v>
      </c>
      <c r="E442" s="684">
        <f>IFERROR(ROUNDUP(D442/0.95,0.999),0)</f>
        <v>0</v>
      </c>
      <c r="F442" s="683" t="str">
        <f>IFERROR((H442/C442/E442),"-")</f>
        <v>-</v>
      </c>
      <c r="G442" s="37"/>
      <c r="H442" s="285">
        <f>Preencher!AC112</f>
        <v>0</v>
      </c>
      <c r="I442" s="259">
        <f>IFERROR((M442/C442),"-")</f>
        <v>0</v>
      </c>
      <c r="J442" s="684">
        <f>IFERROR(ROUNDUP(I442/0.95,0.999),0)</f>
        <v>0</v>
      </c>
      <c r="K442" s="683" t="str">
        <f>IFERROR((M442/C442/J442),"-")</f>
        <v>-</v>
      </c>
      <c r="L442" s="37"/>
      <c r="M442" s="285">
        <f>Preencher!AD112</f>
        <v>0</v>
      </c>
      <c r="N442" s="259">
        <f>IFERROR((R442/C442),"-")</f>
        <v>0</v>
      </c>
      <c r="O442" s="684">
        <f>IFERROR(ROUNDUP(N442/0.95,0.999),0)</f>
        <v>0</v>
      </c>
      <c r="P442" s="683" t="str">
        <f>IFERROR((R442/C442/O442),"-")</f>
        <v>-</v>
      </c>
      <c r="Q442" s="37"/>
      <c r="R442" s="285">
        <f>Preencher!AE112</f>
        <v>0</v>
      </c>
    </row>
    <row r="443" spans="1:18">
      <c r="A443" s="270" t="s">
        <v>723</v>
      </c>
      <c r="B443" s="291"/>
      <c r="C443" s="39"/>
      <c r="D443" s="39"/>
      <c r="E443" s="39"/>
      <c r="F443" s="39"/>
      <c r="G443" s="39"/>
      <c r="H443" s="292"/>
      <c r="I443" s="39"/>
      <c r="J443" s="39"/>
      <c r="K443" s="39"/>
      <c r="L443" s="39"/>
      <c r="M443" s="292"/>
      <c r="N443" s="39"/>
      <c r="O443" s="39"/>
      <c r="P443" s="39"/>
      <c r="Q443" s="39"/>
      <c r="R443" s="292"/>
    </row>
    <row r="444" spans="1:18">
      <c r="A444" s="265"/>
      <c r="B444" s="286"/>
      <c r="C444" s="37"/>
      <c r="D444" s="37"/>
      <c r="E444" s="37"/>
      <c r="F444" s="37"/>
      <c r="G444" s="37"/>
      <c r="H444" s="287"/>
      <c r="I444" s="37"/>
      <c r="J444" s="37"/>
      <c r="K444" s="37"/>
      <c r="L444" s="37"/>
      <c r="M444" s="287"/>
      <c r="N444" s="37"/>
      <c r="O444" s="37"/>
      <c r="P444" s="37"/>
      <c r="Q444" s="37"/>
      <c r="R444" s="287"/>
    </row>
    <row r="445" spans="1:18">
      <c r="A445" s="265"/>
      <c r="B445" s="286"/>
      <c r="C445" s="37"/>
      <c r="D445" s="37"/>
      <c r="E445" s="37"/>
      <c r="F445" s="37"/>
      <c r="G445" s="37"/>
      <c r="H445" s="287"/>
      <c r="I445" s="37"/>
      <c r="J445" s="37"/>
      <c r="K445" s="37"/>
      <c r="L445" s="37"/>
      <c r="M445" s="287"/>
      <c r="N445" s="37"/>
      <c r="O445" s="37"/>
      <c r="P445" s="37"/>
      <c r="Q445" s="37"/>
      <c r="R445" s="287"/>
    </row>
    <row r="446" spans="1:18">
      <c r="A446" s="265"/>
      <c r="B446" s="286"/>
      <c r="C446" s="37"/>
      <c r="D446" s="37"/>
      <c r="E446" s="37"/>
      <c r="F446" s="37"/>
      <c r="G446" s="37"/>
      <c r="H446" s="287"/>
      <c r="I446" s="37"/>
      <c r="J446" s="37"/>
      <c r="K446" s="37"/>
      <c r="L446" s="37"/>
      <c r="M446" s="287"/>
      <c r="N446" s="37"/>
      <c r="O446" s="37"/>
      <c r="P446" s="37"/>
      <c r="Q446" s="37"/>
      <c r="R446" s="287"/>
    </row>
    <row r="447" spans="1:18">
      <c r="A447" s="265"/>
      <c r="B447" s="286"/>
      <c r="C447" s="37"/>
      <c r="D447" s="37"/>
      <c r="E447" s="37"/>
      <c r="F447" s="37"/>
      <c r="G447" s="37"/>
      <c r="H447" s="287"/>
      <c r="I447" s="37"/>
      <c r="J447" s="37"/>
      <c r="K447" s="37"/>
      <c r="L447" s="37"/>
      <c r="M447" s="287"/>
      <c r="N447" s="37"/>
      <c r="O447" s="37"/>
      <c r="P447" s="37"/>
      <c r="Q447" s="37"/>
      <c r="R447" s="287"/>
    </row>
    <row r="448" spans="1:18">
      <c r="A448" s="265"/>
      <c r="B448" s="286"/>
      <c r="C448" s="37"/>
      <c r="D448" s="37"/>
      <c r="E448" s="37"/>
      <c r="F448" s="37"/>
      <c r="G448" s="37"/>
      <c r="H448" s="287"/>
      <c r="I448" s="37"/>
      <c r="J448" s="37"/>
      <c r="K448" s="37"/>
      <c r="L448" s="37"/>
      <c r="M448" s="287"/>
      <c r="N448" s="37"/>
      <c r="O448" s="37"/>
      <c r="P448" s="37"/>
      <c r="Q448" s="37"/>
      <c r="R448" s="287"/>
    </row>
    <row r="449" spans="1:18">
      <c r="A449" s="265"/>
      <c r="B449" s="286"/>
      <c r="C449" s="37"/>
      <c r="D449" s="37"/>
      <c r="E449" s="37"/>
      <c r="F449" s="37"/>
      <c r="G449" s="37"/>
      <c r="H449" s="287"/>
      <c r="I449" s="37"/>
      <c r="J449" s="37"/>
      <c r="K449" s="37"/>
      <c r="L449" s="37"/>
      <c r="M449" s="287"/>
      <c r="N449" s="37"/>
      <c r="O449" s="37"/>
      <c r="P449" s="37"/>
      <c r="Q449" s="37"/>
      <c r="R449" s="287"/>
    </row>
    <row r="450" spans="1:18">
      <c r="A450" s="264" t="s">
        <v>235</v>
      </c>
      <c r="B450" s="282"/>
      <c r="C450" s="40"/>
      <c r="D450" s="40"/>
      <c r="E450" s="40"/>
      <c r="F450" s="40"/>
      <c r="G450" s="40"/>
      <c r="H450" s="283"/>
      <c r="I450" s="40"/>
      <c r="J450" s="40"/>
      <c r="K450" s="40"/>
      <c r="L450" s="40"/>
      <c r="M450" s="283"/>
      <c r="N450" s="40"/>
      <c r="O450" s="40"/>
      <c r="P450" s="40"/>
      <c r="Q450" s="40"/>
      <c r="R450" s="283"/>
    </row>
    <row r="451" spans="1:18">
      <c r="A451" s="268" t="s">
        <v>17</v>
      </c>
      <c r="B451" s="288"/>
      <c r="C451" s="13"/>
      <c r="D451" s="13"/>
      <c r="E451" s="13"/>
      <c r="F451" s="13"/>
      <c r="G451" s="13"/>
      <c r="H451" s="113"/>
      <c r="I451" s="13"/>
      <c r="J451" s="13"/>
      <c r="K451" s="13"/>
      <c r="L451" s="13"/>
      <c r="M451" s="113"/>
      <c r="N451" s="13"/>
      <c r="O451" s="13"/>
      <c r="P451" s="13"/>
      <c r="Q451" s="13"/>
      <c r="R451" s="113"/>
    </row>
    <row r="452" spans="1:18">
      <c r="A452" s="268" t="s">
        <v>18</v>
      </c>
      <c r="B452" s="288"/>
      <c r="C452" s="13"/>
      <c r="D452" s="13"/>
      <c r="E452" s="13"/>
      <c r="F452" s="13"/>
      <c r="G452" s="13"/>
      <c r="H452" s="113"/>
      <c r="I452" s="13"/>
      <c r="J452" s="13"/>
      <c r="K452" s="13"/>
      <c r="L452" s="13"/>
      <c r="M452" s="113"/>
      <c r="N452" s="13"/>
      <c r="O452" s="13"/>
      <c r="P452" s="13"/>
      <c r="Q452" s="13"/>
      <c r="R452" s="113"/>
    </row>
    <row r="453" spans="1:18">
      <c r="A453" s="268"/>
      <c r="B453" s="288"/>
      <c r="C453" s="13"/>
      <c r="D453" s="13"/>
      <c r="E453" s="13"/>
      <c r="F453" s="13"/>
      <c r="G453" s="13"/>
      <c r="H453" s="113"/>
      <c r="I453" s="13"/>
      <c r="J453" s="13"/>
      <c r="K453" s="13"/>
      <c r="L453" s="13"/>
      <c r="M453" s="113"/>
      <c r="N453" s="13"/>
      <c r="O453" s="13"/>
      <c r="P453" s="13"/>
      <c r="Q453" s="13"/>
      <c r="R453" s="113"/>
    </row>
    <row r="454" spans="1:18">
      <c r="A454" s="263" t="s">
        <v>78</v>
      </c>
      <c r="B454" s="280"/>
      <c r="C454" s="35"/>
      <c r="D454" s="35"/>
      <c r="E454" s="35"/>
      <c r="F454" s="35"/>
      <c r="G454" s="35"/>
      <c r="H454" s="281"/>
      <c r="I454" s="35"/>
      <c r="J454" s="35"/>
      <c r="K454" s="35"/>
      <c r="L454" s="35"/>
      <c r="M454" s="281"/>
      <c r="N454" s="35"/>
      <c r="O454" s="35"/>
      <c r="P454" s="35"/>
      <c r="Q454" s="35"/>
      <c r="R454" s="281"/>
    </row>
    <row r="455" spans="1:18">
      <c r="A455" s="264" t="s">
        <v>714</v>
      </c>
      <c r="B455" s="282"/>
      <c r="C455" s="40"/>
      <c r="D455" s="40"/>
      <c r="E455" s="40"/>
      <c r="F455" s="40"/>
      <c r="G455" s="40"/>
      <c r="H455" s="283"/>
      <c r="I455" s="40"/>
      <c r="J455" s="40"/>
      <c r="K455" s="40"/>
      <c r="L455" s="40"/>
      <c r="M455" s="283"/>
      <c r="N455" s="40"/>
      <c r="O455" s="40"/>
      <c r="P455" s="40"/>
      <c r="Q455" s="40"/>
      <c r="R455" s="283"/>
    </row>
    <row r="456" spans="1:18">
      <c r="A456" s="264" t="s">
        <v>246</v>
      </c>
      <c r="B456" s="282"/>
      <c r="C456" s="40"/>
      <c r="D456" s="40"/>
      <c r="E456" s="40"/>
      <c r="F456" s="40"/>
      <c r="G456" s="40"/>
      <c r="H456" s="283"/>
      <c r="I456" s="40"/>
      <c r="J456" s="40"/>
      <c r="K456" s="40"/>
      <c r="L456" s="40"/>
      <c r="M456" s="283"/>
      <c r="N456" s="40"/>
      <c r="O456" s="40"/>
      <c r="P456" s="40"/>
      <c r="Q456" s="40"/>
      <c r="R456" s="283"/>
    </row>
    <row r="457" spans="1:18">
      <c r="A457" s="265" t="s">
        <v>215</v>
      </c>
      <c r="B457" s="284"/>
      <c r="C457" s="251" t="str">
        <f>IF(B457=0,"-",3600/B457)</f>
        <v>-</v>
      </c>
      <c r="D457" s="259" t="str">
        <f>IFERROR((H457/C457),"-")</f>
        <v>-</v>
      </c>
      <c r="E457" s="251">
        <f>IFERROR(ROUNDUP(D457/0.95,0.999),0)</f>
        <v>0</v>
      </c>
      <c r="F457" s="252" t="str">
        <f>IFERROR((H457/C457/E457),"-")</f>
        <v>-</v>
      </c>
      <c r="G457" s="37"/>
      <c r="H457" s="285"/>
      <c r="I457" s="259" t="str">
        <f>IFERROR((M457/C457),"-")</f>
        <v>-</v>
      </c>
      <c r="J457" s="251">
        <f>IFERROR(ROUNDUP(I457/0.95,0.999),0)</f>
        <v>0</v>
      </c>
      <c r="K457" s="252" t="str">
        <f>IFERROR((M457/C457/J457),"-")</f>
        <v>-</v>
      </c>
      <c r="L457" s="37"/>
      <c r="M457" s="285"/>
      <c r="N457" s="259" t="str">
        <f>IFERROR((R457/C457),"-")</f>
        <v>-</v>
      </c>
      <c r="O457" s="251">
        <f>IFERROR(ROUNDUP(N457/0.95,0.999),0)</f>
        <v>0</v>
      </c>
      <c r="P457" s="252" t="str">
        <f>IFERROR((R457/C457/O457),"-")</f>
        <v>-</v>
      </c>
      <c r="Q457" s="37"/>
      <c r="R457" s="285"/>
    </row>
    <row r="458" spans="1:18">
      <c r="A458" s="265" t="s">
        <v>79</v>
      </c>
      <c r="B458" s="284">
        <f>IF(Preencher!$B$137=Preencher!$P$136,0,0.3-0.3)</f>
        <v>0</v>
      </c>
      <c r="C458" s="251" t="str">
        <f>IF(B458=0,"-",3600/B458)</f>
        <v>-</v>
      </c>
      <c r="D458" s="259" t="str">
        <f>IFERROR((H458/C458/Preencher!$B$139),"-")</f>
        <v>-</v>
      </c>
      <c r="E458" s="251">
        <f>IFERROR(ROUNDUP(D458/0.95,0.999),0)*Preencher!$B$139</f>
        <v>0</v>
      </c>
      <c r="F458" s="252" t="str">
        <f>IFERROR((H458/C458/E458),"-")</f>
        <v>-</v>
      </c>
      <c r="G458" s="37"/>
      <c r="H458" s="285">
        <f>Preencher!$B$138</f>
        <v>4800</v>
      </c>
      <c r="I458" s="259" t="str">
        <f>IFERROR((M458/C458/Preencher!$C$139),"-")</f>
        <v>-</v>
      </c>
      <c r="J458" s="251">
        <f>IFERROR(ROUNDUP(I458/0.95,0.999),0)*Preencher!$C$139</f>
        <v>0</v>
      </c>
      <c r="K458" s="252" t="str">
        <f>IFERROR((M458/C458/J458),"-")</f>
        <v>-</v>
      </c>
      <c r="L458" s="37"/>
      <c r="M458" s="285">
        <f>Preencher!$C$138</f>
        <v>0</v>
      </c>
      <c r="N458" s="259" t="str">
        <f>IFERROR((R458/C458/Preencher!$D$139),"-")</f>
        <v>-</v>
      </c>
      <c r="O458" s="251">
        <f>IFERROR(ROUNDUP(N458/0.95,0.999),0)*Preencher!$D$139</f>
        <v>0</v>
      </c>
      <c r="P458" s="252" t="str">
        <f>IFERROR((R458/C458/O458),"-")</f>
        <v>-</v>
      </c>
      <c r="Q458" s="37"/>
      <c r="R458" s="285">
        <f>Preencher!$D$138</f>
        <v>0</v>
      </c>
    </row>
    <row r="459" spans="1:18">
      <c r="A459" s="265" t="s">
        <v>80</v>
      </c>
      <c r="B459" s="284">
        <f>IF(Preencher!$B$136="Sim",0.6,0)</f>
        <v>0</v>
      </c>
      <c r="C459" s="251" t="str">
        <f>IF(B459=0,"-",3600/B459)</f>
        <v>-</v>
      </c>
      <c r="D459" s="259" t="str">
        <f>IFERROR((H459/C459/Preencher!$B$139),"-")</f>
        <v>-</v>
      </c>
      <c r="E459" s="353">
        <f>IFERROR(ROUNDUP(D459/0.95,0.999),0)*Preencher!$B$139</f>
        <v>0</v>
      </c>
      <c r="F459" s="354" t="str">
        <f>IFERROR((H459/C459/E459),"-")</f>
        <v>-</v>
      </c>
      <c r="G459" s="37"/>
      <c r="H459" s="285">
        <f>Preencher!$B$138</f>
        <v>4800</v>
      </c>
      <c r="I459" s="259" t="str">
        <f>IFERROR((M459/C459/Preencher!$C$139),"-")</f>
        <v>-</v>
      </c>
      <c r="J459" s="353">
        <f>IFERROR(ROUNDUP(I459/0.95,0.999),0)*Preencher!$C$139</f>
        <v>0</v>
      </c>
      <c r="K459" s="354" t="str">
        <f>IFERROR((M459/C459/J459),"-")</f>
        <v>-</v>
      </c>
      <c r="L459" s="37"/>
      <c r="M459" s="285">
        <f>Preencher!$C$138</f>
        <v>0</v>
      </c>
      <c r="N459" s="259" t="str">
        <f>IFERROR((R459/C459/Preencher!$D$139),"-")</f>
        <v>-</v>
      </c>
      <c r="O459" s="353">
        <f>IFERROR(ROUNDUP(N459/0.95,0.999),0)*Preencher!$D$139</f>
        <v>0</v>
      </c>
      <c r="P459" s="252" t="str">
        <f>IFERROR((R459/C459/O459),"-")</f>
        <v>-</v>
      </c>
      <c r="Q459" s="37"/>
      <c r="R459" s="285">
        <f>Preencher!$D$138</f>
        <v>0</v>
      </c>
    </row>
    <row r="460" spans="1:18">
      <c r="A460" s="265" t="s">
        <v>81</v>
      </c>
      <c r="B460" s="284"/>
      <c r="C460" s="251"/>
      <c r="D460" s="259"/>
      <c r="E460" s="363">
        <f>ROUND(SUM(E461:E463)/0.98,0.999)</f>
        <v>14</v>
      </c>
      <c r="F460" s="662">
        <f>IFERROR(AVERAGE(F461:F463),"-")</f>
        <v>0.43338095238095242</v>
      </c>
      <c r="G460" s="37"/>
      <c r="H460" s="285"/>
      <c r="I460" s="259"/>
      <c r="J460" s="770">
        <f>ROUND(SUM(J461:J463)/0.95,0.999)</f>
        <v>0</v>
      </c>
      <c r="K460" s="772" t="str">
        <f>IFERROR(AVERAGE(K461:K463),"-")</f>
        <v>-</v>
      </c>
      <c r="L460" s="37"/>
      <c r="M460" s="285"/>
      <c r="N460" s="259"/>
      <c r="O460" s="770">
        <f>ROUND(SUM(O461:O463)/0.95,0.999)</f>
        <v>0</v>
      </c>
      <c r="P460" s="772" t="str">
        <f>IFERROR(AVERAGE(P461:P464),"-")</f>
        <v>-</v>
      </c>
      <c r="Q460" s="37"/>
      <c r="R460" s="285"/>
    </row>
    <row r="461" spans="1:18">
      <c r="A461" s="200" t="s">
        <v>1497</v>
      </c>
      <c r="B461" s="284">
        <f>IF(Preencher!B95&gt;1,9.101,0)</f>
        <v>0</v>
      </c>
      <c r="C461" s="353" t="str">
        <f t="shared" ref="C461:C467" si="167">IF(B461=0,"-",3600/B461)</f>
        <v>-</v>
      </c>
      <c r="D461" s="259" t="str">
        <f>IFERROR((H461/C461/G461),"-")</f>
        <v>-</v>
      </c>
      <c r="E461" s="706">
        <f>IFERROR(ROUNDUP(D461/0.95,0.999),0)*G461</f>
        <v>0</v>
      </c>
      <c r="F461" s="772" t="str">
        <f>IFERROR((H461/#REF!/E461),"-")</f>
        <v>-</v>
      </c>
      <c r="G461" s="93">
        <f>IF(Preencher!$B$137=Preencher!$P$137,Preencher!$B$97,Preencher!$B$139)</f>
        <v>2</v>
      </c>
      <c r="H461" s="285">
        <f>(Preencher!$B$138-H462)</f>
        <v>4800</v>
      </c>
      <c r="I461" s="259" t="str">
        <f>IFERROR((M461/C461/L461),"-")</f>
        <v>-</v>
      </c>
      <c r="J461" s="706">
        <f>IFERROR(ROUNDUP(I461/0.95,0.999),0)*L461</f>
        <v>0</v>
      </c>
      <c r="K461" s="705" t="str">
        <f t="shared" ref="K461:K467" si="168">IFERROR((M461/C461/J461),"-")</f>
        <v>-</v>
      </c>
      <c r="L461" s="93">
        <f>IF(Preencher!$C$137=Preencher!$P$137,Preencher!$C$97,Preencher!$C$139)</f>
        <v>0</v>
      </c>
      <c r="M461" s="285">
        <f>Preencher!$C$138-M464</f>
        <v>0</v>
      </c>
      <c r="N461" s="259" t="str">
        <f>IFERROR((R461/C461/Preencher!D139),"-")</f>
        <v>-</v>
      </c>
      <c r="O461" s="353">
        <f>IFERROR(ROUNDUP(N461/0.95,0.999),0)*Preencher!$D$139</f>
        <v>0</v>
      </c>
      <c r="P461" s="354" t="str">
        <f t="shared" ref="P461:P467" si="169">IFERROR((R461/C461/O461),"-")</f>
        <v>-</v>
      </c>
      <c r="Q461" s="37"/>
      <c r="R461" s="285">
        <f>Preencher!$D$138-R464</f>
        <v>0</v>
      </c>
    </row>
    <row r="462" spans="1:18">
      <c r="A462" s="200" t="s">
        <v>3075</v>
      </c>
      <c r="B462" s="284">
        <f>IF(Preencher!J137="Sim",20,20)</f>
        <v>20</v>
      </c>
      <c r="C462" s="770">
        <f>IF(B462=0,"-",3600/B462)</f>
        <v>180</v>
      </c>
      <c r="D462" s="259">
        <f>IFERROR((H462/C462/G462),"-")</f>
        <v>0</v>
      </c>
      <c r="E462" s="770">
        <f>IFERROR(ROUNDUP(D462/0.95,0.999),0)*G462</f>
        <v>0</v>
      </c>
      <c r="F462" s="772">
        <f>IFERROR((H462/C462/E462),0)</f>
        <v>0</v>
      </c>
      <c r="G462" s="93">
        <f>IF(Preencher!$B$137=Preencher!$P$137,Preencher!$B$97,Preencher!$B$139)</f>
        <v>2</v>
      </c>
      <c r="H462" s="285">
        <f>(Preencher!$B$138)*Preencher!$Y$142</f>
        <v>0</v>
      </c>
      <c r="I462" s="259" t="str">
        <f>IFERROR((M462/C462/L462),"-")</f>
        <v>-</v>
      </c>
      <c r="J462" s="770">
        <f>IFERROR(ROUNDUP(I462/0.95,0.999),0)*L462</f>
        <v>0</v>
      </c>
      <c r="K462" s="772" t="str">
        <f>IFERROR((M462/C462/J462),"-")</f>
        <v>-</v>
      </c>
      <c r="L462" s="93">
        <f>IF(Preencher!$C$137=Preencher!$P$137,Preencher!$C$97,Preencher!$C$139)</f>
        <v>0</v>
      </c>
      <c r="M462" s="285">
        <f>(Preencher!$C$138)*Preencher!$Z$142</f>
        <v>0</v>
      </c>
      <c r="N462" s="259" t="str">
        <f>IFERROR((R462/C462/Preencher!D140),"-")</f>
        <v>-</v>
      </c>
      <c r="O462" s="770">
        <f>IFERROR(ROUNDUP(N462/0.95,0.999),0)*Preencher!$D$139</f>
        <v>0</v>
      </c>
      <c r="P462" s="772" t="str">
        <f t="shared" si="169"/>
        <v>-</v>
      </c>
      <c r="Q462" s="37"/>
      <c r="R462" s="285">
        <f>(Preencher!$D$138)*Preencher!$AA$142</f>
        <v>0</v>
      </c>
    </row>
    <row r="463" spans="1:18">
      <c r="A463" s="200" t="s">
        <v>1498</v>
      </c>
      <c r="B463" s="284">
        <f>IF(Preencher!B137=Preencher!P137,10.101-1,0)</f>
        <v>9.1010000000000009</v>
      </c>
      <c r="C463" s="353">
        <f t="shared" si="167"/>
        <v>395.56092737061857</v>
      </c>
      <c r="D463" s="259">
        <f>IFERROR((H463/C463/G463),"-")</f>
        <v>6.0673333333333339</v>
      </c>
      <c r="E463" s="353">
        <f>IFERROR(ROUNDUP(D463/0.95,0.999),0)*G463</f>
        <v>14</v>
      </c>
      <c r="F463" s="354">
        <f>IFERROR((H463/C463/E463),0)</f>
        <v>0.86676190476190484</v>
      </c>
      <c r="G463" s="93">
        <f>IF(Preencher!$B$137=Preencher!$P$137,Preencher!$B$97,Preencher!$B$139)</f>
        <v>2</v>
      </c>
      <c r="H463" s="285">
        <f>(Preencher!$B$138)-H462</f>
        <v>4800</v>
      </c>
      <c r="I463" s="259" t="str">
        <f>IFERROR((M463/C463/L463),"-")</f>
        <v>-</v>
      </c>
      <c r="J463" s="353">
        <f>IFERROR(ROUNDUP(I463/0.95,0.999),0)*L463</f>
        <v>0</v>
      </c>
      <c r="K463" s="354" t="str">
        <f t="shared" si="168"/>
        <v>-</v>
      </c>
      <c r="L463" s="93">
        <f>IF(Preencher!$C$137=Preencher!$P$137,Preencher!$C$97,Preencher!$C$139)</f>
        <v>0</v>
      </c>
      <c r="M463" s="285">
        <f>Preencher!$C$138-M462</f>
        <v>0</v>
      </c>
      <c r="N463" s="259" t="str">
        <f>IFERROR((R463/C463/Q463),"-")</f>
        <v>-</v>
      </c>
      <c r="O463" s="353">
        <f>IFERROR(ROUNDUP(N463/0.95,0.999),0)*Q463</f>
        <v>0</v>
      </c>
      <c r="P463" s="354" t="str">
        <f t="shared" si="169"/>
        <v>-</v>
      </c>
      <c r="Q463" s="93">
        <f>IF(Preencher!$D$137=Preencher!$P$137,Preencher!$D$97,Preencher!$D$139)</f>
        <v>0</v>
      </c>
      <c r="R463" s="285">
        <f>Preencher!$D$138-R462</f>
        <v>0</v>
      </c>
    </row>
    <row r="464" spans="1:18">
      <c r="A464" s="265" t="s">
        <v>82</v>
      </c>
      <c r="B464" s="284">
        <f>3.4/2</f>
        <v>1.7</v>
      </c>
      <c r="C464" s="353">
        <f t="shared" si="167"/>
        <v>2117.6470588235293</v>
      </c>
      <c r="D464" s="259">
        <f>IFERROR((H464/C464),"-")</f>
        <v>2.2666666666666666</v>
      </c>
      <c r="E464" s="353">
        <f>IFERROR(ROUNDUP(D464/0.95,0.999),0)</f>
        <v>3</v>
      </c>
      <c r="F464" s="354">
        <f>IFERROR((H464/C464/E464),"-")</f>
        <v>0.75555555555555554</v>
      </c>
      <c r="G464" s="37"/>
      <c r="H464" s="285">
        <f>IF(Preencher!$B$140&gt;Preencher!$B$139,0,IF(Preencher!$B$140=0,Preencher!$B$138,IFERROR(Preencher!$B$138-(Preencher!$B$138/(Preencher!$B$139/Preencher!$B$140)),0)))</f>
        <v>4800</v>
      </c>
      <c r="I464" s="259">
        <f>IFERROR((M464/C464),"-")</f>
        <v>0</v>
      </c>
      <c r="J464" s="353">
        <f>IFERROR(ROUNDUP(I464/0.95,0.999),0)</f>
        <v>0</v>
      </c>
      <c r="K464" s="354" t="str">
        <f t="shared" si="168"/>
        <v>-</v>
      </c>
      <c r="L464" s="37"/>
      <c r="M464" s="285">
        <f>IF(Preencher!$C$140&gt;Preencher!$C$139,0,IF(Preencher!$C$140=0,Preencher!$C$138,IFERROR(Preencher!$C$138-(Preencher!$C$138/(Preencher!$C$139/Preencher!$C$140)),0)))</f>
        <v>0</v>
      </c>
      <c r="N464" s="259">
        <f>IFERROR((R464/C464),"-")</f>
        <v>0</v>
      </c>
      <c r="O464" s="251">
        <f>IFERROR(ROUNDUP(N464/0.95,0.999),0)</f>
        <v>0</v>
      </c>
      <c r="P464" s="252" t="str">
        <f t="shared" si="169"/>
        <v>-</v>
      </c>
      <c r="Q464" s="37"/>
      <c r="R464" s="285">
        <f>IF(Preencher!$D$140&gt;Preencher!$D$139,0,IF(Preencher!$D$140=0,Preencher!$D$138,IFERROR(Preencher!$D$138-(Preencher!$D$138/(Preencher!$D$139/Preencher!$D$140)),0)))</f>
        <v>0</v>
      </c>
    </row>
    <row r="465" spans="1:18">
      <c r="A465" s="265" t="s">
        <v>83</v>
      </c>
      <c r="B465" s="284">
        <f>IF(Preencher!$B$137=Preencher!$P$135,0,0.8)</f>
        <v>0.8</v>
      </c>
      <c r="C465" s="251">
        <f t="shared" si="167"/>
        <v>4500</v>
      </c>
      <c r="D465" s="259" t="str">
        <f>IFERROR((H465/C465/Preencher!$B$140),"-")</f>
        <v>-</v>
      </c>
      <c r="E465" s="251">
        <f>IFERROR(ROUNDUP(D465/0.95,0.999),0)*Preencher!$B$140</f>
        <v>0</v>
      </c>
      <c r="F465" s="252" t="str">
        <f>IFERROR((H465/C465/E465),"-")</f>
        <v>-</v>
      </c>
      <c r="G465" s="37"/>
      <c r="H465" s="285">
        <f>IF(Preencher!$B$140&gt;Preencher!$B$139,0,IFERROR((Preencher!$B$138/(Preencher!$B$139/Preencher!$B$140)),0))</f>
        <v>0</v>
      </c>
      <c r="I465" s="259" t="str">
        <f>IFERROR((M465/C465/Preencher!$C$140),"-")</f>
        <v>-</v>
      </c>
      <c r="J465" s="251">
        <f>IFERROR(ROUNDUP(I465/0.95,0.999),0)*Preencher!$C$140</f>
        <v>0</v>
      </c>
      <c r="K465" s="252" t="str">
        <f t="shared" si="168"/>
        <v>-</v>
      </c>
      <c r="L465" s="37"/>
      <c r="M465" s="285">
        <f>IF(Preencher!$C$140&gt;Preencher!$C$139,0,IFERROR((Preencher!$C$138/(Preencher!$C$139/Preencher!$C$140)),0))</f>
        <v>0</v>
      </c>
      <c r="N465" s="259" t="str">
        <f>IFERROR((R465/C465/Preencher!$D$140),"-")</f>
        <v>-</v>
      </c>
      <c r="O465" s="251">
        <f>IFERROR(ROUNDUP(N465/0.95,0.999),0)*Preencher!$D$140</f>
        <v>0</v>
      </c>
      <c r="P465" s="252" t="str">
        <f t="shared" si="169"/>
        <v>-</v>
      </c>
      <c r="Q465" s="37"/>
      <c r="R465" s="285">
        <f>IF(Preencher!$D$140&gt;Preencher!$D$139,0,IFERROR((Preencher!$D$138/(Preencher!$D$139/Preencher!$D$140)),0))</f>
        <v>0</v>
      </c>
    </row>
    <row r="466" spans="1:18">
      <c r="A466" s="265" t="s">
        <v>84</v>
      </c>
      <c r="B466" s="284">
        <f>IF(Preencher!$B$137=Preencher!$P$135,0,0.54+1.08)</f>
        <v>1.62</v>
      </c>
      <c r="C466" s="353">
        <f t="shared" si="167"/>
        <v>2222.2222222222222</v>
      </c>
      <c r="D466" s="259" t="str">
        <f>IFERROR((H466/C466/Preencher!$B$140),"-")</f>
        <v>-</v>
      </c>
      <c r="E466" s="353">
        <f>IFERROR(ROUNDUP(D466/0.95,0.999),0)*Preencher!$B$140</f>
        <v>0</v>
      </c>
      <c r="F466" s="354" t="str">
        <f>IFERROR((H466/C466/E466),"-")</f>
        <v>-</v>
      </c>
      <c r="G466" s="37"/>
      <c r="H466" s="285">
        <f>IF(Preencher!$B$140&gt;Preencher!$B$139,0,IFERROR((Preencher!$B$138/(Preencher!$B$139/Preencher!$B$140)),0))</f>
        <v>0</v>
      </c>
      <c r="I466" s="259" t="str">
        <f>IFERROR((M466/C466/Preencher!$C$140),"-")</f>
        <v>-</v>
      </c>
      <c r="J466" s="353">
        <f>IFERROR(ROUNDUP(I466/0.95,0.999),0)*Preencher!$C$140</f>
        <v>0</v>
      </c>
      <c r="K466" s="354" t="str">
        <f t="shared" si="168"/>
        <v>-</v>
      </c>
      <c r="L466" s="37"/>
      <c r="M466" s="285">
        <f>IF(Preencher!$C$140&gt;Preencher!$C$139,0,IFERROR((Preencher!$C$138/(Preencher!$C$139/Preencher!$C$140)),0))</f>
        <v>0</v>
      </c>
      <c r="N466" s="259" t="str">
        <f>IFERROR((R466/C466/Preencher!$D$140),"-")</f>
        <v>-</v>
      </c>
      <c r="O466" s="353">
        <f>IFERROR(ROUNDUP(N466/0.95,0.999),0)*Preencher!$D$140</f>
        <v>0</v>
      </c>
      <c r="P466" s="354" t="str">
        <f t="shared" si="169"/>
        <v>-</v>
      </c>
      <c r="Q466" s="37"/>
      <c r="R466" s="285">
        <f>IF(Preencher!$D$140&gt;Preencher!$D$139,0,IFERROR((Preencher!$D$138/(Preencher!$D$139/Preencher!$D$140)),0))</f>
        <v>0</v>
      </c>
    </row>
    <row r="467" spans="1:18">
      <c r="A467" s="265" t="s">
        <v>634</v>
      </c>
      <c r="B467" s="284">
        <f>3420/2</f>
        <v>1710</v>
      </c>
      <c r="C467" s="251">
        <f t="shared" si="167"/>
        <v>2.1052631578947367</v>
      </c>
      <c r="D467" s="259">
        <f>IFERROR((H467/C467),"-")</f>
        <v>0</v>
      </c>
      <c r="E467" s="251">
        <f>IFERROR(ROUNDUP(D467/0.95,0.999),0)</f>
        <v>0</v>
      </c>
      <c r="F467" s="252" t="str">
        <f>IFERROR((H467/C467/E467),"-")</f>
        <v>-</v>
      </c>
      <c r="G467" s="37"/>
      <c r="H467" s="285">
        <f>Preencher!$B$140</f>
        <v>0</v>
      </c>
      <c r="I467" s="259">
        <f>IFERROR((M467/C467),"-")</f>
        <v>0</v>
      </c>
      <c r="J467" s="251">
        <f>IFERROR(ROUNDUP(I467/0.95,0.999),0)</f>
        <v>0</v>
      </c>
      <c r="K467" s="252" t="str">
        <f t="shared" si="168"/>
        <v>-</v>
      </c>
      <c r="L467" s="37"/>
      <c r="M467" s="285">
        <f>Preencher!$C$140</f>
        <v>0</v>
      </c>
      <c r="N467" s="259">
        <f>IFERROR((R467/C467),"-")</f>
        <v>0</v>
      </c>
      <c r="O467" s="251">
        <f>IFERROR(ROUNDUP(N467/0.95,0.999),0)</f>
        <v>0</v>
      </c>
      <c r="P467" s="252" t="str">
        <f t="shared" si="169"/>
        <v>-</v>
      </c>
      <c r="Q467" s="37"/>
      <c r="R467" s="285">
        <f>Preencher!$D$140</f>
        <v>0</v>
      </c>
    </row>
    <row r="468" spans="1:18">
      <c r="A468" s="265" t="s">
        <v>85</v>
      </c>
      <c r="B468" s="284"/>
      <c r="C468" s="251"/>
      <c r="D468" s="259"/>
      <c r="E468" s="251">
        <f>ROUNDUP(SUM(D470:D476)/0.95,0.999)+E469</f>
        <v>5</v>
      </c>
      <c r="F468" s="364">
        <f>IFERROR(AVERAGE(F469:F476),"-")</f>
        <v>0.48095494896748159</v>
      </c>
      <c r="G468" s="37"/>
      <c r="H468" s="285"/>
      <c r="I468" s="259"/>
      <c r="J468" s="363">
        <f>ROUNDUP(SUM(I470:I476)/0.95,0.999)+J469</f>
        <v>0</v>
      </c>
      <c r="K468" s="364" t="str">
        <f>IFERROR(AVERAGE(K469:K476),"-")</f>
        <v>-</v>
      </c>
      <c r="L468" s="37"/>
      <c r="M468" s="285"/>
      <c r="N468" s="259"/>
      <c r="O468" s="363">
        <f>ROUNDUP(SUM(N470:N476),0.999)+O469</f>
        <v>0</v>
      </c>
      <c r="P468" s="364" t="str">
        <f>IFERROR(AVERAGE(P469:P476),"-")</f>
        <v>-</v>
      </c>
      <c r="Q468" s="37"/>
      <c r="R468" s="285"/>
    </row>
    <row r="469" spans="1:18">
      <c r="A469" s="200" t="s">
        <v>1549</v>
      </c>
      <c r="B469" s="284">
        <v>28.6</v>
      </c>
      <c r="C469" s="363">
        <f>IF(B469=0,"-",3600/B469)</f>
        <v>125.87412587412587</v>
      </c>
      <c r="D469" s="259">
        <f>IFERROR((H469/C469/G469),"-")</f>
        <v>0</v>
      </c>
      <c r="E469" s="363">
        <f>IFERROR(ROUNDUP(D469/0.95,0.999),0)*G469</f>
        <v>0</v>
      </c>
      <c r="F469" s="364" t="str">
        <f t="shared" ref="F469:F476" si="170">IFERROR((H469/C469/E469),"-")</f>
        <v>-</v>
      </c>
      <c r="G469" s="93">
        <f>IF(H469&lt;60,1,2)</f>
        <v>1</v>
      </c>
      <c r="H469" s="285">
        <f>Preencher!AF141</f>
        <v>0</v>
      </c>
      <c r="I469" s="259">
        <f>IFERROR((M469/C469/L469),"-")</f>
        <v>0</v>
      </c>
      <c r="J469" s="363">
        <f>IFERROR(ROUNDUP(I469/0.95,0.999),0)*L469</f>
        <v>0</v>
      </c>
      <c r="K469" s="364" t="str">
        <f>IFERROR((M469/C469/J469),"-")</f>
        <v>-</v>
      </c>
      <c r="L469" s="93">
        <f>IF(M469&lt;60,1,2)</f>
        <v>1</v>
      </c>
      <c r="M469" s="285">
        <f>Preencher!AH141</f>
        <v>0</v>
      </c>
      <c r="N469" s="259">
        <f>IFERROR((R469/C469/Q469),"-")</f>
        <v>0</v>
      </c>
      <c r="O469" s="363">
        <f>IFERROR(ROUNDUP(N469/0.95,0.999),0)*Q469</f>
        <v>0</v>
      </c>
      <c r="P469" s="364" t="str">
        <f>IFERROR((R469/C469/O469),"-")</f>
        <v>-</v>
      </c>
      <c r="Q469" s="93">
        <f>IF(R469&lt;60,1,2)</f>
        <v>1</v>
      </c>
      <c r="R469" s="285">
        <f>Preencher!AJ141</f>
        <v>0</v>
      </c>
    </row>
    <row r="470" spans="1:18">
      <c r="A470" s="200" t="s">
        <v>1499</v>
      </c>
      <c r="B470" s="284">
        <v>26.400000000000002</v>
      </c>
      <c r="C470" s="356">
        <f t="shared" ref="C470:C476" si="171">IF(B470=0,"-",3600/B470)</f>
        <v>136.36363636363635</v>
      </c>
      <c r="D470" s="259">
        <f t="shared" ref="D470:D476" si="172">IFERROR((H470/C470),"-")</f>
        <v>0</v>
      </c>
      <c r="E470" s="356">
        <f t="shared" ref="E470:E476" si="173">IFERROR(ROUNDUP(D470/0.95,0.999),0)</f>
        <v>0</v>
      </c>
      <c r="F470" s="357" t="str">
        <f t="shared" si="170"/>
        <v>-</v>
      </c>
      <c r="G470" s="37"/>
      <c r="H470" s="285">
        <f>Preencher!AG141</f>
        <v>0</v>
      </c>
      <c r="I470" s="259">
        <f t="shared" ref="I470:I479" si="174">IFERROR((M470/C470),"-")</f>
        <v>0</v>
      </c>
      <c r="J470" s="363">
        <f t="shared" ref="J470:J479" si="175">IFERROR(ROUNDUP(I470/0.95,0.999),0)</f>
        <v>0</v>
      </c>
      <c r="K470" s="364" t="str">
        <f t="shared" ref="K470:K479" si="176">IFERROR((M470/C470/J470),"-")</f>
        <v>-</v>
      </c>
      <c r="L470" s="37"/>
      <c r="M470" s="285">
        <f>Preencher!AI141</f>
        <v>0</v>
      </c>
      <c r="N470" s="259">
        <f t="shared" ref="N470:N476" si="177">IFERROR((R470/C470),"-")</f>
        <v>0</v>
      </c>
      <c r="O470" s="363">
        <f t="shared" ref="O470:O476" si="178">IFERROR(ROUNDUP(N470/0.95,0.999),0)</f>
        <v>0</v>
      </c>
      <c r="P470" s="364" t="str">
        <f t="shared" ref="P470:P476" si="179">IFERROR((R470/C470/O470),"-")</f>
        <v>-</v>
      </c>
      <c r="Q470" s="37"/>
      <c r="R470" s="285">
        <f>Preencher!AK141</f>
        <v>0</v>
      </c>
    </row>
    <row r="471" spans="1:18">
      <c r="A471" s="200" t="s">
        <v>1500</v>
      </c>
      <c r="B471" s="284">
        <v>27.45</v>
      </c>
      <c r="C471" s="356">
        <f t="shared" si="171"/>
        <v>131.14754098360655</v>
      </c>
      <c r="D471" s="259">
        <f t="shared" si="172"/>
        <v>0</v>
      </c>
      <c r="E471" s="356">
        <f t="shared" si="173"/>
        <v>0</v>
      </c>
      <c r="F471" s="357" t="str">
        <f t="shared" si="170"/>
        <v>-</v>
      </c>
      <c r="G471" s="37"/>
      <c r="H471" s="285">
        <f>Preencher!AG143</f>
        <v>0</v>
      </c>
      <c r="I471" s="259">
        <f t="shared" si="174"/>
        <v>0</v>
      </c>
      <c r="J471" s="363">
        <f t="shared" si="175"/>
        <v>0</v>
      </c>
      <c r="K471" s="364" t="str">
        <f t="shared" si="176"/>
        <v>-</v>
      </c>
      <c r="L471" s="37"/>
      <c r="M471" s="285">
        <f>Preencher!AI143</f>
        <v>0</v>
      </c>
      <c r="N471" s="259">
        <f t="shared" si="177"/>
        <v>0</v>
      </c>
      <c r="O471" s="363">
        <f t="shared" si="178"/>
        <v>0</v>
      </c>
      <c r="P471" s="364" t="str">
        <f t="shared" si="179"/>
        <v>-</v>
      </c>
      <c r="Q471" s="37"/>
      <c r="R471" s="285">
        <f>Preencher!AK143</f>
        <v>0</v>
      </c>
    </row>
    <row r="472" spans="1:18">
      <c r="A472" s="200" t="s">
        <v>1501</v>
      </c>
      <c r="B472" s="284">
        <v>28.6</v>
      </c>
      <c r="C472" s="356">
        <f t="shared" si="171"/>
        <v>125.87412587412587</v>
      </c>
      <c r="D472" s="259">
        <f t="shared" si="172"/>
        <v>2.8240208877284602E-2</v>
      </c>
      <c r="E472" s="356">
        <f t="shared" si="173"/>
        <v>1</v>
      </c>
      <c r="F472" s="357">
        <f t="shared" si="170"/>
        <v>2.8240208877284602E-2</v>
      </c>
      <c r="G472" s="37"/>
      <c r="H472" s="285">
        <f>Preencher!AG144</f>
        <v>3.5547116069309288</v>
      </c>
      <c r="I472" s="259">
        <f t="shared" si="174"/>
        <v>0</v>
      </c>
      <c r="J472" s="363">
        <f t="shared" si="175"/>
        <v>0</v>
      </c>
      <c r="K472" s="364" t="str">
        <f t="shared" si="176"/>
        <v>-</v>
      </c>
      <c r="L472" s="37"/>
      <c r="M472" s="285">
        <f>Preencher!AI144</f>
        <v>0</v>
      </c>
      <c r="N472" s="259">
        <f t="shared" si="177"/>
        <v>0</v>
      </c>
      <c r="O472" s="363">
        <f t="shared" si="178"/>
        <v>0</v>
      </c>
      <c r="P472" s="364" t="str">
        <f t="shared" si="179"/>
        <v>-</v>
      </c>
      <c r="Q472" s="37"/>
      <c r="R472" s="285">
        <f>Preencher!AK144</f>
        <v>0</v>
      </c>
    </row>
    <row r="473" spans="1:18">
      <c r="A473" s="200" t="s">
        <v>1502</v>
      </c>
      <c r="B473" s="284">
        <v>28.5</v>
      </c>
      <c r="C473" s="356">
        <f t="shared" si="171"/>
        <v>126.31578947368421</v>
      </c>
      <c r="D473" s="259">
        <f t="shared" si="172"/>
        <v>0</v>
      </c>
      <c r="E473" s="356">
        <f t="shared" si="173"/>
        <v>0</v>
      </c>
      <c r="F473" s="357" t="str">
        <f t="shared" si="170"/>
        <v>-</v>
      </c>
      <c r="G473" s="37"/>
      <c r="H473" s="285">
        <f>Preencher!AG145</f>
        <v>0</v>
      </c>
      <c r="I473" s="259">
        <f t="shared" si="174"/>
        <v>0</v>
      </c>
      <c r="J473" s="363">
        <f t="shared" si="175"/>
        <v>0</v>
      </c>
      <c r="K473" s="364" t="str">
        <f t="shared" si="176"/>
        <v>-</v>
      </c>
      <c r="L473" s="37"/>
      <c r="M473" s="285">
        <f>Preencher!AI145</f>
        <v>0</v>
      </c>
      <c r="N473" s="259">
        <f t="shared" si="177"/>
        <v>0</v>
      </c>
      <c r="O473" s="363">
        <f t="shared" si="178"/>
        <v>0</v>
      </c>
      <c r="P473" s="364" t="str">
        <f t="shared" si="179"/>
        <v>-</v>
      </c>
      <c r="Q473" s="37"/>
      <c r="R473" s="285">
        <f>Preencher!AK145</f>
        <v>0</v>
      </c>
    </row>
    <row r="474" spans="1:18">
      <c r="A474" s="200" t="s">
        <v>2164</v>
      </c>
      <c r="B474" s="284">
        <v>28.5</v>
      </c>
      <c r="C474" s="600">
        <f>IF(B474=0,"-",3600/B474)</f>
        <v>126.31578947368421</v>
      </c>
      <c r="D474" s="259">
        <f t="shared" si="172"/>
        <v>0</v>
      </c>
      <c r="E474" s="600">
        <f>IFERROR(ROUNDUP(D474/0.95,0.999),0)</f>
        <v>0</v>
      </c>
      <c r="F474" s="601" t="str">
        <f t="shared" si="170"/>
        <v>-</v>
      </c>
      <c r="G474" s="37"/>
      <c r="H474" s="285">
        <f>Preencher!AG146</f>
        <v>0</v>
      </c>
      <c r="I474" s="259">
        <f>IFERROR((M474/C474),"-")</f>
        <v>0</v>
      </c>
      <c r="J474" s="600">
        <f>IFERROR(ROUNDUP(I474/0.95,0.999),0)</f>
        <v>0</v>
      </c>
      <c r="K474" s="601" t="str">
        <f>IFERROR((M474/C474/J474),"-")</f>
        <v>-</v>
      </c>
      <c r="L474" s="37"/>
      <c r="M474" s="285">
        <f>Preencher!AI146</f>
        <v>0</v>
      </c>
      <c r="N474" s="259">
        <f>IFERROR((R474/C474),"-")</f>
        <v>0</v>
      </c>
      <c r="O474" s="600">
        <f>IFERROR(ROUNDUP(N474/0.95,0.999),0)</f>
        <v>0</v>
      </c>
      <c r="P474" s="601" t="str">
        <f>IFERROR((R474/C474/O474),"-")</f>
        <v>-</v>
      </c>
      <c r="Q474" s="37"/>
      <c r="R474" s="285">
        <f>Preencher!AK146</f>
        <v>0</v>
      </c>
    </row>
    <row r="475" spans="1:18">
      <c r="A475" s="200" t="s">
        <v>1503</v>
      </c>
      <c r="B475" s="284">
        <v>130</v>
      </c>
      <c r="C475" s="356">
        <f t="shared" si="171"/>
        <v>27.692307692307693</v>
      </c>
      <c r="D475" s="259">
        <f t="shared" si="172"/>
        <v>4.6683484452883928</v>
      </c>
      <c r="E475" s="356">
        <f t="shared" si="173"/>
        <v>5</v>
      </c>
      <c r="F475" s="357">
        <f t="shared" si="170"/>
        <v>0.93366968905767855</v>
      </c>
      <c r="G475" s="37"/>
      <c r="H475" s="285">
        <f>Preencher!AG150</f>
        <v>129.27734156183243</v>
      </c>
      <c r="I475" s="259">
        <f t="shared" si="174"/>
        <v>0</v>
      </c>
      <c r="J475" s="363">
        <f t="shared" si="175"/>
        <v>0</v>
      </c>
      <c r="K475" s="364" t="str">
        <f t="shared" si="176"/>
        <v>-</v>
      </c>
      <c r="L475" s="37"/>
      <c r="M475" s="285">
        <f>Preencher!AI150</f>
        <v>0</v>
      </c>
      <c r="N475" s="259">
        <f t="shared" si="177"/>
        <v>0</v>
      </c>
      <c r="O475" s="363">
        <f t="shared" si="178"/>
        <v>0</v>
      </c>
      <c r="P475" s="364" t="str">
        <f t="shared" si="179"/>
        <v>-</v>
      </c>
      <c r="Q475" s="37"/>
      <c r="R475" s="285">
        <f>Preencher!AK150</f>
        <v>0</v>
      </c>
    </row>
    <row r="476" spans="1:18">
      <c r="A476" s="200" t="s">
        <v>1504</v>
      </c>
      <c r="B476" s="284">
        <v>130</v>
      </c>
      <c r="C476" s="356">
        <f t="shared" si="171"/>
        <v>27.692307692307693</v>
      </c>
      <c r="D476" s="259">
        <f t="shared" si="172"/>
        <v>0</v>
      </c>
      <c r="E476" s="356">
        <f t="shared" si="173"/>
        <v>0</v>
      </c>
      <c r="F476" s="357" t="str">
        <f t="shared" si="170"/>
        <v>-</v>
      </c>
      <c r="G476" s="37"/>
      <c r="H476" s="285">
        <f>Preencher!AG151</f>
        <v>0</v>
      </c>
      <c r="I476" s="259">
        <f t="shared" si="174"/>
        <v>0</v>
      </c>
      <c r="J476" s="363">
        <f t="shared" si="175"/>
        <v>0</v>
      </c>
      <c r="K476" s="364" t="str">
        <f t="shared" si="176"/>
        <v>-</v>
      </c>
      <c r="L476" s="37"/>
      <c r="M476" s="285">
        <f>Preencher!AI151</f>
        <v>0</v>
      </c>
      <c r="N476" s="259">
        <f t="shared" si="177"/>
        <v>0</v>
      </c>
      <c r="O476" s="363">
        <f t="shared" si="178"/>
        <v>0</v>
      </c>
      <c r="P476" s="364" t="str">
        <f t="shared" si="179"/>
        <v>-</v>
      </c>
      <c r="Q476" s="37"/>
      <c r="R476" s="285">
        <f>Preencher!AK151</f>
        <v>0</v>
      </c>
    </row>
    <row r="477" spans="1:18">
      <c r="A477" s="265" t="s">
        <v>86</v>
      </c>
      <c r="B477" s="284"/>
      <c r="C477" s="251"/>
      <c r="D477" s="259"/>
      <c r="E477" s="251"/>
      <c r="F477" s="252"/>
      <c r="G477" s="37"/>
      <c r="H477" s="285"/>
      <c r="I477" s="259"/>
      <c r="J477" s="363"/>
      <c r="K477" s="364"/>
      <c r="L477" s="37"/>
      <c r="M477" s="285"/>
      <c r="N477" s="259"/>
      <c r="O477" s="251"/>
      <c r="P477" s="252"/>
      <c r="Q477" s="37"/>
      <c r="R477" s="285"/>
    </row>
    <row r="478" spans="1:18">
      <c r="A478" s="200" t="s">
        <v>1550</v>
      </c>
      <c r="B478" s="284">
        <v>26.67</v>
      </c>
      <c r="C478" s="363">
        <f>IF(B478=0,"-",3600/B478)</f>
        <v>134.98312710911136</v>
      </c>
      <c r="D478" s="259">
        <f>IFERROR((H478/C478),"-")</f>
        <v>0</v>
      </c>
      <c r="E478" s="363">
        <f>IFERROR(ROUNDUP(D478/0.95,0.999),0)</f>
        <v>0</v>
      </c>
      <c r="F478" s="364" t="str">
        <f>IFERROR((H478/C478/E478),"-")</f>
        <v>-</v>
      </c>
      <c r="G478" s="37"/>
      <c r="H478" s="285"/>
      <c r="I478" s="259">
        <f t="shared" si="174"/>
        <v>0</v>
      </c>
      <c r="J478" s="363">
        <f t="shared" si="175"/>
        <v>0</v>
      </c>
      <c r="K478" s="364" t="str">
        <f t="shared" si="176"/>
        <v>-</v>
      </c>
      <c r="L478" s="37"/>
      <c r="M478" s="285"/>
      <c r="N478" s="259"/>
      <c r="O478" s="363"/>
      <c r="P478" s="364"/>
      <c r="Q478" s="37"/>
      <c r="R478" s="285"/>
    </row>
    <row r="479" spans="1:18">
      <c r="A479" s="200" t="s">
        <v>1551</v>
      </c>
      <c r="B479" s="284">
        <v>11.5</v>
      </c>
      <c r="C479" s="363">
        <f>IF(B479=0,"-",3600/B479)</f>
        <v>313.04347826086956</v>
      </c>
      <c r="D479" s="259">
        <f>IFERROR((H479/C479),"-")</f>
        <v>0</v>
      </c>
      <c r="E479" s="363">
        <f>IFERROR(ROUNDUP(D479/0.95,0.999),0)</f>
        <v>0</v>
      </c>
      <c r="F479" s="364" t="str">
        <f>IFERROR((H479/C479/E479),"-")</f>
        <v>-</v>
      </c>
      <c r="G479" s="37"/>
      <c r="H479" s="285"/>
      <c r="I479" s="259">
        <f t="shared" si="174"/>
        <v>0</v>
      </c>
      <c r="J479" s="363">
        <f t="shared" si="175"/>
        <v>0</v>
      </c>
      <c r="K479" s="364" t="str">
        <f t="shared" si="176"/>
        <v>-</v>
      </c>
      <c r="L479" s="37"/>
      <c r="M479" s="285"/>
      <c r="N479" s="259"/>
      <c r="O479" s="363"/>
      <c r="P479" s="364"/>
      <c r="Q479" s="37"/>
      <c r="R479" s="285"/>
    </row>
    <row r="480" spans="1:18">
      <c r="A480" s="265" t="s">
        <v>87</v>
      </c>
      <c r="B480" s="284"/>
      <c r="C480" s="251"/>
      <c r="D480" s="259"/>
      <c r="E480" s="373">
        <f>ROUNDUP(SUM(D481:D483),0.999)</f>
        <v>0</v>
      </c>
      <c r="F480" s="374" t="str">
        <f>IFERROR(AVERAGE(F481:F483),"-")</f>
        <v>-</v>
      </c>
      <c r="G480" s="37"/>
      <c r="H480" s="285"/>
      <c r="I480" s="259"/>
      <c r="J480" s="373">
        <f>ROUNDUP(SUM(I481:I483),0.999)</f>
        <v>0</v>
      </c>
      <c r="K480" s="374" t="str">
        <f>IFERROR(AVERAGE(K481:K483),"-")</f>
        <v>-</v>
      </c>
      <c r="L480" s="37"/>
      <c r="M480" s="285"/>
      <c r="N480" s="259"/>
      <c r="O480" s="373">
        <f>ROUNDUP(SUM(N481:N483),0.999)</f>
        <v>0</v>
      </c>
      <c r="P480" s="374" t="str">
        <f>IFERROR(AVERAGE(P481:P483),"-")</f>
        <v>-</v>
      </c>
      <c r="Q480" s="37"/>
      <c r="R480" s="285"/>
    </row>
    <row r="481" spans="1:18">
      <c r="A481" s="200" t="s">
        <v>1552</v>
      </c>
      <c r="B481" s="284">
        <v>28.6</v>
      </c>
      <c r="C481" s="373">
        <f>IF(B481=0,"-",3600/B481)</f>
        <v>125.87412587412587</v>
      </c>
      <c r="D481" s="259">
        <f>IFERROR((H481/C481),"-")</f>
        <v>0</v>
      </c>
      <c r="E481" s="373">
        <f>IFERROR(ROUNDUP(D481/0.95,0.999),0)</f>
        <v>0</v>
      </c>
      <c r="F481" s="374" t="str">
        <f>IFERROR((H481/C481/E481),"-")</f>
        <v>-</v>
      </c>
      <c r="G481" s="37"/>
      <c r="H481" s="285">
        <f>Preencher!AG138</f>
        <v>0</v>
      </c>
      <c r="I481" s="259">
        <f>IFERROR((M481/C481),"-")</f>
        <v>0</v>
      </c>
      <c r="J481" s="373">
        <f>IFERROR(ROUNDUP(I481/0.95,0.999),0)</f>
        <v>0</v>
      </c>
      <c r="K481" s="374" t="str">
        <f>IFERROR((M481/C481/J481),"-")</f>
        <v>-</v>
      </c>
      <c r="L481" s="37"/>
      <c r="M481" s="285">
        <f>Preencher!AI138</f>
        <v>0</v>
      </c>
      <c r="N481" s="259">
        <f>IFERROR((R481/C481),"-")</f>
        <v>0</v>
      </c>
      <c r="O481" s="373">
        <f>IFERROR(ROUNDUP(N481/0.95,0.999),0)</f>
        <v>0</v>
      </c>
      <c r="P481" s="374" t="str">
        <f>IFERROR((R481/C481/O481),"-")</f>
        <v>-</v>
      </c>
      <c r="Q481" s="37"/>
      <c r="R481" s="285">
        <f>Preencher!AK138</f>
        <v>0</v>
      </c>
    </row>
    <row r="482" spans="1:18">
      <c r="A482" s="200" t="s">
        <v>1553</v>
      </c>
      <c r="B482" s="284">
        <v>26.8</v>
      </c>
      <c r="C482" s="373">
        <f>IF(B482=0,"-",3600/B482)</f>
        <v>134.32835820895522</v>
      </c>
      <c r="D482" s="259">
        <f>IFERROR((H482/C482),"-")</f>
        <v>0</v>
      </c>
      <c r="E482" s="373">
        <f>IFERROR(ROUNDUP(D482/0.95,0.999),0)</f>
        <v>0</v>
      </c>
      <c r="F482" s="374" t="str">
        <f>IFERROR((H482/C482/E482),"-")</f>
        <v>-</v>
      </c>
      <c r="G482" s="37"/>
      <c r="H482" s="285">
        <f>Preencher!AG139</f>
        <v>0</v>
      </c>
      <c r="I482" s="259">
        <f>IFERROR((M482/C482),"-")</f>
        <v>0</v>
      </c>
      <c r="J482" s="373">
        <f>IFERROR(ROUNDUP(I482/0.95,0.999),0)</f>
        <v>0</v>
      </c>
      <c r="K482" s="374" t="str">
        <f>IFERROR((M482/C482/J482),"-")</f>
        <v>-</v>
      </c>
      <c r="L482" s="37"/>
      <c r="M482" s="285">
        <f>Preencher!AI139</f>
        <v>0</v>
      </c>
      <c r="N482" s="259">
        <f>IFERROR((R482/C482),"-")</f>
        <v>0</v>
      </c>
      <c r="O482" s="373">
        <f>IFERROR(ROUNDUP(N482/0.95,0.999),0)</f>
        <v>0</v>
      </c>
      <c r="P482" s="374" t="str">
        <f>IFERROR((R482/C482/O482),"-")</f>
        <v>-</v>
      </c>
      <c r="Q482" s="37"/>
      <c r="R482" s="285">
        <f>Preencher!AK139</f>
        <v>0</v>
      </c>
    </row>
    <row r="483" spans="1:18">
      <c r="A483" s="200" t="s">
        <v>1554</v>
      </c>
      <c r="B483" s="284">
        <v>24.7</v>
      </c>
      <c r="C483" s="373">
        <f>IF(B483=0,"-",3600/B483)</f>
        <v>145.74898785425103</v>
      </c>
      <c r="D483" s="259">
        <f>IFERROR((H483/C483),"-")</f>
        <v>0</v>
      </c>
      <c r="E483" s="373">
        <f>IFERROR(ROUNDUP(D483/0.95,0.999),0)</f>
        <v>0</v>
      </c>
      <c r="F483" s="374" t="str">
        <f>IFERROR((H483/C483/E483),"-")</f>
        <v>-</v>
      </c>
      <c r="G483" s="37"/>
      <c r="H483" s="285">
        <f>Preencher!AG140</f>
        <v>0</v>
      </c>
      <c r="I483" s="259">
        <f>IFERROR((M483/C483),"-")</f>
        <v>0</v>
      </c>
      <c r="J483" s="373">
        <f>IFERROR(ROUNDUP(I483/0.95,0.999),0)</f>
        <v>0</v>
      </c>
      <c r="K483" s="374" t="str">
        <f>IFERROR((M483/C483/J483),"-")</f>
        <v>-</v>
      </c>
      <c r="L483" s="37"/>
      <c r="M483" s="285">
        <f>Preencher!AI140</f>
        <v>0</v>
      </c>
      <c r="N483" s="259">
        <f>IFERROR((R483/C483),"-")</f>
        <v>0</v>
      </c>
      <c r="O483" s="373">
        <f>IFERROR(ROUNDUP(N483/0.95,0.999),0)</f>
        <v>0</v>
      </c>
      <c r="P483" s="374" t="str">
        <f>IFERROR((R483/C483/O483),"-")</f>
        <v>-</v>
      </c>
      <c r="Q483" s="37"/>
      <c r="R483" s="285">
        <f>Preencher!AK140</f>
        <v>0</v>
      </c>
    </row>
    <row r="484" spans="1:18">
      <c r="A484" s="265" t="s">
        <v>88</v>
      </c>
      <c r="B484" s="284">
        <v>0</v>
      </c>
      <c r="C484" s="721" t="str">
        <f>IF(B484=0,"-",3600/B484)</f>
        <v>-</v>
      </c>
      <c r="D484" s="259" t="str">
        <f>IFERROR((H484/C484),"-")</f>
        <v>-</v>
      </c>
      <c r="E484" s="721">
        <f>IFERROR(ROUNDUP(D484/0.95,0.999),0)</f>
        <v>0</v>
      </c>
      <c r="F484" s="722" t="str">
        <f>IFERROR((H484/C484/E484),"-")</f>
        <v>-</v>
      </c>
      <c r="G484" s="37"/>
      <c r="H484" s="285">
        <f>Preencher!$B$378+Preencher!$B$401</f>
        <v>282.93795395205319</v>
      </c>
      <c r="I484" s="259" t="str">
        <f>IFERROR((M484/C484),"-")</f>
        <v>-</v>
      </c>
      <c r="J484" s="721">
        <f>IFERROR(ROUNDUP(I484/0.95,0.999),0)</f>
        <v>0</v>
      </c>
      <c r="K484" s="722" t="str">
        <f>IFERROR((M484/C484/J484),"-")</f>
        <v>-</v>
      </c>
      <c r="L484" s="37"/>
      <c r="M484" s="285">
        <f>Preencher!$C$378+Preencher!$C$401</f>
        <v>0</v>
      </c>
      <c r="N484" s="259" t="str">
        <f>IFERROR((R484/C484),"-")</f>
        <v>-</v>
      </c>
      <c r="O484" s="721">
        <f>IFERROR(ROUNDUP(N484/0.95,0.999),0)</f>
        <v>0</v>
      </c>
      <c r="P484" s="722" t="str">
        <f>IFERROR((R484/C484/O484),"-")</f>
        <v>-</v>
      </c>
      <c r="Q484" s="37"/>
      <c r="R484" s="285">
        <f>Preencher!$D$378+Preencher!$D$401</f>
        <v>0</v>
      </c>
    </row>
    <row r="485" spans="1:18">
      <c r="A485" s="265" t="s">
        <v>89</v>
      </c>
      <c r="B485" s="284">
        <f>IF(Preencher!$B$146&gt;0,5.6,0)</f>
        <v>0</v>
      </c>
      <c r="C485" s="251" t="str">
        <f>IF(B485=0,"-",3600/B485)</f>
        <v>-</v>
      </c>
      <c r="D485" s="259" t="str">
        <f>IFERROR((H485/C485),"-")</f>
        <v>-</v>
      </c>
      <c r="E485" s="251">
        <f>IFERROR(ROUNDUP(D485/0.95,0.999),0)</f>
        <v>0</v>
      </c>
      <c r="F485" s="252" t="str">
        <f>IFERROR((H485/C485/E485),"-")</f>
        <v>-</v>
      </c>
      <c r="G485" s="37"/>
      <c r="H485" s="285">
        <f>H483+H482+H481+H473+H472+H471+H470+H469</f>
        <v>3.5547116069309288</v>
      </c>
      <c r="I485" s="259" t="str">
        <f>IFERROR((M485/C485),"-")</f>
        <v>-</v>
      </c>
      <c r="J485" s="251">
        <f>IFERROR(ROUNDUP(I485/0.95,0.999),0)</f>
        <v>0</v>
      </c>
      <c r="K485" s="252" t="str">
        <f>IFERROR((M485/C485/J485),"-")</f>
        <v>-</v>
      </c>
      <c r="L485" s="37"/>
      <c r="M485" s="285">
        <f>M483+M482+M481+M473+M472+M471+M470+M469</f>
        <v>0</v>
      </c>
      <c r="N485" s="259" t="str">
        <f>IFERROR((R485/C485),"-")</f>
        <v>-</v>
      </c>
      <c r="O485" s="251">
        <f>IFERROR(ROUNDUP(N485/0.95,0.999),0)</f>
        <v>0</v>
      </c>
      <c r="P485" s="252" t="str">
        <f>IFERROR((R485/C485/O485),"-")</f>
        <v>-</v>
      </c>
      <c r="Q485" s="37"/>
      <c r="R485" s="285">
        <f>R483+R482+R481+R473+R472+R471+R470+R469</f>
        <v>0</v>
      </c>
    </row>
    <row r="486" spans="1:18">
      <c r="A486" s="273" t="s">
        <v>681</v>
      </c>
      <c r="B486" s="284"/>
      <c r="C486" s="251"/>
      <c r="D486" s="259"/>
      <c r="E486" s="770">
        <f>IF(Preencher!B359="Não",0,ROUNDUP(SUM(D487:D492),0.999))</f>
        <v>2</v>
      </c>
      <c r="F486" s="772">
        <f>IF(Preencher!B359="Não",0,IFERROR(AVERAGE(F487:F492),"-"))</f>
        <v>0.28125455494896751</v>
      </c>
      <c r="G486" s="37"/>
      <c r="H486" s="285"/>
      <c r="I486" s="259"/>
      <c r="J486" s="770">
        <f>IF(Preencher!C359="Não",0,ROUNDUP(SUM(I487:I492),0.999))</f>
        <v>0</v>
      </c>
      <c r="K486" s="772" t="str">
        <f>IF(Preencher!C359="Não",0,IFERROR(AVERAGE(K487:K492),"-"))</f>
        <v>-</v>
      </c>
      <c r="L486" s="37"/>
      <c r="M486" s="285"/>
      <c r="N486" s="259"/>
      <c r="O486" s="373">
        <f>ROUNDUP(SUM(N487:N492),0.999)</f>
        <v>0</v>
      </c>
      <c r="P486" s="374" t="str">
        <f>IFERROR(AVERAGE(P487:P492),"-")</f>
        <v>-</v>
      </c>
      <c r="Q486" s="37"/>
      <c r="R486" s="285"/>
    </row>
    <row r="487" spans="1:18">
      <c r="A487" s="200" t="s">
        <v>1560</v>
      </c>
      <c r="B487" s="284">
        <v>21.43</v>
      </c>
      <c r="C487" s="373">
        <f t="shared" ref="C487:C492" si="180">IF(B487=0,"-",3600/B487)</f>
        <v>167.9888007466169</v>
      </c>
      <c r="D487" s="259">
        <f t="shared" ref="D487:D497" si="181">IFERROR((H487/C487),"-")</f>
        <v>1.6431870875860433</v>
      </c>
      <c r="E487" s="373">
        <f t="shared" ref="E487:E492" si="182">IFERROR(ROUNDUP(D487/0.95,0.999),0)</f>
        <v>2</v>
      </c>
      <c r="F487" s="374">
        <f t="shared" ref="F487:F497" si="183">IFERROR((H487/C487/E487),"-")</f>
        <v>0.82159354379302163</v>
      </c>
      <c r="G487" s="37"/>
      <c r="H487" s="285">
        <f>Preencher!AG168+Preencher!AG171</f>
        <v>276.03702824590556</v>
      </c>
      <c r="I487" s="259">
        <f t="shared" ref="I487:I497" si="184">IFERROR((M487/C487),"-")</f>
        <v>0</v>
      </c>
      <c r="J487" s="373">
        <f t="shared" ref="J487:J497" si="185">IFERROR(ROUNDUP(I487/0.95,0.999),0)</f>
        <v>0</v>
      </c>
      <c r="K487" s="374" t="str">
        <f t="shared" ref="K487:K497" si="186">IFERROR((M487/C487/J487),"-")</f>
        <v>-</v>
      </c>
      <c r="L487" s="37"/>
      <c r="M487" s="285">
        <f>Preencher!AI168+Preencher!AI171</f>
        <v>0</v>
      </c>
      <c r="N487" s="259">
        <f t="shared" ref="N487:N497" si="187">IFERROR((R487/C487),"-")</f>
        <v>0</v>
      </c>
      <c r="O487" s="373">
        <f t="shared" ref="O487:O497" si="188">IFERROR(ROUNDUP(N487/0.95,0.999),0)</f>
        <v>0</v>
      </c>
      <c r="P487" s="374" t="str">
        <f t="shared" ref="P487:P497" si="189">IFERROR((R487/C487/O487),"-")</f>
        <v>-</v>
      </c>
      <c r="Q487" s="37"/>
      <c r="R487" s="285">
        <f>Preencher!K166+Preencher!AK171</f>
        <v>0</v>
      </c>
    </row>
    <row r="488" spans="1:18">
      <c r="A488" s="200" t="s">
        <v>1561</v>
      </c>
      <c r="B488" s="284"/>
      <c r="C488" s="373" t="str">
        <f t="shared" si="180"/>
        <v>-</v>
      </c>
      <c r="D488" s="259" t="str">
        <f t="shared" si="181"/>
        <v>-</v>
      </c>
      <c r="E488" s="373">
        <f t="shared" si="182"/>
        <v>0</v>
      </c>
      <c r="F488" s="374" t="str">
        <f t="shared" si="183"/>
        <v>-</v>
      </c>
      <c r="G488" s="37"/>
      <c r="H488" s="285"/>
      <c r="I488" s="259" t="str">
        <f t="shared" si="184"/>
        <v>-</v>
      </c>
      <c r="J488" s="373">
        <f t="shared" si="185"/>
        <v>0</v>
      </c>
      <c r="K488" s="374" t="str">
        <f t="shared" si="186"/>
        <v>-</v>
      </c>
      <c r="L488" s="37"/>
      <c r="M488" s="285"/>
      <c r="N488" s="259" t="str">
        <f t="shared" si="187"/>
        <v>-</v>
      </c>
      <c r="O488" s="373">
        <f t="shared" si="188"/>
        <v>0</v>
      </c>
      <c r="P488" s="374" t="str">
        <f t="shared" si="189"/>
        <v>-</v>
      </c>
      <c r="Q488" s="37"/>
      <c r="R488" s="285"/>
    </row>
    <row r="489" spans="1:18">
      <c r="A489" s="200" t="s">
        <v>1562</v>
      </c>
      <c r="B489" s="284"/>
      <c r="C489" s="373" t="str">
        <f t="shared" si="180"/>
        <v>-</v>
      </c>
      <c r="D489" s="259" t="str">
        <f t="shared" si="181"/>
        <v>-</v>
      </c>
      <c r="E489" s="373">
        <f t="shared" si="182"/>
        <v>0</v>
      </c>
      <c r="F489" s="374" t="str">
        <f t="shared" si="183"/>
        <v>-</v>
      </c>
      <c r="G489" s="37"/>
      <c r="H489" s="285"/>
      <c r="I489" s="259" t="str">
        <f t="shared" si="184"/>
        <v>-</v>
      </c>
      <c r="J489" s="373">
        <f t="shared" si="185"/>
        <v>0</v>
      </c>
      <c r="K489" s="374" t="str">
        <f t="shared" si="186"/>
        <v>-</v>
      </c>
      <c r="L489" s="37"/>
      <c r="M489" s="285"/>
      <c r="N489" s="259" t="str">
        <f t="shared" si="187"/>
        <v>-</v>
      </c>
      <c r="O489" s="373">
        <f t="shared" si="188"/>
        <v>0</v>
      </c>
      <c r="P489" s="374" t="str">
        <f t="shared" si="189"/>
        <v>-</v>
      </c>
      <c r="Q489" s="37"/>
      <c r="R489" s="285"/>
    </row>
    <row r="490" spans="1:18">
      <c r="A490" s="200" t="s">
        <v>1019</v>
      </c>
      <c r="B490" s="284">
        <f>IF(Preencher!H360="Não",8.52,'BD Temp'!$B$487)</f>
        <v>8.52</v>
      </c>
      <c r="C490" s="373">
        <f t="shared" si="180"/>
        <v>422.53521126760563</v>
      </c>
      <c r="D490" s="259">
        <f t="shared" si="181"/>
        <v>1.6332190837882746E-2</v>
      </c>
      <c r="E490" s="373">
        <f t="shared" si="182"/>
        <v>1</v>
      </c>
      <c r="F490" s="374">
        <f t="shared" si="183"/>
        <v>1.6332190837882746E-2</v>
      </c>
      <c r="G490" s="37"/>
      <c r="H490" s="285">
        <f>Preencher!AG160+Preencher!AG169+Preencher!AG172</f>
        <v>6.900925706147639</v>
      </c>
      <c r="I490" s="259">
        <f t="shared" si="184"/>
        <v>0</v>
      </c>
      <c r="J490" s="373">
        <f t="shared" si="185"/>
        <v>0</v>
      </c>
      <c r="K490" s="374" t="str">
        <f t="shared" si="186"/>
        <v>-</v>
      </c>
      <c r="L490" s="37"/>
      <c r="M490" s="285">
        <f>Preencher!AI160+Preencher!AI169+Preencher!AI172</f>
        <v>0</v>
      </c>
      <c r="N490" s="259">
        <f t="shared" si="187"/>
        <v>0</v>
      </c>
      <c r="O490" s="373">
        <f t="shared" si="188"/>
        <v>0</v>
      </c>
      <c r="P490" s="374" t="str">
        <f t="shared" si="189"/>
        <v>-</v>
      </c>
      <c r="Q490" s="37"/>
      <c r="R490" s="285">
        <f>Preencher!AK160+Preencher!AK169+Preencher!AK172</f>
        <v>0</v>
      </c>
    </row>
    <row r="491" spans="1:18">
      <c r="A491" s="200" t="s">
        <v>1558</v>
      </c>
      <c r="B491" s="284">
        <v>14.64</v>
      </c>
      <c r="C491" s="373">
        <f t="shared" si="180"/>
        <v>245.90163934426229</v>
      </c>
      <c r="D491" s="259">
        <f t="shared" si="181"/>
        <v>0</v>
      </c>
      <c r="E491" s="373">
        <f t="shared" si="182"/>
        <v>0</v>
      </c>
      <c r="F491" s="374" t="str">
        <f t="shared" si="183"/>
        <v>-</v>
      </c>
      <c r="G491" s="37"/>
      <c r="H491" s="285">
        <f>Preencher!AG201+Preencher!AG202</f>
        <v>0</v>
      </c>
      <c r="I491" s="259">
        <f t="shared" si="184"/>
        <v>0</v>
      </c>
      <c r="J491" s="373">
        <f t="shared" si="185"/>
        <v>0</v>
      </c>
      <c r="K491" s="374" t="str">
        <f t="shared" si="186"/>
        <v>-</v>
      </c>
      <c r="L491" s="37"/>
      <c r="M491" s="285">
        <f>Preencher!AI201+Preencher!AI202</f>
        <v>0</v>
      </c>
      <c r="N491" s="259">
        <f t="shared" si="187"/>
        <v>0</v>
      </c>
      <c r="O491" s="373">
        <f t="shared" si="188"/>
        <v>0</v>
      </c>
      <c r="P491" s="374" t="str">
        <f t="shared" si="189"/>
        <v>-</v>
      </c>
      <c r="Q491" s="37"/>
      <c r="R491" s="285">
        <f>Preencher!AK201+Preencher!AK202</f>
        <v>0</v>
      </c>
    </row>
    <row r="492" spans="1:18">
      <c r="A492" s="200" t="s">
        <v>1559</v>
      </c>
      <c r="B492" s="284">
        <f>IF(Preencher!H362="Não",9.52,'BD Temp'!$B$491)</f>
        <v>14.64</v>
      </c>
      <c r="C492" s="373">
        <f t="shared" si="180"/>
        <v>245.90163934426229</v>
      </c>
      <c r="D492" s="259">
        <f t="shared" si="181"/>
        <v>5.8379302159981021E-3</v>
      </c>
      <c r="E492" s="373">
        <f t="shared" si="182"/>
        <v>1</v>
      </c>
      <c r="F492" s="374">
        <f t="shared" si="183"/>
        <v>5.8379302159981021E-3</v>
      </c>
      <c r="G492" s="37"/>
      <c r="H492" s="285">
        <f>Preencher!AG203</f>
        <v>1.4355566104913366</v>
      </c>
      <c r="I492" s="259">
        <f t="shared" si="184"/>
        <v>0</v>
      </c>
      <c r="J492" s="373">
        <f t="shared" si="185"/>
        <v>0</v>
      </c>
      <c r="K492" s="374" t="str">
        <f t="shared" si="186"/>
        <v>-</v>
      </c>
      <c r="L492" s="37"/>
      <c r="M492" s="285">
        <f>Preencher!AI203</f>
        <v>0</v>
      </c>
      <c r="N492" s="259">
        <f t="shared" si="187"/>
        <v>0</v>
      </c>
      <c r="O492" s="373">
        <f t="shared" si="188"/>
        <v>0</v>
      </c>
      <c r="P492" s="374" t="str">
        <f t="shared" si="189"/>
        <v>-</v>
      </c>
      <c r="Q492" s="37"/>
      <c r="R492" s="285">
        <f>Preencher!AK203</f>
        <v>0</v>
      </c>
    </row>
    <row r="493" spans="1:18">
      <c r="A493" s="265" t="s">
        <v>635</v>
      </c>
      <c r="B493" s="284">
        <v>0.3</v>
      </c>
      <c r="C493" s="251">
        <f>IF(B493=0,"-",3600/B493)</f>
        <v>12000</v>
      </c>
      <c r="D493" s="259">
        <f t="shared" si="181"/>
        <v>0.4</v>
      </c>
      <c r="E493" s="251">
        <f>IFERROR(ROUNDUP(D493/0.95,0.999),0)</f>
        <v>1</v>
      </c>
      <c r="F493" s="252">
        <f t="shared" si="183"/>
        <v>0.4</v>
      </c>
      <c r="G493" s="37"/>
      <c r="H493" s="285">
        <f>Preencher!$B$138+H462</f>
        <v>4800</v>
      </c>
      <c r="I493" s="259">
        <f t="shared" si="184"/>
        <v>0</v>
      </c>
      <c r="J493" s="251">
        <f t="shared" si="185"/>
        <v>0</v>
      </c>
      <c r="K493" s="252" t="str">
        <f t="shared" si="186"/>
        <v>-</v>
      </c>
      <c r="L493" s="37"/>
      <c r="M493" s="285">
        <f>Preencher!$C$138+M462</f>
        <v>0</v>
      </c>
      <c r="N493" s="259">
        <f t="shared" si="187"/>
        <v>0</v>
      </c>
      <c r="O493" s="251">
        <f t="shared" si="188"/>
        <v>0</v>
      </c>
      <c r="P493" s="252" t="str">
        <f t="shared" si="189"/>
        <v>-</v>
      </c>
      <c r="Q493" s="37"/>
      <c r="R493" s="285">
        <f>Preencher!$D$138+R462</f>
        <v>0</v>
      </c>
    </row>
    <row r="494" spans="1:18">
      <c r="A494" s="265" t="s">
        <v>217</v>
      </c>
      <c r="B494" s="284">
        <v>35.6</v>
      </c>
      <c r="C494" s="251">
        <f>IF(B494=0,"-",3600/B494)</f>
        <v>101.12359550561797</v>
      </c>
      <c r="D494" s="259">
        <f t="shared" si="181"/>
        <v>0</v>
      </c>
      <c r="E494" s="251">
        <f>IFERROR(ROUNDUP(D494/0.95,0.999),0)</f>
        <v>0</v>
      </c>
      <c r="F494" s="252" t="str">
        <f t="shared" si="183"/>
        <v>-</v>
      </c>
      <c r="G494" s="37"/>
      <c r="H494" s="285">
        <f>RESUMO!$F$241</f>
        <v>0</v>
      </c>
      <c r="I494" s="259">
        <f t="shared" si="184"/>
        <v>0</v>
      </c>
      <c r="J494" s="251">
        <f t="shared" si="185"/>
        <v>0</v>
      </c>
      <c r="K494" s="252" t="str">
        <f t="shared" si="186"/>
        <v>-</v>
      </c>
      <c r="L494" s="37"/>
      <c r="M494" s="285">
        <f>IF(Preencher!$I$12&gt;1,H494,0)</f>
        <v>0</v>
      </c>
      <c r="N494" s="259">
        <f t="shared" si="187"/>
        <v>0</v>
      </c>
      <c r="O494" s="251">
        <f t="shared" si="188"/>
        <v>0</v>
      </c>
      <c r="P494" s="252" t="str">
        <f t="shared" si="189"/>
        <v>-</v>
      </c>
      <c r="Q494" s="37"/>
      <c r="R494" s="285">
        <f>IF(Preencher!$I$12&gt;2,$H$494,0)</f>
        <v>0</v>
      </c>
    </row>
    <row r="495" spans="1:18">
      <c r="A495" s="265" t="s">
        <v>104</v>
      </c>
      <c r="B495" s="284">
        <v>6.21</v>
      </c>
      <c r="C495" s="251">
        <f>IF(B495=0,"-",3600/B495)</f>
        <v>579.71014492753625</v>
      </c>
      <c r="D495" s="259">
        <f t="shared" si="181"/>
        <v>0</v>
      </c>
      <c r="E495" s="251">
        <f>IFERROR(ROUNDUP(D495/0.95,0.999),0)</f>
        <v>0</v>
      </c>
      <c r="F495" s="252" t="str">
        <f t="shared" si="183"/>
        <v>-</v>
      </c>
      <c r="G495" s="37"/>
      <c r="H495" s="285">
        <f>RESUMO!E250</f>
        <v>0</v>
      </c>
      <c r="I495" s="259">
        <f t="shared" si="184"/>
        <v>0</v>
      </c>
      <c r="J495" s="251">
        <f t="shared" si="185"/>
        <v>0</v>
      </c>
      <c r="K495" s="252" t="str">
        <f t="shared" si="186"/>
        <v>-</v>
      </c>
      <c r="L495" s="37"/>
      <c r="M495" s="285">
        <f>IF(Preencher!$I$12&gt;1,H495,0)</f>
        <v>0</v>
      </c>
      <c r="N495" s="259">
        <f t="shared" si="187"/>
        <v>0</v>
      </c>
      <c r="O495" s="251">
        <f t="shared" si="188"/>
        <v>0</v>
      </c>
      <c r="P495" s="252" t="str">
        <f t="shared" si="189"/>
        <v>-</v>
      </c>
      <c r="Q495" s="37"/>
      <c r="R495" s="285">
        <f>IF(Preencher!$I$12&gt;2,H495,0)</f>
        <v>0</v>
      </c>
    </row>
    <row r="496" spans="1:18">
      <c r="A496" s="265" t="s">
        <v>218</v>
      </c>
      <c r="B496" s="284">
        <f>14.21-14.21</f>
        <v>0</v>
      </c>
      <c r="C496" s="251" t="str">
        <f>IF(B496=0,"-",3600/B496)</f>
        <v>-</v>
      </c>
      <c r="D496" s="259" t="str">
        <f t="shared" si="181"/>
        <v>-</v>
      </c>
      <c r="E496" s="251">
        <f>IFERROR(ROUNDUP(D496/0.95,0.999),0)</f>
        <v>0</v>
      </c>
      <c r="F496" s="252" t="str">
        <f t="shared" si="183"/>
        <v>-</v>
      </c>
      <c r="G496" s="37"/>
      <c r="H496" s="285">
        <f>RESUMO!E250</f>
        <v>0</v>
      </c>
      <c r="I496" s="259" t="str">
        <f t="shared" si="184"/>
        <v>-</v>
      </c>
      <c r="J496" s="251">
        <f t="shared" si="185"/>
        <v>0</v>
      </c>
      <c r="K496" s="252" t="str">
        <f t="shared" si="186"/>
        <v>-</v>
      </c>
      <c r="L496" s="37"/>
      <c r="M496" s="285">
        <f>IF(Preencher!$I$12&gt;1,H496,0)</f>
        <v>0</v>
      </c>
      <c r="N496" s="259" t="str">
        <f t="shared" si="187"/>
        <v>-</v>
      </c>
      <c r="O496" s="251">
        <f t="shared" si="188"/>
        <v>0</v>
      </c>
      <c r="P496" s="252" t="str">
        <f t="shared" si="189"/>
        <v>-</v>
      </c>
      <c r="Q496" s="37"/>
      <c r="R496" s="285">
        <f>IF(Preencher!$I$12&gt;2,H496,0)</f>
        <v>0</v>
      </c>
    </row>
    <row r="497" spans="1:18">
      <c r="A497" s="265" t="s">
        <v>105</v>
      </c>
      <c r="B497" s="284"/>
      <c r="C497" s="251" t="str">
        <f>IF(B497=0,"-",3600/B497)</f>
        <v>-</v>
      </c>
      <c r="D497" s="259" t="str">
        <f t="shared" si="181"/>
        <v>-</v>
      </c>
      <c r="E497" s="251">
        <f>IFERROR(ROUNDUP(D497/0.95,0.999),0)</f>
        <v>0</v>
      </c>
      <c r="F497" s="252" t="str">
        <f t="shared" si="183"/>
        <v>-</v>
      </c>
      <c r="G497" s="37"/>
      <c r="H497" s="285"/>
      <c r="I497" s="259" t="str">
        <f t="shared" si="184"/>
        <v>-</v>
      </c>
      <c r="J497" s="251">
        <f t="shared" si="185"/>
        <v>0</v>
      </c>
      <c r="K497" s="252" t="str">
        <f t="shared" si="186"/>
        <v>-</v>
      </c>
      <c r="L497" s="37"/>
      <c r="M497" s="285"/>
      <c r="N497" s="259" t="str">
        <f t="shared" si="187"/>
        <v>-</v>
      </c>
      <c r="O497" s="251">
        <f t="shared" si="188"/>
        <v>0</v>
      </c>
      <c r="P497" s="252" t="str">
        <f t="shared" si="189"/>
        <v>-</v>
      </c>
      <c r="Q497" s="37"/>
      <c r="R497" s="285"/>
    </row>
    <row r="498" spans="1:18">
      <c r="A498" s="265" t="s">
        <v>106</v>
      </c>
      <c r="B498" s="284"/>
      <c r="C498" s="251"/>
      <c r="D498" s="259"/>
      <c r="E498" s="373">
        <f>ROUNDUP(SUM(D499:D500)/0.95,0.999)</f>
        <v>1</v>
      </c>
      <c r="F498" s="374">
        <f>IFERROR(AVERAGE(F499:F500),"-")</f>
        <v>0.70699264182292909</v>
      </c>
      <c r="G498" s="37"/>
      <c r="H498" s="285"/>
      <c r="I498" s="259"/>
      <c r="J498" s="600">
        <f>ROUNDUP(SUM(I499:I500)/0.95,0.999)</f>
        <v>0</v>
      </c>
      <c r="K498" s="374" t="str">
        <f>IFERROR(AVERAGE(K499:K500),"-")</f>
        <v>-</v>
      </c>
      <c r="L498" s="37"/>
      <c r="M498" s="285"/>
      <c r="N498" s="259"/>
      <c r="O498" s="600">
        <f>ROUNDUP(SUM(N499:N500)/0.95,0.999)</f>
        <v>0</v>
      </c>
      <c r="P498" s="374" t="str">
        <f>IFERROR(AVERAGE(P499:P500),"-")</f>
        <v>-</v>
      </c>
      <c r="Q498" s="37"/>
      <c r="R498" s="285"/>
    </row>
    <row r="499" spans="1:18">
      <c r="A499" s="200" t="s">
        <v>1563</v>
      </c>
      <c r="B499" s="284">
        <f>116+40</f>
        <v>156</v>
      </c>
      <c r="C499" s="373">
        <f t="shared" ref="C499:C504" si="190">IF(B499=0,"-",3600/B499)</f>
        <v>23.076923076923077</v>
      </c>
      <c r="D499" s="259">
        <f t="shared" ref="D499:D504" si="191">IFERROR((H499/C499),"-")</f>
        <v>0.70699264182292909</v>
      </c>
      <c r="E499" s="373">
        <f t="shared" ref="E499:E504" si="192">IFERROR(ROUNDUP(D499/0.95,0.999),0)</f>
        <v>1</v>
      </c>
      <c r="F499" s="374">
        <f t="shared" ref="F499:F504" si="193">IFERROR((H499/C499/E499),"-")</f>
        <v>0.70699264182292909</v>
      </c>
      <c r="G499" s="37"/>
      <c r="H499" s="285">
        <f>RESUMO!F246</f>
        <v>16.315214811298365</v>
      </c>
      <c r="I499" s="259">
        <f t="shared" ref="I499:I504" si="194">IFERROR((M499/C499),"-")</f>
        <v>0</v>
      </c>
      <c r="J499" s="373">
        <f t="shared" ref="J499:J504" si="195">IFERROR(ROUNDUP(I499/0.95,0.999),0)</f>
        <v>0</v>
      </c>
      <c r="K499" s="374" t="str">
        <f t="shared" ref="K499:K504" si="196">IFERROR((M499/C499/J499),"-")</f>
        <v>-</v>
      </c>
      <c r="L499" s="37"/>
      <c r="M499" s="285">
        <f>IF(Preencher!$I$12&gt;1,H499,0)</f>
        <v>0</v>
      </c>
      <c r="N499" s="259">
        <f t="shared" ref="N499:N504" si="197">IFERROR((R499/C499),"-")</f>
        <v>0</v>
      </c>
      <c r="O499" s="373">
        <f t="shared" ref="O499:O504" si="198">IFERROR(ROUNDUP(N499/0.95,0.999),0)</f>
        <v>0</v>
      </c>
      <c r="P499" s="374" t="str">
        <f t="shared" ref="P499:P504" si="199">IFERROR((R499/C499/O499),"-")</f>
        <v>-</v>
      </c>
      <c r="Q499" s="37"/>
      <c r="R499" s="285">
        <f>IF(Preencher!$I$12&gt;2,H499,0)</f>
        <v>0</v>
      </c>
    </row>
    <row r="500" spans="1:18">
      <c r="A500" s="200" t="s">
        <v>1564</v>
      </c>
      <c r="B500" s="284">
        <v>76</v>
      </c>
      <c r="C500" s="373">
        <f t="shared" si="190"/>
        <v>47.368421052631582</v>
      </c>
      <c r="D500" s="259">
        <f t="shared" si="191"/>
        <v>0</v>
      </c>
      <c r="E500" s="373">
        <f t="shared" si="192"/>
        <v>0</v>
      </c>
      <c r="F500" s="374" t="str">
        <f t="shared" si="193"/>
        <v>-</v>
      </c>
      <c r="G500" s="37"/>
      <c r="H500" s="285">
        <f>RESUMO!F247</f>
        <v>0</v>
      </c>
      <c r="I500" s="259">
        <f t="shared" si="194"/>
        <v>0</v>
      </c>
      <c r="J500" s="373">
        <f t="shared" si="195"/>
        <v>0</v>
      </c>
      <c r="K500" s="374" t="str">
        <f t="shared" si="196"/>
        <v>-</v>
      </c>
      <c r="L500" s="37"/>
      <c r="M500" s="285">
        <f>IF(Preencher!$I$12&gt;1,H500,0)</f>
        <v>0</v>
      </c>
      <c r="N500" s="259">
        <f t="shared" si="197"/>
        <v>0</v>
      </c>
      <c r="O500" s="373">
        <f t="shared" si="198"/>
        <v>0</v>
      </c>
      <c r="P500" s="374" t="str">
        <f t="shared" si="199"/>
        <v>-</v>
      </c>
      <c r="Q500" s="37"/>
      <c r="R500" s="285">
        <f>IF(Preencher!$I$12&gt;2,H500,0)</f>
        <v>0</v>
      </c>
    </row>
    <row r="501" spans="1:18">
      <c r="A501" s="265" t="s">
        <v>639</v>
      </c>
      <c r="B501" s="284"/>
      <c r="C501" s="251" t="str">
        <f t="shared" si="190"/>
        <v>-</v>
      </c>
      <c r="D501" s="259" t="str">
        <f t="shared" si="191"/>
        <v>-</v>
      </c>
      <c r="E501" s="251">
        <f t="shared" si="192"/>
        <v>0</v>
      </c>
      <c r="F501" s="252" t="str">
        <f t="shared" si="193"/>
        <v>-</v>
      </c>
      <c r="G501" s="37"/>
      <c r="H501" s="285"/>
      <c r="I501" s="259" t="str">
        <f t="shared" si="194"/>
        <v>-</v>
      </c>
      <c r="J501" s="251">
        <f t="shared" si="195"/>
        <v>0</v>
      </c>
      <c r="K501" s="252" t="str">
        <f t="shared" si="196"/>
        <v>-</v>
      </c>
      <c r="L501" s="37"/>
      <c r="M501" s="285"/>
      <c r="N501" s="259" t="str">
        <f t="shared" si="197"/>
        <v>-</v>
      </c>
      <c r="O501" s="251">
        <f t="shared" si="198"/>
        <v>0</v>
      </c>
      <c r="P501" s="252" t="str">
        <f t="shared" si="199"/>
        <v>-</v>
      </c>
      <c r="Q501" s="37"/>
      <c r="R501" s="285"/>
    </row>
    <row r="502" spans="1:18">
      <c r="A502" s="265" t="s">
        <v>640</v>
      </c>
      <c r="B502" s="284"/>
      <c r="C502" s="251" t="str">
        <f t="shared" si="190"/>
        <v>-</v>
      </c>
      <c r="D502" s="259" t="str">
        <f t="shared" si="191"/>
        <v>-</v>
      </c>
      <c r="E502" s="251">
        <f t="shared" si="192"/>
        <v>0</v>
      </c>
      <c r="F502" s="252" t="str">
        <f t="shared" si="193"/>
        <v>-</v>
      </c>
      <c r="G502" s="37"/>
      <c r="H502" s="285"/>
      <c r="I502" s="259" t="str">
        <f t="shared" si="194"/>
        <v>-</v>
      </c>
      <c r="J502" s="251">
        <f t="shared" si="195"/>
        <v>0</v>
      </c>
      <c r="K502" s="252" t="str">
        <f t="shared" si="196"/>
        <v>-</v>
      </c>
      <c r="L502" s="37"/>
      <c r="M502" s="285"/>
      <c r="N502" s="259" t="str">
        <f t="shared" si="197"/>
        <v>-</v>
      </c>
      <c r="O502" s="251">
        <f t="shared" si="198"/>
        <v>0</v>
      </c>
      <c r="P502" s="252" t="str">
        <f t="shared" si="199"/>
        <v>-</v>
      </c>
      <c r="Q502" s="37"/>
      <c r="R502" s="285"/>
    </row>
    <row r="503" spans="1:18">
      <c r="A503" s="265" t="s">
        <v>641</v>
      </c>
      <c r="B503" s="284">
        <v>3384</v>
      </c>
      <c r="C503" s="251">
        <f t="shared" si="190"/>
        <v>1.0638297872340425</v>
      </c>
      <c r="D503" s="259">
        <f t="shared" si="191"/>
        <v>0</v>
      </c>
      <c r="E503" s="251">
        <f t="shared" si="192"/>
        <v>0</v>
      </c>
      <c r="F503" s="252" t="str">
        <f t="shared" si="193"/>
        <v>-</v>
      </c>
      <c r="G503" s="37"/>
      <c r="H503" s="285">
        <f>Preencher!$B$142</f>
        <v>0</v>
      </c>
      <c r="I503" s="259">
        <f t="shared" si="194"/>
        <v>0</v>
      </c>
      <c r="J503" s="251">
        <f t="shared" si="195"/>
        <v>0</v>
      </c>
      <c r="K503" s="252" t="str">
        <f t="shared" si="196"/>
        <v>-</v>
      </c>
      <c r="L503" s="37"/>
      <c r="M503" s="285">
        <f>Preencher!$C$142</f>
        <v>0</v>
      </c>
      <c r="N503" s="259">
        <f t="shared" si="197"/>
        <v>0</v>
      </c>
      <c r="O503" s="251">
        <f t="shared" si="198"/>
        <v>0</v>
      </c>
      <c r="P503" s="252" t="str">
        <f t="shared" si="199"/>
        <v>-</v>
      </c>
      <c r="Q503" s="37"/>
      <c r="R503" s="285">
        <f>Preencher!$D$142</f>
        <v>0</v>
      </c>
    </row>
    <row r="504" spans="1:18">
      <c r="A504" s="265" t="s">
        <v>642</v>
      </c>
      <c r="B504" s="284">
        <v>3384</v>
      </c>
      <c r="C504" s="251">
        <f t="shared" si="190"/>
        <v>1.0638297872340425</v>
      </c>
      <c r="D504" s="259">
        <f t="shared" si="191"/>
        <v>0</v>
      </c>
      <c r="E504" s="251">
        <f t="shared" si="192"/>
        <v>0</v>
      </c>
      <c r="F504" s="252" t="str">
        <f t="shared" si="193"/>
        <v>-</v>
      </c>
      <c r="G504" s="37"/>
      <c r="H504" s="285">
        <f>Preencher!$B$143</f>
        <v>0</v>
      </c>
      <c r="I504" s="259">
        <f t="shared" si="194"/>
        <v>0</v>
      </c>
      <c r="J504" s="251">
        <f t="shared" si="195"/>
        <v>0</v>
      </c>
      <c r="K504" s="252" t="str">
        <f t="shared" si="196"/>
        <v>-</v>
      </c>
      <c r="L504" s="37"/>
      <c r="M504" s="285">
        <f>Preencher!$C$143</f>
        <v>0</v>
      </c>
      <c r="N504" s="259">
        <f t="shared" si="197"/>
        <v>0</v>
      </c>
      <c r="O504" s="251">
        <f t="shared" si="198"/>
        <v>0</v>
      </c>
      <c r="P504" s="252" t="str">
        <f t="shared" si="199"/>
        <v>-</v>
      </c>
      <c r="Q504" s="37"/>
      <c r="R504" s="285">
        <f>Preencher!$D$143</f>
        <v>0</v>
      </c>
    </row>
    <row r="505" spans="1:18">
      <c r="A505" s="265" t="s">
        <v>97</v>
      </c>
      <c r="B505" s="284"/>
      <c r="C505" s="251"/>
      <c r="D505" s="259"/>
      <c r="E505" s="251">
        <f>E506+E507+E508</f>
        <v>3</v>
      </c>
      <c r="F505" s="374">
        <f>F506</f>
        <v>0.49722759506918707</v>
      </c>
      <c r="G505" s="37"/>
      <c r="H505" s="285"/>
      <c r="I505" s="259"/>
      <c r="J505" s="373">
        <f>J506+J507+J508</f>
        <v>0</v>
      </c>
      <c r="K505" s="374" t="str">
        <f>K506</f>
        <v>-</v>
      </c>
      <c r="L505" s="37"/>
      <c r="M505" s="285"/>
      <c r="N505" s="259"/>
      <c r="O505" s="373">
        <f>O506+O507+O508</f>
        <v>0</v>
      </c>
      <c r="P505" s="374" t="str">
        <f>P506</f>
        <v>-</v>
      </c>
      <c r="Q505" s="37"/>
      <c r="R505" s="285"/>
    </row>
    <row r="506" spans="1:18">
      <c r="A506" s="200" t="s">
        <v>97</v>
      </c>
      <c r="B506" s="284">
        <v>1.95</v>
      </c>
      <c r="C506" s="373">
        <f t="shared" ref="C506:C512" si="200">IF(B506=0,"-",3600/B506)</f>
        <v>1846.1538461538462</v>
      </c>
      <c r="D506" s="259">
        <f>IFERROR((H506/C506/G506),"-")</f>
        <v>0.49722759506918707</v>
      </c>
      <c r="E506" s="373">
        <f>IFERROR(ROUNDUP(D506/0.95,0.999),0)*G506</f>
        <v>1</v>
      </c>
      <c r="F506" s="374">
        <f t="shared" ref="F506:F512" si="201">IFERROR((H506/C506/E506),"-")</f>
        <v>0.49722759506918707</v>
      </c>
      <c r="G506" s="380">
        <f>Preencher!$B$145</f>
        <v>1</v>
      </c>
      <c r="H506" s="285">
        <f>Preencher!$B$138*Preencher!$C$155</f>
        <v>917.95863705080694</v>
      </c>
      <c r="I506" s="259" t="str">
        <f>IFERROR((M506/C506/L506),"-")</f>
        <v>-</v>
      </c>
      <c r="J506" s="373">
        <f>IFERROR(ROUNDUP(I506/0.95,0.999),0)*L506</f>
        <v>0</v>
      </c>
      <c r="K506" s="374" t="str">
        <f t="shared" ref="K506:K512" si="202">IFERROR((M506/C506/J506),"-")</f>
        <v>-</v>
      </c>
      <c r="L506" s="380">
        <f>Preencher!$C$145</f>
        <v>0</v>
      </c>
      <c r="M506" s="285">
        <f>Preencher!$C$138*Preencher!$D$155</f>
        <v>0</v>
      </c>
      <c r="N506" s="259" t="str">
        <f>IFERROR((R506/C506/Q506),"-")</f>
        <v>-</v>
      </c>
      <c r="O506" s="373">
        <f>IFERROR(ROUNDUP(N506/0.95,0.999),0)*Q506</f>
        <v>0</v>
      </c>
      <c r="P506" s="374" t="str">
        <f t="shared" ref="P506:P512" si="203">IFERROR((R506/C506/O506),"-")</f>
        <v>-</v>
      </c>
      <c r="Q506" s="380">
        <f>Preencher!$D$145</f>
        <v>0</v>
      </c>
      <c r="R506" s="285">
        <f>Preencher!$D$138*Preencher!$E$155</f>
        <v>0</v>
      </c>
    </row>
    <row r="507" spans="1:18">
      <c r="A507" s="200" t="s">
        <v>1565</v>
      </c>
      <c r="B507" s="284">
        <v>1692</v>
      </c>
      <c r="C507" s="373">
        <f t="shared" si="200"/>
        <v>2.1276595744680851</v>
      </c>
      <c r="D507" s="259">
        <f>IFERROR((H507/C507),"-")</f>
        <v>0.47000000000000003</v>
      </c>
      <c r="E507" s="373">
        <f>IFERROR(ROUNDUP(D507/0.95,0.999),0)</f>
        <v>1</v>
      </c>
      <c r="F507" s="374">
        <f t="shared" si="201"/>
        <v>0.47000000000000003</v>
      </c>
      <c r="G507" s="37"/>
      <c r="H507" s="285">
        <f>Preencher!$B$145</f>
        <v>1</v>
      </c>
      <c r="I507" s="259">
        <f>IFERROR((M507/C507),"-")</f>
        <v>0</v>
      </c>
      <c r="J507" s="373">
        <f>IFERROR(ROUNDUP(I507/0.95,0.999),0)</f>
        <v>0</v>
      </c>
      <c r="K507" s="374" t="str">
        <f t="shared" si="202"/>
        <v>-</v>
      </c>
      <c r="L507" s="37"/>
      <c r="M507" s="285">
        <f>Preencher!$C$145</f>
        <v>0</v>
      </c>
      <c r="N507" s="259">
        <f>IFERROR((R507/C507),"-")</f>
        <v>0</v>
      </c>
      <c r="O507" s="373">
        <f>IFERROR(ROUNDUP(N507/0.95,0.999),0)</f>
        <v>0</v>
      </c>
      <c r="P507" s="374" t="str">
        <f t="shared" si="203"/>
        <v>-</v>
      </c>
      <c r="Q507" s="37"/>
      <c r="R507" s="285">
        <f>Preencher!$D$145</f>
        <v>0</v>
      </c>
    </row>
    <row r="508" spans="1:18">
      <c r="A508" s="200" t="s">
        <v>1566</v>
      </c>
      <c r="B508" s="284">
        <v>1692</v>
      </c>
      <c r="C508" s="373">
        <f t="shared" si="200"/>
        <v>2.1276595744680851</v>
      </c>
      <c r="D508" s="259">
        <f>IFERROR((H508/C508),"-")</f>
        <v>0.47000000000000003</v>
      </c>
      <c r="E508" s="373">
        <f>IFERROR(ROUNDUP(D508/0.95,0.999),0)</f>
        <v>1</v>
      </c>
      <c r="F508" s="374">
        <f t="shared" si="201"/>
        <v>0.47000000000000003</v>
      </c>
      <c r="G508" s="37"/>
      <c r="H508" s="285">
        <f>Preencher!$B$145</f>
        <v>1</v>
      </c>
      <c r="I508" s="259">
        <f>IFERROR((M508/C508),"-")</f>
        <v>0</v>
      </c>
      <c r="J508" s="373">
        <f>IFERROR(ROUNDUP(I508/0.95,0.999),0)</f>
        <v>0</v>
      </c>
      <c r="K508" s="374" t="str">
        <f t="shared" si="202"/>
        <v>-</v>
      </c>
      <c r="L508" s="37"/>
      <c r="M508" s="285">
        <f>Preencher!$C$145</f>
        <v>0</v>
      </c>
      <c r="N508" s="259">
        <f>IFERROR((R508/C508),"-")</f>
        <v>0</v>
      </c>
      <c r="O508" s="373">
        <f>IFERROR(ROUNDUP(N508/0.95,0.999),0)</f>
        <v>0</v>
      </c>
      <c r="P508" s="374" t="str">
        <f t="shared" si="203"/>
        <v>-</v>
      </c>
      <c r="Q508" s="37"/>
      <c r="R508" s="285">
        <f>Preencher!$D$145</f>
        <v>0</v>
      </c>
    </row>
    <row r="509" spans="1:18">
      <c r="A509" s="265" t="s">
        <v>169</v>
      </c>
      <c r="B509" s="284">
        <f>IF(Preencher!$B$146=0,0,3.8)</f>
        <v>0</v>
      </c>
      <c r="C509" s="251" t="str">
        <f t="shared" si="200"/>
        <v>-</v>
      </c>
      <c r="D509" s="259" t="str">
        <f>IFERROR((H509/C509/G509),"-")</f>
        <v>-</v>
      </c>
      <c r="E509" s="373">
        <f>IFERROR(ROUNDUP(D509/0.95,0.999),0)*G509</f>
        <v>0</v>
      </c>
      <c r="F509" s="374" t="str">
        <f t="shared" si="201"/>
        <v>-</v>
      </c>
      <c r="G509" s="93">
        <f>IF(H509&lt;500,1,2)</f>
        <v>1</v>
      </c>
      <c r="H509" s="285">
        <f>H483+H482+H481+H473+H472+H471+H470+H469+H499+H500+H538+H645+H646+H647+H534</f>
        <v>19.869926418229294</v>
      </c>
      <c r="I509" s="259" t="str">
        <f>IFERROR((M509/C509/L509),"-")</f>
        <v>-</v>
      </c>
      <c r="J509" s="373">
        <f>IFERROR(ROUNDUP(I509/0.95,0.999),0)*L509</f>
        <v>0</v>
      </c>
      <c r="K509" s="374" t="str">
        <f t="shared" si="202"/>
        <v>-</v>
      </c>
      <c r="L509" s="93">
        <f>IF(M509&lt;500,1,2)</f>
        <v>1</v>
      </c>
      <c r="M509" s="285">
        <f>M483+M482+M481+M473+M472+M471+M470+M469+M499+M500+M538+M645+M646+M647+M534</f>
        <v>0</v>
      </c>
      <c r="N509" s="259" t="str">
        <f>IFERROR((R509/C509/Q509),"-")</f>
        <v>-</v>
      </c>
      <c r="O509" s="373">
        <f>IFERROR(ROUNDUP(N509/0.95,0.999),0)*Q509</f>
        <v>0</v>
      </c>
      <c r="P509" s="374" t="str">
        <f t="shared" si="203"/>
        <v>-</v>
      </c>
      <c r="Q509" s="93">
        <f>IF(R509&lt;500,1,2)</f>
        <v>1</v>
      </c>
      <c r="R509" s="285">
        <f>R483+R482+R481+R473+R472+R471+R470+R469+R499+R500+R538+R645+R646+R647+R534</f>
        <v>0</v>
      </c>
    </row>
    <row r="510" spans="1:18">
      <c r="A510" s="265" t="s">
        <v>170</v>
      </c>
      <c r="B510" s="284">
        <f>IF(H510&lt;100,0,IF(Preencher!$B$499=Preencher!$R$488,0,IF(Preencher!$B$146&gt;0,4.8,0)))</f>
        <v>0</v>
      </c>
      <c r="C510" s="373" t="str">
        <f t="shared" si="200"/>
        <v>-</v>
      </c>
      <c r="D510" s="259" t="str">
        <f>IFERROR((H510/C510/G510),"-")</f>
        <v>-</v>
      </c>
      <c r="E510" s="373">
        <f>IFERROR(ROUNDUP(D510/0.95,0.999),0)*G510</f>
        <v>0</v>
      </c>
      <c r="F510" s="374" t="str">
        <f t="shared" si="201"/>
        <v>-</v>
      </c>
      <c r="G510" s="93">
        <f>IF(H510&lt;500,1,2)</f>
        <v>1</v>
      </c>
      <c r="H510" s="285">
        <f>H509</f>
        <v>19.869926418229294</v>
      </c>
      <c r="I510" s="259" t="str">
        <f>IFERROR((M510/C510/L510),"-")</f>
        <v>-</v>
      </c>
      <c r="J510" s="373">
        <f>IFERROR(ROUNDUP(I510/0.95,0.999),0)*L510</f>
        <v>0</v>
      </c>
      <c r="K510" s="374" t="str">
        <f t="shared" si="202"/>
        <v>-</v>
      </c>
      <c r="L510" s="93">
        <f>IF(M510&lt;500,1,2)</f>
        <v>1</v>
      </c>
      <c r="M510" s="285">
        <f>M509</f>
        <v>0</v>
      </c>
      <c r="N510" s="259" t="str">
        <f>IFERROR((R510/C510/Q510),"-")</f>
        <v>-</v>
      </c>
      <c r="O510" s="373">
        <f>IFERROR(ROUNDUP(N510/0.95,0.999),0)*Q510</f>
        <v>0</v>
      </c>
      <c r="P510" s="374" t="str">
        <f t="shared" si="203"/>
        <v>-</v>
      </c>
      <c r="Q510" s="93">
        <f>IF(R510&lt;500,1,2)</f>
        <v>1</v>
      </c>
      <c r="R510" s="285">
        <f>R509</f>
        <v>0</v>
      </c>
    </row>
    <row r="511" spans="1:18">
      <c r="A511" s="265" t="s">
        <v>42</v>
      </c>
      <c r="B511" s="284">
        <f>IF(AVERAGE(H511+M511+R511)&lt;10,0,61+20.5)</f>
        <v>81.5</v>
      </c>
      <c r="C511" s="373">
        <f>IF(B511=0,"-",3600/B511)</f>
        <v>44.171779141104295</v>
      </c>
      <c r="D511" s="259">
        <f>IFERROR((H511/C511),"-")</f>
        <v>0.54333333333333333</v>
      </c>
      <c r="E511" s="251">
        <f>IFERROR(ROUNDUP(D511/0.95,0.999),0)</f>
        <v>1</v>
      </c>
      <c r="F511" s="252">
        <f t="shared" si="201"/>
        <v>0.54333333333333333</v>
      </c>
      <c r="G511" s="37"/>
      <c r="H511" s="285">
        <f>E318+E319+E320+E321+E339+E340+E341+E342+E400+E403+E404+E405+E415+E44834+E412+E324</f>
        <v>24</v>
      </c>
      <c r="I511" s="259">
        <f>IFERROR((M511/C511),"-")</f>
        <v>0</v>
      </c>
      <c r="J511" s="251">
        <f>IFERROR(ROUNDUP(I511/0.95,0.999),0)</f>
        <v>0</v>
      </c>
      <c r="K511" s="252" t="str">
        <f t="shared" si="202"/>
        <v>-</v>
      </c>
      <c r="L511" s="37"/>
      <c r="M511" s="285">
        <f>J318+J319+J320+J321+J339+J340+J341+J342+J400+J403+J404+J405+J415+J44834+J412+J324</f>
        <v>0</v>
      </c>
      <c r="N511" s="259">
        <f>IFERROR((R511/C511),"-")</f>
        <v>0</v>
      </c>
      <c r="O511" s="251">
        <f>IFERROR(ROUNDUP(N511/0.95,0.999),0)</f>
        <v>0</v>
      </c>
      <c r="P511" s="252" t="str">
        <f t="shared" si="203"/>
        <v>-</v>
      </c>
      <c r="Q511" s="37"/>
      <c r="R511" s="285">
        <f>O318+O319+O320+O321+O339+O340+O341+O342+O400+O403+O404+O405+O415+O44834+O412</f>
        <v>0</v>
      </c>
    </row>
    <row r="512" spans="1:18">
      <c r="A512" s="265" t="s">
        <v>668</v>
      </c>
      <c r="B512" s="284">
        <f>0.2975</f>
        <v>0.29749999999999999</v>
      </c>
      <c r="C512" s="251">
        <f t="shared" si="200"/>
        <v>12100.840336134454</v>
      </c>
      <c r="D512" s="259">
        <f>IFERROR((H512/C512),"-")</f>
        <v>0.39666666666666667</v>
      </c>
      <c r="E512" s="251">
        <f>IFERROR(ROUNDUP(D512/0.95,0.999),0)</f>
        <v>1</v>
      </c>
      <c r="F512" s="252">
        <f t="shared" si="201"/>
        <v>0.39666666666666667</v>
      </c>
      <c r="G512" s="37"/>
      <c r="H512" s="285">
        <f>Preencher!$B$138</f>
        <v>4800</v>
      </c>
      <c r="I512" s="259">
        <f>IFERROR((M512/C512),"-")</f>
        <v>0</v>
      </c>
      <c r="J512" s="251">
        <f>IFERROR(ROUNDUP(I512/0.95,0.999),0)</f>
        <v>0</v>
      </c>
      <c r="K512" s="252" t="str">
        <f t="shared" si="202"/>
        <v>-</v>
      </c>
      <c r="L512" s="37"/>
      <c r="M512" s="285">
        <f>Preencher!$C$138</f>
        <v>0</v>
      </c>
      <c r="N512" s="259">
        <f>IFERROR((R512/C512),"-")</f>
        <v>0</v>
      </c>
      <c r="O512" s="251">
        <f>IFERROR(ROUNDUP(N512/0.95,0.999),0)</f>
        <v>0</v>
      </c>
      <c r="P512" s="252" t="str">
        <f t="shared" si="203"/>
        <v>-</v>
      </c>
      <c r="Q512" s="37"/>
      <c r="R512" s="285">
        <f>Preencher!$D$138</f>
        <v>0</v>
      </c>
    </row>
    <row r="513" spans="1:18">
      <c r="A513" s="265" t="s">
        <v>3119</v>
      </c>
      <c r="B513" s="284">
        <f>0.2975</f>
        <v>0.29749999999999999</v>
      </c>
      <c r="C513" s="770">
        <f>IF(B513=0,"-",3600/B513)</f>
        <v>12100.840336134454</v>
      </c>
      <c r="D513" s="259">
        <f>IFERROR((H513/C513),"-")</f>
        <v>0.39666666666666667</v>
      </c>
      <c r="E513" s="770">
        <f>IFERROR(ROUNDUP(D513/0.95,0.999),0)</f>
        <v>1</v>
      </c>
      <c r="F513" s="772">
        <f>IFERROR((H513/C513/E513),"-")</f>
        <v>0.39666666666666667</v>
      </c>
      <c r="G513" s="37"/>
      <c r="H513" s="285">
        <f>Preencher!$B$138</f>
        <v>4800</v>
      </c>
      <c r="I513" s="259">
        <f>IFERROR((M513/C513),"-")</f>
        <v>0</v>
      </c>
      <c r="J513" s="770">
        <f>IFERROR(ROUNDUP(I513/0.95,0.999),0)</f>
        <v>0</v>
      </c>
      <c r="K513" s="772" t="str">
        <f>IFERROR((M513/C513/J513),"-")</f>
        <v>-</v>
      </c>
      <c r="L513" s="37"/>
      <c r="M513" s="285">
        <f>Preencher!$C$138</f>
        <v>0</v>
      </c>
      <c r="N513" s="259">
        <f>IFERROR((R513/C513),"-")</f>
        <v>0</v>
      </c>
      <c r="O513" s="770">
        <f>IFERROR(ROUNDUP(N513/0.95,0.999),0)</f>
        <v>0</v>
      </c>
      <c r="P513" s="772" t="str">
        <f>IFERROR((R513/C513/O513),"-")</f>
        <v>-</v>
      </c>
      <c r="Q513" s="37"/>
      <c r="R513" s="285">
        <f>Preencher!$D$138</f>
        <v>0</v>
      </c>
    </row>
    <row r="514" spans="1:18">
      <c r="A514" s="37" t="s">
        <v>16</v>
      </c>
      <c r="B514" s="284"/>
      <c r="C514" s="912" t="s">
        <v>1075</v>
      </c>
      <c r="D514" s="259"/>
      <c r="E514" s="770">
        <f>IFERROR(ROUNDUP(SUM(Avaliação!J379+Avaliação!J401+Avaliação!J415+Avaliação!J433+Avaliação!J447+SUM(Avaliação!J339:J367))*'BD Temp'!H514,0.999),0)</f>
        <v>12</v>
      </c>
      <c r="F514" s="772" t="str">
        <f t="shared" ref="F514" si="204">IFERROR((H514/C514/E514),"-")</f>
        <v>-</v>
      </c>
      <c r="G514" s="37"/>
      <c r="H514" s="285">
        <f>IF(Preencher!$A$15=Preencher!$R$28,0,IF(Preencher!$A$15=Preencher!$R$29,Preencher!$C$15,Preencher!$D$15))</f>
        <v>0.33</v>
      </c>
      <c r="I514" s="259" t="str">
        <f t="shared" ref="I514" si="205">IFERROR((M514/C514),"-")</f>
        <v>-</v>
      </c>
      <c r="J514" s="770">
        <f>IFERROR(ROUNDUP(SUM(Avaliação!N379+Avaliação!N401+Avaliação!N415+Avaliação!N433+Avaliação!N447+SUM(Avaliação!N339:N367))*'BD Temp'!M514,0.999),0)</f>
        <v>0</v>
      </c>
      <c r="K514" s="772" t="str">
        <f t="shared" ref="K514" si="206">IFERROR((M514/C514/J514),"-")</f>
        <v>-</v>
      </c>
      <c r="L514" s="37"/>
      <c r="M514" s="285">
        <f>IF(Preencher!$A$15=Preencher!$R$28,0,IF(Preencher!$A$15=Preencher!$R$29,Preencher!$C$15,Preencher!$D$15))</f>
        <v>0.33</v>
      </c>
      <c r="N514" s="259" t="str">
        <f t="shared" ref="N514" si="207">IFERROR((R514/C514),"-")</f>
        <v>-</v>
      </c>
      <c r="O514" s="770">
        <f>IFERROR(ROUNDUP(SUM(Avaliação!R379+Avaliação!R401+Avaliação!R415+Avaliação!R433+Avaliação!R447+SUM(Avaliação!R339:R367))*'BD Temp'!R514,0.999),0)</f>
        <v>0</v>
      </c>
      <c r="P514" s="772" t="str">
        <f t="shared" ref="P514" si="208">IFERROR((R514/C514/O514),"-")</f>
        <v>-</v>
      </c>
      <c r="Q514" s="37"/>
      <c r="R514" s="285">
        <f>IF(Preencher!$A$15=Preencher!$R$28,0,IF(Preencher!$A$15=Preencher!$R$29,Preencher!$C$15,Preencher!$D$15))</f>
        <v>0.33</v>
      </c>
    </row>
    <row r="515" spans="1:18">
      <c r="A515" s="265" t="s">
        <v>15</v>
      </c>
      <c r="B515" s="606"/>
      <c r="C515" s="251"/>
      <c r="D515" s="259"/>
      <c r="E515" s="251">
        <f>SUM(E516:E519)</f>
        <v>0</v>
      </c>
      <c r="F515" s="601" t="str">
        <f>IFERROR(AVERAGE(F516:F519),"-")</f>
        <v>-</v>
      </c>
      <c r="G515" s="37"/>
      <c r="H515" s="285"/>
      <c r="I515" s="259"/>
      <c r="J515" s="600">
        <f>SUM(J516:J519)</f>
        <v>0</v>
      </c>
      <c r="K515" s="601" t="str">
        <f>IFERROR(AVERAGE(K516:K519),"-")</f>
        <v>-</v>
      </c>
      <c r="L515" s="37"/>
      <c r="M515" s="285"/>
      <c r="N515" s="259"/>
      <c r="O515" s="600">
        <f>SUM(O516:O519)</f>
        <v>0</v>
      </c>
      <c r="P515" s="601" t="str">
        <f>IFERROR(AVERAGE(P516:P519),"-")</f>
        <v>-</v>
      </c>
      <c r="Q515" s="37"/>
      <c r="R515" s="285"/>
    </row>
    <row r="516" spans="1:18">
      <c r="A516" s="200" t="s">
        <v>2165</v>
      </c>
      <c r="B516" s="606">
        <f>0.08-0.08</f>
        <v>0</v>
      </c>
      <c r="C516" s="600" t="str">
        <f>IF(B516=0,"-",3600/B516)</f>
        <v>-</v>
      </c>
      <c r="D516" s="259" t="str">
        <f>IFERROR((H516/C516),"-")</f>
        <v>-</v>
      </c>
      <c r="E516" s="600">
        <f>IFERROR(ROUNDUP(D516/0.95,0.999),0)</f>
        <v>0</v>
      </c>
      <c r="F516" s="601" t="str">
        <f>IFERROR((H516/C516/E516),"-")</f>
        <v>-</v>
      </c>
      <c r="G516" s="37"/>
      <c r="H516" s="285">
        <f>Preencher!$B$138+Preencher!$C$138+Preencher!$D$138</f>
        <v>4800</v>
      </c>
      <c r="I516" s="259" t="str">
        <f>IFERROR((M516/C516),"-")</f>
        <v>-</v>
      </c>
      <c r="J516" s="600">
        <f>IFERROR(ROUNDUP(I516/0.95,0.999),0)</f>
        <v>0</v>
      </c>
      <c r="K516" s="601" t="str">
        <f>IFERROR((M516/C516/J516),"-")</f>
        <v>-</v>
      </c>
      <c r="L516" s="37"/>
      <c r="M516" s="285">
        <f>IF(Preencher!$I$12&gt;1,H516,0)</f>
        <v>0</v>
      </c>
      <c r="N516" s="259" t="str">
        <f>IFERROR((R516/C516),"-")</f>
        <v>-</v>
      </c>
      <c r="O516" s="600">
        <f>IFERROR(ROUNDUP(N516/0.95,0.999),0)</f>
        <v>0</v>
      </c>
      <c r="P516" s="601" t="str">
        <f>IFERROR((R516/C516/O516),"-")</f>
        <v>-</v>
      </c>
      <c r="Q516" s="37"/>
      <c r="R516" s="285">
        <f>IF(Preencher!$I$12&gt;2,H516,0)</f>
        <v>0</v>
      </c>
    </row>
    <row r="517" spans="1:18">
      <c r="A517" s="200" t="s">
        <v>2166</v>
      </c>
      <c r="B517" s="607">
        <v>3</v>
      </c>
      <c r="C517" s="600">
        <f>IF(B517=0,"-",3600/B517)</f>
        <v>1200</v>
      </c>
      <c r="D517" s="259">
        <f>IFERROR((H517/C517),"-")</f>
        <v>0</v>
      </c>
      <c r="E517" s="600">
        <f>IFERROR(ROUNDUP(D517/0.95,0.999),0)</f>
        <v>0</v>
      </c>
      <c r="F517" s="601" t="str">
        <f>IFERROR((H517/C517/E517),"-")</f>
        <v>-</v>
      </c>
      <c r="G517" s="37"/>
      <c r="H517" s="285">
        <f>Preencher!AG200</f>
        <v>0</v>
      </c>
      <c r="I517" s="259">
        <f>IFERROR((M517/C517),"-")</f>
        <v>0</v>
      </c>
      <c r="J517" s="600">
        <f>IFERROR(ROUNDUP(I517/0.95,0.999),0)</f>
        <v>0</v>
      </c>
      <c r="K517" s="601" t="str">
        <f>IFERROR((M517/C517/J517),"-")</f>
        <v>-</v>
      </c>
      <c r="L517" s="37"/>
      <c r="M517" s="285">
        <f>Preencher!AI200</f>
        <v>0</v>
      </c>
      <c r="N517" s="259">
        <f>IFERROR((R517/C517),"-")</f>
        <v>0</v>
      </c>
      <c r="O517" s="600">
        <f>IFERROR(ROUNDUP(N517/0.95,0.999),0)</f>
        <v>0</v>
      </c>
      <c r="P517" s="601" t="str">
        <f>IFERROR((R517/C517/O517),"-")</f>
        <v>-</v>
      </c>
      <c r="Q517" s="37"/>
      <c r="R517" s="285">
        <f>Preencher!AK200</f>
        <v>0</v>
      </c>
    </row>
    <row r="518" spans="1:18">
      <c r="A518" s="200" t="s">
        <v>2168</v>
      </c>
      <c r="B518" s="607">
        <v>3</v>
      </c>
      <c r="C518" s="600">
        <f>IF(B518=0,"-",3600/B518)</f>
        <v>1200</v>
      </c>
      <c r="D518" s="259">
        <f>IFERROR((H518/C518),"-")</f>
        <v>0</v>
      </c>
      <c r="E518" s="600">
        <f>IFERROR(ROUNDUP(D518/0.95,0.999),0)</f>
        <v>0</v>
      </c>
      <c r="F518" s="601" t="str">
        <f>IFERROR((H518/C518/E518),"-")</f>
        <v>-</v>
      </c>
      <c r="G518" s="37"/>
      <c r="H518" s="285">
        <f>Preencher!AG158</f>
        <v>0</v>
      </c>
      <c r="I518" s="259">
        <f>IFERROR((M518/C518),"-")</f>
        <v>0</v>
      </c>
      <c r="J518" s="600">
        <f>IFERROR(ROUNDUP(I518/0.95,0.999),0)</f>
        <v>0</v>
      </c>
      <c r="K518" s="601" t="str">
        <f>IFERROR((M518/C518/J518),"-")</f>
        <v>-</v>
      </c>
      <c r="L518" s="37"/>
      <c r="M518" s="285">
        <f>Preencher!AI158</f>
        <v>0</v>
      </c>
      <c r="N518" s="259">
        <f>IFERROR((R518/C518),"-")</f>
        <v>0</v>
      </c>
      <c r="O518" s="600">
        <f>IFERROR(ROUNDUP(N518/0.95,0.999),0)</f>
        <v>0</v>
      </c>
      <c r="P518" s="601" t="str">
        <f>IFERROR((R518/C518/O518),"-")</f>
        <v>-</v>
      </c>
      <c r="Q518" s="37"/>
      <c r="R518" s="285">
        <f>Preencher!AK158</f>
        <v>0</v>
      </c>
    </row>
    <row r="519" spans="1:18">
      <c r="A519" s="200" t="s">
        <v>2167</v>
      </c>
      <c r="B519" s="607">
        <f>3-3</f>
        <v>0</v>
      </c>
      <c r="C519" s="600" t="str">
        <f>IF(B519=0,"-",3600/B519)</f>
        <v>-</v>
      </c>
      <c r="D519" s="259" t="str">
        <f>IFERROR((H519/C519),"-")</f>
        <v>-</v>
      </c>
      <c r="E519" s="600">
        <f>IFERROR(ROUNDUP(D519/0.95,0.999),0)</f>
        <v>0</v>
      </c>
      <c r="F519" s="601" t="str">
        <f>IFERROR((H519/C519/E519),"-")</f>
        <v>-</v>
      </c>
      <c r="G519" s="37"/>
      <c r="H519" s="285">
        <f>Preencher!AG156</f>
        <v>0</v>
      </c>
      <c r="I519" s="259" t="str">
        <f>IFERROR((M519/C519),"-")</f>
        <v>-</v>
      </c>
      <c r="J519" s="600">
        <f>IFERROR(ROUNDUP(I519/0.95,0.999),0)</f>
        <v>0</v>
      </c>
      <c r="K519" s="601" t="str">
        <f>IFERROR((M519/C519/J519),"-")</f>
        <v>-</v>
      </c>
      <c r="L519" s="37"/>
      <c r="M519" s="285">
        <f>Preencher!AI156</f>
        <v>0</v>
      </c>
      <c r="N519" s="259" t="str">
        <f>IFERROR((R519/C519),"-")</f>
        <v>-</v>
      </c>
      <c r="O519" s="600">
        <f>IFERROR(ROUNDUP(N519/0.95,0.999),0)</f>
        <v>0</v>
      </c>
      <c r="P519" s="601" t="str">
        <f>IFERROR((R519/C519/O519),"-")</f>
        <v>-</v>
      </c>
      <c r="Q519" s="37"/>
      <c r="R519" s="285">
        <f>Preencher!AK156</f>
        <v>0</v>
      </c>
    </row>
    <row r="520" spans="1:18">
      <c r="A520" s="265"/>
      <c r="B520" s="286"/>
      <c r="C520" s="37"/>
      <c r="D520" s="37"/>
      <c r="E520" s="37"/>
      <c r="F520" s="37"/>
      <c r="G520" s="37"/>
      <c r="H520" s="287"/>
      <c r="I520" s="37"/>
      <c r="J520" s="37"/>
      <c r="K520" s="37"/>
      <c r="L520" s="37"/>
      <c r="M520" s="287"/>
      <c r="N520" s="37"/>
      <c r="O520" s="37"/>
      <c r="P520" s="37"/>
      <c r="Q520" s="37"/>
      <c r="R520" s="287"/>
    </row>
    <row r="521" spans="1:18">
      <c r="A521" s="270" t="s">
        <v>723</v>
      </c>
      <c r="B521" s="291"/>
      <c r="C521" s="39"/>
      <c r="D521" s="39"/>
      <c r="E521" s="39"/>
      <c r="F521" s="39"/>
      <c r="G521" s="39"/>
      <c r="H521" s="292"/>
      <c r="I521" s="39"/>
      <c r="J521" s="39"/>
      <c r="K521" s="39"/>
      <c r="L521" s="39"/>
      <c r="M521" s="292"/>
      <c r="N521" s="39"/>
      <c r="O521" s="39"/>
      <c r="P521" s="39"/>
      <c r="Q521" s="39"/>
      <c r="R521" s="292"/>
    </row>
    <row r="522" spans="1:18">
      <c r="A522" s="265"/>
      <c r="B522" s="286"/>
      <c r="C522" s="37"/>
      <c r="D522" s="37"/>
      <c r="E522" s="37"/>
      <c r="F522" s="37"/>
      <c r="G522" s="37"/>
      <c r="H522" s="287"/>
      <c r="I522" s="37"/>
      <c r="J522" s="37"/>
      <c r="K522" s="37"/>
      <c r="L522" s="37"/>
      <c r="M522" s="287"/>
      <c r="N522" s="37"/>
      <c r="O522" s="37"/>
      <c r="P522" s="37"/>
      <c r="Q522" s="37"/>
      <c r="R522" s="287"/>
    </row>
    <row r="523" spans="1:18">
      <c r="A523" s="265"/>
      <c r="B523" s="286"/>
      <c r="C523" s="37"/>
      <c r="D523" s="37"/>
      <c r="E523" s="37"/>
      <c r="F523" s="37"/>
      <c r="G523" s="37"/>
      <c r="H523" s="287"/>
      <c r="I523" s="37"/>
      <c r="J523" s="37"/>
      <c r="K523" s="37"/>
      <c r="L523" s="37"/>
      <c r="M523" s="287"/>
      <c r="N523" s="37"/>
      <c r="O523" s="37"/>
      <c r="P523" s="37"/>
      <c r="Q523" s="37"/>
      <c r="R523" s="287"/>
    </row>
    <row r="524" spans="1:18">
      <c r="A524" s="265"/>
      <c r="B524" s="286"/>
      <c r="C524" s="37"/>
      <c r="D524" s="37"/>
      <c r="E524" s="37"/>
      <c r="F524" s="37"/>
      <c r="G524" s="37"/>
      <c r="H524" s="287"/>
      <c r="I524" s="37"/>
      <c r="J524" s="37"/>
      <c r="K524" s="37"/>
      <c r="L524" s="37"/>
      <c r="M524" s="287"/>
      <c r="N524" s="37"/>
      <c r="O524" s="37"/>
      <c r="P524" s="37"/>
      <c r="Q524" s="37"/>
      <c r="R524" s="287"/>
    </row>
    <row r="525" spans="1:18">
      <c r="A525" s="265"/>
      <c r="B525" s="286"/>
      <c r="C525" s="37"/>
      <c r="D525" s="37"/>
      <c r="E525" s="37"/>
      <c r="F525" s="37"/>
      <c r="G525" s="37"/>
      <c r="H525" s="287"/>
      <c r="I525" s="37"/>
      <c r="J525" s="37"/>
      <c r="K525" s="37"/>
      <c r="L525" s="37"/>
      <c r="M525" s="287"/>
      <c r="N525" s="37"/>
      <c r="O525" s="37"/>
      <c r="P525" s="37"/>
      <c r="Q525" s="37"/>
      <c r="R525" s="287"/>
    </row>
    <row r="526" spans="1:18">
      <c r="A526" s="265"/>
      <c r="B526" s="286"/>
      <c r="C526" s="37"/>
      <c r="D526" s="37"/>
      <c r="E526" s="37"/>
      <c r="F526" s="37"/>
      <c r="G526" s="37"/>
      <c r="H526" s="287"/>
      <c r="I526" s="37"/>
      <c r="J526" s="37"/>
      <c r="K526" s="37"/>
      <c r="L526" s="37"/>
      <c r="M526" s="287"/>
      <c r="N526" s="37"/>
      <c r="O526" s="37"/>
      <c r="P526" s="37"/>
      <c r="Q526" s="37"/>
      <c r="R526" s="287"/>
    </row>
    <row r="527" spans="1:18">
      <c r="A527" s="268"/>
      <c r="B527" s="288"/>
      <c r="C527" s="13"/>
      <c r="D527" s="13"/>
      <c r="E527" s="13"/>
      <c r="F527" s="13"/>
      <c r="G527" s="13"/>
      <c r="H527" s="113"/>
      <c r="I527" s="13"/>
      <c r="J527" s="13"/>
      <c r="K527" s="13"/>
      <c r="L527" s="13"/>
      <c r="M527" s="113"/>
      <c r="N527" s="13"/>
      <c r="O527" s="13"/>
      <c r="P527" s="13"/>
      <c r="Q527" s="13"/>
      <c r="R527" s="113"/>
    </row>
    <row r="528" spans="1:18">
      <c r="A528" s="264" t="s">
        <v>245</v>
      </c>
      <c r="B528" s="282"/>
      <c r="C528" s="40"/>
      <c r="D528" s="40"/>
      <c r="E528" s="40"/>
      <c r="F528" s="40"/>
      <c r="G528" s="40"/>
      <c r="H528" s="283"/>
      <c r="I528" s="40"/>
      <c r="J528" s="40"/>
      <c r="K528" s="40"/>
      <c r="L528" s="40"/>
      <c r="M528" s="283"/>
      <c r="N528" s="40"/>
      <c r="O528" s="40"/>
      <c r="P528" s="40"/>
      <c r="Q528" s="40"/>
      <c r="R528" s="283"/>
    </row>
    <row r="529" spans="1:18">
      <c r="A529" s="265" t="s">
        <v>656</v>
      </c>
      <c r="B529" s="284">
        <f>3-3</f>
        <v>0</v>
      </c>
      <c r="C529" s="251" t="str">
        <f t="shared" ref="C529:C541" si="209">IF(B529=0,"-",3600/B529)</f>
        <v>-</v>
      </c>
      <c r="D529" s="259" t="str">
        <f t="shared" ref="D529:D541" si="210">IFERROR((H529/C529),"-")</f>
        <v>-</v>
      </c>
      <c r="E529" s="251">
        <f t="shared" ref="E529:E541" si="211">IFERROR(ROUNDUP(D529/0.95,0.999),0)</f>
        <v>0</v>
      </c>
      <c r="F529" s="252" t="str">
        <f t="shared" ref="F529:F541" si="212">IFERROR((H529/C529/E529),"-")</f>
        <v>-</v>
      </c>
      <c r="G529" s="37"/>
      <c r="H529" s="285">
        <f>Preencher!AG155</f>
        <v>0</v>
      </c>
      <c r="I529" s="259" t="str">
        <f t="shared" ref="I529:I541" si="213">IFERROR((M529/C529),"-")</f>
        <v>-</v>
      </c>
      <c r="J529" s="251">
        <f t="shared" ref="J529:J541" si="214">IFERROR(ROUNDUP(I529/0.95,0.999),0)</f>
        <v>0</v>
      </c>
      <c r="K529" s="252" t="str">
        <f t="shared" ref="K529:K541" si="215">IFERROR((M529/C529/J529),"-")</f>
        <v>-</v>
      </c>
      <c r="L529" s="37"/>
      <c r="M529" s="285">
        <f>Preencher!AI155</f>
        <v>0</v>
      </c>
      <c r="N529" s="259" t="str">
        <f t="shared" ref="N529:N541" si="216">IFERROR((R529/C529),"-")</f>
        <v>-</v>
      </c>
      <c r="O529" s="251">
        <f t="shared" ref="O529:O541" si="217">IFERROR(ROUNDUP(N529/0.95,0.999),0)</f>
        <v>0</v>
      </c>
      <c r="P529" s="252" t="str">
        <f t="shared" ref="P529:P541" si="218">IFERROR((R529/C529/O529),"-")</f>
        <v>-</v>
      </c>
      <c r="Q529" s="37"/>
      <c r="R529" s="285">
        <f>Preencher!AK159+Preencher!AK160+Preencher!AK162</f>
        <v>0</v>
      </c>
    </row>
    <row r="530" spans="1:18">
      <c r="A530" s="265" t="s">
        <v>657</v>
      </c>
      <c r="B530" s="284">
        <f>3.9</f>
        <v>3.9</v>
      </c>
      <c r="C530" s="251">
        <f t="shared" si="209"/>
        <v>923.07692307692309</v>
      </c>
      <c r="D530" s="259" t="str">
        <f>IFERROR((H530/C530/G531),"-")</f>
        <v>-</v>
      </c>
      <c r="E530" s="251">
        <f>IFERROR(ROUNDUP(D530/0.95,0.999),0)*G531</f>
        <v>0</v>
      </c>
      <c r="F530" s="252" t="str">
        <f t="shared" si="212"/>
        <v>-</v>
      </c>
      <c r="G530" s="37"/>
      <c r="H530" s="285">
        <f>Preencher!$B$138*Preencher!$C$158+(Preencher!$B$138*Preencher!$C$153)</f>
        <v>0</v>
      </c>
      <c r="I530" s="259" t="str">
        <f>IFERROR((M530/C530/L531),"-")</f>
        <v>-</v>
      </c>
      <c r="J530" s="251">
        <f>IFERROR(ROUNDUP(I530/0.95,0.999),0)*L531</f>
        <v>0</v>
      </c>
      <c r="K530" s="252" t="str">
        <f t="shared" si="215"/>
        <v>-</v>
      </c>
      <c r="L530" s="37"/>
      <c r="M530" s="285">
        <f>Preencher!$C$138*Preencher!$D$158+(Preencher!$C$138*Preencher!$D$153)</f>
        <v>0</v>
      </c>
      <c r="N530" s="259">
        <f t="shared" si="216"/>
        <v>0</v>
      </c>
      <c r="O530" s="251">
        <f t="shared" si="217"/>
        <v>0</v>
      </c>
      <c r="P530" s="252" t="str">
        <f t="shared" si="218"/>
        <v>-</v>
      </c>
      <c r="Q530" s="37"/>
      <c r="R530" s="285">
        <f>Preencher!$D$138*Preencher!$E$158</f>
        <v>0</v>
      </c>
    </row>
    <row r="531" spans="1:18">
      <c r="A531" s="265" t="s">
        <v>658</v>
      </c>
      <c r="B531" s="284">
        <f>2.9+1</f>
        <v>3.9</v>
      </c>
      <c r="C531" s="251">
        <f t="shared" si="209"/>
        <v>923.07692307692309</v>
      </c>
      <c r="D531" s="259" t="str">
        <f>IFERROR((H531/C531/G531),"-")</f>
        <v>-</v>
      </c>
      <c r="E531" s="251">
        <f>IFERROR(ROUNDUP(D531/0.95,0.999),0)*G531</f>
        <v>0</v>
      </c>
      <c r="F531" s="772" t="str">
        <f t="shared" si="212"/>
        <v>-</v>
      </c>
      <c r="G531" s="661">
        <f>Preencher!B144</f>
        <v>0</v>
      </c>
      <c r="H531" s="285">
        <f>Preencher!$B$138*Preencher!$C$158+(Preencher!$B$138*Preencher!$C$153)</f>
        <v>0</v>
      </c>
      <c r="I531" s="259" t="str">
        <f>IFERROR((M531/C531/L531),"-")</f>
        <v>-</v>
      </c>
      <c r="J531" s="729">
        <f>IFERROR(ROUNDUP(I531/0.95,0.999),0)*L531</f>
        <v>0</v>
      </c>
      <c r="K531" s="252" t="str">
        <f>IFERROR((M531/C531/J531),"-")</f>
        <v>-</v>
      </c>
      <c r="L531" s="661">
        <f>Preencher!C144</f>
        <v>0</v>
      </c>
      <c r="M531" s="285">
        <f>Preencher!$C$138*Preencher!$D$158+(Preencher!$C$138*Preencher!$D$153)</f>
        <v>0</v>
      </c>
      <c r="N531" s="259">
        <f>IFERROR((R531/C531),"-")</f>
        <v>0</v>
      </c>
      <c r="O531" s="251">
        <f>IFERROR(ROUNDUP(N531/0.95,0.999),0)</f>
        <v>0</v>
      </c>
      <c r="P531" s="252" t="str">
        <f>IFERROR((R531/C531/O531),"-")</f>
        <v>-</v>
      </c>
      <c r="Q531" s="661">
        <f>Preencher!D144</f>
        <v>0</v>
      </c>
      <c r="R531" s="285">
        <f>(Preencher!$D$138*Preencher!$E$158)+R532</f>
        <v>0</v>
      </c>
    </row>
    <row r="532" spans="1:18">
      <c r="A532" s="265" t="s">
        <v>660</v>
      </c>
      <c r="B532" s="284">
        <f>3.6</f>
        <v>3.6</v>
      </c>
      <c r="C532" s="251">
        <f t="shared" si="209"/>
        <v>1000</v>
      </c>
      <c r="D532" s="259">
        <f t="shared" si="210"/>
        <v>0</v>
      </c>
      <c r="E532" s="251">
        <f>IFERROR(ROUNDUP(D532/0.95,0.999),0)*G531</f>
        <v>0</v>
      </c>
      <c r="F532" s="252" t="str">
        <f t="shared" si="212"/>
        <v>-</v>
      </c>
      <c r="G532" s="37"/>
      <c r="H532" s="285">
        <f>Preencher!$B$138*Preencher!$C$158*40%</f>
        <v>0</v>
      </c>
      <c r="I532" s="259">
        <f t="shared" si="213"/>
        <v>0</v>
      </c>
      <c r="J532" s="251">
        <f>IFERROR(ROUNDUP(I532/0.95,0.999),0)*L531</f>
        <v>0</v>
      </c>
      <c r="K532" s="252" t="str">
        <f t="shared" si="215"/>
        <v>-</v>
      </c>
      <c r="L532" s="37"/>
      <c r="M532" s="285">
        <f>Preencher!$C$138*Preencher!$D$158*40%</f>
        <v>0</v>
      </c>
      <c r="N532" s="259">
        <f t="shared" si="216"/>
        <v>0</v>
      </c>
      <c r="O532" s="251">
        <f t="shared" si="217"/>
        <v>0</v>
      </c>
      <c r="P532" s="252" t="str">
        <f t="shared" si="218"/>
        <v>-</v>
      </c>
      <c r="Q532" s="37"/>
      <c r="R532" s="285">
        <f>Preencher!$D$138*Preencher!$E$158*40%</f>
        <v>0</v>
      </c>
    </row>
    <row r="533" spans="1:18">
      <c r="A533" s="265" t="s">
        <v>659</v>
      </c>
      <c r="B533" s="284">
        <v>4.8</v>
      </c>
      <c r="C533" s="251">
        <f t="shared" si="209"/>
        <v>750</v>
      </c>
      <c r="D533" s="259">
        <f t="shared" si="210"/>
        <v>0</v>
      </c>
      <c r="E533" s="251">
        <f t="shared" si="211"/>
        <v>0</v>
      </c>
      <c r="F533" s="252" t="str">
        <f t="shared" si="212"/>
        <v>-</v>
      </c>
      <c r="G533" s="37"/>
      <c r="H533" s="285"/>
      <c r="I533" s="259">
        <f t="shared" si="213"/>
        <v>0</v>
      </c>
      <c r="J533" s="251">
        <f t="shared" si="214"/>
        <v>0</v>
      </c>
      <c r="K533" s="252" t="str">
        <f t="shared" si="215"/>
        <v>-</v>
      </c>
      <c r="L533" s="37"/>
      <c r="M533" s="285"/>
      <c r="N533" s="259">
        <f t="shared" si="216"/>
        <v>0</v>
      </c>
      <c r="O533" s="251">
        <f t="shared" si="217"/>
        <v>0</v>
      </c>
      <c r="P533" s="252" t="str">
        <f t="shared" si="218"/>
        <v>-</v>
      </c>
      <c r="Q533" s="37"/>
      <c r="R533" s="285"/>
    </row>
    <row r="534" spans="1:18">
      <c r="A534" s="265" t="s">
        <v>661</v>
      </c>
      <c r="B534" s="284">
        <f>IF((MEDIAN(H534,M534,R534))&lt;171,28.0101)</f>
        <v>28.010100000000001</v>
      </c>
      <c r="C534" s="251">
        <f t="shared" si="209"/>
        <v>128.52506774342112</v>
      </c>
      <c r="D534" s="259">
        <f t="shared" si="210"/>
        <v>0</v>
      </c>
      <c r="E534" s="251">
        <f t="shared" si="211"/>
        <v>0</v>
      </c>
      <c r="F534" s="252" t="str">
        <f t="shared" si="212"/>
        <v>-</v>
      </c>
      <c r="G534" s="37"/>
      <c r="H534" s="285">
        <f>Preencher!AG156+Preencher!AG149</f>
        <v>0</v>
      </c>
      <c r="I534" s="259">
        <f t="shared" si="213"/>
        <v>0</v>
      </c>
      <c r="J534" s="251">
        <f t="shared" si="214"/>
        <v>0</v>
      </c>
      <c r="K534" s="252" t="str">
        <f t="shared" si="215"/>
        <v>-</v>
      </c>
      <c r="L534" s="37"/>
      <c r="M534" s="285">
        <f>Preencher!AI156+Preencher!AI149</f>
        <v>0</v>
      </c>
      <c r="N534" s="259">
        <f t="shared" si="216"/>
        <v>0</v>
      </c>
      <c r="O534" s="251">
        <f t="shared" si="217"/>
        <v>0</v>
      </c>
      <c r="P534" s="252" t="str">
        <f t="shared" si="218"/>
        <v>-</v>
      </c>
      <c r="Q534" s="37"/>
      <c r="R534" s="285">
        <f>Preencher!AK156</f>
        <v>0</v>
      </c>
    </row>
    <row r="535" spans="1:18">
      <c r="A535" s="265" t="s">
        <v>662</v>
      </c>
      <c r="B535" s="381"/>
      <c r="C535" s="251" t="str">
        <f t="shared" si="209"/>
        <v>-</v>
      </c>
      <c r="D535" s="259" t="str">
        <f t="shared" si="210"/>
        <v>-</v>
      </c>
      <c r="E535" s="251">
        <f t="shared" si="211"/>
        <v>0</v>
      </c>
      <c r="F535" s="252" t="str">
        <f t="shared" si="212"/>
        <v>-</v>
      </c>
      <c r="G535" s="37"/>
      <c r="H535" s="285"/>
      <c r="I535" s="259" t="str">
        <f t="shared" si="213"/>
        <v>-</v>
      </c>
      <c r="J535" s="251">
        <f t="shared" si="214"/>
        <v>0</v>
      </c>
      <c r="K535" s="252" t="str">
        <f t="shared" si="215"/>
        <v>-</v>
      </c>
      <c r="L535" s="37"/>
      <c r="M535" s="285"/>
      <c r="N535" s="259" t="str">
        <f t="shared" si="216"/>
        <v>-</v>
      </c>
      <c r="O535" s="251">
        <f t="shared" si="217"/>
        <v>0</v>
      </c>
      <c r="P535" s="252" t="str">
        <f t="shared" si="218"/>
        <v>-</v>
      </c>
      <c r="Q535" s="37"/>
      <c r="R535" s="285"/>
    </row>
    <row r="536" spans="1:18">
      <c r="A536" s="265" t="s">
        <v>663</v>
      </c>
      <c r="B536" s="606"/>
      <c r="C536" s="251" t="str">
        <f t="shared" si="209"/>
        <v>-</v>
      </c>
      <c r="D536" s="259" t="str">
        <f t="shared" si="210"/>
        <v>-</v>
      </c>
      <c r="E536" s="251">
        <f t="shared" si="211"/>
        <v>0</v>
      </c>
      <c r="F536" s="252" t="str">
        <f t="shared" si="212"/>
        <v>-</v>
      </c>
      <c r="G536" s="37"/>
      <c r="H536" s="285"/>
      <c r="I536" s="259" t="str">
        <f t="shared" si="213"/>
        <v>-</v>
      </c>
      <c r="J536" s="251">
        <f t="shared" si="214"/>
        <v>0</v>
      </c>
      <c r="K536" s="252" t="str">
        <f t="shared" si="215"/>
        <v>-</v>
      </c>
      <c r="L536" s="37"/>
      <c r="M536" s="285"/>
      <c r="N536" s="259" t="str">
        <f t="shared" si="216"/>
        <v>-</v>
      </c>
      <c r="O536" s="251">
        <f t="shared" si="217"/>
        <v>0</v>
      </c>
      <c r="P536" s="252" t="str">
        <f t="shared" si="218"/>
        <v>-</v>
      </c>
      <c r="Q536" s="37"/>
      <c r="R536" s="285"/>
    </row>
    <row r="537" spans="1:18">
      <c r="A537" s="265" t="s">
        <v>664</v>
      </c>
      <c r="B537" s="284"/>
      <c r="C537" s="251" t="str">
        <f t="shared" si="209"/>
        <v>-</v>
      </c>
      <c r="D537" s="259" t="str">
        <f t="shared" si="210"/>
        <v>-</v>
      </c>
      <c r="E537" s="251">
        <f t="shared" si="211"/>
        <v>0</v>
      </c>
      <c r="F537" s="252" t="str">
        <f t="shared" si="212"/>
        <v>-</v>
      </c>
      <c r="G537" s="37"/>
      <c r="H537" s="285"/>
      <c r="I537" s="259" t="str">
        <f t="shared" si="213"/>
        <v>-</v>
      </c>
      <c r="J537" s="251">
        <f t="shared" si="214"/>
        <v>0</v>
      </c>
      <c r="K537" s="252" t="str">
        <f t="shared" si="215"/>
        <v>-</v>
      </c>
      <c r="L537" s="37"/>
      <c r="M537" s="285"/>
      <c r="N537" s="259" t="str">
        <f t="shared" si="216"/>
        <v>-</v>
      </c>
      <c r="O537" s="251">
        <f t="shared" si="217"/>
        <v>0</v>
      </c>
      <c r="P537" s="252" t="str">
        <f t="shared" si="218"/>
        <v>-</v>
      </c>
      <c r="Q537" s="37"/>
      <c r="R537" s="285"/>
    </row>
    <row r="538" spans="1:18">
      <c r="A538" s="265" t="s">
        <v>665</v>
      </c>
      <c r="B538" s="284">
        <v>28.4</v>
      </c>
      <c r="C538" s="251">
        <f t="shared" si="209"/>
        <v>126.7605633802817</v>
      </c>
      <c r="D538" s="259">
        <f t="shared" si="210"/>
        <v>0</v>
      </c>
      <c r="E538" s="251">
        <f t="shared" si="211"/>
        <v>0</v>
      </c>
      <c r="F538" s="252" t="str">
        <f t="shared" si="212"/>
        <v>-</v>
      </c>
      <c r="G538" s="37"/>
      <c r="H538" s="285">
        <f>Preencher!$B$138*Preencher!$C$158*Preencher!$I$23*13%/7.5+(Preencher!$B$138*Preencher!$C$153*Preencher!$I$23*13%/7.5)</f>
        <v>0</v>
      </c>
      <c r="I538" s="259">
        <f t="shared" si="213"/>
        <v>0</v>
      </c>
      <c r="J538" s="251">
        <f t="shared" si="214"/>
        <v>0</v>
      </c>
      <c r="K538" s="252" t="str">
        <f t="shared" si="215"/>
        <v>-</v>
      </c>
      <c r="L538" s="37"/>
      <c r="M538" s="285">
        <f>Preencher!$C$138*Preencher!$D$158*Preencher!$J$23*13%/7.5+(Preencher!$C$138*Preencher!$D$153*Preencher!$J$23*13%/7.5)</f>
        <v>0</v>
      </c>
      <c r="N538" s="259">
        <f t="shared" si="216"/>
        <v>0</v>
      </c>
      <c r="O538" s="251">
        <f t="shared" si="217"/>
        <v>0</v>
      </c>
      <c r="P538" s="252" t="str">
        <f t="shared" si="218"/>
        <v>-</v>
      </c>
      <c r="Q538" s="37"/>
      <c r="R538" s="285">
        <f>Preencher!$D$138*Preencher!$E$158*Preencher!$K$23*11%/7.5</f>
        <v>0</v>
      </c>
    </row>
    <row r="539" spans="1:18">
      <c r="A539" s="265" t="s">
        <v>666</v>
      </c>
      <c r="B539" s="284"/>
      <c r="C539" s="251" t="str">
        <f t="shared" si="209"/>
        <v>-</v>
      </c>
      <c r="D539" s="259" t="str">
        <f t="shared" si="210"/>
        <v>-</v>
      </c>
      <c r="E539" s="251">
        <f t="shared" si="211"/>
        <v>0</v>
      </c>
      <c r="F539" s="252" t="str">
        <f t="shared" si="212"/>
        <v>-</v>
      </c>
      <c r="G539" s="37"/>
      <c r="H539" s="285"/>
      <c r="I539" s="259" t="str">
        <f t="shared" si="213"/>
        <v>-</v>
      </c>
      <c r="J539" s="251">
        <f t="shared" si="214"/>
        <v>0</v>
      </c>
      <c r="K539" s="252" t="str">
        <f t="shared" si="215"/>
        <v>-</v>
      </c>
      <c r="L539" s="37"/>
      <c r="M539" s="285"/>
      <c r="N539" s="259" t="str">
        <f t="shared" si="216"/>
        <v>-</v>
      </c>
      <c r="O539" s="251">
        <f t="shared" si="217"/>
        <v>0</v>
      </c>
      <c r="P539" s="252" t="str">
        <f t="shared" si="218"/>
        <v>-</v>
      </c>
      <c r="Q539" s="37"/>
      <c r="R539" s="285"/>
    </row>
    <row r="540" spans="1:18">
      <c r="A540" s="265" t="s">
        <v>667</v>
      </c>
      <c r="B540" s="284"/>
      <c r="C540" s="251" t="str">
        <f t="shared" si="209"/>
        <v>-</v>
      </c>
      <c r="D540" s="259" t="str">
        <f t="shared" si="210"/>
        <v>-</v>
      </c>
      <c r="E540" s="251">
        <f t="shared" si="211"/>
        <v>0</v>
      </c>
      <c r="F540" s="252" t="str">
        <f t="shared" si="212"/>
        <v>-</v>
      </c>
      <c r="G540" s="37"/>
      <c r="H540" s="285"/>
      <c r="I540" s="259" t="str">
        <f t="shared" si="213"/>
        <v>-</v>
      </c>
      <c r="J540" s="251">
        <f t="shared" si="214"/>
        <v>0</v>
      </c>
      <c r="K540" s="252" t="str">
        <f t="shared" si="215"/>
        <v>-</v>
      </c>
      <c r="L540" s="37"/>
      <c r="M540" s="285"/>
      <c r="N540" s="259" t="str">
        <f t="shared" si="216"/>
        <v>-</v>
      </c>
      <c r="O540" s="251">
        <f t="shared" si="217"/>
        <v>0</v>
      </c>
      <c r="P540" s="252" t="str">
        <f t="shared" si="218"/>
        <v>-</v>
      </c>
      <c r="Q540" s="37"/>
      <c r="R540" s="285"/>
    </row>
    <row r="541" spans="1:18">
      <c r="A541" s="265" t="s">
        <v>655</v>
      </c>
      <c r="B541" s="284">
        <f>3384/2</f>
        <v>1692</v>
      </c>
      <c r="C541" s="251">
        <f t="shared" si="209"/>
        <v>2.1276595744680851</v>
      </c>
      <c r="D541" s="259">
        <f t="shared" si="210"/>
        <v>0</v>
      </c>
      <c r="E541" s="251">
        <f t="shared" si="211"/>
        <v>0</v>
      </c>
      <c r="F541" s="252" t="str">
        <f t="shared" si="212"/>
        <v>-</v>
      </c>
      <c r="G541" s="37"/>
      <c r="H541" s="285">
        <f>IF(H531=0,0,Preencher!$B$144)</f>
        <v>0</v>
      </c>
      <c r="I541" s="259">
        <f t="shared" si="213"/>
        <v>0</v>
      </c>
      <c r="J541" s="251">
        <f t="shared" si="214"/>
        <v>0</v>
      </c>
      <c r="K541" s="252" t="str">
        <f t="shared" si="215"/>
        <v>-</v>
      </c>
      <c r="L541" s="37"/>
      <c r="M541" s="285">
        <f>IF(M531=0,0,Preencher!$B$144)</f>
        <v>0</v>
      </c>
      <c r="N541" s="259">
        <f t="shared" si="216"/>
        <v>0</v>
      </c>
      <c r="O541" s="251">
        <f t="shared" si="217"/>
        <v>0</v>
      </c>
      <c r="P541" s="252" t="str">
        <f t="shared" si="218"/>
        <v>-</v>
      </c>
      <c r="Q541" s="37"/>
      <c r="R541" s="285">
        <f>IF(R531=0,0,Preencher!$B$144)</f>
        <v>0</v>
      </c>
    </row>
    <row r="542" spans="1:18">
      <c r="A542" s="265"/>
      <c r="B542" s="286"/>
      <c r="C542" s="37"/>
      <c r="D542" s="37"/>
      <c r="E542" s="37"/>
      <c r="F542" s="37"/>
      <c r="G542" s="37"/>
      <c r="H542" s="287"/>
      <c r="I542" s="37"/>
      <c r="J542" s="37"/>
      <c r="K542" s="37"/>
      <c r="L542" s="37"/>
      <c r="M542" s="287"/>
      <c r="N542" s="37"/>
      <c r="O542" s="37"/>
      <c r="P542" s="37"/>
      <c r="Q542" s="37"/>
      <c r="R542" s="287"/>
    </row>
    <row r="543" spans="1:18">
      <c r="A543" s="270" t="s">
        <v>723</v>
      </c>
      <c r="B543" s="291"/>
      <c r="C543" s="39"/>
      <c r="D543" s="39"/>
      <c r="E543" s="39"/>
      <c r="F543" s="39"/>
      <c r="G543" s="39"/>
      <c r="H543" s="292"/>
      <c r="I543" s="39"/>
      <c r="J543" s="39"/>
      <c r="K543" s="39"/>
      <c r="L543" s="39"/>
      <c r="M543" s="292"/>
      <c r="N543" s="39"/>
      <c r="O543" s="39"/>
      <c r="P543" s="39"/>
      <c r="Q543" s="39"/>
      <c r="R543" s="292"/>
    </row>
    <row r="544" spans="1:18">
      <c r="A544" s="265"/>
      <c r="B544" s="286"/>
      <c r="C544" s="37"/>
      <c r="D544" s="37"/>
      <c r="E544" s="37"/>
      <c r="F544" s="37"/>
      <c r="G544" s="37"/>
      <c r="H544" s="287"/>
      <c r="I544" s="37"/>
      <c r="J544" s="37"/>
      <c r="K544" s="37"/>
      <c r="L544" s="37"/>
      <c r="M544" s="287"/>
      <c r="N544" s="37"/>
      <c r="O544" s="37"/>
      <c r="P544" s="37"/>
      <c r="Q544" s="37"/>
      <c r="R544" s="287"/>
    </row>
    <row r="545" spans="1:18">
      <c r="A545" s="265"/>
      <c r="B545" s="286"/>
      <c r="C545" s="37"/>
      <c r="D545" s="37"/>
      <c r="E545" s="37"/>
      <c r="F545" s="37"/>
      <c r="G545" s="37"/>
      <c r="H545" s="287"/>
      <c r="I545" s="37"/>
      <c r="J545" s="37"/>
      <c r="K545" s="37"/>
      <c r="L545" s="37"/>
      <c r="M545" s="287"/>
      <c r="N545" s="37"/>
      <c r="O545" s="37"/>
      <c r="P545" s="37"/>
      <c r="Q545" s="37"/>
      <c r="R545" s="287"/>
    </row>
    <row r="546" spans="1:18">
      <c r="A546" s="265"/>
      <c r="B546" s="286"/>
      <c r="C546" s="37"/>
      <c r="D546" s="37"/>
      <c r="E546" s="37"/>
      <c r="F546" s="37"/>
      <c r="G546" s="37"/>
      <c r="H546" s="287"/>
      <c r="I546" s="37"/>
      <c r="J546" s="37"/>
      <c r="K546" s="37"/>
      <c r="L546" s="37"/>
      <c r="M546" s="287"/>
      <c r="N546" s="37"/>
      <c r="O546" s="37"/>
      <c r="P546" s="37"/>
      <c r="Q546" s="37"/>
      <c r="R546" s="287"/>
    </row>
    <row r="547" spans="1:18">
      <c r="A547" s="265"/>
      <c r="B547" s="286"/>
      <c r="C547" s="37"/>
      <c r="D547" s="37"/>
      <c r="E547" s="37"/>
      <c r="F547" s="37"/>
      <c r="G547" s="37"/>
      <c r="H547" s="287"/>
      <c r="I547" s="37"/>
      <c r="J547" s="37"/>
      <c r="K547" s="37"/>
      <c r="L547" s="37"/>
      <c r="M547" s="287"/>
      <c r="N547" s="37"/>
      <c r="O547" s="37"/>
      <c r="P547" s="37"/>
      <c r="Q547" s="37"/>
      <c r="R547" s="287"/>
    </row>
    <row r="548" spans="1:18">
      <c r="A548" s="265"/>
      <c r="B548" s="286"/>
      <c r="C548" s="37"/>
      <c r="D548" s="37"/>
      <c r="E548" s="37"/>
      <c r="F548" s="37"/>
      <c r="G548" s="37"/>
      <c r="H548" s="287"/>
      <c r="I548" s="37"/>
      <c r="J548" s="37"/>
      <c r="K548" s="37"/>
      <c r="L548" s="37"/>
      <c r="M548" s="287"/>
      <c r="N548" s="37"/>
      <c r="O548" s="37"/>
      <c r="P548" s="37"/>
      <c r="Q548" s="37"/>
      <c r="R548" s="287"/>
    </row>
    <row r="549" spans="1:18">
      <c r="A549" s="268"/>
      <c r="B549" s="288"/>
      <c r="C549" s="13"/>
      <c r="D549" s="13"/>
      <c r="E549" s="13"/>
      <c r="F549" s="13"/>
      <c r="G549" s="13"/>
      <c r="H549" s="113"/>
      <c r="I549" s="13"/>
      <c r="J549" s="13"/>
      <c r="K549" s="13"/>
      <c r="L549" s="13"/>
      <c r="M549" s="113"/>
      <c r="N549" s="13"/>
      <c r="O549" s="13"/>
      <c r="P549" s="13"/>
      <c r="Q549" s="13"/>
      <c r="R549" s="113"/>
    </row>
    <row r="550" spans="1:18">
      <c r="A550" s="264" t="s">
        <v>248</v>
      </c>
      <c r="B550" s="282"/>
      <c r="C550" s="40"/>
      <c r="D550" s="40"/>
      <c r="E550" s="40"/>
      <c r="F550" s="40"/>
      <c r="G550" s="40"/>
      <c r="H550" s="283"/>
      <c r="I550" s="40"/>
      <c r="J550" s="40"/>
      <c r="K550" s="40"/>
      <c r="L550" s="40"/>
      <c r="M550" s="283"/>
      <c r="N550" s="40"/>
      <c r="O550" s="40"/>
      <c r="P550" s="40"/>
      <c r="Q550" s="40"/>
      <c r="R550" s="283"/>
    </row>
    <row r="551" spans="1:18">
      <c r="A551" s="271" t="s">
        <v>643</v>
      </c>
      <c r="B551" s="284"/>
      <c r="C551" s="251" t="str">
        <f>IF(B551=0,"-",3600/B551)</f>
        <v>-</v>
      </c>
      <c r="D551" s="259" t="str">
        <f>IFERROR((H551/C551),"-")</f>
        <v>-</v>
      </c>
      <c r="E551" s="251">
        <f>IFERROR(ROUNDUP(D551/0.95,0.999),0)</f>
        <v>0</v>
      </c>
      <c r="F551" s="252" t="str">
        <f>IFERROR((H551/C551/E551),"-")</f>
        <v>-</v>
      </c>
      <c r="G551" s="37"/>
      <c r="H551" s="285"/>
      <c r="I551" s="259" t="str">
        <f>IFERROR((M551/C551),"-")</f>
        <v>-</v>
      </c>
      <c r="J551" s="251">
        <f>IFERROR(ROUNDUP(I551/0.95,0.999),0)</f>
        <v>0</v>
      </c>
      <c r="K551" s="252" t="str">
        <f>IFERROR((M551/C551/J551),"-")</f>
        <v>-</v>
      </c>
      <c r="L551" s="37"/>
      <c r="M551" s="285"/>
      <c r="N551" s="259" t="str">
        <f>IFERROR((R551/C551),"-")</f>
        <v>-</v>
      </c>
      <c r="O551" s="251">
        <f>IFERROR(ROUNDUP(N551/0.95,0.999),0)</f>
        <v>0</v>
      </c>
      <c r="P551" s="252" t="str">
        <f>IFERROR((R551/C551/O551),"-")</f>
        <v>-</v>
      </c>
      <c r="Q551" s="37"/>
      <c r="R551" s="285"/>
    </row>
    <row r="552" spans="1:18">
      <c r="A552" s="271" t="s">
        <v>644</v>
      </c>
      <c r="B552" s="284">
        <f>1.83-0.83</f>
        <v>1</v>
      </c>
      <c r="C552" s="251">
        <f>IF(B552=0,"-",3600/B552)</f>
        <v>3600</v>
      </c>
      <c r="D552" s="259">
        <f>IFERROR((H552/C552),"-")</f>
        <v>0</v>
      </c>
      <c r="E552" s="251">
        <f>IFERROR(ROUNDUP(D552/0.95,0.999),0)</f>
        <v>0</v>
      </c>
      <c r="F552" s="252" t="str">
        <f>IFERROR((H552/C552/E552),"-")</f>
        <v>-</v>
      </c>
      <c r="G552" s="37"/>
      <c r="H552" s="285">
        <f>Preencher!$B$138*Preencher!$C$156</f>
        <v>0</v>
      </c>
      <c r="I552" s="259">
        <f>IFERROR((M552/C552),"-")</f>
        <v>0</v>
      </c>
      <c r="J552" s="251">
        <f>IFERROR(ROUNDUP(I552/0.95,0.999),0)</f>
        <v>0</v>
      </c>
      <c r="K552" s="252" t="str">
        <f>IFERROR((M552/C552/J552),"-")</f>
        <v>-</v>
      </c>
      <c r="L552" s="37"/>
      <c r="M552" s="285">
        <f>Preencher!$C$138*Preencher!$D$156</f>
        <v>0</v>
      </c>
      <c r="N552" s="259">
        <f>IFERROR((R552/C552),"-")</f>
        <v>0</v>
      </c>
      <c r="O552" s="251">
        <f>IFERROR(ROUNDUP(N552/0.95,0.999),0)</f>
        <v>0</v>
      </c>
      <c r="P552" s="252" t="str">
        <f>IFERROR((R552/C552/O552),"-")</f>
        <v>-</v>
      </c>
      <c r="Q552" s="37"/>
      <c r="R552" s="285">
        <f>Preencher!$D$138*Preencher!$E$156</f>
        <v>0</v>
      </c>
    </row>
    <row r="553" spans="1:18">
      <c r="A553" s="271" t="s">
        <v>332</v>
      </c>
      <c r="B553" s="284">
        <f>2.75-1</f>
        <v>1.75</v>
      </c>
      <c r="C553" s="251">
        <f>IF(B553=0,"-",3600/B553)</f>
        <v>2057.1428571428573</v>
      </c>
      <c r="D553" s="259">
        <f>IFERROR((H553/C553),"-")</f>
        <v>0</v>
      </c>
      <c r="E553" s="251">
        <f>IFERROR(ROUNDUP(D553/0.95,0.999),0)</f>
        <v>0</v>
      </c>
      <c r="F553" s="252" t="str">
        <f>IFERROR((H553/C553/E553),"-")</f>
        <v>-</v>
      </c>
      <c r="G553" s="37"/>
      <c r="H553" s="285">
        <f>Preencher!$B$138*Preencher!$C$156</f>
        <v>0</v>
      </c>
      <c r="I553" s="259">
        <f>IFERROR((M553/C553),"-")</f>
        <v>0</v>
      </c>
      <c r="J553" s="251">
        <f>IFERROR(ROUNDUP(I553/0.95,0.999),0)</f>
        <v>0</v>
      </c>
      <c r="K553" s="252" t="str">
        <f>IFERROR((M553/C553/J553),"-")</f>
        <v>-</v>
      </c>
      <c r="L553" s="37"/>
      <c r="M553" s="285">
        <f>Preencher!$C$138*Preencher!$D$156</f>
        <v>0</v>
      </c>
      <c r="N553" s="259">
        <f>IFERROR((R553/C553),"-")</f>
        <v>0</v>
      </c>
      <c r="O553" s="251">
        <f>IFERROR(ROUNDUP(N553/0.95,0.999),0)</f>
        <v>0</v>
      </c>
      <c r="P553" s="252" t="str">
        <f>IFERROR((R553/C553/O553),"-")</f>
        <v>-</v>
      </c>
      <c r="Q553" s="37"/>
      <c r="R553" s="285">
        <f>Preencher!$D$138*Preencher!$E$156</f>
        <v>0</v>
      </c>
    </row>
    <row r="554" spans="1:18">
      <c r="A554" s="271" t="s">
        <v>645</v>
      </c>
      <c r="B554" s="284">
        <v>2.15</v>
      </c>
      <c r="C554" s="251">
        <f>IF(B554=0,"-",3600/B554)</f>
        <v>1674.4186046511629</v>
      </c>
      <c r="D554" s="259">
        <f>IFERROR((H554/C554),"-")</f>
        <v>0</v>
      </c>
      <c r="E554" s="251">
        <f>IFERROR(ROUNDUP(D554/0.95,0.999),0)</f>
        <v>0</v>
      </c>
      <c r="F554" s="252" t="str">
        <f>IFERROR((H554/C554/E554),"-")</f>
        <v>-</v>
      </c>
      <c r="G554" s="37"/>
      <c r="H554" s="285">
        <f>Preencher!$B$138*Preencher!$C$156</f>
        <v>0</v>
      </c>
      <c r="I554" s="259">
        <f>IFERROR((M554/C554),"-")</f>
        <v>0</v>
      </c>
      <c r="J554" s="251">
        <f>IFERROR(ROUNDUP(I554/0.95,0.999),0)</f>
        <v>0</v>
      </c>
      <c r="K554" s="252" t="str">
        <f>IFERROR((M554/C554/J554),"-")</f>
        <v>-</v>
      </c>
      <c r="L554" s="37"/>
      <c r="M554" s="285">
        <f>Preencher!$C$138*Preencher!$D$156</f>
        <v>0</v>
      </c>
      <c r="N554" s="259">
        <f>IFERROR((R554/C554),"-")</f>
        <v>0</v>
      </c>
      <c r="O554" s="251">
        <f>IFERROR(ROUNDUP(N554/0.95,0.999),0)</f>
        <v>0</v>
      </c>
      <c r="P554" s="252" t="str">
        <f>IFERROR((R554/C554/O554),"-")</f>
        <v>-</v>
      </c>
      <c r="Q554" s="37"/>
      <c r="R554" s="285">
        <f>Preencher!$D$138*Preencher!$E$156</f>
        <v>0</v>
      </c>
    </row>
    <row r="555" spans="1:18">
      <c r="A555" s="271" t="s">
        <v>821</v>
      </c>
      <c r="B555" s="284">
        <v>26.400000000000002</v>
      </c>
      <c r="C555" s="251">
        <f>IF(B555=0,"-",3600/B555)</f>
        <v>136.36363636363635</v>
      </c>
      <c r="D555" s="259">
        <f>IFERROR((H555/C555),"-")</f>
        <v>0</v>
      </c>
      <c r="E555" s="251">
        <f>IFERROR(ROUNDUP(D555/0.95,0.999),0)</f>
        <v>0</v>
      </c>
      <c r="F555" s="252" t="str">
        <f>IFERROR((H555/C555/E555),"-")</f>
        <v>-</v>
      </c>
      <c r="G555" s="37"/>
      <c r="H555" s="285">
        <f>Preencher!Z154</f>
        <v>0</v>
      </c>
      <c r="I555" s="259">
        <f>IFERROR((M555/C555),"-")</f>
        <v>0</v>
      </c>
      <c r="J555" s="251">
        <f>IFERROR(ROUNDUP(I555/0.95,0.999),0)</f>
        <v>0</v>
      </c>
      <c r="K555" s="252" t="str">
        <f>IFERROR((M555/C555/J555),"-")</f>
        <v>-</v>
      </c>
      <c r="L555" s="37"/>
      <c r="M555" s="285">
        <f>Preencher!AC154</f>
        <v>0</v>
      </c>
      <c r="N555" s="259">
        <f>IFERROR((R555/C555),"-")</f>
        <v>0</v>
      </c>
      <c r="O555" s="251">
        <f>IFERROR(ROUNDUP(N555/0.95,0.999),0)</f>
        <v>0</v>
      </c>
      <c r="P555" s="252" t="str">
        <f>IFERROR((R555/C555/O555),"-")</f>
        <v>-</v>
      </c>
      <c r="Q555" s="37"/>
      <c r="R555" s="285">
        <f>Preencher!AF154</f>
        <v>0</v>
      </c>
    </row>
    <row r="556" spans="1:18">
      <c r="A556" s="273"/>
      <c r="B556" s="297"/>
      <c r="C556" s="41"/>
      <c r="D556" s="41"/>
      <c r="E556" s="41"/>
      <c r="F556" s="41"/>
      <c r="G556" s="41"/>
      <c r="H556" s="298"/>
      <c r="I556" s="41"/>
      <c r="J556" s="41"/>
      <c r="K556" s="41"/>
      <c r="L556" s="41"/>
      <c r="M556" s="298"/>
      <c r="N556" s="41"/>
      <c r="O556" s="41"/>
      <c r="P556" s="41"/>
      <c r="Q556" s="41"/>
      <c r="R556" s="298"/>
    </row>
    <row r="557" spans="1:18">
      <c r="A557" s="274" t="s">
        <v>723</v>
      </c>
      <c r="B557" s="299"/>
      <c r="C557" s="47"/>
      <c r="D557" s="47"/>
      <c r="E557" s="47"/>
      <c r="F557" s="47"/>
      <c r="G557" s="47"/>
      <c r="H557" s="300"/>
      <c r="I557" s="47"/>
      <c r="J557" s="47"/>
      <c r="K557" s="47"/>
      <c r="L557" s="47"/>
      <c r="M557" s="300"/>
      <c r="N557" s="47"/>
      <c r="O557" s="47"/>
      <c r="P557" s="47"/>
      <c r="Q557" s="47"/>
      <c r="R557" s="300"/>
    </row>
    <row r="558" spans="1:18">
      <c r="A558" s="273"/>
      <c r="B558" s="297"/>
      <c r="C558" s="41"/>
      <c r="D558" s="41"/>
      <c r="E558" s="41"/>
      <c r="F558" s="41"/>
      <c r="G558" s="41"/>
      <c r="H558" s="298"/>
      <c r="I558" s="41"/>
      <c r="J558" s="41"/>
      <c r="K558" s="41"/>
      <c r="L558" s="41"/>
      <c r="M558" s="298"/>
      <c r="N558" s="41"/>
      <c r="O558" s="41"/>
      <c r="P558" s="41"/>
      <c r="Q558" s="41"/>
      <c r="R558" s="298"/>
    </row>
    <row r="559" spans="1:18">
      <c r="A559" s="273"/>
      <c r="B559" s="297"/>
      <c r="C559" s="41"/>
      <c r="D559" s="41"/>
      <c r="E559" s="41"/>
      <c r="F559" s="41"/>
      <c r="G559" s="41"/>
      <c r="H559" s="298"/>
      <c r="I559" s="41"/>
      <c r="J559" s="41"/>
      <c r="K559" s="41"/>
      <c r="L559" s="41"/>
      <c r="M559" s="298"/>
      <c r="N559" s="41"/>
      <c r="O559" s="41"/>
      <c r="P559" s="41"/>
      <c r="Q559" s="41"/>
      <c r="R559" s="298"/>
    </row>
    <row r="560" spans="1:18">
      <c r="A560" s="273"/>
      <c r="B560" s="297"/>
      <c r="C560" s="41"/>
      <c r="D560" s="41"/>
      <c r="E560" s="41"/>
      <c r="F560" s="41"/>
      <c r="G560" s="41"/>
      <c r="H560" s="298"/>
      <c r="I560" s="41"/>
      <c r="J560" s="41"/>
      <c r="K560" s="41"/>
      <c r="L560" s="41"/>
      <c r="M560" s="298"/>
      <c r="N560" s="41"/>
      <c r="O560" s="41"/>
      <c r="P560" s="41"/>
      <c r="Q560" s="41"/>
      <c r="R560" s="298"/>
    </row>
    <row r="561" spans="1:18">
      <c r="A561" s="273"/>
      <c r="B561" s="297"/>
      <c r="C561" s="41"/>
      <c r="D561" s="41"/>
      <c r="E561" s="41"/>
      <c r="F561" s="41"/>
      <c r="G561" s="41"/>
      <c r="H561" s="298"/>
      <c r="I561" s="41"/>
      <c r="J561" s="41"/>
      <c r="K561" s="41"/>
      <c r="L561" s="41"/>
      <c r="M561" s="298"/>
      <c r="N561" s="41"/>
      <c r="O561" s="41"/>
      <c r="P561" s="41"/>
      <c r="Q561" s="41"/>
      <c r="R561" s="298"/>
    </row>
    <row r="562" spans="1:18">
      <c r="A562" s="273"/>
      <c r="B562" s="297"/>
      <c r="C562" s="41"/>
      <c r="D562" s="41"/>
      <c r="E562" s="41"/>
      <c r="F562" s="41"/>
      <c r="G562" s="41"/>
      <c r="H562" s="298"/>
      <c r="I562" s="41"/>
      <c r="J562" s="41"/>
      <c r="K562" s="41"/>
      <c r="L562" s="41"/>
      <c r="M562" s="298"/>
      <c r="N562" s="41"/>
      <c r="O562" s="41"/>
      <c r="P562" s="41"/>
      <c r="Q562" s="41"/>
      <c r="R562" s="298"/>
    </row>
    <row r="563" spans="1:18">
      <c r="A563" s="273"/>
      <c r="B563" s="297"/>
      <c r="C563" s="41"/>
      <c r="D563" s="41"/>
      <c r="E563" s="41"/>
      <c r="F563" s="41"/>
      <c r="G563" s="41"/>
      <c r="H563" s="298"/>
      <c r="I563" s="41"/>
      <c r="J563" s="41"/>
      <c r="K563" s="41"/>
      <c r="L563" s="41"/>
      <c r="M563" s="298"/>
      <c r="N563" s="41"/>
      <c r="O563" s="41"/>
      <c r="P563" s="41"/>
      <c r="Q563" s="41"/>
      <c r="R563" s="298"/>
    </row>
    <row r="564" spans="1:18">
      <c r="A564" s="264" t="s">
        <v>654</v>
      </c>
      <c r="B564" s="282"/>
      <c r="C564" s="40"/>
      <c r="D564" s="40"/>
      <c r="E564" s="40"/>
      <c r="F564" s="40"/>
      <c r="G564" s="40"/>
      <c r="H564" s="283"/>
      <c r="I564" s="40"/>
      <c r="J564" s="40"/>
      <c r="K564" s="40"/>
      <c r="L564" s="40"/>
      <c r="M564" s="283"/>
      <c r="N564" s="40"/>
      <c r="O564" s="40"/>
      <c r="P564" s="40"/>
      <c r="Q564" s="40"/>
      <c r="R564" s="283"/>
    </row>
    <row r="565" spans="1:18">
      <c r="A565" s="271" t="s">
        <v>646</v>
      </c>
      <c r="B565" s="284">
        <f>20</f>
        <v>20</v>
      </c>
      <c r="C565" s="251">
        <f>IF(B565=0,"-",3600/B565)</f>
        <v>180</v>
      </c>
      <c r="D565" s="259">
        <f>IFERROR((H565/C565),"-")</f>
        <v>0</v>
      </c>
      <c r="E565" s="251">
        <f>IFERROR(ROUNDUP(D565/0.95,0.999),0)</f>
        <v>0</v>
      </c>
      <c r="F565" s="252" t="str">
        <f>IFERROR((H565/C565/E565),"-")</f>
        <v>-</v>
      </c>
      <c r="G565" s="37"/>
      <c r="H565" s="285">
        <f>((Preencher!$B$138*Preencher!$C$153*Preencher!$I$23*11%)*6/4/10)+((Preencher!$B$138*Preencher!$Y$157*Preencher!$I$23*18%)/20)</f>
        <v>0</v>
      </c>
      <c r="I565" s="259">
        <f>IFERROR((M565/C565),"-")</f>
        <v>0</v>
      </c>
      <c r="J565" s="251">
        <f>IFERROR(ROUNDUP(I565/0.95,0.999),0)</f>
        <v>0</v>
      </c>
      <c r="K565" s="252" t="str">
        <f>IFERROR((M565/C565/J565),"-")</f>
        <v>-</v>
      </c>
      <c r="L565" s="37"/>
      <c r="M565" s="285">
        <f>(Preencher!$C$138*Preencher!$D$153*Preencher!$J$23*11%)*6/4/10+((Preencher!$C$138*Preencher!$Z$157*Preencher!$I$23*18%)/20)</f>
        <v>0</v>
      </c>
      <c r="N565" s="259">
        <f>IFERROR((R565/C565),"-")</f>
        <v>0</v>
      </c>
      <c r="O565" s="251">
        <f>IFERROR(ROUNDUP(N565/0.95,0.999),0)</f>
        <v>0</v>
      </c>
      <c r="P565" s="252" t="str">
        <f>IFERROR((R565/C565/O565),"-")</f>
        <v>-</v>
      </c>
      <c r="Q565" s="37"/>
      <c r="R565" s="285">
        <f>(Preencher!$D$138*Preencher!$E$153*Preencher!$K$23*11%)*6/4/10+((Preencher!$D$138*Preencher!$AA$157*Preencher!$I$23*18%)/20)</f>
        <v>0</v>
      </c>
    </row>
    <row r="566" spans="1:18">
      <c r="A566" s="271" t="s">
        <v>647</v>
      </c>
      <c r="B566" s="284">
        <f>1.1</f>
        <v>1.1000000000000001</v>
      </c>
      <c r="C566" s="251">
        <f>IF(B566=0,"-",3600/B566)</f>
        <v>3272.7272727272725</v>
      </c>
      <c r="D566" s="259">
        <f>IFERROR((H566/C566),"-")</f>
        <v>0</v>
      </c>
      <c r="E566" s="251">
        <f>IFERROR(ROUNDUP(D566/0.95,0.999),0)</f>
        <v>0</v>
      </c>
      <c r="F566" s="252" t="str">
        <f>IFERROR((H566/C566/E566),"-")</f>
        <v>-</v>
      </c>
      <c r="G566" s="37"/>
      <c r="H566" s="285">
        <f>Preencher!$B$138*(Preencher!C$163+Preencher!$C$164+Preencher!$C$153)</f>
        <v>0</v>
      </c>
      <c r="I566" s="259">
        <f>IFERROR((M566/C566),"-")</f>
        <v>0</v>
      </c>
      <c r="J566" s="251">
        <f>IFERROR(ROUNDUP(I566/0.95,0.999),0)</f>
        <v>0</v>
      </c>
      <c r="K566" s="252" t="str">
        <f>IFERROR((M566/C566/J566),"-")</f>
        <v>-</v>
      </c>
      <c r="L566" s="37"/>
      <c r="M566" s="285">
        <f>Preencher!$B$138*(Preencher!D$163+Preencher!$D$164+Preencher!$D$153)</f>
        <v>0</v>
      </c>
      <c r="N566" s="259">
        <f>IFERROR((R566/C566),"-")</f>
        <v>0</v>
      </c>
      <c r="O566" s="251">
        <f>IFERROR(ROUNDUP(N566/0.95,0.999),0)</f>
        <v>0</v>
      </c>
      <c r="P566" s="252" t="str">
        <f>IFERROR((R566/C566/O566),"-")</f>
        <v>-</v>
      </c>
      <c r="Q566" s="37"/>
      <c r="R566" s="285">
        <f>Preencher!$B$138*(Preencher!E$163+Preencher!$E$164+Preencher!$E$153)</f>
        <v>0</v>
      </c>
    </row>
    <row r="567" spans="1:18">
      <c r="A567" s="271" t="s">
        <v>648</v>
      </c>
      <c r="B567" s="284"/>
      <c r="C567" s="251"/>
      <c r="D567" s="259"/>
      <c r="E567" s="376">
        <f>ROUNDUP(SUM(D568:D574)/0.95,0)</f>
        <v>0</v>
      </c>
      <c r="F567" s="377" t="str">
        <f>IFERROR(AVERAGE(F568:F574),"-")</f>
        <v>-</v>
      </c>
      <c r="G567" s="37"/>
      <c r="H567" s="285"/>
      <c r="I567" s="259"/>
      <c r="J567" s="770">
        <f>ROUNDUP(SUM(I568:I574)/0.95,0)</f>
        <v>0</v>
      </c>
      <c r="K567" s="669" t="str">
        <f>IFERROR(AVERAGE(K568:K574),"-")</f>
        <v>-</v>
      </c>
      <c r="L567" s="37"/>
      <c r="M567" s="285"/>
      <c r="N567" s="259"/>
      <c r="O567" s="670">
        <f>ROUNDUP(SUM(N568:N574),0)</f>
        <v>0</v>
      </c>
      <c r="P567" s="669" t="str">
        <f>IFERROR(AVERAGE(P568:P574),"-")</f>
        <v>-</v>
      </c>
      <c r="Q567" s="37"/>
      <c r="R567" s="285"/>
    </row>
    <row r="568" spans="1:18">
      <c r="A568" s="200" t="s">
        <v>1802</v>
      </c>
      <c r="B568" s="284"/>
      <c r="C568" s="424" t="str">
        <f t="shared" ref="C568:C574" si="219">IF(B568=0,"-",3600/B568)</f>
        <v>-</v>
      </c>
      <c r="D568" s="259" t="str">
        <f t="shared" ref="D568:D574" si="220">IFERROR((H568/C568),"-")</f>
        <v>-</v>
      </c>
      <c r="E568" s="424">
        <f t="shared" ref="E568:E574" si="221">IFERROR(ROUNDUP(D568/0.95,0.999),0)</f>
        <v>0</v>
      </c>
      <c r="F568" s="425" t="str">
        <f t="shared" ref="F568:F574" si="222">IFERROR((H568/C568/E568),"-")</f>
        <v>-</v>
      </c>
      <c r="G568" s="37"/>
      <c r="H568" s="285">
        <f>Preencher!$B$138*(Preencher!C$163)</f>
        <v>0</v>
      </c>
      <c r="I568" s="259" t="str">
        <f t="shared" ref="I568:I574" si="223">IFERROR((M568/C568),"-")</f>
        <v>-</v>
      </c>
      <c r="J568" s="424">
        <f t="shared" ref="J568:J574" si="224">IFERROR(ROUNDUP(I568/0.95,0.999),0)</f>
        <v>0</v>
      </c>
      <c r="K568" s="425" t="str">
        <f t="shared" ref="K568:K574" si="225">IFERROR((M568/C568/J568),"-")</f>
        <v>-</v>
      </c>
      <c r="L568" s="37"/>
      <c r="M568" s="285">
        <f>Preencher!$B$138*(Preencher!D$163)</f>
        <v>0</v>
      </c>
      <c r="N568" s="259" t="str">
        <f t="shared" ref="N568:N574" si="226">IFERROR((R568/C568),"-")</f>
        <v>-</v>
      </c>
      <c r="O568" s="424">
        <f t="shared" ref="O568:O574" si="227">IFERROR(ROUNDUP(N568/0.95,0.999),0)</f>
        <v>0</v>
      </c>
      <c r="P568" s="425" t="str">
        <f t="shared" ref="P568:P574" si="228">IFERROR((R568/C568/O568),"-")</f>
        <v>-</v>
      </c>
      <c r="Q568" s="37"/>
      <c r="R568" s="285">
        <f>Preencher!$B$138*(Preencher!E$163)</f>
        <v>0</v>
      </c>
    </row>
    <row r="569" spans="1:18">
      <c r="A569" s="200" t="s">
        <v>3174</v>
      </c>
      <c r="B569" s="284">
        <f>(6.6+7.3+6.5+4.8)*2</f>
        <v>50.4</v>
      </c>
      <c r="C569" s="656">
        <f t="shared" si="219"/>
        <v>71.428571428571431</v>
      </c>
      <c r="D569" s="259">
        <f t="shared" si="220"/>
        <v>0</v>
      </c>
      <c r="E569" s="656">
        <f t="shared" si="221"/>
        <v>0</v>
      </c>
      <c r="F569" s="657" t="str">
        <f t="shared" si="222"/>
        <v>-</v>
      </c>
      <c r="G569" s="37"/>
      <c r="H569" s="285">
        <f>Preencher!$B$138*(Preencher!C$163)</f>
        <v>0</v>
      </c>
      <c r="I569" s="259">
        <f t="shared" si="223"/>
        <v>0</v>
      </c>
      <c r="J569" s="656">
        <f t="shared" si="224"/>
        <v>0</v>
      </c>
      <c r="K569" s="657" t="str">
        <f t="shared" si="225"/>
        <v>-</v>
      </c>
      <c r="L569" s="37"/>
      <c r="M569" s="285">
        <f>Preencher!$B$138*(Preencher!D$163)</f>
        <v>0</v>
      </c>
      <c r="N569" s="259">
        <f t="shared" si="226"/>
        <v>0</v>
      </c>
      <c r="O569" s="656">
        <f t="shared" si="227"/>
        <v>0</v>
      </c>
      <c r="P569" s="657" t="str">
        <f t="shared" si="228"/>
        <v>-</v>
      </c>
      <c r="Q569" s="37"/>
      <c r="R569" s="285">
        <f>Preencher!$B$138*(Preencher!E$163)</f>
        <v>0</v>
      </c>
    </row>
    <row r="570" spans="1:18">
      <c r="A570" s="200" t="s">
        <v>1523</v>
      </c>
      <c r="B570" s="284">
        <v>36</v>
      </c>
      <c r="C570" s="656">
        <f t="shared" si="219"/>
        <v>100</v>
      </c>
      <c r="D570" s="259">
        <f t="shared" si="220"/>
        <v>0</v>
      </c>
      <c r="E570" s="656">
        <f t="shared" si="221"/>
        <v>0</v>
      </c>
      <c r="F570" s="657" t="str">
        <f t="shared" si="222"/>
        <v>-</v>
      </c>
      <c r="G570" s="37"/>
      <c r="H570" s="285">
        <f>Preencher!$B$138*(Preencher!C$159)-Preencher!$B$138*(Preencher!C$159)</f>
        <v>0</v>
      </c>
      <c r="I570" s="259">
        <f t="shared" si="223"/>
        <v>0</v>
      </c>
      <c r="J570" s="656">
        <f t="shared" si="224"/>
        <v>0</v>
      </c>
      <c r="K570" s="657" t="str">
        <f t="shared" si="225"/>
        <v>-</v>
      </c>
      <c r="L570" s="37"/>
      <c r="M570" s="285">
        <f>Preencher!$B$138*(Preencher!D$159)-Preencher!$B$138*(Preencher!D$159)</f>
        <v>0</v>
      </c>
      <c r="N570" s="259">
        <f t="shared" si="226"/>
        <v>0</v>
      </c>
      <c r="O570" s="656">
        <f t="shared" si="227"/>
        <v>0</v>
      </c>
      <c r="P570" s="657" t="str">
        <f t="shared" si="228"/>
        <v>-</v>
      </c>
      <c r="Q570" s="37"/>
      <c r="R570" s="285">
        <f>Preencher!$B$138*(Preencher!E$159)</f>
        <v>0</v>
      </c>
    </row>
    <row r="571" spans="1:18">
      <c r="A571" s="200" t="s">
        <v>2422</v>
      </c>
      <c r="B571" s="284">
        <v>0</v>
      </c>
      <c r="C571" s="656" t="str">
        <f t="shared" si="219"/>
        <v>-</v>
      </c>
      <c r="D571" s="259" t="str">
        <f t="shared" si="220"/>
        <v>-</v>
      </c>
      <c r="E571" s="656">
        <f t="shared" si="221"/>
        <v>0</v>
      </c>
      <c r="F571" s="657" t="str">
        <f t="shared" si="222"/>
        <v>-</v>
      </c>
      <c r="G571" s="37"/>
      <c r="H571" s="285">
        <f>Preencher!$B$138*(Preencher!C$196)</f>
        <v>12.047125520418103</v>
      </c>
      <c r="I571" s="259" t="str">
        <f t="shared" si="223"/>
        <v>-</v>
      </c>
      <c r="J571" s="656">
        <f t="shared" si="224"/>
        <v>0</v>
      </c>
      <c r="K571" s="657" t="str">
        <f t="shared" si="225"/>
        <v>-</v>
      </c>
      <c r="L571" s="37"/>
      <c r="M571" s="285">
        <f>Preencher!$B$138*(Preencher!D$196)</f>
        <v>0</v>
      </c>
      <c r="N571" s="259" t="str">
        <f t="shared" si="226"/>
        <v>-</v>
      </c>
      <c r="O571" s="656">
        <f t="shared" si="227"/>
        <v>0</v>
      </c>
      <c r="P571" s="657" t="str">
        <f t="shared" si="228"/>
        <v>-</v>
      </c>
      <c r="Q571" s="37"/>
      <c r="R571" s="285">
        <f>Preencher!$B$138*(Preencher!E$196)</f>
        <v>0</v>
      </c>
    </row>
    <row r="572" spans="1:18">
      <c r="A572" s="200" t="s">
        <v>3173</v>
      </c>
      <c r="B572" s="284">
        <f>(6.8+7+6.5+4.8)*2</f>
        <v>50.2</v>
      </c>
      <c r="C572" s="424">
        <f t="shared" si="219"/>
        <v>71.713147410358559</v>
      </c>
      <c r="D572" s="259">
        <f t="shared" si="220"/>
        <v>0</v>
      </c>
      <c r="E572" s="424">
        <f t="shared" si="221"/>
        <v>0</v>
      </c>
      <c r="F572" s="425" t="str">
        <f t="shared" si="222"/>
        <v>-</v>
      </c>
      <c r="G572" s="37"/>
      <c r="H572" s="285">
        <f>Preencher!$B$138*(Preencher!C$164)</f>
        <v>0</v>
      </c>
      <c r="I572" s="259">
        <f t="shared" si="223"/>
        <v>0</v>
      </c>
      <c r="J572" s="424">
        <f t="shared" si="224"/>
        <v>0</v>
      </c>
      <c r="K572" s="425" t="str">
        <f t="shared" si="225"/>
        <v>-</v>
      </c>
      <c r="L572" s="37"/>
      <c r="M572" s="285">
        <f>Preencher!$B$138*(Preencher!D$164)</f>
        <v>0</v>
      </c>
      <c r="N572" s="259">
        <f t="shared" si="226"/>
        <v>0</v>
      </c>
      <c r="O572" s="424">
        <f t="shared" si="227"/>
        <v>0</v>
      </c>
      <c r="P572" s="425" t="str">
        <f t="shared" si="228"/>
        <v>-</v>
      </c>
      <c r="Q572" s="37"/>
      <c r="R572" s="285">
        <f>Preencher!$B$138*(Preencher!E$164)</f>
        <v>0</v>
      </c>
    </row>
    <row r="573" spans="1:18">
      <c r="A573" s="200" t="s">
        <v>3175</v>
      </c>
      <c r="B573" s="284">
        <f>(6.7+7.9)*2</f>
        <v>29.200000000000003</v>
      </c>
      <c r="C573" s="376">
        <f t="shared" si="219"/>
        <v>123.2876712328767</v>
      </c>
      <c r="D573" s="259">
        <f t="shared" si="220"/>
        <v>0</v>
      </c>
      <c r="E573" s="376">
        <f t="shared" si="221"/>
        <v>0</v>
      </c>
      <c r="F573" s="377" t="str">
        <f t="shared" si="222"/>
        <v>-</v>
      </c>
      <c r="G573" s="37"/>
      <c r="H573" s="285">
        <f>(Preencher!$B$138*Preencher!$C$153)</f>
        <v>0</v>
      </c>
      <c r="I573" s="259">
        <f t="shared" si="223"/>
        <v>0</v>
      </c>
      <c r="J573" s="376">
        <f t="shared" si="224"/>
        <v>0</v>
      </c>
      <c r="K573" s="377" t="str">
        <f t="shared" si="225"/>
        <v>-</v>
      </c>
      <c r="L573" s="37"/>
      <c r="M573" s="285">
        <f>(Preencher!$C$138*Preencher!$D$153)</f>
        <v>0</v>
      </c>
      <c r="N573" s="259">
        <f t="shared" si="226"/>
        <v>0</v>
      </c>
      <c r="O573" s="376">
        <f t="shared" si="227"/>
        <v>0</v>
      </c>
      <c r="P573" s="377" t="str">
        <f t="shared" si="228"/>
        <v>-</v>
      </c>
      <c r="Q573" s="37"/>
      <c r="R573" s="285">
        <f>(Preencher!$D$138*Preencher!$E$153*6)/4</f>
        <v>0</v>
      </c>
    </row>
    <row r="574" spans="1:18">
      <c r="A574" s="200" t="s">
        <v>1574</v>
      </c>
      <c r="B574" s="284">
        <v>62.5</v>
      </c>
      <c r="C574" s="376">
        <f t="shared" si="219"/>
        <v>57.6</v>
      </c>
      <c r="D574" s="259">
        <f t="shared" si="220"/>
        <v>0</v>
      </c>
      <c r="E574" s="376">
        <f t="shared" si="221"/>
        <v>0</v>
      </c>
      <c r="F574" s="377" t="str">
        <f t="shared" si="222"/>
        <v>-</v>
      </c>
      <c r="G574" s="37"/>
      <c r="H574" s="285">
        <f>(Preencher!$B$212*Preencher!$C$238*6)/4</f>
        <v>0</v>
      </c>
      <c r="I574" s="259">
        <f t="shared" si="223"/>
        <v>0</v>
      </c>
      <c r="J574" s="376">
        <f t="shared" si="224"/>
        <v>0</v>
      </c>
      <c r="K574" s="377" t="str">
        <f t="shared" si="225"/>
        <v>-</v>
      </c>
      <c r="L574" s="37"/>
      <c r="M574" s="285">
        <f>(Preencher!$C$212*Preencher!$D$238*6)/4</f>
        <v>0</v>
      </c>
      <c r="N574" s="259">
        <f t="shared" si="226"/>
        <v>0</v>
      </c>
      <c r="O574" s="376">
        <f t="shared" si="227"/>
        <v>0</v>
      </c>
      <c r="P574" s="377" t="str">
        <f t="shared" si="228"/>
        <v>-</v>
      </c>
      <c r="Q574" s="37"/>
      <c r="R574" s="285">
        <f>(Preencher!$D$212*Preencher!$E$238*6)/4</f>
        <v>0</v>
      </c>
    </row>
    <row r="575" spans="1:18">
      <c r="A575" s="271" t="s">
        <v>649</v>
      </c>
      <c r="B575" s="284"/>
      <c r="C575" s="251"/>
      <c r="D575" s="259"/>
      <c r="E575" s="376">
        <f>SUM(E576:E577)</f>
        <v>0</v>
      </c>
      <c r="F575" s="377" t="str">
        <f>IFERROR(AVERAGE(F576:F577),"-")</f>
        <v>-</v>
      </c>
      <c r="G575" s="37"/>
      <c r="H575" s="285"/>
      <c r="I575" s="259"/>
      <c r="J575" s="376">
        <f>SUM(J576:J577)</f>
        <v>0</v>
      </c>
      <c r="K575" s="377" t="str">
        <f>IFERROR(AVERAGE(K576:K577),"-")</f>
        <v>-</v>
      </c>
      <c r="L575" s="37"/>
      <c r="M575" s="285"/>
      <c r="N575" s="259"/>
      <c r="O575" s="376">
        <f>SUM(O576:O577)</f>
        <v>0</v>
      </c>
      <c r="P575" s="377" t="str">
        <f>IFERROR(AVERAGE(P576:P577),"-")</f>
        <v>-</v>
      </c>
      <c r="Q575" s="37"/>
      <c r="R575" s="285"/>
    </row>
    <row r="576" spans="1:18">
      <c r="A576" s="200" t="s">
        <v>3133</v>
      </c>
      <c r="B576" s="284">
        <f>6.2-6.2</f>
        <v>0</v>
      </c>
      <c r="C576" s="376" t="str">
        <f>IF(B576=0,"-",3600/B576)</f>
        <v>-</v>
      </c>
      <c r="D576" s="259" t="str">
        <f>IFERROR((H576/C576),"-")</f>
        <v>-</v>
      </c>
      <c r="E576" s="376">
        <f>IFERROR(ROUNDUP(D576/0.95,0.999),0)</f>
        <v>0</v>
      </c>
      <c r="F576" s="377" t="str">
        <f>IFERROR((H576/C576/E576),"-")</f>
        <v>-</v>
      </c>
      <c r="G576" s="37"/>
      <c r="H576" s="285">
        <f>(H573/4)+H574</f>
        <v>0</v>
      </c>
      <c r="I576" s="259" t="str">
        <f>IFERROR((M576/C576),"-")</f>
        <v>-</v>
      </c>
      <c r="J576" s="376">
        <f>IFERROR(ROUNDUP(I576/0.95,0.999),0)</f>
        <v>0</v>
      </c>
      <c r="K576" s="377" t="str">
        <f>IFERROR((M576/C576/J576),"-")</f>
        <v>-</v>
      </c>
      <c r="L576" s="37"/>
      <c r="M576" s="285">
        <f>(M573/4)+M574</f>
        <v>0</v>
      </c>
      <c r="N576" s="259" t="str">
        <f>IFERROR((R576/C576),"-")</f>
        <v>-</v>
      </c>
      <c r="O576" s="376">
        <f>IFERROR(ROUNDUP(N576/0.95,0.999),0)</f>
        <v>0</v>
      </c>
      <c r="P576" s="377" t="str">
        <f>IFERROR((R576/C576/O576),"-")</f>
        <v>-</v>
      </c>
      <c r="Q576" s="37"/>
      <c r="R576" s="285">
        <f>R573+R574</f>
        <v>0</v>
      </c>
    </row>
    <row r="577" spans="1:18">
      <c r="A577" s="200" t="s">
        <v>2169</v>
      </c>
      <c r="B577" s="284">
        <v>33.25</v>
      </c>
      <c r="C577" s="600">
        <f>IF(B577=0,"-",3600/B577)</f>
        <v>108.27067669172932</v>
      </c>
      <c r="D577" s="259">
        <f>IFERROR((H577/C577),"-")</f>
        <v>0</v>
      </c>
      <c r="E577" s="600">
        <f>IFERROR(ROUNDUP(D577/0.95,0.999),0)</f>
        <v>0</v>
      </c>
      <c r="F577" s="601" t="str">
        <f>IFERROR((H577/C577/E577),"-")</f>
        <v>-</v>
      </c>
      <c r="G577" s="37"/>
      <c r="H577" s="285">
        <f>Preencher!$B$138*Preencher!$Y$157</f>
        <v>0</v>
      </c>
      <c r="I577" s="259">
        <f>IFERROR((M577/C577),"-")</f>
        <v>0</v>
      </c>
      <c r="J577" s="600">
        <f>IFERROR(ROUNDUP(I577/0.95,0.999),0)</f>
        <v>0</v>
      </c>
      <c r="K577" s="601" t="str">
        <f>IFERROR((M577/C577/J577),"-")</f>
        <v>-</v>
      </c>
      <c r="L577" s="37"/>
      <c r="M577" s="285">
        <f>Preencher!$C$138*Preencher!$Z$157</f>
        <v>0</v>
      </c>
      <c r="N577" s="259">
        <f>IFERROR((R577/C577),"-")</f>
        <v>0</v>
      </c>
      <c r="O577" s="600">
        <f>IFERROR(ROUNDUP(N577/0.95,0.999),0)</f>
        <v>0</v>
      </c>
      <c r="P577" s="601" t="str">
        <f>IFERROR((R577/C577/O577),"-")</f>
        <v>-</v>
      </c>
      <c r="Q577" s="37"/>
      <c r="R577" s="285">
        <f>Preencher!$D$138*Preencher!$AA$157</f>
        <v>0</v>
      </c>
    </row>
    <row r="578" spans="1:18">
      <c r="A578" s="682" t="s">
        <v>2474</v>
      </c>
      <c r="B578" s="284"/>
      <c r="C578" s="674"/>
      <c r="D578" s="259"/>
      <c r="E578" s="674"/>
      <c r="F578" s="673"/>
      <c r="G578" s="37"/>
      <c r="H578" s="285"/>
      <c r="I578" s="259"/>
      <c r="J578" s="674"/>
      <c r="K578" s="673"/>
      <c r="L578" s="37"/>
      <c r="M578" s="285"/>
      <c r="N578" s="678"/>
      <c r="O578" s="677"/>
      <c r="P578" s="679"/>
      <c r="Q578" s="37"/>
      <c r="R578" s="285"/>
    </row>
    <row r="579" spans="1:18">
      <c r="A579" s="271" t="s">
        <v>2473</v>
      </c>
      <c r="B579" s="284"/>
      <c r="C579" s="674"/>
      <c r="D579" s="259"/>
      <c r="E579" s="674"/>
      <c r="F579" s="673"/>
      <c r="G579" s="37"/>
      <c r="H579" s="285"/>
      <c r="I579" s="259"/>
      <c r="J579" s="674"/>
      <c r="K579" s="673"/>
      <c r="L579" s="37"/>
      <c r="M579" s="285"/>
      <c r="N579" s="678"/>
      <c r="O579" s="677"/>
      <c r="P579" s="679"/>
      <c r="Q579" s="37"/>
      <c r="R579" s="285"/>
    </row>
    <row r="580" spans="1:18">
      <c r="A580" s="271" t="s">
        <v>2475</v>
      </c>
      <c r="B580" s="284"/>
      <c r="C580" s="674"/>
      <c r="D580" s="259"/>
      <c r="E580" s="770">
        <f>ROUNDUP(SUM(D581:D583),0)</f>
        <v>0</v>
      </c>
      <c r="F580" s="478">
        <f>IFERROR(SUM(D581:D583)/E580,0)</f>
        <v>0</v>
      </c>
      <c r="G580" s="37"/>
      <c r="H580" s="285"/>
      <c r="I580" s="259"/>
      <c r="J580" s="770">
        <f>ROUNDUP(SUM(I581:I583),0)</f>
        <v>0</v>
      </c>
      <c r="K580" s="478">
        <f>IFERROR(SUM(I581:I583)/J580,0)</f>
        <v>0</v>
      </c>
      <c r="L580" s="37"/>
      <c r="M580" s="285"/>
      <c r="N580" s="259"/>
      <c r="O580" s="770">
        <f>ROUNDUP(SUM(N581:N583),0)</f>
        <v>0</v>
      </c>
      <c r="P580" s="478">
        <f>IFERROR(SUM(N581:N583)/O580,0)</f>
        <v>0</v>
      </c>
      <c r="Q580" s="37"/>
      <c r="R580" s="285"/>
    </row>
    <row r="581" spans="1:18">
      <c r="A581" s="200" t="s">
        <v>3176</v>
      </c>
      <c r="B581" s="284">
        <v>28.6</v>
      </c>
      <c r="C581" s="674">
        <f>IF(B581=0,"-",3600/B581)</f>
        <v>125.87412587412587</v>
      </c>
      <c r="D581" s="259">
        <f>IFERROR((H581/C581),"-")</f>
        <v>0</v>
      </c>
      <c r="E581" s="674">
        <f>IFERROR(ROUNDUP(D581/0.95,0.999),0)</f>
        <v>0</v>
      </c>
      <c r="F581" s="673" t="str">
        <f>IFERROR((H581/C581/E581),"-")</f>
        <v>-</v>
      </c>
      <c r="G581" s="37"/>
      <c r="H581" s="285">
        <f>IF(H569&gt;0,RESUMO!$F$98,0)</f>
        <v>0</v>
      </c>
      <c r="I581" s="259">
        <f>IFERROR((M581/C581),"-")</f>
        <v>0</v>
      </c>
      <c r="J581" s="674">
        <f>IFERROR(ROUNDUP(I581/0.95,0.999),0)</f>
        <v>0</v>
      </c>
      <c r="K581" s="673" t="str">
        <f>IFERROR((M581/C581/J581),"-")</f>
        <v>-</v>
      </c>
      <c r="L581" s="37"/>
      <c r="M581" s="285">
        <f>IF(M569&gt;0,RESUMO!$F$98,0)</f>
        <v>0</v>
      </c>
      <c r="N581" s="259">
        <f>IFERROR((R581/C581),"-")</f>
        <v>0</v>
      </c>
      <c r="O581" s="674">
        <f>IFERROR(ROUNDUP(N581/0.95,0.999),0)</f>
        <v>0</v>
      </c>
      <c r="P581" s="673" t="str">
        <f>IFERROR((R581/C581/O581),"-")</f>
        <v>-</v>
      </c>
      <c r="Q581" s="37"/>
      <c r="R581" s="285">
        <f>IF(R569&gt;0,RESUMO!$F$98,0)</f>
        <v>0</v>
      </c>
    </row>
    <row r="582" spans="1:18">
      <c r="A582" s="200" t="s">
        <v>3177</v>
      </c>
      <c r="B582" s="284">
        <v>28.6</v>
      </c>
      <c r="C582" s="674">
        <f>IF(B582=0,"-",3600/B582)</f>
        <v>125.87412587412587</v>
      </c>
      <c r="D582" s="259">
        <f>IFERROR((H582/C582),"-")</f>
        <v>0</v>
      </c>
      <c r="E582" s="674">
        <f>IFERROR(ROUNDUP(D582/0.95,0.999),0)</f>
        <v>0</v>
      </c>
      <c r="F582" s="673" t="str">
        <f>IFERROR((H582/C582/E582),"-")</f>
        <v>-</v>
      </c>
      <c r="G582" s="37"/>
      <c r="H582" s="285">
        <f>IF(H569&gt;0,RESUMO!$F$99,0)</f>
        <v>0</v>
      </c>
      <c r="I582" s="259">
        <f>IFERROR((M582/C582),"-")</f>
        <v>0</v>
      </c>
      <c r="J582" s="674">
        <f>IFERROR(ROUNDUP(I582/0.95,0.999),0)</f>
        <v>0</v>
      </c>
      <c r="K582" s="673" t="str">
        <f>IFERROR((M582/C582/J582),"-")</f>
        <v>-</v>
      </c>
      <c r="L582" s="37"/>
      <c r="M582" s="285">
        <f>IF(M569&gt;0,RESUMO!$F$99,0)</f>
        <v>0</v>
      </c>
      <c r="N582" s="259">
        <f>IFERROR((R582/C582),"-")</f>
        <v>0</v>
      </c>
      <c r="O582" s="674">
        <f>IFERROR(ROUNDUP(N582/0.95,0.999),0)</f>
        <v>0</v>
      </c>
      <c r="P582" s="673" t="str">
        <f>IFERROR((R582/C582/O582),"-")</f>
        <v>-</v>
      </c>
      <c r="Q582" s="37"/>
      <c r="R582" s="285">
        <f>IF(R569&gt;0,RESUMO!$F$99,0)</f>
        <v>0</v>
      </c>
    </row>
    <row r="583" spans="1:18">
      <c r="A583" s="200" t="s">
        <v>3178</v>
      </c>
      <c r="B583" s="284">
        <v>28.6</v>
      </c>
      <c r="C583" s="674">
        <f>IF(B583=0,"-",3600/B583)</f>
        <v>125.87412587412587</v>
      </c>
      <c r="D583" s="259">
        <f>IFERROR((H583/C583),"-")</f>
        <v>0</v>
      </c>
      <c r="E583" s="674">
        <f>IFERROR(ROUNDUP(D583/0.95,0.999),0)</f>
        <v>0</v>
      </c>
      <c r="F583" s="673" t="str">
        <f>IFERROR((H583/C583/E583),"-")</f>
        <v>-</v>
      </c>
      <c r="G583" s="37"/>
      <c r="H583" s="285">
        <f>IF(H573&gt;0,RESUMO!$F$97,0)</f>
        <v>0</v>
      </c>
      <c r="I583" s="259">
        <f>IFERROR((M583/C583),"-")</f>
        <v>0</v>
      </c>
      <c r="J583" s="674">
        <f>IFERROR(ROUNDUP(I583/0.95,0.999),0)</f>
        <v>0</v>
      </c>
      <c r="K583" s="673" t="str">
        <f>IFERROR((M583/C583/J583),"-")</f>
        <v>-</v>
      </c>
      <c r="L583" s="37"/>
      <c r="M583" s="285">
        <f>IF(M573&gt;0,RESUMO!$F$97,0)</f>
        <v>0</v>
      </c>
      <c r="N583" s="259">
        <f>IFERROR((R583/C583),"-")</f>
        <v>0</v>
      </c>
      <c r="O583" s="674">
        <f>IFERROR(ROUNDUP(N583/0.95,0.999),0)</f>
        <v>0</v>
      </c>
      <c r="P583" s="673" t="str">
        <f>IFERROR((R583/C583/O583),"-")</f>
        <v>-</v>
      </c>
      <c r="Q583" s="37"/>
      <c r="R583" s="285">
        <f>IF(R573&gt;0,RESUMO!$F$97,0)</f>
        <v>0</v>
      </c>
    </row>
    <row r="584" spans="1:18">
      <c r="A584" s="271" t="s">
        <v>2470</v>
      </c>
      <c r="B584" s="676"/>
      <c r="C584" s="677"/>
      <c r="D584" s="678"/>
      <c r="E584" s="674">
        <f>SUM(E585:E587)</f>
        <v>0</v>
      </c>
      <c r="F584" s="673" t="str">
        <f>IFERROR(AVERAGE(F585:F587),"-")</f>
        <v>-</v>
      </c>
      <c r="G584" s="37"/>
      <c r="H584" s="285"/>
      <c r="I584" s="259"/>
      <c r="J584" s="674">
        <f>SUM(J585:J587)</f>
        <v>0</v>
      </c>
      <c r="K584" s="673" t="str">
        <f>IFERROR(AVERAGE(K585:K587),"-")</f>
        <v>-</v>
      </c>
      <c r="L584" s="37"/>
      <c r="M584" s="285"/>
      <c r="N584" s="259"/>
      <c r="O584" s="674">
        <f>SUM(O585:O587)</f>
        <v>0</v>
      </c>
      <c r="P584" s="673" t="str">
        <f>IFERROR(AVERAGE(P585:P587),"-")</f>
        <v>-</v>
      </c>
      <c r="Q584" s="680"/>
      <c r="R584" s="681"/>
    </row>
    <row r="585" spans="1:18">
      <c r="A585" s="200" t="s">
        <v>2476</v>
      </c>
      <c r="B585" s="284"/>
      <c r="C585" s="674" t="str">
        <f t="shared" ref="C585:C591" si="229">IF(B585=0,"-",3600/B585)</f>
        <v>-</v>
      </c>
      <c r="D585" s="259" t="str">
        <f t="shared" ref="D585:D591" si="230">IFERROR((H585/C585),"-")</f>
        <v>-</v>
      </c>
      <c r="E585" s="674">
        <f t="shared" ref="E585:E591" si="231">IFERROR(ROUNDUP(D585/0.95,0.999),0)</f>
        <v>0</v>
      </c>
      <c r="F585" s="673" t="str">
        <f t="shared" ref="F585:F591" si="232">IFERROR((H585/C585/E585),"-")</f>
        <v>-</v>
      </c>
      <c r="G585" s="37"/>
      <c r="H585" s="285">
        <f>H582+H583</f>
        <v>0</v>
      </c>
      <c r="I585" s="259" t="str">
        <f t="shared" ref="I585:I591" si="233">IFERROR((M585/C585),"-")</f>
        <v>-</v>
      </c>
      <c r="J585" s="674">
        <f t="shared" ref="J585:J591" si="234">IFERROR(ROUNDUP(I585/0.95,0.999),0)</f>
        <v>0</v>
      </c>
      <c r="K585" s="673" t="str">
        <f t="shared" ref="K585:K591" si="235">IFERROR((M585/C585/J585),"-")</f>
        <v>-</v>
      </c>
      <c r="L585" s="37"/>
      <c r="M585" s="285">
        <f>M582+M583</f>
        <v>0</v>
      </c>
      <c r="N585" s="259" t="str">
        <f t="shared" ref="N585:N591" si="236">IFERROR((R585/C585),"-")</f>
        <v>-</v>
      </c>
      <c r="O585" s="674">
        <f t="shared" ref="O585:O591" si="237">IFERROR(ROUNDUP(N585/0.95,0.999),0)</f>
        <v>0</v>
      </c>
      <c r="P585" s="673" t="str">
        <f t="shared" ref="P585:P591" si="238">IFERROR((R585/C585/O585),"-")</f>
        <v>-</v>
      </c>
      <c r="Q585" s="37"/>
      <c r="R585" s="285">
        <f>R582+R583</f>
        <v>0</v>
      </c>
    </row>
    <row r="586" spans="1:18">
      <c r="A586" s="200" t="s">
        <v>2477</v>
      </c>
      <c r="B586" s="284"/>
      <c r="C586" s="674" t="str">
        <f t="shared" si="229"/>
        <v>-</v>
      </c>
      <c r="D586" s="259" t="str">
        <f t="shared" si="230"/>
        <v>-</v>
      </c>
      <c r="E586" s="674">
        <f t="shared" si="231"/>
        <v>0</v>
      </c>
      <c r="F586" s="673" t="str">
        <f t="shared" si="232"/>
        <v>-</v>
      </c>
      <c r="G586" s="37"/>
      <c r="H586" s="285">
        <f>H583+H584</f>
        <v>0</v>
      </c>
      <c r="I586" s="259" t="str">
        <f t="shared" si="233"/>
        <v>-</v>
      </c>
      <c r="J586" s="674">
        <f t="shared" si="234"/>
        <v>0</v>
      </c>
      <c r="K586" s="673" t="str">
        <f t="shared" si="235"/>
        <v>-</v>
      </c>
      <c r="L586" s="37"/>
      <c r="M586" s="285">
        <f>M583+M584</f>
        <v>0</v>
      </c>
      <c r="N586" s="259" t="str">
        <f t="shared" si="236"/>
        <v>-</v>
      </c>
      <c r="O586" s="674">
        <f t="shared" si="237"/>
        <v>0</v>
      </c>
      <c r="P586" s="673" t="str">
        <f t="shared" si="238"/>
        <v>-</v>
      </c>
      <c r="Q586" s="37"/>
      <c r="R586" s="285">
        <f>R583+R584</f>
        <v>0</v>
      </c>
    </row>
    <row r="587" spans="1:18">
      <c r="A587" s="200" t="s">
        <v>2478</v>
      </c>
      <c r="B587" s="284"/>
      <c r="C587" s="674" t="str">
        <f t="shared" si="229"/>
        <v>-</v>
      </c>
      <c r="D587" s="259" t="str">
        <f t="shared" si="230"/>
        <v>-</v>
      </c>
      <c r="E587" s="674">
        <f t="shared" si="231"/>
        <v>0</v>
      </c>
      <c r="F587" s="673" t="str">
        <f t="shared" si="232"/>
        <v>-</v>
      </c>
      <c r="G587" s="37"/>
      <c r="H587" s="285">
        <f>Preencher!$B$138*Preencher!$Y$157</f>
        <v>0</v>
      </c>
      <c r="I587" s="259" t="str">
        <f t="shared" si="233"/>
        <v>-</v>
      </c>
      <c r="J587" s="674">
        <f t="shared" si="234"/>
        <v>0</v>
      </c>
      <c r="K587" s="673" t="str">
        <f t="shared" si="235"/>
        <v>-</v>
      </c>
      <c r="L587" s="37"/>
      <c r="M587" s="285">
        <f>Preencher!$C$138*Preencher!$Z$157</f>
        <v>0</v>
      </c>
      <c r="N587" s="259" t="str">
        <f t="shared" si="236"/>
        <v>-</v>
      </c>
      <c r="O587" s="674">
        <f t="shared" si="237"/>
        <v>0</v>
      </c>
      <c r="P587" s="673" t="str">
        <f t="shared" si="238"/>
        <v>-</v>
      </c>
      <c r="Q587" s="37"/>
      <c r="R587" s="285">
        <f>Preencher!$D$138*Preencher!$AA$157</f>
        <v>0</v>
      </c>
    </row>
    <row r="588" spans="1:18">
      <c r="A588" s="271" t="s">
        <v>2479</v>
      </c>
      <c r="B588" s="284"/>
      <c r="C588" s="674" t="str">
        <f t="shared" si="229"/>
        <v>-</v>
      </c>
      <c r="D588" s="259" t="str">
        <f t="shared" si="230"/>
        <v>-</v>
      </c>
      <c r="E588" s="674">
        <f t="shared" si="231"/>
        <v>0</v>
      </c>
      <c r="F588" s="673" t="str">
        <f t="shared" si="232"/>
        <v>-</v>
      </c>
      <c r="G588" s="37"/>
      <c r="H588" s="285">
        <f>H585+H586</f>
        <v>0</v>
      </c>
      <c r="I588" s="259" t="str">
        <f t="shared" si="233"/>
        <v>-</v>
      </c>
      <c r="J588" s="674">
        <f t="shared" si="234"/>
        <v>0</v>
      </c>
      <c r="K588" s="673" t="str">
        <f t="shared" si="235"/>
        <v>-</v>
      </c>
      <c r="L588" s="37"/>
      <c r="M588" s="285">
        <f>M585+M586</f>
        <v>0</v>
      </c>
      <c r="N588" s="259" t="str">
        <f t="shared" si="236"/>
        <v>-</v>
      </c>
      <c r="O588" s="674">
        <f t="shared" si="237"/>
        <v>0</v>
      </c>
      <c r="P588" s="673" t="str">
        <f t="shared" si="238"/>
        <v>-</v>
      </c>
      <c r="Q588" s="37"/>
      <c r="R588" s="285">
        <f>R585+R586</f>
        <v>0</v>
      </c>
    </row>
    <row r="589" spans="1:18">
      <c r="A589" s="271" t="s">
        <v>2480</v>
      </c>
      <c r="B589" s="284"/>
      <c r="C589" s="674" t="str">
        <f t="shared" si="229"/>
        <v>-</v>
      </c>
      <c r="D589" s="259" t="str">
        <f t="shared" si="230"/>
        <v>-</v>
      </c>
      <c r="E589" s="674">
        <f t="shared" si="231"/>
        <v>0</v>
      </c>
      <c r="F589" s="673" t="str">
        <f t="shared" si="232"/>
        <v>-</v>
      </c>
      <c r="G589" s="37"/>
      <c r="H589" s="285">
        <f>Preencher!$B$138*Preencher!$Y$157</f>
        <v>0</v>
      </c>
      <c r="I589" s="259" t="str">
        <f t="shared" si="233"/>
        <v>-</v>
      </c>
      <c r="J589" s="674">
        <f t="shared" si="234"/>
        <v>0</v>
      </c>
      <c r="K589" s="673" t="str">
        <f t="shared" si="235"/>
        <v>-</v>
      </c>
      <c r="L589" s="37"/>
      <c r="M589" s="285">
        <f>Preencher!$C$138*Preencher!$Z$157</f>
        <v>0</v>
      </c>
      <c r="N589" s="259" t="str">
        <f t="shared" si="236"/>
        <v>-</v>
      </c>
      <c r="O589" s="674">
        <f t="shared" si="237"/>
        <v>0</v>
      </c>
      <c r="P589" s="673" t="str">
        <f t="shared" si="238"/>
        <v>-</v>
      </c>
      <c r="Q589" s="37"/>
      <c r="R589" s="285">
        <f>Preencher!$D$138*Preencher!$AA$157</f>
        <v>0</v>
      </c>
    </row>
    <row r="590" spans="1:18">
      <c r="A590" s="271" t="s">
        <v>2481</v>
      </c>
      <c r="B590" s="284"/>
      <c r="C590" s="674" t="str">
        <f t="shared" si="229"/>
        <v>-</v>
      </c>
      <c r="D590" s="259" t="str">
        <f t="shared" si="230"/>
        <v>-</v>
      </c>
      <c r="E590" s="674">
        <f t="shared" si="231"/>
        <v>0</v>
      </c>
      <c r="F590" s="673" t="str">
        <f t="shared" si="232"/>
        <v>-</v>
      </c>
      <c r="G590" s="37"/>
      <c r="H590" s="285">
        <f>H587+H588</f>
        <v>0</v>
      </c>
      <c r="I590" s="259" t="str">
        <f t="shared" si="233"/>
        <v>-</v>
      </c>
      <c r="J590" s="674">
        <f t="shared" si="234"/>
        <v>0</v>
      </c>
      <c r="K590" s="673" t="str">
        <f t="shared" si="235"/>
        <v>-</v>
      </c>
      <c r="L590" s="37"/>
      <c r="M590" s="285">
        <f>M587+M588</f>
        <v>0</v>
      </c>
      <c r="N590" s="259" t="str">
        <f t="shared" si="236"/>
        <v>-</v>
      </c>
      <c r="O590" s="674">
        <f t="shared" si="237"/>
        <v>0</v>
      </c>
      <c r="P590" s="673" t="str">
        <f t="shared" si="238"/>
        <v>-</v>
      </c>
      <c r="Q590" s="37"/>
      <c r="R590" s="285">
        <f>R587+R588</f>
        <v>0</v>
      </c>
    </row>
    <row r="591" spans="1:18">
      <c r="A591" s="271" t="s">
        <v>2482</v>
      </c>
      <c r="B591" s="284"/>
      <c r="C591" s="674" t="str">
        <f t="shared" si="229"/>
        <v>-</v>
      </c>
      <c r="D591" s="259" t="str">
        <f t="shared" si="230"/>
        <v>-</v>
      </c>
      <c r="E591" s="674">
        <f t="shared" si="231"/>
        <v>0</v>
      </c>
      <c r="F591" s="673" t="str">
        <f t="shared" si="232"/>
        <v>-</v>
      </c>
      <c r="G591" s="37"/>
      <c r="H591" s="285">
        <f>Preencher!$B$138*Preencher!$Y$157</f>
        <v>0</v>
      </c>
      <c r="I591" s="259" t="str">
        <f t="shared" si="233"/>
        <v>-</v>
      </c>
      <c r="J591" s="674">
        <f t="shared" si="234"/>
        <v>0</v>
      </c>
      <c r="K591" s="673" t="str">
        <f t="shared" si="235"/>
        <v>-</v>
      </c>
      <c r="L591" s="37"/>
      <c r="M591" s="285">
        <f>Preencher!$C$138*Preencher!$Z$157</f>
        <v>0</v>
      </c>
      <c r="N591" s="259" t="str">
        <f t="shared" si="236"/>
        <v>-</v>
      </c>
      <c r="O591" s="674">
        <f t="shared" si="237"/>
        <v>0</v>
      </c>
      <c r="P591" s="673" t="str">
        <f t="shared" si="238"/>
        <v>-</v>
      </c>
      <c r="Q591" s="37"/>
      <c r="R591" s="285">
        <f>Preencher!$D$138*Preencher!$AA$157</f>
        <v>0</v>
      </c>
    </row>
    <row r="592" spans="1:18">
      <c r="A592" s="682" t="s">
        <v>2483</v>
      </c>
      <c r="B592" s="284"/>
      <c r="C592" s="674"/>
      <c r="D592" s="259"/>
      <c r="E592" s="674"/>
      <c r="F592" s="673"/>
      <c r="G592" s="37"/>
      <c r="H592" s="285"/>
      <c r="I592" s="259"/>
      <c r="J592" s="674"/>
      <c r="K592" s="673"/>
      <c r="L592" s="37"/>
      <c r="M592" s="285"/>
      <c r="N592" s="259"/>
      <c r="O592" s="674"/>
      <c r="P592" s="673"/>
      <c r="Q592" s="37"/>
      <c r="R592" s="285"/>
    </row>
    <row r="593" spans="1:18">
      <c r="A593" s="271" t="s">
        <v>2473</v>
      </c>
      <c r="B593" s="284"/>
      <c r="C593" s="674" t="str">
        <f>IF(B593=0,"-",3600/B593)</f>
        <v>-</v>
      </c>
      <c r="D593" s="259" t="str">
        <f>IFERROR((H593/C593),"-")</f>
        <v>-</v>
      </c>
      <c r="E593" s="674">
        <f>IFERROR(ROUNDUP(D593/0.95,0.999),0)</f>
        <v>0</v>
      </c>
      <c r="F593" s="673" t="str">
        <f>IFERROR((H593/C593/E593),"-")</f>
        <v>-</v>
      </c>
      <c r="G593" s="37"/>
      <c r="H593" s="285">
        <f>H590+H591</f>
        <v>0</v>
      </c>
      <c r="I593" s="259" t="str">
        <f>IFERROR((M593/C593),"-")</f>
        <v>-</v>
      </c>
      <c r="J593" s="674">
        <f>IFERROR(ROUNDUP(I593/0.95,0.999),0)</f>
        <v>0</v>
      </c>
      <c r="K593" s="673" t="str">
        <f>IFERROR((M593/C593/J593),"-")</f>
        <v>-</v>
      </c>
      <c r="L593" s="37"/>
      <c r="M593" s="285">
        <f>M590+M591</f>
        <v>0</v>
      </c>
      <c r="N593" s="259" t="str">
        <f>IFERROR((R593/C593),"-")</f>
        <v>-</v>
      </c>
      <c r="O593" s="674">
        <f>IFERROR(ROUNDUP(N593/0.95,0.999),0)</f>
        <v>0</v>
      </c>
      <c r="P593" s="673" t="str">
        <f>IFERROR((R593/C593/O593),"-")</f>
        <v>-</v>
      </c>
      <c r="Q593" s="37"/>
      <c r="R593" s="285">
        <f>R590+R591</f>
        <v>0</v>
      </c>
    </row>
    <row r="594" spans="1:18">
      <c r="A594" s="271" t="s">
        <v>2484</v>
      </c>
      <c r="B594" s="284"/>
      <c r="C594" s="674" t="str">
        <f>IF(B594=0,"-",3600/B594)</f>
        <v>-</v>
      </c>
      <c r="D594" s="259" t="str">
        <f>IFERROR((H594/C594),"-")</f>
        <v>-</v>
      </c>
      <c r="E594" s="674">
        <f>IFERROR(ROUNDUP(D594/0.95,0.999),0)</f>
        <v>0</v>
      </c>
      <c r="F594" s="673" t="str">
        <f>IFERROR((H594/C594/E594),"-")</f>
        <v>-</v>
      </c>
      <c r="G594" s="37"/>
      <c r="H594" s="285">
        <f>Preencher!$B$138*Preencher!$Y$157</f>
        <v>0</v>
      </c>
      <c r="I594" s="259" t="str">
        <f>IFERROR((M594/C594),"-")</f>
        <v>-</v>
      </c>
      <c r="J594" s="674">
        <f>IFERROR(ROUNDUP(I594/0.95,0.999),0)</f>
        <v>0</v>
      </c>
      <c r="K594" s="673" t="str">
        <f>IFERROR((M594/C594/J594),"-")</f>
        <v>-</v>
      </c>
      <c r="L594" s="37"/>
      <c r="M594" s="285">
        <f>Preencher!$C$138*Preencher!$Z$157</f>
        <v>0</v>
      </c>
      <c r="N594" s="259" t="str">
        <f>IFERROR((R594/C594),"-")</f>
        <v>-</v>
      </c>
      <c r="O594" s="674">
        <f>IFERROR(ROUNDUP(N594/0.95,0.999),0)</f>
        <v>0</v>
      </c>
      <c r="P594" s="673" t="str">
        <f>IFERROR((R594/C594/O594),"-")</f>
        <v>-</v>
      </c>
      <c r="Q594" s="37"/>
      <c r="R594" s="285">
        <f>Preencher!$D$138*Preencher!$AA$157</f>
        <v>0</v>
      </c>
    </row>
    <row r="595" spans="1:18">
      <c r="A595" s="271" t="s">
        <v>2488</v>
      </c>
      <c r="B595" s="284"/>
      <c r="C595" s="674"/>
      <c r="D595" s="259"/>
      <c r="E595" s="674">
        <f>SUM(E596:E598)</f>
        <v>0</v>
      </c>
      <c r="F595" s="673" t="str">
        <f>IFERROR(AVERAGE(F596:F598),"-")</f>
        <v>-</v>
      </c>
      <c r="G595" s="37"/>
      <c r="H595" s="285"/>
      <c r="I595" s="259"/>
      <c r="J595" s="674">
        <f>SUM(J596:J598)</f>
        <v>0</v>
      </c>
      <c r="K595" s="673" t="str">
        <f>IFERROR(AVERAGE(K596:K598),"-")</f>
        <v>-</v>
      </c>
      <c r="L595" s="37"/>
      <c r="M595" s="285"/>
      <c r="N595" s="259"/>
      <c r="O595" s="674">
        <f>SUM(O596:O598)</f>
        <v>0</v>
      </c>
      <c r="P595" s="673" t="str">
        <f>IFERROR(AVERAGE(P596:P598),"-")</f>
        <v>-</v>
      </c>
      <c r="Q595" s="37"/>
      <c r="R595" s="285"/>
    </row>
    <row r="596" spans="1:18">
      <c r="A596" s="200" t="s">
        <v>2485</v>
      </c>
      <c r="B596" s="284"/>
      <c r="C596" s="674" t="str">
        <f t="shared" ref="C596:C607" si="239">IF(B596=0,"-",3600/B596)</f>
        <v>-</v>
      </c>
      <c r="D596" s="259" t="str">
        <f t="shared" ref="D596:D607" si="240">IFERROR((H596/C596),"-")</f>
        <v>-</v>
      </c>
      <c r="E596" s="674">
        <f t="shared" ref="E596:E607" si="241">IFERROR(ROUNDUP(D596/0.95,0.999),0)</f>
        <v>0</v>
      </c>
      <c r="F596" s="673" t="str">
        <f t="shared" ref="F596:F607" si="242">IFERROR((H596/C596/E596),"-")</f>
        <v>-</v>
      </c>
      <c r="G596" s="37"/>
      <c r="H596" s="285">
        <f>H593+H594</f>
        <v>0</v>
      </c>
      <c r="I596" s="259" t="str">
        <f t="shared" ref="I596:I607" si="243">IFERROR((M596/C596),"-")</f>
        <v>-</v>
      </c>
      <c r="J596" s="674">
        <f t="shared" ref="J596:J607" si="244">IFERROR(ROUNDUP(I596/0.95,0.999),0)</f>
        <v>0</v>
      </c>
      <c r="K596" s="673" t="str">
        <f t="shared" ref="K596:K607" si="245">IFERROR((M596/C596/J596),"-")</f>
        <v>-</v>
      </c>
      <c r="L596" s="37"/>
      <c r="M596" s="285">
        <f>M593+M594</f>
        <v>0</v>
      </c>
      <c r="N596" s="259" t="str">
        <f t="shared" ref="N596:N607" si="246">IFERROR((R596/C596),"-")</f>
        <v>-</v>
      </c>
      <c r="O596" s="674">
        <f t="shared" ref="O596:O607" si="247">IFERROR(ROUNDUP(N596/0.95,0.999),0)</f>
        <v>0</v>
      </c>
      <c r="P596" s="673" t="str">
        <f t="shared" ref="P596:P607" si="248">IFERROR((R596/C596/O596),"-")</f>
        <v>-</v>
      </c>
      <c r="Q596" s="37"/>
      <c r="R596" s="285">
        <f>R593+R594</f>
        <v>0</v>
      </c>
    </row>
    <row r="597" spans="1:18">
      <c r="A597" s="200" t="s">
        <v>2486</v>
      </c>
      <c r="B597" s="284"/>
      <c r="C597" s="674" t="str">
        <f t="shared" si="239"/>
        <v>-</v>
      </c>
      <c r="D597" s="259" t="str">
        <f t="shared" si="240"/>
        <v>-</v>
      </c>
      <c r="E597" s="674">
        <f t="shared" si="241"/>
        <v>0</v>
      </c>
      <c r="F597" s="673" t="str">
        <f t="shared" si="242"/>
        <v>-</v>
      </c>
      <c r="G597" s="37"/>
      <c r="H597" s="285">
        <f>H594+H595</f>
        <v>0</v>
      </c>
      <c r="I597" s="259" t="str">
        <f t="shared" si="243"/>
        <v>-</v>
      </c>
      <c r="J597" s="674">
        <f t="shared" si="244"/>
        <v>0</v>
      </c>
      <c r="K597" s="673" t="str">
        <f t="shared" si="245"/>
        <v>-</v>
      </c>
      <c r="L597" s="37"/>
      <c r="M597" s="285">
        <f>M594+M595</f>
        <v>0</v>
      </c>
      <c r="N597" s="259" t="str">
        <f t="shared" si="246"/>
        <v>-</v>
      </c>
      <c r="O597" s="674">
        <f t="shared" si="247"/>
        <v>0</v>
      </c>
      <c r="P597" s="673" t="str">
        <f t="shared" si="248"/>
        <v>-</v>
      </c>
      <c r="Q597" s="37"/>
      <c r="R597" s="285">
        <f>R594+R595</f>
        <v>0</v>
      </c>
    </row>
    <row r="598" spans="1:18">
      <c r="A598" s="200" t="s">
        <v>2487</v>
      </c>
      <c r="B598" s="284"/>
      <c r="C598" s="674" t="str">
        <f t="shared" si="239"/>
        <v>-</v>
      </c>
      <c r="D598" s="259" t="str">
        <f t="shared" si="240"/>
        <v>-</v>
      </c>
      <c r="E598" s="674">
        <f t="shared" si="241"/>
        <v>0</v>
      </c>
      <c r="F598" s="673" t="str">
        <f t="shared" si="242"/>
        <v>-</v>
      </c>
      <c r="G598" s="37"/>
      <c r="H598" s="285">
        <f>H595+H596</f>
        <v>0</v>
      </c>
      <c r="I598" s="259" t="str">
        <f t="shared" si="243"/>
        <v>-</v>
      </c>
      <c r="J598" s="674">
        <f t="shared" si="244"/>
        <v>0</v>
      </c>
      <c r="K598" s="673" t="str">
        <f t="shared" si="245"/>
        <v>-</v>
      </c>
      <c r="L598" s="37"/>
      <c r="M598" s="285">
        <f>M595+M596</f>
        <v>0</v>
      </c>
      <c r="N598" s="259" t="str">
        <f t="shared" si="246"/>
        <v>-</v>
      </c>
      <c r="O598" s="674">
        <f t="shared" si="247"/>
        <v>0</v>
      </c>
      <c r="P598" s="673" t="str">
        <f t="shared" si="248"/>
        <v>-</v>
      </c>
      <c r="Q598" s="37"/>
      <c r="R598" s="285">
        <f>R595+R596</f>
        <v>0</v>
      </c>
    </row>
    <row r="599" spans="1:18">
      <c r="A599" s="271" t="s">
        <v>2489</v>
      </c>
      <c r="B599" s="284"/>
      <c r="C599" s="674" t="str">
        <f t="shared" si="239"/>
        <v>-</v>
      </c>
      <c r="D599" s="259" t="str">
        <f t="shared" si="240"/>
        <v>-</v>
      </c>
      <c r="E599" s="674">
        <f t="shared" si="241"/>
        <v>0</v>
      </c>
      <c r="F599" s="673" t="str">
        <f t="shared" si="242"/>
        <v>-</v>
      </c>
      <c r="G599" s="37"/>
      <c r="H599" s="285">
        <f>H596+H597</f>
        <v>0</v>
      </c>
      <c r="I599" s="259" t="str">
        <f t="shared" si="243"/>
        <v>-</v>
      </c>
      <c r="J599" s="674">
        <f t="shared" si="244"/>
        <v>0</v>
      </c>
      <c r="K599" s="673" t="str">
        <f t="shared" si="245"/>
        <v>-</v>
      </c>
      <c r="L599" s="37"/>
      <c r="M599" s="285">
        <f>M596+M597</f>
        <v>0</v>
      </c>
      <c r="N599" s="259" t="str">
        <f t="shared" si="246"/>
        <v>-</v>
      </c>
      <c r="O599" s="674">
        <f t="shared" si="247"/>
        <v>0</v>
      </c>
      <c r="P599" s="673" t="str">
        <f t="shared" si="248"/>
        <v>-</v>
      </c>
      <c r="Q599" s="37"/>
      <c r="R599" s="285">
        <f>R596+R597</f>
        <v>0</v>
      </c>
    </row>
    <row r="600" spans="1:18">
      <c r="A600" s="271" t="s">
        <v>2490</v>
      </c>
      <c r="B600" s="284"/>
      <c r="C600" s="674" t="str">
        <f t="shared" si="239"/>
        <v>-</v>
      </c>
      <c r="D600" s="259" t="str">
        <f t="shared" si="240"/>
        <v>-</v>
      </c>
      <c r="E600" s="674">
        <f t="shared" si="241"/>
        <v>0</v>
      </c>
      <c r="F600" s="673" t="str">
        <f t="shared" si="242"/>
        <v>-</v>
      </c>
      <c r="G600" s="37"/>
      <c r="H600" s="285">
        <f>H597+H598</f>
        <v>0</v>
      </c>
      <c r="I600" s="259" t="str">
        <f t="shared" si="243"/>
        <v>-</v>
      </c>
      <c r="J600" s="674">
        <f t="shared" si="244"/>
        <v>0</v>
      </c>
      <c r="K600" s="673" t="str">
        <f t="shared" si="245"/>
        <v>-</v>
      </c>
      <c r="L600" s="37"/>
      <c r="M600" s="285">
        <f>M597+M598</f>
        <v>0</v>
      </c>
      <c r="N600" s="259" t="str">
        <f t="shared" si="246"/>
        <v>-</v>
      </c>
      <c r="O600" s="674">
        <f t="shared" si="247"/>
        <v>0</v>
      </c>
      <c r="P600" s="673" t="str">
        <f t="shared" si="248"/>
        <v>-</v>
      </c>
      <c r="Q600" s="37"/>
      <c r="R600" s="285">
        <f>R597+R598</f>
        <v>0</v>
      </c>
    </row>
    <row r="601" spans="1:18">
      <c r="A601" s="271" t="s">
        <v>2491</v>
      </c>
      <c r="B601" s="284"/>
      <c r="C601" s="674" t="str">
        <f t="shared" si="239"/>
        <v>-</v>
      </c>
      <c r="D601" s="259" t="str">
        <f t="shared" si="240"/>
        <v>-</v>
      </c>
      <c r="E601" s="674">
        <f t="shared" si="241"/>
        <v>0</v>
      </c>
      <c r="F601" s="673" t="str">
        <f t="shared" si="242"/>
        <v>-</v>
      </c>
      <c r="G601" s="37"/>
      <c r="H601" s="285">
        <f>Preencher!$B$138*Preencher!$Y$157</f>
        <v>0</v>
      </c>
      <c r="I601" s="259" t="str">
        <f t="shared" si="243"/>
        <v>-</v>
      </c>
      <c r="J601" s="674">
        <f t="shared" si="244"/>
        <v>0</v>
      </c>
      <c r="K601" s="673" t="str">
        <f t="shared" si="245"/>
        <v>-</v>
      </c>
      <c r="L601" s="37"/>
      <c r="M601" s="285">
        <f>Preencher!$C$138*Preencher!$Z$157</f>
        <v>0</v>
      </c>
      <c r="N601" s="259" t="str">
        <f t="shared" si="246"/>
        <v>-</v>
      </c>
      <c r="O601" s="674">
        <f t="shared" si="247"/>
        <v>0</v>
      </c>
      <c r="P601" s="673" t="str">
        <f t="shared" si="248"/>
        <v>-</v>
      </c>
      <c r="Q601" s="37"/>
      <c r="R601" s="285">
        <f>Preencher!$D$138*Preencher!$AA$157</f>
        <v>0</v>
      </c>
    </row>
    <row r="602" spans="1:18">
      <c r="A602" s="271" t="s">
        <v>2492</v>
      </c>
      <c r="B602" s="284"/>
      <c r="C602" s="674" t="str">
        <f t="shared" si="239"/>
        <v>-</v>
      </c>
      <c r="D602" s="259" t="str">
        <f t="shared" si="240"/>
        <v>-</v>
      </c>
      <c r="E602" s="674">
        <f t="shared" si="241"/>
        <v>0</v>
      </c>
      <c r="F602" s="673" t="str">
        <f t="shared" si="242"/>
        <v>-</v>
      </c>
      <c r="G602" s="37"/>
      <c r="H602" s="285">
        <f>H599+H600</f>
        <v>0</v>
      </c>
      <c r="I602" s="259" t="str">
        <f t="shared" si="243"/>
        <v>-</v>
      </c>
      <c r="J602" s="674">
        <f t="shared" si="244"/>
        <v>0</v>
      </c>
      <c r="K602" s="673" t="str">
        <f t="shared" si="245"/>
        <v>-</v>
      </c>
      <c r="L602" s="37"/>
      <c r="M602" s="285">
        <f>M599+M600</f>
        <v>0</v>
      </c>
      <c r="N602" s="259" t="str">
        <f t="shared" si="246"/>
        <v>-</v>
      </c>
      <c r="O602" s="674">
        <f t="shared" si="247"/>
        <v>0</v>
      </c>
      <c r="P602" s="673" t="str">
        <f t="shared" si="248"/>
        <v>-</v>
      </c>
      <c r="Q602" s="37"/>
      <c r="R602" s="285">
        <f>R599+R600</f>
        <v>0</v>
      </c>
    </row>
    <row r="603" spans="1:18">
      <c r="A603" s="271" t="s">
        <v>2480</v>
      </c>
      <c r="B603" s="284"/>
      <c r="C603" s="674" t="str">
        <f t="shared" si="239"/>
        <v>-</v>
      </c>
      <c r="D603" s="259" t="str">
        <f t="shared" si="240"/>
        <v>-</v>
      </c>
      <c r="E603" s="674">
        <f t="shared" si="241"/>
        <v>0</v>
      </c>
      <c r="F603" s="673" t="str">
        <f t="shared" si="242"/>
        <v>-</v>
      </c>
      <c r="G603" s="37"/>
      <c r="H603" s="285">
        <f>Preencher!$B$138*Preencher!$Y$157</f>
        <v>0</v>
      </c>
      <c r="I603" s="259" t="str">
        <f t="shared" si="243"/>
        <v>-</v>
      </c>
      <c r="J603" s="674">
        <f t="shared" si="244"/>
        <v>0</v>
      </c>
      <c r="K603" s="673" t="str">
        <f t="shared" si="245"/>
        <v>-</v>
      </c>
      <c r="L603" s="37"/>
      <c r="M603" s="285">
        <f>Preencher!$C$138*Preencher!$Z$157</f>
        <v>0</v>
      </c>
      <c r="N603" s="259" t="str">
        <f t="shared" si="246"/>
        <v>-</v>
      </c>
      <c r="O603" s="674">
        <f t="shared" si="247"/>
        <v>0</v>
      </c>
      <c r="P603" s="673" t="str">
        <f t="shared" si="248"/>
        <v>-</v>
      </c>
      <c r="Q603" s="37"/>
      <c r="R603" s="285">
        <f>Preencher!$D$138*Preencher!$AA$157</f>
        <v>0</v>
      </c>
    </row>
    <row r="604" spans="1:18">
      <c r="A604" s="271" t="s">
        <v>2465</v>
      </c>
      <c r="B604" s="284"/>
      <c r="C604" s="674" t="str">
        <f t="shared" si="239"/>
        <v>-</v>
      </c>
      <c r="D604" s="259" t="str">
        <f t="shared" si="240"/>
        <v>-</v>
      </c>
      <c r="E604" s="674">
        <f t="shared" si="241"/>
        <v>0</v>
      </c>
      <c r="F604" s="673" t="str">
        <f t="shared" si="242"/>
        <v>-</v>
      </c>
      <c r="G604" s="37"/>
      <c r="H604" s="285">
        <f>H601+H602</f>
        <v>0</v>
      </c>
      <c r="I604" s="259" t="str">
        <f t="shared" si="243"/>
        <v>-</v>
      </c>
      <c r="J604" s="674">
        <f t="shared" si="244"/>
        <v>0</v>
      </c>
      <c r="K604" s="673" t="str">
        <f t="shared" si="245"/>
        <v>-</v>
      </c>
      <c r="L604" s="37"/>
      <c r="M604" s="285">
        <f>M601+M602</f>
        <v>0</v>
      </c>
      <c r="N604" s="259" t="str">
        <f t="shared" si="246"/>
        <v>-</v>
      </c>
      <c r="O604" s="674">
        <f t="shared" si="247"/>
        <v>0</v>
      </c>
      <c r="P604" s="673" t="str">
        <f t="shared" si="248"/>
        <v>-</v>
      </c>
      <c r="Q604" s="37"/>
      <c r="R604" s="285">
        <f>R601+R602</f>
        <v>0</v>
      </c>
    </row>
    <row r="605" spans="1:18">
      <c r="A605" s="271" t="s">
        <v>2493</v>
      </c>
      <c r="B605" s="284"/>
      <c r="C605" s="674" t="str">
        <f t="shared" si="239"/>
        <v>-</v>
      </c>
      <c r="D605" s="259" t="str">
        <f t="shared" si="240"/>
        <v>-</v>
      </c>
      <c r="E605" s="674">
        <f t="shared" si="241"/>
        <v>0</v>
      </c>
      <c r="F605" s="673" t="str">
        <f t="shared" si="242"/>
        <v>-</v>
      </c>
      <c r="G605" s="37"/>
      <c r="H605" s="285">
        <f>Preencher!$B$138*Preencher!$Y$157</f>
        <v>0</v>
      </c>
      <c r="I605" s="259" t="str">
        <f t="shared" si="243"/>
        <v>-</v>
      </c>
      <c r="J605" s="674">
        <f t="shared" si="244"/>
        <v>0</v>
      </c>
      <c r="K605" s="673" t="str">
        <f t="shared" si="245"/>
        <v>-</v>
      </c>
      <c r="L605" s="37"/>
      <c r="M605" s="285">
        <f>Preencher!$C$138*Preencher!$Z$157</f>
        <v>0</v>
      </c>
      <c r="N605" s="259" t="str">
        <f t="shared" si="246"/>
        <v>-</v>
      </c>
      <c r="O605" s="674">
        <f t="shared" si="247"/>
        <v>0</v>
      </c>
      <c r="P605" s="673" t="str">
        <f t="shared" si="248"/>
        <v>-</v>
      </c>
      <c r="Q605" s="37"/>
      <c r="R605" s="285">
        <f>Preencher!$D$138*Preencher!$AA$157</f>
        <v>0</v>
      </c>
    </row>
    <row r="606" spans="1:18">
      <c r="A606" s="271" t="s">
        <v>2494</v>
      </c>
      <c r="B606" s="284"/>
      <c r="C606" s="674" t="str">
        <f t="shared" si="239"/>
        <v>-</v>
      </c>
      <c r="D606" s="259" t="str">
        <f t="shared" si="240"/>
        <v>-</v>
      </c>
      <c r="E606" s="674">
        <f t="shared" si="241"/>
        <v>0</v>
      </c>
      <c r="F606" s="673" t="str">
        <f t="shared" si="242"/>
        <v>-</v>
      </c>
      <c r="G606" s="37"/>
      <c r="H606" s="285">
        <f>H603+H604</f>
        <v>0</v>
      </c>
      <c r="I606" s="259" t="str">
        <f t="shared" si="243"/>
        <v>-</v>
      </c>
      <c r="J606" s="674">
        <f t="shared" si="244"/>
        <v>0</v>
      </c>
      <c r="K606" s="673" t="str">
        <f t="shared" si="245"/>
        <v>-</v>
      </c>
      <c r="L606" s="37"/>
      <c r="M606" s="285">
        <f>M603+M604</f>
        <v>0</v>
      </c>
      <c r="N606" s="259" t="str">
        <f t="shared" si="246"/>
        <v>-</v>
      </c>
      <c r="O606" s="674">
        <f t="shared" si="247"/>
        <v>0</v>
      </c>
      <c r="P606" s="673" t="str">
        <f t="shared" si="248"/>
        <v>-</v>
      </c>
      <c r="Q606" s="37"/>
      <c r="R606" s="285">
        <f>R603+R604</f>
        <v>0</v>
      </c>
    </row>
    <row r="607" spans="1:18">
      <c r="A607" s="271" t="s">
        <v>2495</v>
      </c>
      <c r="B607" s="284"/>
      <c r="C607" s="674" t="str">
        <f t="shared" si="239"/>
        <v>-</v>
      </c>
      <c r="D607" s="259" t="str">
        <f t="shared" si="240"/>
        <v>-</v>
      </c>
      <c r="E607" s="674">
        <f t="shared" si="241"/>
        <v>0</v>
      </c>
      <c r="F607" s="673" t="str">
        <f t="shared" si="242"/>
        <v>-</v>
      </c>
      <c r="G607" s="37"/>
      <c r="H607" s="285">
        <f>Preencher!$B$138*Preencher!$Y$157</f>
        <v>0</v>
      </c>
      <c r="I607" s="259" t="str">
        <f t="shared" si="243"/>
        <v>-</v>
      </c>
      <c r="J607" s="674">
        <f t="shared" si="244"/>
        <v>0</v>
      </c>
      <c r="K607" s="673" t="str">
        <f t="shared" si="245"/>
        <v>-</v>
      </c>
      <c r="L607" s="37"/>
      <c r="M607" s="285">
        <f>Preencher!$C$138*Preencher!$Z$157</f>
        <v>0</v>
      </c>
      <c r="N607" s="259" t="str">
        <f t="shared" si="246"/>
        <v>-</v>
      </c>
      <c r="O607" s="674">
        <f t="shared" si="247"/>
        <v>0</v>
      </c>
      <c r="P607" s="673" t="str">
        <f t="shared" si="248"/>
        <v>-</v>
      </c>
      <c r="Q607" s="37"/>
      <c r="R607" s="285">
        <f>Preencher!$D$138*Preencher!$AA$157</f>
        <v>0</v>
      </c>
    </row>
    <row r="608" spans="1:18">
      <c r="A608" s="271"/>
      <c r="B608" s="284"/>
      <c r="C608" s="674"/>
      <c r="D608" s="259"/>
      <c r="E608" s="674"/>
      <c r="F608" s="673"/>
      <c r="G608" s="37"/>
      <c r="H608" s="285"/>
      <c r="I608" s="259"/>
      <c r="J608" s="674"/>
      <c r="K608" s="673"/>
      <c r="L608" s="37"/>
      <c r="M608" s="285"/>
      <c r="N608" s="259"/>
      <c r="O608" s="674"/>
      <c r="P608" s="673"/>
      <c r="Q608" s="37"/>
      <c r="R608" s="285"/>
    </row>
    <row r="609" spans="1:18">
      <c r="A609" s="271"/>
      <c r="B609" s="284"/>
      <c r="C609" s="674"/>
      <c r="D609" s="259"/>
      <c r="E609" s="674"/>
      <c r="F609" s="673"/>
      <c r="G609" s="37"/>
      <c r="H609" s="285"/>
      <c r="I609" s="259"/>
      <c r="J609" s="674"/>
      <c r="K609" s="673"/>
      <c r="L609" s="37"/>
      <c r="M609" s="285"/>
      <c r="N609" s="259"/>
      <c r="O609" s="674"/>
      <c r="P609" s="673"/>
      <c r="Q609" s="37"/>
      <c r="R609" s="285"/>
    </row>
    <row r="610" spans="1:18">
      <c r="A610" s="271"/>
      <c r="B610" s="284"/>
      <c r="C610" s="674"/>
      <c r="D610" s="259"/>
      <c r="E610" s="674"/>
      <c r="F610" s="673"/>
      <c r="G610" s="37"/>
      <c r="H610" s="285"/>
      <c r="I610" s="259"/>
      <c r="J610" s="674"/>
      <c r="K610" s="673"/>
      <c r="L610" s="37"/>
      <c r="M610" s="285"/>
      <c r="N610" s="259"/>
      <c r="O610" s="674"/>
      <c r="P610" s="673"/>
      <c r="Q610" s="37"/>
      <c r="R610" s="285"/>
    </row>
    <row r="611" spans="1:18">
      <c r="A611" s="271" t="s">
        <v>650</v>
      </c>
      <c r="B611" s="284"/>
      <c r="C611" s="376"/>
      <c r="D611" s="259"/>
      <c r="E611" s="376">
        <f>SUM(E612:E613)</f>
        <v>0</v>
      </c>
      <c r="F611" s="377" t="str">
        <f>IFERROR(AVERAGE(F612:F613),"-")</f>
        <v>-</v>
      </c>
      <c r="G611" s="37"/>
      <c r="H611" s="285"/>
      <c r="I611" s="259"/>
      <c r="J611" s="376">
        <f>SUM(J612:J613)</f>
        <v>0</v>
      </c>
      <c r="K611" s="377" t="str">
        <f>IFERROR(AVERAGE(K612:K613),"-")</f>
        <v>-</v>
      </c>
      <c r="L611" s="37"/>
      <c r="M611" s="285"/>
      <c r="N611" s="259"/>
      <c r="O611" s="376">
        <f>SUM(O612:O613)</f>
        <v>0</v>
      </c>
      <c r="P611" s="377" t="str">
        <f>IFERROR(AVERAGE(P612:P613),"-")</f>
        <v>-</v>
      </c>
      <c r="Q611" s="37"/>
      <c r="R611" s="285"/>
    </row>
    <row r="612" spans="1:18">
      <c r="A612" s="200" t="s">
        <v>1575</v>
      </c>
      <c r="B612" s="284">
        <f>1.2-1.2</f>
        <v>0</v>
      </c>
      <c r="C612" s="376" t="str">
        <f>IF(B612=0,"-",3600/B612)</f>
        <v>-</v>
      </c>
      <c r="D612" s="259" t="str">
        <f>IFERROR((H612/C612),"-")</f>
        <v>-</v>
      </c>
      <c r="E612" s="376">
        <f>IFERROR(ROUNDUP(D612/0.95,0.999),0)</f>
        <v>0</v>
      </c>
      <c r="F612" s="377" t="str">
        <f>IFERROR((H612/C612/E612),"-")</f>
        <v>-</v>
      </c>
      <c r="G612" s="37"/>
      <c r="H612" s="285">
        <f>H576</f>
        <v>0</v>
      </c>
      <c r="I612" s="259" t="str">
        <f>IFERROR((M612/C612),"-")</f>
        <v>-</v>
      </c>
      <c r="J612" s="376">
        <f>IFERROR(ROUNDUP(I612/0.95,0.999),0)</f>
        <v>0</v>
      </c>
      <c r="K612" s="377" t="str">
        <f>IFERROR((M612/C612/J612),"-")</f>
        <v>-</v>
      </c>
      <c r="L612" s="37"/>
      <c r="M612" s="285">
        <f>M576</f>
        <v>0</v>
      </c>
      <c r="N612" s="259" t="str">
        <f>IFERROR((R612/C612),"-")</f>
        <v>-</v>
      </c>
      <c r="O612" s="376">
        <f>IFERROR(ROUNDUP(N612/0.95,0.999),0)</f>
        <v>0</v>
      </c>
      <c r="P612" s="377" t="str">
        <f>IFERROR((R612/C612/O612),"-")</f>
        <v>-</v>
      </c>
      <c r="Q612" s="37"/>
      <c r="R612" s="285">
        <f>R576</f>
        <v>0</v>
      </c>
    </row>
    <row r="613" spans="1:18">
      <c r="A613" s="200" t="s">
        <v>2170</v>
      </c>
      <c r="B613" s="284">
        <v>28.5</v>
      </c>
      <c r="C613" s="376">
        <f>IF(B613=0,"-",3600/B613)</f>
        <v>126.31578947368421</v>
      </c>
      <c r="D613" s="259">
        <f>IFERROR((H613/C613),"-")</f>
        <v>0</v>
      </c>
      <c r="E613" s="376">
        <f>IFERROR(ROUNDUP(D613/0.95,0.999),0)</f>
        <v>0</v>
      </c>
      <c r="F613" s="377" t="str">
        <f>IFERROR((H613/C613/E613),"-")</f>
        <v>-</v>
      </c>
      <c r="G613" s="37"/>
      <c r="H613" s="285">
        <f>Preencher!$B$138*Preencher!$Y$157*Preencher!$I$23*13%/7.5</f>
        <v>0</v>
      </c>
      <c r="I613" s="259">
        <f>IFERROR((M613/C613),"-")</f>
        <v>0</v>
      </c>
      <c r="J613" s="376">
        <f>IFERROR(ROUNDUP(I613/0.95,0.999),0)</f>
        <v>0</v>
      </c>
      <c r="K613" s="377" t="str">
        <f>IFERROR((M613/C613/J613),"-")</f>
        <v>-</v>
      </c>
      <c r="L613" s="37"/>
      <c r="M613" s="285">
        <f>Preencher!$C$138*Preencher!$Z$157*Preencher!$I$23*13%/7.5</f>
        <v>0</v>
      </c>
      <c r="N613" s="259">
        <f>IFERROR((R613/C613),"-")</f>
        <v>0</v>
      </c>
      <c r="O613" s="376">
        <f>IFERROR(ROUNDUP(N613/0.95,0.999),0)</f>
        <v>0</v>
      </c>
      <c r="P613" s="377" t="str">
        <f>IFERROR((R613/C613/O613),"-")</f>
        <v>-</v>
      </c>
      <c r="Q613" s="37"/>
      <c r="R613" s="285">
        <f>Preencher!$D$138*Preencher!$AA$157*Preencher!$I$23*13%/7.5</f>
        <v>0</v>
      </c>
    </row>
    <row r="614" spans="1:18">
      <c r="A614" s="271" t="s">
        <v>820</v>
      </c>
      <c r="B614" s="284"/>
      <c r="C614" s="376"/>
      <c r="D614" s="259"/>
      <c r="E614" s="376">
        <f>SUM(E615:E620)</f>
        <v>0</v>
      </c>
      <c r="F614" s="377" t="str">
        <f>IFERROR(AVERAGE(F615:F623),"-")</f>
        <v>-</v>
      </c>
      <c r="G614" s="37"/>
      <c r="H614" s="285"/>
      <c r="I614" s="259"/>
      <c r="J614" s="376">
        <f>SUM(J615:J616)</f>
        <v>0</v>
      </c>
      <c r="K614" s="377" t="str">
        <f>IFERROR(AVERAGE(K615:K616),"-")</f>
        <v>-</v>
      </c>
      <c r="L614" s="37"/>
      <c r="M614" s="285"/>
      <c r="N614" s="259"/>
      <c r="O614" s="376">
        <f>SUM(O615:O616)</f>
        <v>0</v>
      </c>
      <c r="P614" s="377" t="str">
        <f>IFERROR(AVERAGE(P615:P616),"-")</f>
        <v>-</v>
      </c>
      <c r="Q614" s="37"/>
      <c r="R614" s="285"/>
    </row>
    <row r="615" spans="1:18">
      <c r="A615" s="200" t="s">
        <v>1575</v>
      </c>
      <c r="B615" s="284">
        <f>1.1-1.1</f>
        <v>0</v>
      </c>
      <c r="C615" s="376" t="str">
        <f t="shared" ref="C615:C622" si="249">IF(B615=0,"-",3600/B615)</f>
        <v>-</v>
      </c>
      <c r="D615" s="259" t="str">
        <f t="shared" ref="D615:D622" si="250">IFERROR((H615/C615),"-")</f>
        <v>-</v>
      </c>
      <c r="E615" s="376">
        <f t="shared" ref="E615:E622" si="251">IFERROR(ROUNDUP(D615/0.95,0.999),0)</f>
        <v>0</v>
      </c>
      <c r="F615" s="377" t="str">
        <f t="shared" ref="F615:F622" si="252">IFERROR((H615/C615/E615),"-")</f>
        <v>-</v>
      </c>
      <c r="G615" s="37"/>
      <c r="H615" s="285">
        <f>H576</f>
        <v>0</v>
      </c>
      <c r="I615" s="259" t="str">
        <f t="shared" ref="I615:I622" si="253">IFERROR((M615/C615),"-")</f>
        <v>-</v>
      </c>
      <c r="J615" s="376">
        <f t="shared" ref="J615:J622" si="254">IFERROR(ROUNDUP(I615/0.95,0.999),0)</f>
        <v>0</v>
      </c>
      <c r="K615" s="377" t="str">
        <f t="shared" ref="K615:K622" si="255">IFERROR((M615/C615/J615),"-")</f>
        <v>-</v>
      </c>
      <c r="L615" s="37"/>
      <c r="M615" s="285">
        <f>M576</f>
        <v>0</v>
      </c>
      <c r="N615" s="259" t="str">
        <f t="shared" ref="N615:N622" si="256">IFERROR((R615/C615),"-")</f>
        <v>-</v>
      </c>
      <c r="O615" s="376">
        <f t="shared" ref="O615:O622" si="257">IFERROR(ROUNDUP(N615/0.95,0.999),0)</f>
        <v>0</v>
      </c>
      <c r="P615" s="377" t="str">
        <f t="shared" ref="P615:P622" si="258">IFERROR((R615/C615/O615),"-")</f>
        <v>-</v>
      </c>
      <c r="Q615" s="37"/>
      <c r="R615" s="285">
        <f>R576</f>
        <v>0</v>
      </c>
    </row>
    <row r="616" spans="1:18">
      <c r="A616" s="200" t="s">
        <v>2171</v>
      </c>
      <c r="B616" s="284">
        <v>3384</v>
      </c>
      <c r="C616" s="376">
        <f t="shared" si="249"/>
        <v>1.0638297872340425</v>
      </c>
      <c r="D616" s="259">
        <f t="shared" si="250"/>
        <v>0</v>
      </c>
      <c r="E616" s="376">
        <f t="shared" si="251"/>
        <v>0</v>
      </c>
      <c r="F616" s="377" t="str">
        <f t="shared" si="252"/>
        <v>-</v>
      </c>
      <c r="G616" s="37"/>
      <c r="H616" s="285">
        <f>IF(H613&gt;0,1,0)</f>
        <v>0</v>
      </c>
      <c r="I616" s="259">
        <f t="shared" si="253"/>
        <v>0</v>
      </c>
      <c r="J616" s="376">
        <f t="shared" si="254"/>
        <v>0</v>
      </c>
      <c r="K616" s="377" t="str">
        <f t="shared" si="255"/>
        <v>-</v>
      </c>
      <c r="L616" s="37"/>
      <c r="M616" s="285">
        <f t="shared" ref="M616:M622" si="259">IF(M613&gt;0,1,0)</f>
        <v>0</v>
      </c>
      <c r="N616" s="259">
        <f t="shared" si="256"/>
        <v>0</v>
      </c>
      <c r="O616" s="376">
        <f t="shared" si="257"/>
        <v>0</v>
      </c>
      <c r="P616" s="377" t="str">
        <f t="shared" si="258"/>
        <v>-</v>
      </c>
      <c r="Q616" s="37"/>
      <c r="R616" s="285">
        <f t="shared" ref="R616:R622" si="260">IF(R613&gt;0,1,0)</f>
        <v>0</v>
      </c>
    </row>
    <row r="617" spans="1:18">
      <c r="A617" s="675" t="s">
        <v>2466</v>
      </c>
      <c r="B617" s="284"/>
      <c r="C617" s="674" t="str">
        <f t="shared" si="249"/>
        <v>-</v>
      </c>
      <c r="D617" s="259" t="str">
        <f t="shared" si="250"/>
        <v>-</v>
      </c>
      <c r="E617" s="674">
        <f t="shared" si="251"/>
        <v>0</v>
      </c>
      <c r="F617" s="673" t="str">
        <f t="shared" si="252"/>
        <v>-</v>
      </c>
      <c r="G617" s="37"/>
      <c r="H617" s="285"/>
      <c r="I617" s="259" t="str">
        <f t="shared" si="253"/>
        <v>-</v>
      </c>
      <c r="J617" s="674">
        <f t="shared" si="254"/>
        <v>0</v>
      </c>
      <c r="K617" s="673" t="str">
        <f t="shared" si="255"/>
        <v>-</v>
      </c>
      <c r="L617" s="37"/>
      <c r="M617" s="285">
        <f t="shared" si="259"/>
        <v>0</v>
      </c>
      <c r="N617" s="259" t="str">
        <f t="shared" si="256"/>
        <v>-</v>
      </c>
      <c r="O617" s="674">
        <f t="shared" si="257"/>
        <v>0</v>
      </c>
      <c r="P617" s="673" t="str">
        <f t="shared" si="258"/>
        <v>-</v>
      </c>
      <c r="Q617" s="37"/>
      <c r="R617" s="285">
        <f t="shared" si="260"/>
        <v>0</v>
      </c>
    </row>
    <row r="618" spans="1:18">
      <c r="A618" s="675" t="s">
        <v>2467</v>
      </c>
      <c r="B618" s="284"/>
      <c r="C618" s="674" t="str">
        <f t="shared" si="249"/>
        <v>-</v>
      </c>
      <c r="D618" s="259" t="str">
        <f t="shared" si="250"/>
        <v>-</v>
      </c>
      <c r="E618" s="674">
        <f t="shared" si="251"/>
        <v>0</v>
      </c>
      <c r="F618" s="673" t="str">
        <f t="shared" si="252"/>
        <v>-</v>
      </c>
      <c r="G618" s="37"/>
      <c r="H618" s="285"/>
      <c r="I618" s="259" t="str">
        <f t="shared" si="253"/>
        <v>-</v>
      </c>
      <c r="J618" s="674">
        <f t="shared" si="254"/>
        <v>0</v>
      </c>
      <c r="K618" s="673" t="str">
        <f t="shared" si="255"/>
        <v>-</v>
      </c>
      <c r="L618" s="37"/>
      <c r="M618" s="285">
        <f t="shared" si="259"/>
        <v>0</v>
      </c>
      <c r="N618" s="259" t="str">
        <f t="shared" si="256"/>
        <v>-</v>
      </c>
      <c r="O618" s="674">
        <f t="shared" si="257"/>
        <v>0</v>
      </c>
      <c r="P618" s="673" t="str">
        <f t="shared" si="258"/>
        <v>-</v>
      </c>
      <c r="Q618" s="37"/>
      <c r="R618" s="285">
        <f t="shared" si="260"/>
        <v>0</v>
      </c>
    </row>
    <row r="619" spans="1:18">
      <c r="A619" s="675" t="s">
        <v>2468</v>
      </c>
      <c r="B619" s="284"/>
      <c r="C619" s="674" t="str">
        <f t="shared" si="249"/>
        <v>-</v>
      </c>
      <c r="D619" s="259" t="str">
        <f t="shared" si="250"/>
        <v>-</v>
      </c>
      <c r="E619" s="674">
        <f t="shared" si="251"/>
        <v>0</v>
      </c>
      <c r="F619" s="673" t="str">
        <f t="shared" si="252"/>
        <v>-</v>
      </c>
      <c r="G619" s="37"/>
      <c r="H619" s="285"/>
      <c r="I619" s="259" t="str">
        <f t="shared" si="253"/>
        <v>-</v>
      </c>
      <c r="J619" s="674">
        <f t="shared" si="254"/>
        <v>0</v>
      </c>
      <c r="K619" s="673" t="str">
        <f t="shared" si="255"/>
        <v>-</v>
      </c>
      <c r="L619" s="37"/>
      <c r="M619" s="285">
        <f t="shared" si="259"/>
        <v>0</v>
      </c>
      <c r="N619" s="259" t="str">
        <f t="shared" si="256"/>
        <v>-</v>
      </c>
      <c r="O619" s="674">
        <f t="shared" si="257"/>
        <v>0</v>
      </c>
      <c r="P619" s="673" t="str">
        <f t="shared" si="258"/>
        <v>-</v>
      </c>
      <c r="Q619" s="37"/>
      <c r="R619" s="285">
        <f t="shared" si="260"/>
        <v>0</v>
      </c>
    </row>
    <row r="620" spans="1:18">
      <c r="A620" s="675" t="s">
        <v>2469</v>
      </c>
      <c r="B620" s="284"/>
      <c r="C620" s="674" t="str">
        <f t="shared" si="249"/>
        <v>-</v>
      </c>
      <c r="D620" s="259" t="str">
        <f t="shared" si="250"/>
        <v>-</v>
      </c>
      <c r="E620" s="674">
        <f t="shared" si="251"/>
        <v>0</v>
      </c>
      <c r="F620" s="673" t="str">
        <f t="shared" si="252"/>
        <v>-</v>
      </c>
      <c r="G620" s="37"/>
      <c r="H620" s="285"/>
      <c r="I620" s="259" t="str">
        <f t="shared" si="253"/>
        <v>-</v>
      </c>
      <c r="J620" s="674">
        <f t="shared" si="254"/>
        <v>0</v>
      </c>
      <c r="K620" s="673" t="str">
        <f t="shared" si="255"/>
        <v>-</v>
      </c>
      <c r="L620" s="37"/>
      <c r="M620" s="285">
        <f t="shared" si="259"/>
        <v>0</v>
      </c>
      <c r="N620" s="259" t="str">
        <f t="shared" si="256"/>
        <v>-</v>
      </c>
      <c r="O620" s="674">
        <f t="shared" si="257"/>
        <v>0</v>
      </c>
      <c r="P620" s="673" t="str">
        <f t="shared" si="258"/>
        <v>-</v>
      </c>
      <c r="Q620" s="37"/>
      <c r="R620" s="285">
        <f t="shared" si="260"/>
        <v>0</v>
      </c>
    </row>
    <row r="621" spans="1:18">
      <c r="A621" s="675" t="s">
        <v>2471</v>
      </c>
      <c r="B621" s="284"/>
      <c r="C621" s="674" t="str">
        <f t="shared" si="249"/>
        <v>-</v>
      </c>
      <c r="D621" s="259" t="str">
        <f t="shared" si="250"/>
        <v>-</v>
      </c>
      <c r="E621" s="674">
        <f t="shared" si="251"/>
        <v>0</v>
      </c>
      <c r="F621" s="673" t="str">
        <f t="shared" si="252"/>
        <v>-</v>
      </c>
      <c r="G621" s="37"/>
      <c r="H621" s="285"/>
      <c r="I621" s="259" t="str">
        <f t="shared" si="253"/>
        <v>-</v>
      </c>
      <c r="J621" s="674">
        <f t="shared" si="254"/>
        <v>0</v>
      </c>
      <c r="K621" s="673" t="str">
        <f t="shared" si="255"/>
        <v>-</v>
      </c>
      <c r="L621" s="37"/>
      <c r="M621" s="285">
        <f t="shared" si="259"/>
        <v>0</v>
      </c>
      <c r="N621" s="259" t="str">
        <f t="shared" si="256"/>
        <v>-</v>
      </c>
      <c r="O621" s="674">
        <f t="shared" si="257"/>
        <v>0</v>
      </c>
      <c r="P621" s="673" t="str">
        <f t="shared" si="258"/>
        <v>-</v>
      </c>
      <c r="Q621" s="37"/>
      <c r="R621" s="285">
        <f t="shared" si="260"/>
        <v>0</v>
      </c>
    </row>
    <row r="622" spans="1:18">
      <c r="A622" s="675" t="s">
        <v>2472</v>
      </c>
      <c r="B622" s="284"/>
      <c r="C622" s="674" t="str">
        <f t="shared" si="249"/>
        <v>-</v>
      </c>
      <c r="D622" s="259" t="str">
        <f t="shared" si="250"/>
        <v>-</v>
      </c>
      <c r="E622" s="674">
        <f t="shared" si="251"/>
        <v>0</v>
      </c>
      <c r="F622" s="673" t="str">
        <f t="shared" si="252"/>
        <v>-</v>
      </c>
      <c r="G622" s="37"/>
      <c r="H622" s="285"/>
      <c r="I622" s="259" t="str">
        <f t="shared" si="253"/>
        <v>-</v>
      </c>
      <c r="J622" s="674">
        <f t="shared" si="254"/>
        <v>0</v>
      </c>
      <c r="K622" s="673" t="str">
        <f t="shared" si="255"/>
        <v>-</v>
      </c>
      <c r="L622" s="37"/>
      <c r="M622" s="285">
        <f t="shared" si="259"/>
        <v>0</v>
      </c>
      <c r="N622" s="259" t="str">
        <f t="shared" si="256"/>
        <v>-</v>
      </c>
      <c r="O622" s="674">
        <f t="shared" si="257"/>
        <v>0</v>
      </c>
      <c r="P622" s="673" t="str">
        <f t="shared" si="258"/>
        <v>-</v>
      </c>
      <c r="Q622" s="37"/>
      <c r="R622" s="285">
        <f t="shared" si="260"/>
        <v>0</v>
      </c>
    </row>
    <row r="623" spans="1:18">
      <c r="A623" s="271" t="s">
        <v>651</v>
      </c>
      <c r="B623" s="284"/>
      <c r="C623" s="674"/>
      <c r="D623" s="259"/>
      <c r="E623" s="674">
        <f>SUM(E624:E627)</f>
        <v>0</v>
      </c>
      <c r="F623" s="673" t="str">
        <f>IFERROR(AVERAGE(F624:F627),"-")</f>
        <v>-</v>
      </c>
      <c r="G623" s="37"/>
      <c r="H623" s="285"/>
      <c r="I623" s="259"/>
      <c r="J623" s="376">
        <f>SUM(J624:J627)</f>
        <v>0</v>
      </c>
      <c r="K623" s="377" t="str">
        <f>IFERROR(AVERAGE(K624:K628),"-")</f>
        <v>-</v>
      </c>
      <c r="L623" s="37"/>
      <c r="M623" s="285"/>
      <c r="N623" s="259"/>
      <c r="O623" s="376">
        <f>SUM(O624:O627)</f>
        <v>0</v>
      </c>
      <c r="P623" s="377" t="str">
        <f>IFERROR(AVERAGE(P624:P627),"-")</f>
        <v>-</v>
      </c>
      <c r="Q623" s="37"/>
      <c r="R623" s="285"/>
    </row>
    <row r="624" spans="1:18">
      <c r="A624" s="200" t="s">
        <v>1576</v>
      </c>
      <c r="B624" s="284">
        <v>1.2</v>
      </c>
      <c r="C624" s="376">
        <f>IF(B624=0,"-",3600/B624)</f>
        <v>3000</v>
      </c>
      <c r="D624" s="259">
        <f>IFERROR((H624/C624),"-")</f>
        <v>0</v>
      </c>
      <c r="E624" s="376">
        <f>IFERROR(ROUNDUP(D624/0.95,0.999),0)</f>
        <v>0</v>
      </c>
      <c r="F624" s="377" t="str">
        <f>IFERROR((H624/C624/E624),"-")</f>
        <v>-</v>
      </c>
      <c r="G624" s="37"/>
      <c r="H624" s="285">
        <f>Preencher!$B$138*Preencher!$C$182</f>
        <v>0</v>
      </c>
      <c r="I624" s="259">
        <f>IFERROR((M624/C624),"-")</f>
        <v>0</v>
      </c>
      <c r="J624" s="376">
        <f>IFERROR(ROUNDUP(I624/0.95,0.999),0)</f>
        <v>0</v>
      </c>
      <c r="K624" s="377" t="str">
        <f>IFERROR((M624/C624/J624),"-")</f>
        <v>-</v>
      </c>
      <c r="L624" s="37"/>
      <c r="M624" s="285">
        <f>Preencher!$C$138*Preencher!$D$182</f>
        <v>0</v>
      </c>
      <c r="N624" s="259">
        <f>IFERROR((R624/C624),"-")</f>
        <v>0</v>
      </c>
      <c r="O624" s="376">
        <f>IFERROR(ROUNDUP(N624/0.95,0.999),0)</f>
        <v>0</v>
      </c>
      <c r="P624" s="377" t="str">
        <f>IFERROR((R624/C624/O624),"-")</f>
        <v>-</v>
      </c>
      <c r="Q624" s="37"/>
      <c r="R624" s="285">
        <f>Preencher!$D$138*Preencher!$E$182</f>
        <v>0</v>
      </c>
    </row>
    <row r="625" spans="1:18">
      <c r="A625" s="200" t="s">
        <v>1577</v>
      </c>
      <c r="B625" s="284">
        <v>0.6</v>
      </c>
      <c r="C625" s="376">
        <f>IF(B625=0,"-",3600/B625)</f>
        <v>6000</v>
      </c>
      <c r="D625" s="259">
        <f>IFERROR((H625/C625),"-")</f>
        <v>0</v>
      </c>
      <c r="E625" s="376">
        <f>IFERROR(ROUNDUP(D625/0.95,0.999),0)</f>
        <v>0</v>
      </c>
      <c r="F625" s="377" t="str">
        <f>IFERROR((H625/C625/E625),"-")</f>
        <v>-</v>
      </c>
      <c r="G625" s="37"/>
      <c r="H625" s="285">
        <f>Preencher!$B$138*Preencher!$C$182</f>
        <v>0</v>
      </c>
      <c r="I625" s="259">
        <f>IFERROR((M625/C625),"-")</f>
        <v>0</v>
      </c>
      <c r="J625" s="376">
        <f>IFERROR(ROUNDUP(I625/0.95,0.999),0)</f>
        <v>0</v>
      </c>
      <c r="K625" s="377" t="str">
        <f>IFERROR((M625/C625/J625),"-")</f>
        <v>-</v>
      </c>
      <c r="L625" s="37"/>
      <c r="M625" s="285">
        <f>Preencher!$C$138*Preencher!$D$182</f>
        <v>0</v>
      </c>
      <c r="N625" s="259">
        <f>IFERROR((R625/C625),"-")</f>
        <v>0</v>
      </c>
      <c r="O625" s="376">
        <f>IFERROR(ROUNDUP(N625/0.95,0.999),0)</f>
        <v>0</v>
      </c>
      <c r="P625" s="377" t="str">
        <f>IFERROR((R625/C625/O625),"-")</f>
        <v>-</v>
      </c>
      <c r="Q625" s="37"/>
      <c r="R625" s="285">
        <f>Preencher!$D$138*Preencher!$E$182</f>
        <v>0</v>
      </c>
    </row>
    <row r="626" spans="1:18">
      <c r="A626" s="200" t="s">
        <v>1578</v>
      </c>
      <c r="B626" s="284">
        <v>1.2</v>
      </c>
      <c r="C626" s="376">
        <f>IF(B626=0,"-",3600/B626)</f>
        <v>3000</v>
      </c>
      <c r="D626" s="259">
        <f>IFERROR((H626/C626),"-")</f>
        <v>0</v>
      </c>
      <c r="E626" s="376">
        <f>IFERROR(ROUNDUP(D626/0.95,0.999),0)</f>
        <v>0</v>
      </c>
      <c r="F626" s="377" t="str">
        <f>IFERROR((H626/C626/E626),"-")</f>
        <v>-</v>
      </c>
      <c r="G626" s="37"/>
      <c r="H626" s="285">
        <f>Preencher!$B$138*Preencher!$C$182</f>
        <v>0</v>
      </c>
      <c r="I626" s="259">
        <f>IFERROR((M626/C626),"-")</f>
        <v>0</v>
      </c>
      <c r="J626" s="376">
        <f>IFERROR(ROUNDUP(I626/0.95,0.999),0)</f>
        <v>0</v>
      </c>
      <c r="K626" s="377" t="str">
        <f>IFERROR((M626/C626/J626),"-")</f>
        <v>-</v>
      </c>
      <c r="L626" s="37"/>
      <c r="M626" s="285">
        <f>Preencher!$C$138*Preencher!$D$182</f>
        <v>0</v>
      </c>
      <c r="N626" s="259">
        <f>IFERROR((R626/C626),"-")</f>
        <v>0</v>
      </c>
      <c r="O626" s="376">
        <f>IFERROR(ROUNDUP(N626/0.95,0.999),0)</f>
        <v>0</v>
      </c>
      <c r="P626" s="377" t="str">
        <f>IFERROR((R626/C626/O626),"-")</f>
        <v>-</v>
      </c>
      <c r="Q626" s="37"/>
      <c r="R626" s="285">
        <f>Preencher!$D$138*Preencher!$E$182</f>
        <v>0</v>
      </c>
    </row>
    <row r="627" spans="1:18">
      <c r="A627" s="200" t="s">
        <v>1579</v>
      </c>
      <c r="B627" s="284">
        <v>5.6</v>
      </c>
      <c r="C627" s="376">
        <f>IF(B627=0,"-",3600/B627)</f>
        <v>642.85714285714289</v>
      </c>
      <c r="D627" s="259">
        <f>IFERROR((H627/C627),"-")</f>
        <v>0</v>
      </c>
      <c r="E627" s="376">
        <f>IFERROR(ROUNDUP(D627/0.95,0.999),0)</f>
        <v>0</v>
      </c>
      <c r="F627" s="377" t="str">
        <f>IFERROR((H627/C627/E627),"-")</f>
        <v>-</v>
      </c>
      <c r="G627" s="37"/>
      <c r="H627" s="285">
        <f>Preencher!$B$138*Preencher!$C$181</f>
        <v>0</v>
      </c>
      <c r="I627" s="259">
        <f>IFERROR((M627/C627),"-")</f>
        <v>0</v>
      </c>
      <c r="J627" s="376">
        <f>IFERROR(ROUNDUP(I627/0.95,0.999),0)</f>
        <v>0</v>
      </c>
      <c r="K627" s="377" t="str">
        <f>IFERROR((M627/C627/J627),"-")</f>
        <v>-</v>
      </c>
      <c r="L627" s="37"/>
      <c r="M627" s="285">
        <f>Preencher!$C$138*Preencher!$D$181</f>
        <v>0</v>
      </c>
      <c r="N627" s="259">
        <f>IFERROR((R627/C627),"-")</f>
        <v>0</v>
      </c>
      <c r="O627" s="376">
        <f>IFERROR(ROUNDUP(N627/0.95,0.999),0)</f>
        <v>0</v>
      </c>
      <c r="P627" s="377" t="str">
        <f>IFERROR((R627/C627/O627),"-")</f>
        <v>-</v>
      </c>
      <c r="Q627" s="37"/>
      <c r="R627" s="285">
        <f>Preencher!$D$138*Preencher!$E$181</f>
        <v>0</v>
      </c>
    </row>
    <row r="628" spans="1:18">
      <c r="A628" s="200"/>
      <c r="B628" s="284"/>
      <c r="C628" s="376"/>
      <c r="D628" s="259"/>
      <c r="E628" s="376"/>
      <c r="F628" s="377"/>
      <c r="G628" s="37"/>
      <c r="H628" s="285"/>
      <c r="I628" s="259"/>
      <c r="J628" s="376"/>
      <c r="K628" s="377"/>
      <c r="L628" s="37"/>
      <c r="M628" s="285"/>
      <c r="N628" s="259"/>
      <c r="O628" s="376"/>
      <c r="P628" s="377"/>
      <c r="Q628" s="37"/>
      <c r="R628" s="285"/>
    </row>
    <row r="629" spans="1:18">
      <c r="A629" s="271" t="s">
        <v>652</v>
      </c>
      <c r="B629" s="284"/>
      <c r="C629" s="376"/>
      <c r="D629" s="259"/>
      <c r="E629" s="376">
        <f>SUM(E630:E631)</f>
        <v>0</v>
      </c>
      <c r="F629" s="377" t="str">
        <f>IFERROR(AVERAGE(F630:F631),"-")</f>
        <v>-</v>
      </c>
      <c r="G629" s="37"/>
      <c r="H629" s="285"/>
      <c r="I629" s="259"/>
      <c r="J629" s="376">
        <f>SUM(J630:J631)</f>
        <v>0</v>
      </c>
      <c r="K629" s="377" t="str">
        <f>IFERROR(AVERAGE(K630:K631),"-")</f>
        <v>-</v>
      </c>
      <c r="L629" s="37"/>
      <c r="M629" s="285"/>
      <c r="N629" s="259"/>
      <c r="O629" s="376">
        <f>SUM(O630:O631)</f>
        <v>0</v>
      </c>
      <c r="P629" s="377" t="str">
        <f>IFERROR(AVERAGE(P630:P631),"-")</f>
        <v>-</v>
      </c>
      <c r="Q629" s="37"/>
      <c r="R629" s="285"/>
    </row>
    <row r="630" spans="1:18">
      <c r="A630" s="200" t="s">
        <v>1580</v>
      </c>
      <c r="B630" s="284">
        <v>28.5</v>
      </c>
      <c r="C630" s="376">
        <f>IF(B630=0,"-",3600/B630)</f>
        <v>126.31578947368421</v>
      </c>
      <c r="D630" s="259">
        <f>IFERROR((H630/C630),"-")</f>
        <v>0</v>
      </c>
      <c r="E630" s="376">
        <f>IFERROR(ROUNDUP(D630/0.95,0.999),0)</f>
        <v>0</v>
      </c>
      <c r="F630" s="377" t="str">
        <f>IFERROR((H630/C630/E630),"-")</f>
        <v>-</v>
      </c>
      <c r="G630" s="37"/>
      <c r="H630" s="285">
        <f>Preencher!$B$138*Preencher!$C$182*Preencher!$I$23*4%/15</f>
        <v>0</v>
      </c>
      <c r="I630" s="259">
        <f>IFERROR((M630/C630),"-")</f>
        <v>0</v>
      </c>
      <c r="J630" s="376">
        <f>IFERROR(ROUNDUP(I630/0.95,0.999),0)</f>
        <v>0</v>
      </c>
      <c r="K630" s="377" t="str">
        <f>IFERROR((M630/C630/J630),"-")</f>
        <v>-</v>
      </c>
      <c r="L630" s="37"/>
      <c r="M630" s="285">
        <f>Preencher!$C$138*Preencher!$D$182*Preencher!$I$23*4%/15</f>
        <v>0</v>
      </c>
      <c r="N630" s="259">
        <f>IFERROR((R630/C630),"-")</f>
        <v>0</v>
      </c>
      <c r="O630" s="376">
        <f>IFERROR(ROUNDUP(N630/0.95,0.999),0)</f>
        <v>0</v>
      </c>
      <c r="P630" s="377" t="str">
        <f>IFERROR((R630/C630/O630),"-")</f>
        <v>-</v>
      </c>
      <c r="Q630" s="37"/>
      <c r="R630" s="285">
        <f>Preencher!$D$138*Preencher!$E$182*Preencher!$I$23*4%/15</f>
        <v>0</v>
      </c>
    </row>
    <row r="631" spans="1:18">
      <c r="A631" s="200" t="s">
        <v>2172</v>
      </c>
      <c r="B631" s="284">
        <v>28.5</v>
      </c>
      <c r="C631" s="600">
        <f>IF(B631=0,"-",3600/B631)</f>
        <v>126.31578947368421</v>
      </c>
      <c r="D631" s="259">
        <f>IFERROR((H631/C631),"-")</f>
        <v>0</v>
      </c>
      <c r="E631" s="600">
        <f>IFERROR(ROUNDUP(D631/0.95,0.999),0)</f>
        <v>0</v>
      </c>
      <c r="F631" s="601" t="str">
        <f>IFERROR((H631/C631/E631),"-")</f>
        <v>-</v>
      </c>
      <c r="G631" s="37"/>
      <c r="H631" s="285">
        <f>Preencher!AG157</f>
        <v>0</v>
      </c>
      <c r="I631" s="259">
        <f>IFERROR((M631/C631),"-")</f>
        <v>0</v>
      </c>
      <c r="J631" s="600">
        <f>IFERROR(ROUNDUP(I631/0.95,0.999),0)</f>
        <v>0</v>
      </c>
      <c r="K631" s="601" t="str">
        <f>IFERROR((M631/C631/J631),"-")</f>
        <v>-</v>
      </c>
      <c r="L631" s="37"/>
      <c r="M631" s="285">
        <f>Preencher!AI157</f>
        <v>0</v>
      </c>
      <c r="N631" s="259">
        <f>IFERROR((R631/C631),"-")</f>
        <v>0</v>
      </c>
      <c r="O631" s="600">
        <f>IFERROR(ROUNDUP(N631/0.95,0.999),0)</f>
        <v>0</v>
      </c>
      <c r="P631" s="601" t="str">
        <f>IFERROR((R631/C631/O631),"-")</f>
        <v>-</v>
      </c>
      <c r="Q631" s="37"/>
      <c r="R631" s="285">
        <f>Preencher!AK157</f>
        <v>0</v>
      </c>
    </row>
    <row r="632" spans="1:18">
      <c r="A632" s="37" t="s">
        <v>95</v>
      </c>
      <c r="B632" s="284"/>
      <c r="C632" s="251" t="str">
        <f>IF(B632=0,"-",3600/B632)</f>
        <v>-</v>
      </c>
      <c r="D632" s="259" t="str">
        <f>IFERROR((H632/C632),"-")</f>
        <v>-</v>
      </c>
      <c r="E632" s="251">
        <f>IFERROR(ROUNDUP(D632/0.95,0.999),0)</f>
        <v>0</v>
      </c>
      <c r="F632" s="252" t="str">
        <f>IFERROR((H632/C632/E632),"-")</f>
        <v>-</v>
      </c>
      <c r="G632" s="37"/>
      <c r="H632" s="285"/>
      <c r="I632" s="259" t="str">
        <f>IFERROR((M632/C632),"-")</f>
        <v>-</v>
      </c>
      <c r="J632" s="251">
        <f>IFERROR(ROUNDUP(I632/0.95,0.999),0)</f>
        <v>0</v>
      </c>
      <c r="K632" s="252" t="str">
        <f>IFERROR((M632/C632/J632),"-")</f>
        <v>-</v>
      </c>
      <c r="L632" s="37"/>
      <c r="M632" s="285"/>
      <c r="N632" s="259" t="str">
        <f>IFERROR((R632/C632),"-")</f>
        <v>-</v>
      </c>
      <c r="O632" s="251">
        <f>IFERROR(ROUNDUP(N632/0.95,0.999),0)</f>
        <v>0</v>
      </c>
      <c r="P632" s="252" t="str">
        <f>IFERROR((R632/C632/O632),"-")</f>
        <v>-</v>
      </c>
      <c r="Q632" s="37"/>
      <c r="R632" s="285"/>
    </row>
    <row r="633" spans="1:18">
      <c r="A633" s="271"/>
      <c r="B633" s="293"/>
      <c r="C633" s="38"/>
      <c r="D633" s="38"/>
      <c r="E633" s="38"/>
      <c r="F633" s="38"/>
      <c r="G633" s="38"/>
      <c r="H633" s="294"/>
      <c r="I633" s="38"/>
      <c r="J633" s="38"/>
      <c r="K633" s="38"/>
      <c r="L633" s="38"/>
      <c r="M633" s="294"/>
      <c r="N633" s="38"/>
      <c r="O633" s="38"/>
      <c r="P633" s="38"/>
      <c r="Q633" s="38"/>
      <c r="R633" s="294"/>
    </row>
    <row r="634" spans="1:18">
      <c r="A634" s="272" t="s">
        <v>723</v>
      </c>
      <c r="B634" s="295"/>
      <c r="C634" s="46"/>
      <c r="D634" s="46"/>
      <c r="E634" s="46"/>
      <c r="F634" s="46"/>
      <c r="G634" s="46"/>
      <c r="H634" s="296"/>
      <c r="I634" s="46"/>
      <c r="J634" s="46"/>
      <c r="K634" s="46"/>
      <c r="L634" s="46"/>
      <c r="M634" s="296"/>
      <c r="N634" s="46"/>
      <c r="O634" s="46"/>
      <c r="P634" s="46"/>
      <c r="Q634" s="46"/>
      <c r="R634" s="296"/>
    </row>
    <row r="635" spans="1:18">
      <c r="A635" s="271"/>
      <c r="B635" s="293"/>
      <c r="C635" s="38"/>
      <c r="D635" s="38"/>
      <c r="E635" s="38"/>
      <c r="F635" s="38"/>
      <c r="G635" s="38"/>
      <c r="H635" s="294"/>
      <c r="I635" s="38"/>
      <c r="J635" s="38"/>
      <c r="K635" s="38"/>
      <c r="L635" s="38"/>
      <c r="M635" s="294"/>
      <c r="N635" s="38"/>
      <c r="O635" s="38"/>
      <c r="P635" s="38"/>
      <c r="Q635" s="38"/>
      <c r="R635" s="294"/>
    </row>
    <row r="636" spans="1:18">
      <c r="A636" s="271"/>
      <c r="B636" s="293"/>
      <c r="C636" s="38"/>
      <c r="D636" s="38"/>
      <c r="E636" s="38"/>
      <c r="F636" s="38"/>
      <c r="G636" s="38"/>
      <c r="H636" s="294"/>
      <c r="I636" s="38"/>
      <c r="J636" s="38"/>
      <c r="K636" s="38"/>
      <c r="L636" s="38"/>
      <c r="M636" s="294"/>
      <c r="N636" s="38"/>
      <c r="O636" s="38"/>
      <c r="P636" s="38"/>
      <c r="Q636" s="38"/>
      <c r="R636" s="294"/>
    </row>
    <row r="637" spans="1:18">
      <c r="A637" s="271"/>
      <c r="B637" s="293"/>
      <c r="C637" s="38"/>
      <c r="D637" s="38"/>
      <c r="E637" s="38"/>
      <c r="F637" s="38"/>
      <c r="G637" s="38"/>
      <c r="H637" s="294"/>
      <c r="I637" s="38"/>
      <c r="J637" s="38"/>
      <c r="K637" s="38"/>
      <c r="L637" s="38"/>
      <c r="M637" s="294"/>
      <c r="N637" s="38"/>
      <c r="O637" s="38"/>
      <c r="P637" s="38"/>
      <c r="Q637" s="38"/>
      <c r="R637" s="294"/>
    </row>
    <row r="638" spans="1:18">
      <c r="A638" s="271"/>
      <c r="B638" s="293"/>
      <c r="C638" s="38"/>
      <c r="D638" s="38"/>
      <c r="E638" s="38"/>
      <c r="F638" s="38"/>
      <c r="G638" s="38"/>
      <c r="H638" s="294"/>
      <c r="I638" s="38"/>
      <c r="J638" s="38"/>
      <c r="K638" s="38"/>
      <c r="L638" s="38"/>
      <c r="M638" s="294"/>
      <c r="N638" s="38"/>
      <c r="O638" s="38"/>
      <c r="P638" s="38"/>
      <c r="Q638" s="38"/>
      <c r="R638" s="294"/>
    </row>
    <row r="639" spans="1:18">
      <c r="A639" s="271"/>
      <c r="B639" s="293"/>
      <c r="C639" s="38"/>
      <c r="D639" s="38"/>
      <c r="E639" s="38"/>
      <c r="F639" s="38"/>
      <c r="G639" s="38"/>
      <c r="H639" s="294"/>
      <c r="I639" s="38"/>
      <c r="J639" s="38"/>
      <c r="K639" s="38"/>
      <c r="L639" s="38"/>
      <c r="M639" s="294"/>
      <c r="N639" s="38"/>
      <c r="O639" s="38"/>
      <c r="P639" s="38"/>
      <c r="Q639" s="38"/>
      <c r="R639" s="294"/>
    </row>
    <row r="640" spans="1:18">
      <c r="A640" s="268"/>
      <c r="B640" s="288"/>
      <c r="C640" s="13"/>
      <c r="D640" s="13"/>
      <c r="E640" s="13"/>
      <c r="F640" s="13"/>
      <c r="G640" s="13"/>
      <c r="H640" s="113"/>
      <c r="I640" s="13"/>
      <c r="J640" s="13"/>
      <c r="K640" s="13"/>
      <c r="L640" s="13"/>
      <c r="M640" s="113"/>
      <c r="N640" s="13"/>
      <c r="O640" s="13"/>
      <c r="P640" s="13"/>
      <c r="Q640" s="13"/>
      <c r="R640" s="113"/>
    </row>
    <row r="641" spans="1:18">
      <c r="A641" s="264" t="s">
        <v>247</v>
      </c>
      <c r="B641" s="282"/>
      <c r="C641" s="40"/>
      <c r="D641" s="40"/>
      <c r="E641" s="40"/>
      <c r="F641" s="40"/>
      <c r="G641" s="40"/>
      <c r="H641" s="283"/>
      <c r="I641" s="40"/>
      <c r="J641" s="40"/>
      <c r="K641" s="40"/>
      <c r="L641" s="40"/>
      <c r="M641" s="283"/>
      <c r="N641" s="40"/>
      <c r="O641" s="40"/>
      <c r="P641" s="40"/>
      <c r="Q641" s="40"/>
      <c r="R641" s="283"/>
    </row>
    <row r="642" spans="1:18">
      <c r="A642" s="265" t="s">
        <v>98</v>
      </c>
      <c r="B642" s="284"/>
      <c r="C642" s="251" t="str">
        <f>IF(B642=0,"-",3600/B642)</f>
        <v>-</v>
      </c>
      <c r="D642" s="259" t="str">
        <f>IFERROR((H642/C642),"-")</f>
        <v>-</v>
      </c>
      <c r="E642" s="251">
        <f>IFERROR(ROUNDUP(D642/0.95,0.999),0)</f>
        <v>0</v>
      </c>
      <c r="F642" s="252" t="str">
        <f>IFERROR((H642/C642/E642),"-")</f>
        <v>-</v>
      </c>
      <c r="G642" s="37"/>
      <c r="H642" s="285"/>
      <c r="I642" s="259" t="str">
        <f>IFERROR((M642/C642),"-")</f>
        <v>-</v>
      </c>
      <c r="J642" s="251">
        <f>IFERROR(ROUNDUP(I642/0.95,0.999),0)</f>
        <v>0</v>
      </c>
      <c r="K642" s="252" t="str">
        <f>IFERROR((M642/C642/J642),"-")</f>
        <v>-</v>
      </c>
      <c r="L642" s="37"/>
      <c r="M642" s="285"/>
      <c r="N642" s="259" t="str">
        <f>IFERROR((R642/C642),"-")</f>
        <v>-</v>
      </c>
      <c r="O642" s="251">
        <f>IFERROR(ROUNDUP(N642/0.95,0.999),0)</f>
        <v>0</v>
      </c>
      <c r="P642" s="252" t="str">
        <f>IFERROR((R642/C642/O642),"-")</f>
        <v>-</v>
      </c>
      <c r="Q642" s="37"/>
      <c r="R642" s="285"/>
    </row>
    <row r="643" spans="1:18">
      <c r="A643" s="265" t="s">
        <v>99</v>
      </c>
      <c r="B643" s="93">
        <f>IF(Preencher!$A$168=Preencher!$R$135,300,25)</f>
        <v>300</v>
      </c>
      <c r="C643" s="251">
        <f>IF(B643=0,"-",3600/B643)</f>
        <v>12</v>
      </c>
      <c r="D643" s="259">
        <f>IFERROR((H643/C643),"-")</f>
        <v>0</v>
      </c>
      <c r="E643" s="251">
        <f>IFERROR(ROUNDUP(D643/0.95,0.999),0)</f>
        <v>0</v>
      </c>
      <c r="F643" s="252" t="str">
        <f>IFERROR((H643/C643/E643),"-")</f>
        <v>-</v>
      </c>
      <c r="G643" s="93">
        <f>IF(Preencher!$A$168=Preencher!$R$135,300,30)</f>
        <v>300</v>
      </c>
      <c r="H643" s="285">
        <f>IFERROR(Preencher!$B$138*(SUM(Preencher!$C$170:$C$172))*Preencher!$I$23*21.7%/G643,0)</f>
        <v>0</v>
      </c>
      <c r="I643" s="259">
        <f>IFERROR((M643/C643),"-")</f>
        <v>0</v>
      </c>
      <c r="J643" s="251">
        <f>IFERROR(ROUNDUP(I643/0.95,0.999),0)</f>
        <v>0</v>
      </c>
      <c r="K643" s="252" t="str">
        <f>IFERROR((M643/C643/J643),"-")</f>
        <v>-</v>
      </c>
      <c r="L643" s="93">
        <f>IF(Preencher!$A$168=Preencher!$R$135,300,30)</f>
        <v>300</v>
      </c>
      <c r="M643" s="285">
        <f>IFERROR(Preencher!$C$138*(SUM(Preencher!$D$170:$D$172))*Preencher!$I$23*21.7%/L643,0)</f>
        <v>0</v>
      </c>
      <c r="N643" s="259">
        <f>IFERROR((R643/C643),"-")</f>
        <v>0</v>
      </c>
      <c r="O643" s="251">
        <f>IFERROR(ROUNDUP(N643/0.95,0.999),0)</f>
        <v>0</v>
      </c>
      <c r="P643" s="252" t="str">
        <f>IFERROR((R643/C643/O643),"-")</f>
        <v>-</v>
      </c>
      <c r="Q643" s="93">
        <f>IF(Preencher!$A$168=Preencher!$R$135,300,30)</f>
        <v>300</v>
      </c>
      <c r="R643" s="285">
        <f>IFERROR(Preencher!$D$138*(SUM(Preencher!$E$170:$E$172))*Preencher!$I$23*21.7%/Q643,0)</f>
        <v>0</v>
      </c>
    </row>
    <row r="644" spans="1:18">
      <c r="A644" s="265" t="s">
        <v>100</v>
      </c>
      <c r="B644" s="284"/>
      <c r="C644" s="251"/>
      <c r="D644" s="259"/>
      <c r="E644" s="603">
        <f>ROUNDUP(SUM(D645:D648)/0.95,0.999)</f>
        <v>0</v>
      </c>
      <c r="F644" s="604">
        <f>IFERROR(SUM(D645:D648)/E644,0)</f>
        <v>0</v>
      </c>
      <c r="G644" s="37"/>
      <c r="H644" s="285"/>
      <c r="I644" s="259"/>
      <c r="J644" s="603">
        <f>ROUNDUP(SUM(I645:I648)/0.95,0.999)</f>
        <v>0</v>
      </c>
      <c r="K644" s="604">
        <f>IFERROR(SUM(I645:I648)/J644,0)</f>
        <v>0</v>
      </c>
      <c r="L644" s="37"/>
      <c r="M644" s="285"/>
      <c r="N644" s="259"/>
      <c r="O644" s="603">
        <f>ROUNDUP(SUM(N645:N648)/0.95,0.999)</f>
        <v>0</v>
      </c>
      <c r="P644" s="604">
        <f>IFERROR(SUM(N645:N648)/O644,0)</f>
        <v>0</v>
      </c>
      <c r="Q644" s="37"/>
      <c r="R644" s="285"/>
    </row>
    <row r="645" spans="1:18">
      <c r="A645" s="200" t="s">
        <v>1554</v>
      </c>
      <c r="B645" s="284">
        <v>24.7</v>
      </c>
      <c r="C645" s="603">
        <f t="shared" ref="C645:C651" si="261">IF(B645=0,"-",3600/B645)</f>
        <v>145.74898785425103</v>
      </c>
      <c r="D645" s="259">
        <f>IFERROR((H645/C645),"-")</f>
        <v>0</v>
      </c>
      <c r="E645" s="603">
        <f t="shared" ref="E645:E651" si="262">IFERROR(ROUNDUP(D645/0.95,0.999),0)</f>
        <v>0</v>
      </c>
      <c r="F645" s="604" t="str">
        <f>IFERROR((H645/C645/E645),"-")</f>
        <v>-</v>
      </c>
      <c r="G645" s="37"/>
      <c r="H645" s="285">
        <f>Preencher!AG163+Preencher!AG164</f>
        <v>0</v>
      </c>
      <c r="I645" s="259">
        <f t="shared" ref="I645:I651" si="263">IFERROR((M645/C645),"-")</f>
        <v>0</v>
      </c>
      <c r="J645" s="603">
        <f t="shared" ref="J645:J651" si="264">IFERROR(ROUNDUP(I645/0.95,0.999),0)</f>
        <v>0</v>
      </c>
      <c r="K645" s="604" t="str">
        <f t="shared" ref="K645:K651" si="265">IFERROR((M645/C645/J645),"-")</f>
        <v>-</v>
      </c>
      <c r="L645" s="37"/>
      <c r="M645" s="285">
        <f>Preencher!AI163+Preencher!AI164</f>
        <v>0</v>
      </c>
      <c r="N645" s="259">
        <f t="shared" ref="N645:N651" si="266">IFERROR((R645/C645),"-")</f>
        <v>0</v>
      </c>
      <c r="O645" s="603">
        <f t="shared" ref="O645:O651" si="267">IFERROR(ROUNDUP(N645/0.95,0.999),0)</f>
        <v>0</v>
      </c>
      <c r="P645" s="604" t="str">
        <f t="shared" ref="P645:P651" si="268">IFERROR((R645/C645/O645),"-")</f>
        <v>-</v>
      </c>
      <c r="Q645" s="37"/>
      <c r="R645" s="285">
        <f>Preencher!AK163+Preencher!AK164</f>
        <v>0</v>
      </c>
    </row>
    <row r="646" spans="1:18">
      <c r="A646" s="200" t="s">
        <v>1499</v>
      </c>
      <c r="B646" s="284">
        <v>26.400000000000002</v>
      </c>
      <c r="C646" s="603">
        <f t="shared" si="261"/>
        <v>136.36363636363635</v>
      </c>
      <c r="D646" s="259">
        <f>IFERROR((H646/C646),"-")</f>
        <v>0</v>
      </c>
      <c r="E646" s="603">
        <f t="shared" si="262"/>
        <v>0</v>
      </c>
      <c r="F646" s="604" t="str">
        <f>IFERROR((H646/C646/E646),"-")</f>
        <v>-</v>
      </c>
      <c r="G646" s="37"/>
      <c r="H646" s="285">
        <f>Preencher!AG165</f>
        <v>0</v>
      </c>
      <c r="I646" s="259">
        <f t="shared" si="263"/>
        <v>0</v>
      </c>
      <c r="J646" s="603">
        <f t="shared" si="264"/>
        <v>0</v>
      </c>
      <c r="K646" s="604" t="str">
        <f t="shared" si="265"/>
        <v>-</v>
      </c>
      <c r="L646" s="37"/>
      <c r="M646" s="285">
        <f>Preencher!AI165</f>
        <v>0</v>
      </c>
      <c r="N646" s="259">
        <f t="shared" si="266"/>
        <v>0</v>
      </c>
      <c r="O646" s="603">
        <f t="shared" si="267"/>
        <v>0</v>
      </c>
      <c r="P646" s="604" t="str">
        <f t="shared" si="268"/>
        <v>-</v>
      </c>
      <c r="Q646" s="37"/>
      <c r="R646" s="285">
        <f>Preencher!AK165</f>
        <v>0</v>
      </c>
    </row>
    <row r="647" spans="1:18">
      <c r="A647" s="200" t="s">
        <v>1551</v>
      </c>
      <c r="B647" s="284">
        <v>28.5</v>
      </c>
      <c r="C647" s="603">
        <f t="shared" si="261"/>
        <v>126.31578947368421</v>
      </c>
      <c r="D647" s="259">
        <f>IFERROR((H647/C647),"-")</f>
        <v>0</v>
      </c>
      <c r="E647" s="603">
        <f t="shared" si="262"/>
        <v>0</v>
      </c>
      <c r="F647" s="604" t="str">
        <f>IFERROR((H647/C647/E647),"-")</f>
        <v>-</v>
      </c>
      <c r="G647" s="37"/>
      <c r="H647" s="285">
        <f>Preencher!AG166</f>
        <v>0</v>
      </c>
      <c r="I647" s="259">
        <f t="shared" si="263"/>
        <v>0</v>
      </c>
      <c r="J647" s="603">
        <f t="shared" si="264"/>
        <v>0</v>
      </c>
      <c r="K647" s="604" t="str">
        <f t="shared" si="265"/>
        <v>-</v>
      </c>
      <c r="L647" s="37"/>
      <c r="M647" s="285">
        <f>Preencher!AI166</f>
        <v>0</v>
      </c>
      <c r="N647" s="259">
        <f t="shared" si="266"/>
        <v>0</v>
      </c>
      <c r="O647" s="603">
        <f t="shared" si="267"/>
        <v>0</v>
      </c>
      <c r="P647" s="604" t="str">
        <f t="shared" si="268"/>
        <v>-</v>
      </c>
      <c r="Q647" s="37"/>
      <c r="R647" s="285">
        <f>Preencher!AK166</f>
        <v>0</v>
      </c>
    </row>
    <row r="648" spans="1:18">
      <c r="A648" s="200" t="s">
        <v>1503</v>
      </c>
      <c r="B648" s="284">
        <v>130</v>
      </c>
      <c r="C648" s="603">
        <f t="shared" si="261"/>
        <v>27.692307692307693</v>
      </c>
      <c r="D648" s="259">
        <f>IFERROR((H648/C648),"-")</f>
        <v>0</v>
      </c>
      <c r="E648" s="603">
        <f t="shared" si="262"/>
        <v>0</v>
      </c>
      <c r="F648" s="604" t="str">
        <f>IFERROR((H648/C648/E648),"-")</f>
        <v>-</v>
      </c>
      <c r="G648" s="37"/>
      <c r="H648" s="285">
        <f>Preencher!AG167</f>
        <v>0</v>
      </c>
      <c r="I648" s="259">
        <f t="shared" si="263"/>
        <v>0</v>
      </c>
      <c r="J648" s="603">
        <f t="shared" si="264"/>
        <v>0</v>
      </c>
      <c r="K648" s="604" t="str">
        <f t="shared" si="265"/>
        <v>-</v>
      </c>
      <c r="L648" s="37"/>
      <c r="M648" s="285">
        <f>Preencher!AI167</f>
        <v>0</v>
      </c>
      <c r="N648" s="259">
        <f t="shared" si="266"/>
        <v>0</v>
      </c>
      <c r="O648" s="603">
        <f t="shared" si="267"/>
        <v>0</v>
      </c>
      <c r="P648" s="604" t="str">
        <f t="shared" si="268"/>
        <v>-</v>
      </c>
      <c r="Q648" s="37"/>
      <c r="R648" s="285">
        <f>Preencher!AK167</f>
        <v>0</v>
      </c>
    </row>
    <row r="649" spans="1:18">
      <c r="A649" s="265" t="s">
        <v>101</v>
      </c>
      <c r="B649" s="284"/>
      <c r="C649" s="603"/>
      <c r="D649" s="259"/>
      <c r="E649" s="603">
        <f>ROUNDUP(SUM(D650:D651)/0.95,0.999)</f>
        <v>0</v>
      </c>
      <c r="F649" s="604">
        <f>IFERROR(SUM(D650:D651)/E649,0)</f>
        <v>0</v>
      </c>
      <c r="G649" s="37"/>
      <c r="H649" s="285"/>
      <c r="I649" s="259"/>
      <c r="J649" s="603">
        <f>ROUNDUP(SUM(I650:I651)/0.95,0.999)</f>
        <v>0</v>
      </c>
      <c r="K649" s="604">
        <f>IFERROR(SUM(I650:I651)/J649,0)</f>
        <v>0</v>
      </c>
      <c r="L649" s="37"/>
      <c r="M649" s="285"/>
      <c r="N649" s="259"/>
      <c r="O649" s="603">
        <f>ROUNDUP(SUM(N650:N651)/0.95,0.999)</f>
        <v>0</v>
      </c>
      <c r="P649" s="604">
        <f>IFERROR(SUM(N650:N651)/O649,0)</f>
        <v>0</v>
      </c>
      <c r="Q649" s="37"/>
      <c r="R649" s="285"/>
    </row>
    <row r="650" spans="1:18">
      <c r="A650" s="200" t="s">
        <v>1550</v>
      </c>
      <c r="B650" s="284">
        <v>26.67</v>
      </c>
      <c r="C650" s="603">
        <f t="shared" si="261"/>
        <v>134.98312710911136</v>
      </c>
      <c r="D650" s="259">
        <f>IFERROR((H650/C650),"-")</f>
        <v>0</v>
      </c>
      <c r="E650" s="603">
        <f t="shared" si="262"/>
        <v>0</v>
      </c>
      <c r="F650" s="604" t="str">
        <f>IFERROR((H650/C650/E650),"-")</f>
        <v>-</v>
      </c>
      <c r="G650" s="37"/>
      <c r="H650" s="285">
        <f>H648</f>
        <v>0</v>
      </c>
      <c r="I650" s="259">
        <f t="shared" si="263"/>
        <v>0</v>
      </c>
      <c r="J650" s="603">
        <f t="shared" si="264"/>
        <v>0</v>
      </c>
      <c r="K650" s="604" t="str">
        <f t="shared" si="265"/>
        <v>-</v>
      </c>
      <c r="L650" s="37"/>
      <c r="M650" s="285">
        <f>M648</f>
        <v>0</v>
      </c>
      <c r="N650" s="259">
        <f t="shared" si="266"/>
        <v>0</v>
      </c>
      <c r="O650" s="603">
        <f t="shared" si="267"/>
        <v>0</v>
      </c>
      <c r="P650" s="604" t="str">
        <f t="shared" si="268"/>
        <v>-</v>
      </c>
      <c r="Q650" s="37"/>
      <c r="R650" s="285">
        <f>R648</f>
        <v>0</v>
      </c>
    </row>
    <row r="651" spans="1:18">
      <c r="A651" s="200" t="s">
        <v>1551</v>
      </c>
      <c r="B651" s="284">
        <v>11.5</v>
      </c>
      <c r="C651" s="603">
        <f t="shared" si="261"/>
        <v>313.04347826086956</v>
      </c>
      <c r="D651" s="259">
        <f>IFERROR((H651/C651),"-")</f>
        <v>0</v>
      </c>
      <c r="E651" s="603">
        <f t="shared" si="262"/>
        <v>0</v>
      </c>
      <c r="F651" s="604" t="str">
        <f>IFERROR((H651/C651/E651),"-")</f>
        <v>-</v>
      </c>
      <c r="G651" s="37"/>
      <c r="H651" s="285">
        <f>H647</f>
        <v>0</v>
      </c>
      <c r="I651" s="259">
        <f t="shared" si="263"/>
        <v>0</v>
      </c>
      <c r="J651" s="603">
        <f t="shared" si="264"/>
        <v>0</v>
      </c>
      <c r="K651" s="604" t="str">
        <f t="shared" si="265"/>
        <v>-</v>
      </c>
      <c r="L651" s="37"/>
      <c r="M651" s="285">
        <f>M647</f>
        <v>0</v>
      </c>
      <c r="N651" s="259">
        <f t="shared" si="266"/>
        <v>0</v>
      </c>
      <c r="O651" s="603">
        <f t="shared" si="267"/>
        <v>0</v>
      </c>
      <c r="P651" s="604" t="str">
        <f t="shared" si="268"/>
        <v>-</v>
      </c>
      <c r="Q651" s="37"/>
      <c r="R651" s="285">
        <f>R647</f>
        <v>0</v>
      </c>
    </row>
    <row r="652" spans="1:18">
      <c r="A652" s="265" t="s">
        <v>102</v>
      </c>
      <c r="B652" s="284"/>
      <c r="C652" s="251" t="str">
        <f>IF(B652=0,"-",3600/B652)</f>
        <v>-</v>
      </c>
      <c r="D652" s="259" t="str">
        <f>IFERROR((H652/C652),"-")</f>
        <v>-</v>
      </c>
      <c r="E652" s="251">
        <f>IFERROR(ROUNDUP(D652/0.95,0.999),0)</f>
        <v>0</v>
      </c>
      <c r="F652" s="252" t="str">
        <f>IFERROR((H652/C652/E652),"-")</f>
        <v>-</v>
      </c>
      <c r="G652" s="37"/>
      <c r="H652" s="285"/>
      <c r="I652" s="259" t="str">
        <f>IFERROR((M652/C652),"-")</f>
        <v>-</v>
      </c>
      <c r="J652" s="251">
        <f>IFERROR(ROUNDUP(I652/0.95,0.999),0)</f>
        <v>0</v>
      </c>
      <c r="K652" s="252" t="str">
        <f>IFERROR((M652/C652/J652),"-")</f>
        <v>-</v>
      </c>
      <c r="L652" s="37"/>
      <c r="M652" s="285"/>
      <c r="N652" s="259" t="str">
        <f>IFERROR((R652/C652),"-")</f>
        <v>-</v>
      </c>
      <c r="O652" s="251">
        <f>IFERROR(ROUNDUP(N652/0.95,0.999),0)</f>
        <v>0</v>
      </c>
      <c r="P652" s="252" t="str">
        <f>IFERROR((R652/C652/O652),"-")</f>
        <v>-</v>
      </c>
      <c r="Q652" s="37"/>
      <c r="R652" s="285"/>
    </row>
    <row r="653" spans="1:18">
      <c r="A653" s="265"/>
      <c r="B653" s="286"/>
      <c r="C653" s="37"/>
      <c r="D653" s="37"/>
      <c r="E653" s="37"/>
      <c r="F653" s="37"/>
      <c r="G653" s="37"/>
      <c r="H653" s="287"/>
      <c r="I653" s="37"/>
      <c r="J653" s="37"/>
      <c r="K653" s="37"/>
      <c r="L653" s="37"/>
      <c r="M653" s="287"/>
      <c r="N653" s="37"/>
      <c r="O653" s="37"/>
      <c r="P653" s="37"/>
      <c r="Q653" s="37"/>
      <c r="R653" s="287"/>
    </row>
    <row r="654" spans="1:18">
      <c r="A654" s="270" t="s">
        <v>723</v>
      </c>
      <c r="B654" s="291"/>
      <c r="C654" s="39"/>
      <c r="D654" s="39"/>
      <c r="E654" s="39"/>
      <c r="F654" s="39"/>
      <c r="G654" s="39"/>
      <c r="H654" s="292"/>
      <c r="I654" s="39"/>
      <c r="J654" s="39"/>
      <c r="K654" s="39"/>
      <c r="L654" s="39"/>
      <c r="M654" s="292"/>
      <c r="N654" s="39"/>
      <c r="O654" s="39"/>
      <c r="P654" s="39"/>
      <c r="Q654" s="39"/>
      <c r="R654" s="292"/>
    </row>
    <row r="655" spans="1:18">
      <c r="A655" s="265" t="s">
        <v>1022</v>
      </c>
      <c r="B655" s="286"/>
      <c r="C655" s="37"/>
      <c r="D655" s="37"/>
      <c r="E655" s="37"/>
      <c r="F655" s="37"/>
      <c r="G655" s="37"/>
      <c r="H655" s="287"/>
      <c r="I655" s="37"/>
      <c r="J655" s="37"/>
      <c r="K655" s="37"/>
      <c r="L655" s="37"/>
      <c r="M655" s="287"/>
      <c r="N655" s="37"/>
      <c r="O655" s="37"/>
      <c r="P655" s="37"/>
      <c r="Q655" s="37"/>
      <c r="R655" s="287"/>
    </row>
    <row r="656" spans="1:18">
      <c r="A656" s="265"/>
      <c r="B656" s="286"/>
      <c r="C656" s="37"/>
      <c r="D656" s="37"/>
      <c r="E656" s="37"/>
      <c r="F656" s="37"/>
      <c r="G656" s="37"/>
      <c r="H656" s="287"/>
      <c r="I656" s="37"/>
      <c r="J656" s="37"/>
      <c r="K656" s="37"/>
      <c r="L656" s="37"/>
      <c r="M656" s="287"/>
      <c r="N656" s="37"/>
      <c r="O656" s="37"/>
      <c r="P656" s="37"/>
      <c r="Q656" s="37"/>
      <c r="R656" s="287"/>
    </row>
    <row r="657" spans="1:18">
      <c r="A657" s="265"/>
      <c r="B657" s="286"/>
      <c r="C657" s="37"/>
      <c r="D657" s="37"/>
      <c r="E657" s="37"/>
      <c r="F657" s="37"/>
      <c r="G657" s="37"/>
      <c r="H657" s="287"/>
      <c r="I657" s="37"/>
      <c r="J657" s="37"/>
      <c r="K657" s="37"/>
      <c r="L657" s="37"/>
      <c r="M657" s="287"/>
      <c r="N657" s="37"/>
      <c r="O657" s="37"/>
      <c r="P657" s="37"/>
      <c r="Q657" s="37"/>
      <c r="R657" s="287"/>
    </row>
    <row r="658" spans="1:18">
      <c r="A658" s="265"/>
      <c r="B658" s="286"/>
      <c r="C658" s="37"/>
      <c r="D658" s="37"/>
      <c r="E658" s="37"/>
      <c r="F658" s="37"/>
      <c r="G658" s="37"/>
      <c r="H658" s="287"/>
      <c r="I658" s="37"/>
      <c r="J658" s="37"/>
      <c r="K658" s="37"/>
      <c r="L658" s="37"/>
      <c r="M658" s="287"/>
      <c r="N658" s="37"/>
      <c r="O658" s="37"/>
      <c r="P658" s="37"/>
      <c r="Q658" s="37"/>
      <c r="R658" s="287"/>
    </row>
    <row r="659" spans="1:18">
      <c r="A659" s="265"/>
      <c r="B659" s="286"/>
      <c r="C659" s="37"/>
      <c r="D659" s="37"/>
      <c r="E659" s="37"/>
      <c r="F659" s="37"/>
      <c r="G659" s="37"/>
      <c r="H659" s="287"/>
      <c r="I659" s="37"/>
      <c r="J659" s="37"/>
      <c r="K659" s="37"/>
      <c r="L659" s="37"/>
      <c r="M659" s="287"/>
      <c r="N659" s="37"/>
      <c r="O659" s="37"/>
      <c r="P659" s="37"/>
      <c r="Q659" s="37"/>
      <c r="R659" s="287"/>
    </row>
    <row r="660" spans="1:18">
      <c r="A660" s="268"/>
      <c r="B660" s="288"/>
      <c r="C660" s="13"/>
      <c r="D660" s="13"/>
      <c r="E660" s="13"/>
      <c r="F660" s="13"/>
      <c r="G660" s="13"/>
      <c r="H660" s="113"/>
      <c r="I660" s="13"/>
      <c r="J660" s="13"/>
      <c r="K660" s="13"/>
      <c r="L660" s="13"/>
      <c r="M660" s="113"/>
      <c r="N660" s="13"/>
      <c r="O660" s="13"/>
      <c r="P660" s="13"/>
      <c r="Q660" s="13"/>
      <c r="R660" s="113"/>
    </row>
    <row r="661" spans="1:18">
      <c r="A661" s="264" t="s">
        <v>240</v>
      </c>
      <c r="B661" s="282"/>
      <c r="C661" s="40"/>
      <c r="D661" s="40"/>
      <c r="E661" s="40"/>
      <c r="F661" s="40"/>
      <c r="G661" s="40"/>
      <c r="H661" s="283"/>
      <c r="I661" s="40"/>
      <c r="J661" s="40"/>
      <c r="K661" s="40"/>
      <c r="L661" s="40"/>
      <c r="M661" s="283"/>
      <c r="N661" s="40"/>
      <c r="O661" s="40"/>
      <c r="P661" s="40"/>
      <c r="Q661" s="40"/>
      <c r="R661" s="283"/>
    </row>
    <row r="662" spans="1:18">
      <c r="A662" s="265" t="s">
        <v>636</v>
      </c>
      <c r="B662" s="284">
        <v>0</v>
      </c>
      <c r="C662" s="251" t="str">
        <f>IF(B662=0,"-",3600/B662)</f>
        <v>-</v>
      </c>
      <c r="D662" s="259" t="str">
        <f>IFERROR((H662/C662),"-")</f>
        <v>-</v>
      </c>
      <c r="E662" s="251">
        <f>IFERROR(ROUNDUP(D662/0.95,0.999),0)</f>
        <v>0</v>
      </c>
      <c r="F662" s="252" t="str">
        <f>IFERROR((H662/C662/E662),"-")</f>
        <v>-</v>
      </c>
      <c r="G662" s="37"/>
      <c r="H662" s="285">
        <f>Preencher!$B$138-Preencher!$B$96</f>
        <v>0</v>
      </c>
      <c r="I662" s="259" t="str">
        <f>IFERROR((M662/C662),"-")</f>
        <v>-</v>
      </c>
      <c r="J662" s="251">
        <f>IFERROR(ROUNDUP(I662/0.95,0.999),0)</f>
        <v>0</v>
      </c>
      <c r="K662" s="252" t="str">
        <f>IFERROR((M662/C662/J662),"-")</f>
        <v>-</v>
      </c>
      <c r="L662" s="37"/>
      <c r="M662" s="285">
        <f>Preencher!$C$138-Preencher!$C$96</f>
        <v>0</v>
      </c>
      <c r="N662" s="259" t="str">
        <f>IFERROR((R662/C662),"-")</f>
        <v>-</v>
      </c>
      <c r="O662" s="251">
        <f>IFERROR(ROUNDUP(N662/0.95,0.999),0)</f>
        <v>0</v>
      </c>
      <c r="P662" s="252" t="str">
        <f>IFERROR((R662/C662/O662),"-")</f>
        <v>-</v>
      </c>
      <c r="Q662" s="37"/>
      <c r="R662" s="285">
        <f>Preencher!$D$138-Preencher!$D$96</f>
        <v>0</v>
      </c>
    </row>
    <row r="663" spans="1:18">
      <c r="A663" s="265" t="s">
        <v>637</v>
      </c>
      <c r="B663" s="284">
        <f>0.676803*1</f>
        <v>0.67680300000000004</v>
      </c>
      <c r="C663" s="251">
        <f>IF(B663=0,"-",3600/B663)</f>
        <v>5319.1253584868855</v>
      </c>
      <c r="D663" s="259">
        <f>IFERROR((H663/C663),"-")</f>
        <v>0.72064344225356891</v>
      </c>
      <c r="E663" s="251">
        <f>IFERROR(ROUNDUP(D663/0.95,0.999),0)</f>
        <v>1</v>
      </c>
      <c r="F663" s="252">
        <f>IFERROR((H663/C663/E663),"-")</f>
        <v>0.72064344225356891</v>
      </c>
      <c r="G663" s="37"/>
      <c r="H663" s="285">
        <f>Preencher!$I$18*RESUMO!$B$100</f>
        <v>3833.1928081182377</v>
      </c>
      <c r="I663" s="259">
        <f>IFERROR((M663/C663),"-")</f>
        <v>0</v>
      </c>
      <c r="J663" s="251">
        <f>IFERROR(ROUNDUP(I663/0.95,0.999),0)</f>
        <v>0</v>
      </c>
      <c r="K663" s="252" t="str">
        <f>IFERROR((M663/C663/J663),"-")</f>
        <v>-</v>
      </c>
      <c r="L663" s="37"/>
      <c r="M663" s="285">
        <f>Preencher!$J$18*RESUMO!$B$100</f>
        <v>0</v>
      </c>
      <c r="N663" s="259">
        <f>IFERROR((R663/C663),"-")</f>
        <v>0</v>
      </c>
      <c r="O663" s="251">
        <f>IFERROR(ROUNDUP(N663/0.95,0.999),0)</f>
        <v>0</v>
      </c>
      <c r="P663" s="252" t="str">
        <f>IFERROR((R663/C663/O663),"-")</f>
        <v>-</v>
      </c>
      <c r="Q663" s="37"/>
      <c r="R663" s="285">
        <f>Preencher!$D$138</f>
        <v>0</v>
      </c>
    </row>
    <row r="664" spans="1:18">
      <c r="A664" s="266" t="s">
        <v>90</v>
      </c>
      <c r="B664" s="284">
        <f>IF(Preencher!$C$193+Preencher!$D$193+Preencher!$E$193&gt;0,1.14,0)</f>
        <v>0</v>
      </c>
      <c r="C664" s="251" t="str">
        <f>IF(B664=0,"-",3600/B664)</f>
        <v>-</v>
      </c>
      <c r="D664" s="259" t="str">
        <f>IFERROR((H664/C664),"-")</f>
        <v>-</v>
      </c>
      <c r="E664" s="251">
        <f>IFERROR(ROUNDUP(D664/0.95,0.999),0)</f>
        <v>0</v>
      </c>
      <c r="F664" s="252" t="str">
        <f>IFERROR((H664/C664/E664),"-")</f>
        <v>-</v>
      </c>
      <c r="G664" s="37"/>
      <c r="H664" s="285">
        <f>Preencher!$B$138*(Preencher!$C$193)</f>
        <v>0</v>
      </c>
      <c r="I664" s="259" t="str">
        <f>IFERROR((M664/C664),"-")</f>
        <v>-</v>
      </c>
      <c r="J664" s="251">
        <f>IFERROR(ROUNDUP(I664/0.95,0.999),0)</f>
        <v>0</v>
      </c>
      <c r="K664" s="252" t="str">
        <f>IFERROR((M664/C664/J664),"-")</f>
        <v>-</v>
      </c>
      <c r="L664" s="37"/>
      <c r="M664" s="285">
        <f>Preencher!$C$138*(Preencher!$D$193)</f>
        <v>0</v>
      </c>
      <c r="N664" s="259" t="str">
        <f>IFERROR((R664/C664),"-")</f>
        <v>-</v>
      </c>
      <c r="O664" s="251">
        <f>IFERROR(ROUNDUP(N664/0.95,0.999),0)</f>
        <v>0</v>
      </c>
      <c r="P664" s="252" t="str">
        <f>IFERROR((R664/C664/O664),"-")</f>
        <v>-</v>
      </c>
      <c r="Q664" s="37"/>
      <c r="R664" s="285">
        <f>Preencher!$D$138*(Preencher!$C$193+Preencher!$D$193+Preencher!$E$193)</f>
        <v>0</v>
      </c>
    </row>
    <row r="665" spans="1:18">
      <c r="A665" s="265" t="s">
        <v>216</v>
      </c>
      <c r="B665" s="284">
        <f>IF(Preencher!$C$179="Sim",4.274,0)</f>
        <v>4.274</v>
      </c>
      <c r="C665" s="251">
        <f>IF(B665=0,"-",3600/B665)</f>
        <v>842.30229293401965</v>
      </c>
      <c r="D665" s="259">
        <f>IFERROR((H665/C665),"-")</f>
        <v>0</v>
      </c>
      <c r="E665" s="251">
        <f>IFERROR(ROUNDUP(D665/0.95,0.999),0)</f>
        <v>0</v>
      </c>
      <c r="F665" s="252" t="str">
        <f>IFERROR((H665/C665/E665),"-")</f>
        <v>-</v>
      </c>
      <c r="G665" s="37"/>
      <c r="H665" s="285">
        <f>Preencher!$B$138*Preencher!$C$180</f>
        <v>0</v>
      </c>
      <c r="I665" s="259">
        <f>IFERROR((M665/C665),"-")</f>
        <v>0</v>
      </c>
      <c r="J665" s="251">
        <f>IFERROR(ROUNDUP(I665/0.95,0.999),0)</f>
        <v>0</v>
      </c>
      <c r="K665" s="252" t="str">
        <f>IFERROR((M665/C665/J665),"-")</f>
        <v>-</v>
      </c>
      <c r="L665" s="37"/>
      <c r="M665" s="285">
        <f>Preencher!$C$138*Preencher!$D$180</f>
        <v>0</v>
      </c>
      <c r="N665" s="259">
        <f>IFERROR((R665/C665),"-")</f>
        <v>0</v>
      </c>
      <c r="O665" s="251">
        <f>IFERROR(ROUNDUP(N665/0.95,0.999),0)</f>
        <v>0</v>
      </c>
      <c r="P665" s="252" t="str">
        <f>IFERROR((R665/C665/O665),"-")</f>
        <v>-</v>
      </c>
      <c r="Q665" s="37"/>
      <c r="R665" s="285">
        <f>Preencher!$D$138*Preencher!$E$180</f>
        <v>0</v>
      </c>
    </row>
    <row r="666" spans="1:18">
      <c r="A666" s="265" t="s">
        <v>91</v>
      </c>
      <c r="B666" s="284"/>
      <c r="C666" s="251"/>
      <c r="D666" s="259"/>
      <c r="E666" s="649">
        <f>ROUNDUP(SUM(D667:D668)/0.95,0.999)</f>
        <v>0</v>
      </c>
      <c r="F666" s="650">
        <f>IFERROR(SUM(D667:D668)/E666,0)</f>
        <v>0</v>
      </c>
      <c r="G666" s="37"/>
      <c r="H666" s="285"/>
      <c r="I666" s="259"/>
      <c r="J666" s="649">
        <f>ROUNDUP(SUM(I667:I668)/0.95,0.999)</f>
        <v>0</v>
      </c>
      <c r="K666" s="650">
        <f>IFERROR(SUM(I667:I668)/J666,0)</f>
        <v>0</v>
      </c>
      <c r="L666" s="37"/>
      <c r="M666" s="285"/>
      <c r="N666" s="259"/>
      <c r="O666" s="649">
        <f>ROUNDUP(SUM(N667:N668)/0.95,0.999)</f>
        <v>0</v>
      </c>
      <c r="P666" s="650">
        <f>IFERROR(SUM(N667:N668)/O666,0)</f>
        <v>0</v>
      </c>
      <c r="Q666" s="37"/>
      <c r="R666" s="285"/>
    </row>
    <row r="667" spans="1:18">
      <c r="A667" s="200" t="s">
        <v>2405</v>
      </c>
      <c r="B667" s="284">
        <v>24.5</v>
      </c>
      <c r="C667" s="649">
        <f>IF(B667=0,"-",3600/B667)</f>
        <v>146.9387755102041</v>
      </c>
      <c r="D667" s="259">
        <f>IFERROR((H667/C667),"-")</f>
        <v>0</v>
      </c>
      <c r="E667" s="649">
        <f>IFERROR(ROUNDUP(D667/0.95,0.999),0)</f>
        <v>0</v>
      </c>
      <c r="F667" s="650" t="str">
        <f>IFERROR((H667/C667/E667),"-")</f>
        <v>-</v>
      </c>
      <c r="G667" s="37"/>
      <c r="H667" s="285">
        <f>SUM(Preencher!AG193:AG199)</f>
        <v>0</v>
      </c>
      <c r="I667" s="259">
        <f>IFERROR((M667/C667),"-")</f>
        <v>0</v>
      </c>
      <c r="J667" s="649">
        <f>IFERROR(ROUNDUP(I667/0.95,0.999),0)</f>
        <v>0</v>
      </c>
      <c r="K667" s="650" t="str">
        <f>IFERROR((M667/C667/J667),"-")</f>
        <v>-</v>
      </c>
      <c r="L667" s="37"/>
      <c r="M667" s="285">
        <f>SUM(Preencher!AI193:AI199)</f>
        <v>0</v>
      </c>
      <c r="N667" s="259">
        <f>IFERROR((R667/C667),"-")</f>
        <v>0</v>
      </c>
      <c r="O667" s="649">
        <f>IFERROR(ROUNDUP(N667/0.95,0.999),0)</f>
        <v>0</v>
      </c>
      <c r="P667" s="650" t="str">
        <f>IFERROR((R667/C667/O667),"-")</f>
        <v>-</v>
      </c>
      <c r="Q667" s="37"/>
      <c r="R667" s="285">
        <f>SUM(Preencher!AK193:AK199)</f>
        <v>0</v>
      </c>
    </row>
    <row r="668" spans="1:18">
      <c r="A668" s="200" t="s">
        <v>2404</v>
      </c>
      <c r="B668" s="284">
        <v>360</v>
      </c>
      <c r="C668" s="649">
        <f>IF(B668=0,"-",3600/B668)</f>
        <v>10</v>
      </c>
      <c r="D668" s="259">
        <f>IFERROR((H668/C668),"-")</f>
        <v>0</v>
      </c>
      <c r="E668" s="649">
        <f>IFERROR(ROUNDUP(D668/0.95,0.999),0)</f>
        <v>0</v>
      </c>
      <c r="F668" s="650" t="str">
        <f>IFERROR((H668/C668/E668),"-")</f>
        <v>-</v>
      </c>
      <c r="G668" s="37"/>
      <c r="H668" s="285">
        <f>Preencher!AG198</f>
        <v>0</v>
      </c>
      <c r="I668" s="259">
        <f>IFERROR((M668/C668),"-")</f>
        <v>0</v>
      </c>
      <c r="J668" s="649">
        <f>IFERROR(ROUNDUP(I668/0.95,0.999),0)</f>
        <v>0</v>
      </c>
      <c r="K668" s="650" t="str">
        <f>IFERROR((M668/C668/J668),"-")</f>
        <v>-</v>
      </c>
      <c r="L668" s="37"/>
      <c r="M668" s="285">
        <f>Preencher!AI198</f>
        <v>0</v>
      </c>
      <c r="N668" s="259">
        <f>IFERROR((R668/C668),"-")</f>
        <v>0</v>
      </c>
      <c r="O668" s="649">
        <f>IFERROR(ROUNDUP(N668/0.95,0.999),0)</f>
        <v>0</v>
      </c>
      <c r="P668" s="650" t="str">
        <f>IFERROR((R668/C668/O668),"-")</f>
        <v>-</v>
      </c>
      <c r="Q668" s="37"/>
      <c r="R668" s="285">
        <f>Preencher!AK198</f>
        <v>0</v>
      </c>
    </row>
    <row r="669" spans="1:18">
      <c r="A669" s="265" t="s">
        <v>92</v>
      </c>
      <c r="B669" s="284"/>
      <c r="C669" s="251"/>
      <c r="D669" s="259"/>
      <c r="E669" s="603">
        <f>ROUNDUP(SUM(D670:D671)/0.95,0.999)</f>
        <v>0</v>
      </c>
      <c r="F669" s="604">
        <f>IFERROR(SUM(D670:D671)/E669,0)</f>
        <v>0</v>
      </c>
      <c r="G669" s="37"/>
      <c r="H669" s="285"/>
      <c r="I669" s="259"/>
      <c r="J669" s="603">
        <f>ROUNDUP(SUM(I670:I671)/0.95,0.999)</f>
        <v>0</v>
      </c>
      <c r="K669" s="604">
        <f>IFERROR(SUM(I670:I671)/J669,0)</f>
        <v>0</v>
      </c>
      <c r="L669" s="37"/>
      <c r="M669" s="285"/>
      <c r="N669" s="259"/>
      <c r="O669" s="603">
        <f>ROUNDUP(SUM(N670:N671)/0.95,0.999)</f>
        <v>0</v>
      </c>
      <c r="P669" s="604">
        <f>IFERROR(SUM(N670:N671)/O669,0)</f>
        <v>0</v>
      </c>
      <c r="Q669" s="37"/>
      <c r="R669" s="285"/>
    </row>
    <row r="670" spans="1:18">
      <c r="A670" s="200" t="s">
        <v>3111</v>
      </c>
      <c r="B670" s="284">
        <v>3.4</v>
      </c>
      <c r="C670" s="770">
        <f>IF(B670=0,"-",3600/B670)</f>
        <v>1058.8235294117646</v>
      </c>
      <c r="D670" s="259">
        <f>IFERROR((H670/C670),"-")</f>
        <v>0</v>
      </c>
      <c r="E670" s="770">
        <f>IFERROR(ROUNDUP(D670/0.95,0.999),0)</f>
        <v>0</v>
      </c>
      <c r="F670" s="772" t="str">
        <f>IFERROR((H670/C670/E670),"-")</f>
        <v>-</v>
      </c>
      <c r="G670" s="37"/>
      <c r="H670" s="285">
        <f>Preencher!$B$138*Preencher!$C$193*0.9</f>
        <v>0</v>
      </c>
      <c r="I670" s="259">
        <f>IFERROR((M670/C670),"-")</f>
        <v>0</v>
      </c>
      <c r="J670" s="770">
        <f>IFERROR(ROUNDUP(I670/0.95,0.999),0)</f>
        <v>0</v>
      </c>
      <c r="K670" s="772" t="str">
        <f>IFERROR((M670/C670/J670),"-")</f>
        <v>-</v>
      </c>
      <c r="L670" s="37"/>
      <c r="M670" s="285">
        <f>Preencher!$C$138*Preencher!$D$193*0.9</f>
        <v>0</v>
      </c>
      <c r="N670" s="259">
        <f>IFERROR((R670/C670),"-")</f>
        <v>0</v>
      </c>
      <c r="O670" s="770">
        <f>IFERROR(ROUNDUP(N670/0.95,0.999),0)</f>
        <v>0</v>
      </c>
      <c r="P670" s="772" t="str">
        <f>IFERROR((R670/C670/O670),"-")</f>
        <v>-</v>
      </c>
      <c r="Q670" s="37"/>
      <c r="R670" s="285">
        <f>Preencher!$D$138*Preencher!$E$193</f>
        <v>0</v>
      </c>
    </row>
    <row r="671" spans="1:18">
      <c r="A671" s="200" t="s">
        <v>2173</v>
      </c>
      <c r="B671" s="284">
        <v>24.7</v>
      </c>
      <c r="C671" s="603">
        <f>IF(B671=0,"-",3600/B671)</f>
        <v>145.74898785425103</v>
      </c>
      <c r="D671" s="259">
        <f>IFERROR((H671/C671),"-")</f>
        <v>0</v>
      </c>
      <c r="E671" s="603">
        <f>IFERROR(ROUNDUP(D671/0.95,0.999),0)</f>
        <v>0</v>
      </c>
      <c r="F671" s="604" t="str">
        <f>IFERROR((H671/C671/E671),"-")</f>
        <v>-</v>
      </c>
      <c r="G671" s="37"/>
      <c r="H671" s="285">
        <f>Preencher!AI158</f>
        <v>0</v>
      </c>
      <c r="I671" s="259">
        <f>IFERROR((M671/C671),"-")</f>
        <v>0</v>
      </c>
      <c r="J671" s="603">
        <f>IFERROR(ROUNDUP(I671/0.95,0.999),0)</f>
        <v>0</v>
      </c>
      <c r="K671" s="604" t="str">
        <f>IFERROR((M671/C671/J671),"-")</f>
        <v>-</v>
      </c>
      <c r="L671" s="37"/>
      <c r="M671" s="285">
        <f>Preencher!AG158</f>
        <v>0</v>
      </c>
      <c r="N671" s="259">
        <f>IFERROR((R671/C671),"-")</f>
        <v>0</v>
      </c>
      <c r="O671" s="603">
        <f>IFERROR(ROUNDUP(N671/0.95,0.999),0)</f>
        <v>0</v>
      </c>
      <c r="P671" s="604" t="str">
        <f>IFERROR((R671/C671/O671),"-")</f>
        <v>-</v>
      </c>
      <c r="Q671" s="37"/>
      <c r="R671" s="285">
        <f>Preencher!AK158</f>
        <v>0</v>
      </c>
    </row>
    <row r="672" spans="1:18">
      <c r="A672" s="265" t="s">
        <v>93</v>
      </c>
      <c r="B672" s="284"/>
      <c r="C672" s="251"/>
      <c r="D672" s="259"/>
      <c r="E672" s="603">
        <f>(ROUNDUP(SUM(D673:D676)/0.95,0.999))</f>
        <v>3</v>
      </c>
      <c r="F672" s="604">
        <f>IFERROR(SUM(D673:D676)/E672,0)</f>
        <v>0.8591806313790652</v>
      </c>
      <c r="G672" s="37"/>
      <c r="H672" s="285"/>
      <c r="I672" s="259"/>
      <c r="J672" s="770">
        <f>(ROUNDUP(SUM(I673:I676)/0.95,0.999))</f>
        <v>0</v>
      </c>
      <c r="K672" s="705">
        <f>IFERROR(SUM(I673:I676)/J672,0)</f>
        <v>0</v>
      </c>
      <c r="L672" s="37"/>
      <c r="M672" s="285"/>
      <c r="N672" s="259"/>
      <c r="O672" s="706">
        <f>(ROUNDUP(SUM(N673:N675)/0.95,0.999)+O676)</f>
        <v>0</v>
      </c>
      <c r="P672" s="705">
        <f>IFERROR(SUM(N673:N676)/O672,0)*2</f>
        <v>0</v>
      </c>
      <c r="Q672" s="37"/>
      <c r="R672" s="285"/>
    </row>
    <row r="673" spans="1:18">
      <c r="A673" s="200" t="s">
        <v>1614</v>
      </c>
      <c r="B673" s="284">
        <v>16.2</v>
      </c>
      <c r="C673" s="382">
        <f>IF(B673=0,"-",3600/B673)</f>
        <v>222.22222222222223</v>
      </c>
      <c r="D673" s="259">
        <f>IFERROR((H673/C673),"-")</f>
        <v>2.5775418941371955</v>
      </c>
      <c r="E673" s="382">
        <f>IFERROR(ROUNDUP(D673/0.95,0.999),0)</f>
        <v>3</v>
      </c>
      <c r="F673" s="383">
        <f>IFERROR((H673/C673/E673),"-")</f>
        <v>0.8591806313790652</v>
      </c>
      <c r="G673" s="37"/>
      <c r="H673" s="285">
        <f>Preencher!AG190</f>
        <v>572.78708758604341</v>
      </c>
      <c r="I673" s="259">
        <f>IFERROR((M673/C673),"-")</f>
        <v>0</v>
      </c>
      <c r="J673" s="382">
        <f>IFERROR(ROUNDUP(I673/0.95,0.999),0)</f>
        <v>0</v>
      </c>
      <c r="K673" s="383" t="str">
        <f>IFERROR((M673/C673/J673),"-")</f>
        <v>-</v>
      </c>
      <c r="L673" s="37"/>
      <c r="M673" s="285">
        <f>Preencher!AI190</f>
        <v>0</v>
      </c>
      <c r="N673" s="259">
        <f>IFERROR((R673/C673),"-")</f>
        <v>0</v>
      </c>
      <c r="O673" s="382">
        <f>IFERROR(ROUNDUP(N673/0.95,0.999),0)</f>
        <v>0</v>
      </c>
      <c r="P673" s="383" t="str">
        <f>IFERROR((R673/C673/O673),"-")</f>
        <v>-</v>
      </c>
      <c r="Q673" s="37"/>
      <c r="R673" s="285">
        <f>Preencher!AK190</f>
        <v>0</v>
      </c>
    </row>
    <row r="674" spans="1:18">
      <c r="A674" s="200" t="s">
        <v>1615</v>
      </c>
      <c r="B674" s="284">
        <v>13.799999999999999</v>
      </c>
      <c r="C674" s="382">
        <f>IF(B674=0,"-",3600/B674)</f>
        <v>260.86956521739131</v>
      </c>
      <c r="D674" s="259">
        <f>IFERROR((H674/C674),"-")</f>
        <v>0</v>
      </c>
      <c r="E674" s="382">
        <f>IFERROR(ROUNDUP(D674/0.95,0.999),0)</f>
        <v>0</v>
      </c>
      <c r="F674" s="383" t="str">
        <f>IFERROR((H674/C674/E674),"-")</f>
        <v>-</v>
      </c>
      <c r="G674" s="37"/>
      <c r="H674" s="285">
        <f>Preencher!AG191</f>
        <v>0</v>
      </c>
      <c r="I674" s="259">
        <f>IFERROR((M674/C674),"-")</f>
        <v>0</v>
      </c>
      <c r="J674" s="382">
        <f>IFERROR(ROUNDUP(I674/0.95,0.999),0)</f>
        <v>0</v>
      </c>
      <c r="K674" s="383" t="str">
        <f>IFERROR((M674/C674/J674),"-")</f>
        <v>-</v>
      </c>
      <c r="L674" s="37"/>
      <c r="M674" s="285">
        <f>Preencher!AI191</f>
        <v>0</v>
      </c>
      <c r="N674" s="259">
        <f>IFERROR((R674/C674),"-")</f>
        <v>0</v>
      </c>
      <c r="O674" s="382">
        <f>IFERROR(ROUNDUP(N674/0.95,0.999),0)</f>
        <v>0</v>
      </c>
      <c r="P674" s="383" t="str">
        <f>IFERROR((R674/C674/O674),"-")</f>
        <v>-</v>
      </c>
      <c r="Q674" s="37"/>
      <c r="R674" s="285">
        <f>Preencher!AK191</f>
        <v>0</v>
      </c>
    </row>
    <row r="675" spans="1:18">
      <c r="A675" s="200" t="s">
        <v>1616</v>
      </c>
      <c r="B675" s="284">
        <v>13.799999999999999</v>
      </c>
      <c r="C675" s="382">
        <f>IF(B675=0,"-",3600/B675)</f>
        <v>260.86956521739131</v>
      </c>
      <c r="D675" s="259">
        <f>IFERROR((H675/C675),"-")</f>
        <v>0</v>
      </c>
      <c r="E675" s="382">
        <f>IFERROR(ROUNDUP(D675/0.95,0.999),0)</f>
        <v>0</v>
      </c>
      <c r="F675" s="383" t="str">
        <f>IFERROR((H675/C675/E675),"-")</f>
        <v>-</v>
      </c>
      <c r="G675" s="37"/>
      <c r="H675" s="285">
        <f>Preencher!AG192</f>
        <v>0</v>
      </c>
      <c r="I675" s="259">
        <f>IFERROR((M675/C675),"-")</f>
        <v>0</v>
      </c>
      <c r="J675" s="382">
        <f>IFERROR(ROUNDUP(I675/0.95,0.999),0)</f>
        <v>0</v>
      </c>
      <c r="K675" s="383" t="str">
        <f>IFERROR((M675/C675/J675),"-")</f>
        <v>-</v>
      </c>
      <c r="L675" s="37"/>
      <c r="M675" s="285">
        <f>Preencher!AI192</f>
        <v>0</v>
      </c>
      <c r="N675" s="259">
        <f>IFERROR((R675/C675),"-")</f>
        <v>0</v>
      </c>
      <c r="O675" s="382">
        <f>IFERROR(ROUNDUP(N675/0.95,0.999),0)</f>
        <v>0</v>
      </c>
      <c r="P675" s="383" t="str">
        <f>IFERROR((R675/C675/O675),"-")</f>
        <v>-</v>
      </c>
      <c r="Q675" s="37"/>
      <c r="R675" s="285">
        <f>Preencher!AK192</f>
        <v>0</v>
      </c>
    </row>
    <row r="676" spans="1:18">
      <c r="A676" s="200" t="s">
        <v>1617</v>
      </c>
      <c r="B676" s="284">
        <f>13.8</f>
        <v>13.8</v>
      </c>
      <c r="C676" s="382">
        <f>IF(B676=0,"-",3600/B676)</f>
        <v>260.86956521739131</v>
      </c>
      <c r="D676" s="259">
        <f>IFERROR((H676/C676),"-")</f>
        <v>0</v>
      </c>
      <c r="E676" s="382">
        <f>IFERROR(ROUNDUP(D676/0.95,0.999),0)</f>
        <v>0</v>
      </c>
      <c r="F676" s="383" t="str">
        <f>IFERROR((H676/C676/E676),"-")</f>
        <v>-</v>
      </c>
      <c r="G676" s="37"/>
      <c r="H676" s="285">
        <f>Preencher!AG200</f>
        <v>0</v>
      </c>
      <c r="I676" s="259">
        <f>IFERROR((M676/C676),"-")</f>
        <v>0</v>
      </c>
      <c r="J676" s="382">
        <f>IFERROR(ROUNDUP(I676/0.95,0.999),0)</f>
        <v>0</v>
      </c>
      <c r="K676" s="383" t="str">
        <f>IFERROR((M676/C676/J676),"-")</f>
        <v>-</v>
      </c>
      <c r="L676" s="37"/>
      <c r="M676" s="285">
        <f>Preencher!AI200</f>
        <v>0</v>
      </c>
      <c r="N676" s="259">
        <f>IFERROR((R676/C676),"-")</f>
        <v>0</v>
      </c>
      <c r="O676" s="382">
        <f>IFERROR(ROUNDUP(N676/0.95,0.999),0)</f>
        <v>0</v>
      </c>
      <c r="P676" s="383" t="str">
        <f>IFERROR((R676/C676/O676),"-")</f>
        <v>-</v>
      </c>
      <c r="Q676" s="37"/>
      <c r="R676" s="285">
        <f>Preencher!AK200</f>
        <v>0</v>
      </c>
    </row>
    <row r="677" spans="1:18">
      <c r="A677" s="265" t="s">
        <v>94</v>
      </c>
      <c r="B677" s="284"/>
      <c r="C677" s="251" t="str">
        <f>IF(B677=0,"-",3600/B677)</f>
        <v>-</v>
      </c>
      <c r="D677" s="259" t="str">
        <f>IFERROR((H677/C677),"-")</f>
        <v>-</v>
      </c>
      <c r="E677" s="251">
        <f>IFERROR(ROUNDUP(D677/0.95,0.999),0)</f>
        <v>0</v>
      </c>
      <c r="F677" s="252" t="str">
        <f>IFERROR((H677/C677/E677),"-")</f>
        <v>-</v>
      </c>
      <c r="G677" s="37"/>
      <c r="H677" s="285"/>
      <c r="I677" s="259" t="str">
        <f>IFERROR((M677/C677),"-")</f>
        <v>-</v>
      </c>
      <c r="J677" s="251">
        <f>IFERROR(ROUNDUP(I677/0.95,0.999),0)</f>
        <v>0</v>
      </c>
      <c r="K677" s="252" t="str">
        <f>IFERROR((M677/C677/J677),"-")</f>
        <v>-</v>
      </c>
      <c r="L677" s="37"/>
      <c r="M677" s="285"/>
      <c r="N677" s="259" t="str">
        <f>IFERROR((R677/C677),"-")</f>
        <v>-</v>
      </c>
      <c r="O677" s="251">
        <f>IFERROR(ROUNDUP(N677/0.95,0.999),0)</f>
        <v>0</v>
      </c>
      <c r="P677" s="252" t="str">
        <f>IFERROR((R677/C677/O677),"-")</f>
        <v>-</v>
      </c>
      <c r="Q677" s="37"/>
      <c r="R677" s="285"/>
    </row>
    <row r="678" spans="1:18">
      <c r="A678" s="265" t="s">
        <v>95</v>
      </c>
      <c r="B678" s="284"/>
      <c r="C678" s="251"/>
      <c r="D678" s="259"/>
      <c r="E678" s="603">
        <f>SUM(E679:E682)</f>
        <v>0</v>
      </c>
      <c r="F678" s="604">
        <f>IFERROR(SUM(D679:D682)/E678,0)</f>
        <v>0</v>
      </c>
      <c r="G678" s="37"/>
      <c r="H678" s="285"/>
      <c r="I678" s="259"/>
      <c r="J678" s="603">
        <f>SUM(J679:J682)</f>
        <v>0</v>
      </c>
      <c r="K678" s="604">
        <f>IFERROR(SUM(I679:I682)/J678,0)</f>
        <v>0</v>
      </c>
      <c r="L678" s="37"/>
      <c r="M678" s="285"/>
      <c r="N678" s="259"/>
      <c r="O678" s="603">
        <f>SUM(O679:O682)</f>
        <v>0</v>
      </c>
      <c r="P678" s="604">
        <f>IFERROR(SUM(N679:N682)/O678,0)</f>
        <v>0</v>
      </c>
      <c r="Q678" s="37"/>
      <c r="R678" s="285"/>
    </row>
    <row r="679" spans="1:18">
      <c r="A679" s="200" t="s">
        <v>2176</v>
      </c>
      <c r="B679" s="284">
        <f>9.21-0.5</f>
        <v>8.7100000000000009</v>
      </c>
      <c r="C679" s="603">
        <f>IF(B679=0,"-",3600/B679)</f>
        <v>413.3180252583237</v>
      </c>
      <c r="D679" s="259">
        <f>IFERROR((H679/C679),"-")</f>
        <v>0</v>
      </c>
      <c r="E679" s="603">
        <f>IFERROR(ROUNDUP(D679/0.95,0.999),0)</f>
        <v>0</v>
      </c>
      <c r="F679" s="604" t="str">
        <f>IFERROR((H679/C679/E679),"-")</f>
        <v>-</v>
      </c>
      <c r="G679" s="37"/>
      <c r="H679" s="285">
        <f>H676</f>
        <v>0</v>
      </c>
      <c r="I679" s="259">
        <f>IFERROR((M679/C679),"-")</f>
        <v>0</v>
      </c>
      <c r="J679" s="603">
        <f>IFERROR(ROUNDUP(I679/0.95,0.999),0)</f>
        <v>0</v>
      </c>
      <c r="K679" s="604" t="str">
        <f>IFERROR((M679/C679/J679),"-")</f>
        <v>-</v>
      </c>
      <c r="L679" s="37"/>
      <c r="M679" s="285">
        <f>M676</f>
        <v>0</v>
      </c>
      <c r="N679" s="259">
        <f>IFERROR((R679/C679),"-")</f>
        <v>0</v>
      </c>
      <c r="O679" s="603">
        <f>IFERROR(ROUNDUP(N679/0.95,0.999),0)</f>
        <v>0</v>
      </c>
      <c r="P679" s="604" t="str">
        <f>IFERROR((R679/C679/O679),"-")</f>
        <v>-</v>
      </c>
      <c r="Q679" s="37"/>
      <c r="R679" s="285">
        <f>R676</f>
        <v>0</v>
      </c>
    </row>
    <row r="680" spans="1:18">
      <c r="A680" s="200" t="s">
        <v>2178</v>
      </c>
      <c r="B680" s="284">
        <v>3.8</v>
      </c>
      <c r="C680" s="603">
        <f>IF(B680=0,"-",3600/B680)</f>
        <v>947.36842105263167</v>
      </c>
      <c r="D680" s="259">
        <f>IFERROR((H680/C680),"-")</f>
        <v>0</v>
      </c>
      <c r="E680" s="603">
        <f>IFERROR(ROUNDUP(D680/0.95,0.999),0)</f>
        <v>0</v>
      </c>
      <c r="F680" s="604" t="str">
        <f>IFERROR((H680/C680/E680),"-")</f>
        <v>-</v>
      </c>
      <c r="G680" s="37"/>
      <c r="H680" s="285">
        <v>0</v>
      </c>
      <c r="I680" s="259">
        <f>IFERROR((M680/C680),"-")</f>
        <v>0</v>
      </c>
      <c r="J680" s="603">
        <f>IFERROR(ROUNDUP(I680/0.95,0.999),0)</f>
        <v>0</v>
      </c>
      <c r="K680" s="604" t="str">
        <f>IFERROR((M680/C680/J680),"-")</f>
        <v>-</v>
      </c>
      <c r="L680" s="37"/>
      <c r="M680" s="285">
        <v>0</v>
      </c>
      <c r="N680" s="259">
        <f>IFERROR((R680/C680),"-")</f>
        <v>0</v>
      </c>
      <c r="O680" s="603">
        <f>IFERROR(ROUNDUP(N680/0.95,0.999),0)</f>
        <v>0</v>
      </c>
      <c r="P680" s="604" t="str">
        <f>IFERROR((R680/C680/O680),"-")</f>
        <v>-</v>
      </c>
      <c r="Q680" s="37"/>
      <c r="R680" s="285">
        <f>R679</f>
        <v>0</v>
      </c>
    </row>
    <row r="681" spans="1:18">
      <c r="A681" s="200" t="s">
        <v>2177</v>
      </c>
      <c r="B681" s="284">
        <v>10.210000000000001</v>
      </c>
      <c r="C681" s="603">
        <f>IF(B681=0,"-",3600/B681)</f>
        <v>352.59549461312434</v>
      </c>
      <c r="D681" s="259">
        <f>IFERROR((H681/C681),"-")</f>
        <v>0</v>
      </c>
      <c r="E681" s="603">
        <f>IFERROR(ROUNDUP(D681/0.95,0.999),0)</f>
        <v>0</v>
      </c>
      <c r="F681" s="604" t="str">
        <f>IFERROR((H681/C681/E681),"-")</f>
        <v>-</v>
      </c>
      <c r="G681" s="37"/>
      <c r="H681" s="285">
        <f>H671</f>
        <v>0</v>
      </c>
      <c r="I681" s="259">
        <f>IFERROR((M681/C681),"-")</f>
        <v>0</v>
      </c>
      <c r="J681" s="603">
        <f>IFERROR(ROUNDUP(I681/0.95,0.999),0)</f>
        <v>0</v>
      </c>
      <c r="K681" s="604" t="str">
        <f>IFERROR((M681/C681/J681),"-")</f>
        <v>-</v>
      </c>
      <c r="L681" s="37"/>
      <c r="M681" s="285">
        <f>M671</f>
        <v>0</v>
      </c>
      <c r="N681" s="259">
        <f>IFERROR((R681/C681),"-")</f>
        <v>0</v>
      </c>
      <c r="O681" s="603">
        <f>IFERROR(ROUNDUP(N681/0.95,0.999),0)</f>
        <v>0</v>
      </c>
      <c r="P681" s="604" t="str">
        <f>IFERROR((R681/C681/O681),"-")</f>
        <v>-</v>
      </c>
      <c r="Q681" s="37"/>
      <c r="R681" s="285">
        <f>R671</f>
        <v>0</v>
      </c>
    </row>
    <row r="682" spans="1:18">
      <c r="A682" s="200" t="s">
        <v>2178</v>
      </c>
      <c r="B682" s="284">
        <v>3.8</v>
      </c>
      <c r="C682" s="603">
        <f>IF(B682=0,"-",3600/B682)</f>
        <v>947.36842105263167</v>
      </c>
      <c r="D682" s="259">
        <f>IFERROR((H682/C682),"-")</f>
        <v>0</v>
      </c>
      <c r="E682" s="603">
        <f>IFERROR(ROUNDUP(D682/0.95,0.999),0)</f>
        <v>0</v>
      </c>
      <c r="F682" s="604" t="str">
        <f>IFERROR((H682/C682/E682),"-")</f>
        <v>-</v>
      </c>
      <c r="G682" s="37"/>
      <c r="H682" s="285">
        <f>H681</f>
        <v>0</v>
      </c>
      <c r="I682" s="259">
        <f>IFERROR((M682/C682),"-")</f>
        <v>0</v>
      </c>
      <c r="J682" s="603">
        <f>IFERROR(ROUNDUP(I682/0.95,0.999),0)</f>
        <v>0</v>
      </c>
      <c r="K682" s="604" t="str">
        <f>IFERROR((M682/C682/J682),"-")</f>
        <v>-</v>
      </c>
      <c r="L682" s="37"/>
      <c r="M682" s="285">
        <f>M681</f>
        <v>0</v>
      </c>
      <c r="N682" s="259">
        <f>IFERROR((R682/C682),"-")</f>
        <v>0</v>
      </c>
      <c r="O682" s="603">
        <f>IFERROR(ROUNDUP(N682/0.95,0.999),0)</f>
        <v>0</v>
      </c>
      <c r="P682" s="604" t="str">
        <f>IFERROR((R682/C682/O682),"-")</f>
        <v>-</v>
      </c>
      <c r="Q682" s="37"/>
      <c r="R682" s="285">
        <f>R681</f>
        <v>0</v>
      </c>
    </row>
    <row r="683" spans="1:18">
      <c r="A683" s="265" t="s">
        <v>96</v>
      </c>
      <c r="B683" s="284"/>
      <c r="C683" s="251"/>
      <c r="D683" s="259"/>
      <c r="E683" s="603">
        <f>SUM(E684:E685)</f>
        <v>0</v>
      </c>
      <c r="F683" s="604">
        <f>IFERROR(AVERAGE(F684:F685),0)</f>
        <v>0</v>
      </c>
      <c r="G683" s="37"/>
      <c r="H683" s="285"/>
      <c r="I683" s="259"/>
      <c r="J683" s="603">
        <f>SUM(J684:J685)</f>
        <v>0</v>
      </c>
      <c r="K683" s="604">
        <f>IFERROR(AVERAGE(K684:K685),0)</f>
        <v>0</v>
      </c>
      <c r="L683" s="37"/>
      <c r="M683" s="285"/>
      <c r="N683" s="259"/>
      <c r="O683" s="603">
        <f>SUM(O684:O685)</f>
        <v>0</v>
      </c>
      <c r="P683" s="604">
        <f>IFERROR(AVERAGE(P684:P685),0)</f>
        <v>0</v>
      </c>
      <c r="Q683" s="37"/>
      <c r="R683" s="285"/>
    </row>
    <row r="684" spans="1:18">
      <c r="A684" s="200" t="s">
        <v>1617</v>
      </c>
      <c r="B684" s="284">
        <f>3384-3384</f>
        <v>0</v>
      </c>
      <c r="C684" s="603" t="str">
        <f>IF(B684=0,"-",3600/B684)</f>
        <v>-</v>
      </c>
      <c r="D684" s="259" t="str">
        <f>IFERROR((H684/C684),"-")</f>
        <v>-</v>
      </c>
      <c r="E684" s="603">
        <f>IFERROR(ROUNDUP(D684/0.95,0.999),0)</f>
        <v>0</v>
      </c>
      <c r="F684" s="604" t="str">
        <f>IFERROR((H684/C684/E684),"-")</f>
        <v>-</v>
      </c>
      <c r="G684" s="37"/>
      <c r="H684" s="285">
        <f>Preencher!$C$185</f>
        <v>0</v>
      </c>
      <c r="I684" s="259" t="str">
        <f>IFERROR((M684/C684),"-")</f>
        <v>-</v>
      </c>
      <c r="J684" s="603">
        <f>IFERROR(ROUNDUP(I684/0.95,0.999),0)</f>
        <v>0</v>
      </c>
      <c r="K684" s="604" t="str">
        <f>IFERROR((M684/C684/J684),"-")</f>
        <v>-</v>
      </c>
      <c r="L684" s="37"/>
      <c r="M684" s="285">
        <f>Preencher!$D$185</f>
        <v>0</v>
      </c>
      <c r="N684" s="259" t="str">
        <f>IFERROR((R684/C684),"-")</f>
        <v>-</v>
      </c>
      <c r="O684" s="603">
        <f>IFERROR(ROUNDUP(N684/0.95,0.999),0)</f>
        <v>0</v>
      </c>
      <c r="P684" s="604" t="str">
        <f>IFERROR((R684/C684/O684),"-")</f>
        <v>-</v>
      </c>
      <c r="Q684" s="37"/>
      <c r="R684" s="285">
        <f>Preencher!$E$185</f>
        <v>0</v>
      </c>
    </row>
    <row r="685" spans="1:18">
      <c r="A685" s="200" t="s">
        <v>1617</v>
      </c>
      <c r="B685" s="284">
        <v>3384</v>
      </c>
      <c r="C685" s="603">
        <f>IF(B685=0,"-",3600/B685)</f>
        <v>1.0638297872340425</v>
      </c>
      <c r="D685" s="259">
        <f>IFERROR((H685/C685),"-")</f>
        <v>0</v>
      </c>
      <c r="E685" s="603">
        <f>IFERROR(ROUNDUP(D685/0.95,0.999),0)</f>
        <v>0</v>
      </c>
      <c r="F685" s="604" t="str">
        <f>IFERROR((H685/C685/E685),"-")</f>
        <v>-</v>
      </c>
      <c r="G685" s="37"/>
      <c r="H685" s="285">
        <f>Preencher!$C$183</f>
        <v>0</v>
      </c>
      <c r="I685" s="259">
        <f>IFERROR((M685/C685),"-")</f>
        <v>0</v>
      </c>
      <c r="J685" s="603">
        <f>IFERROR(ROUNDUP(I685/0.95,0.999),0)</f>
        <v>0</v>
      </c>
      <c r="K685" s="604" t="str">
        <f>IFERROR((M685/C685/J685),"-")</f>
        <v>-</v>
      </c>
      <c r="L685" s="37"/>
      <c r="M685" s="285">
        <f>Preencher!$D$183</f>
        <v>0</v>
      </c>
      <c r="N685" s="259">
        <f>IFERROR((R685/C685),"-")</f>
        <v>0</v>
      </c>
      <c r="O685" s="603">
        <f>IFERROR(ROUNDUP(N685/0.95,0.999),0)</f>
        <v>0</v>
      </c>
      <c r="P685" s="604" t="str">
        <f>IFERROR((R685/C685/O685),"-")</f>
        <v>-</v>
      </c>
      <c r="Q685" s="37"/>
      <c r="R685" s="285">
        <f>Preencher!$E$183</f>
        <v>0</v>
      </c>
    </row>
    <row r="686" spans="1:18">
      <c r="A686" s="265" t="s">
        <v>638</v>
      </c>
      <c r="B686" s="284"/>
      <c r="C686" s="251"/>
      <c r="D686" s="259"/>
      <c r="E686" s="251">
        <f>SUM(E687:E688)</f>
        <v>0</v>
      </c>
      <c r="F686" s="252">
        <f>IFERROR(AVERAGE(F687:F688),0)</f>
        <v>0</v>
      </c>
      <c r="G686" s="37"/>
      <c r="H686" s="285"/>
      <c r="I686" s="259"/>
      <c r="J686" s="603">
        <f>SUM(J687:J688)</f>
        <v>0</v>
      </c>
      <c r="K686" s="604">
        <f>IFERROR(AVERAGE(K687:K688),0)</f>
        <v>0</v>
      </c>
      <c r="L686" s="37"/>
      <c r="M686" s="285"/>
      <c r="N686" s="259"/>
      <c r="O686" s="603">
        <f>SUM(O687:O688)</f>
        <v>0</v>
      </c>
      <c r="P686" s="604">
        <f>IFERROR(AVERAGE(P687:P688),0)</f>
        <v>0</v>
      </c>
      <c r="Q686" s="37"/>
      <c r="R686" s="285"/>
    </row>
    <row r="687" spans="1:18">
      <c r="A687" s="200" t="s">
        <v>2174</v>
      </c>
      <c r="B687" s="284">
        <v>3420</v>
      </c>
      <c r="C687" s="603">
        <f>IF(B687=0,"-",3600/B687)</f>
        <v>1.0526315789473684</v>
      </c>
      <c r="D687" s="259">
        <f>IFERROR((H687/C687),"-")</f>
        <v>0</v>
      </c>
      <c r="E687" s="603">
        <f>IFERROR(ROUNDUP(D687/0.95,0.999),0)</f>
        <v>0</v>
      </c>
      <c r="F687" s="604" t="str">
        <f>IFERROR((H687/C687/E687),"-")</f>
        <v>-</v>
      </c>
      <c r="G687" s="37"/>
      <c r="H687" s="285">
        <f>IF(H676&gt;0,1,0)</f>
        <v>0</v>
      </c>
      <c r="I687" s="259">
        <f>IFERROR((M687/C687),"-")</f>
        <v>0</v>
      </c>
      <c r="J687" s="603">
        <f>IFERROR(ROUNDUP(I687/0.95,0.999),0)</f>
        <v>0</v>
      </c>
      <c r="K687" s="604" t="str">
        <f>IFERROR((M687/C687/J687),"-")</f>
        <v>-</v>
      </c>
      <c r="L687" s="37"/>
      <c r="M687" s="285">
        <f>IF(M676&gt;0,1,0)</f>
        <v>0</v>
      </c>
      <c r="N687" s="259">
        <f>IFERROR((R687/C687),"-")</f>
        <v>0</v>
      </c>
      <c r="O687" s="603">
        <f>IFERROR(ROUNDUP(N687/0.95,0.999),0)</f>
        <v>0</v>
      </c>
      <c r="P687" s="604" t="str">
        <f>IFERROR((R687/C687/O687),"-")</f>
        <v>-</v>
      </c>
      <c r="Q687" s="37"/>
      <c r="R687" s="285">
        <f>IF(R676&gt;0,1,0)</f>
        <v>0</v>
      </c>
    </row>
    <row r="688" spans="1:18">
      <c r="A688" s="200" t="s">
        <v>2175</v>
      </c>
      <c r="B688" s="284">
        <v>3420</v>
      </c>
      <c r="C688" s="603">
        <f>IF(B688=0,"-",3600/B688)</f>
        <v>1.0526315789473684</v>
      </c>
      <c r="D688" s="259">
        <f>IFERROR((H688/C688),"-")</f>
        <v>0</v>
      </c>
      <c r="E688" s="603">
        <f>IFERROR(ROUNDUP(D688/0.95,0.999),0)</f>
        <v>0</v>
      </c>
      <c r="F688" s="604" t="str">
        <f>IFERROR((H688/C688/E688),"-")</f>
        <v>-</v>
      </c>
      <c r="G688" s="37"/>
      <c r="H688" s="285">
        <f>IF(H671&gt;0,1,0)</f>
        <v>0</v>
      </c>
      <c r="I688" s="259">
        <f>IFERROR((M688/C688),"-")</f>
        <v>0</v>
      </c>
      <c r="J688" s="603">
        <f>IFERROR(ROUNDUP(I688/0.95,0.999),0)</f>
        <v>0</v>
      </c>
      <c r="K688" s="604" t="str">
        <f>IFERROR((M688/C688/J688),"-")</f>
        <v>-</v>
      </c>
      <c r="L688" s="37"/>
      <c r="M688" s="285">
        <f>IF(M671&gt;0,1,0)</f>
        <v>0</v>
      </c>
      <c r="N688" s="259">
        <f>IFERROR((R688/C688),"-")</f>
        <v>0</v>
      </c>
      <c r="O688" s="603">
        <f>IFERROR(ROUNDUP(N688/0.95,0.999),0)</f>
        <v>0</v>
      </c>
      <c r="P688" s="604" t="str">
        <f>IFERROR((R688/C688/O688),"-")</f>
        <v>-</v>
      </c>
      <c r="Q688" s="37"/>
      <c r="R688" s="285">
        <f>IF(R671&gt;0,1,0)</f>
        <v>0</v>
      </c>
    </row>
    <row r="689" spans="1:18">
      <c r="A689" s="265"/>
      <c r="B689" s="286"/>
      <c r="C689" s="37"/>
      <c r="D689" s="37"/>
      <c r="E689" s="37"/>
      <c r="F689" s="37"/>
      <c r="G689" s="37"/>
      <c r="H689" s="287"/>
      <c r="I689" s="37"/>
      <c r="J689" s="37"/>
      <c r="K689" s="37"/>
      <c r="L689" s="37"/>
      <c r="M689" s="287"/>
      <c r="N689" s="37"/>
      <c r="O689" s="37"/>
      <c r="P689" s="37"/>
      <c r="Q689" s="37"/>
      <c r="R689" s="287"/>
    </row>
    <row r="690" spans="1:18">
      <c r="A690" s="270" t="s">
        <v>723</v>
      </c>
      <c r="B690" s="291"/>
      <c r="C690" s="39"/>
      <c r="D690" s="39"/>
      <c r="E690" s="39"/>
      <c r="F690" s="39"/>
      <c r="G690" s="39"/>
      <c r="H690" s="292"/>
      <c r="I690" s="39"/>
      <c r="J690" s="39"/>
      <c r="K690" s="39"/>
      <c r="L690" s="39"/>
      <c r="M690" s="292"/>
      <c r="N690" s="39"/>
      <c r="O690" s="39"/>
      <c r="P690" s="39"/>
      <c r="Q690" s="39"/>
      <c r="R690" s="292"/>
    </row>
    <row r="691" spans="1:18">
      <c r="A691" s="265" t="s">
        <v>1022</v>
      </c>
      <c r="B691" s="286"/>
      <c r="C691" s="37"/>
      <c r="D691" s="37"/>
      <c r="E691" s="37"/>
      <c r="F691" s="37"/>
      <c r="G691" s="37"/>
      <c r="H691" s="287"/>
      <c r="I691" s="37"/>
      <c r="J691" s="37"/>
      <c r="K691" s="37"/>
      <c r="L691" s="37"/>
      <c r="M691" s="287"/>
      <c r="N691" s="37"/>
      <c r="O691" s="37"/>
      <c r="P691" s="37"/>
      <c r="Q691" s="37"/>
      <c r="R691" s="287"/>
    </row>
    <row r="692" spans="1:18">
      <c r="A692" s="265"/>
      <c r="B692" s="286"/>
      <c r="C692" s="37"/>
      <c r="D692" s="37"/>
      <c r="E692" s="37"/>
      <c r="F692" s="37"/>
      <c r="G692" s="37"/>
      <c r="H692" s="287"/>
      <c r="I692" s="37"/>
      <c r="J692" s="37"/>
      <c r="K692" s="37"/>
      <c r="L692" s="37"/>
      <c r="M692" s="287"/>
      <c r="N692" s="37"/>
      <c r="O692" s="37"/>
      <c r="P692" s="37"/>
      <c r="Q692" s="37"/>
      <c r="R692" s="287"/>
    </row>
    <row r="693" spans="1:18">
      <c r="A693" s="265"/>
      <c r="B693" s="286"/>
      <c r="C693" s="37"/>
      <c r="D693" s="37"/>
      <c r="E693" s="37"/>
      <c r="F693" s="37"/>
      <c r="G693" s="37"/>
      <c r="H693" s="287"/>
      <c r="I693" s="37"/>
      <c r="J693" s="37"/>
      <c r="K693" s="37"/>
      <c r="L693" s="37"/>
      <c r="M693" s="287"/>
      <c r="N693" s="37"/>
      <c r="O693" s="37"/>
      <c r="P693" s="37"/>
      <c r="Q693" s="37"/>
      <c r="R693" s="287"/>
    </row>
    <row r="694" spans="1:18">
      <c r="A694" s="265"/>
      <c r="B694" s="286"/>
      <c r="C694" s="37"/>
      <c r="D694" s="37"/>
      <c r="E694" s="37"/>
      <c r="F694" s="37"/>
      <c r="G694" s="37"/>
      <c r="H694" s="287"/>
      <c r="I694" s="37"/>
      <c r="J694" s="37"/>
      <c r="K694" s="37"/>
      <c r="L694" s="37"/>
      <c r="M694" s="287"/>
      <c r="N694" s="37"/>
      <c r="O694" s="37"/>
      <c r="P694" s="37"/>
      <c r="Q694" s="37"/>
      <c r="R694" s="287"/>
    </row>
    <row r="695" spans="1:18">
      <c r="A695" s="265"/>
      <c r="B695" s="286"/>
      <c r="C695" s="37"/>
      <c r="D695" s="37"/>
      <c r="E695" s="37"/>
      <c r="F695" s="37"/>
      <c r="G695" s="37"/>
      <c r="H695" s="287"/>
      <c r="I695" s="37"/>
      <c r="J695" s="37"/>
      <c r="K695" s="37"/>
      <c r="L695" s="37"/>
      <c r="M695" s="287"/>
      <c r="N695" s="37"/>
      <c r="O695" s="37"/>
      <c r="P695" s="37"/>
      <c r="Q695" s="37"/>
      <c r="R695" s="287"/>
    </row>
    <row r="696" spans="1:18">
      <c r="A696" s="268"/>
      <c r="B696" s="288"/>
      <c r="C696" s="13"/>
      <c r="D696" s="13"/>
      <c r="E696" s="13"/>
      <c r="F696" s="13"/>
      <c r="G696" s="13"/>
      <c r="H696" s="113"/>
      <c r="I696" s="13"/>
      <c r="J696" s="13"/>
      <c r="K696" s="13"/>
      <c r="L696" s="13"/>
      <c r="M696" s="113"/>
      <c r="N696" s="13"/>
      <c r="O696" s="13"/>
      <c r="P696" s="13"/>
      <c r="Q696" s="13"/>
      <c r="R696" s="113"/>
    </row>
    <row r="697" spans="1:18">
      <c r="A697" s="264" t="s">
        <v>235</v>
      </c>
      <c r="B697" s="282"/>
      <c r="C697" s="40"/>
      <c r="D697" s="40"/>
      <c r="E697" s="40"/>
      <c r="F697" s="40"/>
      <c r="G697" s="40"/>
      <c r="H697" s="283"/>
      <c r="I697" s="40"/>
      <c r="J697" s="40"/>
      <c r="K697" s="40"/>
      <c r="L697" s="40"/>
      <c r="M697" s="283"/>
      <c r="N697" s="40"/>
      <c r="O697" s="40"/>
      <c r="P697" s="40"/>
      <c r="Q697" s="40"/>
      <c r="R697" s="283"/>
    </row>
    <row r="698" spans="1:18">
      <c r="A698" s="268" t="s">
        <v>17</v>
      </c>
      <c r="B698" s="288"/>
      <c r="C698" s="13"/>
      <c r="D698" s="13"/>
      <c r="E698" s="13"/>
      <c r="F698" s="13"/>
      <c r="G698" s="13"/>
      <c r="H698" s="113"/>
      <c r="I698" s="13"/>
      <c r="J698" s="13"/>
      <c r="K698" s="13"/>
      <c r="L698" s="13"/>
      <c r="M698" s="113"/>
      <c r="N698" s="13"/>
      <c r="O698" s="13"/>
      <c r="P698" s="13"/>
      <c r="Q698" s="13"/>
      <c r="R698" s="113"/>
    </row>
    <row r="699" spans="1:18">
      <c r="A699" s="268" t="s">
        <v>18</v>
      </c>
      <c r="B699" s="288"/>
      <c r="C699" s="13"/>
      <c r="D699" s="13"/>
      <c r="E699" s="13"/>
      <c r="F699" s="13"/>
      <c r="G699" s="13"/>
      <c r="H699" s="113"/>
      <c r="I699" s="13"/>
      <c r="J699" s="13"/>
      <c r="K699" s="13"/>
      <c r="L699" s="13"/>
      <c r="M699" s="113"/>
      <c r="N699" s="13"/>
      <c r="O699" s="13"/>
      <c r="P699" s="13"/>
      <c r="Q699" s="13"/>
      <c r="R699" s="113"/>
    </row>
    <row r="700" spans="1:18">
      <c r="A700" s="268" t="s">
        <v>1022</v>
      </c>
      <c r="B700" s="288"/>
      <c r="C700" s="13"/>
      <c r="D700" s="13"/>
      <c r="E700" s="13"/>
      <c r="F700" s="13"/>
      <c r="G700" s="13"/>
      <c r="H700" s="113"/>
      <c r="I700" s="13"/>
      <c r="J700" s="13"/>
      <c r="K700" s="13"/>
      <c r="L700" s="13"/>
      <c r="M700" s="113"/>
      <c r="N700" s="13"/>
      <c r="O700" s="13"/>
      <c r="P700" s="13"/>
      <c r="Q700" s="13"/>
      <c r="R700" s="113"/>
    </row>
    <row r="701" spans="1:18">
      <c r="A701" s="263" t="s">
        <v>107</v>
      </c>
      <c r="B701" s="280"/>
      <c r="C701" s="35"/>
      <c r="D701" s="35"/>
      <c r="E701" s="35"/>
      <c r="F701" s="35"/>
      <c r="G701" s="35"/>
      <c r="H701" s="281"/>
      <c r="I701" s="35"/>
      <c r="J701" s="35"/>
      <c r="K701" s="35"/>
      <c r="L701" s="35"/>
      <c r="M701" s="281"/>
      <c r="N701" s="35"/>
      <c r="O701" s="35"/>
      <c r="P701" s="35"/>
      <c r="Q701" s="35"/>
      <c r="R701" s="281"/>
    </row>
    <row r="702" spans="1:18">
      <c r="A702" s="264" t="s">
        <v>714</v>
      </c>
      <c r="B702" s="282"/>
      <c r="C702" s="40"/>
      <c r="D702" s="40"/>
      <c r="E702" s="40"/>
      <c r="F702" s="40"/>
      <c r="G702" s="40"/>
      <c r="H702" s="283"/>
      <c r="I702" s="40"/>
      <c r="J702" s="40"/>
      <c r="K702" s="40"/>
      <c r="L702" s="40"/>
      <c r="M702" s="283"/>
      <c r="N702" s="40"/>
      <c r="O702" s="40"/>
      <c r="P702" s="40"/>
      <c r="Q702" s="40"/>
      <c r="R702" s="283"/>
    </row>
    <row r="703" spans="1:18">
      <c r="A703" s="275" t="s">
        <v>249</v>
      </c>
      <c r="B703" s="301"/>
      <c r="C703" s="42"/>
      <c r="D703" s="42"/>
      <c r="E703" s="42"/>
      <c r="F703" s="42"/>
      <c r="G703" s="42"/>
      <c r="H703" s="302"/>
      <c r="I703" s="42"/>
      <c r="J703" s="42"/>
      <c r="K703" s="42"/>
      <c r="L703" s="42"/>
      <c r="M703" s="302"/>
      <c r="N703" s="42"/>
      <c r="O703" s="42"/>
      <c r="P703" s="42"/>
      <c r="Q703" s="42"/>
      <c r="R703" s="302"/>
    </row>
    <row r="704" spans="1:18">
      <c r="A704" s="265" t="s">
        <v>108</v>
      </c>
      <c r="B704" s="284">
        <f>12*485</f>
        <v>5820</v>
      </c>
      <c r="C704" s="402"/>
      <c r="D704" s="259"/>
      <c r="E704" s="402">
        <f>ROUNDUP(SUM(E705:E706),0)</f>
        <v>0</v>
      </c>
      <c r="F704" s="407" t="str">
        <f>IFERROR(AVERAGE(F705:F706),"-")</f>
        <v>-</v>
      </c>
      <c r="G704" s="37"/>
      <c r="H704" s="285"/>
      <c r="I704" s="259"/>
      <c r="J704" s="402">
        <f>ROUNDUP(SUM(J705:J706),0)</f>
        <v>0</v>
      </c>
      <c r="K704" s="407" t="str">
        <f>IFERROR(AVERAGE(K705:K706),"-")</f>
        <v>-</v>
      </c>
      <c r="L704" s="37"/>
      <c r="M704" s="285"/>
      <c r="N704" s="259"/>
      <c r="O704" s="402">
        <f>ROUNDUP(SUM(O705:O706),0)</f>
        <v>0</v>
      </c>
      <c r="P704" s="407" t="str">
        <f>IFERROR(AVERAGE(P705:P706),"-")</f>
        <v>-</v>
      </c>
      <c r="Q704" s="37"/>
      <c r="R704" s="285"/>
    </row>
    <row r="705" spans="1:18">
      <c r="A705" s="200" t="s">
        <v>1712</v>
      </c>
      <c r="B705" s="284">
        <f>IF(Preencher!$B$215=Preencher!$O$211,0,IF(Preencher!$B$215=Preencher!$O$212,0.677,IF(Preencher!$B$215=Preencher!$O$213,2.428,IF(Preencher!$B$215=Preencher!$O$214,2.428))))</f>
        <v>2.4279999999999999</v>
      </c>
      <c r="C705" s="402">
        <f t="shared" ref="C705:C711" si="269">IF(B705=0,"-",3600/B705)</f>
        <v>1482.7018121911037</v>
      </c>
      <c r="D705" s="259" t="str">
        <f>IFERROR((H705/C705/G705),"-")</f>
        <v>-</v>
      </c>
      <c r="E705" s="402">
        <f>IFERROR(ROUNDUP(D705/0.95,0.999),0)*G705</f>
        <v>0</v>
      </c>
      <c r="F705" s="403" t="str">
        <f t="shared" ref="F705:F711" si="270">IFERROR((H705/C705/E705),"-")</f>
        <v>-</v>
      </c>
      <c r="G705" s="341">
        <f>Preencher!$B$213</f>
        <v>0</v>
      </c>
      <c r="H705" s="285">
        <f>Preencher!$P$234</f>
        <v>0</v>
      </c>
      <c r="I705" s="259" t="str">
        <f>IFERROR((M705/L705/C705),"-")</f>
        <v>-</v>
      </c>
      <c r="J705" s="402">
        <f>IFERROR(ROUNDUP(I705/0.95,0.999),0)*L705</f>
        <v>0</v>
      </c>
      <c r="K705" s="403" t="str">
        <f t="shared" ref="K705:K711" si="271">IFERROR((M705/C705/J705),"-")</f>
        <v>-</v>
      </c>
      <c r="L705" s="341">
        <f>Preencher!$C$213</f>
        <v>0</v>
      </c>
      <c r="M705" s="285">
        <f>Preencher!$Q$234</f>
        <v>0</v>
      </c>
      <c r="N705" s="259" t="str">
        <f>IFERROR((R705/Q705/C705),"-")</f>
        <v>-</v>
      </c>
      <c r="O705" s="402">
        <f>IFERROR(ROUNDUP(N705/0.95,0.999),0)*Q705</f>
        <v>0</v>
      </c>
      <c r="P705" s="403" t="str">
        <f t="shared" ref="P705:P711" si="272">IFERROR((R705/C705/O705),"-")</f>
        <v>-</v>
      </c>
      <c r="Q705" s="341">
        <f>Preencher!$D$213</f>
        <v>0</v>
      </c>
      <c r="R705" s="285">
        <f>Preencher!$R$234</f>
        <v>0</v>
      </c>
    </row>
    <row r="706" spans="1:18">
      <c r="A706" s="200" t="s">
        <v>1711</v>
      </c>
      <c r="B706" s="284">
        <f>IF(Preencher!$B$215=Preencher!$O$211,0,IF(Preencher!$B$215=Preencher!$O$212,0.677,IF(Preencher!$B$215=Preencher!$O$213,1.175,IF(Preencher!$B$215=Preencher!$O$214,2.428))))</f>
        <v>1.175</v>
      </c>
      <c r="C706" s="402">
        <f t="shared" si="269"/>
        <v>3063.8297872340422</v>
      </c>
      <c r="D706" s="259" t="str">
        <f>IFERROR((H706/C706/G706),"-")</f>
        <v>-</v>
      </c>
      <c r="E706" s="402">
        <f>IFERROR(ROUNDUP(D706/0.95,0.999),0)*G706</f>
        <v>0</v>
      </c>
      <c r="F706" s="403" t="str">
        <f t="shared" si="270"/>
        <v>-</v>
      </c>
      <c r="G706" s="341">
        <f>Preencher!$B$214</f>
        <v>0</v>
      </c>
      <c r="H706" s="285">
        <f>Preencher!$P$233</f>
        <v>0</v>
      </c>
      <c r="I706" s="259" t="str">
        <f>IFERROR((M706/L706/C706),"-")</f>
        <v>-</v>
      </c>
      <c r="J706" s="402">
        <f>IFERROR(ROUNDUP(I706/0.95,0.999),0)*L706</f>
        <v>0</v>
      </c>
      <c r="K706" s="403" t="str">
        <f t="shared" si="271"/>
        <v>-</v>
      </c>
      <c r="L706" s="341">
        <f>Preencher!$C$214</f>
        <v>0</v>
      </c>
      <c r="M706" s="285">
        <f>Preencher!$Q$233</f>
        <v>0</v>
      </c>
      <c r="N706" s="259" t="str">
        <f>IFERROR((R706/Q706/C706),"-")</f>
        <v>-</v>
      </c>
      <c r="O706" s="402">
        <f>IFERROR(ROUNDUP(N706/0.95,0.999),0)*Q706</f>
        <v>0</v>
      </c>
      <c r="P706" s="403" t="str">
        <f t="shared" si="272"/>
        <v>-</v>
      </c>
      <c r="Q706" s="341">
        <f>Preencher!$D$214</f>
        <v>0</v>
      </c>
      <c r="R706" s="285">
        <f>Preencher!$R$233</f>
        <v>0</v>
      </c>
    </row>
    <row r="707" spans="1:18">
      <c r="A707" s="265" t="s">
        <v>219</v>
      </c>
      <c r="B707" s="284">
        <f>6.65-6.65</f>
        <v>0</v>
      </c>
      <c r="C707" s="251" t="str">
        <f t="shared" si="269"/>
        <v>-</v>
      </c>
      <c r="D707" s="259" t="str">
        <f>IFERROR((H707/C707),"-")</f>
        <v>-</v>
      </c>
      <c r="E707" s="251">
        <f>IFERROR(ROUNDUP(D707/0.95,0.999),0)</f>
        <v>0</v>
      </c>
      <c r="F707" s="407" t="str">
        <f t="shared" si="270"/>
        <v>-</v>
      </c>
      <c r="G707" s="37"/>
      <c r="H707" s="285">
        <f>Preencher!$B$212*6%</f>
        <v>288</v>
      </c>
      <c r="I707" s="259" t="str">
        <f>IFERROR((M707/C707),"-")</f>
        <v>-</v>
      </c>
      <c r="J707" s="251">
        <f>IFERROR(ROUNDUP(I707/0.95,0.999),0)</f>
        <v>0</v>
      </c>
      <c r="K707" s="252" t="str">
        <f t="shared" si="271"/>
        <v>-</v>
      </c>
      <c r="L707" s="37"/>
      <c r="M707" s="285">
        <f>Preencher!$C$212*6%</f>
        <v>0</v>
      </c>
      <c r="N707" s="259" t="str">
        <f>IFERROR((R707/C707),"-")</f>
        <v>-</v>
      </c>
      <c r="O707" s="251">
        <f>IFERROR(ROUNDUP(N707/0.95,0.999),0)</f>
        <v>0</v>
      </c>
      <c r="P707" s="252" t="str">
        <f t="shared" si="272"/>
        <v>-</v>
      </c>
      <c r="Q707" s="37"/>
      <c r="R707" s="285">
        <f>Preencher!$D$212*6%</f>
        <v>0</v>
      </c>
    </row>
    <row r="708" spans="1:18">
      <c r="A708" s="266" t="s">
        <v>110</v>
      </c>
      <c r="B708" s="284">
        <f>IF(Preencher!$B$217="Sim",40,32.57)</f>
        <v>32.57</v>
      </c>
      <c r="C708" s="251">
        <f t="shared" si="269"/>
        <v>110.5311636475284</v>
      </c>
      <c r="D708" s="259">
        <f>IFERROR((H708/C708),"-")</f>
        <v>0</v>
      </c>
      <c r="E708" s="251">
        <f>ROUND(IFERROR(ROUNDUP(D708/0.95,0.999),0)+IFERROR(ROUNDUP(D708/0.95,0.999),0)*Preencher!B218,0)</f>
        <v>0</v>
      </c>
      <c r="F708" s="252" t="str">
        <f t="shared" si="270"/>
        <v>-</v>
      </c>
      <c r="G708" s="37"/>
      <c r="H708" s="285">
        <f>Preencher!$P$234</f>
        <v>0</v>
      </c>
      <c r="I708" s="259">
        <f>IFERROR((M708/C708),"-")</f>
        <v>0</v>
      </c>
      <c r="J708" s="251">
        <f>ROUND(IFERROR(ROUNDUP(I708/0.95,0.999),0)+IFERROR(ROUNDUP(I708/0.95,0.999),0)*Preencher!C218,0)</f>
        <v>0</v>
      </c>
      <c r="K708" s="252" t="str">
        <f t="shared" si="271"/>
        <v>-</v>
      </c>
      <c r="L708" s="37"/>
      <c r="M708" s="285">
        <f>Preencher!$Q$234</f>
        <v>0</v>
      </c>
      <c r="N708" s="259">
        <f>IFERROR((R708/C708),"-")</f>
        <v>0</v>
      </c>
      <c r="O708" s="251">
        <f>IFERROR(ROUNDUP(N708/0.95,0.999),0)+IFERROR(ROUNDUP(N708/0.95,0.999),0)*Preencher!D218</f>
        <v>0</v>
      </c>
      <c r="P708" s="252" t="str">
        <f t="shared" si="272"/>
        <v>-</v>
      </c>
      <c r="Q708" s="37"/>
      <c r="R708" s="285">
        <f>Preencher!$R$234</f>
        <v>0</v>
      </c>
    </row>
    <row r="709" spans="1:18">
      <c r="A709" s="266" t="s">
        <v>672</v>
      </c>
      <c r="B709" s="284">
        <f>IF(Preencher!$B$217="Sim",20,16.285)</f>
        <v>16.285</v>
      </c>
      <c r="C709" s="251">
        <f t="shared" si="269"/>
        <v>221.0623272950568</v>
      </c>
      <c r="D709" s="259">
        <f>IFERROR((H709/C709),"-")</f>
        <v>0</v>
      </c>
      <c r="E709" s="251">
        <f>IFERROR(ROUNDUP(D709/0.95,0.999),0)</f>
        <v>0</v>
      </c>
      <c r="F709" s="252" t="str">
        <f t="shared" si="270"/>
        <v>-</v>
      </c>
      <c r="G709" s="37"/>
      <c r="H709" s="285">
        <f>Preencher!$P$233*15%</f>
        <v>0</v>
      </c>
      <c r="I709" s="259">
        <f>IFERROR((M709/C709),"-")</f>
        <v>0</v>
      </c>
      <c r="J709" s="251">
        <f>IFERROR(ROUNDUP(I709/0.95,0.999),0)</f>
        <v>0</v>
      </c>
      <c r="K709" s="252" t="str">
        <f t="shared" si="271"/>
        <v>-</v>
      </c>
      <c r="L709" s="37"/>
      <c r="M709" s="285">
        <f>Preencher!$Q$233*15%</f>
        <v>0</v>
      </c>
      <c r="N709" s="259">
        <f>IFERROR((R709/C709),"-")</f>
        <v>0</v>
      </c>
      <c r="O709" s="251">
        <f>IFERROR(ROUNDUP(N709/0.95,0.999),0)</f>
        <v>0</v>
      </c>
      <c r="P709" s="252" t="str">
        <f t="shared" si="272"/>
        <v>-</v>
      </c>
      <c r="Q709" s="37"/>
      <c r="R709" s="285">
        <f>Preencher!$R$233*15%</f>
        <v>0</v>
      </c>
    </row>
    <row r="710" spans="1:18">
      <c r="A710" s="266" t="s">
        <v>111</v>
      </c>
      <c r="B710" s="284">
        <f>IF(Preencher!$B$217="Sim",10,6.54)</f>
        <v>6.54</v>
      </c>
      <c r="C710" s="251">
        <f t="shared" si="269"/>
        <v>550.45871559633031</v>
      </c>
      <c r="D710" s="259">
        <f>IFERROR((H710/C710),"-")</f>
        <v>0</v>
      </c>
      <c r="E710" s="251">
        <f>IFERROR(ROUNDUP(D710/0.95,0.999),0)</f>
        <v>0</v>
      </c>
      <c r="F710" s="252" t="str">
        <f t="shared" si="270"/>
        <v>-</v>
      </c>
      <c r="G710" s="37"/>
      <c r="H710" s="285">
        <f>Preencher!$P$232</f>
        <v>0</v>
      </c>
      <c r="I710" s="259">
        <f>IFERROR((M710/C710),"-")</f>
        <v>0</v>
      </c>
      <c r="J710" s="251">
        <f>IFERROR(ROUNDUP(I710/0.95,0.999),0)</f>
        <v>0</v>
      </c>
      <c r="K710" s="252" t="str">
        <f t="shared" si="271"/>
        <v>-</v>
      </c>
      <c r="L710" s="37"/>
      <c r="M710" s="285">
        <f>Preencher!$Q$232</f>
        <v>0</v>
      </c>
      <c r="N710" s="259">
        <f>IFERROR((R710/C710),"-")</f>
        <v>0</v>
      </c>
      <c r="O710" s="251">
        <f>IFERROR(ROUNDUP(N710/0.95,0.999),0)</f>
        <v>0</v>
      </c>
      <c r="P710" s="252" t="str">
        <f t="shared" si="272"/>
        <v>-</v>
      </c>
      <c r="Q710" s="37"/>
      <c r="R710" s="285">
        <f>Preencher!$R$232</f>
        <v>0</v>
      </c>
    </row>
    <row r="711" spans="1:18">
      <c r="A711" s="265" t="s">
        <v>251</v>
      </c>
      <c r="B711" s="284">
        <f>IF(Preencher!B219="Sim",0,0.8)</f>
        <v>0.8</v>
      </c>
      <c r="C711" s="406">
        <f t="shared" si="269"/>
        <v>4500</v>
      </c>
      <c r="D711" s="259">
        <f>IFERROR((H711/C711),"-")</f>
        <v>0</v>
      </c>
      <c r="E711" s="406">
        <f>IFERROR(ROUNDUP(D711/0.95,0.999),0)*G711</f>
        <v>0</v>
      </c>
      <c r="F711" s="407" t="str">
        <f t="shared" si="270"/>
        <v>-</v>
      </c>
      <c r="G711" s="341">
        <f>Preencher!$B$220</f>
        <v>0</v>
      </c>
      <c r="H711" s="285">
        <f>Preencher!$P$232</f>
        <v>0</v>
      </c>
      <c r="I711" s="259">
        <f>IFERROR((M711/C711),"-")</f>
        <v>0</v>
      </c>
      <c r="J711" s="251">
        <f>IFERROR(ROUNDUP(I711/0.95,0.999),0)*L711</f>
        <v>0</v>
      </c>
      <c r="K711" s="252" t="str">
        <f t="shared" si="271"/>
        <v>-</v>
      </c>
      <c r="L711" s="341">
        <f>Preencher!$C$220</f>
        <v>0</v>
      </c>
      <c r="M711" s="285">
        <f>Preencher!$Q$232</f>
        <v>0</v>
      </c>
      <c r="N711" s="259">
        <f>IFERROR((R711/C711),"-")</f>
        <v>0</v>
      </c>
      <c r="O711" s="251">
        <f>IFERROR(ROUNDUP(N711/0.95,0.999),0)</f>
        <v>0</v>
      </c>
      <c r="P711" s="252" t="str">
        <f t="shared" si="272"/>
        <v>-</v>
      </c>
      <c r="Q711" s="37"/>
      <c r="R711" s="285">
        <f>Preencher!$R$232</f>
        <v>0</v>
      </c>
    </row>
    <row r="712" spans="1:18">
      <c r="A712" s="265" t="s">
        <v>112</v>
      </c>
      <c r="B712" s="284"/>
      <c r="C712" s="406"/>
      <c r="D712" s="259"/>
      <c r="E712" s="406">
        <f>SUM(E713:E721)</f>
        <v>0</v>
      </c>
      <c r="F712" s="407">
        <f>IFERROR(SUM(D713:D721)/E712,0)</f>
        <v>0</v>
      </c>
      <c r="G712" s="37"/>
      <c r="H712" s="285"/>
      <c r="I712" s="259"/>
      <c r="J712" s="721">
        <f>SUM(J713:J721)</f>
        <v>0</v>
      </c>
      <c r="K712" s="722">
        <f>IFERROR(SUM(I713:I721)/J712,0)</f>
        <v>0</v>
      </c>
      <c r="L712" s="37"/>
      <c r="M712" s="285"/>
      <c r="N712" s="259"/>
      <c r="O712" s="706">
        <f>SUM(O713:O721)</f>
        <v>0</v>
      </c>
      <c r="P712" s="705">
        <f>IFERROR(SUM(N713:N721)/O712,0)</f>
        <v>0</v>
      </c>
      <c r="Q712" s="37"/>
      <c r="R712" s="285"/>
    </row>
    <row r="713" spans="1:18">
      <c r="A713" s="200" t="s">
        <v>112</v>
      </c>
      <c r="B713" s="284">
        <f>IF(Preencher!$A$233=Preencher!$O$223,6,0)</f>
        <v>0</v>
      </c>
      <c r="C713" s="577" t="str">
        <f t="shared" ref="C713:C719" si="273">IF(B713=0,"-",3600/B713)</f>
        <v>-</v>
      </c>
      <c r="D713" s="259" t="str">
        <f t="shared" ref="D713:D719" si="274">IFERROR((H713/C713),"-")</f>
        <v>-</v>
      </c>
      <c r="E713" s="577">
        <f t="shared" ref="E713:E719" si="275">IFERROR(ROUNDUP(D713/0.95,0.999),0)</f>
        <v>0</v>
      </c>
      <c r="F713" s="578" t="str">
        <f t="shared" ref="F713:F719" si="276">IFERROR((H713/C713/E713),"-")</f>
        <v>-</v>
      </c>
      <c r="G713" s="37"/>
      <c r="H713" s="285">
        <f>Preencher!$P$232</f>
        <v>0</v>
      </c>
      <c r="I713" s="259" t="str">
        <f t="shared" ref="I713:I719" si="277">IFERROR((M713/C713),"-")</f>
        <v>-</v>
      </c>
      <c r="J713" s="577">
        <f t="shared" ref="J713:J719" si="278">IFERROR(ROUNDUP(I713/0.95,0.999),0)</f>
        <v>0</v>
      </c>
      <c r="K713" s="578" t="str">
        <f t="shared" ref="K713:K719" si="279">IFERROR((M713/C713/J713),"-")</f>
        <v>-</v>
      </c>
      <c r="L713" s="37"/>
      <c r="M713" s="285">
        <f>Preencher!$Q$232</f>
        <v>0</v>
      </c>
      <c r="N713" s="259" t="str">
        <f t="shared" ref="N713:N721" si="280">IFERROR((R713/C713),"-")</f>
        <v>-</v>
      </c>
      <c r="O713" s="577">
        <f t="shared" ref="O713:O721" si="281">IFERROR(ROUNDUP(N713/0.95,0.999),0)</f>
        <v>0</v>
      </c>
      <c r="P713" s="578" t="str">
        <f t="shared" ref="P713:P721" si="282">IFERROR((R713/C713/O713),"-")</f>
        <v>-</v>
      </c>
      <c r="Q713" s="37"/>
      <c r="R713" s="285">
        <f>Preencher!$R$232</f>
        <v>0</v>
      </c>
    </row>
    <row r="714" spans="1:18">
      <c r="A714" s="200" t="s">
        <v>2131</v>
      </c>
      <c r="B714" s="284">
        <v>0.2</v>
      </c>
      <c r="C714" s="577">
        <f t="shared" si="273"/>
        <v>18000</v>
      </c>
      <c r="D714" s="259">
        <f t="shared" si="274"/>
        <v>0</v>
      </c>
      <c r="E714" s="577">
        <f t="shared" si="275"/>
        <v>0</v>
      </c>
      <c r="F714" s="578" t="str">
        <f t="shared" si="276"/>
        <v>-</v>
      </c>
      <c r="G714" s="37"/>
      <c r="H714" s="285">
        <f>Preencher!$B$212*Preencher!$C$247*Preencher!$C$279</f>
        <v>0</v>
      </c>
      <c r="I714" s="259">
        <f>IFERROR((M714/C714),"-")</f>
        <v>0</v>
      </c>
      <c r="J714" s="577">
        <f>IFERROR(ROUNDUP(I714/0.95,0.999),0)</f>
        <v>0</v>
      </c>
      <c r="K714" s="578" t="str">
        <f t="shared" si="279"/>
        <v>-</v>
      </c>
      <c r="L714" s="37"/>
      <c r="M714" s="285">
        <f>Preencher!$B$212*Preencher!$D$247*Preencher!$D$279</f>
        <v>0</v>
      </c>
      <c r="N714" s="259">
        <f t="shared" si="280"/>
        <v>0</v>
      </c>
      <c r="O714" s="577">
        <f t="shared" si="281"/>
        <v>0</v>
      </c>
      <c r="P714" s="578" t="str">
        <f t="shared" si="282"/>
        <v>-</v>
      </c>
      <c r="Q714" s="37"/>
      <c r="R714" s="285"/>
    </row>
    <row r="715" spans="1:18">
      <c r="A715" s="200" t="s">
        <v>2130</v>
      </c>
      <c r="B715" s="284">
        <v>45.599999999999994</v>
      </c>
      <c r="C715" s="577">
        <f t="shared" si="273"/>
        <v>78.947368421052644</v>
      </c>
      <c r="D715" s="259" t="str">
        <f t="shared" si="274"/>
        <v>-</v>
      </c>
      <c r="E715" s="577">
        <f t="shared" si="275"/>
        <v>0</v>
      </c>
      <c r="F715" s="578" t="str">
        <f t="shared" si="276"/>
        <v>-</v>
      </c>
      <c r="G715" s="37"/>
      <c r="H715" s="285" t="e">
        <f>Preencher!$B$212*RESUMO!B178*(Preencher!C279/(SUM(Preencher!C279:E279)))</f>
        <v>#DIV/0!</v>
      </c>
      <c r="I715" s="259" t="str">
        <f t="shared" si="277"/>
        <v>-</v>
      </c>
      <c r="J715" s="577">
        <f t="shared" si="278"/>
        <v>0</v>
      </c>
      <c r="K715" s="578" t="str">
        <f t="shared" si="279"/>
        <v>-</v>
      </c>
      <c r="L715" s="37"/>
      <c r="M715" s="285" t="e">
        <f>Preencher!$C$212*RESUMO!$B$178*(Preencher!D279/(SUM(Preencher!C279:E279)))</f>
        <v>#DIV/0!</v>
      </c>
      <c r="N715" s="259" t="str">
        <f t="shared" si="280"/>
        <v>-</v>
      </c>
      <c r="O715" s="577">
        <f t="shared" si="281"/>
        <v>0</v>
      </c>
      <c r="P715" s="578" t="str">
        <f t="shared" si="282"/>
        <v>-</v>
      </c>
      <c r="Q715" s="37"/>
      <c r="R715" s="285" t="e">
        <f>Preencher!$D$212*RESUMO!$B$178*(Preencher!E279/(SUM(Preencher!C279:E279)))</f>
        <v>#DIV/0!</v>
      </c>
    </row>
    <row r="716" spans="1:18">
      <c r="A716" s="200" t="s">
        <v>2132</v>
      </c>
      <c r="B716" s="284">
        <v>28.5</v>
      </c>
      <c r="C716" s="577">
        <f t="shared" si="273"/>
        <v>126.31578947368421</v>
      </c>
      <c r="D716" s="259">
        <f t="shared" si="274"/>
        <v>0</v>
      </c>
      <c r="E716" s="577">
        <f t="shared" si="275"/>
        <v>0</v>
      </c>
      <c r="F716" s="578" t="str">
        <f t="shared" si="276"/>
        <v>-</v>
      </c>
      <c r="G716" s="37"/>
      <c r="H716" s="285">
        <f>Preencher!$AC$269</f>
        <v>0</v>
      </c>
      <c r="I716" s="259">
        <f t="shared" si="277"/>
        <v>0</v>
      </c>
      <c r="J716" s="577">
        <f t="shared" si="278"/>
        <v>0</v>
      </c>
      <c r="K716" s="578" t="str">
        <f t="shared" si="279"/>
        <v>-</v>
      </c>
      <c r="L716" s="37"/>
      <c r="M716" s="285">
        <f>Preencher!$AD$269</f>
        <v>0</v>
      </c>
      <c r="N716" s="259">
        <f t="shared" si="280"/>
        <v>0</v>
      </c>
      <c r="O716" s="577">
        <f t="shared" si="281"/>
        <v>0</v>
      </c>
      <c r="P716" s="578" t="str">
        <f t="shared" si="282"/>
        <v>-</v>
      </c>
      <c r="Q716" s="37"/>
      <c r="R716" s="285">
        <f>Preencher!$AE$269</f>
        <v>0</v>
      </c>
    </row>
    <row r="717" spans="1:18">
      <c r="A717" s="200" t="s">
        <v>2133</v>
      </c>
      <c r="B717" s="284">
        <v>3420</v>
      </c>
      <c r="C717" s="577">
        <f t="shared" si="273"/>
        <v>1.0526315789473684</v>
      </c>
      <c r="D717" s="259">
        <f t="shared" si="274"/>
        <v>0</v>
      </c>
      <c r="E717" s="577">
        <f t="shared" si="275"/>
        <v>0</v>
      </c>
      <c r="F717" s="578" t="str">
        <f t="shared" si="276"/>
        <v>-</v>
      </c>
      <c r="G717" s="37"/>
      <c r="H717" s="285">
        <f>IF(H716&gt;0,1,0)</f>
        <v>0</v>
      </c>
      <c r="I717" s="259">
        <f t="shared" si="277"/>
        <v>0</v>
      </c>
      <c r="J717" s="577">
        <f t="shared" si="278"/>
        <v>0</v>
      </c>
      <c r="K717" s="578" t="str">
        <f t="shared" si="279"/>
        <v>-</v>
      </c>
      <c r="L717" s="37"/>
      <c r="M717" s="285">
        <f>IF(M716&gt;0,1,0)</f>
        <v>0</v>
      </c>
      <c r="N717" s="259">
        <f t="shared" si="280"/>
        <v>0</v>
      </c>
      <c r="O717" s="577">
        <f t="shared" si="281"/>
        <v>0</v>
      </c>
      <c r="P717" s="578" t="str">
        <f t="shared" si="282"/>
        <v>-</v>
      </c>
      <c r="Q717" s="37"/>
      <c r="R717" s="285">
        <f>IF(R716&gt;0,1,0)</f>
        <v>0</v>
      </c>
    </row>
    <row r="718" spans="1:18">
      <c r="A718" s="608" t="s">
        <v>2179</v>
      </c>
      <c r="B718" s="284">
        <v>3.4</v>
      </c>
      <c r="C718" s="603">
        <f t="shared" si="273"/>
        <v>1058.8235294117646</v>
      </c>
      <c r="D718" s="259">
        <f t="shared" si="274"/>
        <v>0</v>
      </c>
      <c r="E718" s="603">
        <f t="shared" si="275"/>
        <v>0</v>
      </c>
      <c r="F718" s="604" t="str">
        <f t="shared" si="276"/>
        <v>-</v>
      </c>
      <c r="G718" s="37"/>
      <c r="H718" s="285">
        <f>Preencher!$B$212*Preencher!$C$247*Preencher!$C$280</f>
        <v>0</v>
      </c>
      <c r="I718" s="259">
        <f t="shared" si="277"/>
        <v>0</v>
      </c>
      <c r="J718" s="603">
        <f t="shared" si="278"/>
        <v>0</v>
      </c>
      <c r="K718" s="604" t="str">
        <f t="shared" si="279"/>
        <v>-</v>
      </c>
      <c r="L718" s="37"/>
      <c r="M718" s="285">
        <f>Preencher!$C$212*Preencher!$D$247*Preencher!$D$280</f>
        <v>0</v>
      </c>
      <c r="N718" s="259">
        <f t="shared" si="280"/>
        <v>0</v>
      </c>
      <c r="O718" s="603">
        <f t="shared" si="281"/>
        <v>0</v>
      </c>
      <c r="P718" s="604" t="str">
        <f t="shared" si="282"/>
        <v>-</v>
      </c>
      <c r="Q718" s="37"/>
      <c r="R718" s="285">
        <f>Preencher!$D$212*Preencher!$E$247*Preencher!$E$280</f>
        <v>0</v>
      </c>
    </row>
    <row r="719" spans="1:18">
      <c r="A719" s="608" t="s">
        <v>2180</v>
      </c>
      <c r="B719" s="284">
        <v>6.71</v>
      </c>
      <c r="C719" s="603">
        <f t="shared" si="273"/>
        <v>536.51266766020865</v>
      </c>
      <c r="D719" s="259">
        <f t="shared" si="274"/>
        <v>0</v>
      </c>
      <c r="E719" s="603">
        <f t="shared" si="275"/>
        <v>0</v>
      </c>
      <c r="F719" s="604" t="str">
        <f t="shared" si="276"/>
        <v>-</v>
      </c>
      <c r="G719" s="37"/>
      <c r="H719" s="285">
        <f>Preencher!$B$212*Preencher!$C$247*Preencher!$C$280</f>
        <v>0</v>
      </c>
      <c r="I719" s="259">
        <f t="shared" si="277"/>
        <v>0</v>
      </c>
      <c r="J719" s="603">
        <f t="shared" si="278"/>
        <v>0</v>
      </c>
      <c r="K719" s="604" t="str">
        <f t="shared" si="279"/>
        <v>-</v>
      </c>
      <c r="L719" s="37"/>
      <c r="M719" s="285">
        <f>Preencher!$C$212*Preencher!$D$247*Preencher!$D$280</f>
        <v>0</v>
      </c>
      <c r="N719" s="259">
        <f t="shared" si="280"/>
        <v>0</v>
      </c>
      <c r="O719" s="603">
        <f t="shared" si="281"/>
        <v>0</v>
      </c>
      <c r="P719" s="604" t="str">
        <f t="shared" si="282"/>
        <v>-</v>
      </c>
      <c r="Q719" s="37"/>
      <c r="R719" s="285">
        <f>Preencher!$D$212*Preencher!$E$247*Preencher!$E$280</f>
        <v>0</v>
      </c>
    </row>
    <row r="720" spans="1:18">
      <c r="A720" s="608" t="s">
        <v>2181</v>
      </c>
      <c r="B720" s="284">
        <v>24.7</v>
      </c>
      <c r="C720" s="603">
        <f>IF(B720=0,"-",3600/B720)</f>
        <v>145.74898785425103</v>
      </c>
      <c r="D720" s="259">
        <f>IFERROR((H720/C720),"-")</f>
        <v>0</v>
      </c>
      <c r="E720" s="603">
        <f>IFERROR(ROUNDUP(D720/0.95,0.999),0)</f>
        <v>0</v>
      </c>
      <c r="F720" s="604" t="str">
        <f>IFERROR((H720/C720/E720),"-")</f>
        <v>-</v>
      </c>
      <c r="G720" s="37"/>
      <c r="H720" s="285">
        <f>Preencher!AG270+Preencher!AG272</f>
        <v>0</v>
      </c>
      <c r="I720" s="259">
        <f>IFERROR((M720/C720),"-")</f>
        <v>0</v>
      </c>
      <c r="J720" s="603">
        <f>IFERROR(ROUNDUP(I720/0.95,0.999),0)</f>
        <v>0</v>
      </c>
      <c r="K720" s="604" t="str">
        <f>IFERROR((M720/C720/J720),"-")</f>
        <v>-</v>
      </c>
      <c r="L720" s="37"/>
      <c r="M720" s="285">
        <f>Preencher!AI270+Preencher!AI272</f>
        <v>0</v>
      </c>
      <c r="N720" s="259">
        <f t="shared" si="280"/>
        <v>0</v>
      </c>
      <c r="O720" s="603">
        <f t="shared" si="281"/>
        <v>0</v>
      </c>
      <c r="P720" s="604" t="str">
        <f t="shared" si="282"/>
        <v>-</v>
      </c>
      <c r="Q720" s="37"/>
      <c r="R720" s="285">
        <f>Preencher!AK270+Preencher!AK272</f>
        <v>0</v>
      </c>
    </row>
    <row r="721" spans="1:18">
      <c r="A721" s="608" t="s">
        <v>2672</v>
      </c>
      <c r="B721" s="119">
        <f>60/5</f>
        <v>12</v>
      </c>
      <c r="C721" s="706">
        <f>IF(B721=0,"-",3600/B721)</f>
        <v>300</v>
      </c>
      <c r="D721" s="259">
        <f>IFERROR((H721/C721),"-")</f>
        <v>0</v>
      </c>
      <c r="E721" s="706">
        <f>IFERROR(ROUNDUP(D721/0.95,0.999),0)</f>
        <v>0</v>
      </c>
      <c r="F721" s="705" t="str">
        <f>IFERROR((H721/C721/E721),"-")</f>
        <v>-</v>
      </c>
      <c r="G721" s="37"/>
      <c r="H721" s="285">
        <f>Preencher!$B$212*Preencher!$C$262</f>
        <v>0</v>
      </c>
      <c r="I721" s="259">
        <f>IFERROR((M721/C721),"-")</f>
        <v>0</v>
      </c>
      <c r="J721" s="706">
        <f>IFERROR(ROUNDUP(I721/0.95,0.999),0)</f>
        <v>0</v>
      </c>
      <c r="K721" s="705" t="str">
        <f>IFERROR((M721/C721/J721),"-")</f>
        <v>-</v>
      </c>
      <c r="L721" s="37"/>
      <c r="M721" s="285">
        <f>Preencher!$C$212*Preencher!$D$262</f>
        <v>0</v>
      </c>
      <c r="N721" s="259">
        <f t="shared" si="280"/>
        <v>0</v>
      </c>
      <c r="O721" s="706">
        <f t="shared" si="281"/>
        <v>0</v>
      </c>
      <c r="P721" s="705" t="str">
        <f t="shared" si="282"/>
        <v>-</v>
      </c>
      <c r="Q721" s="37"/>
      <c r="R721" s="285">
        <f>Preencher!$D$212*Preencher!$E$262</f>
        <v>0</v>
      </c>
    </row>
    <row r="722" spans="1:18">
      <c r="A722" s="265" t="s">
        <v>113</v>
      </c>
      <c r="B722" s="284"/>
      <c r="C722" s="251"/>
      <c r="D722" s="259"/>
      <c r="E722" s="406">
        <f>ROUNDUP(SUM(E723:E725),0)</f>
        <v>0</v>
      </c>
      <c r="F722" s="407" t="str">
        <f>IFERROR(AVERAGE(F723:F725),"-")</f>
        <v>-</v>
      </c>
      <c r="G722" s="37"/>
      <c r="H722" s="285"/>
      <c r="I722" s="259"/>
      <c r="J722" s="770">
        <f>ROUNDUP(SUM(J723:J725),0)</f>
        <v>0</v>
      </c>
      <c r="K722" s="407" t="str">
        <f>IFERROR(AVERAGE(K723:K725),"-")</f>
        <v>-</v>
      </c>
      <c r="L722" s="37"/>
      <c r="M722" s="285"/>
      <c r="N722" s="259"/>
      <c r="O722" s="406">
        <f>ROUNDUP(SUM(O723:O725),0)</f>
        <v>0</v>
      </c>
      <c r="P722" s="407" t="str">
        <f>IFERROR(AVERAGE(P723:P725),"-")</f>
        <v>-</v>
      </c>
      <c r="Q722" s="37"/>
      <c r="R722" s="285"/>
    </row>
    <row r="723" spans="1:18">
      <c r="A723" s="200" t="s">
        <v>113</v>
      </c>
      <c r="B723" s="284">
        <f>23.6/1.5</f>
        <v>15.733333333333334</v>
      </c>
      <c r="C723" s="406">
        <f t="shared" ref="C723:C731" si="283">IF(B723=0,"-",3600/B723)</f>
        <v>228.81355932203388</v>
      </c>
      <c r="D723" s="259" t="str">
        <f>IFERROR((H723/C723/G723),"-")</f>
        <v>-</v>
      </c>
      <c r="E723" s="406">
        <f>IFERROR(ROUNDUP(D723/0.95,0.999),0)*G723</f>
        <v>0</v>
      </c>
      <c r="F723" s="407" t="str">
        <f t="shared" ref="F723:F731" si="284">IFERROR((H723/C723/E723),"-")</f>
        <v>-</v>
      </c>
      <c r="G723" s="341">
        <f>Preencher!$B$220</f>
        <v>0</v>
      </c>
      <c r="H723" s="285">
        <f>Preencher!$AG$216</f>
        <v>0</v>
      </c>
      <c r="I723" s="259" t="str">
        <f>IFERROR((M723/C723/L723),"-")</f>
        <v>-</v>
      </c>
      <c r="J723" s="406">
        <f>IFERROR(ROUNDUP(I723/0.95,0.999),0)*L723</f>
        <v>0</v>
      </c>
      <c r="K723" s="407" t="str">
        <f t="shared" ref="K723:K731" si="285">IFERROR((M723/C723/J723),"-")</f>
        <v>-</v>
      </c>
      <c r="L723" s="341">
        <f>Preencher!$C$220</f>
        <v>0</v>
      </c>
      <c r="M723" s="285">
        <f>Preencher!$AI$216</f>
        <v>0</v>
      </c>
      <c r="N723" s="259" t="str">
        <f>IFERROR((R723/Q723/C723),"-")</f>
        <v>-</v>
      </c>
      <c r="O723" s="406">
        <f>IFERROR(ROUNDUP(N723/0.95,0.999),0)*Q723</f>
        <v>0</v>
      </c>
      <c r="P723" s="407" t="str">
        <f t="shared" ref="P723:P731" si="286">IFERROR((R723/C723/O723),"-")</f>
        <v>-</v>
      </c>
      <c r="Q723" s="341">
        <f>Preencher!$D$220*2</f>
        <v>0</v>
      </c>
      <c r="R723" s="285">
        <f>Preencher!$AK$216</f>
        <v>0</v>
      </c>
    </row>
    <row r="724" spans="1:18">
      <c r="A724" s="200" t="s">
        <v>2408</v>
      </c>
      <c r="B724" s="284">
        <v>190</v>
      </c>
      <c r="C724" s="649">
        <f>IF(B724=0,"-",3600/B724)</f>
        <v>18.94736842105263</v>
      </c>
      <c r="D724" s="259">
        <f>IFERROR((H724/C724),"-")</f>
        <v>0</v>
      </c>
      <c r="E724" s="649">
        <f>IFERROR(ROUNDUP(D724/0.95,0.999),0)</f>
        <v>0</v>
      </c>
      <c r="F724" s="650" t="str">
        <f t="shared" si="284"/>
        <v>-</v>
      </c>
      <c r="G724" s="37"/>
      <c r="H724" s="285">
        <f>Preencher!$AG$219</f>
        <v>0</v>
      </c>
      <c r="I724" s="259">
        <f>IFERROR((M724/C724),"-")</f>
        <v>0</v>
      </c>
      <c r="J724" s="649">
        <f>IFERROR(ROUNDUP(I724/0.95,0.999),0)</f>
        <v>0</v>
      </c>
      <c r="K724" s="650" t="str">
        <f t="shared" si="285"/>
        <v>-</v>
      </c>
      <c r="L724" s="37"/>
      <c r="M724" s="285">
        <f>Preencher!$AI$219</f>
        <v>0</v>
      </c>
      <c r="N724" s="259">
        <f>IFERROR((R724/C724),"-")</f>
        <v>0</v>
      </c>
      <c r="O724" s="649">
        <f>IFERROR(ROUNDUP(N724/0.95,0.999),0)</f>
        <v>0</v>
      </c>
      <c r="P724" s="650" t="str">
        <f t="shared" si="286"/>
        <v>-</v>
      </c>
      <c r="Q724" s="37"/>
      <c r="R724" s="285">
        <f>Preencher!$AJ$219</f>
        <v>0</v>
      </c>
    </row>
    <row r="725" spans="1:18">
      <c r="A725" s="200" t="s">
        <v>1715</v>
      </c>
      <c r="B725" s="284">
        <f>118-118</f>
        <v>0</v>
      </c>
      <c r="C725" s="406" t="str">
        <f t="shared" si="283"/>
        <v>-</v>
      </c>
      <c r="D725" s="259" t="str">
        <f>IFERROR((H725/C725),"-")</f>
        <v>-</v>
      </c>
      <c r="E725" s="406">
        <f>IFERROR(ROUNDUP(D725/0.95,0.999),0)</f>
        <v>0</v>
      </c>
      <c r="F725" s="407" t="str">
        <f t="shared" si="284"/>
        <v>-</v>
      </c>
      <c r="G725" s="37"/>
      <c r="H725" s="285">
        <f>Preencher!$AG$217</f>
        <v>0</v>
      </c>
      <c r="I725" s="259" t="str">
        <f>IFERROR((M725/C725),"-")</f>
        <v>-</v>
      </c>
      <c r="J725" s="406">
        <f>IFERROR(ROUNDUP(I725/0.95,0.999),0)</f>
        <v>0</v>
      </c>
      <c r="K725" s="407" t="str">
        <f t="shared" si="285"/>
        <v>-</v>
      </c>
      <c r="L725" s="37"/>
      <c r="M725" s="285">
        <f>Preencher!$AI$217</f>
        <v>0</v>
      </c>
      <c r="N725" s="259" t="str">
        <f>IFERROR((R725/C725),"-")</f>
        <v>-</v>
      </c>
      <c r="O725" s="406">
        <f>IFERROR(ROUNDUP(N725/0.95,0.999),0)</f>
        <v>0</v>
      </c>
      <c r="P725" s="407" t="str">
        <f t="shared" si="286"/>
        <v>-</v>
      </c>
      <c r="Q725" s="37"/>
      <c r="R725" s="285">
        <f>Preencher!$AK$217</f>
        <v>0</v>
      </c>
    </row>
    <row r="726" spans="1:18">
      <c r="A726" s="265" t="s">
        <v>114</v>
      </c>
      <c r="B726" s="284">
        <v>4</v>
      </c>
      <c r="C726" s="251">
        <f t="shared" si="283"/>
        <v>900</v>
      </c>
      <c r="D726" s="259">
        <f>IFERROR((H726/C726),"-")</f>
        <v>0</v>
      </c>
      <c r="E726" s="251">
        <f>IFERROR(ROUNDUP(D726/0.95,0.999),0)</f>
        <v>0</v>
      </c>
      <c r="F726" s="252" t="str">
        <f t="shared" si="284"/>
        <v>-</v>
      </c>
      <c r="G726" s="37"/>
      <c r="H726" s="285">
        <f>H723</f>
        <v>0</v>
      </c>
      <c r="I726" s="259">
        <f>IFERROR((M726/C726),"-")</f>
        <v>0</v>
      </c>
      <c r="J726" s="251">
        <f>IFERROR(ROUNDUP(I726/0.95,0.999),0)</f>
        <v>0</v>
      </c>
      <c r="K726" s="252" t="str">
        <f t="shared" si="285"/>
        <v>-</v>
      </c>
      <c r="L726" s="37"/>
      <c r="M726" s="285">
        <f>M723</f>
        <v>0</v>
      </c>
      <c r="N726" s="259">
        <f>IFERROR((R726/C726),"-")</f>
        <v>0</v>
      </c>
      <c r="O726" s="251">
        <f>IFERROR(ROUNDUP(N726/0.95,0.999),0)</f>
        <v>0</v>
      </c>
      <c r="P726" s="252" t="str">
        <f t="shared" si="286"/>
        <v>-</v>
      </c>
      <c r="Q726" s="37"/>
      <c r="R726" s="285">
        <f>R723</f>
        <v>0</v>
      </c>
    </row>
    <row r="727" spans="1:18">
      <c r="A727" s="265" t="s">
        <v>115</v>
      </c>
      <c r="B727" s="284">
        <f>IF(Preencher!$B$230&gt;0,0,5.6)</f>
        <v>0</v>
      </c>
      <c r="C727" s="251" t="str">
        <f t="shared" si="283"/>
        <v>-</v>
      </c>
      <c r="D727" s="259" t="str">
        <f>IFERROR((H727/C727),"-")</f>
        <v>-</v>
      </c>
      <c r="E727" s="251">
        <f>IFERROR(ROUNDUP(D727/0.95,0.999),0)</f>
        <v>0</v>
      </c>
      <c r="F727" s="252" t="str">
        <f t="shared" si="284"/>
        <v>-</v>
      </c>
      <c r="G727" s="37"/>
      <c r="H727" s="285">
        <f>H723</f>
        <v>0</v>
      </c>
      <c r="I727" s="259" t="str">
        <f>IFERROR((M727/C727),"-")</f>
        <v>-</v>
      </c>
      <c r="J727" s="251">
        <f>IFERROR(ROUNDUP(I727/0.95,0.999),0)</f>
        <v>0</v>
      </c>
      <c r="K727" s="252" t="str">
        <f t="shared" si="285"/>
        <v>-</v>
      </c>
      <c r="L727" s="37"/>
      <c r="M727" s="285">
        <f>M723</f>
        <v>0</v>
      </c>
      <c r="N727" s="259" t="str">
        <f>IFERROR((R727/C727),"-")</f>
        <v>-</v>
      </c>
      <c r="O727" s="251">
        <f>IFERROR(ROUNDUP(N727/0.95,0.999),0)</f>
        <v>0</v>
      </c>
      <c r="P727" s="252" t="str">
        <f t="shared" si="286"/>
        <v>-</v>
      </c>
      <c r="Q727" s="37"/>
      <c r="R727" s="285">
        <f>R723</f>
        <v>0</v>
      </c>
    </row>
    <row r="728" spans="1:18">
      <c r="A728" s="265" t="s">
        <v>674</v>
      </c>
      <c r="B728" s="284">
        <v>1384</v>
      </c>
      <c r="C728" s="251">
        <f t="shared" si="283"/>
        <v>2.601156069364162</v>
      </c>
      <c r="D728" s="259">
        <f>IFERROR((H728/C728),"-")</f>
        <v>0</v>
      </c>
      <c r="E728" s="251">
        <f>IFERROR(ROUNDUP(D728/0.95,0.999),0)</f>
        <v>0</v>
      </c>
      <c r="F728" s="252" t="str">
        <f t="shared" si="284"/>
        <v>-</v>
      </c>
      <c r="G728" s="37"/>
      <c r="H728" s="285">
        <f>Preencher!$B$220</f>
        <v>0</v>
      </c>
      <c r="I728" s="259">
        <f>IFERROR((M728/C728),"-")</f>
        <v>0</v>
      </c>
      <c r="J728" s="251">
        <f>IFERROR(ROUNDUP(I728/0.95,0.999),0)</f>
        <v>0</v>
      </c>
      <c r="K728" s="252" t="str">
        <f t="shared" si="285"/>
        <v>-</v>
      </c>
      <c r="L728" s="37"/>
      <c r="M728" s="285">
        <f>Preencher!$C$220</f>
        <v>0</v>
      </c>
      <c r="N728" s="259">
        <f>IFERROR((R728/C728),"-")</f>
        <v>0</v>
      </c>
      <c r="O728" s="251">
        <f>IFERROR(ROUNDUP(N728/0.95,0.999),0)</f>
        <v>0</v>
      </c>
      <c r="P728" s="252" t="str">
        <f t="shared" si="286"/>
        <v>-</v>
      </c>
      <c r="Q728" s="37"/>
      <c r="R728" s="285">
        <f>Preencher!$D$220</f>
        <v>0</v>
      </c>
    </row>
    <row r="729" spans="1:18">
      <c r="A729" s="266" t="s">
        <v>169</v>
      </c>
      <c r="B729" s="284">
        <f>IF(Preencher!$B$230&gt;0,4.8,0)</f>
        <v>4.8</v>
      </c>
      <c r="C729" s="406">
        <f t="shared" si="283"/>
        <v>750</v>
      </c>
      <c r="D729" s="259">
        <f>IFERROR((H729/C729/G729),"-")</f>
        <v>0</v>
      </c>
      <c r="E729" s="406">
        <f>IFERROR(ROUNDUP(D729/0.95,0.999),0)*G729</f>
        <v>0</v>
      </c>
      <c r="F729" s="407" t="str">
        <f>IFERROR((H729/C729/E729),"-")</f>
        <v>-</v>
      </c>
      <c r="G729" s="93">
        <f>IF(H729&lt;500,2,2)</f>
        <v>2</v>
      </c>
      <c r="H729" s="285">
        <f>H723</f>
        <v>0</v>
      </c>
      <c r="I729" s="259">
        <f>IFERROR((M729/L729/C729),"-")</f>
        <v>0</v>
      </c>
      <c r="J729" s="406">
        <f>IFERROR(ROUNDUP(I729/0.95,0.999),0)*L729</f>
        <v>0</v>
      </c>
      <c r="K729" s="407" t="str">
        <f t="shared" si="285"/>
        <v>-</v>
      </c>
      <c r="L729" s="93">
        <f>IF(M729&lt;500,2,2)</f>
        <v>2</v>
      </c>
      <c r="M729" s="285">
        <f>M723</f>
        <v>0</v>
      </c>
      <c r="N729" s="259">
        <f>IFERROR((R729/Q729/C729),"-")</f>
        <v>0</v>
      </c>
      <c r="O729" s="406">
        <f>IFERROR(ROUNDUP(N729/0.95,0.999),0)*Q729</f>
        <v>0</v>
      </c>
      <c r="P729" s="407" t="str">
        <f t="shared" si="286"/>
        <v>-</v>
      </c>
      <c r="Q729" s="93">
        <f>IF(R729&lt;500,1,2)</f>
        <v>1</v>
      </c>
      <c r="R729" s="285">
        <f>R723</f>
        <v>0</v>
      </c>
    </row>
    <row r="730" spans="1:18">
      <c r="A730" s="266" t="s">
        <v>170</v>
      </c>
      <c r="B730" s="284">
        <f>4.8-4.8</f>
        <v>0</v>
      </c>
      <c r="C730" s="706" t="str">
        <f>IF(B730=0,"-",3600/B730)</f>
        <v>-</v>
      </c>
      <c r="D730" s="259" t="str">
        <f>IFERROR((H730/C730),"-")</f>
        <v>-</v>
      </c>
      <c r="E730" s="706">
        <f>IFERROR(ROUNDUP(D730/0.95,0.999),0)</f>
        <v>0</v>
      </c>
      <c r="F730" s="705" t="str">
        <f>IFERROR((H730/C730/E730),"-")</f>
        <v>-</v>
      </c>
      <c r="G730" s="37"/>
      <c r="H730" s="285">
        <f>RESUMO!$H$135+RESUMO!$H$148+RESUMO!$H$167</f>
        <v>214.21147875623078</v>
      </c>
      <c r="I730" s="259" t="str">
        <f>IFERROR((M730/C730),"-")</f>
        <v>-</v>
      </c>
      <c r="J730" s="706">
        <f>IFERROR(ROUNDUP(I730/0.95,0.999),0)</f>
        <v>0</v>
      </c>
      <c r="K730" s="705" t="str">
        <f>IFERROR((M730/C730/J730),"-")</f>
        <v>-</v>
      </c>
      <c r="L730" s="37"/>
      <c r="M730" s="285">
        <f>IF(Preencher!$C$212&gt;0,'BD Temp'!$H$730,0)</f>
        <v>0</v>
      </c>
      <c r="N730" s="259" t="str">
        <f>IFERROR((R730/C730),"-")</f>
        <v>-</v>
      </c>
      <c r="O730" s="706">
        <f>IFERROR(ROUNDUP(N730/0.95,0.999),0)</f>
        <v>0</v>
      </c>
      <c r="P730" s="705" t="str">
        <f>IFERROR((R730/C730/O730),"-")</f>
        <v>-</v>
      </c>
      <c r="Q730" s="37"/>
      <c r="R730" s="285">
        <f>IF(Preencher!$D$212&gt;0,'BD Temp'!$H$730,0)</f>
        <v>0</v>
      </c>
    </row>
    <row r="731" spans="1:18">
      <c r="A731" s="265" t="s">
        <v>103</v>
      </c>
      <c r="B731" s="284">
        <v>58</v>
      </c>
      <c r="C731" s="251">
        <f t="shared" si="283"/>
        <v>62.068965517241381</v>
      </c>
      <c r="D731" s="259">
        <f>IFERROR((H731/C731),"-")</f>
        <v>0</v>
      </c>
      <c r="E731" s="251">
        <f>IFERROR(ROUNDUP(D731/0.95,0.999),0)</f>
        <v>0</v>
      </c>
      <c r="F731" s="252" t="str">
        <f t="shared" si="284"/>
        <v>-</v>
      </c>
      <c r="G731" s="37"/>
      <c r="H731" s="285">
        <f>Preencher!$P$231*Preencher!$I$12*RESUMO!$F$242</f>
        <v>0</v>
      </c>
      <c r="I731" s="259">
        <f>IFERROR((M731/C731),"-")</f>
        <v>0</v>
      </c>
      <c r="J731" s="251">
        <f>IFERROR(ROUNDUP(I731/0.95,0.999),0)</f>
        <v>0</v>
      </c>
      <c r="K731" s="252" t="str">
        <f t="shared" si="285"/>
        <v>-</v>
      </c>
      <c r="L731" s="37"/>
      <c r="M731" s="285">
        <f>Preencher!$Q$231*Preencher!$I$12*RESUMO!$F$242</f>
        <v>0</v>
      </c>
      <c r="N731" s="259">
        <f>IFERROR((R731/C731),"-")</f>
        <v>0</v>
      </c>
      <c r="O731" s="251">
        <f>IFERROR(ROUNDUP(N731/0.95,0.999),0)</f>
        <v>0</v>
      </c>
      <c r="P731" s="252" t="str">
        <f t="shared" si="286"/>
        <v>-</v>
      </c>
      <c r="Q731" s="37"/>
      <c r="R731" s="285">
        <f>Preencher!$R$231*Preencher!$I$12*RESUMO!$F$242</f>
        <v>0</v>
      </c>
    </row>
    <row r="732" spans="1:18">
      <c r="A732" s="265" t="s">
        <v>97</v>
      </c>
      <c r="B732" s="284"/>
      <c r="C732" s="406"/>
      <c r="D732" s="259"/>
      <c r="E732" s="770">
        <f>ROUNDUP(SUM(E733:E736),0)</f>
        <v>6</v>
      </c>
      <c r="F732" s="772">
        <f>IFERROR(SUM(F733:F735),"-")</f>
        <v>0.60360925307197599</v>
      </c>
      <c r="G732" s="37"/>
      <c r="H732" s="285"/>
      <c r="I732" s="259"/>
      <c r="J732" s="770">
        <f>ROUNDUP(SUM(J733:J736),0)</f>
        <v>0</v>
      </c>
      <c r="K732" s="772">
        <f>IFERROR(SUM(K733:K735),"-")</f>
        <v>0</v>
      </c>
      <c r="L732" s="37"/>
      <c r="M732" s="285"/>
      <c r="N732" s="259"/>
      <c r="O732" s="770">
        <f>O733+O734+O736+O735</f>
        <v>0</v>
      </c>
      <c r="P732" s="407" t="str">
        <f>IFERROR(AVERAGE(P733:P736),"-")</f>
        <v>-</v>
      </c>
      <c r="Q732" s="37"/>
      <c r="R732" s="285"/>
    </row>
    <row r="733" spans="1:18">
      <c r="A733" s="200" t="s">
        <v>97</v>
      </c>
      <c r="B733" s="284">
        <v>1.95</v>
      </c>
      <c r="C733" s="406">
        <f>IF(B733=0,"-",3600/B733)</f>
        <v>1846.1538461538462</v>
      </c>
      <c r="D733" s="259">
        <f>IFERROR((H733/C733/G733),"-")</f>
        <v>1.207218506143952</v>
      </c>
      <c r="E733" s="406">
        <f>IFERROR(ROUNDUP(D733/0.95,0.999),0)*G733</f>
        <v>4</v>
      </c>
      <c r="F733" s="407">
        <f>IFERROR((H733/C733/E733),"-")</f>
        <v>0.60360925307197599</v>
      </c>
      <c r="G733" s="380">
        <f>Preencher!$B$229</f>
        <v>2</v>
      </c>
      <c r="H733" s="285">
        <f>Preencher!$P$241</f>
        <v>4457.4221765315151</v>
      </c>
      <c r="I733" s="259" t="str">
        <f>IFERROR((M733/C733/L733),"-")</f>
        <v>-</v>
      </c>
      <c r="J733" s="406">
        <f>IFERROR(ROUNDUP(I733/0.95,0.999),0)*L733</f>
        <v>0</v>
      </c>
      <c r="K733" s="407" t="str">
        <f>IFERROR((M733/C733/J733),"-")</f>
        <v>-</v>
      </c>
      <c r="L733" s="380">
        <f>Preencher!$C$229</f>
        <v>0</v>
      </c>
      <c r="M733" s="285">
        <f>Preencher!$Q$241</f>
        <v>0</v>
      </c>
      <c r="N733" s="259" t="str">
        <f>IFERROR((R733/C733/Q733),"-")</f>
        <v>-</v>
      </c>
      <c r="O733" s="406">
        <f>IFERROR(ROUNDUP(N733/0.95,0.999),0)*Q733</f>
        <v>0</v>
      </c>
      <c r="P733" s="407" t="str">
        <f>IFERROR((R733/C733/O733),"-")</f>
        <v>-</v>
      </c>
      <c r="Q733" s="380">
        <f>Preencher!$D$229</f>
        <v>0</v>
      </c>
      <c r="R733" s="285">
        <f>Preencher!$R$241</f>
        <v>0</v>
      </c>
    </row>
    <row r="734" spans="1:18">
      <c r="A734" s="200" t="s">
        <v>1565</v>
      </c>
      <c r="B734" s="284">
        <v>0</v>
      </c>
      <c r="C734" s="706" t="str">
        <f>IF(B734=0,"-",3600/B734)</f>
        <v>-</v>
      </c>
      <c r="D734" s="259" t="str">
        <f>IFERROR((H734/C734/G734),"-")</f>
        <v>-</v>
      </c>
      <c r="E734" s="706">
        <f>IFERROR(ROUNDUP(D734/0.95,0.999),0)*G734</f>
        <v>0</v>
      </c>
      <c r="F734" s="705" t="str">
        <f>IFERROR((H734/C734/E734),"-")</f>
        <v>-</v>
      </c>
      <c r="G734" s="380">
        <f>G733</f>
        <v>2</v>
      </c>
      <c r="H734" s="285">
        <f>Preencher!$B$229</f>
        <v>2</v>
      </c>
      <c r="I734" s="259" t="str">
        <f>IFERROR((M734/C734/L734),"-")</f>
        <v>-</v>
      </c>
      <c r="J734" s="706">
        <f>IFERROR(ROUNDUP(I734/0.95,0.999),0)*L734</f>
        <v>0</v>
      </c>
      <c r="K734" s="705" t="str">
        <f>IFERROR((M734/C734/J734),"-")</f>
        <v>-</v>
      </c>
      <c r="L734" s="380">
        <f>Preencher!$C$229</f>
        <v>0</v>
      </c>
      <c r="M734" s="285">
        <f>Preencher!$C$229</f>
        <v>0</v>
      </c>
      <c r="N734" s="259" t="str">
        <f>IFERROR((R734/C734/Q734),"-")</f>
        <v>-</v>
      </c>
      <c r="O734" s="706">
        <f>IFERROR(ROUNDUP(N734/0.95,0.999),0)*Q734</f>
        <v>0</v>
      </c>
      <c r="P734" s="705" t="str">
        <f>IFERROR((R734/C734/O734),"-")</f>
        <v>-</v>
      </c>
      <c r="Q734" s="380">
        <f>Preencher!$D$229</f>
        <v>0</v>
      </c>
      <c r="R734" s="285">
        <f>Preencher!$D$229</f>
        <v>0</v>
      </c>
    </row>
    <row r="735" spans="1:18">
      <c r="A735" s="200" t="s">
        <v>3035</v>
      </c>
      <c r="B735" s="284">
        <f>1692-1692</f>
        <v>0</v>
      </c>
      <c r="C735" s="770" t="str">
        <f>IF(B735=0,"-",3600/B735)</f>
        <v>-</v>
      </c>
      <c r="D735" s="259" t="str">
        <f>IFERROR((H735/C735/G735),"-")</f>
        <v>-</v>
      </c>
      <c r="E735" s="770">
        <f>IFERROR(ROUNDUP(D735/0.95,0.999),0)*G735</f>
        <v>0</v>
      </c>
      <c r="F735" s="772" t="str">
        <f>IFERROR((H735/C735/E735),"-")</f>
        <v>-</v>
      </c>
      <c r="G735" s="380">
        <f>G734</f>
        <v>2</v>
      </c>
      <c r="H735" s="285">
        <f>Preencher!$B$229</f>
        <v>2</v>
      </c>
      <c r="I735" s="259" t="str">
        <f>IFERROR((M735/C735/L735),"-")</f>
        <v>-</v>
      </c>
      <c r="J735" s="770">
        <f>IFERROR(ROUNDUP(I735/0.95,0.999),0)*L735</f>
        <v>0</v>
      </c>
      <c r="K735" s="772" t="str">
        <f>IFERROR((M735/C735/J735),"-")</f>
        <v>-</v>
      </c>
      <c r="L735" s="380">
        <f>Preencher!$C$229</f>
        <v>0</v>
      </c>
      <c r="M735" s="285">
        <f>Preencher!$C$229</f>
        <v>0</v>
      </c>
      <c r="N735" s="259" t="str">
        <f>IFERROR((R735/C735/Q735),"-")</f>
        <v>-</v>
      </c>
      <c r="O735" s="770">
        <f>IFERROR(ROUNDUP(N735/0.95,0.999),0)*Q735</f>
        <v>0</v>
      </c>
      <c r="P735" s="772" t="str">
        <f>IFERROR((R735/C735/O735),"-")</f>
        <v>-</v>
      </c>
      <c r="Q735" s="380">
        <f>Preencher!$D$229</f>
        <v>0</v>
      </c>
      <c r="R735" s="285">
        <f>Preencher!$D$229</f>
        <v>0</v>
      </c>
    </row>
    <row r="736" spans="1:18">
      <c r="A736" s="200" t="s">
        <v>1566</v>
      </c>
      <c r="B736" s="284">
        <v>1692</v>
      </c>
      <c r="C736" s="706">
        <f>IF(B736=0,"-",3600/B736)</f>
        <v>2.1276595744680851</v>
      </c>
      <c r="D736" s="259">
        <f>IFERROR((H736/C736/G736),"-")</f>
        <v>0.47000000000000003</v>
      </c>
      <c r="E736" s="706">
        <f>IFERROR(ROUNDUP(D736/0.95,0.999),0)*G736</f>
        <v>2</v>
      </c>
      <c r="F736" s="705">
        <f>IFERROR((H736/C736/E736),"-")</f>
        <v>0.47000000000000003</v>
      </c>
      <c r="G736" s="380">
        <f>Preencher!$B$229</f>
        <v>2</v>
      </c>
      <c r="H736" s="285">
        <f>Preencher!$B$229</f>
        <v>2</v>
      </c>
      <c r="I736" s="259" t="str">
        <f>IFERROR((M736/C736/L736),"-")</f>
        <v>-</v>
      </c>
      <c r="J736" s="706">
        <f>IFERROR(ROUNDUP(I736/0.95,0.999),0)*L736</f>
        <v>0</v>
      </c>
      <c r="K736" s="705" t="str">
        <f>IFERROR((M736/C736/J736),"-")</f>
        <v>-</v>
      </c>
      <c r="L736" s="380">
        <f>Preencher!$C$229</f>
        <v>0</v>
      </c>
      <c r="M736" s="285">
        <f>Preencher!$C$229</f>
        <v>0</v>
      </c>
      <c r="N736" s="259" t="str">
        <f>IFERROR((R736/C736/Q736),"-")</f>
        <v>-</v>
      </c>
      <c r="O736" s="706">
        <f>IFERROR(ROUNDUP(N736/0.95,0.999),0)*Q736</f>
        <v>0</v>
      </c>
      <c r="P736" s="705" t="str">
        <f>IFERROR((R736/C736/O736),"-")</f>
        <v>-</v>
      </c>
      <c r="Q736" s="380">
        <f>Preencher!$D$229</f>
        <v>0</v>
      </c>
      <c r="R736" s="285">
        <f>Preencher!$D$229</f>
        <v>0</v>
      </c>
    </row>
    <row r="737" spans="1:18">
      <c r="A737" s="265" t="s">
        <v>677</v>
      </c>
      <c r="B737" s="284"/>
      <c r="C737" s="251"/>
      <c r="D737" s="259"/>
      <c r="E737" s="251">
        <f>E738+E739</f>
        <v>1</v>
      </c>
      <c r="F737" s="407">
        <f>IFERROR(AVERAGE(F738:F739),"-")</f>
        <v>0.13333333333333333</v>
      </c>
      <c r="G737" s="37"/>
      <c r="H737" s="285"/>
      <c r="I737" s="259"/>
      <c r="J737" s="406">
        <f>J738+J739</f>
        <v>0</v>
      </c>
      <c r="K737" s="407" t="str">
        <f>IFERROR(AVERAGE(K738:K739),"-")</f>
        <v>-</v>
      </c>
      <c r="L737" s="37"/>
      <c r="M737" s="285"/>
      <c r="N737" s="259"/>
      <c r="O737" s="406">
        <f>O738+O739</f>
        <v>0</v>
      </c>
      <c r="P737" s="407" t="str">
        <f>IFERROR(AVERAGE(P738:P739),"-")</f>
        <v>-</v>
      </c>
      <c r="Q737" s="37"/>
      <c r="R737" s="285"/>
    </row>
    <row r="738" spans="1:18">
      <c r="A738" s="200" t="s">
        <v>1718</v>
      </c>
      <c r="B738" s="284">
        <v>0.3</v>
      </c>
      <c r="C738" s="406">
        <f t="shared" ref="C738:C743" si="287">IF(B738=0,"-",3600/B738)</f>
        <v>12000</v>
      </c>
      <c r="D738" s="259">
        <f t="shared" ref="D738:D743" si="288">IFERROR((H738/C738),"-")</f>
        <v>0</v>
      </c>
      <c r="E738" s="406">
        <f t="shared" ref="E738:E743" si="289">IFERROR(ROUNDUP(D738/0.95,0.999),0)</f>
        <v>0</v>
      </c>
      <c r="F738" s="407" t="str">
        <f t="shared" ref="F738:F743" si="290">IFERROR((H738/C738/E738),"-")</f>
        <v>-</v>
      </c>
      <c r="G738" s="37"/>
      <c r="H738" s="285">
        <f>Preencher!$P$232</f>
        <v>0</v>
      </c>
      <c r="I738" s="259">
        <f t="shared" ref="I738:I743" si="291">IFERROR((M738/C738),"-")</f>
        <v>0</v>
      </c>
      <c r="J738" s="406">
        <f t="shared" ref="J738:J743" si="292">IFERROR(ROUNDUP(I738/0.95,0.999),0)</f>
        <v>0</v>
      </c>
      <c r="K738" s="407" t="str">
        <f t="shared" ref="K738:K743" si="293">IFERROR((M738/C738/J738),"-")</f>
        <v>-</v>
      </c>
      <c r="L738" s="37"/>
      <c r="M738" s="285">
        <f>Preencher!$Q$232</f>
        <v>0</v>
      </c>
      <c r="N738" s="259">
        <f t="shared" ref="N738:N743" si="294">IFERROR((R738/C738),"-")</f>
        <v>0</v>
      </c>
      <c r="O738" s="406">
        <f t="shared" ref="O738:O743" si="295">IFERROR(ROUNDUP(N738/0.95,0.999),0)</f>
        <v>0</v>
      </c>
      <c r="P738" s="407" t="str">
        <f t="shared" ref="P738:P743" si="296">IFERROR((R738/C738/O738),"-")</f>
        <v>-</v>
      </c>
      <c r="Q738" s="37"/>
      <c r="R738" s="285">
        <f>Preencher!$R$232</f>
        <v>0</v>
      </c>
    </row>
    <row r="739" spans="1:18">
      <c r="A739" s="200" t="s">
        <v>1719</v>
      </c>
      <c r="B739" s="284">
        <v>0.1</v>
      </c>
      <c r="C739" s="406">
        <f t="shared" si="287"/>
        <v>36000</v>
      </c>
      <c r="D739" s="259">
        <f t="shared" si="288"/>
        <v>0.13333333333333333</v>
      </c>
      <c r="E739" s="406">
        <f t="shared" si="289"/>
        <v>1</v>
      </c>
      <c r="F739" s="407">
        <f t="shared" si="290"/>
        <v>0.13333333333333333</v>
      </c>
      <c r="G739" s="37"/>
      <c r="H739" s="285">
        <f>Preencher!$B$212-H738</f>
        <v>4800</v>
      </c>
      <c r="I739" s="259">
        <f t="shared" si="291"/>
        <v>0</v>
      </c>
      <c r="J739" s="406">
        <f t="shared" si="292"/>
        <v>0</v>
      </c>
      <c r="K739" s="407" t="str">
        <f t="shared" si="293"/>
        <v>-</v>
      </c>
      <c r="L739" s="37"/>
      <c r="M739" s="285">
        <f>Preencher!$C$212-M738</f>
        <v>0</v>
      </c>
      <c r="N739" s="259">
        <f t="shared" si="294"/>
        <v>0</v>
      </c>
      <c r="O739" s="406">
        <f t="shared" si="295"/>
        <v>0</v>
      </c>
      <c r="P739" s="407" t="str">
        <f t="shared" si="296"/>
        <v>-</v>
      </c>
      <c r="Q739" s="37"/>
      <c r="R739" s="285">
        <f>Preencher!$D$212-R738</f>
        <v>0</v>
      </c>
    </row>
    <row r="740" spans="1:18">
      <c r="A740" s="265" t="s">
        <v>42</v>
      </c>
      <c r="B740" s="284">
        <f>IF(AVERAGE(H740+M740+R740)&lt;10,0,91.5)</f>
        <v>0</v>
      </c>
      <c r="C740" s="251" t="str">
        <f t="shared" si="287"/>
        <v>-</v>
      </c>
      <c r="D740" s="259" t="str">
        <f t="shared" si="288"/>
        <v>-</v>
      </c>
      <c r="E740" s="251">
        <f t="shared" si="289"/>
        <v>0</v>
      </c>
      <c r="F740" s="252" t="str">
        <f t="shared" si="290"/>
        <v>-</v>
      </c>
      <c r="G740" s="37"/>
      <c r="H740" s="285">
        <f>E708+E757+E415</f>
        <v>0</v>
      </c>
      <c r="I740" s="259" t="str">
        <f t="shared" si="291"/>
        <v>-</v>
      </c>
      <c r="J740" s="251">
        <f t="shared" si="292"/>
        <v>0</v>
      </c>
      <c r="K740" s="252" t="str">
        <f t="shared" si="293"/>
        <v>-</v>
      </c>
      <c r="L740" s="37"/>
      <c r="M740" s="285">
        <f>J708+J757+J415</f>
        <v>0</v>
      </c>
      <c r="N740" s="259" t="str">
        <f t="shared" si="294"/>
        <v>-</v>
      </c>
      <c r="O740" s="251">
        <f t="shared" si="295"/>
        <v>0</v>
      </c>
      <c r="P740" s="252" t="str">
        <f t="shared" si="296"/>
        <v>-</v>
      </c>
      <c r="Q740" s="37"/>
      <c r="R740" s="285">
        <f>O708+O757+O415</f>
        <v>0</v>
      </c>
    </row>
    <row r="741" spans="1:18">
      <c r="A741" s="265" t="s">
        <v>3120</v>
      </c>
      <c r="B741" s="284">
        <v>0</v>
      </c>
      <c r="C741" s="770" t="str">
        <f>IF(B741=0,"-",3600/B741)</f>
        <v>-</v>
      </c>
      <c r="D741" s="259" t="str">
        <f>IFERROR((H741/C741),"-")</f>
        <v>-</v>
      </c>
      <c r="E741" s="770">
        <f>IFERROR(ROUNDUP(D741/0.95,0.999),0)</f>
        <v>0</v>
      </c>
      <c r="F741" s="772" t="str">
        <f>IFERROR((H741/C741/E741),"-")</f>
        <v>-</v>
      </c>
      <c r="G741" s="37"/>
      <c r="H741" s="285">
        <f>Preencher!$P$232</f>
        <v>0</v>
      </c>
      <c r="I741" s="259" t="str">
        <f>IFERROR((M741/C741),"-")</f>
        <v>-</v>
      </c>
      <c r="J741" s="770">
        <f>IFERROR(ROUNDUP(I741/0.95,0.999),0)</f>
        <v>0</v>
      </c>
      <c r="K741" s="772" t="str">
        <f>IFERROR((M741/C741/J741),"-")</f>
        <v>-</v>
      </c>
      <c r="L741" s="37"/>
      <c r="M741" s="285">
        <f>Preencher!$Q$232</f>
        <v>0</v>
      </c>
      <c r="N741" s="259" t="str">
        <f>IFERROR((R741/C741),"-")</f>
        <v>-</v>
      </c>
      <c r="O741" s="770">
        <f>IFERROR(ROUNDUP(N741/0.95,0.999),0)</f>
        <v>0</v>
      </c>
      <c r="P741" s="772" t="str">
        <f>IFERROR((R741/C741/O741),"-")</f>
        <v>-</v>
      </c>
      <c r="Q741" s="37"/>
      <c r="R741" s="285">
        <f>Preencher!$R$232</f>
        <v>0</v>
      </c>
    </row>
    <row r="742" spans="1:18">
      <c r="A742" s="37" t="s">
        <v>16</v>
      </c>
      <c r="B742" s="284"/>
      <c r="C742" s="912" t="s">
        <v>1075</v>
      </c>
      <c r="D742" s="259"/>
      <c r="E742" s="770">
        <f>IFERROR(ROUND(SUM(Avaliação!J502+Avaliação!J517+Avaliação!J534+Avaliação!J548+SUM(Avaliação!J474:J490))*'BD Temp'!H742,0.999),0)</f>
        <v>3</v>
      </c>
      <c r="F742" s="772" t="str">
        <f t="shared" ref="F742" si="297">IFERROR((H742/C742/E742),"-")</f>
        <v>-</v>
      </c>
      <c r="G742" s="37"/>
      <c r="H742" s="285">
        <f>IF(Preencher!$A$15=Preencher!$R$28,0,IF(Preencher!$A$15=Preencher!$R$29,Preencher!$C$15,Preencher!$D$15))</f>
        <v>0.33</v>
      </c>
      <c r="I742" s="259" t="str">
        <f t="shared" ref="I742" si="298">IFERROR((M742/C742),"-")</f>
        <v>-</v>
      </c>
      <c r="J742" s="770">
        <f>IFERROR(ROUND(SUM(Avaliação!N502+Avaliação!N517+Avaliação!N534+Avaliação!N548+SUM(Avaliação!N474:N490))*'BD Temp'!M742,0.999),0)</f>
        <v>0</v>
      </c>
      <c r="K742" s="772" t="str">
        <f t="shared" ref="K742" si="299">IFERROR((M742/C742/J742),"-")</f>
        <v>-</v>
      </c>
      <c r="L742" s="37"/>
      <c r="M742" s="285">
        <f>IF(Preencher!$A$15=Preencher!$R$28,0,IF(Preencher!$A$15=Preencher!$R$29,Preencher!$C$15,Preencher!$D$15))</f>
        <v>0.33</v>
      </c>
      <c r="N742" s="259" t="str">
        <f t="shared" ref="N742" si="300">IFERROR((R742/C742),"-")</f>
        <v>-</v>
      </c>
      <c r="O742" s="770">
        <f>IFERROR(ROUNDUP(SUM(Avaliação!R502+Avaliação!R517+Avaliação!R534+Avaliação!R548+SUM(Avaliação!R474:R490))*'BD Temp'!R742,0.999),0)</f>
        <v>0</v>
      </c>
      <c r="P742" s="772" t="str">
        <f t="shared" ref="P742" si="301">IFERROR((R742/C742/O742),"-")</f>
        <v>-</v>
      </c>
      <c r="Q742" s="37"/>
      <c r="R742" s="285">
        <f>IF(Preencher!$A$15=Preencher!$R$28,0,IF(Preencher!$A$15=Preencher!$R$29,Preencher!$C$15,Preencher!$D$15))</f>
        <v>0.33</v>
      </c>
    </row>
    <row r="743" spans="1:18">
      <c r="A743" s="265" t="s">
        <v>15</v>
      </c>
      <c r="B743" s="284">
        <v>0</v>
      </c>
      <c r="C743" s="251" t="str">
        <f t="shared" si="287"/>
        <v>-</v>
      </c>
      <c r="D743" s="259" t="str">
        <f t="shared" si="288"/>
        <v>-</v>
      </c>
      <c r="E743" s="251">
        <f t="shared" si="289"/>
        <v>0</v>
      </c>
      <c r="F743" s="252" t="str">
        <f t="shared" si="290"/>
        <v>-</v>
      </c>
      <c r="G743" s="37"/>
      <c r="H743" s="285">
        <f>E708/2</f>
        <v>0</v>
      </c>
      <c r="I743" s="259" t="str">
        <f t="shared" si="291"/>
        <v>-</v>
      </c>
      <c r="J743" s="251">
        <f t="shared" si="292"/>
        <v>0</v>
      </c>
      <c r="K743" s="252" t="str">
        <f t="shared" si="293"/>
        <v>-</v>
      </c>
      <c r="L743" s="37"/>
      <c r="M743" s="285">
        <f>J708/2</f>
        <v>0</v>
      </c>
      <c r="N743" s="259" t="str">
        <f t="shared" si="294"/>
        <v>-</v>
      </c>
      <c r="O743" s="251">
        <f t="shared" si="295"/>
        <v>0</v>
      </c>
      <c r="P743" s="252" t="str">
        <f t="shared" si="296"/>
        <v>-</v>
      </c>
      <c r="Q743" s="37"/>
      <c r="R743" s="285">
        <f>O708/2</f>
        <v>0</v>
      </c>
    </row>
    <row r="744" spans="1:18">
      <c r="A744" s="265"/>
      <c r="B744" s="286"/>
      <c r="C744" s="37"/>
      <c r="D744" s="37"/>
      <c r="E744" s="37"/>
      <c r="F744" s="37"/>
      <c r="G744" s="37"/>
      <c r="H744" s="287"/>
      <c r="I744" s="37"/>
      <c r="J744" s="37"/>
      <c r="K744" s="37"/>
      <c r="L744" s="37"/>
      <c r="M744" s="287"/>
      <c r="N744" s="37"/>
      <c r="O744" s="37"/>
      <c r="P744" s="37"/>
      <c r="Q744" s="37"/>
      <c r="R744" s="287"/>
    </row>
    <row r="745" spans="1:18">
      <c r="A745" s="270" t="s">
        <v>723</v>
      </c>
      <c r="B745" s="291"/>
      <c r="C745" s="39"/>
      <c r="D745" s="39"/>
      <c r="E745" s="39"/>
      <c r="F745" s="39"/>
      <c r="G745" s="39"/>
      <c r="H745" s="292"/>
      <c r="I745" s="39"/>
      <c r="J745" s="39"/>
      <c r="K745" s="39"/>
      <c r="L745" s="39"/>
      <c r="M745" s="292"/>
      <c r="N745" s="39"/>
      <c r="O745" s="39"/>
      <c r="P745" s="39"/>
      <c r="Q745" s="39"/>
      <c r="R745" s="292"/>
    </row>
    <row r="746" spans="1:18">
      <c r="A746" s="265"/>
      <c r="B746" s="284"/>
      <c r="C746" s="251"/>
      <c r="D746" s="259"/>
      <c r="E746" s="251"/>
      <c r="F746" s="252"/>
      <c r="G746" s="37"/>
      <c r="H746" s="285"/>
      <c r="I746" s="259"/>
      <c r="J746" s="251"/>
      <c r="K746" s="252"/>
      <c r="L746" s="37"/>
      <c r="M746" s="285"/>
      <c r="N746" s="259"/>
      <c r="O746" s="251"/>
      <c r="P746" s="252"/>
      <c r="Q746" s="37"/>
      <c r="R746" s="285"/>
    </row>
    <row r="747" spans="1:18">
      <c r="A747" s="265"/>
      <c r="B747" s="284"/>
      <c r="C747" s="251"/>
      <c r="D747" s="259"/>
      <c r="E747" s="251"/>
      <c r="F747" s="252"/>
      <c r="G747" s="37"/>
      <c r="H747" s="285"/>
      <c r="I747" s="259"/>
      <c r="J747" s="251"/>
      <c r="K747" s="252"/>
      <c r="L747" s="37"/>
      <c r="M747" s="285"/>
      <c r="N747" s="259"/>
      <c r="O747" s="251"/>
      <c r="P747" s="252"/>
      <c r="Q747" s="37"/>
      <c r="R747" s="285"/>
    </row>
    <row r="748" spans="1:18">
      <c r="A748" s="265"/>
      <c r="B748" s="284"/>
      <c r="C748" s="251"/>
      <c r="D748" s="259"/>
      <c r="E748" s="251"/>
      <c r="F748" s="252"/>
      <c r="G748" s="37"/>
      <c r="H748" s="285"/>
      <c r="I748" s="259"/>
      <c r="J748" s="251"/>
      <c r="K748" s="252"/>
      <c r="L748" s="37"/>
      <c r="M748" s="285"/>
      <c r="N748" s="259"/>
      <c r="O748" s="251"/>
      <c r="P748" s="252"/>
      <c r="Q748" s="37"/>
      <c r="R748" s="285"/>
    </row>
    <row r="749" spans="1:18">
      <c r="A749" s="265"/>
      <c r="B749" s="286"/>
      <c r="C749" s="37"/>
      <c r="D749" s="37"/>
      <c r="E749" s="37"/>
      <c r="F749" s="37"/>
      <c r="G749" s="37"/>
      <c r="H749" s="287"/>
      <c r="I749" s="37"/>
      <c r="J749" s="37"/>
      <c r="K749" s="37"/>
      <c r="L749" s="37"/>
      <c r="M749" s="287"/>
      <c r="N749" s="37"/>
      <c r="O749" s="37"/>
      <c r="P749" s="37"/>
      <c r="Q749" s="37"/>
      <c r="R749" s="287"/>
    </row>
    <row r="750" spans="1:18">
      <c r="A750" s="265"/>
      <c r="B750" s="286"/>
      <c r="C750" s="37"/>
      <c r="D750" s="37"/>
      <c r="E750" s="37"/>
      <c r="F750" s="37"/>
      <c r="G750" s="37"/>
      <c r="H750" s="287"/>
      <c r="I750" s="37"/>
      <c r="J750" s="37"/>
      <c r="K750" s="37"/>
      <c r="L750" s="37"/>
      <c r="M750" s="287"/>
      <c r="N750" s="37"/>
      <c r="O750" s="37"/>
      <c r="P750" s="37"/>
      <c r="Q750" s="37"/>
      <c r="R750" s="287"/>
    </row>
    <row r="751" spans="1:18">
      <c r="A751" s="268"/>
      <c r="B751" s="288"/>
      <c r="C751" s="13"/>
      <c r="D751" s="13"/>
      <c r="E751" s="13"/>
      <c r="F751" s="13"/>
      <c r="G751" s="13"/>
      <c r="H751" s="113"/>
      <c r="I751" s="13"/>
      <c r="J751" s="13"/>
      <c r="K751" s="13"/>
      <c r="L751" s="13"/>
      <c r="M751" s="113"/>
      <c r="N751" s="13"/>
      <c r="O751" s="13"/>
      <c r="P751" s="13"/>
      <c r="Q751" s="13"/>
      <c r="R751" s="113"/>
    </row>
    <row r="752" spans="1:18">
      <c r="A752" s="264" t="s">
        <v>250</v>
      </c>
      <c r="B752" s="282"/>
      <c r="C752" s="40"/>
      <c r="D752" s="40"/>
      <c r="E752" s="40"/>
      <c r="F752" s="40"/>
      <c r="G752" s="40"/>
      <c r="H752" s="283"/>
      <c r="I752" s="40"/>
      <c r="J752" s="40"/>
      <c r="K752" s="40"/>
      <c r="L752" s="40"/>
      <c r="M752" s="283"/>
      <c r="N752" s="40"/>
      <c r="O752" s="40"/>
      <c r="P752" s="40"/>
      <c r="Q752" s="40"/>
      <c r="R752" s="283"/>
    </row>
    <row r="753" spans="1:18">
      <c r="A753" s="265" t="s">
        <v>109</v>
      </c>
      <c r="B753" s="284"/>
      <c r="C753" s="251" t="str">
        <f t="shared" ref="C753:C758" si="302">IF(B753=0,"-",3600/B753)</f>
        <v>-</v>
      </c>
      <c r="D753" s="259" t="str">
        <f t="shared" ref="D753:D758" si="303">IFERROR((H753/C753),"-")</f>
        <v>-</v>
      </c>
      <c r="E753" s="251">
        <f t="shared" ref="E753:E758" si="304">IFERROR(ROUNDUP(D753/0.95,0.999),0)</f>
        <v>0</v>
      </c>
      <c r="F753" s="252" t="str">
        <f t="shared" ref="F753:F758" si="305">IFERROR((H753/C753/E753),"-")</f>
        <v>-</v>
      </c>
      <c r="G753" s="37"/>
      <c r="H753" s="285"/>
      <c r="I753" s="259" t="str">
        <f t="shared" ref="I753:I758" si="306">IFERROR((M753/C753),"-")</f>
        <v>-</v>
      </c>
      <c r="J753" s="251">
        <f t="shared" ref="J753:J758" si="307">IFERROR(ROUNDUP(I753/0.95,0.999),0)</f>
        <v>0</v>
      </c>
      <c r="K753" s="252" t="str">
        <f t="shared" ref="K753:K758" si="308">IFERROR((M753/C753/J753),"-")</f>
        <v>-</v>
      </c>
      <c r="L753" s="37"/>
      <c r="M753" s="285"/>
      <c r="N753" s="259" t="str">
        <f t="shared" ref="N753:N758" si="309">IFERROR((R753/C753),"-")</f>
        <v>-</v>
      </c>
      <c r="O753" s="251">
        <f t="shared" ref="O753:O758" si="310">IFERROR(ROUNDUP(N753/0.95,0.999),0)</f>
        <v>0</v>
      </c>
      <c r="P753" s="252" t="str">
        <f t="shared" ref="P753:P758" si="311">IFERROR((R753/C753/O753),"-")</f>
        <v>-</v>
      </c>
      <c r="Q753" s="37"/>
      <c r="R753" s="285"/>
    </row>
    <row r="754" spans="1:18">
      <c r="A754" s="265" t="s">
        <v>669</v>
      </c>
      <c r="B754" s="284">
        <v>1140</v>
      </c>
      <c r="C754" s="251">
        <f t="shared" si="302"/>
        <v>3.1578947368421053</v>
      </c>
      <c r="D754" s="259">
        <f t="shared" si="303"/>
        <v>0</v>
      </c>
      <c r="E754" s="251">
        <f t="shared" si="304"/>
        <v>0</v>
      </c>
      <c r="F754" s="252" t="str">
        <f t="shared" si="305"/>
        <v>-</v>
      </c>
      <c r="G754" s="37"/>
      <c r="H754" s="285">
        <f>Preencher!$B$228</f>
        <v>0</v>
      </c>
      <c r="I754" s="259">
        <f t="shared" si="306"/>
        <v>0</v>
      </c>
      <c r="J754" s="251">
        <f t="shared" si="307"/>
        <v>0</v>
      </c>
      <c r="K754" s="252" t="str">
        <f t="shared" si="308"/>
        <v>-</v>
      </c>
      <c r="L754" s="37"/>
      <c r="M754" s="285">
        <f>Preencher!$C$228</f>
        <v>0</v>
      </c>
      <c r="N754" s="259">
        <f t="shared" si="309"/>
        <v>0</v>
      </c>
      <c r="O754" s="251">
        <f t="shared" si="310"/>
        <v>0</v>
      </c>
      <c r="P754" s="252" t="str">
        <f t="shared" si="311"/>
        <v>-</v>
      </c>
      <c r="Q754" s="37"/>
      <c r="R754" s="285">
        <f>Preencher!$D$228</f>
        <v>0</v>
      </c>
    </row>
    <row r="755" spans="1:18">
      <c r="A755" s="271" t="s">
        <v>670</v>
      </c>
      <c r="B755" s="284"/>
      <c r="C755" s="251" t="str">
        <f t="shared" si="302"/>
        <v>-</v>
      </c>
      <c r="D755" s="259" t="str">
        <f t="shared" si="303"/>
        <v>-</v>
      </c>
      <c r="E755" s="251">
        <f t="shared" si="304"/>
        <v>0</v>
      </c>
      <c r="F755" s="252" t="str">
        <f t="shared" si="305"/>
        <v>-</v>
      </c>
      <c r="G755" s="37"/>
      <c r="H755" s="285"/>
      <c r="I755" s="259" t="str">
        <f t="shared" si="306"/>
        <v>-</v>
      </c>
      <c r="J755" s="251">
        <f t="shared" si="307"/>
        <v>0</v>
      </c>
      <c r="K755" s="252" t="str">
        <f t="shared" si="308"/>
        <v>-</v>
      </c>
      <c r="L755" s="37"/>
      <c r="M755" s="285"/>
      <c r="N755" s="259" t="str">
        <f t="shared" si="309"/>
        <v>-</v>
      </c>
      <c r="O755" s="251">
        <f t="shared" si="310"/>
        <v>0</v>
      </c>
      <c r="P755" s="252" t="str">
        <f t="shared" si="311"/>
        <v>-</v>
      </c>
      <c r="Q755" s="37"/>
      <c r="R755" s="285"/>
    </row>
    <row r="756" spans="1:18">
      <c r="A756" s="271" t="s">
        <v>671</v>
      </c>
      <c r="B756" s="284"/>
      <c r="C756" s="251" t="str">
        <f t="shared" si="302"/>
        <v>-</v>
      </c>
      <c r="D756" s="259" t="str">
        <f t="shared" si="303"/>
        <v>-</v>
      </c>
      <c r="E756" s="251">
        <f t="shared" si="304"/>
        <v>0</v>
      </c>
      <c r="F756" s="252" t="str">
        <f t="shared" si="305"/>
        <v>-</v>
      </c>
      <c r="G756" s="37"/>
      <c r="H756" s="285"/>
      <c r="I756" s="259" t="str">
        <f t="shared" si="306"/>
        <v>-</v>
      </c>
      <c r="J756" s="251">
        <f t="shared" si="307"/>
        <v>0</v>
      </c>
      <c r="K756" s="252" t="str">
        <f t="shared" si="308"/>
        <v>-</v>
      </c>
      <c r="L756" s="37"/>
      <c r="M756" s="285"/>
      <c r="N756" s="259" t="str">
        <f t="shared" si="309"/>
        <v>-</v>
      </c>
      <c r="O756" s="251">
        <f t="shared" si="310"/>
        <v>0</v>
      </c>
      <c r="P756" s="252" t="str">
        <f t="shared" si="311"/>
        <v>-</v>
      </c>
      <c r="Q756" s="37"/>
      <c r="R756" s="285"/>
    </row>
    <row r="757" spans="1:18">
      <c r="A757" s="265" t="s">
        <v>673</v>
      </c>
      <c r="B757" s="284">
        <f>IF(Preencher!B217="Sim",18.15,15.31)</f>
        <v>15.31</v>
      </c>
      <c r="C757" s="251">
        <f t="shared" si="302"/>
        <v>235.14043109079032</v>
      </c>
      <c r="D757" s="259">
        <f t="shared" si="303"/>
        <v>0</v>
      </c>
      <c r="E757" s="251">
        <f t="shared" si="304"/>
        <v>0</v>
      </c>
      <c r="F757" s="252" t="str">
        <f t="shared" si="305"/>
        <v>-</v>
      </c>
      <c r="G757" s="37"/>
      <c r="H757" s="285">
        <f>Preencher!$P$233</f>
        <v>0</v>
      </c>
      <c r="I757" s="259">
        <f t="shared" si="306"/>
        <v>0</v>
      </c>
      <c r="J757" s="251">
        <f t="shared" si="307"/>
        <v>0</v>
      </c>
      <c r="K757" s="252" t="str">
        <f t="shared" si="308"/>
        <v>-</v>
      </c>
      <c r="L757" s="37"/>
      <c r="M757" s="285">
        <f>Preencher!$Q$233</f>
        <v>0</v>
      </c>
      <c r="N757" s="259">
        <f t="shared" si="309"/>
        <v>0</v>
      </c>
      <c r="O757" s="251">
        <f t="shared" si="310"/>
        <v>0</v>
      </c>
      <c r="P757" s="252" t="str">
        <f t="shared" si="311"/>
        <v>-</v>
      </c>
      <c r="Q757" s="37"/>
      <c r="R757" s="285">
        <f>Preencher!$R$233</f>
        <v>0</v>
      </c>
    </row>
    <row r="758" spans="1:18">
      <c r="A758" s="265" t="s">
        <v>832</v>
      </c>
      <c r="B758" s="284">
        <v>570</v>
      </c>
      <c r="C758" s="251">
        <f t="shared" si="302"/>
        <v>6.3157894736842106</v>
      </c>
      <c r="D758" s="259">
        <f t="shared" si="303"/>
        <v>0</v>
      </c>
      <c r="E758" s="251">
        <f t="shared" si="304"/>
        <v>0</v>
      </c>
      <c r="F758" s="252" t="str">
        <f t="shared" si="305"/>
        <v>-</v>
      </c>
      <c r="G758" s="37"/>
      <c r="H758" s="285">
        <f>Preencher!$B$228</f>
        <v>0</v>
      </c>
      <c r="I758" s="259">
        <f t="shared" si="306"/>
        <v>0</v>
      </c>
      <c r="J758" s="251">
        <f t="shared" si="307"/>
        <v>0</v>
      </c>
      <c r="K758" s="252" t="str">
        <f t="shared" si="308"/>
        <v>-</v>
      </c>
      <c r="L758" s="37"/>
      <c r="M758" s="285">
        <f>Preencher!$C$228</f>
        <v>0</v>
      </c>
      <c r="N758" s="259">
        <f t="shared" si="309"/>
        <v>0</v>
      </c>
      <c r="O758" s="251">
        <f t="shared" si="310"/>
        <v>0</v>
      </c>
      <c r="P758" s="252" t="str">
        <f t="shared" si="311"/>
        <v>-</v>
      </c>
      <c r="Q758" s="37"/>
      <c r="R758" s="285">
        <f>Preencher!$D$228</f>
        <v>0</v>
      </c>
    </row>
    <row r="759" spans="1:18">
      <c r="A759" s="265"/>
      <c r="B759" s="286"/>
      <c r="C759" s="37"/>
      <c r="D759" s="37"/>
      <c r="E759" s="37"/>
      <c r="F759" s="37"/>
      <c r="G759" s="37"/>
      <c r="H759" s="287"/>
      <c r="I759" s="37"/>
      <c r="J759" s="37"/>
      <c r="K759" s="37"/>
      <c r="L759" s="37"/>
      <c r="M759" s="287"/>
      <c r="N759" s="37"/>
      <c r="O759" s="37"/>
      <c r="P759" s="37"/>
      <c r="Q759" s="37"/>
      <c r="R759" s="287"/>
    </row>
    <row r="760" spans="1:18">
      <c r="A760" s="270" t="s">
        <v>723</v>
      </c>
      <c r="B760" s="291"/>
      <c r="C760" s="39"/>
      <c r="D760" s="39"/>
      <c r="E760" s="39"/>
      <c r="F760" s="39"/>
      <c r="G760" s="39"/>
      <c r="H760" s="292"/>
      <c r="I760" s="39"/>
      <c r="J760" s="39"/>
      <c r="K760" s="39"/>
      <c r="L760" s="39"/>
      <c r="M760" s="292"/>
      <c r="N760" s="39"/>
      <c r="O760" s="39"/>
      <c r="P760" s="39"/>
      <c r="Q760" s="39"/>
      <c r="R760" s="292"/>
    </row>
    <row r="761" spans="1:18">
      <c r="A761" s="265"/>
      <c r="B761" s="286"/>
      <c r="C761" s="37"/>
      <c r="D761" s="37"/>
      <c r="E761" s="37"/>
      <c r="F761" s="37"/>
      <c r="G761" s="37"/>
      <c r="H761" s="287"/>
      <c r="I761" s="37"/>
      <c r="J761" s="37"/>
      <c r="K761" s="37"/>
      <c r="L761" s="37"/>
      <c r="M761" s="287"/>
      <c r="N761" s="37"/>
      <c r="O761" s="37"/>
      <c r="P761" s="37"/>
      <c r="Q761" s="37"/>
      <c r="R761" s="287"/>
    </row>
    <row r="762" spans="1:18">
      <c r="A762" s="265"/>
      <c r="B762" s="286"/>
      <c r="C762" s="37"/>
      <c r="D762" s="37"/>
      <c r="E762" s="37"/>
      <c r="F762" s="37"/>
      <c r="G762" s="37"/>
      <c r="H762" s="287"/>
      <c r="I762" s="37"/>
      <c r="J762" s="37"/>
      <c r="K762" s="37"/>
      <c r="L762" s="37"/>
      <c r="M762" s="287"/>
      <c r="N762" s="37"/>
      <c r="O762" s="37"/>
      <c r="P762" s="37"/>
      <c r="Q762" s="37"/>
      <c r="R762" s="287"/>
    </row>
    <row r="763" spans="1:18">
      <c r="A763" s="265"/>
      <c r="B763" s="286"/>
      <c r="C763" s="37"/>
      <c r="D763" s="37"/>
      <c r="E763" s="37"/>
      <c r="F763" s="37"/>
      <c r="G763" s="37"/>
      <c r="H763" s="287"/>
      <c r="I763" s="37"/>
      <c r="J763" s="37"/>
      <c r="K763" s="37"/>
      <c r="L763" s="37"/>
      <c r="M763" s="287"/>
      <c r="N763" s="37"/>
      <c r="O763" s="37"/>
      <c r="P763" s="37"/>
      <c r="Q763" s="37"/>
      <c r="R763" s="287"/>
    </row>
    <row r="764" spans="1:18">
      <c r="A764" s="265"/>
      <c r="B764" s="286"/>
      <c r="C764" s="37"/>
      <c r="D764" s="37"/>
      <c r="E764" s="37"/>
      <c r="F764" s="37"/>
      <c r="G764" s="37"/>
      <c r="H764" s="287"/>
      <c r="I764" s="37"/>
      <c r="J764" s="37"/>
      <c r="K764" s="37"/>
      <c r="L764" s="37"/>
      <c r="M764" s="287"/>
      <c r="N764" s="37"/>
      <c r="O764" s="37"/>
      <c r="P764" s="37"/>
      <c r="Q764" s="37"/>
      <c r="R764" s="287"/>
    </row>
    <row r="765" spans="1:18">
      <c r="A765" s="265"/>
      <c r="B765" s="286"/>
      <c r="C765" s="37"/>
      <c r="D765" s="37"/>
      <c r="E765" s="37"/>
      <c r="F765" s="37"/>
      <c r="G765" s="37"/>
      <c r="H765" s="287"/>
      <c r="I765" s="37"/>
      <c r="J765" s="37"/>
      <c r="K765" s="37"/>
      <c r="L765" s="37"/>
      <c r="M765" s="287"/>
      <c r="N765" s="37"/>
      <c r="O765" s="37"/>
      <c r="P765" s="37"/>
      <c r="Q765" s="37"/>
      <c r="R765" s="287"/>
    </row>
    <row r="766" spans="1:18">
      <c r="A766" s="268"/>
      <c r="B766" s="288"/>
      <c r="C766" s="13"/>
      <c r="D766" s="13"/>
      <c r="E766" s="13"/>
      <c r="F766" s="13"/>
      <c r="G766" s="13"/>
      <c r="H766" s="113"/>
      <c r="I766" s="13"/>
      <c r="J766" s="13"/>
      <c r="K766" s="13"/>
      <c r="L766" s="13"/>
      <c r="M766" s="113"/>
      <c r="N766" s="13"/>
      <c r="O766" s="13"/>
      <c r="P766" s="13"/>
      <c r="Q766" s="13"/>
      <c r="R766" s="113"/>
    </row>
    <row r="767" spans="1:18">
      <c r="A767" s="264" t="s">
        <v>253</v>
      </c>
      <c r="B767" s="282"/>
      <c r="C767" s="40"/>
      <c r="D767" s="40"/>
      <c r="E767" s="40"/>
      <c r="F767" s="40"/>
      <c r="G767" s="40"/>
      <c r="H767" s="283"/>
      <c r="I767" s="40"/>
      <c r="J767" s="40"/>
      <c r="K767" s="40"/>
      <c r="L767" s="40"/>
      <c r="M767" s="283"/>
      <c r="N767" s="40"/>
      <c r="O767" s="40"/>
      <c r="P767" s="40"/>
      <c r="Q767" s="40"/>
      <c r="R767" s="283"/>
    </row>
    <row r="768" spans="1:18">
      <c r="A768" s="265" t="s">
        <v>675</v>
      </c>
      <c r="B768" s="284">
        <f>B770+B771-B770-B771</f>
        <v>0</v>
      </c>
      <c r="C768" s="251" t="str">
        <f>IF(B768=0,"-",3600/B768)</f>
        <v>-</v>
      </c>
      <c r="D768" s="259" t="str">
        <f>IFERROR((H768/C768),"-")</f>
        <v>-</v>
      </c>
      <c r="E768" s="251">
        <f>IFERROR(ROUNDUP(D768/0.95,0.999),0)</f>
        <v>0</v>
      </c>
      <c r="F768" s="252" t="str">
        <f>IFERROR((H768/C768/E768),"-")</f>
        <v>-</v>
      </c>
      <c r="G768" s="37"/>
      <c r="H768" s="285">
        <f>Preencher!$B$212*Preencher!$C$235</f>
        <v>0</v>
      </c>
      <c r="I768" s="259" t="str">
        <f>IFERROR((M768/C768),"-")</f>
        <v>-</v>
      </c>
      <c r="J768" s="251">
        <f>IFERROR(ROUNDUP(I768/0.95,0.999),0)</f>
        <v>0</v>
      </c>
      <c r="K768" s="252" t="str">
        <f>IFERROR((M768/C768/J768),"-")</f>
        <v>-</v>
      </c>
      <c r="L768" s="37"/>
      <c r="M768" s="285">
        <f>Preencher!$C$212*Preencher!$D$235</f>
        <v>0</v>
      </c>
      <c r="N768" s="259" t="str">
        <f>IFERROR((R768/C768),"-")</f>
        <v>-</v>
      </c>
      <c r="O768" s="251">
        <f>IFERROR(ROUNDUP(N768/0.95,0.999),0)</f>
        <v>0</v>
      </c>
      <c r="P768" s="252" t="str">
        <f>IFERROR((R768/C768/O768),"-")</f>
        <v>-</v>
      </c>
      <c r="Q768" s="37"/>
      <c r="R768" s="285">
        <f>Preencher!$D$212*Preencher!$E$235</f>
        <v>0</v>
      </c>
    </row>
    <row r="769" spans="1:18">
      <c r="A769" s="265" t="s">
        <v>119</v>
      </c>
      <c r="B769" s="284"/>
      <c r="C769" s="251"/>
      <c r="D769" s="259"/>
      <c r="E769" s="410">
        <f>E770+E771+E772</f>
        <v>0</v>
      </c>
      <c r="F769" s="411" t="str">
        <f>IFERROR(AVERAGE(F770:F772),"-")</f>
        <v>-</v>
      </c>
      <c r="G769" s="341"/>
      <c r="H769" s="285"/>
      <c r="I769" s="259"/>
      <c r="J769" s="410">
        <f>J770+J771+J772</f>
        <v>0</v>
      </c>
      <c r="K769" s="411" t="str">
        <f>IFERROR(AVERAGE(K770:K772),"-")</f>
        <v>-</v>
      </c>
      <c r="L769" s="341"/>
      <c r="M769" s="285"/>
      <c r="N769" s="259"/>
      <c r="O769" s="410">
        <f>O770+O771+O772</f>
        <v>0</v>
      </c>
      <c r="P769" s="411" t="str">
        <f>IFERROR(AVERAGE(P770:P772),"-")</f>
        <v>-</v>
      </c>
      <c r="Q769" s="341"/>
      <c r="R769" s="285"/>
    </row>
    <row r="770" spans="1:18">
      <c r="A770" s="200" t="s">
        <v>1720</v>
      </c>
      <c r="B770" s="284">
        <f>2.82+2.82</f>
        <v>5.64</v>
      </c>
      <c r="C770" s="410">
        <f>IF(B770=0,"-",3600/B770)</f>
        <v>638.29787234042556</v>
      </c>
      <c r="D770" s="259" t="str">
        <f>IFERROR((H770/C770/G770),"-")</f>
        <v>-</v>
      </c>
      <c r="E770" s="410">
        <f>IFERROR(ROUNDUP(D770/0.95,0.999),0)*G770</f>
        <v>0</v>
      </c>
      <c r="F770" s="411" t="str">
        <f>IFERROR((H770/C770/E770),"-")</f>
        <v>-</v>
      </c>
      <c r="G770" s="341">
        <f>Preencher!$B$221</f>
        <v>0</v>
      </c>
      <c r="H770" s="285">
        <f>Preencher!$B$212*Preencher!$C$235</f>
        <v>0</v>
      </c>
      <c r="I770" s="259" t="str">
        <f>IFERROR((M770/C770/L770),"-")</f>
        <v>-</v>
      </c>
      <c r="J770" s="410">
        <f>IFERROR(ROUNDUP(I770/0.95,0.999),0)*L770</f>
        <v>0</v>
      </c>
      <c r="K770" s="411" t="str">
        <f>IFERROR((M770/C770/J770),"-")</f>
        <v>-</v>
      </c>
      <c r="L770" s="341">
        <f>Preencher!$C$221</f>
        <v>0</v>
      </c>
      <c r="M770" s="285">
        <f>Preencher!$C$212*Preencher!$D$235</f>
        <v>0</v>
      </c>
      <c r="N770" s="259" t="str">
        <f>IFERROR((R770/C770/Q770),"-")</f>
        <v>-</v>
      </c>
      <c r="O770" s="410">
        <f>IFERROR(ROUNDUP(N770/0.95,0.999),0)*Q770</f>
        <v>0</v>
      </c>
      <c r="P770" s="411" t="str">
        <f>IFERROR((R770/C770/O770),"-")</f>
        <v>-</v>
      </c>
      <c r="Q770" s="341">
        <f>Preencher!$D$221</f>
        <v>0</v>
      </c>
      <c r="R770" s="285">
        <f>Preencher!$D$212*Preencher!$E$235</f>
        <v>0</v>
      </c>
    </row>
    <row r="771" spans="1:18">
      <c r="A771" s="200" t="s">
        <v>1723</v>
      </c>
      <c r="B771" s="284">
        <f>1.82-1.82</f>
        <v>0</v>
      </c>
      <c r="C771" s="410" t="str">
        <f>IF(B771=0,"-",3600/B771)</f>
        <v>-</v>
      </c>
      <c r="D771" s="259" t="str">
        <f>IFERROR((H771/C771/G771),"-")</f>
        <v>-</v>
      </c>
      <c r="E771" s="410">
        <f>IFERROR(ROUNDUP(D771/0.95,0.999),0)*G771</f>
        <v>0</v>
      </c>
      <c r="F771" s="411" t="str">
        <f>IFERROR((H771/C771/E771),"-")</f>
        <v>-</v>
      </c>
      <c r="G771" s="341">
        <f>Preencher!$B$221</f>
        <v>0</v>
      </c>
      <c r="H771" s="285">
        <f>Preencher!$B$138*Preencher!$C$156</f>
        <v>0</v>
      </c>
      <c r="I771" s="259" t="str">
        <f>IFERROR((M771/C771/L771),"-")</f>
        <v>-</v>
      </c>
      <c r="J771" s="410">
        <f>IFERROR(ROUNDUP(I771/0.95,0.999),0)*L771</f>
        <v>0</v>
      </c>
      <c r="K771" s="411" t="str">
        <f>IFERROR((M771/C771/J771),"-")</f>
        <v>-</v>
      </c>
      <c r="L771" s="341">
        <f>Preencher!$C$221</f>
        <v>0</v>
      </c>
      <c r="M771" s="285">
        <f>Preencher!$C$138*Preencher!$D$156</f>
        <v>0</v>
      </c>
      <c r="N771" s="259" t="str">
        <f>IFERROR((R771/C771/Q771),"-")</f>
        <v>-</v>
      </c>
      <c r="O771" s="410">
        <f>IFERROR(ROUNDUP(N771/0.95,0.999),0)*Q771</f>
        <v>0</v>
      </c>
      <c r="P771" s="411" t="str">
        <f>IFERROR((R771/C771/O771),"-")</f>
        <v>-</v>
      </c>
      <c r="Q771" s="341">
        <f>Preencher!$D$221</f>
        <v>0</v>
      </c>
      <c r="R771" s="285">
        <f>Preencher!$D$138*Preencher!$E$156</f>
        <v>0</v>
      </c>
    </row>
    <row r="772" spans="1:18">
      <c r="A772" s="200" t="s">
        <v>1726</v>
      </c>
      <c r="B772" s="284">
        <f>IF(Preencher!$B$222&gt;0,2.82,0)</f>
        <v>0</v>
      </c>
      <c r="C772" s="410" t="str">
        <f>IF(B772=0,"-",3600/B772)</f>
        <v>-</v>
      </c>
      <c r="D772" s="259" t="str">
        <f>IFERROR((H772/C772/G772),"-")</f>
        <v>-</v>
      </c>
      <c r="E772" s="410">
        <f>IFERROR(ROUNDUP(D772/0.95,0.999),0)*G772</f>
        <v>0</v>
      </c>
      <c r="F772" s="411" t="str">
        <f>IFERROR((H772/C772/E772),"-")</f>
        <v>-</v>
      </c>
      <c r="G772" s="341">
        <f>Preencher!$B$221</f>
        <v>0</v>
      </c>
      <c r="H772" s="285">
        <f>Preencher!$B$212*Preencher!$C$235</f>
        <v>0</v>
      </c>
      <c r="I772" s="259" t="str">
        <f>IFERROR((M772/C772/L772),"-")</f>
        <v>-</v>
      </c>
      <c r="J772" s="410">
        <f>IFERROR(ROUNDUP(I772/0.95,0.999),0)*L772</f>
        <v>0</v>
      </c>
      <c r="K772" s="411" t="str">
        <f>IFERROR((M772/C772/J772),"-")</f>
        <v>-</v>
      </c>
      <c r="L772" s="341">
        <f>Preencher!$C$221</f>
        <v>0</v>
      </c>
      <c r="M772" s="285">
        <f>Preencher!$C$212*Preencher!$D$235</f>
        <v>0</v>
      </c>
      <c r="N772" s="259" t="str">
        <f>IFERROR((R772/C772/Q772),"-")</f>
        <v>-</v>
      </c>
      <c r="O772" s="410">
        <f>IFERROR(ROUNDUP(N772/0.95,0.999),0)*Q772</f>
        <v>0</v>
      </c>
      <c r="P772" s="411" t="str">
        <f>IFERROR((R772/C772/O772),"-")</f>
        <v>-</v>
      </c>
      <c r="Q772" s="341">
        <f>Preencher!$D$221</f>
        <v>0</v>
      </c>
      <c r="R772" s="285">
        <f>Preencher!$D$212*Preencher!$E$235</f>
        <v>0</v>
      </c>
    </row>
    <row r="773" spans="1:18">
      <c r="A773" s="265" t="s">
        <v>120</v>
      </c>
      <c r="B773" s="284"/>
      <c r="C773" s="251"/>
      <c r="D773" s="259"/>
      <c r="E773" s="410">
        <f>E774+E775</f>
        <v>0</v>
      </c>
      <c r="F773" s="411" t="str">
        <f>IFERROR(AVERAGE(F774:F775),"-")</f>
        <v>-</v>
      </c>
      <c r="G773" s="341"/>
      <c r="H773" s="285"/>
      <c r="I773" s="259"/>
      <c r="J773" s="410">
        <f>J774+J775</f>
        <v>0</v>
      </c>
      <c r="K773" s="411" t="str">
        <f>IFERROR(AVERAGE(K774:K775),"-")</f>
        <v>-</v>
      </c>
      <c r="L773" s="341"/>
      <c r="M773" s="285"/>
      <c r="N773" s="259"/>
      <c r="O773" s="410">
        <f>O774+O775</f>
        <v>0</v>
      </c>
      <c r="P773" s="411" t="str">
        <f>IFERROR(AVERAGE(P774:P775),"-")</f>
        <v>-</v>
      </c>
      <c r="Q773" s="341"/>
      <c r="R773" s="285"/>
    </row>
    <row r="774" spans="1:18">
      <c r="A774" s="200" t="s">
        <v>1721</v>
      </c>
      <c r="B774" s="284">
        <f>2.9+5.9</f>
        <v>8.8000000000000007</v>
      </c>
      <c r="C774" s="410">
        <f>IF(B774=0,"-",3600/B774)</f>
        <v>409.09090909090907</v>
      </c>
      <c r="D774" s="259" t="str">
        <f>IFERROR((H774/C774/G774),"-")</f>
        <v>-</v>
      </c>
      <c r="E774" s="410">
        <f>IFERROR(ROUNDUP(D774/0.95,0.999),0)*G774</f>
        <v>0</v>
      </c>
      <c r="F774" s="411" t="str">
        <f>IFERROR((H774/C774/E774),"-")</f>
        <v>-</v>
      </c>
      <c r="G774" s="341">
        <f>Preencher!$B$221</f>
        <v>0</v>
      </c>
      <c r="H774" s="285">
        <f>Preencher!$B$212*Preencher!$C$235</f>
        <v>0</v>
      </c>
      <c r="I774" s="259" t="str">
        <f>IFERROR((M774/C774/L774),"-")</f>
        <v>-</v>
      </c>
      <c r="J774" s="410">
        <f>IFERROR(ROUNDUP(I774/0.95,0.999),0)*L774</f>
        <v>0</v>
      </c>
      <c r="K774" s="411" t="str">
        <f>IFERROR((M774/C774/J774),"-")</f>
        <v>-</v>
      </c>
      <c r="L774" s="341">
        <f>Preencher!$C$221</f>
        <v>0</v>
      </c>
      <c r="M774" s="285">
        <f>Preencher!$C$212*Preencher!$D$235</f>
        <v>0</v>
      </c>
      <c r="N774" s="259" t="str">
        <f>IFERROR((R774/C774/Q774),"-")</f>
        <v>-</v>
      </c>
      <c r="O774" s="410">
        <f>IFERROR(ROUNDUP(N774/0.95,0.999),0)*Q774</f>
        <v>0</v>
      </c>
      <c r="P774" s="411" t="str">
        <f>IFERROR((R774/C774/O774),"-")</f>
        <v>-</v>
      </c>
      <c r="Q774" s="341">
        <f>Preencher!$D$221</f>
        <v>0</v>
      </c>
      <c r="R774" s="285">
        <f>Preencher!$D$212*Preencher!$E$235</f>
        <v>0</v>
      </c>
    </row>
    <row r="775" spans="1:18">
      <c r="A775" s="200" t="s">
        <v>1722</v>
      </c>
      <c r="B775" s="284">
        <f>2.82-2.82</f>
        <v>0</v>
      </c>
      <c r="C775" s="410" t="str">
        <f>IF(B775=0,"-",3600/B775)</f>
        <v>-</v>
      </c>
      <c r="D775" s="259" t="str">
        <f>IFERROR((H775/C775/G775),"-")</f>
        <v>-</v>
      </c>
      <c r="E775" s="410">
        <f>IFERROR(ROUNDUP(D775/0.95,0.999),0)*G775</f>
        <v>0</v>
      </c>
      <c r="F775" s="411" t="str">
        <f>IFERROR((H775/C775/E775),"-")</f>
        <v>-</v>
      </c>
      <c r="G775" s="341">
        <f>Preencher!$B$221</f>
        <v>0</v>
      </c>
      <c r="H775" s="285">
        <f>Preencher!$B$138*Preencher!$C$156</f>
        <v>0</v>
      </c>
      <c r="I775" s="259" t="str">
        <f>IFERROR((M775/C775/L775),"-")</f>
        <v>-</v>
      </c>
      <c r="J775" s="410">
        <f>IFERROR(ROUNDUP(I775/0.95,0.999),0)*L775</f>
        <v>0</v>
      </c>
      <c r="K775" s="411" t="str">
        <f>IFERROR((M775/C775/J775),"-")</f>
        <v>-</v>
      </c>
      <c r="L775" s="341">
        <f>Preencher!$C$221</f>
        <v>0</v>
      </c>
      <c r="M775" s="285">
        <f>Preencher!$C$138*Preencher!$D$156</f>
        <v>0</v>
      </c>
      <c r="N775" s="259" t="str">
        <f>IFERROR((R775/C775/Q775),"-")</f>
        <v>-</v>
      </c>
      <c r="O775" s="410">
        <f>IFERROR(ROUNDUP(N775/0.95,0.999),0)*Q775</f>
        <v>0</v>
      </c>
      <c r="P775" s="411" t="str">
        <f>IFERROR((R775/C775/O775),"-")</f>
        <v>-</v>
      </c>
      <c r="Q775" s="341">
        <f>Preencher!$D$221</f>
        <v>0</v>
      </c>
      <c r="R775" s="285">
        <f>Preencher!$D$138*Preencher!$E$156</f>
        <v>0</v>
      </c>
    </row>
    <row r="776" spans="1:18">
      <c r="A776" s="265" t="s">
        <v>165</v>
      </c>
      <c r="B776" s="284"/>
      <c r="C776" s="251"/>
      <c r="D776" s="259"/>
      <c r="E776" s="410">
        <f>E777+E778</f>
        <v>0</v>
      </c>
      <c r="F776" s="411" t="str">
        <f>IFERROR(AVERAGE(F777:F778),"-")</f>
        <v>-</v>
      </c>
      <c r="G776" s="341"/>
      <c r="H776" s="285"/>
      <c r="I776" s="259"/>
      <c r="J776" s="410">
        <f>J777+J778</f>
        <v>0</v>
      </c>
      <c r="K776" s="411" t="str">
        <f>IFERROR(AVERAGE(K777:K778),"-")</f>
        <v>-</v>
      </c>
      <c r="L776" s="341"/>
      <c r="M776" s="285"/>
      <c r="N776" s="259"/>
      <c r="O776" s="410">
        <f>O777+O778</f>
        <v>0</v>
      </c>
      <c r="P776" s="411" t="str">
        <f>IFERROR(AVERAGE(P777:P778),"-")</f>
        <v>-</v>
      </c>
      <c r="Q776" s="341"/>
      <c r="R776" s="285"/>
    </row>
    <row r="777" spans="1:18">
      <c r="A777" s="200" t="s">
        <v>165</v>
      </c>
      <c r="B777" s="284">
        <v>4.0999999999999996</v>
      </c>
      <c r="C777" s="410">
        <f>IF(B777=0,"-",3600/B777)</f>
        <v>878.04878048780495</v>
      </c>
      <c r="D777" s="259" t="str">
        <f>IFERROR((H777/C777/G777),"-")</f>
        <v>-</v>
      </c>
      <c r="E777" s="410">
        <f>IFERROR(ROUNDUP(D777/0.95,0.999),0)*G777</f>
        <v>0</v>
      </c>
      <c r="F777" s="411" t="str">
        <f>IFERROR((H777/C777/E777),"-")</f>
        <v>-</v>
      </c>
      <c r="G777" s="341">
        <f>Preencher!$B$221</f>
        <v>0</v>
      </c>
      <c r="H777" s="285">
        <f>Preencher!$B$212*Preencher!$C$235</f>
        <v>0</v>
      </c>
      <c r="I777" s="259" t="str">
        <f>IFERROR((M777/C777/L777),"-")</f>
        <v>-</v>
      </c>
      <c r="J777" s="410">
        <f>IFERROR(ROUNDUP(I777/0.95,0.999),0)*L777</f>
        <v>0</v>
      </c>
      <c r="K777" s="411" t="str">
        <f>IFERROR((M777/C777/J777),"-")</f>
        <v>-</v>
      </c>
      <c r="L777" s="341">
        <f>Preencher!$C$221</f>
        <v>0</v>
      </c>
      <c r="M777" s="285">
        <f>Preencher!$C$212*Preencher!$D$235</f>
        <v>0</v>
      </c>
      <c r="N777" s="259" t="str">
        <f>IFERROR((R777/C777/Q777),"-")</f>
        <v>-</v>
      </c>
      <c r="O777" s="410">
        <f>IFERROR(ROUNDUP(N777/0.95,0.999),0)*Q777</f>
        <v>0</v>
      </c>
      <c r="P777" s="411" t="str">
        <f>IFERROR((R777/C777/O777),"-")</f>
        <v>-</v>
      </c>
      <c r="Q777" s="341">
        <f>Preencher!$D$221</f>
        <v>0</v>
      </c>
      <c r="R777" s="285">
        <f>Preencher!$D$212*Preencher!$E$235</f>
        <v>0</v>
      </c>
    </row>
    <row r="778" spans="1:18">
      <c r="A778" s="200" t="s">
        <v>1724</v>
      </c>
      <c r="B778" s="284">
        <f>3.7-1.7</f>
        <v>2</v>
      </c>
      <c r="C778" s="410">
        <f>IF(B778=0,"-",3600/B778)</f>
        <v>1800</v>
      </c>
      <c r="D778" s="259" t="str">
        <f>IFERROR((H778/C778/G778),"-")</f>
        <v>-</v>
      </c>
      <c r="E778" s="410">
        <f>IFERROR(ROUNDUP(D778/0.95,0.999),0)*G778</f>
        <v>0</v>
      </c>
      <c r="F778" s="411" t="str">
        <f>IFERROR((H778/C778/E778),"-")</f>
        <v>-</v>
      </c>
      <c r="G778" s="341">
        <f>Preencher!$B$221</f>
        <v>0</v>
      </c>
      <c r="H778" s="285">
        <f>Preencher!$B$138*Preencher!$C$156</f>
        <v>0</v>
      </c>
      <c r="I778" s="259" t="str">
        <f>IFERROR((M778/C778/L778),"-")</f>
        <v>-</v>
      </c>
      <c r="J778" s="410">
        <f>IFERROR(ROUNDUP(I778/0.95,0.999),0)*L778</f>
        <v>0</v>
      </c>
      <c r="K778" s="411" t="str">
        <f>IFERROR((M778/C778/J778),"-")</f>
        <v>-</v>
      </c>
      <c r="L778" s="341">
        <f>Preencher!$C$221</f>
        <v>0</v>
      </c>
      <c r="M778" s="285">
        <f>Preencher!$C$138*Preencher!$D$156</f>
        <v>0</v>
      </c>
      <c r="N778" s="259" t="str">
        <f>IFERROR((R778/C778/Q778),"-")</f>
        <v>-</v>
      </c>
      <c r="O778" s="410">
        <f>IFERROR(ROUNDUP(N778/0.95,0.999),0)*Q778</f>
        <v>0</v>
      </c>
      <c r="P778" s="411" t="str">
        <f>IFERROR((R778/C778/O778),"-")</f>
        <v>-</v>
      </c>
      <c r="Q778" s="341">
        <f>Preencher!$D$221</f>
        <v>0</v>
      </c>
      <c r="R778" s="285">
        <f>Preencher!$D$138*Preencher!$E$156</f>
        <v>0</v>
      </c>
    </row>
    <row r="779" spans="1:18">
      <c r="A779" s="265" t="s">
        <v>166</v>
      </c>
      <c r="B779" s="284">
        <f>IF(Preencher!$A$235=Preencher!$O$217,1.131,0)</f>
        <v>1.131</v>
      </c>
      <c r="C779" s="251">
        <f>IF(B779=0,"-",3600/B779)</f>
        <v>3183.0238726790449</v>
      </c>
      <c r="D779" s="259" t="str">
        <f>IFERROR((H779/C779/G779),"-")</f>
        <v>-</v>
      </c>
      <c r="E779" s="410">
        <f>IFERROR(ROUNDUP(D779/0.95,0.999),0)*G779</f>
        <v>0</v>
      </c>
      <c r="F779" s="411" t="str">
        <f>IFERROR((H779/C779/E779),"-")</f>
        <v>-</v>
      </c>
      <c r="G779" s="341">
        <f>Preencher!$B$223</f>
        <v>0</v>
      </c>
      <c r="H779" s="285">
        <f>H777*2*4</f>
        <v>0</v>
      </c>
      <c r="I779" s="259" t="str">
        <f>IFERROR((M779/C779/L779),"-")</f>
        <v>-</v>
      </c>
      <c r="J779" s="410">
        <f>IFERROR(ROUNDUP(I779/0.95,0.999),0)*L779</f>
        <v>0</v>
      </c>
      <c r="K779" s="411" t="str">
        <f>IFERROR((M779/C779/J779),"-")</f>
        <v>-</v>
      </c>
      <c r="L779" s="341">
        <f>Preencher!$C$223</f>
        <v>0</v>
      </c>
      <c r="M779" s="285">
        <f>M777*2*4</f>
        <v>0</v>
      </c>
      <c r="N779" s="259" t="str">
        <f>IFERROR((R779/C779/Q779),"-")</f>
        <v>-</v>
      </c>
      <c r="O779" s="410">
        <f>IFERROR(ROUNDUP(N779/0.95,0.999),0)*Q779</f>
        <v>0</v>
      </c>
      <c r="P779" s="411" t="str">
        <f>IFERROR((R779/C779/O779),"-")</f>
        <v>-</v>
      </c>
      <c r="Q779" s="341">
        <f>Preencher!$D$223</f>
        <v>0</v>
      </c>
      <c r="R779" s="285">
        <f>R777*2*4</f>
        <v>0</v>
      </c>
    </row>
    <row r="780" spans="1:18">
      <c r="A780" s="265" t="s">
        <v>167</v>
      </c>
      <c r="B780" s="284"/>
      <c r="C780" s="251"/>
      <c r="D780" s="259"/>
      <c r="E780" s="410">
        <f>E781+E782</f>
        <v>0</v>
      </c>
      <c r="F780" s="411" t="str">
        <f>IFERROR(AVERAGE(F781:F782),"-")</f>
        <v>-</v>
      </c>
      <c r="G780" s="37"/>
      <c r="H780" s="285"/>
      <c r="I780" s="259"/>
      <c r="J780" s="410">
        <f>J781+J782</f>
        <v>0</v>
      </c>
      <c r="K780" s="411" t="str">
        <f>IFERROR(AVERAGE(K781:K782),"-")</f>
        <v>-</v>
      </c>
      <c r="L780" s="37"/>
      <c r="M780" s="285"/>
      <c r="N780" s="259"/>
      <c r="O780" s="410">
        <f>O781+O782</f>
        <v>0</v>
      </c>
      <c r="P780" s="411" t="str">
        <f>IFERROR(AVERAGE(P781:P782),"-")</f>
        <v>-</v>
      </c>
      <c r="Q780" s="37"/>
      <c r="R780" s="285"/>
    </row>
    <row r="781" spans="1:18">
      <c r="A781" s="200" t="s">
        <v>167</v>
      </c>
      <c r="B781" s="284">
        <f>8.27+8</f>
        <v>16.27</v>
      </c>
      <c r="C781" s="410">
        <f>IF(B781=0,"-",3600/B781)</f>
        <v>221.2661339889367</v>
      </c>
      <c r="D781" s="259">
        <f>IFERROR((H781/C781),"-")</f>
        <v>0</v>
      </c>
      <c r="E781" s="410">
        <f>IFERROR(ROUNDUP(D781/0.95,0.999),0)</f>
        <v>0</v>
      </c>
      <c r="F781" s="411" t="str">
        <f>IFERROR((H781/C781/E781),"-")</f>
        <v>-</v>
      </c>
      <c r="G781" s="37"/>
      <c r="H781" s="285">
        <f>Preencher!$AG$220</f>
        <v>0</v>
      </c>
      <c r="I781" s="259">
        <f>IFERROR((M781/C781),"-")</f>
        <v>0</v>
      </c>
      <c r="J781" s="410">
        <f>IFERROR(ROUNDUP(I781/0.95,0.999),0)</f>
        <v>0</v>
      </c>
      <c r="K781" s="411" t="str">
        <f>IFERROR((M781/C781/J781),"-")</f>
        <v>-</v>
      </c>
      <c r="L781" s="37"/>
      <c r="M781" s="285">
        <f>Preencher!$AI$220</f>
        <v>0</v>
      </c>
      <c r="N781" s="259">
        <f>IFERROR((R781/C781),"-")</f>
        <v>0</v>
      </c>
      <c r="O781" s="410">
        <f>IFERROR(ROUNDUP(N781/0.95,0.999),0)</f>
        <v>0</v>
      </c>
      <c r="P781" s="411" t="str">
        <f>IFERROR((R781/C781/O781),"-")</f>
        <v>-</v>
      </c>
      <c r="Q781" s="37"/>
      <c r="R781" s="285">
        <f>Preencher!$AJ$220</f>
        <v>0</v>
      </c>
    </row>
    <row r="782" spans="1:18">
      <c r="A782" s="200" t="s">
        <v>1725</v>
      </c>
      <c r="B782" s="284">
        <v>0.85</v>
      </c>
      <c r="C782" s="410">
        <f>IF(B782=0,"-",3600/B782)</f>
        <v>4235.2941176470586</v>
      </c>
      <c r="D782" s="259">
        <f>IFERROR((H782/C782),"-")</f>
        <v>0</v>
      </c>
      <c r="E782" s="410">
        <f>IFERROR(ROUNDUP(D782/0.95,0.999),0)</f>
        <v>0</v>
      </c>
      <c r="F782" s="411" t="str">
        <f>IFERROR((H782/C782/E782),"-")</f>
        <v>-</v>
      </c>
      <c r="G782" s="37"/>
      <c r="H782" s="285">
        <f>Preencher!$Z$154</f>
        <v>0</v>
      </c>
      <c r="I782" s="259">
        <f>IFERROR((M782/C782),"-")</f>
        <v>0</v>
      </c>
      <c r="J782" s="410">
        <f>IFERROR(ROUNDUP(I782/0.95,0.999),0)</f>
        <v>0</v>
      </c>
      <c r="K782" s="411" t="str">
        <f>IFERROR((M782/C782/J782),"-")</f>
        <v>-</v>
      </c>
      <c r="L782" s="37"/>
      <c r="M782" s="285">
        <f>Preencher!$AC$154</f>
        <v>0</v>
      </c>
      <c r="N782" s="259">
        <f>IFERROR((R782/C782),"-")</f>
        <v>0</v>
      </c>
      <c r="O782" s="410">
        <f>IFERROR(ROUNDUP(N782/0.95,0.999),0)</f>
        <v>0</v>
      </c>
      <c r="P782" s="411" t="str">
        <f>IFERROR((R782/C782/O782),"-")</f>
        <v>-</v>
      </c>
      <c r="Q782" s="37"/>
      <c r="R782" s="285">
        <f>Preencher!$D$138*Preencher!$E$156</f>
        <v>0</v>
      </c>
    </row>
    <row r="783" spans="1:18">
      <c r="A783" s="265" t="s">
        <v>168</v>
      </c>
      <c r="B783" s="284">
        <f>7.8+7.8</f>
        <v>15.6</v>
      </c>
      <c r="C783" s="251">
        <f>IF(B783=0,"-",3600/B783)</f>
        <v>230.76923076923077</v>
      </c>
      <c r="D783" s="259">
        <f>IFERROR((H783/C783),"-")</f>
        <v>0</v>
      </c>
      <c r="E783" s="251">
        <f>IFERROR(ROUNDUP(D783/0.95,0.999),0)</f>
        <v>0</v>
      </c>
      <c r="F783" s="252" t="str">
        <f>IFERROR((H783/C783/E783),"-")</f>
        <v>-</v>
      </c>
      <c r="G783" s="37"/>
      <c r="H783" s="285">
        <f>H781</f>
        <v>0</v>
      </c>
      <c r="I783" s="259">
        <f>IFERROR((M783/C783),"-")</f>
        <v>0</v>
      </c>
      <c r="J783" s="251">
        <f>IFERROR(ROUNDUP(I783/0.95,0.999),0)</f>
        <v>0</v>
      </c>
      <c r="K783" s="252" t="str">
        <f>IFERROR((M783/C783/J783),"-")</f>
        <v>-</v>
      </c>
      <c r="L783" s="37"/>
      <c r="M783" s="285">
        <f>M781</f>
        <v>0</v>
      </c>
      <c r="N783" s="259">
        <f>IFERROR((R783/C783),"-")</f>
        <v>0</v>
      </c>
      <c r="O783" s="251">
        <f>IFERROR(ROUNDUP(N783/0.95,0.999),0)</f>
        <v>0</v>
      </c>
      <c r="P783" s="252" t="str">
        <f>IFERROR((R783/C783/O783),"-")</f>
        <v>-</v>
      </c>
      <c r="Q783" s="37"/>
      <c r="R783" s="285">
        <f>R781</f>
        <v>0</v>
      </c>
    </row>
    <row r="784" spans="1:18">
      <c r="A784" s="265" t="s">
        <v>676</v>
      </c>
      <c r="B784" s="284">
        <v>3384</v>
      </c>
      <c r="C784" s="251">
        <f>IF(B784=0,"-",3600/B784)</f>
        <v>1.0638297872340425</v>
      </c>
      <c r="D784" s="259">
        <f>IFERROR((H784/C784),"-")</f>
        <v>0</v>
      </c>
      <c r="E784" s="251">
        <f>IFERROR(ROUNDUP(D784/0.95,0.999),0)</f>
        <v>0</v>
      </c>
      <c r="F784" s="252" t="str">
        <f>IFERROR((H784/C784/E784),"-")</f>
        <v>-</v>
      </c>
      <c r="G784" s="37"/>
      <c r="H784" s="285">
        <f>Preencher!$B$221</f>
        <v>0</v>
      </c>
      <c r="I784" s="259">
        <f>IFERROR((M784/C784),"-")</f>
        <v>0</v>
      </c>
      <c r="J784" s="251">
        <f>IFERROR(ROUNDUP(I784/0.95,0.999),0)</f>
        <v>0</v>
      </c>
      <c r="K784" s="252" t="str">
        <f>IFERROR((M784/C784/J784),"-")</f>
        <v>-</v>
      </c>
      <c r="L784" s="37"/>
      <c r="M784" s="285">
        <f>Preencher!$C$221</f>
        <v>0</v>
      </c>
      <c r="N784" s="259">
        <f>IFERROR((R784/C784),"-")</f>
        <v>0</v>
      </c>
      <c r="O784" s="251">
        <f>IFERROR(ROUNDUP(N784/0.95,0.999),0)</f>
        <v>0</v>
      </c>
      <c r="P784" s="252" t="str">
        <f>IFERROR((R784/C784/O784),"-")</f>
        <v>-</v>
      </c>
      <c r="Q784" s="37"/>
      <c r="R784" s="285">
        <f>Preencher!$D$221</f>
        <v>0</v>
      </c>
    </row>
    <row r="785" spans="1:18">
      <c r="A785" s="265"/>
      <c r="B785" s="286"/>
      <c r="C785" s="37"/>
      <c r="D785" s="37"/>
      <c r="E785" s="37"/>
      <c r="F785" s="37"/>
      <c r="G785" s="37"/>
      <c r="H785" s="287"/>
      <c r="I785" s="37"/>
      <c r="J785" s="37"/>
      <c r="K785" s="37"/>
      <c r="L785" s="37"/>
      <c r="M785" s="287"/>
      <c r="N785" s="37"/>
      <c r="O785" s="37"/>
      <c r="P785" s="37"/>
      <c r="Q785" s="37"/>
      <c r="R785" s="287"/>
    </row>
    <row r="786" spans="1:18">
      <c r="A786" s="270" t="s">
        <v>723</v>
      </c>
      <c r="B786" s="291"/>
      <c r="C786" s="39"/>
      <c r="D786" s="39"/>
      <c r="E786" s="39"/>
      <c r="F786" s="39"/>
      <c r="G786" s="39"/>
      <c r="H786" s="292"/>
      <c r="I786" s="39"/>
      <c r="J786" s="39"/>
      <c r="K786" s="39"/>
      <c r="L786" s="39"/>
      <c r="M786" s="292"/>
      <c r="N786" s="39"/>
      <c r="O786" s="39"/>
      <c r="P786" s="39"/>
      <c r="Q786" s="39"/>
      <c r="R786" s="292"/>
    </row>
    <row r="787" spans="1:18">
      <c r="A787" s="265"/>
      <c r="B787" s="286"/>
      <c r="C787" s="37"/>
      <c r="D787" s="37"/>
      <c r="E787" s="37"/>
      <c r="F787" s="37"/>
      <c r="G787" s="37"/>
      <c r="H787" s="287"/>
      <c r="I787" s="37"/>
      <c r="J787" s="37"/>
      <c r="K787" s="37"/>
      <c r="L787" s="37"/>
      <c r="M787" s="287"/>
      <c r="N787" s="37"/>
      <c r="O787" s="37"/>
      <c r="P787" s="37"/>
      <c r="Q787" s="37"/>
      <c r="R787" s="287"/>
    </row>
    <row r="788" spans="1:18">
      <c r="A788" s="265"/>
      <c r="B788" s="286"/>
      <c r="C788" s="37"/>
      <c r="D788" s="37"/>
      <c r="E788" s="37"/>
      <c r="F788" s="37"/>
      <c r="G788" s="37"/>
      <c r="H788" s="287"/>
      <c r="I788" s="37"/>
      <c r="J788" s="37"/>
      <c r="K788" s="37"/>
      <c r="L788" s="37"/>
      <c r="M788" s="287"/>
      <c r="N788" s="37"/>
      <c r="O788" s="37"/>
      <c r="P788" s="37"/>
      <c r="Q788" s="37"/>
      <c r="R788" s="287"/>
    </row>
    <row r="789" spans="1:18">
      <c r="A789" s="265"/>
      <c r="B789" s="286"/>
      <c r="C789" s="37"/>
      <c r="D789" s="37"/>
      <c r="E789" s="37"/>
      <c r="F789" s="37"/>
      <c r="G789" s="37"/>
      <c r="H789" s="287"/>
      <c r="I789" s="37"/>
      <c r="J789" s="37"/>
      <c r="K789" s="37"/>
      <c r="L789" s="37"/>
      <c r="M789" s="287"/>
      <c r="N789" s="37"/>
      <c r="O789" s="37"/>
      <c r="P789" s="37"/>
      <c r="Q789" s="37"/>
      <c r="R789" s="287"/>
    </row>
    <row r="790" spans="1:18">
      <c r="A790" s="265"/>
      <c r="B790" s="286"/>
      <c r="C790" s="37"/>
      <c r="D790" s="37"/>
      <c r="E790" s="37"/>
      <c r="F790" s="37"/>
      <c r="G790" s="37"/>
      <c r="H790" s="287"/>
      <c r="I790" s="37"/>
      <c r="J790" s="37"/>
      <c r="K790" s="37"/>
      <c r="L790" s="37"/>
      <c r="M790" s="287"/>
      <c r="N790" s="37"/>
      <c r="O790" s="37"/>
      <c r="P790" s="37"/>
      <c r="Q790" s="37"/>
      <c r="R790" s="287"/>
    </row>
    <row r="791" spans="1:18">
      <c r="A791" s="265"/>
      <c r="B791" s="286"/>
      <c r="C791" s="37"/>
      <c r="D791" s="37"/>
      <c r="E791" s="37"/>
      <c r="F791" s="37"/>
      <c r="G791" s="37"/>
      <c r="H791" s="287"/>
      <c r="I791" s="37"/>
      <c r="J791" s="37"/>
      <c r="K791" s="37"/>
      <c r="L791" s="37"/>
      <c r="M791" s="287"/>
      <c r="N791" s="37"/>
      <c r="O791" s="37"/>
      <c r="P791" s="37"/>
      <c r="Q791" s="37"/>
      <c r="R791" s="287"/>
    </row>
    <row r="792" spans="1:18">
      <c r="A792" s="268"/>
      <c r="B792" s="288"/>
      <c r="C792" s="13"/>
      <c r="D792" s="13"/>
      <c r="E792" s="13"/>
      <c r="F792" s="13"/>
      <c r="G792" s="13"/>
      <c r="H792" s="113"/>
      <c r="I792" s="13"/>
      <c r="J792" s="13"/>
      <c r="K792" s="13"/>
      <c r="L792" s="13"/>
      <c r="M792" s="113"/>
      <c r="N792" s="13"/>
      <c r="O792" s="13"/>
      <c r="P792" s="13"/>
      <c r="Q792" s="13"/>
      <c r="R792" s="113"/>
    </row>
    <row r="793" spans="1:18">
      <c r="A793" s="264" t="s">
        <v>252</v>
      </c>
      <c r="B793" s="282"/>
      <c r="C793" s="40"/>
      <c r="D793" s="40"/>
      <c r="E793" s="40"/>
      <c r="F793" s="40"/>
      <c r="G793" s="40"/>
      <c r="H793" s="283"/>
      <c r="I793" s="40"/>
      <c r="J793" s="40"/>
      <c r="K793" s="40"/>
      <c r="L793" s="40"/>
      <c r="M793" s="283"/>
      <c r="N793" s="40"/>
      <c r="O793" s="40"/>
      <c r="P793" s="40"/>
      <c r="Q793" s="40"/>
      <c r="R793" s="283"/>
    </row>
    <row r="794" spans="1:18">
      <c r="A794" s="265" t="s">
        <v>118</v>
      </c>
      <c r="B794" s="284">
        <f>IF(Preencher!$B$225=Preencher!$V$211,0,12)</f>
        <v>12</v>
      </c>
      <c r="C794" s="251">
        <f>IF(B794=0,"-",3600/B794)</f>
        <v>300</v>
      </c>
      <c r="D794" s="259">
        <f>IFERROR((H794/C794),"-")</f>
        <v>0</v>
      </c>
      <c r="E794" s="251">
        <f>IFERROR(ROUNDUP(D794/0.95,0.999),0)</f>
        <v>0</v>
      </c>
      <c r="F794" s="252" t="str">
        <f>IFERROR((H794/C794/E794),"-")</f>
        <v>-</v>
      </c>
      <c r="G794" s="37"/>
      <c r="H794" s="285">
        <f>(Preencher!$B$212*(Preencher!$C$236+Preencher!$C$237))+(Preencher!$B$212*Preencher!$C$247*Preencher!$C$259)+(Preencher!$B$212*Preencher!$C$247*(Preencher!$C$275+Preencher!$C$276))</f>
        <v>0</v>
      </c>
      <c r="I794" s="259">
        <f>IFERROR((M794/C794),"-")</f>
        <v>0</v>
      </c>
      <c r="J794" s="251">
        <f>IFERROR(ROUNDUP(I794/0.95,0.999),0)</f>
        <v>0</v>
      </c>
      <c r="K794" s="252" t="str">
        <f>IFERROR((M794/C794/J794),"-")</f>
        <v>-</v>
      </c>
      <c r="L794" s="37"/>
      <c r="M794" s="285">
        <f>(Preencher!$C$212*(Preencher!$C$236+Preencher!$D$237))+(Preencher!$C$212*Preencher!$D$247*Preencher!$D$259)+(Preencher!$C$212*Preencher!$D$247*(Preencher!$D$275+Preencher!$C$276))</f>
        <v>0</v>
      </c>
      <c r="N794" s="259">
        <f>IFERROR((R794/C794),"-")</f>
        <v>0</v>
      </c>
      <c r="O794" s="251">
        <f>IFERROR(ROUNDUP(N794/0.95,0.999),0)</f>
        <v>0</v>
      </c>
      <c r="P794" s="252" t="str">
        <f>IFERROR((R794/C794/O794),"-")</f>
        <v>-</v>
      </c>
      <c r="Q794" s="37"/>
      <c r="R794" s="285">
        <f>(Preencher!$D$212*(Preencher!$C$236+Preencher!$E$237))+(Preencher!$D$212*Preencher!$E$247*Preencher!$E$259)+(Preencher!$D$212*Preencher!$E$247*(Preencher!$E$275+Preencher!$C$276))</f>
        <v>0</v>
      </c>
    </row>
    <row r="795" spans="1:18">
      <c r="A795" s="265" t="s">
        <v>80</v>
      </c>
      <c r="B795" s="284">
        <f>IF(Preencher!$B$225=Preencher!$V$211,2.2+1,0)</f>
        <v>0</v>
      </c>
      <c r="C795" s="251" t="str">
        <f>IF(B795=0,"-",3600/B795)</f>
        <v>-</v>
      </c>
      <c r="D795" s="259" t="str">
        <f>IFERROR((H795/C795),"-")</f>
        <v>-</v>
      </c>
      <c r="E795" s="251">
        <f>IFERROR(ROUNDUP(D795/0.95,0.999),0)</f>
        <v>0</v>
      </c>
      <c r="F795" s="252" t="str">
        <f>IFERROR((H795/C795/E795),"-")</f>
        <v>-</v>
      </c>
      <c r="G795" s="37"/>
      <c r="H795" s="285">
        <f>H794</f>
        <v>0</v>
      </c>
      <c r="I795" s="259" t="str">
        <f>IFERROR((M795/C795),"-")</f>
        <v>-</v>
      </c>
      <c r="J795" s="251">
        <f>IFERROR(ROUNDUP(I795/0.95,0.999),0)</f>
        <v>0</v>
      </c>
      <c r="K795" s="252" t="str">
        <f>IFERROR((M795/C795/J795),"-")</f>
        <v>-</v>
      </c>
      <c r="L795" s="37"/>
      <c r="M795" s="285">
        <f>(Preencher!$C$212*Preencher!$D$237)+(Preencher!$B$212*Preencher!$D$249*Preencher!$E$254)+(Preencher!$B$212*Preencher!$D$249*Preencher!$F$254)</f>
        <v>0</v>
      </c>
      <c r="N795" s="259" t="str">
        <f>IFERROR((R795/C795),"-")</f>
        <v>-</v>
      </c>
      <c r="O795" s="251">
        <f>IFERROR(ROUNDUP(N795/0.95,0.999),0)</f>
        <v>0</v>
      </c>
      <c r="P795" s="252" t="str">
        <f>IFERROR((R795/C795/O795),"-")</f>
        <v>-</v>
      </c>
      <c r="Q795" s="37"/>
      <c r="R795" s="285">
        <f>(Preencher!$D$212*Preencher!$E$237)+(Preencher!$D$212*Preencher!$E$249*Preencher!$G$252)+(Preencher!$D$212*Preencher!$E$249*Preencher!$H$252)</f>
        <v>0</v>
      </c>
    </row>
    <row r="796" spans="1:18">
      <c r="A796" s="265" t="s">
        <v>222</v>
      </c>
      <c r="B796" s="284">
        <f>IF(H796&gt;150,1.6,0)</f>
        <v>0</v>
      </c>
      <c r="C796" s="251" t="str">
        <f>IF(B796=0,"-",3600/B796)</f>
        <v>-</v>
      </c>
      <c r="D796" s="259" t="str">
        <f>IFERROR((H796/C796),"-")</f>
        <v>-</v>
      </c>
      <c r="E796" s="251">
        <f>IFERROR(ROUNDUP(D796/0.95,0.999),0)</f>
        <v>0</v>
      </c>
      <c r="F796" s="252" t="str">
        <f>IFERROR((H796/C796/E796),"-")</f>
        <v>-</v>
      </c>
      <c r="G796" s="37"/>
      <c r="H796" s="285">
        <f>H794</f>
        <v>0</v>
      </c>
      <c r="I796" s="259" t="str">
        <f>IFERROR((M796/C796),"-")</f>
        <v>-</v>
      </c>
      <c r="J796" s="251">
        <f>IFERROR(ROUNDUP(I796/0.92,0.999),0)</f>
        <v>0</v>
      </c>
      <c r="K796" s="252" t="str">
        <f>IFERROR((M796/C796/J796),"-")</f>
        <v>-</v>
      </c>
      <c r="L796" s="37"/>
      <c r="M796" s="285">
        <f>(Preencher!$C$212*Preencher!$D$237)+(Preencher!$B$212*Preencher!$D$249*Preencher!$E$254)+(Preencher!$B$212*Preencher!$D$249*Preencher!$F$254)</f>
        <v>0</v>
      </c>
      <c r="N796" s="259" t="str">
        <f>IFERROR((R796/C796),"-")</f>
        <v>-</v>
      </c>
      <c r="O796" s="251">
        <f>IFERROR(ROUNDUP(N796/0.95,0.999),0)</f>
        <v>0</v>
      </c>
      <c r="P796" s="252" t="str">
        <f>IFERROR((R796/C796/O796),"-")</f>
        <v>-</v>
      </c>
      <c r="Q796" s="37"/>
      <c r="R796" s="285">
        <f>(Preencher!$D$212*Preencher!$E$237)+(Preencher!$D$212*Preencher!$E$249*Preencher!$G$252)+(Preencher!$D$212*Preencher!$E$249*Preencher!$H$252)</f>
        <v>0</v>
      </c>
    </row>
    <row r="797" spans="1:18">
      <c r="A797" s="265" t="s">
        <v>223</v>
      </c>
      <c r="B797" s="284"/>
      <c r="C797" s="251"/>
      <c r="D797" s="259"/>
      <c r="E797" s="410">
        <f>ROUNDUP(SUM(D798:D800),0)</f>
        <v>0</v>
      </c>
      <c r="F797" s="411" t="str">
        <f>IFERROR(AVERAGE(F798:F800),"-")</f>
        <v>-</v>
      </c>
      <c r="G797" s="37"/>
      <c r="H797" s="285"/>
      <c r="I797" s="259"/>
      <c r="J797" s="410">
        <f>ROUNDUP(SUM(I798:I800),0)</f>
        <v>0</v>
      </c>
      <c r="K797" s="411" t="str">
        <f>IFERROR(AVERAGE(K798:K800),"-")</f>
        <v>-</v>
      </c>
      <c r="L797" s="37"/>
      <c r="M797" s="285"/>
      <c r="N797" s="259"/>
      <c r="O797" s="410">
        <f>ROUNDUP(SUM(N798:N800),0)</f>
        <v>0</v>
      </c>
      <c r="P797" s="411" t="str">
        <f>IFERROR(AVERAGE(P798:P800),"-")</f>
        <v>-</v>
      </c>
      <c r="Q797" s="37"/>
      <c r="R797" s="285"/>
    </row>
    <row r="798" spans="1:18">
      <c r="A798" s="200" t="s">
        <v>1728</v>
      </c>
      <c r="B798" s="284">
        <v>28.5</v>
      </c>
      <c r="C798" s="410">
        <f>IF(B798=0,"-",3600/B798)</f>
        <v>126.31578947368421</v>
      </c>
      <c r="D798" s="259">
        <f>IFERROR((H798/C798),"-")</f>
        <v>0</v>
      </c>
      <c r="E798" s="410">
        <f>IFERROR(ROUNDUP(D798/0.98,0.999),0)</f>
        <v>0</v>
      </c>
      <c r="F798" s="411" t="str">
        <f>IFERROR((H798/C798/E798),"-")</f>
        <v>-</v>
      </c>
      <c r="G798" s="37"/>
      <c r="H798" s="285">
        <f>Preencher!$AG$221</f>
        <v>0</v>
      </c>
      <c r="I798" s="259">
        <f>IFERROR((M798/C798),"-")</f>
        <v>0</v>
      </c>
      <c r="J798" s="410">
        <f>IFERROR(ROUNDUP(I798/0.95,0.999),0)</f>
        <v>0</v>
      </c>
      <c r="K798" s="411" t="str">
        <f>IFERROR((M798/C798/J798),"-")</f>
        <v>-</v>
      </c>
      <c r="L798" s="37"/>
      <c r="M798" s="285">
        <f>Preencher!$AI$221</f>
        <v>0</v>
      </c>
      <c r="N798" s="259">
        <f>IFERROR((R798/C798),"-")</f>
        <v>0</v>
      </c>
      <c r="O798" s="410">
        <f>IFERROR(ROUNDUP(N798/0.95,0.999),0)</f>
        <v>0</v>
      </c>
      <c r="P798" s="411" t="str">
        <f>IFERROR((R798/C798/O798),"-")</f>
        <v>-</v>
      </c>
      <c r="Q798" s="37"/>
      <c r="R798" s="285">
        <f>Preencher!$AK$221</f>
        <v>0</v>
      </c>
    </row>
    <row r="799" spans="1:18">
      <c r="A799" s="200" t="s">
        <v>1729</v>
      </c>
      <c r="B799" s="284">
        <v>28.5</v>
      </c>
      <c r="C799" s="410">
        <f>IF(B799=0,"-",3600/B799)</f>
        <v>126.31578947368421</v>
      </c>
      <c r="D799" s="259">
        <f>IFERROR((H799/C799),"-")</f>
        <v>0</v>
      </c>
      <c r="E799" s="410">
        <f>IFERROR(ROUNDUP(D799/0.95,0.999),0)</f>
        <v>0</v>
      </c>
      <c r="F799" s="411" t="str">
        <f>IFERROR((H799/C799/E799),"-")</f>
        <v>-</v>
      </c>
      <c r="G799" s="37"/>
      <c r="H799" s="285">
        <f>Preencher!$AG$222</f>
        <v>0</v>
      </c>
      <c r="I799" s="259">
        <f>IFERROR((M799/C799),"-")</f>
        <v>0</v>
      </c>
      <c r="J799" s="410">
        <f>IFERROR(ROUNDUP(I799/0.95,0.999),0)</f>
        <v>0</v>
      </c>
      <c r="K799" s="411" t="str">
        <f>IFERROR((M799/C799/J799),"-")</f>
        <v>-</v>
      </c>
      <c r="L799" s="37"/>
      <c r="M799" s="285">
        <f>Preencher!$AI$222</f>
        <v>0</v>
      </c>
      <c r="N799" s="259">
        <f>IFERROR((R799/C799),"-")</f>
        <v>0</v>
      </c>
      <c r="O799" s="410">
        <f>IFERROR(ROUNDUP(N799/0.95,0.999),0)</f>
        <v>0</v>
      </c>
      <c r="P799" s="411" t="str">
        <f>IFERROR((R799/C799/O799),"-")</f>
        <v>-</v>
      </c>
      <c r="Q799" s="37"/>
      <c r="R799" s="285">
        <f>Preencher!$AK$222</f>
        <v>0</v>
      </c>
    </row>
    <row r="800" spans="1:18">
      <c r="A800" s="200" t="s">
        <v>1730</v>
      </c>
      <c r="B800" s="284">
        <v>28.5</v>
      </c>
      <c r="C800" s="410">
        <f>IF(B800=0,"-",3600/B800)</f>
        <v>126.31578947368421</v>
      </c>
      <c r="D800" s="259">
        <f>IFERROR((H800/C800),"-")</f>
        <v>0</v>
      </c>
      <c r="E800" s="410">
        <f>IFERROR(ROUNDUP(D800/0.95,0.999),0)</f>
        <v>0</v>
      </c>
      <c r="F800" s="411" t="str">
        <f>IFERROR((H800/C800/E800),"-")</f>
        <v>-</v>
      </c>
      <c r="G800" s="37"/>
      <c r="H800" s="285">
        <f>Preencher!$AG$223</f>
        <v>0</v>
      </c>
      <c r="I800" s="259">
        <f>IFERROR((M800/C800),"-")</f>
        <v>0</v>
      </c>
      <c r="J800" s="410">
        <f>IFERROR(ROUNDUP(I800/0.95,0.999),0)</f>
        <v>0</v>
      </c>
      <c r="K800" s="411" t="str">
        <f>IFERROR((M800/C800/J800),"-")</f>
        <v>-</v>
      </c>
      <c r="L800" s="37"/>
      <c r="M800" s="285">
        <f>Preencher!$AI$223</f>
        <v>0</v>
      </c>
      <c r="N800" s="259">
        <f>IFERROR((R800/C800),"-")</f>
        <v>0</v>
      </c>
      <c r="O800" s="410">
        <f>IFERROR(ROUNDUP(N800/0.95,0.999),0)</f>
        <v>0</v>
      </c>
      <c r="P800" s="411" t="str">
        <f>IFERROR((R800/C800/O800),"-")</f>
        <v>-</v>
      </c>
      <c r="Q800" s="37"/>
      <c r="R800" s="285">
        <f>Preencher!$AK$223</f>
        <v>0</v>
      </c>
    </row>
    <row r="801" spans="1:18">
      <c r="A801" s="265" t="s">
        <v>58</v>
      </c>
      <c r="B801" s="284">
        <f>IF(H801&gt;600,2.1,0)</f>
        <v>0</v>
      </c>
      <c r="C801" s="251" t="str">
        <f>IF(B801=0,"-",3600/B801)</f>
        <v>-</v>
      </c>
      <c r="D801" s="259" t="str">
        <f>IFERROR((H801/C801),"-")</f>
        <v>-</v>
      </c>
      <c r="E801" s="251">
        <f>IFERROR(ROUNDUP(D801/0.95,0.999),0)</f>
        <v>0</v>
      </c>
      <c r="F801" s="252" t="str">
        <f>IFERROR((H801/C801/E801),"-")</f>
        <v>-</v>
      </c>
      <c r="G801" s="37"/>
      <c r="H801" s="285">
        <f>H794</f>
        <v>0</v>
      </c>
      <c r="I801" s="259" t="str">
        <f>IFERROR((M801/C801),"-")</f>
        <v>-</v>
      </c>
      <c r="J801" s="251">
        <f>IFERROR(ROUNDUP(I801/0.95,0.999),0)</f>
        <v>0</v>
      </c>
      <c r="K801" s="252" t="str">
        <f>IFERROR((M801/C801/J801),"-")</f>
        <v>-</v>
      </c>
      <c r="L801" s="37"/>
      <c r="M801" s="285">
        <f>M794</f>
        <v>0</v>
      </c>
      <c r="N801" s="259" t="str">
        <f>IFERROR((R801/C801),"-")</f>
        <v>-</v>
      </c>
      <c r="O801" s="251">
        <f>IFERROR(ROUNDUP(N801/0.95,0.999),0)</f>
        <v>0</v>
      </c>
      <c r="P801" s="252" t="str">
        <f>IFERROR((R801/C801/O801),"-")</f>
        <v>-</v>
      </c>
      <c r="Q801" s="37"/>
      <c r="R801" s="285">
        <f>R794</f>
        <v>0</v>
      </c>
    </row>
    <row r="802" spans="1:18">
      <c r="A802" s="265"/>
      <c r="B802" s="286"/>
      <c r="C802" s="37"/>
      <c r="D802" s="37"/>
      <c r="E802" s="37"/>
      <c r="F802" s="37"/>
      <c r="G802" s="37"/>
      <c r="H802" s="287"/>
      <c r="I802" s="37"/>
      <c r="J802" s="37"/>
      <c r="K802" s="37"/>
      <c r="L802" s="37"/>
      <c r="M802" s="287"/>
      <c r="N802" s="37"/>
      <c r="O802" s="37"/>
      <c r="P802" s="37"/>
      <c r="Q802" s="37"/>
      <c r="R802" s="287"/>
    </row>
    <row r="803" spans="1:18">
      <c r="A803" s="270" t="s">
        <v>723</v>
      </c>
      <c r="B803" s="291"/>
      <c r="C803" s="39"/>
      <c r="D803" s="39"/>
      <c r="E803" s="39"/>
      <c r="F803" s="39"/>
      <c r="G803" s="39"/>
      <c r="H803" s="292"/>
      <c r="I803" s="39"/>
      <c r="J803" s="39"/>
      <c r="K803" s="39"/>
      <c r="L803" s="39"/>
      <c r="M803" s="292"/>
      <c r="N803" s="39"/>
      <c r="O803" s="39"/>
      <c r="P803" s="39"/>
      <c r="Q803" s="39"/>
      <c r="R803" s="292"/>
    </row>
    <row r="804" spans="1:18">
      <c r="A804" s="265"/>
      <c r="B804" s="286"/>
      <c r="C804" s="37"/>
      <c r="D804" s="37"/>
      <c r="E804" s="37"/>
      <c r="F804" s="37"/>
      <c r="G804" s="37"/>
      <c r="H804" s="287"/>
      <c r="I804" s="37"/>
      <c r="J804" s="37"/>
      <c r="K804" s="37"/>
      <c r="L804" s="37"/>
      <c r="M804" s="287"/>
      <c r="N804" s="37"/>
      <c r="O804" s="37"/>
      <c r="P804" s="37"/>
      <c r="Q804" s="37"/>
      <c r="R804" s="287"/>
    </row>
    <row r="805" spans="1:18">
      <c r="A805" s="265"/>
      <c r="B805" s="286"/>
      <c r="C805" s="37"/>
      <c r="D805" s="37"/>
      <c r="E805" s="37"/>
      <c r="F805" s="37"/>
      <c r="G805" s="37"/>
      <c r="H805" s="287"/>
      <c r="I805" s="37"/>
      <c r="J805" s="37"/>
      <c r="K805" s="37"/>
      <c r="L805" s="37"/>
      <c r="M805" s="287"/>
      <c r="N805" s="37"/>
      <c r="O805" s="37"/>
      <c r="P805" s="37"/>
      <c r="Q805" s="37"/>
      <c r="R805" s="287"/>
    </row>
    <row r="806" spans="1:18">
      <c r="A806" s="265"/>
      <c r="B806" s="286"/>
      <c r="C806" s="37"/>
      <c r="D806" s="37"/>
      <c r="E806" s="37"/>
      <c r="F806" s="37"/>
      <c r="G806" s="37"/>
      <c r="H806" s="287"/>
      <c r="I806" s="37"/>
      <c r="J806" s="37"/>
      <c r="K806" s="37"/>
      <c r="L806" s="37"/>
      <c r="M806" s="287"/>
      <c r="N806" s="37"/>
      <c r="O806" s="37"/>
      <c r="P806" s="37"/>
      <c r="Q806" s="37"/>
      <c r="R806" s="287"/>
    </row>
    <row r="807" spans="1:18">
      <c r="A807" s="265"/>
      <c r="B807" s="286"/>
      <c r="C807" s="37"/>
      <c r="D807" s="37"/>
      <c r="E807" s="37"/>
      <c r="F807" s="37"/>
      <c r="G807" s="37"/>
      <c r="H807" s="287"/>
      <c r="I807" s="37"/>
      <c r="J807" s="37"/>
      <c r="K807" s="37"/>
      <c r="L807" s="37"/>
      <c r="M807" s="287"/>
      <c r="N807" s="37"/>
      <c r="O807" s="37"/>
      <c r="P807" s="37"/>
      <c r="Q807" s="37"/>
      <c r="R807" s="287"/>
    </row>
    <row r="808" spans="1:18">
      <c r="A808" s="265"/>
      <c r="B808" s="286"/>
      <c r="C808" s="37"/>
      <c r="D808" s="37"/>
      <c r="E808" s="37"/>
      <c r="F808" s="37"/>
      <c r="G808" s="37"/>
      <c r="H808" s="287"/>
      <c r="I808" s="37"/>
      <c r="J808" s="37"/>
      <c r="K808" s="37"/>
      <c r="L808" s="37"/>
      <c r="M808" s="287"/>
      <c r="N808" s="37"/>
      <c r="O808" s="37"/>
      <c r="P808" s="37"/>
      <c r="Q808" s="37"/>
      <c r="R808" s="287"/>
    </row>
    <row r="809" spans="1:18">
      <c r="A809" s="268"/>
      <c r="B809" s="288"/>
      <c r="C809" s="13"/>
      <c r="D809" s="13"/>
      <c r="E809" s="13"/>
      <c r="F809" s="13"/>
      <c r="G809" s="95"/>
      <c r="H809" s="420"/>
      <c r="I809" s="13"/>
      <c r="J809" s="13"/>
      <c r="K809" s="13"/>
      <c r="L809" s="95"/>
      <c r="M809" s="420"/>
      <c r="N809" s="13"/>
      <c r="O809" s="13"/>
      <c r="P809" s="13"/>
      <c r="Q809" s="95"/>
      <c r="R809" s="420"/>
    </row>
    <row r="810" spans="1:18">
      <c r="A810" s="264" t="s">
        <v>708</v>
      </c>
      <c r="B810" s="282"/>
      <c r="C810" s="40"/>
      <c r="D810" s="40"/>
      <c r="E810" s="40"/>
      <c r="F810" s="40"/>
      <c r="G810" s="419"/>
      <c r="H810" s="418"/>
      <c r="I810" s="40"/>
      <c r="J810" s="40"/>
      <c r="K810" s="40"/>
      <c r="L810" s="419"/>
      <c r="M810" s="418"/>
      <c r="N810" s="40"/>
      <c r="O810" s="40"/>
      <c r="P810" s="40"/>
      <c r="Q810" s="419"/>
      <c r="R810" s="418"/>
    </row>
    <row r="811" spans="1:18">
      <c r="A811" s="38" t="s">
        <v>116</v>
      </c>
      <c r="B811" s="119">
        <f>IF(Preencher!$B$216=Preencher!$V$211,0,8.5)</f>
        <v>8.5</v>
      </c>
      <c r="C811" s="706">
        <f>IF(B811=0,"-",3600/B811)</f>
        <v>423.52941176470586</v>
      </c>
      <c r="D811" s="259">
        <f>IFERROR((H811/C811),"-")</f>
        <v>0.80886430541170129</v>
      </c>
      <c r="E811" s="706">
        <f>IFERROR(ROUNDUP(D811/0.95,0.999),0)</f>
        <v>1</v>
      </c>
      <c r="F811" s="705">
        <f>IFERROR((H811/C811/E811),"-")</f>
        <v>0.80886430541170129</v>
      </c>
      <c r="G811" s="37"/>
      <c r="H811" s="285">
        <f>Preencher!$B$212*Preencher!$C$247</f>
        <v>342.57782346848524</v>
      </c>
      <c r="I811" s="259">
        <f>IFERROR((M811/C811),"-")</f>
        <v>0</v>
      </c>
      <c r="J811" s="706">
        <f>IFERROR(ROUNDUP(I811/0.95,0.999),0)</f>
        <v>0</v>
      </c>
      <c r="K811" s="705" t="str">
        <f>IFERROR((M811/C811/J811),"-")</f>
        <v>-</v>
      </c>
      <c r="L811" s="37"/>
      <c r="M811" s="285">
        <f>Preencher!$C$212*Preencher!$D$247</f>
        <v>0</v>
      </c>
      <c r="N811" s="259">
        <f>IFERROR((R811/C811),"-")</f>
        <v>0</v>
      </c>
      <c r="O811" s="706">
        <f>IFERROR(ROUNDUP(N811/0.95,0.999),0)</f>
        <v>0</v>
      </c>
      <c r="P811" s="705" t="str">
        <f>IFERROR((R811/C811/O811),"-")</f>
        <v>-</v>
      </c>
      <c r="Q811" s="37"/>
      <c r="R811" s="285">
        <f>Preencher!$D$212*Preencher!$E$247</f>
        <v>0</v>
      </c>
    </row>
    <row r="812" spans="1:18">
      <c r="A812" s="265" t="s">
        <v>117</v>
      </c>
      <c r="B812" s="119">
        <f>4.5</f>
        <v>4.5</v>
      </c>
      <c r="C812" s="251">
        <f>IF(B812=0,"-",3600/B812)</f>
        <v>800</v>
      </c>
      <c r="D812" s="259">
        <f>IFERROR((H812/C812),"-")</f>
        <v>0</v>
      </c>
      <c r="E812" s="251">
        <f>IFERROR(ROUNDUP(D812/0.95,0.999),0)</f>
        <v>0</v>
      </c>
      <c r="F812" s="252" t="str">
        <f>IFERROR((H812/C812/E812),"-")</f>
        <v>-</v>
      </c>
      <c r="G812" s="37"/>
      <c r="H812" s="285">
        <f>Preencher!AC236+Preencher!AC251+Preencher!AC273</f>
        <v>0</v>
      </c>
      <c r="I812" s="259">
        <f>IFERROR((M812/C812),"-")</f>
        <v>0</v>
      </c>
      <c r="J812" s="251">
        <f>IFERROR(ROUNDUP(I812/0.95,0.999),0)</f>
        <v>0</v>
      </c>
      <c r="K812" s="252" t="str">
        <f>IFERROR((M812/C812/J812),"-")</f>
        <v>-</v>
      </c>
      <c r="L812" s="37"/>
      <c r="M812" s="285">
        <f>Preencher!AD236+Preencher!AD251+Preencher!AD273</f>
        <v>0</v>
      </c>
      <c r="N812" s="259">
        <f>IFERROR((R812/C812),"-")</f>
        <v>0</v>
      </c>
      <c r="O812" s="251">
        <f>IFERROR(ROUNDUP(N812/0.95,0.999),0)</f>
        <v>0</v>
      </c>
      <c r="P812" s="252" t="str">
        <f>IFERROR((R812/C812/O812),"-")</f>
        <v>-</v>
      </c>
      <c r="Q812" s="37"/>
      <c r="R812" s="285">
        <f>Preencher!AE236+Preencher!AE251+Preencher!AE273</f>
        <v>0</v>
      </c>
    </row>
    <row r="813" spans="1:18">
      <c r="A813" s="265" t="s">
        <v>220</v>
      </c>
      <c r="B813" s="284"/>
      <c r="C813" s="251"/>
      <c r="D813" s="259"/>
      <c r="E813" s="414">
        <f>ROUNDUP(SUM(D814:D826),0)</f>
        <v>0</v>
      </c>
      <c r="F813" s="415" t="str">
        <f>IFERROR(AVERAGE(F814:F826),"-")</f>
        <v>-</v>
      </c>
      <c r="G813" s="37"/>
      <c r="H813" s="285"/>
      <c r="I813" s="259"/>
      <c r="J813" s="414">
        <f>ROUNDUP(SUM(I814:I826),0)</f>
        <v>0</v>
      </c>
      <c r="K813" s="415" t="str">
        <f>IFERROR(AVERAGE(K814:K826),"-")</f>
        <v>-</v>
      </c>
      <c r="L813" s="37"/>
      <c r="M813" s="285"/>
      <c r="N813" s="259"/>
      <c r="O813" s="414">
        <f>ROUNDUP(SUM(N814:N826),0)</f>
        <v>0</v>
      </c>
      <c r="P813" s="415" t="str">
        <f>IFERROR(AVERAGE(P814:P826),"-")</f>
        <v>-</v>
      </c>
      <c r="Q813" s="37"/>
      <c r="R813" s="285"/>
    </row>
    <row r="814" spans="1:18">
      <c r="A814" s="200" t="s">
        <v>1853</v>
      </c>
      <c r="B814" s="284">
        <f>81.7+3.3</f>
        <v>85</v>
      </c>
      <c r="C814" s="412">
        <f t="shared" ref="C814:C823" si="312">IF(B814=0,"-",3600/B814)</f>
        <v>42.352941176470587</v>
      </c>
      <c r="D814" s="259">
        <f t="shared" ref="D814:D826" si="313">IFERROR((H814/C814),"-")</f>
        <v>0</v>
      </c>
      <c r="E814" s="412">
        <f t="shared" ref="E814:E823" si="314">IFERROR(ROUNDUP(D814/0.95,0.999),0)</f>
        <v>0</v>
      </c>
      <c r="F814" s="413" t="str">
        <f t="shared" ref="F814:F826" si="315">IFERROR((H814/C814/E814),"-")</f>
        <v>-</v>
      </c>
      <c r="G814" s="37"/>
      <c r="H814" s="285">
        <f>Preencher!$AG$226</f>
        <v>0</v>
      </c>
      <c r="I814" s="259">
        <f t="shared" ref="I814:I826" si="316">IFERROR((M814/C814),"-")</f>
        <v>0</v>
      </c>
      <c r="J814" s="412">
        <f t="shared" ref="J814:J826" si="317">IFERROR(ROUNDUP(I814/0.95,0.999),0)</f>
        <v>0</v>
      </c>
      <c r="K814" s="413" t="str">
        <f t="shared" ref="K814:K826" si="318">IFERROR((M814/C814/J814),"-")</f>
        <v>-</v>
      </c>
      <c r="L814" s="37"/>
      <c r="M814" s="285">
        <f>Preencher!$AI$226</f>
        <v>0</v>
      </c>
      <c r="N814" s="259">
        <f t="shared" ref="N814:N826" si="319">IFERROR((R814/C814),"-")</f>
        <v>0</v>
      </c>
      <c r="O814" s="412">
        <f t="shared" ref="O814:O826" si="320">IFERROR(ROUNDUP(N814/0.95,0.999),0)</f>
        <v>0</v>
      </c>
      <c r="P814" s="413" t="str">
        <f t="shared" ref="P814:P826" si="321">IFERROR((R814/C814/O814),"-")</f>
        <v>-</v>
      </c>
      <c r="Q814" s="37"/>
      <c r="R814" s="285">
        <f>Preencher!$AK$226</f>
        <v>0</v>
      </c>
    </row>
    <row r="815" spans="1:18">
      <c r="A815" s="200" t="s">
        <v>1854</v>
      </c>
      <c r="B815" s="284">
        <f>81.7+3.3</f>
        <v>85</v>
      </c>
      <c r="C815" s="412">
        <f>IF(B815=0,"-",3600/B815)</f>
        <v>42.352941176470587</v>
      </c>
      <c r="D815" s="259">
        <f>IFERROR((H815/C815),"-")</f>
        <v>0</v>
      </c>
      <c r="E815" s="412">
        <f>IFERROR(ROUNDUP(D815/0.95,0.999),0)</f>
        <v>0</v>
      </c>
      <c r="F815" s="413" t="str">
        <f t="shared" si="315"/>
        <v>-</v>
      </c>
      <c r="G815" s="37"/>
      <c r="H815" s="719">
        <f>Preencher!$AG$227</f>
        <v>0</v>
      </c>
      <c r="I815" s="259">
        <f t="shared" si="316"/>
        <v>0</v>
      </c>
      <c r="J815" s="412">
        <f t="shared" si="317"/>
        <v>0</v>
      </c>
      <c r="K815" s="413" t="str">
        <f t="shared" si="318"/>
        <v>-</v>
      </c>
      <c r="L815" s="37"/>
      <c r="M815" s="285">
        <f>Preencher!$AI$227</f>
        <v>0</v>
      </c>
      <c r="N815" s="259">
        <f t="shared" si="319"/>
        <v>0</v>
      </c>
      <c r="O815" s="412">
        <f t="shared" si="320"/>
        <v>0</v>
      </c>
      <c r="P815" s="413" t="str">
        <f t="shared" si="321"/>
        <v>-</v>
      </c>
      <c r="Q815" s="37"/>
      <c r="R815" s="285">
        <f>Preencher!$AK$227</f>
        <v>0</v>
      </c>
    </row>
    <row r="816" spans="1:18">
      <c r="A816" s="200" t="s">
        <v>1857</v>
      </c>
      <c r="B816" s="284">
        <v>110</v>
      </c>
      <c r="C816" s="541">
        <f>IF(B816=0,"-",3600/B816)</f>
        <v>32.727272727272727</v>
      </c>
      <c r="D816" s="259">
        <f t="shared" si="313"/>
        <v>0</v>
      </c>
      <c r="E816" s="541">
        <f>IFERROR(ROUNDUP(D816/0.95,0.999),0)</f>
        <v>0</v>
      </c>
      <c r="F816" s="542" t="str">
        <f t="shared" si="315"/>
        <v>-</v>
      </c>
      <c r="G816" s="37"/>
      <c r="H816" s="285">
        <f>Preencher!$AG$228</f>
        <v>0</v>
      </c>
      <c r="I816" s="259">
        <f>IFERROR((M816/C816),"-")</f>
        <v>0</v>
      </c>
      <c r="J816" s="541">
        <f>IFERROR(ROUNDUP(I816/0.95,0.999),0)</f>
        <v>0</v>
      </c>
      <c r="K816" s="542" t="str">
        <f>IFERROR((M816/C816/J816),"-")</f>
        <v>-</v>
      </c>
      <c r="L816" s="37"/>
      <c r="M816" s="285">
        <f>Preencher!$AI$228</f>
        <v>0</v>
      </c>
      <c r="N816" s="259">
        <f>IFERROR((R816/C816),"-")</f>
        <v>0</v>
      </c>
      <c r="O816" s="541">
        <f>IFERROR(ROUNDUP(N816/0.95,0.999),0)</f>
        <v>0</v>
      </c>
      <c r="P816" s="542" t="str">
        <f>IFERROR((R816/C816/O816),"-")</f>
        <v>-</v>
      </c>
      <c r="Q816" s="37"/>
      <c r="R816" s="285">
        <f>Preencher!$AK$228</f>
        <v>0</v>
      </c>
    </row>
    <row r="817" spans="1:18">
      <c r="A817" s="200" t="s">
        <v>2414</v>
      </c>
      <c r="B817" s="284">
        <v>170</v>
      </c>
      <c r="C817" s="649">
        <f>IF(B817=0,"-",3600/B817)</f>
        <v>21.176470588235293</v>
      </c>
      <c r="D817" s="259">
        <f t="shared" si="313"/>
        <v>0</v>
      </c>
      <c r="E817" s="649">
        <f>IFERROR(ROUNDUP(D817/0.95,0.999),0)</f>
        <v>0</v>
      </c>
      <c r="F817" s="650" t="str">
        <f t="shared" si="315"/>
        <v>-</v>
      </c>
      <c r="G817" s="37"/>
      <c r="H817" s="285">
        <f>Preencher!$AG$241</f>
        <v>0</v>
      </c>
      <c r="I817" s="259">
        <f>IFERROR((M817/C817),"-")</f>
        <v>0</v>
      </c>
      <c r="J817" s="649">
        <f>IFERROR(ROUNDUP(I817/0.95,0.999),0)</f>
        <v>0</v>
      </c>
      <c r="K817" s="650" t="str">
        <f>IFERROR((M817/C817/J817),"-")</f>
        <v>-</v>
      </c>
      <c r="L817" s="37"/>
      <c r="M817" s="285">
        <f>Preencher!$AI$241</f>
        <v>0</v>
      </c>
      <c r="N817" s="259">
        <f>IFERROR((R817/C817),"-")</f>
        <v>0</v>
      </c>
      <c r="O817" s="649">
        <f>IFERROR(ROUNDUP(N817/0.95,0.999),0)</f>
        <v>0</v>
      </c>
      <c r="P817" s="650" t="str">
        <f>IFERROR((R817/C817/O817),"-")</f>
        <v>-</v>
      </c>
      <c r="Q817" s="37"/>
      <c r="R817" s="285">
        <f>Preencher!$AK$241</f>
        <v>0</v>
      </c>
    </row>
    <row r="818" spans="1:18">
      <c r="A818" s="200" t="s">
        <v>2415</v>
      </c>
      <c r="B818" s="284">
        <v>190</v>
      </c>
      <c r="C818" s="649">
        <f>IF(B818=0,"-",3600/B818)</f>
        <v>18.94736842105263</v>
      </c>
      <c r="D818" s="259">
        <f t="shared" si="313"/>
        <v>0</v>
      </c>
      <c r="E818" s="649">
        <f>IFERROR(ROUNDUP(D818/0.95,0.999),0)</f>
        <v>0</v>
      </c>
      <c r="F818" s="650" t="str">
        <f t="shared" si="315"/>
        <v>-</v>
      </c>
      <c r="G818" s="37"/>
      <c r="H818" s="285">
        <f>Preencher!$AG$257</f>
        <v>0</v>
      </c>
      <c r="I818" s="259">
        <f>IFERROR((M818/C818),"-")</f>
        <v>0</v>
      </c>
      <c r="J818" s="649">
        <f>IFERROR(ROUNDUP(I818/0.95,0.999),0)</f>
        <v>0</v>
      </c>
      <c r="K818" s="650" t="str">
        <f>IFERROR((M818/C818/J818),"-")</f>
        <v>-</v>
      </c>
      <c r="L818" s="37"/>
      <c r="M818" s="285">
        <f>Preencher!$AI$257</f>
        <v>0</v>
      </c>
      <c r="N818" s="259">
        <f>IFERROR((R818/C818),"-")</f>
        <v>0</v>
      </c>
      <c r="O818" s="649">
        <f>IFERROR(ROUNDUP(N818/0.95,0.999),0)</f>
        <v>0</v>
      </c>
      <c r="P818" s="650" t="str">
        <f>IFERROR((R818/C818/O818),"-")</f>
        <v>-</v>
      </c>
      <c r="Q818" s="37"/>
      <c r="R818" s="285">
        <f>Preencher!$AK$257</f>
        <v>0</v>
      </c>
    </row>
    <row r="819" spans="1:18">
      <c r="A819" s="200" t="s">
        <v>1855</v>
      </c>
      <c r="B819" s="284">
        <v>81.7</v>
      </c>
      <c r="C819" s="412">
        <f t="shared" si="312"/>
        <v>44.063647490820074</v>
      </c>
      <c r="D819" s="259">
        <f t="shared" si="313"/>
        <v>0</v>
      </c>
      <c r="E819" s="412">
        <f t="shared" si="314"/>
        <v>0</v>
      </c>
      <c r="F819" s="413" t="str">
        <f t="shared" si="315"/>
        <v>-</v>
      </c>
      <c r="G819" s="37"/>
      <c r="H819" s="285">
        <f>Preencher!$AG$240</f>
        <v>0</v>
      </c>
      <c r="I819" s="259">
        <f t="shared" si="316"/>
        <v>0</v>
      </c>
      <c r="J819" s="412">
        <f t="shared" si="317"/>
        <v>0</v>
      </c>
      <c r="K819" s="413" t="str">
        <f t="shared" si="318"/>
        <v>-</v>
      </c>
      <c r="L819" s="37"/>
      <c r="M819" s="285">
        <f>Preencher!$AI$240</f>
        <v>0</v>
      </c>
      <c r="N819" s="259">
        <f t="shared" si="319"/>
        <v>0</v>
      </c>
      <c r="O819" s="412">
        <f t="shared" si="320"/>
        <v>0</v>
      </c>
      <c r="P819" s="413" t="str">
        <f t="shared" si="321"/>
        <v>-</v>
      </c>
      <c r="Q819" s="37"/>
      <c r="R819" s="285">
        <f>Preencher!$AK$240</f>
        <v>0</v>
      </c>
    </row>
    <row r="820" spans="1:18">
      <c r="A820" s="200" t="s">
        <v>1856</v>
      </c>
      <c r="B820" s="284">
        <v>81.7</v>
      </c>
      <c r="C820" s="414">
        <f t="shared" si="312"/>
        <v>44.063647490820074</v>
      </c>
      <c r="D820" s="259">
        <f t="shared" si="313"/>
        <v>0</v>
      </c>
      <c r="E820" s="414">
        <f t="shared" si="314"/>
        <v>0</v>
      </c>
      <c r="F820" s="415" t="str">
        <f t="shared" si="315"/>
        <v>-</v>
      </c>
      <c r="G820" s="37"/>
      <c r="H820" s="285">
        <f>Preencher!$AG$257</f>
        <v>0</v>
      </c>
      <c r="I820" s="259">
        <f t="shared" si="316"/>
        <v>0</v>
      </c>
      <c r="J820" s="414">
        <f t="shared" si="317"/>
        <v>0</v>
      </c>
      <c r="K820" s="415" t="str">
        <f t="shared" si="318"/>
        <v>-</v>
      </c>
      <c r="L820" s="37"/>
      <c r="M820" s="285">
        <f>Preencher!$AI$257</f>
        <v>0</v>
      </c>
      <c r="N820" s="259">
        <f t="shared" si="319"/>
        <v>0</v>
      </c>
      <c r="O820" s="414">
        <f t="shared" si="320"/>
        <v>0</v>
      </c>
      <c r="P820" s="415" t="str">
        <f t="shared" si="321"/>
        <v>-</v>
      </c>
      <c r="Q820" s="37"/>
      <c r="R820" s="285">
        <f>Preencher!$AK$257</f>
        <v>0</v>
      </c>
    </row>
    <row r="821" spans="1:18">
      <c r="A821" s="200" t="s">
        <v>1745</v>
      </c>
      <c r="B821" s="284">
        <v>28.5</v>
      </c>
      <c r="C821" s="412">
        <f t="shared" si="312"/>
        <v>126.31578947368421</v>
      </c>
      <c r="D821" s="259">
        <f t="shared" si="313"/>
        <v>0</v>
      </c>
      <c r="E821" s="412">
        <f t="shared" si="314"/>
        <v>0</v>
      </c>
      <c r="F821" s="413" t="str">
        <f t="shared" si="315"/>
        <v>-</v>
      </c>
      <c r="G821" s="37"/>
      <c r="H821" s="285">
        <f>Preencher!$AG$245</f>
        <v>0</v>
      </c>
      <c r="I821" s="259">
        <f t="shared" si="316"/>
        <v>0</v>
      </c>
      <c r="J821" s="412">
        <f t="shared" si="317"/>
        <v>0</v>
      </c>
      <c r="K821" s="413" t="str">
        <f t="shared" si="318"/>
        <v>-</v>
      </c>
      <c r="L821" s="37"/>
      <c r="M821" s="285">
        <f>Preencher!$AI$245</f>
        <v>0</v>
      </c>
      <c r="N821" s="259">
        <f t="shared" si="319"/>
        <v>0</v>
      </c>
      <c r="O821" s="412">
        <f t="shared" si="320"/>
        <v>0</v>
      </c>
      <c r="P821" s="413" t="str">
        <f t="shared" si="321"/>
        <v>-</v>
      </c>
      <c r="Q821" s="37"/>
      <c r="R821" s="285">
        <f>Preencher!$AK$245</f>
        <v>0</v>
      </c>
    </row>
    <row r="822" spans="1:18">
      <c r="A822" s="200" t="s">
        <v>2425</v>
      </c>
      <c r="B822" s="284">
        <v>28.5</v>
      </c>
      <c r="C822" s="660">
        <f>IF(B822=0,"-",3600/B822)</f>
        <v>126.31578947368421</v>
      </c>
      <c r="D822" s="259">
        <f t="shared" si="313"/>
        <v>0</v>
      </c>
      <c r="E822" s="660">
        <f>IFERROR(ROUNDUP(D822/0.95,0.999),0)</f>
        <v>0</v>
      </c>
      <c r="F822" s="659" t="str">
        <f t="shared" si="315"/>
        <v>-</v>
      </c>
      <c r="G822" s="37"/>
      <c r="H822" s="285">
        <f>Preencher!$AG$244</f>
        <v>0</v>
      </c>
      <c r="I822" s="259">
        <f>IFERROR((M822/C822),"-")</f>
        <v>0</v>
      </c>
      <c r="J822" s="660">
        <f>IFERROR(ROUNDUP(I822/0.95,0.999),0)</f>
        <v>0</v>
      </c>
      <c r="K822" s="659" t="str">
        <f>IFERROR((M822/C822/J822),"-")</f>
        <v>-</v>
      </c>
      <c r="L822" s="37"/>
      <c r="M822" s="285">
        <f>Preencher!$AI$244</f>
        <v>0</v>
      </c>
      <c r="N822" s="259">
        <f>IFERROR((R822/C822),"-")</f>
        <v>0</v>
      </c>
      <c r="O822" s="660">
        <f>IFERROR(ROUNDUP(N822/0.95,0.999),0)</f>
        <v>0</v>
      </c>
      <c r="P822" s="659" t="str">
        <f>IFERROR((R822/C822/O822),"-")</f>
        <v>-</v>
      </c>
      <c r="Q822" s="37"/>
      <c r="R822" s="285">
        <f>Preencher!$AK$244</f>
        <v>0</v>
      </c>
    </row>
    <row r="823" spans="1:18">
      <c r="A823" s="200" t="s">
        <v>1746</v>
      </c>
      <c r="B823" s="284">
        <v>28.5</v>
      </c>
      <c r="C823" s="414">
        <f t="shared" si="312"/>
        <v>126.31578947368421</v>
      </c>
      <c r="D823" s="259">
        <f t="shared" si="313"/>
        <v>0</v>
      </c>
      <c r="E823" s="414">
        <f t="shared" si="314"/>
        <v>0</v>
      </c>
      <c r="F823" s="415" t="str">
        <f t="shared" si="315"/>
        <v>-</v>
      </c>
      <c r="G823" s="37"/>
      <c r="H823" s="285">
        <f>Preencher!$AG$262</f>
        <v>0</v>
      </c>
      <c r="I823" s="259">
        <f t="shared" si="316"/>
        <v>0</v>
      </c>
      <c r="J823" s="414">
        <f t="shared" si="317"/>
        <v>0</v>
      </c>
      <c r="K823" s="415" t="str">
        <f t="shared" si="318"/>
        <v>-</v>
      </c>
      <c r="L823" s="37"/>
      <c r="M823" s="285">
        <f>Preencher!$AI$262</f>
        <v>0</v>
      </c>
      <c r="N823" s="259">
        <f t="shared" si="319"/>
        <v>0</v>
      </c>
      <c r="O823" s="414">
        <f t="shared" si="320"/>
        <v>0</v>
      </c>
      <c r="P823" s="415" t="str">
        <f t="shared" si="321"/>
        <v>-</v>
      </c>
      <c r="Q823" s="37"/>
      <c r="R823" s="285">
        <f>Preencher!$AK$262</f>
        <v>0</v>
      </c>
    </row>
    <row r="824" spans="1:18">
      <c r="A824" s="200" t="s">
        <v>2426</v>
      </c>
      <c r="B824" s="284">
        <v>28.5</v>
      </c>
      <c r="C824" s="660">
        <f>IF(B824=0,"-",3600/B824)</f>
        <v>126.31578947368421</v>
      </c>
      <c r="D824" s="259">
        <f t="shared" si="313"/>
        <v>0</v>
      </c>
      <c r="E824" s="660">
        <f>IFERROR(ROUNDUP(D824/0.95,0.999),0)</f>
        <v>0</v>
      </c>
      <c r="F824" s="659" t="str">
        <f t="shared" si="315"/>
        <v>-</v>
      </c>
      <c r="G824" s="37"/>
      <c r="H824" s="285">
        <f>Preencher!$AG$261</f>
        <v>0</v>
      </c>
      <c r="I824" s="259">
        <f>IFERROR((M824/C824),"-")</f>
        <v>0</v>
      </c>
      <c r="J824" s="660">
        <f>IFERROR(ROUNDUP(I824/0.95,0.999),0)</f>
        <v>0</v>
      </c>
      <c r="K824" s="659" t="str">
        <f>IFERROR((M824/C824/J824),"-")</f>
        <v>-</v>
      </c>
      <c r="L824" s="37"/>
      <c r="M824" s="285">
        <f>Preencher!$AI$261</f>
        <v>0</v>
      </c>
      <c r="N824" s="259">
        <f>IFERROR((R824/C824),"-")</f>
        <v>0</v>
      </c>
      <c r="O824" s="660">
        <f>IFERROR(ROUNDUP(N824/0.95,0.999),0)</f>
        <v>0</v>
      </c>
      <c r="P824" s="659" t="str">
        <f>IFERROR((R824/C824/O824),"-")</f>
        <v>-</v>
      </c>
      <c r="Q824" s="37"/>
      <c r="R824" s="285">
        <f>Preencher!$AK$26</f>
        <v>0</v>
      </c>
    </row>
    <row r="825" spans="1:18">
      <c r="A825" s="200" t="s">
        <v>2424</v>
      </c>
      <c r="B825" s="284">
        <v>28.5</v>
      </c>
      <c r="C825" s="660">
        <f>IF(B825=0,"-",3600/B825)</f>
        <v>126.31578947368421</v>
      </c>
      <c r="D825" s="259">
        <f t="shared" si="313"/>
        <v>0</v>
      </c>
      <c r="E825" s="660">
        <f>IFERROR(ROUNDUP(D825/0.95,0.999),0)</f>
        <v>0</v>
      </c>
      <c r="F825" s="659" t="str">
        <f t="shared" si="315"/>
        <v>-</v>
      </c>
      <c r="G825" s="37"/>
      <c r="H825" s="285">
        <f>Preencher!$AG$232</f>
        <v>0</v>
      </c>
      <c r="I825" s="259">
        <f>IFERROR((M825/C825),"-")</f>
        <v>0</v>
      </c>
      <c r="J825" s="660">
        <f>IFERROR(ROUNDUP(I825/0.95,0.999),0)</f>
        <v>0</v>
      </c>
      <c r="K825" s="659" t="str">
        <f>IFERROR((M825/C825/J825),"-")</f>
        <v>-</v>
      </c>
      <c r="L825" s="37"/>
      <c r="M825" s="285">
        <f>Preencher!$AI$232</f>
        <v>0</v>
      </c>
      <c r="N825" s="259">
        <f>IFERROR((R825/C825),"-")</f>
        <v>0</v>
      </c>
      <c r="O825" s="660">
        <f>IFERROR(ROUNDUP(N825/0.95,0.999),0)</f>
        <v>0</v>
      </c>
      <c r="P825" s="659" t="str">
        <f>IFERROR((R825/C825/O825),"-")</f>
        <v>-</v>
      </c>
      <c r="Q825" s="37"/>
      <c r="R825" s="285">
        <f>Preencher!$AK$232</f>
        <v>0</v>
      </c>
    </row>
    <row r="826" spans="1:18">
      <c r="A826" s="200" t="s">
        <v>1735</v>
      </c>
      <c r="B826" s="284">
        <v>28.5</v>
      </c>
      <c r="C826" s="660">
        <f>IF(B826=0,"-",3600/B826)</f>
        <v>126.31578947368421</v>
      </c>
      <c r="D826" s="259">
        <f t="shared" si="313"/>
        <v>0</v>
      </c>
      <c r="E826" s="660">
        <f>IFERROR(ROUNDUP(D826/0.95,0.999),0)</f>
        <v>0</v>
      </c>
      <c r="F826" s="415" t="str">
        <f t="shared" si="315"/>
        <v>-</v>
      </c>
      <c r="G826" s="37"/>
      <c r="H826" s="285">
        <f>Preencher!$AG$231</f>
        <v>0</v>
      </c>
      <c r="I826" s="259">
        <f t="shared" si="316"/>
        <v>0</v>
      </c>
      <c r="J826" s="414">
        <f t="shared" si="317"/>
        <v>0</v>
      </c>
      <c r="K826" s="415" t="str">
        <f t="shared" si="318"/>
        <v>-</v>
      </c>
      <c r="L826" s="37"/>
      <c r="M826" s="285">
        <f>Preencher!$AI$231</f>
        <v>0</v>
      </c>
      <c r="N826" s="259">
        <f t="shared" si="319"/>
        <v>0</v>
      </c>
      <c r="O826" s="414">
        <f t="shared" si="320"/>
        <v>0</v>
      </c>
      <c r="P826" s="415" t="str">
        <f t="shared" si="321"/>
        <v>-</v>
      </c>
      <c r="Q826" s="37"/>
      <c r="R826" s="285">
        <f>Preencher!$AK$231</f>
        <v>0</v>
      </c>
    </row>
    <row r="827" spans="1:18">
      <c r="A827" s="265" t="s">
        <v>221</v>
      </c>
      <c r="B827" s="284"/>
      <c r="C827" s="251"/>
      <c r="D827" s="259"/>
      <c r="E827" s="414">
        <f>ROUNDUP(SUM(D828:D832),0)</f>
        <v>0</v>
      </c>
      <c r="F827" s="415" t="str">
        <f>IFERROR(AVERAGE(F828:F832),"-")</f>
        <v>-</v>
      </c>
      <c r="G827" s="37"/>
      <c r="H827" s="285"/>
      <c r="I827" s="259"/>
      <c r="J827" s="706">
        <f>ROUNDUP(SUM(I828:I832),0)</f>
        <v>0</v>
      </c>
      <c r="K827" s="705" t="str">
        <f>IFERROR(AVERAGE(K828:K832),"-")</f>
        <v>-</v>
      </c>
      <c r="L827" s="37"/>
      <c r="M827" s="285"/>
      <c r="N827" s="259"/>
      <c r="O827" s="414">
        <f>ROUNDUP(SUM(N828:N832),0)</f>
        <v>0</v>
      </c>
      <c r="P827" s="415" t="str">
        <f>IFERROR(AVERAGE(P828:P832),"-")</f>
        <v>-</v>
      </c>
      <c r="Q827" s="37"/>
      <c r="R827" s="285"/>
    </row>
    <row r="828" spans="1:18">
      <c r="A828" s="200" t="s">
        <v>1736</v>
      </c>
      <c r="B828" s="284">
        <f>18.05-18.05</f>
        <v>0</v>
      </c>
      <c r="C828" s="414" t="str">
        <f t="shared" ref="C828:C833" si="322">IF(B828=0,"-",3600/B828)</f>
        <v>-</v>
      </c>
      <c r="D828" s="259" t="str">
        <f t="shared" ref="D828:D833" si="323">IFERROR((H828/C828),"-")</f>
        <v>-</v>
      </c>
      <c r="E828" s="414">
        <f t="shared" ref="E828:E833" si="324">IFERROR(ROUNDUP(D828/0.95,0.999),0)</f>
        <v>0</v>
      </c>
      <c r="F828" s="415" t="str">
        <f t="shared" ref="F828:F833" si="325">IFERROR((H828/C828/E828),"-")</f>
        <v>-</v>
      </c>
      <c r="G828" s="37"/>
      <c r="H828" s="285">
        <f>H814</f>
        <v>0</v>
      </c>
      <c r="I828" s="259" t="str">
        <f t="shared" ref="I828:I833" si="326">IFERROR((M828/C828),"-")</f>
        <v>-</v>
      </c>
      <c r="J828" s="414">
        <f t="shared" ref="J828:J833" si="327">IFERROR(ROUNDUP(I828/0.95,0.999),0)</f>
        <v>0</v>
      </c>
      <c r="K828" s="415" t="str">
        <f t="shared" ref="K828:K833" si="328">IFERROR((M828/C828/J828),"-")</f>
        <v>-</v>
      </c>
      <c r="L828" s="37"/>
      <c r="M828" s="285">
        <f>M814</f>
        <v>0</v>
      </c>
      <c r="N828" s="259" t="str">
        <f t="shared" ref="N828:N833" si="329">IFERROR((R828/C828),"-")</f>
        <v>-</v>
      </c>
      <c r="O828" s="414">
        <f t="shared" ref="O828:O833" si="330">IFERROR(ROUNDUP(N828/0.95,0.999),0)</f>
        <v>0</v>
      </c>
      <c r="P828" s="415" t="str">
        <f t="shared" ref="P828:P833" si="331">IFERROR((R828/C828/O828),"-")</f>
        <v>-</v>
      </c>
      <c r="Q828" s="37"/>
      <c r="R828" s="285">
        <f>R814</f>
        <v>0</v>
      </c>
    </row>
    <row r="829" spans="1:18">
      <c r="A829" s="200" t="s">
        <v>1737</v>
      </c>
      <c r="B829" s="284">
        <f>18.05-18.05</f>
        <v>0</v>
      </c>
      <c r="C829" s="414" t="str">
        <f t="shared" si="322"/>
        <v>-</v>
      </c>
      <c r="D829" s="259" t="str">
        <f t="shared" si="323"/>
        <v>-</v>
      </c>
      <c r="E829" s="414">
        <f t="shared" si="324"/>
        <v>0</v>
      </c>
      <c r="F829" s="415" t="str">
        <f t="shared" si="325"/>
        <v>-</v>
      </c>
      <c r="G829" s="37"/>
      <c r="H829" s="285">
        <f>H815</f>
        <v>0</v>
      </c>
      <c r="I829" s="259" t="str">
        <f t="shared" si="326"/>
        <v>-</v>
      </c>
      <c r="J829" s="414">
        <f t="shared" si="327"/>
        <v>0</v>
      </c>
      <c r="K829" s="415" t="str">
        <f t="shared" si="328"/>
        <v>-</v>
      </c>
      <c r="L829" s="37"/>
      <c r="M829" s="285">
        <f>M815</f>
        <v>0</v>
      </c>
      <c r="N829" s="259" t="str">
        <f t="shared" si="329"/>
        <v>-</v>
      </c>
      <c r="O829" s="414">
        <f t="shared" si="330"/>
        <v>0</v>
      </c>
      <c r="P829" s="415" t="str">
        <f t="shared" si="331"/>
        <v>-</v>
      </c>
      <c r="Q829" s="37"/>
      <c r="R829" s="285">
        <f>R815</f>
        <v>0</v>
      </c>
    </row>
    <row r="830" spans="1:18">
      <c r="A830" s="200" t="s">
        <v>1738</v>
      </c>
      <c r="B830" s="284">
        <f>18.05-18.05</f>
        <v>0</v>
      </c>
      <c r="C830" s="414" t="str">
        <f t="shared" si="322"/>
        <v>-</v>
      </c>
      <c r="D830" s="259" t="str">
        <f t="shared" si="323"/>
        <v>-</v>
      </c>
      <c r="E830" s="414">
        <f t="shared" si="324"/>
        <v>0</v>
      </c>
      <c r="F830" s="415" t="str">
        <f t="shared" si="325"/>
        <v>-</v>
      </c>
      <c r="G830" s="37"/>
      <c r="H830" s="285">
        <f>H819+H820</f>
        <v>0</v>
      </c>
      <c r="I830" s="259" t="str">
        <f t="shared" si="326"/>
        <v>-</v>
      </c>
      <c r="J830" s="414">
        <f t="shared" si="327"/>
        <v>0</v>
      </c>
      <c r="K830" s="415" t="str">
        <f t="shared" si="328"/>
        <v>-</v>
      </c>
      <c r="L830" s="37"/>
      <c r="M830" s="285">
        <f>M819+M820</f>
        <v>0</v>
      </c>
      <c r="N830" s="259" t="str">
        <f t="shared" si="329"/>
        <v>-</v>
      </c>
      <c r="O830" s="414">
        <f t="shared" si="330"/>
        <v>0</v>
      </c>
      <c r="P830" s="415" t="str">
        <f t="shared" si="331"/>
        <v>-</v>
      </c>
      <c r="Q830" s="37"/>
      <c r="R830" s="285">
        <f>R819+R820</f>
        <v>0</v>
      </c>
    </row>
    <row r="831" spans="1:18">
      <c r="A831" s="200" t="s">
        <v>1739</v>
      </c>
      <c r="B831" s="284">
        <f>18.05-18.05</f>
        <v>0</v>
      </c>
      <c r="C831" s="414" t="str">
        <f t="shared" si="322"/>
        <v>-</v>
      </c>
      <c r="D831" s="259" t="str">
        <f t="shared" si="323"/>
        <v>-</v>
      </c>
      <c r="E831" s="414">
        <f t="shared" si="324"/>
        <v>0</v>
      </c>
      <c r="F831" s="415" t="str">
        <f t="shared" si="325"/>
        <v>-</v>
      </c>
      <c r="G831" s="37"/>
      <c r="H831" s="285">
        <f>H821+H823+H825</f>
        <v>0</v>
      </c>
      <c r="I831" s="259" t="str">
        <f t="shared" si="326"/>
        <v>-</v>
      </c>
      <c r="J831" s="414">
        <f t="shared" si="327"/>
        <v>0</v>
      </c>
      <c r="K831" s="415" t="str">
        <f t="shared" si="328"/>
        <v>-</v>
      </c>
      <c r="L831" s="37"/>
      <c r="M831" s="285">
        <f>M821+M823+M825</f>
        <v>0</v>
      </c>
      <c r="N831" s="259" t="str">
        <f t="shared" si="329"/>
        <v>-</v>
      </c>
      <c r="O831" s="414">
        <f t="shared" si="330"/>
        <v>0</v>
      </c>
      <c r="P831" s="415" t="str">
        <f t="shared" si="331"/>
        <v>-</v>
      </c>
      <c r="Q831" s="37"/>
      <c r="R831" s="285">
        <f>R821+R823+R825</f>
        <v>0</v>
      </c>
    </row>
    <row r="832" spans="1:18">
      <c r="A832" s="200" t="s">
        <v>1740</v>
      </c>
      <c r="B832" s="284">
        <f>18.05-18.05</f>
        <v>0</v>
      </c>
      <c r="C832" s="414" t="str">
        <f t="shared" si="322"/>
        <v>-</v>
      </c>
      <c r="D832" s="259" t="str">
        <f t="shared" si="323"/>
        <v>-</v>
      </c>
      <c r="E832" s="414">
        <f t="shared" si="324"/>
        <v>0</v>
      </c>
      <c r="F832" s="415" t="str">
        <f t="shared" si="325"/>
        <v>-</v>
      </c>
      <c r="G832" s="37"/>
      <c r="H832" s="285">
        <f>H826+H824+H822</f>
        <v>0</v>
      </c>
      <c r="I832" s="259" t="str">
        <f t="shared" si="326"/>
        <v>-</v>
      </c>
      <c r="J832" s="414">
        <f t="shared" si="327"/>
        <v>0</v>
      </c>
      <c r="K832" s="415" t="str">
        <f t="shared" si="328"/>
        <v>-</v>
      </c>
      <c r="L832" s="37"/>
      <c r="M832" s="285">
        <f>M826+M824+M822</f>
        <v>0</v>
      </c>
      <c r="N832" s="259" t="str">
        <f t="shared" si="329"/>
        <v>-</v>
      </c>
      <c r="O832" s="414">
        <f t="shared" si="330"/>
        <v>0</v>
      </c>
      <c r="P832" s="415" t="str">
        <f t="shared" si="331"/>
        <v>-</v>
      </c>
      <c r="Q832" s="37"/>
      <c r="R832" s="285">
        <f>R826+R824+R822</f>
        <v>0</v>
      </c>
    </row>
    <row r="833" spans="1:18">
      <c r="A833" s="265" t="s">
        <v>705</v>
      </c>
      <c r="B833" s="284">
        <f>15.05-15.05</f>
        <v>0</v>
      </c>
      <c r="C833" s="251" t="str">
        <f t="shared" si="322"/>
        <v>-</v>
      </c>
      <c r="D833" s="259" t="str">
        <f t="shared" si="323"/>
        <v>-</v>
      </c>
      <c r="E833" s="251">
        <f t="shared" si="324"/>
        <v>0</v>
      </c>
      <c r="F833" s="252" t="str">
        <f t="shared" si="325"/>
        <v>-</v>
      </c>
      <c r="G833" s="37"/>
      <c r="H833" s="285">
        <f>SUM(H814:H826)</f>
        <v>0</v>
      </c>
      <c r="I833" s="259" t="str">
        <f t="shared" si="326"/>
        <v>-</v>
      </c>
      <c r="J833" s="251">
        <f t="shared" si="327"/>
        <v>0</v>
      </c>
      <c r="K833" s="252" t="str">
        <f t="shared" si="328"/>
        <v>-</v>
      </c>
      <c r="L833" s="37"/>
      <c r="M833" s="285">
        <f>SUM(M814:M826)</f>
        <v>0</v>
      </c>
      <c r="N833" s="259" t="str">
        <f t="shared" si="329"/>
        <v>-</v>
      </c>
      <c r="O833" s="251">
        <f t="shared" si="330"/>
        <v>0</v>
      </c>
      <c r="P833" s="252" t="str">
        <f t="shared" si="331"/>
        <v>-</v>
      </c>
      <c r="Q833" s="37"/>
      <c r="R833" s="285">
        <f>SUM(R814:R826)</f>
        <v>0</v>
      </c>
    </row>
    <row r="834" spans="1:18">
      <c r="A834" s="273" t="s">
        <v>683</v>
      </c>
      <c r="B834" s="284"/>
      <c r="C834" s="251"/>
      <c r="D834" s="259"/>
      <c r="E834" s="414">
        <f>IF(Preencher!B359="Sim",ROUNDUP(SUM(D835:D842),0)+E843+E844,0)</f>
        <v>1</v>
      </c>
      <c r="F834" s="415">
        <f>IF(Preencher!B359="Sim",IFERROR(AVERAGE(F835:F844),"-"),0)</f>
        <v>0.12291422081834617</v>
      </c>
      <c r="G834" s="37"/>
      <c r="H834" s="285"/>
      <c r="I834" s="259"/>
      <c r="J834" s="706">
        <f>IF(Preencher!C359="Sim",ROUNDUP(SUM(I835:I842),0)+J843+J844,0)</f>
        <v>0</v>
      </c>
      <c r="K834" s="705">
        <f>IF(Preencher!C359="Sim",IFERROR(AVERAGE(K835:K844),"-"),0)</f>
        <v>0</v>
      </c>
      <c r="L834" s="37"/>
      <c r="M834" s="285"/>
      <c r="N834" s="259"/>
      <c r="O834" s="706">
        <f>IF(Preencher!D359="Sim",ROUNDUP(SUM(N835:N842),0)+O843+O844,0)</f>
        <v>0</v>
      </c>
      <c r="P834" s="705">
        <f>IF(Preencher!D359="Sim",IFERROR(AVERAGE(P835:P844),"-"),0)</f>
        <v>0</v>
      </c>
      <c r="Q834" s="37"/>
      <c r="R834" s="285"/>
    </row>
    <row r="835" spans="1:18">
      <c r="A835" s="200" t="s">
        <v>1741</v>
      </c>
      <c r="B835" s="352">
        <v>17.812999999999999</v>
      </c>
      <c r="C835" s="424">
        <f>IF(B835=0,"-",3600/B835)</f>
        <v>202.09959018694212</v>
      </c>
      <c r="D835" s="259">
        <f t="shared" ref="D835:D842" si="332">IFERROR((H835/C835),"-")</f>
        <v>0</v>
      </c>
      <c r="E835" s="424">
        <f t="shared" ref="E835:E842" si="333">IFERROR(ROUNDUP(D835/0.95,0.999),0)</f>
        <v>0</v>
      </c>
      <c r="F835" s="425" t="str">
        <f t="shared" ref="F835:F844" si="334">IFERROR((H835/C835/E835),"-")</f>
        <v>-</v>
      </c>
      <c r="G835" s="37"/>
      <c r="H835" s="285">
        <f>Preencher!AG233</f>
        <v>0</v>
      </c>
      <c r="I835" s="259">
        <f t="shared" ref="I835:I842" si="335">IFERROR((M835/C835),"-")</f>
        <v>0</v>
      </c>
      <c r="J835" s="539">
        <f t="shared" ref="J835:J842" si="336">IFERROR(ROUNDUP(I835/0.95,0.999),0)</f>
        <v>0</v>
      </c>
      <c r="K835" s="540" t="str">
        <f>IFERROR((M835/C835/J835),"-")</f>
        <v>-</v>
      </c>
      <c r="L835" s="37"/>
      <c r="M835" s="285">
        <f>Preencher!AI233</f>
        <v>0</v>
      </c>
      <c r="N835" s="259">
        <f t="shared" ref="N835:N842" si="337">IFERROR((R835/C835),"-")</f>
        <v>0</v>
      </c>
      <c r="O835" s="539">
        <f t="shared" ref="O835:O842" si="338">IFERROR(ROUNDUP(N835/0.95,0.999),0)</f>
        <v>0</v>
      </c>
      <c r="P835" s="540" t="str">
        <f>IFERROR((R835/C835/O835),"-")</f>
        <v>-</v>
      </c>
      <c r="Q835" s="37"/>
      <c r="R835" s="285">
        <f>Preencher!AK233</f>
        <v>0</v>
      </c>
    </row>
    <row r="836" spans="1:18">
      <c r="A836" s="200" t="s">
        <v>1742</v>
      </c>
      <c r="B836" s="352">
        <f>IF(Preencher!H360="Não",5.75,'BD Temp'!B835)</f>
        <v>5.75</v>
      </c>
      <c r="C836" s="414">
        <f t="shared" ref="C836:C844" si="339">IF(B836=0,"-",3600/B836)</f>
        <v>626.08695652173913</v>
      </c>
      <c r="D836" s="259">
        <f t="shared" si="332"/>
        <v>0</v>
      </c>
      <c r="E836" s="414">
        <f t="shared" si="333"/>
        <v>0</v>
      </c>
      <c r="F836" s="415" t="str">
        <f t="shared" si="334"/>
        <v>-</v>
      </c>
      <c r="G836" s="37"/>
      <c r="H836" s="285">
        <f>Preencher!AG234</f>
        <v>0</v>
      </c>
      <c r="I836" s="259">
        <f t="shared" si="335"/>
        <v>0</v>
      </c>
      <c r="J836" s="414">
        <f t="shared" si="336"/>
        <v>0</v>
      </c>
      <c r="K836" s="415" t="str">
        <f t="shared" ref="K836:K844" si="340">IFERROR((M836/C836/J836),"-")</f>
        <v>-</v>
      </c>
      <c r="L836" s="37"/>
      <c r="M836" s="285">
        <f>Preencher!AI234</f>
        <v>0</v>
      </c>
      <c r="N836" s="259">
        <f t="shared" si="337"/>
        <v>0</v>
      </c>
      <c r="O836" s="414">
        <f t="shared" si="338"/>
        <v>0</v>
      </c>
      <c r="P836" s="415" t="str">
        <f t="shared" ref="P836:P844" si="341">IFERROR((R836/C836/O836),"-")</f>
        <v>-</v>
      </c>
      <c r="Q836" s="37"/>
      <c r="R836" s="285">
        <f>Preencher!AK234</f>
        <v>0</v>
      </c>
    </row>
    <row r="837" spans="1:18">
      <c r="A837" s="200" t="s">
        <v>1749</v>
      </c>
      <c r="B837" s="352">
        <v>17.812999999999999</v>
      </c>
      <c r="C837" s="414">
        <f t="shared" si="339"/>
        <v>202.09959018694212</v>
      </c>
      <c r="D837" s="259">
        <f t="shared" si="332"/>
        <v>0</v>
      </c>
      <c r="E837" s="414">
        <f t="shared" si="333"/>
        <v>0</v>
      </c>
      <c r="F837" s="415" t="str">
        <f t="shared" si="334"/>
        <v>-</v>
      </c>
      <c r="G837" s="37"/>
      <c r="H837" s="285">
        <f>Preencher!AG246+Preencher!AG247</f>
        <v>0</v>
      </c>
      <c r="I837" s="259">
        <f t="shared" si="335"/>
        <v>0</v>
      </c>
      <c r="J837" s="414">
        <f t="shared" si="336"/>
        <v>0</v>
      </c>
      <c r="K837" s="415" t="str">
        <f t="shared" si="340"/>
        <v>-</v>
      </c>
      <c r="L837" s="37"/>
      <c r="M837" s="285">
        <f>Preencher!AI246+Preencher!AI247</f>
        <v>0</v>
      </c>
      <c r="N837" s="259">
        <f t="shared" si="337"/>
        <v>0</v>
      </c>
      <c r="O837" s="414">
        <f t="shared" si="338"/>
        <v>0</v>
      </c>
      <c r="P837" s="415" t="str">
        <f t="shared" si="341"/>
        <v>-</v>
      </c>
      <c r="Q837" s="37"/>
      <c r="R837" s="285">
        <f>Preencher!AK246+Preencher!AK247</f>
        <v>0</v>
      </c>
    </row>
    <row r="838" spans="1:18">
      <c r="A838" s="200" t="s">
        <v>1801</v>
      </c>
      <c r="B838" s="352">
        <f>IF(Preencher!H362="Não",12.35,'BD Temp'!B837)</f>
        <v>17.812999999999999</v>
      </c>
      <c r="C838" s="414">
        <f t="shared" si="339"/>
        <v>202.09959018694212</v>
      </c>
      <c r="D838" s="259">
        <f t="shared" si="332"/>
        <v>0</v>
      </c>
      <c r="E838" s="414">
        <f t="shared" si="333"/>
        <v>0</v>
      </c>
      <c r="F838" s="415" t="str">
        <f t="shared" si="334"/>
        <v>-</v>
      </c>
      <c r="G838" s="37"/>
      <c r="H838" s="285">
        <f>Preencher!AG248</f>
        <v>0</v>
      </c>
      <c r="I838" s="259">
        <f t="shared" si="335"/>
        <v>0</v>
      </c>
      <c r="J838" s="414">
        <f t="shared" si="336"/>
        <v>0</v>
      </c>
      <c r="K838" s="415" t="str">
        <f t="shared" si="340"/>
        <v>-</v>
      </c>
      <c r="L838" s="37"/>
      <c r="M838" s="285">
        <f>Preencher!AI248</f>
        <v>0</v>
      </c>
      <c r="N838" s="259">
        <f t="shared" si="337"/>
        <v>0</v>
      </c>
      <c r="O838" s="414">
        <f t="shared" si="338"/>
        <v>0</v>
      </c>
      <c r="P838" s="415" t="str">
        <f t="shared" si="341"/>
        <v>-</v>
      </c>
      <c r="Q838" s="37"/>
      <c r="R838" s="285">
        <f>Preencher!AK248</f>
        <v>0</v>
      </c>
    </row>
    <row r="839" spans="1:18">
      <c r="A839" s="200" t="s">
        <v>1743</v>
      </c>
      <c r="B839" s="352">
        <f>IF(Preencher!H363="Não",12.35,'BD Temp'!B837)</f>
        <v>17.812999999999999</v>
      </c>
      <c r="C839" s="414">
        <f t="shared" si="339"/>
        <v>202.09959018694212</v>
      </c>
      <c r="D839" s="259">
        <f t="shared" si="332"/>
        <v>0</v>
      </c>
      <c r="E839" s="414">
        <f t="shared" si="333"/>
        <v>0</v>
      </c>
      <c r="F839" s="415" t="str">
        <f t="shared" si="334"/>
        <v>-</v>
      </c>
      <c r="G839" s="37"/>
      <c r="H839" s="285">
        <f>Preencher!AG249</f>
        <v>0</v>
      </c>
      <c r="I839" s="259">
        <f t="shared" si="335"/>
        <v>0</v>
      </c>
      <c r="J839" s="414">
        <f t="shared" si="336"/>
        <v>0</v>
      </c>
      <c r="K839" s="415" t="str">
        <f t="shared" si="340"/>
        <v>-</v>
      </c>
      <c r="L839" s="37"/>
      <c r="M839" s="285">
        <f>Preencher!AI249</f>
        <v>0</v>
      </c>
      <c r="N839" s="259">
        <f t="shared" si="337"/>
        <v>0</v>
      </c>
      <c r="O839" s="414">
        <f t="shared" si="338"/>
        <v>0</v>
      </c>
      <c r="P839" s="415" t="str">
        <f t="shared" si="341"/>
        <v>-</v>
      </c>
      <c r="Q839" s="37"/>
      <c r="R839" s="285">
        <f>Preencher!AK249</f>
        <v>0</v>
      </c>
    </row>
    <row r="840" spans="1:18">
      <c r="A840" s="200" t="s">
        <v>1750</v>
      </c>
      <c r="B840" s="352">
        <v>14.933999999999999</v>
      </c>
      <c r="C840" s="414">
        <f t="shared" si="339"/>
        <v>241.06066693451186</v>
      </c>
      <c r="D840" s="259">
        <f t="shared" si="332"/>
        <v>0</v>
      </c>
      <c r="E840" s="414">
        <f t="shared" si="333"/>
        <v>0</v>
      </c>
      <c r="F840" s="415" t="str">
        <f t="shared" si="334"/>
        <v>-</v>
      </c>
      <c r="G840" s="37"/>
      <c r="H840" s="285">
        <f>Preencher!AG262+Preencher!AG264</f>
        <v>0</v>
      </c>
      <c r="I840" s="259">
        <f t="shared" si="335"/>
        <v>0</v>
      </c>
      <c r="J840" s="414">
        <f t="shared" si="336"/>
        <v>0</v>
      </c>
      <c r="K840" s="415" t="str">
        <f t="shared" si="340"/>
        <v>-</v>
      </c>
      <c r="L840" s="37"/>
      <c r="M840" s="285">
        <f>Preencher!AI262+Preencher!AI264</f>
        <v>0</v>
      </c>
      <c r="N840" s="259">
        <f t="shared" si="337"/>
        <v>0</v>
      </c>
      <c r="O840" s="414">
        <f t="shared" si="338"/>
        <v>0</v>
      </c>
      <c r="P840" s="415" t="str">
        <f t="shared" si="341"/>
        <v>-</v>
      </c>
      <c r="Q840" s="37"/>
      <c r="R840" s="285">
        <f>Preencher!AK262+Preencher!AK264</f>
        <v>0</v>
      </c>
    </row>
    <row r="841" spans="1:18">
      <c r="A841" s="200" t="s">
        <v>1748</v>
      </c>
      <c r="B841" s="352">
        <f>IF(Preencher!H365="Não",12.35,'BD Temp'!B835)</f>
        <v>17.812999999999999</v>
      </c>
      <c r="C841" s="424">
        <f>IF(B841=0,"-",3600/B841)</f>
        <v>202.09959018694212</v>
      </c>
      <c r="D841" s="259">
        <f t="shared" si="332"/>
        <v>0.12291422081834617</v>
      </c>
      <c r="E841" s="424">
        <f t="shared" si="333"/>
        <v>1</v>
      </c>
      <c r="F841" s="425">
        <f t="shared" si="334"/>
        <v>0.12291422081834617</v>
      </c>
      <c r="G841" s="37"/>
      <c r="H841" s="285">
        <f>Preencher!AG265</f>
        <v>24.840913655535072</v>
      </c>
      <c r="I841" s="259">
        <f t="shared" si="335"/>
        <v>0</v>
      </c>
      <c r="J841" s="424">
        <f t="shared" si="336"/>
        <v>0</v>
      </c>
      <c r="K841" s="425" t="str">
        <f>IFERROR((M841/C841/J841),"-")</f>
        <v>-</v>
      </c>
      <c r="L841" s="37"/>
      <c r="M841" s="285">
        <f>Preencher!AI265</f>
        <v>0</v>
      </c>
      <c r="N841" s="259">
        <f t="shared" si="337"/>
        <v>0</v>
      </c>
      <c r="O841" s="424">
        <f t="shared" si="338"/>
        <v>0</v>
      </c>
      <c r="P841" s="425" t="str">
        <f>IFERROR((R841/C841/O841),"-")</f>
        <v>-</v>
      </c>
      <c r="Q841" s="37"/>
      <c r="R841" s="285">
        <f>Preencher!AK265</f>
        <v>0</v>
      </c>
    </row>
    <row r="842" spans="1:18">
      <c r="A842" s="200" t="s">
        <v>1744</v>
      </c>
      <c r="B842" s="352">
        <f>IF(Preencher!H366="Não",12.35,'BD Temp'!B841)</f>
        <v>17.812999999999999</v>
      </c>
      <c r="C842" s="424">
        <f>IF(B842=0,"-",3600/B842)</f>
        <v>202.09959018694212</v>
      </c>
      <c r="D842" s="259">
        <f t="shared" si="332"/>
        <v>0</v>
      </c>
      <c r="E842" s="424">
        <f t="shared" si="333"/>
        <v>0</v>
      </c>
      <c r="F842" s="425" t="str">
        <f t="shared" si="334"/>
        <v>-</v>
      </c>
      <c r="G842" s="37"/>
      <c r="H842" s="285">
        <f>Preencher!AG271</f>
        <v>0</v>
      </c>
      <c r="I842" s="259">
        <f t="shared" si="335"/>
        <v>0</v>
      </c>
      <c r="J842" s="424">
        <f t="shared" si="336"/>
        <v>0</v>
      </c>
      <c r="K842" s="425" t="str">
        <f>IFERROR((M842/C842/J842),"-")</f>
        <v>-</v>
      </c>
      <c r="L842" s="37"/>
      <c r="M842" s="285">
        <f>Preencher!AI271</f>
        <v>0</v>
      </c>
      <c r="N842" s="259">
        <f t="shared" si="337"/>
        <v>0</v>
      </c>
      <c r="O842" s="424">
        <f t="shared" si="338"/>
        <v>0</v>
      </c>
      <c r="P842" s="425" t="str">
        <f>IFERROR((R842/C842/O842),"-")</f>
        <v>-</v>
      </c>
      <c r="Q842" s="37"/>
      <c r="R842" s="285">
        <f>Preencher!AK271</f>
        <v>0</v>
      </c>
    </row>
    <row r="843" spans="1:18">
      <c r="A843" s="200" t="s">
        <v>2182</v>
      </c>
      <c r="B843" s="352">
        <v>30</v>
      </c>
      <c r="C843" s="414">
        <f t="shared" si="339"/>
        <v>120</v>
      </c>
      <c r="D843" s="259">
        <f>IFERROR((H843/C843/G843),"-")</f>
        <v>0</v>
      </c>
      <c r="E843" s="414">
        <f>IFERROR(ROUNDUP(D843/0.95,0.999),0)*G843</f>
        <v>0</v>
      </c>
      <c r="F843" s="415" t="str">
        <f t="shared" si="334"/>
        <v>-</v>
      </c>
      <c r="G843" s="93">
        <f>IF(H843&gt;60,2,1)</f>
        <v>1</v>
      </c>
      <c r="H843" s="285">
        <f>(Preencher!$B$212*Preencher!$C$247*SUM(Preencher!$C$261:$C$265)*10.48%/30)+(Preencher!$B$212*Preencher!$C$247*SUM(Preencher!$C$281:$C$284)*14.07%/30)</f>
        <v>0</v>
      </c>
      <c r="I843" s="259">
        <f>IFERROR((M843/C843/L843),"-")</f>
        <v>0</v>
      </c>
      <c r="J843" s="414">
        <f>IFERROR(ROUNDUP(I843/0.95,0.999),0)*L843</f>
        <v>0</v>
      </c>
      <c r="K843" s="415" t="str">
        <f t="shared" si="340"/>
        <v>-</v>
      </c>
      <c r="L843" s="93">
        <f>IF(M843&gt;60,2,1)</f>
        <v>1</v>
      </c>
      <c r="M843" s="285">
        <f>(Preencher!$C$212*Preencher!$D$247*SUM(Preencher!$D$261:$D$265)*10.48%/30)+(Preencher!$C$212*Preencher!$D$247*SUM(Preencher!$D$281:$D$284)*14.07%/30)</f>
        <v>0</v>
      </c>
      <c r="N843" s="259">
        <f>IFERROR((R843/C843/Q843),"-")</f>
        <v>0</v>
      </c>
      <c r="O843" s="414">
        <f>IFERROR(ROUNDUP(N843/0.95,0.999),0)*Q843</f>
        <v>0</v>
      </c>
      <c r="P843" s="415" t="str">
        <f t="shared" si="341"/>
        <v>-</v>
      </c>
      <c r="Q843" s="93">
        <f>IF(R843&gt;60,2,1)</f>
        <v>1</v>
      </c>
      <c r="R843" s="285">
        <f>(Preencher!$D$212*Preencher!$E$247*SUM(Preencher!$E$261:$E$265)*10.48%/30)+(Preencher!$D$212*Preencher!$E$247*SUM(Preencher!$E$281:$E$284)*14.07%/30)</f>
        <v>0</v>
      </c>
    </row>
    <row r="844" spans="1:18">
      <c r="A844" s="200" t="s">
        <v>2183</v>
      </c>
      <c r="B844" s="352">
        <v>5</v>
      </c>
      <c r="C844" s="414">
        <f t="shared" si="339"/>
        <v>720</v>
      </c>
      <c r="D844" s="259">
        <f>IFERROR((H844/C844),"-")</f>
        <v>0</v>
      </c>
      <c r="E844" s="414">
        <f>IFERROR(ROUNDUP(D844/0.95,0.999),0)</f>
        <v>0</v>
      </c>
      <c r="F844" s="415" t="str">
        <f t="shared" si="334"/>
        <v>-</v>
      </c>
      <c r="G844" s="93"/>
      <c r="H844" s="285">
        <f>IF(H843&lt;35,0,H843)</f>
        <v>0</v>
      </c>
      <c r="I844" s="259">
        <f>IFERROR((M844/C844),"-")</f>
        <v>0</v>
      </c>
      <c r="J844" s="414">
        <f>IFERROR(ROUNDUP(I844/0.95,0.999),0)</f>
        <v>0</v>
      </c>
      <c r="K844" s="415" t="str">
        <f t="shared" si="340"/>
        <v>-</v>
      </c>
      <c r="L844" s="37"/>
      <c r="M844" s="285">
        <f>IF(M843&lt;35,0,M843)</f>
        <v>0</v>
      </c>
      <c r="N844" s="259">
        <f>IFERROR((R844/C844),"-")</f>
        <v>0</v>
      </c>
      <c r="O844" s="414">
        <f>IFERROR(ROUNDUP(N844/0.95,0.999),0)</f>
        <v>0</v>
      </c>
      <c r="P844" s="415" t="str">
        <f t="shared" si="341"/>
        <v>-</v>
      </c>
      <c r="Q844" s="37"/>
      <c r="R844" s="285">
        <f>IF(R843&lt;35,0,R843)</f>
        <v>0</v>
      </c>
    </row>
    <row r="845" spans="1:18">
      <c r="A845" s="200"/>
      <c r="B845" s="297"/>
      <c r="C845" s="41"/>
      <c r="D845" s="41"/>
      <c r="E845" s="41"/>
      <c r="F845" s="41"/>
      <c r="G845" s="41"/>
      <c r="H845" s="298"/>
      <c r="I845" s="41"/>
      <c r="J845" s="41"/>
      <c r="K845" s="41"/>
      <c r="L845" s="41"/>
      <c r="M845" s="298"/>
      <c r="N845" s="41"/>
      <c r="O845" s="41"/>
      <c r="P845" s="41"/>
      <c r="Q845" s="41"/>
      <c r="R845" s="298"/>
    </row>
    <row r="846" spans="1:18">
      <c r="A846" s="274" t="s">
        <v>723</v>
      </c>
      <c r="B846" s="299"/>
      <c r="C846" s="47"/>
      <c r="D846" s="47"/>
      <c r="E846" s="47"/>
      <c r="F846" s="47"/>
      <c r="G846" s="47"/>
      <c r="H846" s="300"/>
      <c r="I846" s="47"/>
      <c r="J846" s="47"/>
      <c r="K846" s="47"/>
      <c r="L846" s="47"/>
      <c r="M846" s="300"/>
      <c r="N846" s="47"/>
      <c r="O846" s="47"/>
      <c r="P846" s="47"/>
      <c r="Q846" s="47"/>
      <c r="R846" s="300"/>
    </row>
    <row r="847" spans="1:18">
      <c r="A847" s="273"/>
      <c r="B847" s="297"/>
      <c r="C847" s="41"/>
      <c r="D847" s="41"/>
      <c r="E847" s="41"/>
      <c r="F847" s="41"/>
      <c r="G847" s="41"/>
      <c r="H847" s="298"/>
      <c r="I847" s="41"/>
      <c r="J847" s="41"/>
      <c r="K847" s="41"/>
      <c r="L847" s="41"/>
      <c r="M847" s="298"/>
      <c r="N847" s="41"/>
      <c r="O847" s="41"/>
      <c r="P847" s="41"/>
      <c r="Q847" s="41"/>
      <c r="R847" s="298"/>
    </row>
    <row r="848" spans="1:18">
      <c r="A848" s="273"/>
      <c r="B848" s="297"/>
      <c r="C848" s="41"/>
      <c r="D848" s="41"/>
      <c r="E848" s="41"/>
      <c r="F848" s="41"/>
      <c r="G848" s="41"/>
      <c r="H848" s="298"/>
      <c r="I848" s="41"/>
      <c r="J848" s="41"/>
      <c r="K848" s="41"/>
      <c r="L848" s="41"/>
      <c r="M848" s="298"/>
      <c r="N848" s="41"/>
      <c r="O848" s="41"/>
      <c r="P848" s="41"/>
      <c r="Q848" s="41"/>
      <c r="R848" s="298"/>
    </row>
    <row r="849" spans="1:18">
      <c r="A849" s="273"/>
      <c r="B849" s="297"/>
      <c r="C849" s="41"/>
      <c r="D849" s="41"/>
      <c r="E849" s="41"/>
      <c r="F849" s="41"/>
      <c r="G849" s="41"/>
      <c r="H849" s="298"/>
      <c r="I849" s="41"/>
      <c r="J849" s="41"/>
      <c r="K849" s="41"/>
      <c r="L849" s="41"/>
      <c r="M849" s="298"/>
      <c r="N849" s="41"/>
      <c r="O849" s="41"/>
      <c r="P849" s="41"/>
      <c r="Q849" s="41"/>
      <c r="R849" s="298"/>
    </row>
    <row r="850" spans="1:18">
      <c r="A850" s="273"/>
      <c r="B850" s="297"/>
      <c r="C850" s="41"/>
      <c r="D850" s="41"/>
      <c r="E850" s="41"/>
      <c r="F850" s="41"/>
      <c r="G850" s="41"/>
      <c r="H850" s="298"/>
      <c r="I850" s="41"/>
      <c r="J850" s="41"/>
      <c r="K850" s="41"/>
      <c r="L850" s="41"/>
      <c r="M850" s="298"/>
      <c r="N850" s="41"/>
      <c r="O850" s="41"/>
      <c r="P850" s="41"/>
      <c r="Q850" s="41"/>
      <c r="R850" s="298"/>
    </row>
    <row r="851" spans="1:18">
      <c r="A851" s="273"/>
      <c r="B851" s="297"/>
      <c r="C851" s="41"/>
      <c r="D851" s="41"/>
      <c r="E851" s="41"/>
      <c r="F851" s="41"/>
      <c r="G851" s="41"/>
      <c r="H851" s="298"/>
      <c r="I851" s="41"/>
      <c r="J851" s="41"/>
      <c r="K851" s="41"/>
      <c r="L851" s="41"/>
      <c r="M851" s="298"/>
      <c r="N851" s="41"/>
      <c r="O851" s="41"/>
      <c r="P851" s="41"/>
      <c r="Q851" s="41"/>
      <c r="R851" s="298"/>
    </row>
    <row r="852" spans="1:18">
      <c r="A852" s="268"/>
      <c r="B852" s="288"/>
      <c r="C852" s="13"/>
      <c r="D852" s="13"/>
      <c r="E852" s="13"/>
      <c r="F852" s="13"/>
      <c r="G852" s="13"/>
      <c r="H852" s="113"/>
      <c r="I852" s="13"/>
      <c r="J852" s="13"/>
      <c r="K852" s="13"/>
      <c r="L852" s="13"/>
      <c r="M852" s="113"/>
      <c r="N852" s="13"/>
      <c r="O852" s="13"/>
      <c r="P852" s="13"/>
      <c r="Q852" s="13"/>
      <c r="R852" s="113"/>
    </row>
    <row r="853" spans="1:18">
      <c r="A853" s="264" t="s">
        <v>235</v>
      </c>
      <c r="B853" s="282"/>
      <c r="C853" s="40"/>
      <c r="D853" s="40"/>
      <c r="E853" s="40"/>
      <c r="F853" s="40"/>
      <c r="G853" s="40"/>
      <c r="H853" s="283"/>
      <c r="I853" s="40"/>
      <c r="J853" s="40"/>
      <c r="K853" s="40"/>
      <c r="L853" s="40"/>
      <c r="M853" s="283"/>
      <c r="N853" s="40"/>
      <c r="O853" s="40"/>
      <c r="P853" s="40"/>
      <c r="Q853" s="40"/>
      <c r="R853" s="283"/>
    </row>
    <row r="854" spans="1:18">
      <c r="A854" s="268" t="s">
        <v>17</v>
      </c>
      <c r="B854" s="288"/>
      <c r="C854" s="13"/>
      <c r="D854" s="13"/>
      <c r="E854" s="13"/>
      <c r="F854" s="13"/>
      <c r="G854" s="13"/>
      <c r="H854" s="113"/>
      <c r="I854" s="13"/>
      <c r="J854" s="13"/>
      <c r="K854" s="13"/>
      <c r="L854" s="13"/>
      <c r="M854" s="113"/>
      <c r="N854" s="13"/>
      <c r="O854" s="13"/>
      <c r="P854" s="13"/>
      <c r="Q854" s="13"/>
      <c r="R854" s="113"/>
    </row>
    <row r="855" spans="1:18">
      <c r="A855" s="268" t="s">
        <v>18</v>
      </c>
      <c r="B855" s="288"/>
      <c r="C855" s="13"/>
      <c r="D855" s="13"/>
      <c r="E855" s="13"/>
      <c r="F855" s="13"/>
      <c r="G855" s="13"/>
      <c r="H855" s="113"/>
      <c r="I855" s="13"/>
      <c r="J855" s="13"/>
      <c r="K855" s="13"/>
      <c r="L855" s="13"/>
      <c r="M855" s="113"/>
      <c r="N855" s="13"/>
      <c r="O855" s="13"/>
      <c r="P855" s="13"/>
      <c r="Q855" s="13"/>
      <c r="R855" s="113"/>
    </row>
    <row r="856" spans="1:18">
      <c r="A856" s="268"/>
      <c r="B856" s="288"/>
      <c r="C856" s="13"/>
      <c r="D856" s="13"/>
      <c r="E856" s="13"/>
      <c r="F856" s="13"/>
      <c r="G856" s="13"/>
      <c r="H856" s="113"/>
      <c r="I856" s="13"/>
      <c r="J856" s="13"/>
      <c r="K856" s="13"/>
      <c r="L856" s="13"/>
      <c r="M856" s="113"/>
      <c r="N856" s="13"/>
      <c r="O856" s="13"/>
      <c r="P856" s="13"/>
      <c r="Q856" s="13"/>
      <c r="R856" s="113"/>
    </row>
    <row r="857" spans="1:18">
      <c r="A857" s="263" t="s">
        <v>121</v>
      </c>
      <c r="B857" s="280"/>
      <c r="C857" s="35"/>
      <c r="D857" s="35"/>
      <c r="E857" s="35"/>
      <c r="F857" s="35"/>
      <c r="G857" s="35"/>
      <c r="H857" s="281"/>
      <c r="I857" s="35"/>
      <c r="J857" s="35"/>
      <c r="K857" s="35"/>
      <c r="L857" s="35"/>
      <c r="M857" s="281"/>
      <c r="N857" s="35"/>
      <c r="O857" s="35"/>
      <c r="P857" s="35"/>
      <c r="Q857" s="35"/>
      <c r="R857" s="281"/>
    </row>
    <row r="858" spans="1:18">
      <c r="A858" s="264" t="s">
        <v>714</v>
      </c>
      <c r="B858" s="282"/>
      <c r="C858" s="40"/>
      <c r="D858" s="40"/>
      <c r="E858" s="40"/>
      <c r="F858" s="40"/>
      <c r="G858" s="40"/>
      <c r="H858" s="283"/>
      <c r="I858" s="40"/>
      <c r="J858" s="40"/>
      <c r="K858" s="40"/>
      <c r="L858" s="40"/>
      <c r="M858" s="283"/>
      <c r="N858" s="40"/>
      <c r="O858" s="40"/>
      <c r="P858" s="40"/>
      <c r="Q858" s="40"/>
      <c r="R858" s="283"/>
    </row>
    <row r="859" spans="1:18">
      <c r="A859" s="264" t="s">
        <v>121</v>
      </c>
      <c r="B859" s="282"/>
      <c r="C859" s="40"/>
      <c r="D859" s="40"/>
      <c r="E859" s="40"/>
      <c r="F859" s="40"/>
      <c r="G859" s="40"/>
      <c r="H859" s="283"/>
      <c r="I859" s="40"/>
      <c r="J859" s="40"/>
      <c r="K859" s="40"/>
      <c r="L859" s="40"/>
      <c r="M859" s="283"/>
      <c r="N859" s="40"/>
      <c r="O859" s="40"/>
      <c r="P859" s="40"/>
      <c r="Q859" s="40"/>
      <c r="R859" s="283"/>
    </row>
    <row r="860" spans="1:18">
      <c r="A860" s="271" t="s">
        <v>122</v>
      </c>
      <c r="B860" s="284">
        <f>IF(Preencher!$B$291=Preencher!$R$289,0,0.4275)</f>
        <v>0</v>
      </c>
      <c r="C860" s="251" t="str">
        <f>IF(B860=0,"-",3600/B860)</f>
        <v>-</v>
      </c>
      <c r="D860" s="259" t="str">
        <f>IFERROR((H860/C860/G860),"-")</f>
        <v>-</v>
      </c>
      <c r="E860" s="251">
        <f>IFERROR(ROUNDUP(D860/0.95,0.999),0)*G860</f>
        <v>0</v>
      </c>
      <c r="F860" s="252" t="str">
        <f>IFERROR((H860/C860/E860),"-")</f>
        <v>-</v>
      </c>
      <c r="G860" s="380">
        <f>Preencher!$B$292</f>
        <v>1</v>
      </c>
      <c r="H860" s="285">
        <f>Preencher!$B$290</f>
        <v>4800</v>
      </c>
      <c r="I860" s="259" t="str">
        <f>IFERROR((M860/C860/L860),"-")</f>
        <v>-</v>
      </c>
      <c r="J860" s="251">
        <f>IFERROR(ROUNDUP(I860/0.95,0.999),0)*L860</f>
        <v>0</v>
      </c>
      <c r="K860" s="252" t="str">
        <f>IFERROR((M860/C860/J860),"-")</f>
        <v>-</v>
      </c>
      <c r="L860" s="380">
        <f>Preencher!$C$292</f>
        <v>0</v>
      </c>
      <c r="M860" s="285">
        <f>Preencher!$C$290</f>
        <v>0</v>
      </c>
      <c r="N860" s="259" t="str">
        <f>IFERROR((R860/C860/Q860),"-")</f>
        <v>-</v>
      </c>
      <c r="O860" s="251">
        <f>IFERROR(ROUNDUP(N860/0.95,0.999),0)*Q860</f>
        <v>0</v>
      </c>
      <c r="P860" s="252" t="str">
        <f>IFERROR((R860/C860/O860),"-")</f>
        <v>-</v>
      </c>
      <c r="Q860" s="380">
        <f>Preencher!$D$292</f>
        <v>0</v>
      </c>
      <c r="R860" s="285">
        <f>Preencher!$D$290</f>
        <v>0</v>
      </c>
    </row>
    <row r="861" spans="1:18">
      <c r="A861" s="271" t="s">
        <v>171</v>
      </c>
      <c r="B861" s="284">
        <f>IF(Preencher!$A$310=Preencher!$V$289,0,2.09)</f>
        <v>2.09</v>
      </c>
      <c r="C861" s="426">
        <f>IF(B861=0,"-",3600/B861)</f>
        <v>1722.488038277512</v>
      </c>
      <c r="D861" s="259">
        <f>IFERROR((H861/C861/G861),"-")</f>
        <v>0.86769947508320777</v>
      </c>
      <c r="E861" s="426">
        <f>IFERROR(ROUNDUP(D861/0.95,0.999),0)*G861</f>
        <v>2</v>
      </c>
      <c r="F861" s="427">
        <f>IFERROR((H861/C861/E861),"-")</f>
        <v>0.86769947508320777</v>
      </c>
      <c r="G861" s="380">
        <f>Preencher!$B$296</f>
        <v>2</v>
      </c>
      <c r="H861" s="285">
        <f>Preencher!$B$290*Preencher!$C$310</f>
        <v>2989.203933301003</v>
      </c>
      <c r="I861" s="259" t="str">
        <f>IFERROR((M861/C861/L861),"-")</f>
        <v>-</v>
      </c>
      <c r="J861" s="426">
        <f>IFERROR(ROUNDUP(I861/0.95,0.999),0)*L861</f>
        <v>0</v>
      </c>
      <c r="K861" s="427" t="str">
        <f>IFERROR((M861/C861/J861),"-")</f>
        <v>-</v>
      </c>
      <c r="L861" s="380">
        <f>Preencher!$C$296</f>
        <v>0</v>
      </c>
      <c r="M861" s="285">
        <f>Preencher!$C$290*Preencher!$D$310</f>
        <v>0</v>
      </c>
      <c r="N861" s="259" t="str">
        <f>IFERROR((R861/C861/Q861),"-")</f>
        <v>-</v>
      </c>
      <c r="O861" s="426">
        <f>IFERROR(ROUNDUP(N861/0.95,0.999),0)*Q861</f>
        <v>0</v>
      </c>
      <c r="P861" s="427" t="str">
        <f>IFERROR((R861/C861/O861),"-")</f>
        <v>-</v>
      </c>
      <c r="Q861" s="380">
        <f>Preencher!$D$296</f>
        <v>0</v>
      </c>
      <c r="R861" s="285">
        <f>Preencher!$D$290*Preencher!$E$310</f>
        <v>0</v>
      </c>
    </row>
    <row r="862" spans="1:18">
      <c r="A862" s="271" t="s">
        <v>123</v>
      </c>
      <c r="B862" s="284"/>
      <c r="C862" s="251"/>
      <c r="D862" s="539">
        <f>SUM(D863:D867)</f>
        <v>0.89872928079398828</v>
      </c>
      <c r="E862" s="770">
        <f>ROUNDUP(SUM(D863:D867)/0.95,0)</f>
        <v>1</v>
      </c>
      <c r="F862" s="540">
        <f>IFERROR((D862/E862),"-")</f>
        <v>0.89872928079398828</v>
      </c>
      <c r="G862" s="37"/>
      <c r="H862" s="285"/>
      <c r="I862" s="539">
        <f>SUM(I863:I867)</f>
        <v>0</v>
      </c>
      <c r="J862" s="770">
        <f>ROUNDUP(SUM(I863:I867)/0.95,0)</f>
        <v>0</v>
      </c>
      <c r="K862" s="540" t="str">
        <f>IFERROR((I862/J862),"-")</f>
        <v>-</v>
      </c>
      <c r="L862" s="37"/>
      <c r="M862" s="285"/>
      <c r="N862" s="539">
        <f>SUM(N863:N867)</f>
        <v>0</v>
      </c>
      <c r="O862" s="539">
        <f>SUM(O863:O867)</f>
        <v>0</v>
      </c>
      <c r="P862" s="540" t="str">
        <f>IFERROR((N862/O862),"-")</f>
        <v>-</v>
      </c>
      <c r="Q862" s="37"/>
      <c r="R862" s="285"/>
    </row>
    <row r="863" spans="1:18">
      <c r="A863" s="200" t="s">
        <v>1822</v>
      </c>
      <c r="B863" s="284">
        <v>0.25700000000000001</v>
      </c>
      <c r="C863" s="539">
        <f>IF(B863=0,"-",3600/B863)</f>
        <v>14007.782101167315</v>
      </c>
      <c r="D863" s="259">
        <f>IFERROR((H863/C863),"-")</f>
        <v>0.21339594746065493</v>
      </c>
      <c r="E863" s="539">
        <f>IFERROR(ROUNDUP(D863/0.95,0.999),0)</f>
        <v>1</v>
      </c>
      <c r="F863" s="540">
        <f>IFERROR((H863/C863/E863),"-")</f>
        <v>0.21339594746065493</v>
      </c>
      <c r="G863" s="37"/>
      <c r="H863" s="285">
        <f>Preencher!$B$290*Preencher!$C$310*(100%-Preencher!$C$316)</f>
        <v>2989.203933301003</v>
      </c>
      <c r="I863" s="259">
        <f>IFERROR((M863/C863),"-")</f>
        <v>0</v>
      </c>
      <c r="J863" s="539">
        <f>IFERROR(ROUNDUP(I863/0.95,0.999),0)</f>
        <v>0</v>
      </c>
      <c r="K863" s="540" t="str">
        <f>IFERROR((M863/C863/J863),"-")</f>
        <v>-</v>
      </c>
      <c r="L863" s="37"/>
      <c r="M863" s="285">
        <f>Preencher!$C$290*Preencher!$D$310*(100%-Preencher!$D$316)</f>
        <v>0</v>
      </c>
      <c r="N863" s="259">
        <f>IFERROR((R863/C863),"-")</f>
        <v>0</v>
      </c>
      <c r="O863" s="539">
        <f>IFERROR(ROUNDUP(N863/0.95,0.999),0)</f>
        <v>0</v>
      </c>
      <c r="P863" s="540" t="str">
        <f>IFERROR((R863/C863/O863),"-")</f>
        <v>-</v>
      </c>
      <c r="Q863" s="37"/>
      <c r="R863" s="285">
        <f>Preencher!$D$290*Preencher!$E$310*(100%-Preencher!$E$316)</f>
        <v>0</v>
      </c>
    </row>
    <row r="864" spans="1:18">
      <c r="A864" s="200" t="s">
        <v>1823</v>
      </c>
      <c r="B864" s="284">
        <v>0.25700000000000001</v>
      </c>
      <c r="C864" s="539">
        <f>IF(B864=0,"-",3600/B864)</f>
        <v>14007.782101167315</v>
      </c>
      <c r="D864" s="259">
        <f>IFERROR((H864/C864),"-")</f>
        <v>0</v>
      </c>
      <c r="E864" s="539">
        <f>IFERROR(ROUNDUP(D864/0.95,0.999),0)</f>
        <v>0</v>
      </c>
      <c r="F864" s="540" t="str">
        <f>IFERROR((H864/C864/E864),"-")</f>
        <v>-</v>
      </c>
      <c r="G864" s="37"/>
      <c r="H864" s="285">
        <f>IF(Preencher!$B$290*Preencher!$C$310*(100%-Preencher!$C$331)&lt;3000,0,(Preencher!$B$290*Preencher!$C$310*(100%-Preencher!$C$331)))</f>
        <v>0</v>
      </c>
      <c r="I864" s="259">
        <f>IFERROR((M864/C864),"-")</f>
        <v>0</v>
      </c>
      <c r="J864" s="539">
        <f>IFERROR(ROUNDUP(I864/0.95,0.999),0)</f>
        <v>0</v>
      </c>
      <c r="K864" s="540" t="str">
        <f>IFERROR((M864/C864/J864),"-")</f>
        <v>-</v>
      </c>
      <c r="L864" s="37"/>
      <c r="M864" s="285">
        <f>IF(Preencher!$C$290*Preencher!$D$310*(100%-Preencher!$D$331)&lt;3000,0,(Preencher!$C$290*Preencher!$D$310*(100%-Preencher!$D$331)))</f>
        <v>0</v>
      </c>
      <c r="N864" s="259">
        <f>IFERROR((R864/C864),"-")</f>
        <v>0</v>
      </c>
      <c r="O864" s="539">
        <f>IFERROR(ROUNDUP(N864/0.95,0.999),0)</f>
        <v>0</v>
      </c>
      <c r="P864" s="540" t="str">
        <f>IFERROR((R864/C864/O864),"-")</f>
        <v>-</v>
      </c>
      <c r="Q864" s="37"/>
      <c r="R864" s="285">
        <f>IF(Preencher!$D$290*Preencher!$E$310*(100%-Preencher!$E$331)&lt;3000,0,(Preencher!$D$290*Preencher!$E$310*(100%-Preencher!$E$331)))</f>
        <v>0</v>
      </c>
    </row>
    <row r="865" spans="1:18">
      <c r="A865" s="200" t="s">
        <v>1824</v>
      </c>
      <c r="B865" s="284">
        <v>0.51400000000000001</v>
      </c>
      <c r="C865" s="539">
        <f>IF(B865=0,"-",3600/B865)</f>
        <v>7003.8910505836575</v>
      </c>
      <c r="D865" s="259">
        <f>IFERROR((H865/C865),"-")</f>
        <v>0</v>
      </c>
      <c r="E865" s="539">
        <f>IFERROR(ROUNDUP(D865/0.95,0.999),0)</f>
        <v>0</v>
      </c>
      <c r="F865" s="540" t="str">
        <f>IFERROR((H865/C865/E865),"-")</f>
        <v>-</v>
      </c>
      <c r="G865" s="37"/>
      <c r="H865" s="285">
        <f>Preencher!$B$290*Preencher!$C$310*Preencher!$C$316</f>
        <v>0</v>
      </c>
      <c r="I865" s="259">
        <f>IFERROR((M865/C865),"-")</f>
        <v>0</v>
      </c>
      <c r="J865" s="539">
        <f>IFERROR(ROUNDUP(I865/0.95,0.999),0)</f>
        <v>0</v>
      </c>
      <c r="K865" s="540" t="str">
        <f>IFERROR((M865/C865/J865),"-")</f>
        <v>-</v>
      </c>
      <c r="L865" s="37"/>
      <c r="M865" s="285">
        <f>Preencher!$C$290*Preencher!$D$310*Preencher!$D$316</f>
        <v>0</v>
      </c>
      <c r="N865" s="259">
        <f>IFERROR((R865/C865),"-")</f>
        <v>0</v>
      </c>
      <c r="O865" s="539">
        <f>IFERROR(ROUNDUP(N865/0.95,0.999),0)</f>
        <v>0</v>
      </c>
      <c r="P865" s="540" t="str">
        <f>IFERROR((R865/C865/O865),"-")</f>
        <v>-</v>
      </c>
      <c r="Q865" s="37"/>
      <c r="R865" s="285">
        <f>Preencher!$D$290*Preencher!$E$310*Preencher!$E$316</f>
        <v>0</v>
      </c>
    </row>
    <row r="866" spans="1:18">
      <c r="A866" s="200" t="s">
        <v>1825</v>
      </c>
      <c r="B866" s="284">
        <v>0.51400000000000001</v>
      </c>
      <c r="C866" s="736">
        <f>IF(B866=0,"-",3600/B866)</f>
        <v>7003.8910505836575</v>
      </c>
      <c r="D866" s="259">
        <f>IFERROR((H866/C866),"-")</f>
        <v>0</v>
      </c>
      <c r="E866" s="736">
        <f>IFERROR(ROUNDUP(D866/0.95,0.999),0)</f>
        <v>0</v>
      </c>
      <c r="F866" s="737" t="str">
        <f>IFERROR((H866/C866/E866),"-")</f>
        <v>-</v>
      </c>
      <c r="G866" s="37"/>
      <c r="H866" s="285">
        <f>Preencher!$B$290*Preencher!$C$310*Preencher!$C$331</f>
        <v>0</v>
      </c>
      <c r="I866" s="259">
        <f>IFERROR((M866/C866),"-")</f>
        <v>0</v>
      </c>
      <c r="J866" s="736">
        <f>IFERROR(ROUNDUP(I866/0.95,0.999),0)</f>
        <v>0</v>
      </c>
      <c r="K866" s="737" t="str">
        <f>IFERROR((M866/C866/J866),"-")</f>
        <v>-</v>
      </c>
      <c r="L866" s="37"/>
      <c r="M866" s="285">
        <f>Preencher!$C$290*Preencher!$D$310*Preencher!$D$331</f>
        <v>0</v>
      </c>
      <c r="N866" s="259">
        <f>IFERROR((R866/C866),"-")</f>
        <v>0</v>
      </c>
      <c r="O866" s="736">
        <f>IFERROR(ROUNDUP(N866/0.95,0.999),0)</f>
        <v>0</v>
      </c>
      <c r="P866" s="737" t="str">
        <f>IFERROR((R866/C866/O866),"-")</f>
        <v>-</v>
      </c>
      <c r="Q866" s="37"/>
      <c r="R866" s="285">
        <f>Preencher!$D$290*Preencher!$E$310*Preencher!$E$331</f>
        <v>0</v>
      </c>
    </row>
    <row r="867" spans="1:18">
      <c r="A867" s="200" t="s">
        <v>3006</v>
      </c>
      <c r="B867" s="284">
        <v>0.51400000000000001</v>
      </c>
      <c r="C867" s="539">
        <f>IF(B867=0,"-",3600/B867)</f>
        <v>7003.8910505836575</v>
      </c>
      <c r="D867" s="259">
        <f>IFERROR((H867/C867),"-")</f>
        <v>0.68533333333333335</v>
      </c>
      <c r="E867" s="539">
        <f>IFERROR(ROUNDUP(D867/0.95,0.999),0)</f>
        <v>1</v>
      </c>
      <c r="F867" s="540">
        <f>IFERROR((H867/C867/E867),"-")</f>
        <v>0.68533333333333335</v>
      </c>
      <c r="G867" s="37"/>
      <c r="H867" s="285">
        <f>Preencher!$I$18</f>
        <v>4800</v>
      </c>
      <c r="I867" s="259">
        <f>IFERROR((M867/C867),"-")</f>
        <v>0</v>
      </c>
      <c r="J867" s="539">
        <f>IFERROR(ROUNDUP(I867/0.95,0.999),0)</f>
        <v>0</v>
      </c>
      <c r="K867" s="540" t="str">
        <f>IFERROR((M867/C867/J867),"-")</f>
        <v>-</v>
      </c>
      <c r="L867" s="37"/>
      <c r="M867" s="285">
        <f>Preencher!$J$18</f>
        <v>0</v>
      </c>
      <c r="N867" s="259">
        <f>IFERROR((R867/C867),"-")</f>
        <v>0</v>
      </c>
      <c r="O867" s="539">
        <f>IFERROR(ROUNDUP(N867/0.95,0.999),0)</f>
        <v>0</v>
      </c>
      <c r="P867" s="540" t="str">
        <f>IFERROR((R867/C867/O867),"-")</f>
        <v>-</v>
      </c>
      <c r="Q867" s="37"/>
      <c r="R867" s="285">
        <f>Preencher!$K$18</f>
        <v>0</v>
      </c>
    </row>
    <row r="868" spans="1:18">
      <c r="A868" s="271" t="s">
        <v>124</v>
      </c>
      <c r="B868" s="284"/>
      <c r="C868" s="251"/>
      <c r="D868" s="539"/>
      <c r="E868" s="539">
        <f>ROUNDUP(SUM(D869:D872)/0.98,0)+E873+E874+E876+E875</f>
        <v>4</v>
      </c>
      <c r="F868" s="610">
        <f>IFERROR((SUM(D869:D876)/E868),"-")</f>
        <v>0.7676559221457393</v>
      </c>
      <c r="G868" s="37"/>
      <c r="H868" s="285"/>
      <c r="I868" s="259"/>
      <c r="J868" s="770">
        <f>ROUNDUP(SUM(I869:I872)/0.95,0)+J873+J874+J876+J875</f>
        <v>0</v>
      </c>
      <c r="K868" s="610" t="str">
        <f>IFERROR((SUM(I869:I876)/J868),"-")</f>
        <v>-</v>
      </c>
      <c r="L868" s="37"/>
      <c r="M868" s="285"/>
      <c r="N868" s="259"/>
      <c r="O868" s="770">
        <f>ROUNDUP(SUM(N869:N872)/0.95,0)+O873+O874+O876+O875</f>
        <v>0</v>
      </c>
      <c r="P868" s="610" t="str">
        <f>IFERROR((SUM(N869:N876)/O868),"-")</f>
        <v>-</v>
      </c>
      <c r="Q868" s="37"/>
      <c r="R868" s="285"/>
    </row>
    <row r="869" spans="1:18">
      <c r="A869" s="200" t="s">
        <v>1827</v>
      </c>
      <c r="B869" s="284">
        <v>80</v>
      </c>
      <c r="C869" s="539">
        <f t="shared" ref="C869:C876" si="342">IF(B869=0,"-",3600/B869)</f>
        <v>45</v>
      </c>
      <c r="D869" s="259">
        <f t="shared" ref="D869:D878" si="343">IFERROR((H869/C869),"-")</f>
        <v>0</v>
      </c>
      <c r="E869" s="539">
        <f t="shared" ref="E869:E876" si="344">IFERROR(ROUNDUP(D869/0.95,0.999),0)</f>
        <v>0</v>
      </c>
      <c r="F869" s="540" t="str">
        <f t="shared" ref="F869:F878" si="345">IFERROR((H869/C869/E869),"-")</f>
        <v>-</v>
      </c>
      <c r="G869" s="37"/>
      <c r="H869" s="285">
        <f>Preencher!$AC$298</f>
        <v>0</v>
      </c>
      <c r="I869" s="259">
        <f t="shared" ref="I869:I876" si="346">IFERROR((M869/C869),"-")</f>
        <v>0</v>
      </c>
      <c r="J869" s="539">
        <f t="shared" ref="J869:J876" si="347">IFERROR(ROUNDUP(I869/0.95,0.999),0)</f>
        <v>0</v>
      </c>
      <c r="K869" s="540" t="str">
        <f t="shared" ref="K869:K876" si="348">IFERROR((M869/C869/J869),"-")</f>
        <v>-</v>
      </c>
      <c r="L869" s="37"/>
      <c r="M869" s="285">
        <f>Preencher!$AD$298</f>
        <v>0</v>
      </c>
      <c r="N869" s="259">
        <f t="shared" ref="N869:N876" si="349">IFERROR((R869/C869),"-")</f>
        <v>0</v>
      </c>
      <c r="O869" s="539">
        <f t="shared" ref="O869:O876" si="350">IFERROR(ROUNDUP(N869/0.95,0.999),0)</f>
        <v>0</v>
      </c>
      <c r="P869" s="540" t="str">
        <f t="shared" ref="P869:P876" si="351">IFERROR((R869/C869/O869),"-")</f>
        <v>-</v>
      </c>
      <c r="Q869" s="37"/>
      <c r="R869" s="285">
        <f>Preencher!$AE$298</f>
        <v>0</v>
      </c>
    </row>
    <row r="870" spans="1:18">
      <c r="A870" s="200" t="s">
        <v>1828</v>
      </c>
      <c r="B870" s="284">
        <f>17.88</f>
        <v>17.88</v>
      </c>
      <c r="C870" s="539">
        <f t="shared" si="342"/>
        <v>201.34228187919464</v>
      </c>
      <c r="D870" s="259">
        <f t="shared" si="343"/>
        <v>3.0706236885829572</v>
      </c>
      <c r="E870" s="539">
        <f t="shared" si="344"/>
        <v>4</v>
      </c>
      <c r="F870" s="540">
        <f t="shared" si="345"/>
        <v>0.7676559221457393</v>
      </c>
      <c r="G870" s="37"/>
      <c r="H870" s="285">
        <f>Preencher!$AG$305+Preencher!$AG$321</f>
        <v>618.2463802516022</v>
      </c>
      <c r="I870" s="259">
        <f t="shared" si="346"/>
        <v>0</v>
      </c>
      <c r="J870" s="539">
        <f t="shared" si="347"/>
        <v>0</v>
      </c>
      <c r="K870" s="540" t="str">
        <f t="shared" si="348"/>
        <v>-</v>
      </c>
      <c r="L870" s="37"/>
      <c r="M870" s="285">
        <f>Preencher!$AI$305+Preencher!$AI$321</f>
        <v>0</v>
      </c>
      <c r="N870" s="259">
        <f t="shared" si="349"/>
        <v>0</v>
      </c>
      <c r="O870" s="539">
        <f t="shared" si="350"/>
        <v>0</v>
      </c>
      <c r="P870" s="540" t="str">
        <f t="shared" si="351"/>
        <v>-</v>
      </c>
      <c r="Q870" s="37"/>
      <c r="R870" s="285">
        <f>Preencher!$AK$305+Preencher!$AK$321</f>
        <v>0</v>
      </c>
    </row>
    <row r="871" spans="1:18">
      <c r="A871" s="200" t="s">
        <v>1829</v>
      </c>
      <c r="B871" s="284">
        <v>17.88</v>
      </c>
      <c r="C871" s="539">
        <f t="shared" si="342"/>
        <v>201.34228187919464</v>
      </c>
      <c r="D871" s="259">
        <f t="shared" si="343"/>
        <v>0</v>
      </c>
      <c r="E871" s="539">
        <f t="shared" si="344"/>
        <v>0</v>
      </c>
      <c r="F871" s="540" t="str">
        <f t="shared" si="345"/>
        <v>-</v>
      </c>
      <c r="G871" s="37"/>
      <c r="H871" s="285">
        <f>Preencher!$AG$306+Preencher!$AG$322</f>
        <v>0</v>
      </c>
      <c r="I871" s="259">
        <f t="shared" si="346"/>
        <v>0</v>
      </c>
      <c r="J871" s="539">
        <f t="shared" si="347"/>
        <v>0</v>
      </c>
      <c r="K871" s="540" t="str">
        <f t="shared" si="348"/>
        <v>-</v>
      </c>
      <c r="L871" s="37"/>
      <c r="M871" s="285">
        <f>Preencher!$AI$306+Preencher!$AI$322</f>
        <v>0</v>
      </c>
      <c r="N871" s="259">
        <f t="shared" si="349"/>
        <v>0</v>
      </c>
      <c r="O871" s="539">
        <f t="shared" si="350"/>
        <v>0</v>
      </c>
      <c r="P871" s="540" t="str">
        <f t="shared" si="351"/>
        <v>-</v>
      </c>
      <c r="Q871" s="37"/>
      <c r="R871" s="285">
        <f>Preencher!$AK$306+Preencher!$AK$322</f>
        <v>0</v>
      </c>
    </row>
    <row r="872" spans="1:18">
      <c r="A872" s="200" t="s">
        <v>1844</v>
      </c>
      <c r="B872" s="284">
        <f>IF(MEDIAN($H$872+$M$872+$R$872)&gt;60,0,37)-IF(MEDIAN($H$872+$M$872+$R$872)&gt;60,0,37)</f>
        <v>0</v>
      </c>
      <c r="C872" s="541" t="str">
        <f>IF(B872=0,"-",3600/B872)</f>
        <v>-</v>
      </c>
      <c r="D872" s="259" t="str">
        <f t="shared" si="343"/>
        <v>-</v>
      </c>
      <c r="E872" s="541">
        <f>IFERROR(ROUNDUP(D872/0.95,0.999),0)</f>
        <v>0</v>
      </c>
      <c r="F872" s="542" t="str">
        <f t="shared" si="345"/>
        <v>-</v>
      </c>
      <c r="G872" s="37"/>
      <c r="H872" s="285">
        <f>Preencher!$AG$307</f>
        <v>0</v>
      </c>
      <c r="I872" s="259" t="str">
        <f>IFERROR((M872/C872),"-")</f>
        <v>-</v>
      </c>
      <c r="J872" s="541">
        <f>IFERROR(ROUNDUP(I872/0.95,0.999),0)</f>
        <v>0</v>
      </c>
      <c r="K872" s="542" t="str">
        <f>IFERROR((M872/C872/J872),"-")</f>
        <v>-</v>
      </c>
      <c r="L872" s="37"/>
      <c r="M872" s="285">
        <f>Preencher!$AI$307</f>
        <v>0</v>
      </c>
      <c r="N872" s="259" t="str">
        <f>IFERROR((R872/C872),"-")</f>
        <v>-</v>
      </c>
      <c r="O872" s="541">
        <f>IFERROR(ROUNDUP(N872/0.95,0.999),0)</f>
        <v>0</v>
      </c>
      <c r="P872" s="542" t="str">
        <f>IFERROR((R872/C872/O872),"-")</f>
        <v>-</v>
      </c>
      <c r="Q872" s="37"/>
      <c r="R872" s="285">
        <f>Preencher!$AK$307</f>
        <v>0</v>
      </c>
    </row>
    <row r="873" spans="1:18">
      <c r="A873" s="200" t="s">
        <v>1832</v>
      </c>
      <c r="B873" s="284">
        <v>16.670000000000002</v>
      </c>
      <c r="C873" s="539">
        <f t="shared" si="342"/>
        <v>215.95680863827232</v>
      </c>
      <c r="D873" s="259">
        <f t="shared" si="343"/>
        <v>0</v>
      </c>
      <c r="E873" s="539">
        <f t="shared" si="344"/>
        <v>0</v>
      </c>
      <c r="F873" s="540" t="str">
        <f t="shared" si="345"/>
        <v>-</v>
      </c>
      <c r="G873" s="37"/>
      <c r="H873" s="285">
        <f>Preencher!$AG$308</f>
        <v>0</v>
      </c>
      <c r="I873" s="259">
        <f t="shared" si="346"/>
        <v>0</v>
      </c>
      <c r="J873" s="539">
        <f t="shared" si="347"/>
        <v>0</v>
      </c>
      <c r="K873" s="540" t="str">
        <f t="shared" si="348"/>
        <v>-</v>
      </c>
      <c r="L873" s="37"/>
      <c r="M873" s="285">
        <f>Preencher!$AI$308</f>
        <v>0</v>
      </c>
      <c r="N873" s="259">
        <f t="shared" si="349"/>
        <v>0</v>
      </c>
      <c r="O873" s="539">
        <f t="shared" si="350"/>
        <v>0</v>
      </c>
      <c r="P873" s="540" t="str">
        <f t="shared" si="351"/>
        <v>-</v>
      </c>
      <c r="Q873" s="37"/>
      <c r="R873" s="285">
        <f>Preencher!$AK$308</f>
        <v>0</v>
      </c>
    </row>
    <row r="874" spans="1:18">
      <c r="A874" s="200" t="s">
        <v>1831</v>
      </c>
      <c r="B874" s="284">
        <v>16.670000000000002</v>
      </c>
      <c r="C874" s="539">
        <f t="shared" si="342"/>
        <v>215.95680863827232</v>
      </c>
      <c r="D874" s="259">
        <f t="shared" si="343"/>
        <v>0</v>
      </c>
      <c r="E874" s="539">
        <f t="shared" si="344"/>
        <v>0</v>
      </c>
      <c r="F874" s="540" t="str">
        <f t="shared" si="345"/>
        <v>-</v>
      </c>
      <c r="G874" s="37"/>
      <c r="H874" s="285">
        <f>Preencher!$AG$323</f>
        <v>0</v>
      </c>
      <c r="I874" s="259">
        <f t="shared" si="346"/>
        <v>0</v>
      </c>
      <c r="J874" s="539">
        <f t="shared" si="347"/>
        <v>0</v>
      </c>
      <c r="K874" s="540" t="str">
        <f t="shared" si="348"/>
        <v>-</v>
      </c>
      <c r="L874" s="37"/>
      <c r="M874" s="285">
        <f>Preencher!$AI$323</f>
        <v>0</v>
      </c>
      <c r="N874" s="259">
        <f t="shared" si="349"/>
        <v>0</v>
      </c>
      <c r="O874" s="539">
        <f t="shared" si="350"/>
        <v>0</v>
      </c>
      <c r="P874" s="540" t="str">
        <f t="shared" si="351"/>
        <v>-</v>
      </c>
      <c r="Q874" s="37"/>
      <c r="R874" s="285">
        <f>Preencher!$AK$323</f>
        <v>0</v>
      </c>
    </row>
    <row r="875" spans="1:18">
      <c r="A875" s="200" t="s">
        <v>3147</v>
      </c>
      <c r="B875" s="284">
        <v>28.88</v>
      </c>
      <c r="C875" s="770">
        <f t="shared" ref="C875" si="352">IF(B875=0,"-",3600/B875)</f>
        <v>124.65373961218837</v>
      </c>
      <c r="D875" s="259">
        <f t="shared" ref="D875" si="353">IFERROR((H875/C875),"-")</f>
        <v>0</v>
      </c>
      <c r="E875" s="770">
        <f t="shared" ref="E875" si="354">IFERROR(ROUNDUP(D875/0.95,0.999),0)</f>
        <v>0</v>
      </c>
      <c r="F875" s="772" t="str">
        <f t="shared" ref="F875" si="355">IFERROR((H875/C875/E875),"-")</f>
        <v>-</v>
      </c>
      <c r="G875" s="37"/>
      <c r="H875" s="285">
        <f>Preencher!$AC$336</f>
        <v>0</v>
      </c>
      <c r="I875" s="259">
        <f t="shared" ref="I875" si="356">IFERROR((M875/C875),"-")</f>
        <v>0</v>
      </c>
      <c r="J875" s="770">
        <f t="shared" ref="J875" si="357">IFERROR(ROUNDUP(I875/0.95,0.999),0)</f>
        <v>0</v>
      </c>
      <c r="K875" s="772" t="str">
        <f t="shared" ref="K875" si="358">IFERROR((M875/C875/J875),"-")</f>
        <v>-</v>
      </c>
      <c r="L875" s="37"/>
      <c r="M875" s="285">
        <f>Preencher!$AD$336</f>
        <v>0</v>
      </c>
      <c r="N875" s="259">
        <f t="shared" ref="N875" si="359">IFERROR((R875/C875),"-")</f>
        <v>0</v>
      </c>
      <c r="O875" s="770">
        <f t="shared" ref="O875" si="360">IFERROR(ROUNDUP(N875/0.95,0.999),0)</f>
        <v>0</v>
      </c>
      <c r="P875" s="772" t="str">
        <f t="shared" ref="P875" si="361">IFERROR((R875/C875/O875),"-")</f>
        <v>-</v>
      </c>
      <c r="Q875" s="37"/>
      <c r="R875" s="285">
        <f>Preencher!$AE$336</f>
        <v>0</v>
      </c>
    </row>
    <row r="876" spans="1:18">
      <c r="A876" s="200" t="s">
        <v>1830</v>
      </c>
      <c r="B876" s="284">
        <v>20.88</v>
      </c>
      <c r="C876" s="539">
        <f t="shared" si="342"/>
        <v>172.41379310344828</v>
      </c>
      <c r="D876" s="259">
        <f t="shared" si="343"/>
        <v>0</v>
      </c>
      <c r="E876" s="539">
        <f t="shared" si="344"/>
        <v>0</v>
      </c>
      <c r="F876" s="540" t="str">
        <f t="shared" si="345"/>
        <v>-</v>
      </c>
      <c r="G876" s="37"/>
      <c r="H876" s="285">
        <f>Preencher!$AC$309+Preencher!$AC$324</f>
        <v>0</v>
      </c>
      <c r="I876" s="259">
        <f t="shared" si="346"/>
        <v>0</v>
      </c>
      <c r="J876" s="539">
        <f t="shared" si="347"/>
        <v>0</v>
      </c>
      <c r="K876" s="540" t="str">
        <f t="shared" si="348"/>
        <v>-</v>
      </c>
      <c r="L876" s="37"/>
      <c r="M876" s="285">
        <f>Preencher!$AD$309+Preencher!$AD$324</f>
        <v>0</v>
      </c>
      <c r="N876" s="259">
        <f t="shared" si="349"/>
        <v>0</v>
      </c>
      <c r="O876" s="539">
        <f t="shared" si="350"/>
        <v>0</v>
      </c>
      <c r="P876" s="540" t="str">
        <f t="shared" si="351"/>
        <v>-</v>
      </c>
      <c r="Q876" s="37"/>
      <c r="R876" s="285">
        <f>Preencher!$AE$309+Preencher!$AE$324</f>
        <v>0</v>
      </c>
    </row>
    <row r="877" spans="1:18">
      <c r="A877" s="271" t="s">
        <v>125</v>
      </c>
      <c r="B877" s="284">
        <v>9.8000000000000007</v>
      </c>
      <c r="C877" s="706">
        <f>IF(B877=0,"-",3600/B877)</f>
        <v>367.34693877551018</v>
      </c>
      <c r="D877" s="259">
        <f>IFERROR((H877/C877),"-")</f>
        <v>0</v>
      </c>
      <c r="E877" s="706">
        <f>IFERROR(ROUNDUP(D877/0.95,0.999),0)</f>
        <v>0</v>
      </c>
      <c r="F877" s="705" t="str">
        <f>IFERROR((H877/C877/E877),"-")</f>
        <v>-</v>
      </c>
      <c r="G877" s="37"/>
      <c r="H877" s="285">
        <f>RESUMO!$B$233*Preencher!B290</f>
        <v>0</v>
      </c>
      <c r="I877" s="259">
        <f>IFERROR((M877/C877),"-")</f>
        <v>0</v>
      </c>
      <c r="J877" s="706">
        <f>IFERROR(ROUNDUP(I877/0.95,0.999),0)</f>
        <v>0</v>
      </c>
      <c r="K877" s="705" t="str">
        <f>IFERROR((M877/C877/J877),"-")</f>
        <v>-</v>
      </c>
      <c r="L877" s="37"/>
      <c r="M877" s="285">
        <f>RESUMO!$B$233*Preencher!C290</f>
        <v>0</v>
      </c>
      <c r="N877" s="259">
        <f>IFERROR((R877/C877),"-")</f>
        <v>0</v>
      </c>
      <c r="O877" s="706">
        <f>IFERROR(ROUNDUP(N877/0.95,0.999),0)</f>
        <v>0</v>
      </c>
      <c r="P877" s="705" t="str">
        <f>IFERROR((R877/C877/O877),"-")</f>
        <v>-</v>
      </c>
      <c r="Q877" s="37"/>
      <c r="R877" s="285">
        <f>RESUMO!$B$235*Preencher!D290</f>
        <v>0</v>
      </c>
    </row>
    <row r="878" spans="1:18">
      <c r="A878" s="271" t="s">
        <v>126</v>
      </c>
      <c r="B878" s="284">
        <v>5</v>
      </c>
      <c r="C878" s="251">
        <f>IF(B878=0,"-",3600/B878)</f>
        <v>720</v>
      </c>
      <c r="D878" s="259">
        <f t="shared" si="343"/>
        <v>0</v>
      </c>
      <c r="E878" s="251">
        <f>IFERROR(ROUNDUP(D878/0.95,0.999),0)</f>
        <v>0</v>
      </c>
      <c r="F878" s="252" t="str">
        <f t="shared" si="345"/>
        <v>-</v>
      </c>
      <c r="G878" s="37"/>
      <c r="H878" s="285">
        <f>H877</f>
        <v>0</v>
      </c>
      <c r="I878" s="259">
        <f>IFERROR((M878/C878),"-")</f>
        <v>0</v>
      </c>
      <c r="J878" s="251">
        <f>IFERROR(ROUNDUP(I878/0.95,0.999),0)</f>
        <v>0</v>
      </c>
      <c r="K878" s="252" t="str">
        <f>IFERROR((M878/C878/J878),"-")</f>
        <v>-</v>
      </c>
      <c r="L878" s="37"/>
      <c r="M878" s="285">
        <f>M877</f>
        <v>0</v>
      </c>
      <c r="N878" s="259">
        <f>IFERROR((R878/C878),"-")</f>
        <v>0</v>
      </c>
      <c r="O878" s="251">
        <f>IFERROR(ROUNDUP(N878/0.95,0.999),0)</f>
        <v>0</v>
      </c>
      <c r="P878" s="252" t="str">
        <f>IFERROR((R878/C878/O878),"-")</f>
        <v>-</v>
      </c>
      <c r="Q878" s="37"/>
      <c r="R878" s="285">
        <f>R877</f>
        <v>0</v>
      </c>
    </row>
    <row r="879" spans="1:18">
      <c r="A879" s="267" t="s">
        <v>127</v>
      </c>
      <c r="B879" s="284"/>
      <c r="C879" s="251"/>
      <c r="D879" s="259"/>
      <c r="E879" s="541">
        <f>ROUNDUP(SUM(D880:D885)/0.95,0)</f>
        <v>2</v>
      </c>
      <c r="F879" s="610">
        <f>IFERROR((SUM(D880:D885)/E879),"-")</f>
        <v>0.88513331750929669</v>
      </c>
      <c r="G879" s="37"/>
      <c r="H879" s="285"/>
      <c r="I879" s="259"/>
      <c r="J879" s="609">
        <f>ROUNDUP(SUM(I880:I885)/0.95,0)</f>
        <v>0</v>
      </c>
      <c r="K879" s="542" t="str">
        <f>IFERROR(AVERAGE(K880:K885),"-")</f>
        <v>-</v>
      </c>
      <c r="L879" s="37"/>
      <c r="M879" s="285"/>
      <c r="N879" s="259"/>
      <c r="O879" s="609">
        <f>ROUNDUP(SUM(N880:N885)/0.95,0)</f>
        <v>0</v>
      </c>
      <c r="P879" s="542" t="str">
        <f>IFERROR(AVERAGE(P880:P885),"-")</f>
        <v>-</v>
      </c>
      <c r="Q879" s="37"/>
      <c r="R879" s="285"/>
    </row>
    <row r="880" spans="1:18">
      <c r="A880" s="200" t="s">
        <v>1835</v>
      </c>
      <c r="B880" s="284">
        <f>230</f>
        <v>230</v>
      </c>
      <c r="C880" s="541">
        <f t="shared" ref="C880:C887" si="362">IF(B880=0,"-",3600/B880)</f>
        <v>15.652173913043478</v>
      </c>
      <c r="D880" s="259">
        <f t="shared" ref="D880:D887" si="363">IFERROR((H880/C880),"-")</f>
        <v>1.7702666350185934</v>
      </c>
      <c r="E880" s="541">
        <f t="shared" ref="E880:E887" si="364">IFERROR(ROUNDUP(D880/0.95,0.999),0)</f>
        <v>2</v>
      </c>
      <c r="F880" s="542">
        <f t="shared" ref="F880:F887" si="365">IFERROR((H880/C880/E880),"-")</f>
        <v>0.88513331750929669</v>
      </c>
      <c r="G880" s="37"/>
      <c r="H880" s="285">
        <f>Preencher!$AC$294</f>
        <v>27.708521243769287</v>
      </c>
      <c r="I880" s="259">
        <f t="shared" ref="I880:I887" si="366">IFERROR((M880/C880),"-")</f>
        <v>0</v>
      </c>
      <c r="J880" s="541">
        <f t="shared" ref="J880:J887" si="367">IFERROR(ROUNDUP(I880/0.95,0.999),0)</f>
        <v>0</v>
      </c>
      <c r="K880" s="542" t="str">
        <f t="shared" ref="K880:K887" si="368">IFERROR((M880/C880/J880),"-")</f>
        <v>-</v>
      </c>
      <c r="L880" s="37"/>
      <c r="M880" s="285">
        <f>Preencher!$AD$294</f>
        <v>0</v>
      </c>
      <c r="N880" s="259">
        <f t="shared" ref="N880:N887" si="369">IFERROR((R880/C880),"-")</f>
        <v>0</v>
      </c>
      <c r="O880" s="541">
        <f t="shared" ref="O880:O887" si="370">IFERROR(ROUNDUP(N880/0.95,0.999),0)</f>
        <v>0</v>
      </c>
      <c r="P880" s="542" t="str">
        <f t="shared" ref="P880:P887" si="371">IFERROR((R880/C880/O880),"-")</f>
        <v>-</v>
      </c>
      <c r="Q880" s="37"/>
      <c r="R880" s="285">
        <f>Preencher!$AE$294</f>
        <v>0</v>
      </c>
    </row>
    <row r="881" spans="1:18">
      <c r="A881" s="200" t="s">
        <v>2762</v>
      </c>
      <c r="B881" s="284">
        <f>230</f>
        <v>230</v>
      </c>
      <c r="C881" s="712">
        <f>IF(B881=0,"-",3600/B881)</f>
        <v>15.652173913043478</v>
      </c>
      <c r="D881" s="259">
        <f>IFERROR((H881/C881),"-")</f>
        <v>0</v>
      </c>
      <c r="E881" s="712">
        <f>IFERROR(ROUNDUP(D881/0.95,0.999),0)</f>
        <v>0</v>
      </c>
      <c r="F881" s="711" t="str">
        <f>IFERROR((H881/C881/E881),"-")</f>
        <v>-</v>
      </c>
      <c r="G881" s="37"/>
      <c r="H881" s="285">
        <f>Preencher!$AC$295</f>
        <v>0</v>
      </c>
      <c r="I881" s="259">
        <f>IFERROR((M881/C881),"-")</f>
        <v>0</v>
      </c>
      <c r="J881" s="712">
        <f>IFERROR(ROUNDUP(I881/0.95,0.999),0)</f>
        <v>0</v>
      </c>
      <c r="K881" s="711" t="str">
        <f>IFERROR((M881/C881/J881),"-")</f>
        <v>-</v>
      </c>
      <c r="L881" s="37"/>
      <c r="M881" s="285">
        <f>Preencher!$AD$295</f>
        <v>0</v>
      </c>
      <c r="N881" s="259">
        <f>IFERROR((R881/C881),"-")</f>
        <v>0</v>
      </c>
      <c r="O881" s="712">
        <f>IFERROR(ROUNDUP(N881/0.95,0.999),0)</f>
        <v>0</v>
      </c>
      <c r="P881" s="711" t="str">
        <f>IFERROR((R881/C881/O881),"-")</f>
        <v>-</v>
      </c>
      <c r="Q881" s="37"/>
      <c r="R881" s="285">
        <f>Preencher!$AE$295</f>
        <v>0</v>
      </c>
    </row>
    <row r="882" spans="1:18">
      <c r="A882" s="200" t="s">
        <v>1841</v>
      </c>
      <c r="B882" s="284">
        <v>430</v>
      </c>
      <c r="C882" s="541">
        <f t="shared" si="362"/>
        <v>8.3720930232558146</v>
      </c>
      <c r="D882" s="259">
        <f t="shared" si="363"/>
        <v>0</v>
      </c>
      <c r="E882" s="541">
        <f t="shared" si="364"/>
        <v>0</v>
      </c>
      <c r="F882" s="542" t="str">
        <f t="shared" si="365"/>
        <v>-</v>
      </c>
      <c r="G882" s="37"/>
      <c r="H882" s="285">
        <f>Preencher!$AC$296</f>
        <v>0</v>
      </c>
      <c r="I882" s="259">
        <f t="shared" si="366"/>
        <v>0</v>
      </c>
      <c r="J882" s="541">
        <f t="shared" si="367"/>
        <v>0</v>
      </c>
      <c r="K882" s="542" t="str">
        <f t="shared" si="368"/>
        <v>-</v>
      </c>
      <c r="L882" s="37"/>
      <c r="M882" s="285">
        <f>Preencher!$AD$296</f>
        <v>0</v>
      </c>
      <c r="N882" s="259">
        <f t="shared" si="369"/>
        <v>0</v>
      </c>
      <c r="O882" s="541">
        <f t="shared" si="370"/>
        <v>0</v>
      </c>
      <c r="P882" s="542" t="str">
        <f t="shared" si="371"/>
        <v>-</v>
      </c>
      <c r="Q882" s="37"/>
      <c r="R882" s="285">
        <f>Preencher!$AE$296</f>
        <v>0</v>
      </c>
    </row>
    <row r="883" spans="1:18">
      <c r="A883" s="200" t="s">
        <v>1840</v>
      </c>
      <c r="B883" s="284">
        <f>13*60</f>
        <v>780</v>
      </c>
      <c r="C883" s="541">
        <f t="shared" si="362"/>
        <v>4.615384615384615</v>
      </c>
      <c r="D883" s="259">
        <f t="shared" si="363"/>
        <v>0</v>
      </c>
      <c r="E883" s="541">
        <f t="shared" si="364"/>
        <v>0</v>
      </c>
      <c r="F883" s="542" t="str">
        <f t="shared" si="365"/>
        <v>-</v>
      </c>
      <c r="G883" s="37"/>
      <c r="H883" s="285">
        <f>Preencher!$AC$297</f>
        <v>0</v>
      </c>
      <c r="I883" s="259">
        <f t="shared" si="366"/>
        <v>0</v>
      </c>
      <c r="J883" s="541">
        <f t="shared" si="367"/>
        <v>0</v>
      </c>
      <c r="K883" s="542" t="str">
        <f t="shared" si="368"/>
        <v>-</v>
      </c>
      <c r="L883" s="37"/>
      <c r="M883" s="285">
        <f>Preencher!$AD$297</f>
        <v>0</v>
      </c>
      <c r="N883" s="259">
        <f t="shared" si="369"/>
        <v>0</v>
      </c>
      <c r="O883" s="541">
        <f t="shared" si="370"/>
        <v>0</v>
      </c>
      <c r="P883" s="542" t="str">
        <f t="shared" si="371"/>
        <v>-</v>
      </c>
      <c r="Q883" s="37"/>
      <c r="R883" s="285">
        <f>Preencher!$AE$297</f>
        <v>0</v>
      </c>
    </row>
    <row r="884" spans="1:18">
      <c r="A884" s="200" t="s">
        <v>1833</v>
      </c>
      <c r="B884" s="284">
        <v>87</v>
      </c>
      <c r="C884" s="541">
        <f t="shared" si="362"/>
        <v>41.379310344827587</v>
      </c>
      <c r="D884" s="259">
        <f t="shared" si="363"/>
        <v>0</v>
      </c>
      <c r="E884" s="541">
        <f t="shared" si="364"/>
        <v>0</v>
      </c>
      <c r="F884" s="542" t="str">
        <f t="shared" si="365"/>
        <v>-</v>
      </c>
      <c r="G884" s="37"/>
      <c r="H884" s="285">
        <f>Preencher!$AC$316</f>
        <v>0</v>
      </c>
      <c r="I884" s="259">
        <f t="shared" si="366"/>
        <v>0</v>
      </c>
      <c r="J884" s="541">
        <f t="shared" si="367"/>
        <v>0</v>
      </c>
      <c r="K884" s="542" t="str">
        <f t="shared" si="368"/>
        <v>-</v>
      </c>
      <c r="L884" s="37"/>
      <c r="M884" s="285">
        <f>Preencher!$AD$316</f>
        <v>0</v>
      </c>
      <c r="N884" s="259">
        <f t="shared" si="369"/>
        <v>0</v>
      </c>
      <c r="O884" s="541">
        <f t="shared" si="370"/>
        <v>0</v>
      </c>
      <c r="P884" s="542" t="str">
        <f t="shared" si="371"/>
        <v>-</v>
      </c>
      <c r="Q884" s="37"/>
      <c r="R884" s="285">
        <f>Preencher!$AE$316</f>
        <v>0</v>
      </c>
    </row>
    <row r="885" spans="1:18">
      <c r="A885" s="200" t="s">
        <v>1834</v>
      </c>
      <c r="B885" s="284">
        <f>13*60</f>
        <v>780</v>
      </c>
      <c r="C885" s="541">
        <f t="shared" si="362"/>
        <v>4.615384615384615</v>
      </c>
      <c r="D885" s="259">
        <f t="shared" si="363"/>
        <v>0</v>
      </c>
      <c r="E885" s="541">
        <f t="shared" si="364"/>
        <v>0</v>
      </c>
      <c r="F885" s="542" t="str">
        <f t="shared" si="365"/>
        <v>-</v>
      </c>
      <c r="G885" s="37"/>
      <c r="H885" s="285">
        <f>Preencher!$AC$317+Preencher!$AC$332</f>
        <v>0</v>
      </c>
      <c r="I885" s="259">
        <f t="shared" si="366"/>
        <v>0</v>
      </c>
      <c r="J885" s="541">
        <f t="shared" si="367"/>
        <v>0</v>
      </c>
      <c r="K885" s="542" t="str">
        <f t="shared" si="368"/>
        <v>-</v>
      </c>
      <c r="L885" s="37"/>
      <c r="M885" s="285">
        <f>Preencher!$AD$317+Preencher!$AD$332</f>
        <v>0</v>
      </c>
      <c r="N885" s="259">
        <f t="shared" si="369"/>
        <v>0</v>
      </c>
      <c r="O885" s="541">
        <f t="shared" si="370"/>
        <v>0</v>
      </c>
      <c r="P885" s="542" t="str">
        <f t="shared" si="371"/>
        <v>-</v>
      </c>
      <c r="Q885" s="37"/>
      <c r="R885" s="285">
        <f>Preencher!$AE$317+Preencher!$AE$332</f>
        <v>0</v>
      </c>
    </row>
    <row r="886" spans="1:18">
      <c r="A886" s="267" t="s">
        <v>128</v>
      </c>
      <c r="B886" s="284">
        <f>21-21</f>
        <v>0</v>
      </c>
      <c r="C886" s="251" t="str">
        <f t="shared" si="362"/>
        <v>-</v>
      </c>
      <c r="D886" s="259" t="str">
        <f t="shared" si="363"/>
        <v>-</v>
      </c>
      <c r="E886" s="251">
        <f t="shared" si="364"/>
        <v>0</v>
      </c>
      <c r="F886" s="252" t="str">
        <f t="shared" si="365"/>
        <v>-</v>
      </c>
      <c r="G886" s="37"/>
      <c r="H886" s="285">
        <f>SUM(H880:H885)</f>
        <v>27.708521243769287</v>
      </c>
      <c r="I886" s="259" t="str">
        <f t="shared" si="366"/>
        <v>-</v>
      </c>
      <c r="J886" s="251">
        <f t="shared" si="367"/>
        <v>0</v>
      </c>
      <c r="K886" s="252" t="str">
        <f t="shared" si="368"/>
        <v>-</v>
      </c>
      <c r="L886" s="37"/>
      <c r="M886" s="285">
        <f>SUM(M880:M885)</f>
        <v>0</v>
      </c>
      <c r="N886" s="259" t="str">
        <f t="shared" si="369"/>
        <v>-</v>
      </c>
      <c r="O886" s="251">
        <f t="shared" si="370"/>
        <v>0</v>
      </c>
      <c r="P886" s="252" t="str">
        <f t="shared" si="371"/>
        <v>-</v>
      </c>
      <c r="Q886" s="37"/>
      <c r="R886" s="285">
        <f>SUM(R880:R885)</f>
        <v>0</v>
      </c>
    </row>
    <row r="887" spans="1:18">
      <c r="A887" s="267" t="s">
        <v>341</v>
      </c>
      <c r="B887" s="284">
        <f>IF(MEDIAN($H$872+$M$872+$R$872)&gt;60,37,0)</f>
        <v>0</v>
      </c>
      <c r="C887" s="251" t="str">
        <f t="shared" si="362"/>
        <v>-</v>
      </c>
      <c r="D887" s="259" t="str">
        <f t="shared" si="363"/>
        <v>-</v>
      </c>
      <c r="E887" s="251">
        <f t="shared" si="364"/>
        <v>0</v>
      </c>
      <c r="F887" s="252" t="str">
        <f t="shared" si="365"/>
        <v>-</v>
      </c>
      <c r="G887" s="37"/>
      <c r="H887" s="285">
        <f>Preencher!$AG$307</f>
        <v>0</v>
      </c>
      <c r="I887" s="259" t="str">
        <f t="shared" si="366"/>
        <v>-</v>
      </c>
      <c r="J887" s="541">
        <f t="shared" si="367"/>
        <v>0</v>
      </c>
      <c r="K887" s="542" t="str">
        <f t="shared" si="368"/>
        <v>-</v>
      </c>
      <c r="L887" s="37"/>
      <c r="M887" s="285">
        <f>Preencher!$AI$307</f>
        <v>0</v>
      </c>
      <c r="N887" s="259" t="str">
        <f t="shared" si="369"/>
        <v>-</v>
      </c>
      <c r="O887" s="541">
        <f t="shared" si="370"/>
        <v>0</v>
      </c>
      <c r="P887" s="542" t="str">
        <f t="shared" si="371"/>
        <v>-</v>
      </c>
      <c r="Q887" s="37"/>
      <c r="R887" s="285">
        <f>Preencher!$AK$307</f>
        <v>0</v>
      </c>
    </row>
    <row r="888" spans="1:18">
      <c r="A888" s="271" t="s">
        <v>265</v>
      </c>
      <c r="B888" s="284"/>
      <c r="C888" s="251"/>
      <c r="D888" s="259"/>
      <c r="E888" s="609">
        <f>IF(Preencher!$B$359="Não",0,ROUNDUP(SUM(D889:D892)/0.95,0))</f>
        <v>1</v>
      </c>
      <c r="F888" s="610">
        <f>IFERROR((SUM(D889:D892)/E888),"-")</f>
        <v>1.4720151910752436E-2</v>
      </c>
      <c r="G888" s="37"/>
      <c r="H888" s="285"/>
      <c r="I888" s="259"/>
      <c r="J888" s="699">
        <f>IF(Preencher!$B$359="Não",0,ROUNDUP(SUM(I889:I892)/0.95,0))</f>
        <v>0</v>
      </c>
      <c r="K888" s="610" t="str">
        <f>IFERROR((SUM(I889:I892)/J888),"-")</f>
        <v>-</v>
      </c>
      <c r="L888" s="37"/>
      <c r="M888" s="285"/>
      <c r="N888" s="259"/>
      <c r="O888" s="699">
        <f>IF(Preencher!$B$359="Não",0,ROUNDUP(SUM(N889:N892)/0.95,0))</f>
        <v>0</v>
      </c>
      <c r="P888" s="610" t="str">
        <f>IFERROR((SUM(N889:N892)/O888),"-")</f>
        <v>-</v>
      </c>
      <c r="Q888" s="37"/>
      <c r="R888" s="285"/>
    </row>
    <row r="889" spans="1:18">
      <c r="A889" s="200" t="s">
        <v>1850</v>
      </c>
      <c r="B889" s="284">
        <v>43.5</v>
      </c>
      <c r="C889" s="541">
        <f t="shared" ref="C889:C896" si="372">IF(B889=0,"-",3600/B889)</f>
        <v>82.758620689655174</v>
      </c>
      <c r="D889" s="259">
        <f t="shared" ref="D889:D896" si="373">IFERROR((H889/C889),"-")</f>
        <v>0</v>
      </c>
      <c r="E889" s="541">
        <f t="shared" ref="E889:E896" si="374">IFERROR(ROUNDUP(D889/0.95,0.999),0)</f>
        <v>0</v>
      </c>
      <c r="F889" s="542" t="str">
        <f t="shared" ref="F889:F896" si="375">IFERROR((H889/C889/E889),"-")</f>
        <v>-</v>
      </c>
      <c r="G889" s="37"/>
      <c r="H889" s="285">
        <f>Preencher!$AC$299</f>
        <v>0</v>
      </c>
      <c r="I889" s="259">
        <f t="shared" ref="I889:I896" si="376">IFERROR((M889/C889),"-")</f>
        <v>0</v>
      </c>
      <c r="J889" s="541">
        <f t="shared" ref="J889:J896" si="377">IFERROR(ROUNDUP(I889/0.95,0.999),0)</f>
        <v>0</v>
      </c>
      <c r="K889" s="542" t="str">
        <f t="shared" ref="K889:K896" si="378">IFERROR((M889/C889/J889),"-")</f>
        <v>-</v>
      </c>
      <c r="L889" s="37"/>
      <c r="M889" s="285">
        <f>Preencher!$AD$299</f>
        <v>0</v>
      </c>
      <c r="N889" s="259" t="str">
        <f>IFERROR((R889/H889),"-")</f>
        <v>-</v>
      </c>
      <c r="O889" s="541">
        <f t="shared" ref="O889:O896" si="379">IFERROR(ROUNDUP(N889/0.95,0.999),0)</f>
        <v>0</v>
      </c>
      <c r="P889" s="542" t="str">
        <f>IFERROR((R889/H889/O889),"-")</f>
        <v>-</v>
      </c>
      <c r="Q889" s="37"/>
      <c r="R889" s="285">
        <f>Preencher!$AE$299</f>
        <v>0</v>
      </c>
    </row>
    <row r="890" spans="1:18">
      <c r="A890" s="200" t="s">
        <v>1849</v>
      </c>
      <c r="B890" s="284">
        <f>IF(Preencher!H360="Não",21.75,'BD Temp'!B889)</f>
        <v>21.75</v>
      </c>
      <c r="C890" s="541">
        <f t="shared" si="372"/>
        <v>165.51724137931035</v>
      </c>
      <c r="D890" s="259">
        <f t="shared" si="373"/>
        <v>0</v>
      </c>
      <c r="E890" s="541">
        <f t="shared" si="374"/>
        <v>0</v>
      </c>
      <c r="F890" s="542" t="str">
        <f t="shared" si="375"/>
        <v>-</v>
      </c>
      <c r="G890" s="37"/>
      <c r="H890" s="285">
        <f>Preencher!$AC$300</f>
        <v>0</v>
      </c>
      <c r="I890" s="259">
        <f t="shared" si="376"/>
        <v>0</v>
      </c>
      <c r="J890" s="541">
        <f t="shared" si="377"/>
        <v>0</v>
      </c>
      <c r="K890" s="542" t="str">
        <f t="shared" si="378"/>
        <v>-</v>
      </c>
      <c r="L890" s="37"/>
      <c r="M890" s="285">
        <f>Preencher!$AD$300</f>
        <v>0</v>
      </c>
      <c r="N890" s="259" t="str">
        <f>IFERROR((R890/H890),"-")</f>
        <v>-</v>
      </c>
      <c r="O890" s="541">
        <f t="shared" si="379"/>
        <v>0</v>
      </c>
      <c r="P890" s="542" t="str">
        <f>IFERROR((R890/H890/O890),"-")</f>
        <v>-</v>
      </c>
      <c r="Q890" s="37"/>
      <c r="R890" s="285">
        <f>Preencher!$AE$300</f>
        <v>0</v>
      </c>
    </row>
    <row r="891" spans="1:18">
      <c r="A891" s="200" t="s">
        <v>1847</v>
      </c>
      <c r="B891" s="284">
        <f>10.2</f>
        <v>10.199999999999999</v>
      </c>
      <c r="C891" s="541">
        <f t="shared" si="372"/>
        <v>352.94117647058823</v>
      </c>
      <c r="D891" s="259">
        <f t="shared" si="373"/>
        <v>0</v>
      </c>
      <c r="E891" s="541">
        <f t="shared" si="374"/>
        <v>0</v>
      </c>
      <c r="F891" s="542" t="str">
        <f t="shared" si="375"/>
        <v>-</v>
      </c>
      <c r="G891" s="37"/>
      <c r="H891" s="285">
        <f>Preencher!$AC$310+Preencher!$AC$325+Preencher!$AC$311+Preencher!$AC$326</f>
        <v>0</v>
      </c>
      <c r="I891" s="259">
        <f t="shared" si="376"/>
        <v>0</v>
      </c>
      <c r="J891" s="541">
        <f t="shared" si="377"/>
        <v>0</v>
      </c>
      <c r="K891" s="542" t="str">
        <f t="shared" si="378"/>
        <v>-</v>
      </c>
      <c r="L891" s="37"/>
      <c r="M891" s="285">
        <f>Preencher!$AD$310+Preencher!$AD$325+Preencher!$AD$311+Preencher!$AD$326</f>
        <v>0</v>
      </c>
      <c r="N891" s="259" t="str">
        <f>IFERROR((R891/H891),"-")</f>
        <v>-</v>
      </c>
      <c r="O891" s="541">
        <f t="shared" si="379"/>
        <v>0</v>
      </c>
      <c r="P891" s="542" t="str">
        <f>IFERROR((R891/H891/O891),"-")</f>
        <v>-</v>
      </c>
      <c r="Q891" s="37"/>
      <c r="R891" s="285">
        <f>Preencher!$AE$310+Preencher!$AE$325+Preencher!$AE$311+Preencher!$AE$326</f>
        <v>0</v>
      </c>
    </row>
    <row r="892" spans="1:18">
      <c r="A892" s="200" t="s">
        <v>1848</v>
      </c>
      <c r="B892" s="284">
        <f>IF(Preencher!H362="Não",8.5,'BD Temp'!B891)</f>
        <v>10.199999999999999</v>
      </c>
      <c r="C892" s="541">
        <f t="shared" si="372"/>
        <v>352.94117647058823</v>
      </c>
      <c r="D892" s="259">
        <f t="shared" si="373"/>
        <v>1.4720151910752436E-2</v>
      </c>
      <c r="E892" s="541">
        <f t="shared" si="374"/>
        <v>1</v>
      </c>
      <c r="F892" s="542">
        <f t="shared" si="375"/>
        <v>1.4720151910752436E-2</v>
      </c>
      <c r="G892" s="37"/>
      <c r="H892" s="285">
        <f>Preencher!$AC$312+Preencher!$AC$327</f>
        <v>5.1953477332067424</v>
      </c>
      <c r="I892" s="259">
        <f t="shared" si="376"/>
        <v>0</v>
      </c>
      <c r="J892" s="541">
        <f t="shared" si="377"/>
        <v>0</v>
      </c>
      <c r="K892" s="542" t="str">
        <f t="shared" si="378"/>
        <v>-</v>
      </c>
      <c r="L892" s="37"/>
      <c r="M892" s="285">
        <f>Preencher!$AD$312+Preencher!$AD$327</f>
        <v>0</v>
      </c>
      <c r="N892" s="259">
        <f>IFERROR((R892/H892),"-")</f>
        <v>0</v>
      </c>
      <c r="O892" s="541">
        <f t="shared" si="379"/>
        <v>0</v>
      </c>
      <c r="P892" s="542" t="str">
        <f>IFERROR((R892/H892/O892),"-")</f>
        <v>-</v>
      </c>
      <c r="Q892" s="37"/>
      <c r="R892" s="285">
        <f>Preencher!$AE$312+Preencher!$AE$327</f>
        <v>0</v>
      </c>
    </row>
    <row r="893" spans="1:18">
      <c r="A893" s="271" t="s">
        <v>129</v>
      </c>
      <c r="B893" s="284">
        <f>19.6-9</f>
        <v>10.600000000000001</v>
      </c>
      <c r="C893" s="251">
        <f t="shared" si="372"/>
        <v>339.62264150943389</v>
      </c>
      <c r="D893" s="259">
        <f t="shared" si="373"/>
        <v>0.30805407201518681</v>
      </c>
      <c r="E893" s="251">
        <f t="shared" si="374"/>
        <v>1</v>
      </c>
      <c r="F893" s="252">
        <f t="shared" si="375"/>
        <v>0.30805407201518681</v>
      </c>
      <c r="G893" s="37"/>
      <c r="H893" s="285">
        <f>Preencher!$B$290*Preencher!$C$310*3.5%</f>
        <v>104.62213766553512</v>
      </c>
      <c r="I893" s="259">
        <f t="shared" si="376"/>
        <v>0</v>
      </c>
      <c r="J893" s="251">
        <f t="shared" si="377"/>
        <v>0</v>
      </c>
      <c r="K893" s="252" t="str">
        <f t="shared" si="378"/>
        <v>-</v>
      </c>
      <c r="L893" s="37"/>
      <c r="M893" s="285">
        <f>Preencher!$C$290*Preencher!$D$310*3.5%</f>
        <v>0</v>
      </c>
      <c r="N893" s="259">
        <f>IFERROR((R893/C893),"-")</f>
        <v>0</v>
      </c>
      <c r="O893" s="251">
        <f t="shared" si="379"/>
        <v>0</v>
      </c>
      <c r="P893" s="252" t="str">
        <f>IFERROR((R893/C893/O893),"-")</f>
        <v>-</v>
      </c>
      <c r="Q893" s="37"/>
      <c r="R893" s="285">
        <f>Preencher!$D$290*Preencher!$E$310*4.5%</f>
        <v>0</v>
      </c>
    </row>
    <row r="894" spans="1:18">
      <c r="A894" s="266" t="s">
        <v>58</v>
      </c>
      <c r="B894" s="284">
        <f>3.5-3.5</f>
        <v>0</v>
      </c>
      <c r="C894" s="251" t="str">
        <f t="shared" si="372"/>
        <v>-</v>
      </c>
      <c r="D894" s="259" t="str">
        <f t="shared" si="373"/>
        <v>-</v>
      </c>
      <c r="E894" s="251">
        <f t="shared" si="374"/>
        <v>0</v>
      </c>
      <c r="F894" s="252" t="str">
        <f t="shared" si="375"/>
        <v>-</v>
      </c>
      <c r="G894" s="37"/>
      <c r="H894" s="285">
        <f>H893</f>
        <v>104.62213766553512</v>
      </c>
      <c r="I894" s="259" t="str">
        <f t="shared" si="376"/>
        <v>-</v>
      </c>
      <c r="J894" s="251">
        <f t="shared" si="377"/>
        <v>0</v>
      </c>
      <c r="K894" s="252" t="str">
        <f t="shared" si="378"/>
        <v>-</v>
      </c>
      <c r="L894" s="37"/>
      <c r="M894" s="285">
        <f>M893</f>
        <v>0</v>
      </c>
      <c r="N894" s="259" t="str">
        <f>IFERROR((R894/C894),"-")</f>
        <v>-</v>
      </c>
      <c r="O894" s="251">
        <f t="shared" si="379"/>
        <v>0</v>
      </c>
      <c r="P894" s="252" t="str">
        <f>IFERROR((R894/C894/O894),"-")</f>
        <v>-</v>
      </c>
      <c r="Q894" s="37"/>
      <c r="R894" s="285">
        <f>R893</f>
        <v>0</v>
      </c>
    </row>
    <row r="895" spans="1:18">
      <c r="A895" s="265" t="s">
        <v>169</v>
      </c>
      <c r="B895" s="284">
        <f>IF(MEDIAN(H895+M895+R895)&lt;50,0,IF(Preencher!$B$297=0,0,3.8))-IF(MEDIAN(H895+M895+R895)&lt;50,0,IF(Preencher!$B$297=0,0,3.8))</f>
        <v>0</v>
      </c>
      <c r="C895" s="251" t="str">
        <f t="shared" si="372"/>
        <v>-</v>
      </c>
      <c r="D895" s="259" t="str">
        <f t="shared" si="373"/>
        <v>-</v>
      </c>
      <c r="E895" s="251">
        <f t="shared" si="374"/>
        <v>0</v>
      </c>
      <c r="F895" s="252" t="str">
        <f t="shared" si="375"/>
        <v>-</v>
      </c>
      <c r="G895" s="37"/>
      <c r="H895" s="285">
        <f>SUM(H$876:$H878)</f>
        <v>0</v>
      </c>
      <c r="I895" s="259" t="str">
        <f t="shared" si="376"/>
        <v>-</v>
      </c>
      <c r="J895" s="251">
        <f t="shared" si="377"/>
        <v>0</v>
      </c>
      <c r="K895" s="252" t="str">
        <f t="shared" si="378"/>
        <v>-</v>
      </c>
      <c r="L895" s="37"/>
      <c r="M895" s="285">
        <f>SUM(M$876:$M878)</f>
        <v>0</v>
      </c>
      <c r="N895" s="259" t="str">
        <f>IFERROR((R895/C895),"-")</f>
        <v>-</v>
      </c>
      <c r="O895" s="251">
        <f t="shared" si="379"/>
        <v>0</v>
      </c>
      <c r="P895" s="252" t="str">
        <f>IFERROR((R895/C895/O895),"-")</f>
        <v>-</v>
      </c>
      <c r="Q895" s="37"/>
      <c r="R895" s="285">
        <f>SUM(R$876:$R878)</f>
        <v>0</v>
      </c>
    </row>
    <row r="896" spans="1:18">
      <c r="A896" s="265" t="s">
        <v>70</v>
      </c>
      <c r="B896" s="284">
        <f>IF(MEDIAN(H896+M896+R896)&lt;200,0,IF(Preencher!$B$297=0,0,4.8+12))</f>
        <v>0</v>
      </c>
      <c r="C896" s="251" t="str">
        <f t="shared" si="372"/>
        <v>-</v>
      </c>
      <c r="D896" s="259" t="str">
        <f t="shared" si="373"/>
        <v>-</v>
      </c>
      <c r="E896" s="251">
        <f t="shared" si="374"/>
        <v>0</v>
      </c>
      <c r="F896" s="252" t="str">
        <f t="shared" si="375"/>
        <v>-</v>
      </c>
      <c r="G896" s="37"/>
      <c r="H896" s="285">
        <f>(RESUMO!$F$204+RESUMO!$F$220)/Preencher!$I$12</f>
        <v>0</v>
      </c>
      <c r="I896" s="259" t="str">
        <f t="shared" si="376"/>
        <v>-</v>
      </c>
      <c r="J896" s="251">
        <f t="shared" si="377"/>
        <v>0</v>
      </c>
      <c r="K896" s="252" t="str">
        <f t="shared" si="378"/>
        <v>-</v>
      </c>
      <c r="L896" s="37"/>
      <c r="M896" s="285">
        <f>(RESUMO!$F$204+RESUMO!$F$220)/Preencher!$I$12</f>
        <v>0</v>
      </c>
      <c r="N896" s="259" t="str">
        <f>IFERROR((R896/C896),"-")</f>
        <v>-</v>
      </c>
      <c r="O896" s="251">
        <f t="shared" si="379"/>
        <v>0</v>
      </c>
      <c r="P896" s="252" t="str">
        <f>IFERROR((R896/C896/O896),"-")</f>
        <v>-</v>
      </c>
      <c r="Q896" s="37"/>
      <c r="R896" s="285">
        <f>(RESUMO!$F$204+RESUMO!$F$220)/Preencher!$I$12</f>
        <v>0</v>
      </c>
    </row>
    <row r="897" spans="1:18">
      <c r="A897" s="265" t="s">
        <v>97</v>
      </c>
      <c r="B897" s="284"/>
      <c r="C897" s="251"/>
      <c r="D897" s="259"/>
      <c r="E897" s="541">
        <f>ROUNDUP(SUM(E898:E900),0)</f>
        <v>0</v>
      </c>
      <c r="F897" s="542" t="str">
        <f>IFERROR(AVERAGE(F898:F900),"-")</f>
        <v>-</v>
      </c>
      <c r="G897" s="37"/>
      <c r="H897" s="285"/>
      <c r="I897" s="259"/>
      <c r="J897" s="541">
        <f>ROUNDUP(SUM(J898:J900),0)</f>
        <v>0</v>
      </c>
      <c r="K897" s="542" t="str">
        <f>IFERROR(AVERAGE(K898:K900),"-")</f>
        <v>-</v>
      </c>
      <c r="L897" s="37"/>
      <c r="M897" s="285"/>
      <c r="N897" s="259"/>
      <c r="O897" s="541">
        <f>ROUNDUP(SUM(O898:O900),0)</f>
        <v>0</v>
      </c>
      <c r="P897" s="542" t="str">
        <f>IFERROR(AVERAGE(P898:P900),"-")</f>
        <v>-</v>
      </c>
      <c r="Q897" s="37"/>
      <c r="R897" s="285"/>
    </row>
    <row r="898" spans="1:18">
      <c r="A898" s="200" t="s">
        <v>97</v>
      </c>
      <c r="B898" s="284">
        <v>1.02</v>
      </c>
      <c r="C898" s="541">
        <f t="shared" ref="C898:C905" si="380">IF(B898=0,"-",3600/B898)</f>
        <v>3529.4117647058824</v>
      </c>
      <c r="D898" s="259">
        <f t="shared" ref="D898:D905" si="381">IFERROR((H898/C898),"-")</f>
        <v>0</v>
      </c>
      <c r="E898" s="541">
        <f t="shared" ref="E898:E905" si="382">IFERROR(ROUNDUP(D898/0.95,0.999),0)</f>
        <v>0</v>
      </c>
      <c r="F898" s="542" t="str">
        <f t="shared" ref="F898:F905" si="383">IFERROR((H898/C898/E898),"-")</f>
        <v>-</v>
      </c>
      <c r="G898" s="37"/>
      <c r="H898" s="285">
        <f>(Preencher!$B$290*Preencher!$C$309)+(Preencher!$B$290*Preencher!$C$310*Preencher!$C$327)+(Preencher!$B$290*Preencher!$C$310*Preencher!$C$342)</f>
        <v>0</v>
      </c>
      <c r="I898" s="259">
        <f t="shared" ref="I898:I905" si="384">IFERROR((M898/C898),"-")</f>
        <v>0</v>
      </c>
      <c r="J898" s="541">
        <f t="shared" ref="J898:J905" si="385">IFERROR(ROUNDUP(I898/0.95,0.999),0)</f>
        <v>0</v>
      </c>
      <c r="K898" s="542" t="str">
        <f t="shared" ref="K898:K905" si="386">IFERROR((M898/C898/J898),"-")</f>
        <v>-</v>
      </c>
      <c r="L898" s="37"/>
      <c r="M898" s="285">
        <f>(Preencher!$C$290*Preencher!$D$309)+(Preencher!$C$290*Preencher!$D$310*Preencher!$D$327)+(Preencher!$C$290*Preencher!$D$310*Preencher!$D$342)</f>
        <v>0</v>
      </c>
      <c r="N898" s="259">
        <f t="shared" ref="N898:N905" si="387">IFERROR((R898/C898),"-")</f>
        <v>0</v>
      </c>
      <c r="O898" s="541">
        <f t="shared" ref="O898:O905" si="388">IFERROR(ROUNDUP(N898/0.95,0.999),0)</f>
        <v>0</v>
      </c>
      <c r="P898" s="542" t="str">
        <f t="shared" ref="P898:P905" si="389">IFERROR((R898/C898/O898),"-")</f>
        <v>-</v>
      </c>
      <c r="Q898" s="37"/>
      <c r="R898" s="285">
        <f>(Preencher!$D$290*Preencher!$E$309)+(Preencher!$D$290*Preencher!$E$310*Preencher!$E$327)+(Preencher!$D$290*Preencher!$E$310*Preencher!$E$342)</f>
        <v>0</v>
      </c>
    </row>
    <row r="899" spans="1:18">
      <c r="A899" s="200" t="s">
        <v>1566</v>
      </c>
      <c r="B899" s="284">
        <v>3420</v>
      </c>
      <c r="C899" s="541">
        <f t="shared" si="380"/>
        <v>1.0526315789473684</v>
      </c>
      <c r="D899" s="259">
        <f t="shared" si="381"/>
        <v>0</v>
      </c>
      <c r="E899" s="541">
        <f t="shared" si="382"/>
        <v>0</v>
      </c>
      <c r="F899" s="542" t="str">
        <f t="shared" si="383"/>
        <v>-</v>
      </c>
      <c r="G899" s="37"/>
      <c r="H899" s="285">
        <f>Preencher!$B$293</f>
        <v>0</v>
      </c>
      <c r="I899" s="259">
        <f t="shared" si="384"/>
        <v>0</v>
      </c>
      <c r="J899" s="541">
        <f t="shared" si="385"/>
        <v>0</v>
      </c>
      <c r="K899" s="542" t="str">
        <f t="shared" si="386"/>
        <v>-</v>
      </c>
      <c r="L899" s="37"/>
      <c r="M899" s="285">
        <f>Preencher!$C$293</f>
        <v>0</v>
      </c>
      <c r="N899" s="259">
        <f t="shared" si="387"/>
        <v>0</v>
      </c>
      <c r="O899" s="541">
        <f t="shared" si="388"/>
        <v>0</v>
      </c>
      <c r="P899" s="542" t="str">
        <f t="shared" si="389"/>
        <v>-</v>
      </c>
      <c r="Q899" s="37"/>
      <c r="R899" s="285">
        <f>Preencher!$D$293</f>
        <v>0</v>
      </c>
    </row>
    <row r="900" spans="1:18">
      <c r="A900" s="200" t="s">
        <v>1851</v>
      </c>
      <c r="B900" s="284">
        <f>IF(MEDIAN(H898+M898+R898)&lt;1000,0,1710)</f>
        <v>0</v>
      </c>
      <c r="C900" s="541" t="str">
        <f t="shared" si="380"/>
        <v>-</v>
      </c>
      <c r="D900" s="259" t="str">
        <f t="shared" si="381"/>
        <v>-</v>
      </c>
      <c r="E900" s="541">
        <f t="shared" si="382"/>
        <v>0</v>
      </c>
      <c r="F900" s="542" t="str">
        <f t="shared" si="383"/>
        <v>-</v>
      </c>
      <c r="G900" s="37"/>
      <c r="H900" s="285">
        <f>Preencher!$B$295</f>
        <v>0</v>
      </c>
      <c r="I900" s="259" t="str">
        <f t="shared" si="384"/>
        <v>-</v>
      </c>
      <c r="J900" s="541">
        <f t="shared" si="385"/>
        <v>0</v>
      </c>
      <c r="K900" s="542" t="str">
        <f t="shared" si="386"/>
        <v>-</v>
      </c>
      <c r="L900" s="37"/>
      <c r="M900" s="285">
        <f>Preencher!$C$295</f>
        <v>0</v>
      </c>
      <c r="N900" s="259" t="str">
        <f t="shared" si="387"/>
        <v>-</v>
      </c>
      <c r="O900" s="541">
        <f t="shared" si="388"/>
        <v>0</v>
      </c>
      <c r="P900" s="542" t="str">
        <f t="shared" si="389"/>
        <v>-</v>
      </c>
      <c r="Q900" s="37"/>
      <c r="R900" s="285">
        <f>Preencher!$D$295</f>
        <v>0</v>
      </c>
    </row>
    <row r="901" spans="1:18">
      <c r="A901" s="265" t="s">
        <v>224</v>
      </c>
      <c r="B901" s="284">
        <v>5</v>
      </c>
      <c r="C901" s="251">
        <f t="shared" si="380"/>
        <v>720</v>
      </c>
      <c r="D901" s="259">
        <f t="shared" si="381"/>
        <v>0</v>
      </c>
      <c r="E901" s="251">
        <f t="shared" si="382"/>
        <v>0</v>
      </c>
      <c r="F901" s="252" t="str">
        <f t="shared" si="383"/>
        <v>-</v>
      </c>
      <c r="G901" s="37"/>
      <c r="H901" s="285">
        <f>Preencher!$B$290*Preencher!$C$302</f>
        <v>0</v>
      </c>
      <c r="I901" s="259">
        <f t="shared" si="384"/>
        <v>0</v>
      </c>
      <c r="J901" s="251">
        <f t="shared" si="385"/>
        <v>0</v>
      </c>
      <c r="K901" s="252" t="str">
        <f t="shared" si="386"/>
        <v>-</v>
      </c>
      <c r="L901" s="37"/>
      <c r="M901" s="285">
        <f>Preencher!$C$290*Preencher!$D$302</f>
        <v>0</v>
      </c>
      <c r="N901" s="259">
        <f t="shared" si="387"/>
        <v>0</v>
      </c>
      <c r="O901" s="251">
        <f t="shared" si="388"/>
        <v>0</v>
      </c>
      <c r="P901" s="252" t="str">
        <f t="shared" si="389"/>
        <v>-</v>
      </c>
      <c r="Q901" s="37"/>
      <c r="R901" s="285">
        <f>Preencher!$D$290*Preencher!$E$302</f>
        <v>0</v>
      </c>
    </row>
    <row r="902" spans="1:18">
      <c r="A902" s="265" t="s">
        <v>13</v>
      </c>
      <c r="B902" s="284">
        <v>0</v>
      </c>
      <c r="C902" s="251" t="str">
        <f t="shared" si="380"/>
        <v>-</v>
      </c>
      <c r="D902" s="259" t="str">
        <f t="shared" si="381"/>
        <v>-</v>
      </c>
      <c r="E902" s="251">
        <f t="shared" si="382"/>
        <v>0</v>
      </c>
      <c r="F902" s="252" t="str">
        <f t="shared" si="383"/>
        <v>-</v>
      </c>
      <c r="G902" s="37"/>
      <c r="H902" s="285">
        <f>IF(Preencher!$B$290&gt;2000,Preencher!$B$290,0)</f>
        <v>4800</v>
      </c>
      <c r="I902" s="259" t="str">
        <f t="shared" si="384"/>
        <v>-</v>
      </c>
      <c r="J902" s="251">
        <f t="shared" si="385"/>
        <v>0</v>
      </c>
      <c r="K902" s="252" t="str">
        <f t="shared" si="386"/>
        <v>-</v>
      </c>
      <c r="L902" s="37"/>
      <c r="M902" s="285">
        <f>IF(Preencher!$C$290&gt;2000,Preencher!$C$290,0)</f>
        <v>0</v>
      </c>
      <c r="N902" s="259" t="str">
        <f t="shared" si="387"/>
        <v>-</v>
      </c>
      <c r="O902" s="251">
        <f t="shared" si="388"/>
        <v>0</v>
      </c>
      <c r="P902" s="252" t="str">
        <f t="shared" si="389"/>
        <v>-</v>
      </c>
      <c r="Q902" s="37"/>
      <c r="R902" s="285">
        <f>IF(Preencher!$D$290&gt;2000,Preencher!$D$290,0)</f>
        <v>0</v>
      </c>
    </row>
    <row r="903" spans="1:18">
      <c r="A903" s="265" t="s">
        <v>14</v>
      </c>
      <c r="B903" s="284"/>
      <c r="C903" s="251" t="str">
        <f t="shared" si="380"/>
        <v>-</v>
      </c>
      <c r="D903" s="259" t="str">
        <f t="shared" si="381"/>
        <v>-</v>
      </c>
      <c r="E903" s="251">
        <f t="shared" si="382"/>
        <v>0</v>
      </c>
      <c r="F903" s="252" t="str">
        <f t="shared" si="383"/>
        <v>-</v>
      </c>
      <c r="G903" s="37"/>
      <c r="H903" s="285"/>
      <c r="I903" s="259" t="str">
        <f t="shared" si="384"/>
        <v>-</v>
      </c>
      <c r="J903" s="251">
        <f t="shared" si="385"/>
        <v>0</v>
      </c>
      <c r="K903" s="252" t="str">
        <f t="shared" si="386"/>
        <v>-</v>
      </c>
      <c r="L903" s="37"/>
      <c r="M903" s="285"/>
      <c r="N903" s="259" t="str">
        <f t="shared" si="387"/>
        <v>-</v>
      </c>
      <c r="O903" s="251">
        <f t="shared" si="388"/>
        <v>0</v>
      </c>
      <c r="P903" s="252" t="str">
        <f t="shared" si="389"/>
        <v>-</v>
      </c>
      <c r="Q903" s="37"/>
      <c r="R903" s="285"/>
    </row>
    <row r="904" spans="1:18">
      <c r="A904" s="37" t="s">
        <v>16</v>
      </c>
      <c r="B904" s="284"/>
      <c r="C904" s="912" t="s">
        <v>1075</v>
      </c>
      <c r="D904" s="259"/>
      <c r="E904" s="770">
        <f>IFERROR(ROUNDUP(SUM(Avaliação!J598+SUM(Avaliação!J570:J586))*'BD Temp'!H904,0.999),0)</f>
        <v>4</v>
      </c>
      <c r="F904" s="772" t="str">
        <f t="shared" si="383"/>
        <v>-</v>
      </c>
      <c r="G904" s="37"/>
      <c r="H904" s="285">
        <f>IF(Preencher!$A$15=Preencher!$R$28,0,IF(Preencher!$A$15=Preencher!$R$29,Preencher!$C$15,Preencher!$D$15))</f>
        <v>0.33</v>
      </c>
      <c r="I904" s="259" t="str">
        <f t="shared" si="384"/>
        <v>-</v>
      </c>
      <c r="J904" s="770">
        <f>IFERROR(ROUNDUP(SUM(Avaliação!N598+SUM(Avaliação!N570:N586))*'BD Temp'!M904,0.999),0)</f>
        <v>0</v>
      </c>
      <c r="K904" s="772" t="str">
        <f t="shared" si="386"/>
        <v>-</v>
      </c>
      <c r="L904" s="37"/>
      <c r="M904" s="285">
        <f>IF(Preencher!$A$15=Preencher!$R$28,0,IF(Preencher!$A$15=Preencher!$R$29,Preencher!$C$15,Preencher!$D$15))</f>
        <v>0.33</v>
      </c>
      <c r="N904" s="259" t="str">
        <f t="shared" si="387"/>
        <v>-</v>
      </c>
      <c r="O904" s="770">
        <f>IFERROR(ROUNDUP(SUM(Avaliação!R598+SUM(Avaliação!R570:R586))*'BD Temp'!R904,0.999),0)</f>
        <v>0</v>
      </c>
      <c r="P904" s="772" t="str">
        <f t="shared" si="389"/>
        <v>-</v>
      </c>
      <c r="Q904" s="37"/>
      <c r="R904" s="285">
        <f>IF(Preencher!$A$15=Preencher!$R$28,0,IF(Preencher!$A$15=Preencher!$R$29,Preencher!$C$15,Preencher!$D$15))</f>
        <v>0.33</v>
      </c>
    </row>
    <row r="905" spans="1:18">
      <c r="A905" s="265" t="s">
        <v>15</v>
      </c>
      <c r="B905" s="284">
        <v>0</v>
      </c>
      <c r="C905" s="251" t="str">
        <f t="shared" si="380"/>
        <v>-</v>
      </c>
      <c r="D905" s="259" t="str">
        <f t="shared" si="381"/>
        <v>-</v>
      </c>
      <c r="E905" s="251">
        <f t="shared" si="382"/>
        <v>0</v>
      </c>
      <c r="F905" s="252" t="str">
        <f t="shared" si="383"/>
        <v>-</v>
      </c>
      <c r="G905" s="37"/>
      <c r="H905" s="285">
        <f>((Preencher!$B$290*Preencher!$C$310*Preencher!$C$316)+(Preencher!$B$290*Preencher!$C$310*Preencher!$C$331))+H902</f>
        <v>4800</v>
      </c>
      <c r="I905" s="259" t="str">
        <f t="shared" si="384"/>
        <v>-</v>
      </c>
      <c r="J905" s="251">
        <f t="shared" si="385"/>
        <v>0</v>
      </c>
      <c r="K905" s="252" t="str">
        <f t="shared" si="386"/>
        <v>-</v>
      </c>
      <c r="L905" s="37"/>
      <c r="M905" s="285">
        <f>((Preencher!$C$290*Preencher!$D$310*Preencher!$D$316)+(Preencher!$C$290*Preencher!$D$310*Preencher!$D$331))/2+M902</f>
        <v>0</v>
      </c>
      <c r="N905" s="259" t="str">
        <f t="shared" si="387"/>
        <v>-</v>
      </c>
      <c r="O905" s="251">
        <f t="shared" si="388"/>
        <v>0</v>
      </c>
      <c r="P905" s="252" t="str">
        <f t="shared" si="389"/>
        <v>-</v>
      </c>
      <c r="Q905" s="37"/>
      <c r="R905" s="285">
        <f>((Preencher!$D$290*Preencher!$E$310*Preencher!$E$316)+(Preencher!$D$290*Preencher!$E$310*Preencher!$E$331))/2</f>
        <v>0</v>
      </c>
    </row>
    <row r="906" spans="1:18">
      <c r="A906" s="268"/>
      <c r="B906" s="288"/>
      <c r="C906" s="13"/>
      <c r="D906" s="13"/>
      <c r="E906" s="13"/>
      <c r="F906" s="13"/>
      <c r="G906" s="13"/>
      <c r="H906" s="113"/>
      <c r="I906" s="13"/>
      <c r="J906" s="13"/>
      <c r="K906" s="13"/>
      <c r="L906" s="13"/>
      <c r="M906" s="113"/>
      <c r="N906" s="13"/>
      <c r="O906" s="13"/>
      <c r="P906" s="13"/>
      <c r="Q906" s="13"/>
      <c r="R906" s="113"/>
    </row>
    <row r="907" spans="1:18">
      <c r="A907" s="269" t="s">
        <v>723</v>
      </c>
      <c r="B907" s="289"/>
      <c r="C907" s="36"/>
      <c r="D907" s="36"/>
      <c r="E907" s="36"/>
      <c r="F907" s="36"/>
      <c r="G907" s="36"/>
      <c r="H907" s="290"/>
      <c r="I907" s="36"/>
      <c r="J907" s="36"/>
      <c r="K907" s="36"/>
      <c r="L907" s="36"/>
      <c r="M907" s="290"/>
      <c r="N907" s="36"/>
      <c r="O907" s="36"/>
      <c r="P907" s="36"/>
      <c r="Q907" s="36"/>
      <c r="R907" s="290"/>
    </row>
    <row r="908" spans="1:18">
      <c r="A908" s="268"/>
      <c r="B908" s="288"/>
      <c r="C908" s="13"/>
      <c r="D908" s="13"/>
      <c r="E908" s="13"/>
      <c r="F908" s="13"/>
      <c r="G908" s="13"/>
      <c r="H908" s="113"/>
      <c r="I908" s="13"/>
      <c r="J908" s="13"/>
      <c r="K908" s="13"/>
      <c r="L908" s="13"/>
      <c r="M908" s="113"/>
      <c r="N908" s="13"/>
      <c r="O908" s="13"/>
      <c r="P908" s="13"/>
      <c r="Q908" s="13"/>
      <c r="R908" s="113"/>
    </row>
    <row r="909" spans="1:18">
      <c r="A909" s="268"/>
      <c r="B909" s="288"/>
      <c r="C909" s="13"/>
      <c r="D909" s="13"/>
      <c r="E909" s="13"/>
      <c r="F909" s="13"/>
      <c r="G909" s="13"/>
      <c r="H909" s="113"/>
      <c r="I909" s="13"/>
      <c r="J909" s="13"/>
      <c r="K909" s="13"/>
      <c r="L909" s="13"/>
      <c r="M909" s="113"/>
      <c r="N909" s="13"/>
      <c r="O909" s="13"/>
      <c r="P909" s="13"/>
      <c r="Q909" s="13"/>
      <c r="R909" s="113"/>
    </row>
    <row r="910" spans="1:18">
      <c r="A910" s="268"/>
      <c r="B910" s="288"/>
      <c r="C910" s="13"/>
      <c r="D910" s="13"/>
      <c r="E910" s="13"/>
      <c r="F910" s="13"/>
      <c r="G910" s="13"/>
      <c r="H910" s="113"/>
      <c r="I910" s="13"/>
      <c r="J910" s="13"/>
      <c r="K910" s="13"/>
      <c r="L910" s="13"/>
      <c r="M910" s="113"/>
      <c r="N910" s="13"/>
      <c r="O910" s="13"/>
      <c r="P910" s="13"/>
      <c r="Q910" s="13"/>
      <c r="R910" s="113"/>
    </row>
    <row r="911" spans="1:18">
      <c r="A911" s="268"/>
      <c r="B911" s="288"/>
      <c r="C911" s="13"/>
      <c r="D911" s="13"/>
      <c r="E911" s="13"/>
      <c r="F911" s="13"/>
      <c r="G911" s="13"/>
      <c r="H911" s="113"/>
      <c r="I911" s="13"/>
      <c r="J911" s="13"/>
      <c r="K911" s="13"/>
      <c r="L911" s="13"/>
      <c r="M911" s="113"/>
      <c r="N911" s="13"/>
      <c r="O911" s="13"/>
      <c r="P911" s="13"/>
      <c r="Q911" s="13"/>
      <c r="R911" s="113"/>
    </row>
    <row r="912" spans="1:18">
      <c r="A912" s="268"/>
      <c r="B912" s="288"/>
      <c r="C912" s="13"/>
      <c r="D912" s="13"/>
      <c r="E912" s="13"/>
      <c r="F912" s="13"/>
      <c r="G912" s="13"/>
      <c r="H912" s="113"/>
      <c r="I912" s="13"/>
      <c r="J912" s="13"/>
      <c r="K912" s="13"/>
      <c r="L912" s="13"/>
      <c r="M912" s="113"/>
      <c r="N912" s="13"/>
      <c r="O912" s="13"/>
      <c r="P912" s="13"/>
      <c r="Q912" s="13"/>
      <c r="R912" s="113"/>
    </row>
    <row r="913" spans="1:18">
      <c r="A913" s="268"/>
      <c r="B913" s="288"/>
      <c r="C913" s="13"/>
      <c r="D913" s="13"/>
      <c r="E913" s="13"/>
      <c r="F913" s="13"/>
      <c r="G913" s="13"/>
      <c r="H913" s="113"/>
      <c r="I913" s="13"/>
      <c r="J913" s="13"/>
      <c r="K913" s="13"/>
      <c r="L913" s="13"/>
      <c r="M913" s="113"/>
      <c r="N913" s="13"/>
      <c r="O913" s="13"/>
      <c r="P913" s="13"/>
      <c r="Q913" s="13"/>
      <c r="R913" s="113"/>
    </row>
    <row r="914" spans="1:18">
      <c r="A914" s="264" t="s">
        <v>254</v>
      </c>
      <c r="B914" s="282"/>
      <c r="C914" s="40"/>
      <c r="D914" s="40"/>
      <c r="E914" s="40"/>
      <c r="F914" s="40"/>
      <c r="G914" s="40"/>
      <c r="H914" s="283"/>
      <c r="I914" s="40"/>
      <c r="J914" s="40"/>
      <c r="K914" s="40"/>
      <c r="L914" s="40"/>
      <c r="M914" s="283"/>
      <c r="N914" s="40"/>
      <c r="O914" s="40"/>
      <c r="P914" s="40"/>
      <c r="Q914" s="40"/>
      <c r="R914" s="283"/>
    </row>
    <row r="915" spans="1:18">
      <c r="A915" s="265" t="s">
        <v>172</v>
      </c>
      <c r="B915" s="284">
        <v>1.85</v>
      </c>
      <c r="C915" s="251">
        <f>IF(B915=0,"-",3600/B915)</f>
        <v>1945.9459459459458</v>
      </c>
      <c r="D915" s="259">
        <f>IFERROR((H915/C915),"-")</f>
        <v>0</v>
      </c>
      <c r="E915" s="251">
        <f>IFERROR(ROUNDUP(D915/0.95,0.999),0)</f>
        <v>0</v>
      </c>
      <c r="F915" s="252" t="str">
        <f>IFERROR((H915/C915/E915),"-")</f>
        <v>-</v>
      </c>
      <c r="G915" s="37"/>
      <c r="H915" s="285">
        <f>Preencher!$B$290*Preencher!$C$310*Preencher!$C$323</f>
        <v>0</v>
      </c>
      <c r="I915" s="259">
        <f>IFERROR((M915/C915),"-")</f>
        <v>0</v>
      </c>
      <c r="J915" s="251">
        <f>IFERROR(ROUNDUP(I915/0.95,0.999),0)</f>
        <v>0</v>
      </c>
      <c r="K915" s="252" t="str">
        <f>IFERROR((M915/C915/J915),"-")</f>
        <v>-</v>
      </c>
      <c r="L915" s="37"/>
      <c r="M915" s="285">
        <f>Preencher!$C$290*Preencher!$D$310*Preencher!$D$323</f>
        <v>0</v>
      </c>
      <c r="N915" s="259">
        <f>IFERROR((R915/C915),"-")</f>
        <v>0</v>
      </c>
      <c r="O915" s="251">
        <f>IFERROR(ROUNDUP(N915/0.95,0.999),0)</f>
        <v>0</v>
      </c>
      <c r="P915" s="252" t="str">
        <f>IFERROR((R915/C915/O915),"-")</f>
        <v>-</v>
      </c>
      <c r="Q915" s="37"/>
      <c r="R915" s="285">
        <f>Preencher!$D$290*Preencher!$E$310*Preencher!$E$323</f>
        <v>0</v>
      </c>
    </row>
    <row r="916" spans="1:18">
      <c r="A916" s="265" t="s">
        <v>836</v>
      </c>
      <c r="B916" s="284">
        <v>0.4</v>
      </c>
      <c r="C916" s="251">
        <f>IF(B916=0,"-",3600/B916)</f>
        <v>9000</v>
      </c>
      <c r="D916" s="259">
        <f>IFERROR((H916/C916),"-")</f>
        <v>0</v>
      </c>
      <c r="E916" s="251">
        <f>IFERROR(ROUNDUP(D916/0.95,0.999),0)</f>
        <v>0</v>
      </c>
      <c r="F916" s="252" t="str">
        <f>IFERROR((H916/C916/E916),"-")</f>
        <v>-</v>
      </c>
      <c r="G916" s="37"/>
      <c r="H916" s="285">
        <f>Preencher!$B$290*Preencher!$C$310*Preencher!$C$323</f>
        <v>0</v>
      </c>
      <c r="I916" s="259">
        <f>IFERROR((M916/C916),"-")</f>
        <v>0</v>
      </c>
      <c r="J916" s="251">
        <f>IFERROR(ROUNDUP(I916/0.95,0.999),0)</f>
        <v>0</v>
      </c>
      <c r="K916" s="252" t="str">
        <f>IFERROR((M916/C916/J916),"-")</f>
        <v>-</v>
      </c>
      <c r="L916" s="37"/>
      <c r="M916" s="285">
        <f>Preencher!$C$290*Preencher!$D$310*Preencher!$D$323</f>
        <v>0</v>
      </c>
      <c r="N916" s="259">
        <f>IFERROR((R916/C916),"-")</f>
        <v>0</v>
      </c>
      <c r="O916" s="251">
        <f>IFERROR(ROUNDUP(N916/0.95,0.999),0)</f>
        <v>0</v>
      </c>
      <c r="P916" s="252" t="str">
        <f>IFERROR((R916/C916/O916),"-")</f>
        <v>-</v>
      </c>
      <c r="Q916" s="37"/>
      <c r="R916" s="285">
        <f>Preencher!$D$290*Preencher!$E$310*Preencher!$E$323</f>
        <v>0</v>
      </c>
    </row>
    <row r="917" spans="1:18">
      <c r="A917" s="265" t="s">
        <v>678</v>
      </c>
      <c r="B917" s="284">
        <v>18.3</v>
      </c>
      <c r="C917" s="251">
        <f>IF(B917=0,"-",3600/B917)</f>
        <v>196.72131147540983</v>
      </c>
      <c r="D917" s="259">
        <f>IFERROR((H917/C917),"-")</f>
        <v>0</v>
      </c>
      <c r="E917" s="251">
        <f>IFERROR(ROUNDUP(D917/0.95,0.999),0)</f>
        <v>0</v>
      </c>
      <c r="F917" s="252" t="str">
        <f>IFERROR((H917/C917/E917),"-")</f>
        <v>-</v>
      </c>
      <c r="G917" s="37"/>
      <c r="H917" s="285">
        <f>Preencher!$AC$315</f>
        <v>0</v>
      </c>
      <c r="I917" s="259">
        <f>IFERROR((M917/C917),"-")</f>
        <v>0</v>
      </c>
      <c r="J917" s="251">
        <f>IFERROR(ROUNDUP(I917/0.95,0.999),0)</f>
        <v>0</v>
      </c>
      <c r="K917" s="252" t="str">
        <f>IFERROR((M917/C917/J917),"-")</f>
        <v>-</v>
      </c>
      <c r="L917" s="37"/>
      <c r="M917" s="285">
        <f>Preencher!$AD$315</f>
        <v>0</v>
      </c>
      <c r="N917" s="259">
        <f>IFERROR((R917/C917),"-")</f>
        <v>0</v>
      </c>
      <c r="O917" s="251">
        <f>IFERROR(ROUNDUP(N917/0.95,0.999),0)</f>
        <v>0</v>
      </c>
      <c r="P917" s="252" t="str">
        <f>IFERROR((R917/C917/O917),"-")</f>
        <v>-</v>
      </c>
      <c r="Q917" s="37"/>
      <c r="R917" s="285">
        <f>Preencher!$AE$315</f>
        <v>0</v>
      </c>
    </row>
    <row r="918" spans="1:18">
      <c r="A918" s="265"/>
      <c r="B918" s="286"/>
      <c r="C918" s="37"/>
      <c r="D918" s="37"/>
      <c r="E918" s="37"/>
      <c r="F918" s="37"/>
      <c r="G918" s="37"/>
      <c r="H918" s="287"/>
      <c r="I918" s="37"/>
      <c r="J918" s="37"/>
      <c r="K918" s="37"/>
      <c r="L918" s="37"/>
      <c r="M918" s="287"/>
      <c r="N918" s="37"/>
      <c r="O918" s="37"/>
      <c r="P918" s="37"/>
      <c r="Q918" s="37"/>
      <c r="R918" s="287"/>
    </row>
    <row r="919" spans="1:18">
      <c r="A919" s="270" t="s">
        <v>723</v>
      </c>
      <c r="B919" s="291"/>
      <c r="C919" s="39"/>
      <c r="D919" s="39"/>
      <c r="E919" s="39"/>
      <c r="F919" s="39"/>
      <c r="G919" s="39"/>
      <c r="H919" s="292"/>
      <c r="I919" s="39"/>
      <c r="J919" s="39"/>
      <c r="K919" s="39"/>
      <c r="L919" s="39"/>
      <c r="M919" s="292"/>
      <c r="N919" s="39"/>
      <c r="O919" s="39"/>
      <c r="P919" s="39"/>
      <c r="Q919" s="39"/>
      <c r="R919" s="292"/>
    </row>
    <row r="920" spans="1:18">
      <c r="A920" s="265"/>
      <c r="B920" s="286"/>
      <c r="C920" s="37"/>
      <c r="D920" s="37"/>
      <c r="E920" s="37"/>
      <c r="F920" s="37"/>
      <c r="G920" s="37"/>
      <c r="H920" s="287"/>
      <c r="I920" s="37"/>
      <c r="J920" s="37"/>
      <c r="K920" s="37"/>
      <c r="L920" s="37"/>
      <c r="M920" s="287"/>
      <c r="N920" s="37"/>
      <c r="O920" s="37"/>
      <c r="P920" s="37"/>
      <c r="Q920" s="37"/>
      <c r="R920" s="287"/>
    </row>
    <row r="921" spans="1:18">
      <c r="A921" s="265"/>
      <c r="B921" s="286"/>
      <c r="C921" s="37"/>
      <c r="D921" s="37"/>
      <c r="E921" s="37"/>
      <c r="F921" s="37"/>
      <c r="G921" s="37"/>
      <c r="H921" s="287"/>
      <c r="I921" s="37"/>
      <c r="J921" s="37"/>
      <c r="K921" s="37"/>
      <c r="L921" s="37"/>
      <c r="M921" s="287"/>
      <c r="N921" s="37"/>
      <c r="O921" s="37"/>
      <c r="P921" s="37"/>
      <c r="Q921" s="37"/>
      <c r="R921" s="287"/>
    </row>
    <row r="922" spans="1:18">
      <c r="A922" s="265"/>
      <c r="B922" s="286"/>
      <c r="C922" s="37"/>
      <c r="D922" s="37"/>
      <c r="E922" s="37"/>
      <c r="F922" s="37"/>
      <c r="G922" s="37"/>
      <c r="H922" s="287"/>
      <c r="I922" s="37"/>
      <c r="J922" s="37"/>
      <c r="K922" s="37"/>
      <c r="L922" s="37"/>
      <c r="M922" s="287"/>
      <c r="N922" s="37"/>
      <c r="O922" s="37"/>
      <c r="P922" s="37"/>
      <c r="Q922" s="37"/>
      <c r="R922" s="287"/>
    </row>
    <row r="923" spans="1:18">
      <c r="A923" s="265"/>
      <c r="B923" s="286"/>
      <c r="C923" s="37"/>
      <c r="D923" s="37"/>
      <c r="E923" s="37"/>
      <c r="F923" s="37"/>
      <c r="G923" s="37"/>
      <c r="H923" s="287"/>
      <c r="I923" s="37"/>
      <c r="J923" s="37"/>
      <c r="K923" s="37"/>
      <c r="L923" s="37"/>
      <c r="M923" s="287"/>
      <c r="N923" s="37"/>
      <c r="O923" s="37"/>
      <c r="P923" s="37"/>
      <c r="Q923" s="37"/>
      <c r="R923" s="287"/>
    </row>
    <row r="924" spans="1:18">
      <c r="A924" s="265"/>
      <c r="B924" s="286"/>
      <c r="C924" s="37"/>
      <c r="D924" s="37"/>
      <c r="E924" s="37"/>
      <c r="F924" s="37"/>
      <c r="G924" s="37"/>
      <c r="H924" s="287"/>
      <c r="I924" s="37"/>
      <c r="J924" s="37"/>
      <c r="K924" s="37"/>
      <c r="L924" s="37"/>
      <c r="M924" s="287"/>
      <c r="N924" s="37"/>
      <c r="O924" s="37"/>
      <c r="P924" s="37"/>
      <c r="Q924" s="37"/>
      <c r="R924" s="287"/>
    </row>
    <row r="925" spans="1:18">
      <c r="A925" s="265"/>
      <c r="B925" s="286"/>
      <c r="C925" s="37"/>
      <c r="D925" s="37"/>
      <c r="E925" s="37"/>
      <c r="F925" s="37"/>
      <c r="G925" s="37"/>
      <c r="H925" s="287"/>
      <c r="I925" s="37"/>
      <c r="J925" s="37"/>
      <c r="K925" s="37"/>
      <c r="L925" s="37"/>
      <c r="M925" s="287"/>
      <c r="N925" s="37"/>
      <c r="O925" s="37"/>
      <c r="P925" s="37"/>
      <c r="Q925" s="37"/>
      <c r="R925" s="287"/>
    </row>
    <row r="926" spans="1:18">
      <c r="A926" s="264" t="s">
        <v>235</v>
      </c>
      <c r="B926" s="282"/>
      <c r="C926" s="40"/>
      <c r="D926" s="40"/>
      <c r="E926" s="40"/>
      <c r="F926" s="40"/>
      <c r="G926" s="40"/>
      <c r="H926" s="283"/>
      <c r="I926" s="40"/>
      <c r="J926" s="40"/>
      <c r="K926" s="40"/>
      <c r="L926" s="40"/>
      <c r="M926" s="283"/>
      <c r="N926" s="40"/>
      <c r="O926" s="40"/>
      <c r="P926" s="40"/>
      <c r="Q926" s="40"/>
      <c r="R926" s="283"/>
    </row>
    <row r="927" spans="1:18">
      <c r="A927" s="268" t="s">
        <v>17</v>
      </c>
      <c r="B927" s="288"/>
      <c r="C927" s="13"/>
      <c r="D927" s="13"/>
      <c r="E927" s="13"/>
      <c r="F927" s="13"/>
      <c r="G927" s="13"/>
      <c r="H927" s="113"/>
      <c r="I927" s="13"/>
      <c r="J927" s="13"/>
      <c r="K927" s="13"/>
      <c r="L927" s="13"/>
      <c r="M927" s="113"/>
      <c r="N927" s="13"/>
      <c r="O927" s="13"/>
      <c r="P927" s="13"/>
      <c r="Q927" s="13"/>
      <c r="R927" s="113"/>
    </row>
    <row r="928" spans="1:18">
      <c r="A928" s="268" t="s">
        <v>18</v>
      </c>
      <c r="B928" s="288"/>
      <c r="C928" s="13"/>
      <c r="D928" s="13"/>
      <c r="E928" s="13"/>
      <c r="F928" s="13"/>
      <c r="G928" s="13"/>
      <c r="H928" s="113"/>
      <c r="I928" s="13"/>
      <c r="J928" s="13"/>
      <c r="K928" s="13"/>
      <c r="L928" s="13"/>
      <c r="M928" s="113"/>
      <c r="N928" s="13"/>
      <c r="O928" s="13"/>
      <c r="P928" s="13"/>
      <c r="Q928" s="13"/>
      <c r="R928" s="113"/>
    </row>
    <row r="929" spans="1:18">
      <c r="A929" s="268"/>
      <c r="B929" s="288"/>
      <c r="C929" s="13"/>
      <c r="D929" s="13"/>
      <c r="E929" s="13"/>
      <c r="F929" s="13"/>
      <c r="G929" s="13"/>
      <c r="H929" s="113"/>
      <c r="I929" s="13"/>
      <c r="J929" s="13"/>
      <c r="K929" s="13"/>
      <c r="L929" s="13"/>
      <c r="M929" s="113"/>
      <c r="N929" s="13"/>
      <c r="O929" s="13"/>
      <c r="P929" s="13"/>
      <c r="Q929" s="13"/>
      <c r="R929" s="113"/>
    </row>
    <row r="930" spans="1:18">
      <c r="A930" s="262" t="s">
        <v>2</v>
      </c>
      <c r="B930" s="278"/>
      <c r="C930" s="17"/>
      <c r="D930" s="17"/>
      <c r="E930" s="17"/>
      <c r="F930" s="17"/>
      <c r="G930" s="17"/>
      <c r="H930" s="279"/>
      <c r="I930" s="17"/>
      <c r="J930" s="17"/>
      <c r="K930" s="17"/>
      <c r="L930" s="17"/>
      <c r="M930" s="279"/>
      <c r="N930" s="17"/>
      <c r="O930" s="17"/>
      <c r="P930" s="17"/>
      <c r="Q930" s="17"/>
      <c r="R930" s="279"/>
    </row>
    <row r="931" spans="1:18">
      <c r="A931" s="263" t="s">
        <v>2</v>
      </c>
      <c r="B931" s="280"/>
      <c r="C931" s="35"/>
      <c r="D931" s="35"/>
      <c r="E931" s="35"/>
      <c r="F931" s="35"/>
      <c r="G931" s="35"/>
      <c r="H931" s="281"/>
      <c r="I931" s="35"/>
      <c r="J931" s="35"/>
      <c r="K931" s="35"/>
      <c r="L931" s="35"/>
      <c r="M931" s="281"/>
      <c r="N931" s="35"/>
      <c r="O931" s="35"/>
      <c r="P931" s="35"/>
      <c r="Q931" s="35"/>
      <c r="R931" s="281"/>
    </row>
    <row r="932" spans="1:18">
      <c r="A932" s="264" t="s">
        <v>714</v>
      </c>
      <c r="B932" s="282"/>
      <c r="C932" s="40"/>
      <c r="D932" s="40"/>
      <c r="E932" s="40"/>
      <c r="F932" s="40"/>
      <c r="G932" s="40"/>
      <c r="H932" s="283"/>
      <c r="I932" s="40"/>
      <c r="J932" s="40"/>
      <c r="K932" s="40"/>
      <c r="L932" s="40"/>
      <c r="M932" s="283"/>
      <c r="N932" s="40"/>
      <c r="O932" s="40"/>
      <c r="P932" s="40"/>
      <c r="Q932" s="40"/>
      <c r="R932" s="283"/>
    </row>
    <row r="933" spans="1:18">
      <c r="A933" s="265" t="s">
        <v>173</v>
      </c>
      <c r="B933" s="284">
        <f>1420+1420</f>
        <v>2840</v>
      </c>
      <c r="C933" s="251">
        <f t="shared" ref="C933:C949" si="390">IF(B933=0,"-",3600/B933)</f>
        <v>1.267605633802817</v>
      </c>
      <c r="D933" s="259">
        <f t="shared" ref="D933:D949" si="391">IFERROR((H933/C933),"-")</f>
        <v>0.78888888888888886</v>
      </c>
      <c r="E933" s="251">
        <f t="shared" ref="E933:E948" si="392">IFERROR(ROUNDUP(D933/0.95,0.999),0)</f>
        <v>1</v>
      </c>
      <c r="F933" s="252">
        <f t="shared" ref="F933:F949" si="393">IFERROR((H933/C933/E933),"-")</f>
        <v>0.78888888888888886</v>
      </c>
      <c r="G933" s="37"/>
      <c r="H933" s="285">
        <f>IF(Preencher!$B$118&gt;0,1,0)+IF(Preencher!$B$119&gt;0,1,0)+IF(Preencher!$B$120&gt;0,1,0)</f>
        <v>1</v>
      </c>
      <c r="I933" s="259">
        <f t="shared" ref="I933:I949" si="394">IFERROR((M933/C933),"-")</f>
        <v>0</v>
      </c>
      <c r="J933" s="251">
        <f>IFERROR(ROUNDUP(I933/0.95,0.999),0)</f>
        <v>0</v>
      </c>
      <c r="K933" s="252" t="str">
        <f t="shared" ref="K933:K949" si="395">IFERROR((M933/C933/J933),"-")</f>
        <v>-</v>
      </c>
      <c r="L933" s="37"/>
      <c r="M933" s="285">
        <f>IF(Preencher!$C$118&gt;0,1,0)+IF(Preencher!$C$119&gt;0,1,0)+IF(Preencher!$C$120&gt;0,1,0)</f>
        <v>0</v>
      </c>
      <c r="N933" s="259">
        <f t="shared" ref="N933:N949" si="396">IFERROR((R933/C933),"-")</f>
        <v>0</v>
      </c>
      <c r="O933" s="251">
        <f>IFERROR(ROUNDUP(N933/0.95,0.999),0)</f>
        <v>0</v>
      </c>
      <c r="P933" s="252" t="str">
        <f t="shared" ref="P933:P948" si="397">IFERROR((R933/C933/O933),"-")</f>
        <v>-</v>
      </c>
      <c r="Q933" s="37"/>
      <c r="R933" s="285">
        <f>Preencher!$D$118+Preencher!$D$119+Preencher!$D$120</f>
        <v>0</v>
      </c>
    </row>
    <row r="934" spans="1:18">
      <c r="A934" s="265" t="s">
        <v>342</v>
      </c>
      <c r="B934" s="284">
        <v>0.21</v>
      </c>
      <c r="C934" s="251">
        <f t="shared" si="390"/>
        <v>17142.857142857145</v>
      </c>
      <c r="D934" s="259">
        <f t="shared" si="391"/>
        <v>0.84076363636363605</v>
      </c>
      <c r="E934" s="251">
        <f t="shared" si="392"/>
        <v>1</v>
      </c>
      <c r="F934" s="252">
        <f t="shared" si="393"/>
        <v>0.84076363636363605</v>
      </c>
      <c r="G934" s="37"/>
      <c r="H934" s="285">
        <f>Preencher!$B$118+Preencher!$B$119+Preencher!$B$120</f>
        <v>14413.090909090906</v>
      </c>
      <c r="I934" s="259">
        <f t="shared" si="394"/>
        <v>0</v>
      </c>
      <c r="J934" s="251">
        <f t="shared" ref="J934:J948" si="398">IFERROR(ROUNDUP(I934/0.95,0.999),0)</f>
        <v>0</v>
      </c>
      <c r="K934" s="252" t="str">
        <f t="shared" si="395"/>
        <v>-</v>
      </c>
      <c r="L934" s="37"/>
      <c r="M934" s="285">
        <f>Preencher!$C$118+Preencher!$C$119+Preencher!$C$120</f>
        <v>0</v>
      </c>
      <c r="N934" s="259">
        <f t="shared" si="396"/>
        <v>0</v>
      </c>
      <c r="O934" s="251">
        <f t="shared" ref="O934:O948" si="399">IFERROR(ROUNDUP(N934/0.95,0.999),0)</f>
        <v>0</v>
      </c>
      <c r="P934" s="252" t="str">
        <f t="shared" si="397"/>
        <v>-</v>
      </c>
      <c r="Q934" s="37"/>
      <c r="R934" s="285">
        <f>Preencher!$D$118+Preencher!$D$119+Preencher!$D$120</f>
        <v>0</v>
      </c>
    </row>
    <row r="935" spans="1:18">
      <c r="A935" s="265" t="s">
        <v>174</v>
      </c>
      <c r="B935" s="284">
        <v>0</v>
      </c>
      <c r="C935" s="251" t="str">
        <f t="shared" si="390"/>
        <v>-</v>
      </c>
      <c r="D935" s="259" t="str">
        <f t="shared" si="391"/>
        <v>-</v>
      </c>
      <c r="E935" s="251">
        <f t="shared" si="392"/>
        <v>0</v>
      </c>
      <c r="F935" s="252" t="str">
        <f t="shared" si="393"/>
        <v>-</v>
      </c>
      <c r="G935" s="37"/>
      <c r="H935" s="285">
        <f>Preencher!$B$118+Preencher!$B$119+Preencher!$B$120</f>
        <v>14413.090909090906</v>
      </c>
      <c r="I935" s="259" t="str">
        <f t="shared" si="394"/>
        <v>-</v>
      </c>
      <c r="J935" s="251">
        <f t="shared" si="398"/>
        <v>0</v>
      </c>
      <c r="K935" s="252" t="str">
        <f t="shared" si="395"/>
        <v>-</v>
      </c>
      <c r="L935" s="37"/>
      <c r="M935" s="285">
        <f>Preencher!$C$118+Preencher!$C$119+Preencher!$C$120</f>
        <v>0</v>
      </c>
      <c r="N935" s="259" t="str">
        <f t="shared" si="396"/>
        <v>-</v>
      </c>
      <c r="O935" s="251">
        <f t="shared" si="399"/>
        <v>0</v>
      </c>
      <c r="P935" s="252" t="str">
        <f t="shared" si="397"/>
        <v>-</v>
      </c>
      <c r="Q935" s="37"/>
      <c r="R935" s="285">
        <f>Preencher!$D$118+Preencher!$D$119+Preencher!$D$120</f>
        <v>0</v>
      </c>
    </row>
    <row r="936" spans="1:18">
      <c r="A936" s="265" t="s">
        <v>175</v>
      </c>
      <c r="B936" s="284">
        <v>0.21</v>
      </c>
      <c r="C936" s="251">
        <f>IF(B936=0,"-",3600/B936)</f>
        <v>17142.857142857145</v>
      </c>
      <c r="D936" s="259">
        <f>IFERROR((H936/C936),"-")</f>
        <v>0.84076363636363605</v>
      </c>
      <c r="E936" s="251">
        <f>IFERROR(ROUNDUP(D936/0.95,0.999),0)</f>
        <v>1</v>
      </c>
      <c r="F936" s="252">
        <f>IFERROR((H936/C936/E936),"-")</f>
        <v>0.84076363636363605</v>
      </c>
      <c r="G936" s="37"/>
      <c r="H936" s="285">
        <f>Preencher!$B$118</f>
        <v>14413.090909090906</v>
      </c>
      <c r="I936" s="259">
        <f t="shared" si="394"/>
        <v>0</v>
      </c>
      <c r="J936" s="251">
        <f t="shared" si="398"/>
        <v>0</v>
      </c>
      <c r="K936" s="252" t="str">
        <f t="shared" si="395"/>
        <v>-</v>
      </c>
      <c r="L936" s="37"/>
      <c r="M936" s="285">
        <f>Preencher!$C$118</f>
        <v>0</v>
      </c>
      <c r="N936" s="259">
        <f t="shared" si="396"/>
        <v>0</v>
      </c>
      <c r="O936" s="251">
        <f t="shared" si="399"/>
        <v>0</v>
      </c>
      <c r="P936" s="252" t="str">
        <f t="shared" si="397"/>
        <v>-</v>
      </c>
      <c r="Q936" s="37"/>
      <c r="R936" s="285">
        <f>Preencher!$D$118</f>
        <v>0</v>
      </c>
    </row>
    <row r="937" spans="1:18">
      <c r="A937" s="265" t="s">
        <v>176</v>
      </c>
      <c r="B937" s="284"/>
      <c r="C937" s="251" t="str">
        <f t="shared" si="390"/>
        <v>-</v>
      </c>
      <c r="D937" s="259" t="str">
        <f t="shared" si="391"/>
        <v>-</v>
      </c>
      <c r="E937" s="251">
        <f t="shared" si="392"/>
        <v>0</v>
      </c>
      <c r="F937" s="252" t="str">
        <f t="shared" si="393"/>
        <v>-</v>
      </c>
      <c r="G937" s="37"/>
      <c r="H937" s="285"/>
      <c r="I937" s="259" t="str">
        <f t="shared" si="394"/>
        <v>-</v>
      </c>
      <c r="J937" s="251">
        <f t="shared" si="398"/>
        <v>0</v>
      </c>
      <c r="K937" s="252" t="str">
        <f t="shared" si="395"/>
        <v>-</v>
      </c>
      <c r="L937" s="37"/>
      <c r="M937" s="285"/>
      <c r="N937" s="259" t="str">
        <f t="shared" si="396"/>
        <v>-</v>
      </c>
      <c r="O937" s="251">
        <f t="shared" si="399"/>
        <v>0</v>
      </c>
      <c r="P937" s="252" t="str">
        <f t="shared" si="397"/>
        <v>-</v>
      </c>
      <c r="Q937" s="37"/>
      <c r="R937" s="285"/>
    </row>
    <row r="938" spans="1:18">
      <c r="A938" s="265" t="s">
        <v>177</v>
      </c>
      <c r="B938" s="284"/>
      <c r="C938" s="251" t="str">
        <f t="shared" si="390"/>
        <v>-</v>
      </c>
      <c r="D938" s="259" t="str">
        <f t="shared" si="391"/>
        <v>-</v>
      </c>
      <c r="E938" s="251">
        <f t="shared" si="392"/>
        <v>0</v>
      </c>
      <c r="F938" s="252" t="str">
        <f t="shared" si="393"/>
        <v>-</v>
      </c>
      <c r="G938" s="37"/>
      <c r="H938" s="285"/>
      <c r="I938" s="259" t="str">
        <f t="shared" si="394"/>
        <v>-</v>
      </c>
      <c r="J938" s="251">
        <f t="shared" si="398"/>
        <v>0</v>
      </c>
      <c r="K938" s="252" t="str">
        <f t="shared" si="395"/>
        <v>-</v>
      </c>
      <c r="L938" s="37"/>
      <c r="M938" s="285"/>
      <c r="N938" s="259" t="str">
        <f t="shared" si="396"/>
        <v>-</v>
      </c>
      <c r="O938" s="251">
        <f t="shared" si="399"/>
        <v>0</v>
      </c>
      <c r="P938" s="252" t="str">
        <f t="shared" si="397"/>
        <v>-</v>
      </c>
      <c r="Q938" s="37"/>
      <c r="R938" s="285"/>
    </row>
    <row r="939" spans="1:18">
      <c r="A939" s="265" t="s">
        <v>178</v>
      </c>
      <c r="B939" s="284">
        <v>0</v>
      </c>
      <c r="C939" s="251" t="str">
        <f t="shared" si="390"/>
        <v>-</v>
      </c>
      <c r="D939" s="259" t="str">
        <f t="shared" si="391"/>
        <v>-</v>
      </c>
      <c r="E939" s="251">
        <f t="shared" si="392"/>
        <v>0</v>
      </c>
      <c r="F939" s="252" t="str">
        <f t="shared" si="393"/>
        <v>-</v>
      </c>
      <c r="G939" s="37"/>
      <c r="H939" s="285">
        <f>Preencher!$B$118</f>
        <v>14413.090909090906</v>
      </c>
      <c r="I939" s="259" t="str">
        <f t="shared" si="394"/>
        <v>-</v>
      </c>
      <c r="J939" s="251">
        <f>IFERROR(ROUNDUP(I939/0.95,0.999),0)</f>
        <v>0</v>
      </c>
      <c r="K939" s="252" t="str">
        <f t="shared" si="395"/>
        <v>-</v>
      </c>
      <c r="L939" s="37"/>
      <c r="M939" s="285">
        <f>Preencher!$C$118</f>
        <v>0</v>
      </c>
      <c r="N939" s="259" t="str">
        <f t="shared" si="396"/>
        <v>-</v>
      </c>
      <c r="O939" s="251">
        <f t="shared" si="399"/>
        <v>0</v>
      </c>
      <c r="P939" s="252" t="str">
        <f t="shared" si="397"/>
        <v>-</v>
      </c>
      <c r="Q939" s="37"/>
      <c r="R939" s="285">
        <f>Preencher!$D$118</f>
        <v>0</v>
      </c>
    </row>
    <row r="940" spans="1:18">
      <c r="A940" s="265" t="s">
        <v>179</v>
      </c>
      <c r="B940" s="284">
        <v>0</v>
      </c>
      <c r="C940" s="706" t="str">
        <f>IF(B940=0,"-",3600/B940)</f>
        <v>-</v>
      </c>
      <c r="D940" s="259" t="str">
        <f>IFERROR((H940/C940),"-")</f>
        <v>-</v>
      </c>
      <c r="E940" s="706">
        <f>IFERROR(ROUNDUP(D940/0.95,0.999),0)</f>
        <v>0</v>
      </c>
      <c r="F940" s="705" t="str">
        <f>IFERROR((H940/C940/E940),"-")</f>
        <v>-</v>
      </c>
      <c r="G940" s="37"/>
      <c r="H940" s="285">
        <f>Preencher!$B$119+Preencher!$B$120</f>
        <v>0</v>
      </c>
      <c r="I940" s="259" t="str">
        <f>IFERROR((M940/C940),"-")</f>
        <v>-</v>
      </c>
      <c r="J940" s="706">
        <f>IFERROR(ROUNDUP(I940/0.95,0.999),0)</f>
        <v>0</v>
      </c>
      <c r="K940" s="705" t="str">
        <f>IFERROR((M940/C940/J940),"-")</f>
        <v>-</v>
      </c>
      <c r="L940" s="37"/>
      <c r="M940" s="285">
        <f>Preencher!$C$119+Preencher!$C$120</f>
        <v>0</v>
      </c>
      <c r="N940" s="259" t="str">
        <f>IFERROR((R940/C940),"-")</f>
        <v>-</v>
      </c>
      <c r="O940" s="706">
        <f>IFERROR(ROUNDUP(N940/0.95,0.999),0)</f>
        <v>0</v>
      </c>
      <c r="P940" s="705" t="str">
        <f>IFERROR((R940/C940/O940),"-")</f>
        <v>-</v>
      </c>
      <c r="Q940" s="37"/>
      <c r="R940" s="285">
        <f>Preencher!$D$119+Preencher!$D$120</f>
        <v>0</v>
      </c>
    </row>
    <row r="941" spans="1:18">
      <c r="A941" s="265" t="s">
        <v>180</v>
      </c>
      <c r="B941" s="284"/>
      <c r="C941" s="251" t="str">
        <f t="shared" si="390"/>
        <v>-</v>
      </c>
      <c r="D941" s="259" t="str">
        <f t="shared" si="391"/>
        <v>-</v>
      </c>
      <c r="E941" s="251">
        <f t="shared" si="392"/>
        <v>0</v>
      </c>
      <c r="F941" s="252" t="str">
        <f t="shared" si="393"/>
        <v>-</v>
      </c>
      <c r="G941" s="37"/>
      <c r="H941" s="285"/>
      <c r="I941" s="259" t="str">
        <f t="shared" si="394"/>
        <v>-</v>
      </c>
      <c r="J941" s="251">
        <f t="shared" si="398"/>
        <v>0</v>
      </c>
      <c r="K941" s="252" t="str">
        <f t="shared" si="395"/>
        <v>-</v>
      </c>
      <c r="L941" s="37"/>
      <c r="M941" s="285"/>
      <c r="N941" s="259" t="str">
        <f t="shared" si="396"/>
        <v>-</v>
      </c>
      <c r="O941" s="251">
        <f t="shared" si="399"/>
        <v>0</v>
      </c>
      <c r="P941" s="252" t="str">
        <f t="shared" si="397"/>
        <v>-</v>
      </c>
      <c r="Q941" s="37"/>
      <c r="R941" s="285"/>
    </row>
    <row r="942" spans="1:18">
      <c r="A942" s="265" t="s">
        <v>181</v>
      </c>
      <c r="B942" s="284"/>
      <c r="C942" s="251" t="str">
        <f t="shared" si="390"/>
        <v>-</v>
      </c>
      <c r="D942" s="259" t="str">
        <f t="shared" si="391"/>
        <v>-</v>
      </c>
      <c r="E942" s="251">
        <f t="shared" si="392"/>
        <v>0</v>
      </c>
      <c r="F942" s="252" t="str">
        <f t="shared" si="393"/>
        <v>-</v>
      </c>
      <c r="G942" s="37"/>
      <c r="H942" s="285"/>
      <c r="I942" s="259" t="str">
        <f t="shared" si="394"/>
        <v>-</v>
      </c>
      <c r="J942" s="251">
        <f t="shared" si="398"/>
        <v>0</v>
      </c>
      <c r="K942" s="252" t="str">
        <f t="shared" si="395"/>
        <v>-</v>
      </c>
      <c r="L942" s="37"/>
      <c r="M942" s="285"/>
      <c r="N942" s="259" t="str">
        <f t="shared" si="396"/>
        <v>-</v>
      </c>
      <c r="O942" s="251">
        <f t="shared" si="399"/>
        <v>0</v>
      </c>
      <c r="P942" s="252" t="str">
        <f t="shared" si="397"/>
        <v>-</v>
      </c>
      <c r="Q942" s="37"/>
      <c r="R942" s="285"/>
    </row>
    <row r="943" spans="1:18">
      <c r="A943" s="265" t="s">
        <v>182</v>
      </c>
      <c r="B943" s="284"/>
      <c r="C943" s="251" t="str">
        <f t="shared" si="390"/>
        <v>-</v>
      </c>
      <c r="D943" s="259" t="str">
        <f t="shared" si="391"/>
        <v>-</v>
      </c>
      <c r="E943" s="251">
        <f t="shared" si="392"/>
        <v>0</v>
      </c>
      <c r="F943" s="252" t="str">
        <f t="shared" si="393"/>
        <v>-</v>
      </c>
      <c r="G943" s="37"/>
      <c r="H943" s="285"/>
      <c r="I943" s="259" t="str">
        <f t="shared" si="394"/>
        <v>-</v>
      </c>
      <c r="J943" s="251">
        <f t="shared" si="398"/>
        <v>0</v>
      </c>
      <c r="K943" s="252" t="str">
        <f t="shared" si="395"/>
        <v>-</v>
      </c>
      <c r="L943" s="37"/>
      <c r="M943" s="285"/>
      <c r="N943" s="259" t="str">
        <f t="shared" si="396"/>
        <v>-</v>
      </c>
      <c r="O943" s="251">
        <f t="shared" si="399"/>
        <v>0</v>
      </c>
      <c r="P943" s="252" t="str">
        <f t="shared" si="397"/>
        <v>-</v>
      </c>
      <c r="Q943" s="37"/>
      <c r="R943" s="285"/>
    </row>
    <row r="944" spans="1:18">
      <c r="A944" s="265" t="s">
        <v>58</v>
      </c>
      <c r="B944" s="284">
        <v>0</v>
      </c>
      <c r="C944" s="251" t="str">
        <f t="shared" si="390"/>
        <v>-</v>
      </c>
      <c r="D944" s="259" t="str">
        <f t="shared" si="391"/>
        <v>-</v>
      </c>
      <c r="E944" s="251">
        <f t="shared" si="392"/>
        <v>0</v>
      </c>
      <c r="F944" s="252" t="str">
        <f t="shared" si="393"/>
        <v>-</v>
      </c>
      <c r="G944" s="37"/>
      <c r="H944" s="285">
        <f>Preencher!$B$118+Preencher!$B$119+Preencher!$B$120</f>
        <v>14413.090909090906</v>
      </c>
      <c r="I944" s="259" t="str">
        <f t="shared" si="394"/>
        <v>-</v>
      </c>
      <c r="J944" s="251">
        <f t="shared" si="398"/>
        <v>0</v>
      </c>
      <c r="K944" s="252" t="str">
        <f t="shared" si="395"/>
        <v>-</v>
      </c>
      <c r="L944" s="37"/>
      <c r="M944" s="285">
        <f>Preencher!$C$118+Preencher!$C$119+Preencher!$C$120</f>
        <v>0</v>
      </c>
      <c r="N944" s="259" t="str">
        <f t="shared" si="396"/>
        <v>-</v>
      </c>
      <c r="O944" s="251">
        <f t="shared" si="399"/>
        <v>0</v>
      </c>
      <c r="P944" s="252" t="str">
        <f t="shared" si="397"/>
        <v>-</v>
      </c>
      <c r="Q944" s="37"/>
      <c r="R944" s="285">
        <f>Preencher!$D$118+Preencher!$D$119+Preencher!$D$120</f>
        <v>0</v>
      </c>
    </row>
    <row r="945" spans="1:18">
      <c r="A945" s="265" t="s">
        <v>679</v>
      </c>
      <c r="B945" s="284">
        <f>1420</f>
        <v>1420</v>
      </c>
      <c r="C945" s="770">
        <f>IF(B945=0,"-",3600/B945)</f>
        <v>2.535211267605634</v>
      </c>
      <c r="D945" s="259">
        <f>IFERROR((H945/C945),"-")</f>
        <v>0.39444444444444443</v>
      </c>
      <c r="E945" s="770">
        <f>IFERROR(ROUNDUP(D945/0.95,0.999),0)</f>
        <v>1</v>
      </c>
      <c r="F945" s="772">
        <f>IFERROR((H945/C945/E945),"-")</f>
        <v>0.39444444444444443</v>
      </c>
      <c r="G945" s="37"/>
      <c r="H945" s="285">
        <f>IF(Preencher!$B$118&gt;0,1,0)+IF(Preencher!$B$119&gt;0,1,0)+IF(Preencher!$B$120&gt;0,1,0)</f>
        <v>1</v>
      </c>
      <c r="I945" s="259">
        <f>IFERROR((M945/C945),"-")</f>
        <v>0</v>
      </c>
      <c r="J945" s="770">
        <f>IFERROR(ROUNDUP(I945/0.95,0.999),0)</f>
        <v>0</v>
      </c>
      <c r="K945" s="772" t="str">
        <f>IFERROR((M945/C945/J945),"-")</f>
        <v>-</v>
      </c>
      <c r="L945" s="37"/>
      <c r="M945" s="285">
        <f>IF(Preencher!$C$118&gt;0,1,0)+IF(Preencher!$C$119&gt;0,1,0)+IF(Preencher!$C$120&gt;0,1,0)</f>
        <v>0</v>
      </c>
      <c r="N945" s="259">
        <f t="shared" si="396"/>
        <v>0</v>
      </c>
      <c r="O945" s="251">
        <f t="shared" si="399"/>
        <v>0</v>
      </c>
      <c r="P945" s="252" t="str">
        <f t="shared" si="397"/>
        <v>-</v>
      </c>
      <c r="Q945" s="37"/>
      <c r="R945" s="285">
        <f>Preencher!$D$118+Preencher!$D$119+Preencher!$D$120</f>
        <v>0</v>
      </c>
    </row>
    <row r="946" spans="1:18">
      <c r="A946" s="265" t="s">
        <v>14</v>
      </c>
      <c r="B946" s="284"/>
      <c r="C946" s="251" t="str">
        <f t="shared" si="390"/>
        <v>-</v>
      </c>
      <c r="D946" s="259" t="str">
        <f t="shared" si="391"/>
        <v>-</v>
      </c>
      <c r="E946" s="251">
        <f t="shared" si="392"/>
        <v>0</v>
      </c>
      <c r="F946" s="252" t="str">
        <f t="shared" si="393"/>
        <v>-</v>
      </c>
      <c r="G946" s="37"/>
      <c r="H946" s="285"/>
      <c r="I946" s="259" t="str">
        <f t="shared" si="394"/>
        <v>-</v>
      </c>
      <c r="J946" s="251">
        <f t="shared" si="398"/>
        <v>0</v>
      </c>
      <c r="K946" s="252" t="str">
        <f t="shared" si="395"/>
        <v>-</v>
      </c>
      <c r="L946" s="37"/>
      <c r="M946" s="285"/>
      <c r="N946" s="259" t="str">
        <f t="shared" si="396"/>
        <v>-</v>
      </c>
      <c r="O946" s="251">
        <f t="shared" si="399"/>
        <v>0</v>
      </c>
      <c r="P946" s="252" t="str">
        <f t="shared" si="397"/>
        <v>-</v>
      </c>
      <c r="Q946" s="37"/>
      <c r="R946" s="285"/>
    </row>
    <row r="947" spans="1:18">
      <c r="A947" s="37" t="s">
        <v>16</v>
      </c>
      <c r="B947" s="284"/>
      <c r="C947" s="912" t="s">
        <v>1075</v>
      </c>
      <c r="D947" s="259"/>
      <c r="E947" s="770">
        <f>IFERROR(ROUNDUP(SUM(SUM(Avaliação!J617:J629))*'BD Temp'!H947,0.999),0)</f>
        <v>2</v>
      </c>
      <c r="F947" s="772" t="str">
        <f t="shared" si="393"/>
        <v>-</v>
      </c>
      <c r="G947" s="37"/>
      <c r="H947" s="285">
        <f>IF(Preencher!$A$15=Preencher!$R$28,0,IF(Preencher!$A$15=Preencher!$R$29,Preencher!$C$15,Preencher!$D$15))</f>
        <v>0.33</v>
      </c>
      <c r="I947" s="259" t="str">
        <f t="shared" si="394"/>
        <v>-</v>
      </c>
      <c r="J947" s="770">
        <f>IFERROR(ROUNDUP(SUM(SUM(Avaliação!N617:N629))*'BD Temp'!M947,0.999),0)</f>
        <v>0</v>
      </c>
      <c r="K947" s="772" t="str">
        <f t="shared" si="395"/>
        <v>-</v>
      </c>
      <c r="L947" s="37"/>
      <c r="M947" s="285">
        <f>IF(Preencher!$A$15=Preencher!$R$28,0,IF(Preencher!$A$15=Preencher!$R$29,Preencher!$C$15,Preencher!$D$15))</f>
        <v>0.33</v>
      </c>
      <c r="N947" s="259" t="str">
        <f t="shared" si="396"/>
        <v>-</v>
      </c>
      <c r="O947" s="770">
        <f>IFERROR(ROUNDUP(SUM(SUM(Avaliação!R617:R629))*'BD Temp'!R947,0.999),0)</f>
        <v>0</v>
      </c>
      <c r="P947" s="772" t="str">
        <f t="shared" si="397"/>
        <v>-</v>
      </c>
      <c r="Q947" s="37"/>
      <c r="R947" s="285">
        <f>IF(Preencher!$A$15=Preencher!$R$28,0,IF(Preencher!$A$15=Preencher!$R$29,Preencher!$C$15,Preencher!$D$15))</f>
        <v>0.33</v>
      </c>
    </row>
    <row r="948" spans="1:18">
      <c r="A948" s="265" t="s">
        <v>15</v>
      </c>
      <c r="B948" s="284"/>
      <c r="C948" s="251" t="str">
        <f t="shared" si="390"/>
        <v>-</v>
      </c>
      <c r="D948" s="259" t="str">
        <f t="shared" si="391"/>
        <v>-</v>
      </c>
      <c r="E948" s="251">
        <f t="shared" si="392"/>
        <v>0</v>
      </c>
      <c r="F948" s="252" t="str">
        <f t="shared" si="393"/>
        <v>-</v>
      </c>
      <c r="G948" s="37"/>
      <c r="H948" s="285"/>
      <c r="I948" s="259" t="str">
        <f t="shared" si="394"/>
        <v>-</v>
      </c>
      <c r="J948" s="251">
        <f t="shared" si="398"/>
        <v>0</v>
      </c>
      <c r="K948" s="252" t="str">
        <f t="shared" si="395"/>
        <v>-</v>
      </c>
      <c r="L948" s="37"/>
      <c r="M948" s="285"/>
      <c r="N948" s="259" t="str">
        <f t="shared" si="396"/>
        <v>-</v>
      </c>
      <c r="O948" s="251">
        <f t="shared" si="399"/>
        <v>0</v>
      </c>
      <c r="P948" s="252" t="str">
        <f t="shared" si="397"/>
        <v>-</v>
      </c>
      <c r="Q948" s="37"/>
      <c r="R948" s="285"/>
    </row>
    <row r="949" spans="1:18">
      <c r="A949" s="265" t="s">
        <v>130</v>
      </c>
      <c r="B949" s="284">
        <v>0</v>
      </c>
      <c r="C949" s="251" t="str">
        <f t="shared" si="390"/>
        <v>-</v>
      </c>
      <c r="D949" s="259" t="str">
        <f t="shared" si="391"/>
        <v>-</v>
      </c>
      <c r="E949" s="712" t="str">
        <f>IFERROR(ROUNDDOWN(SUM(E933:E944)/$B$949,0),"-")</f>
        <v>-</v>
      </c>
      <c r="F949" s="252" t="str">
        <f t="shared" si="393"/>
        <v>-</v>
      </c>
      <c r="G949" s="37"/>
      <c r="H949" s="285"/>
      <c r="I949" s="259" t="str">
        <f t="shared" si="394"/>
        <v>-</v>
      </c>
      <c r="J949" s="712" t="str">
        <f>IFERROR(ROUNDDOWN(SUM(J933:J944)/$B$949,0),"-")</f>
        <v>-</v>
      </c>
      <c r="K949" s="252" t="str">
        <f t="shared" si="395"/>
        <v>-</v>
      </c>
      <c r="L949" s="37"/>
      <c r="M949" s="285"/>
      <c r="N949" s="259" t="str">
        <f t="shared" si="396"/>
        <v>-</v>
      </c>
      <c r="O949" s="712" t="str">
        <f>IFERROR(ROUNDDOWN(SUM(O933:O944)/$B$949,0),"-")</f>
        <v>-</v>
      </c>
      <c r="P949" s="706">
        <f>ROUNDDOWN(SUM(P933:P943)/4,0)</f>
        <v>0</v>
      </c>
      <c r="Q949" s="37"/>
      <c r="R949" s="285"/>
    </row>
    <row r="950" spans="1:18">
      <c r="A950" s="265"/>
      <c r="B950" s="286"/>
      <c r="C950" s="37"/>
      <c r="D950" s="37"/>
      <c r="E950" s="37"/>
      <c r="F950" s="37"/>
      <c r="G950" s="37"/>
      <c r="H950" s="287"/>
      <c r="I950" s="37"/>
      <c r="J950" s="37"/>
      <c r="K950" s="37"/>
      <c r="L950" s="37"/>
      <c r="M950" s="287"/>
      <c r="N950" s="37"/>
      <c r="O950" s="37"/>
      <c r="P950" s="37"/>
      <c r="Q950" s="37"/>
      <c r="R950" s="287"/>
    </row>
    <row r="951" spans="1:18">
      <c r="A951" s="270" t="s">
        <v>723</v>
      </c>
      <c r="B951" s="291"/>
      <c r="C951" s="39"/>
      <c r="D951" s="39"/>
      <c r="E951" s="39"/>
      <c r="F951" s="39"/>
      <c r="G951" s="39"/>
      <c r="H951" s="292"/>
      <c r="I951" s="39"/>
      <c r="J951" s="39"/>
      <c r="K951" s="39"/>
      <c r="L951" s="39"/>
      <c r="M951" s="292"/>
      <c r="N951" s="39"/>
      <c r="O951" s="39"/>
      <c r="P951" s="39"/>
      <c r="Q951" s="39"/>
      <c r="R951" s="292"/>
    </row>
    <row r="952" spans="1:18">
      <c r="A952" s="265"/>
      <c r="B952" s="286"/>
      <c r="C952" s="37"/>
      <c r="D952" s="37"/>
      <c r="E952" s="37"/>
      <c r="F952" s="37"/>
      <c r="G952" s="37"/>
      <c r="H952" s="287"/>
      <c r="I952" s="37"/>
      <c r="J952" s="37"/>
      <c r="K952" s="37"/>
      <c r="L952" s="37"/>
      <c r="M952" s="287"/>
      <c r="N952" s="37"/>
      <c r="O952" s="37"/>
      <c r="P952" s="37"/>
      <c r="Q952" s="37"/>
      <c r="R952" s="287"/>
    </row>
    <row r="953" spans="1:18">
      <c r="A953" s="265"/>
      <c r="B953" s="286"/>
      <c r="C953" s="37"/>
      <c r="D953" s="37"/>
      <c r="E953" s="37"/>
      <c r="F953" s="37"/>
      <c r="G953" s="37"/>
      <c r="H953" s="287"/>
      <c r="I953" s="37"/>
      <c r="J953" s="37"/>
      <c r="K953" s="37"/>
      <c r="L953" s="37"/>
      <c r="M953" s="287"/>
      <c r="N953" s="37"/>
      <c r="O953" s="37"/>
      <c r="P953" s="37"/>
      <c r="Q953" s="37"/>
      <c r="R953" s="287"/>
    </row>
    <row r="954" spans="1:18">
      <c r="A954" s="265"/>
      <c r="B954" s="286"/>
      <c r="C954" s="37"/>
      <c r="D954" s="37"/>
      <c r="E954" s="37"/>
      <c r="F954" s="37"/>
      <c r="G954" s="37"/>
      <c r="H954" s="287"/>
      <c r="I954" s="37"/>
      <c r="J954" s="37"/>
      <c r="K954" s="37"/>
      <c r="L954" s="37"/>
      <c r="M954" s="287"/>
      <c r="N954" s="37"/>
      <c r="O954" s="37"/>
      <c r="P954" s="37"/>
      <c r="Q954" s="37"/>
      <c r="R954" s="287"/>
    </row>
    <row r="955" spans="1:18">
      <c r="A955" s="265"/>
      <c r="B955" s="286"/>
      <c r="C955" s="37"/>
      <c r="D955" s="37"/>
      <c r="E955" s="37"/>
      <c r="F955" s="37"/>
      <c r="G955" s="37"/>
      <c r="H955" s="287"/>
      <c r="I955" s="37"/>
      <c r="J955" s="37"/>
      <c r="K955" s="37"/>
      <c r="L955" s="37"/>
      <c r="M955" s="287"/>
      <c r="N955" s="37"/>
      <c r="O955" s="37"/>
      <c r="P955" s="37"/>
      <c r="Q955" s="37"/>
      <c r="R955" s="287"/>
    </row>
    <row r="956" spans="1:18">
      <c r="A956" s="265"/>
      <c r="B956" s="286"/>
      <c r="C956" s="37"/>
      <c r="D956" s="37"/>
      <c r="E956" s="37"/>
      <c r="F956" s="37"/>
      <c r="G956" s="37"/>
      <c r="H956" s="287"/>
      <c r="I956" s="37"/>
      <c r="J956" s="37"/>
      <c r="K956" s="37"/>
      <c r="L956" s="37"/>
      <c r="M956" s="287"/>
      <c r="N956" s="37"/>
      <c r="O956" s="37"/>
      <c r="P956" s="37"/>
      <c r="Q956" s="37"/>
      <c r="R956" s="287"/>
    </row>
    <row r="957" spans="1:18">
      <c r="A957" s="265"/>
      <c r="B957" s="286"/>
      <c r="C957" s="37"/>
      <c r="D957" s="37"/>
      <c r="E957" s="37"/>
      <c r="F957" s="37"/>
      <c r="G957" s="37"/>
      <c r="H957" s="287"/>
      <c r="I957" s="37"/>
      <c r="J957" s="37"/>
      <c r="K957" s="37"/>
      <c r="L957" s="37"/>
      <c r="M957" s="287"/>
      <c r="N957" s="37"/>
      <c r="O957" s="37"/>
      <c r="P957" s="37"/>
      <c r="Q957" s="37"/>
      <c r="R957" s="287"/>
    </row>
    <row r="958" spans="1:18">
      <c r="A958" s="264" t="s">
        <v>235</v>
      </c>
      <c r="B958" s="282"/>
      <c r="C958" s="40"/>
      <c r="D958" s="40"/>
      <c r="E958" s="40"/>
      <c r="F958" s="40"/>
      <c r="G958" s="40"/>
      <c r="H958" s="283"/>
      <c r="I958" s="40"/>
      <c r="J958" s="40"/>
      <c r="K958" s="40"/>
      <c r="L958" s="40"/>
      <c r="M958" s="283"/>
      <c r="N958" s="40"/>
      <c r="O958" s="40"/>
      <c r="P958" s="40"/>
      <c r="Q958" s="40"/>
      <c r="R958" s="283"/>
    </row>
    <row r="959" spans="1:18">
      <c r="A959" s="268" t="s">
        <v>17</v>
      </c>
      <c r="B959" s="288"/>
      <c r="C959" s="13"/>
      <c r="D959" s="13"/>
      <c r="E959" s="13"/>
      <c r="F959" s="13"/>
      <c r="G959" s="13"/>
      <c r="H959" s="113"/>
      <c r="I959" s="13"/>
      <c r="J959" s="13"/>
      <c r="K959" s="13"/>
      <c r="L959" s="13"/>
      <c r="M959" s="113"/>
      <c r="N959" s="13"/>
      <c r="O959" s="13"/>
      <c r="P959" s="13"/>
      <c r="Q959" s="13"/>
      <c r="R959" s="113"/>
    </row>
    <row r="960" spans="1:18">
      <c r="A960" s="268" t="s">
        <v>18</v>
      </c>
      <c r="B960" s="288"/>
      <c r="C960" s="13"/>
      <c r="D960" s="13"/>
      <c r="E960" s="13"/>
      <c r="F960" s="13"/>
      <c r="G960" s="13"/>
      <c r="H960" s="113"/>
      <c r="I960" s="13"/>
      <c r="J960" s="13"/>
      <c r="K960" s="13"/>
      <c r="L960" s="13"/>
      <c r="M960" s="113"/>
      <c r="N960" s="13"/>
      <c r="O960" s="13"/>
      <c r="P960" s="13"/>
      <c r="Q960" s="13"/>
      <c r="R960" s="113"/>
    </row>
    <row r="961" spans="1:18">
      <c r="A961" s="268"/>
      <c r="B961" s="288"/>
      <c r="C961" s="13"/>
      <c r="D961" s="13"/>
      <c r="E961" s="13"/>
      <c r="F961" s="13"/>
      <c r="G961" s="13"/>
      <c r="H961" s="113"/>
      <c r="I961" s="13"/>
      <c r="J961" s="13"/>
      <c r="K961" s="13"/>
      <c r="L961" s="13"/>
      <c r="M961" s="113"/>
      <c r="N961" s="13"/>
      <c r="O961" s="13"/>
      <c r="P961" s="13"/>
      <c r="Q961" s="13"/>
      <c r="R961" s="113"/>
    </row>
    <row r="962" spans="1:18">
      <c r="A962" s="262" t="s">
        <v>724</v>
      </c>
      <c r="B962" s="278"/>
      <c r="C962" s="17"/>
      <c r="D962" s="17"/>
      <c r="E962" s="17"/>
      <c r="F962" s="17"/>
      <c r="G962" s="17"/>
      <c r="H962" s="279"/>
      <c r="I962" s="17"/>
      <c r="J962" s="17"/>
      <c r="K962" s="17"/>
      <c r="L962" s="17"/>
      <c r="M962" s="279"/>
      <c r="N962" s="17"/>
      <c r="O962" s="17"/>
      <c r="P962" s="17"/>
      <c r="Q962" s="17"/>
      <c r="R962" s="279"/>
    </row>
    <row r="963" spans="1:18">
      <c r="A963" s="263" t="s">
        <v>724</v>
      </c>
      <c r="B963" s="280"/>
      <c r="C963" s="35"/>
      <c r="D963" s="35"/>
      <c r="E963" s="35"/>
      <c r="F963" s="35"/>
      <c r="G963" s="35"/>
      <c r="H963" s="281"/>
      <c r="I963" s="35"/>
      <c r="J963" s="35"/>
      <c r="K963" s="35"/>
      <c r="L963" s="35"/>
      <c r="M963" s="281"/>
      <c r="N963" s="35"/>
      <c r="O963" s="35"/>
      <c r="P963" s="35"/>
      <c r="Q963" s="35"/>
      <c r="R963" s="281"/>
    </row>
    <row r="964" spans="1:18">
      <c r="A964" s="264" t="s">
        <v>714</v>
      </c>
      <c r="B964" s="282"/>
      <c r="C964" s="40"/>
      <c r="D964" s="40"/>
      <c r="E964" s="40"/>
      <c r="F964" s="40"/>
      <c r="G964" s="40"/>
      <c r="H964" s="283"/>
      <c r="I964" s="40"/>
      <c r="J964" s="40"/>
      <c r="K964" s="40"/>
      <c r="L964" s="40"/>
      <c r="M964" s="283"/>
      <c r="N964" s="40"/>
      <c r="O964" s="40"/>
      <c r="P964" s="40"/>
      <c r="Q964" s="40"/>
      <c r="R964" s="283"/>
    </row>
    <row r="965" spans="1:18">
      <c r="A965" s="265" t="s">
        <v>131</v>
      </c>
      <c r="B965" s="284">
        <v>3420</v>
      </c>
      <c r="C965" s="251">
        <f t="shared" ref="C965:C977" si="400">IF(B965=0,"-",3600/B965)</f>
        <v>1.0526315789473684</v>
      </c>
      <c r="D965" s="259">
        <f t="shared" ref="D965:D977" si="401">IFERROR((H965/C965),"-")</f>
        <v>1.9000000000000001</v>
      </c>
      <c r="E965" s="251">
        <f t="shared" ref="E965:E977" si="402">IFERROR(ROUNDUP(D965/0.95,0.999),0)</f>
        <v>2</v>
      </c>
      <c r="F965" s="252">
        <f t="shared" ref="F965:F977" si="403">IFERROR((H965/C965/E965),"-")</f>
        <v>0.95000000000000007</v>
      </c>
      <c r="G965" s="37"/>
      <c r="H965" s="285">
        <f>Preencher!$B$479</f>
        <v>2</v>
      </c>
      <c r="I965" s="259">
        <f t="shared" ref="I965:I977" si="404">IFERROR((M965/C965),"-")</f>
        <v>0</v>
      </c>
      <c r="J965" s="251">
        <f t="shared" ref="J965:J977" si="405">IFERROR(ROUNDUP(I965/0.95,0.999),0)</f>
        <v>0</v>
      </c>
      <c r="K965" s="252" t="str">
        <f t="shared" ref="K965:K977" si="406">IFERROR((M965/C965/J965),"-")</f>
        <v>-</v>
      </c>
      <c r="L965" s="37"/>
      <c r="M965" s="285">
        <f>Preencher!$C$479</f>
        <v>0</v>
      </c>
      <c r="N965" s="259">
        <f t="shared" ref="N965:N977" si="407">IFERROR((R965/C965),"-")</f>
        <v>0</v>
      </c>
      <c r="O965" s="251">
        <f t="shared" ref="O965:O977" si="408">IFERROR(ROUNDUP(N965/0.95,0.999),0)</f>
        <v>0</v>
      </c>
      <c r="P965" s="252" t="str">
        <f t="shared" ref="P965:P977" si="409">IFERROR((R965/C965/O965),"-")</f>
        <v>-</v>
      </c>
      <c r="Q965" s="37"/>
      <c r="R965" s="285">
        <f>Preencher!$D$479</f>
        <v>0</v>
      </c>
    </row>
    <row r="966" spans="1:18">
      <c r="A966" s="265" t="s">
        <v>132</v>
      </c>
      <c r="B966" s="284">
        <v>0</v>
      </c>
      <c r="C966" s="251" t="str">
        <f t="shared" si="400"/>
        <v>-</v>
      </c>
      <c r="D966" s="259" t="str">
        <f t="shared" si="401"/>
        <v>-</v>
      </c>
      <c r="E966" s="251">
        <f t="shared" si="402"/>
        <v>0</v>
      </c>
      <c r="F966" s="252" t="str">
        <f t="shared" si="403"/>
        <v>-</v>
      </c>
      <c r="G966" s="37"/>
      <c r="H966" s="285">
        <f>Preencher!$B$476*Preencher!$B$480</f>
        <v>56.913925760923156</v>
      </c>
      <c r="I966" s="259" t="str">
        <f t="shared" si="404"/>
        <v>-</v>
      </c>
      <c r="J966" s="251">
        <f t="shared" si="405"/>
        <v>0</v>
      </c>
      <c r="K966" s="252" t="str">
        <f t="shared" si="406"/>
        <v>-</v>
      </c>
      <c r="L966" s="37"/>
      <c r="M966" s="285">
        <f>Preencher!$C$476*Preencher!$C$480</f>
        <v>0</v>
      </c>
      <c r="N966" s="259" t="str">
        <f t="shared" si="407"/>
        <v>-</v>
      </c>
      <c r="O966" s="251">
        <f t="shared" si="408"/>
        <v>0</v>
      </c>
      <c r="P966" s="252" t="str">
        <f t="shared" si="409"/>
        <v>-</v>
      </c>
      <c r="Q966" s="37"/>
      <c r="R966" s="285">
        <f>Preencher!$D$476*Preencher!$D$480</f>
        <v>0</v>
      </c>
    </row>
    <row r="967" spans="1:18">
      <c r="A967" s="265" t="s">
        <v>133</v>
      </c>
      <c r="B967" s="284">
        <f>0.6</f>
        <v>0.6</v>
      </c>
      <c r="C967" s="251">
        <f t="shared" si="400"/>
        <v>6000</v>
      </c>
      <c r="D967" s="259">
        <f t="shared" si="401"/>
        <v>0.8</v>
      </c>
      <c r="E967" s="251">
        <f t="shared" si="402"/>
        <v>1</v>
      </c>
      <c r="F967" s="252">
        <f t="shared" si="403"/>
        <v>0.8</v>
      </c>
      <c r="G967" s="37"/>
      <c r="H967" s="285">
        <f>Preencher!$I$18+Preencher!$I$19</f>
        <v>4800</v>
      </c>
      <c r="I967" s="259">
        <f t="shared" si="404"/>
        <v>0</v>
      </c>
      <c r="J967" s="251">
        <f t="shared" si="405"/>
        <v>0</v>
      </c>
      <c r="K967" s="252" t="str">
        <f t="shared" si="406"/>
        <v>-</v>
      </c>
      <c r="L967" s="37"/>
      <c r="M967" s="285">
        <f>Preencher!$J$18+Preencher!$J$19</f>
        <v>0</v>
      </c>
      <c r="N967" s="259">
        <f t="shared" si="407"/>
        <v>0</v>
      </c>
      <c r="O967" s="251">
        <f t="shared" si="408"/>
        <v>0</v>
      </c>
      <c r="P967" s="252" t="str">
        <f t="shared" si="409"/>
        <v>-</v>
      </c>
      <c r="Q967" s="37"/>
      <c r="R967" s="285">
        <f>Preencher!$K$18+Preencher!$K$19</f>
        <v>0</v>
      </c>
    </row>
    <row r="968" spans="1:18">
      <c r="A968" s="271" t="s">
        <v>343</v>
      </c>
      <c r="B968" s="284">
        <v>3420</v>
      </c>
      <c r="C968" s="251">
        <f t="shared" si="400"/>
        <v>1.0526315789473684</v>
      </c>
      <c r="D968" s="259">
        <f t="shared" si="401"/>
        <v>0.95000000000000007</v>
      </c>
      <c r="E968" s="251">
        <f t="shared" si="402"/>
        <v>1</v>
      </c>
      <c r="F968" s="252">
        <f t="shared" si="403"/>
        <v>0.95000000000000007</v>
      </c>
      <c r="G968" s="37"/>
      <c r="H968" s="285">
        <f>IF(Preencher!$B$482=Preencher!$O$475,0,1)</f>
        <v>1</v>
      </c>
      <c r="I968" s="259">
        <f t="shared" si="404"/>
        <v>0.95000000000000007</v>
      </c>
      <c r="J968" s="251">
        <f t="shared" si="405"/>
        <v>1</v>
      </c>
      <c r="K968" s="252">
        <f t="shared" si="406"/>
        <v>0.95000000000000007</v>
      </c>
      <c r="L968" s="37"/>
      <c r="M968" s="285">
        <f>IF(Preencher!$C$482=Preencher!$O$475,0,1)</f>
        <v>1</v>
      </c>
      <c r="N968" s="259">
        <f t="shared" si="407"/>
        <v>0</v>
      </c>
      <c r="O968" s="251">
        <f t="shared" si="408"/>
        <v>0</v>
      </c>
      <c r="P968" s="252" t="str">
        <f t="shared" si="409"/>
        <v>-</v>
      </c>
      <c r="Q968" s="37"/>
      <c r="R968" s="285">
        <f>IF(Preencher!$D$482=Preencher!$O$475,0,Preencher!$D$478)</f>
        <v>0</v>
      </c>
    </row>
    <row r="969" spans="1:18">
      <c r="A969" s="265" t="s">
        <v>134</v>
      </c>
      <c r="B969" s="284">
        <v>0</v>
      </c>
      <c r="C969" s="251" t="str">
        <f t="shared" si="400"/>
        <v>-</v>
      </c>
      <c r="D969" s="259" t="str">
        <f t="shared" si="401"/>
        <v>-</v>
      </c>
      <c r="E969" s="251">
        <f t="shared" si="402"/>
        <v>0</v>
      </c>
      <c r="F969" s="252" t="str">
        <f t="shared" si="403"/>
        <v>-</v>
      </c>
      <c r="G969" s="37"/>
      <c r="H969" s="285">
        <f>IF(Preencher!$B$482=Preencher!$O$475,0,Preencher!$B$478)</f>
        <v>727.99560292264937</v>
      </c>
      <c r="I969" s="259" t="str">
        <f t="shared" si="404"/>
        <v>-</v>
      </c>
      <c r="J969" s="251">
        <f t="shared" si="405"/>
        <v>0</v>
      </c>
      <c r="K969" s="252" t="str">
        <f t="shared" si="406"/>
        <v>-</v>
      </c>
      <c r="L969" s="37"/>
      <c r="M969" s="285">
        <f>IF(Preencher!$C$482=Preencher!$O$475,0,Preencher!$C$478)</f>
        <v>0</v>
      </c>
      <c r="N969" s="259" t="str">
        <f t="shared" si="407"/>
        <v>-</v>
      </c>
      <c r="O969" s="251">
        <f t="shared" si="408"/>
        <v>0</v>
      </c>
      <c r="P969" s="252" t="str">
        <f t="shared" si="409"/>
        <v>-</v>
      </c>
      <c r="Q969" s="37"/>
      <c r="R969" s="285">
        <f>IF(Preencher!$D$482=Preencher!$O$475,0,Preencher!$D$478)</f>
        <v>0</v>
      </c>
    </row>
    <row r="970" spans="1:18">
      <c r="A970" s="265" t="s">
        <v>135</v>
      </c>
      <c r="B970" s="284">
        <v>0</v>
      </c>
      <c r="C970" s="251" t="str">
        <f t="shared" si="400"/>
        <v>-</v>
      </c>
      <c r="D970" s="259" t="str">
        <f t="shared" si="401"/>
        <v>-</v>
      </c>
      <c r="E970" s="251">
        <f t="shared" si="402"/>
        <v>0</v>
      </c>
      <c r="F970" s="252" t="str">
        <f t="shared" si="403"/>
        <v>-</v>
      </c>
      <c r="G970" s="37"/>
      <c r="H970" s="285">
        <f>Preencher!B476</f>
        <v>727.99560292264937</v>
      </c>
      <c r="I970" s="259" t="str">
        <f t="shared" si="404"/>
        <v>-</v>
      </c>
      <c r="J970" s="251">
        <f t="shared" si="405"/>
        <v>0</v>
      </c>
      <c r="K970" s="252" t="str">
        <f t="shared" si="406"/>
        <v>-</v>
      </c>
      <c r="L970" s="37"/>
      <c r="M970" s="285">
        <f>Preencher!$C$476</f>
        <v>0</v>
      </c>
      <c r="N970" s="259" t="str">
        <f t="shared" si="407"/>
        <v>-</v>
      </c>
      <c r="O970" s="251">
        <f t="shared" si="408"/>
        <v>0</v>
      </c>
      <c r="P970" s="252" t="str">
        <f t="shared" si="409"/>
        <v>-</v>
      </c>
      <c r="Q970" s="37"/>
      <c r="R970" s="285">
        <f>Preencher!$D$476</f>
        <v>0</v>
      </c>
    </row>
    <row r="971" spans="1:18">
      <c r="A971" s="265" t="s">
        <v>136</v>
      </c>
      <c r="B971" s="284">
        <v>0</v>
      </c>
      <c r="C971" s="251" t="str">
        <f t="shared" si="400"/>
        <v>-</v>
      </c>
      <c r="D971" s="259" t="str">
        <f t="shared" si="401"/>
        <v>-</v>
      </c>
      <c r="E971" s="251">
        <f t="shared" si="402"/>
        <v>0</v>
      </c>
      <c r="F971" s="252" t="str">
        <f t="shared" si="403"/>
        <v>-</v>
      </c>
      <c r="G971" s="37"/>
      <c r="H971" s="285">
        <f>H967</f>
        <v>4800</v>
      </c>
      <c r="I971" s="259" t="str">
        <f t="shared" si="404"/>
        <v>-</v>
      </c>
      <c r="J971" s="251">
        <f t="shared" si="405"/>
        <v>0</v>
      </c>
      <c r="K971" s="252" t="str">
        <f t="shared" si="406"/>
        <v>-</v>
      </c>
      <c r="L971" s="37"/>
      <c r="M971" s="285">
        <f>M967</f>
        <v>0</v>
      </c>
      <c r="N971" s="259" t="str">
        <f t="shared" si="407"/>
        <v>-</v>
      </c>
      <c r="O971" s="251">
        <f t="shared" si="408"/>
        <v>0</v>
      </c>
      <c r="P971" s="252" t="str">
        <f t="shared" si="409"/>
        <v>-</v>
      </c>
      <c r="Q971" s="37"/>
      <c r="R971" s="285">
        <f>R967</f>
        <v>0</v>
      </c>
    </row>
    <row r="972" spans="1:18">
      <c r="A972" s="265" t="s">
        <v>137</v>
      </c>
      <c r="B972" s="284"/>
      <c r="C972" s="251" t="str">
        <f t="shared" si="400"/>
        <v>-</v>
      </c>
      <c r="D972" s="259" t="str">
        <f t="shared" si="401"/>
        <v>-</v>
      </c>
      <c r="E972" s="251">
        <f t="shared" si="402"/>
        <v>0</v>
      </c>
      <c r="F972" s="252" t="str">
        <f t="shared" si="403"/>
        <v>-</v>
      </c>
      <c r="G972" s="37"/>
      <c r="H972" s="285"/>
      <c r="I972" s="259" t="str">
        <f t="shared" si="404"/>
        <v>-</v>
      </c>
      <c r="J972" s="251">
        <f t="shared" si="405"/>
        <v>0</v>
      </c>
      <c r="K972" s="252" t="str">
        <f t="shared" si="406"/>
        <v>-</v>
      </c>
      <c r="L972" s="37"/>
      <c r="M972" s="285"/>
      <c r="N972" s="259" t="str">
        <f t="shared" si="407"/>
        <v>-</v>
      </c>
      <c r="O972" s="251">
        <f t="shared" si="408"/>
        <v>0</v>
      </c>
      <c r="P972" s="252" t="str">
        <f t="shared" si="409"/>
        <v>-</v>
      </c>
      <c r="Q972" s="37"/>
      <c r="R972" s="285"/>
    </row>
    <row r="973" spans="1:18">
      <c r="A973" s="265" t="s">
        <v>138</v>
      </c>
      <c r="B973" s="284">
        <v>0</v>
      </c>
      <c r="C973" s="251" t="str">
        <f t="shared" si="400"/>
        <v>-</v>
      </c>
      <c r="D973" s="259" t="str">
        <f t="shared" si="401"/>
        <v>-</v>
      </c>
      <c r="E973" s="251">
        <f t="shared" si="402"/>
        <v>0</v>
      </c>
      <c r="F973" s="252" t="str">
        <f t="shared" si="403"/>
        <v>-</v>
      </c>
      <c r="G973" s="37"/>
      <c r="H973" s="285">
        <f>H971</f>
        <v>4800</v>
      </c>
      <c r="I973" s="259" t="str">
        <f t="shared" si="404"/>
        <v>-</v>
      </c>
      <c r="J973" s="251">
        <f t="shared" si="405"/>
        <v>0</v>
      </c>
      <c r="K973" s="252" t="str">
        <f t="shared" si="406"/>
        <v>-</v>
      </c>
      <c r="L973" s="37"/>
      <c r="M973" s="285"/>
      <c r="N973" s="259" t="str">
        <f t="shared" si="407"/>
        <v>-</v>
      </c>
      <c r="O973" s="251">
        <f t="shared" si="408"/>
        <v>0</v>
      </c>
      <c r="P973" s="252" t="str">
        <f t="shared" si="409"/>
        <v>-</v>
      </c>
      <c r="Q973" s="37"/>
      <c r="R973" s="285"/>
    </row>
    <row r="974" spans="1:18">
      <c r="A974" s="265" t="s">
        <v>680</v>
      </c>
      <c r="B974" s="284"/>
      <c r="C974" s="251" t="str">
        <f t="shared" si="400"/>
        <v>-</v>
      </c>
      <c r="D974" s="259" t="str">
        <f t="shared" si="401"/>
        <v>-</v>
      </c>
      <c r="E974" s="251">
        <f t="shared" si="402"/>
        <v>0</v>
      </c>
      <c r="F974" s="252" t="str">
        <f t="shared" si="403"/>
        <v>-</v>
      </c>
      <c r="G974" s="37"/>
      <c r="H974" s="285"/>
      <c r="I974" s="259" t="str">
        <f t="shared" si="404"/>
        <v>-</v>
      </c>
      <c r="J974" s="251">
        <f t="shared" si="405"/>
        <v>0</v>
      </c>
      <c r="K974" s="252" t="str">
        <f t="shared" si="406"/>
        <v>-</v>
      </c>
      <c r="L974" s="37"/>
      <c r="M974" s="285"/>
      <c r="N974" s="259" t="str">
        <f t="shared" si="407"/>
        <v>-</v>
      </c>
      <c r="O974" s="251">
        <f t="shared" si="408"/>
        <v>0</v>
      </c>
      <c r="P974" s="252" t="str">
        <f t="shared" si="409"/>
        <v>-</v>
      </c>
      <c r="Q974" s="37"/>
      <c r="R974" s="285"/>
    </row>
    <row r="975" spans="1:18">
      <c r="A975" s="265" t="s">
        <v>14</v>
      </c>
      <c r="B975" s="284"/>
      <c r="C975" s="251" t="str">
        <f t="shared" si="400"/>
        <v>-</v>
      </c>
      <c r="D975" s="259" t="str">
        <f t="shared" si="401"/>
        <v>-</v>
      </c>
      <c r="E975" s="251">
        <f t="shared" si="402"/>
        <v>0</v>
      </c>
      <c r="F975" s="252" t="str">
        <f t="shared" si="403"/>
        <v>-</v>
      </c>
      <c r="G975" s="37"/>
      <c r="H975" s="285"/>
      <c r="I975" s="259" t="str">
        <f t="shared" si="404"/>
        <v>-</v>
      </c>
      <c r="J975" s="251">
        <f t="shared" si="405"/>
        <v>0</v>
      </c>
      <c r="K975" s="252" t="str">
        <f t="shared" si="406"/>
        <v>-</v>
      </c>
      <c r="L975" s="37"/>
      <c r="M975" s="285"/>
      <c r="N975" s="259" t="str">
        <f t="shared" si="407"/>
        <v>-</v>
      </c>
      <c r="O975" s="251">
        <f t="shared" si="408"/>
        <v>0</v>
      </c>
      <c r="P975" s="252" t="str">
        <f t="shared" si="409"/>
        <v>-</v>
      </c>
      <c r="Q975" s="37"/>
      <c r="R975" s="285"/>
    </row>
    <row r="976" spans="1:18">
      <c r="A976" s="37" t="s">
        <v>16</v>
      </c>
      <c r="B976" s="284"/>
      <c r="C976" s="912" t="s">
        <v>1075</v>
      </c>
      <c r="D976" s="259"/>
      <c r="E976" s="770">
        <f>IFERROR(ROUNDUP(SUM(SUM(Avaliação!J649:J658))*'BD Temp'!H976,0.999),0)</f>
        <v>1</v>
      </c>
      <c r="F976" s="772" t="str">
        <f t="shared" si="403"/>
        <v>-</v>
      </c>
      <c r="G976" s="37"/>
      <c r="H976" s="285">
        <f>IF(Preencher!$A$15=Preencher!$R$28,0,IF(Preencher!$A$15=Preencher!$R$29,Preencher!$C$15,Preencher!$D$15))</f>
        <v>0.33</v>
      </c>
      <c r="I976" s="259" t="str">
        <f t="shared" si="404"/>
        <v>-</v>
      </c>
      <c r="J976" s="770">
        <f>IFERROR(ROUNDUP(SUM(SUM(Avaliação!N649:N658))*'BD Temp'!M976,0.999),0)</f>
        <v>0</v>
      </c>
      <c r="K976" s="772" t="str">
        <f t="shared" si="406"/>
        <v>-</v>
      </c>
      <c r="L976" s="37"/>
      <c r="M976" s="285">
        <f>IF(Preencher!$A$15=Preencher!$R$28,0,IF(Preencher!$A$15=Preencher!$R$29,Preencher!$C$15,Preencher!$D$15))</f>
        <v>0.33</v>
      </c>
      <c r="N976" s="259" t="str">
        <f t="shared" si="407"/>
        <v>-</v>
      </c>
      <c r="O976" s="770">
        <f>IFERROR(ROUNDUP(SUM(SUM(Avaliação!R649:R658))*'BD Temp'!R976,0.999),0)</f>
        <v>0</v>
      </c>
      <c r="P976" s="772" t="str">
        <f t="shared" si="409"/>
        <v>-</v>
      </c>
      <c r="Q976" s="37"/>
      <c r="R976" s="285">
        <f>IF(Preencher!$A$15=Preencher!$R$28,0,IF(Preencher!$A$15=Preencher!$R$29,Preencher!$C$15,Preencher!$D$15))</f>
        <v>0.33</v>
      </c>
    </row>
    <row r="977" spans="1:18">
      <c r="A977" s="265" t="s">
        <v>15</v>
      </c>
      <c r="B977" s="284"/>
      <c r="C977" s="251" t="str">
        <f t="shared" si="400"/>
        <v>-</v>
      </c>
      <c r="D977" s="259" t="str">
        <f t="shared" si="401"/>
        <v>-</v>
      </c>
      <c r="E977" s="251">
        <f t="shared" si="402"/>
        <v>0</v>
      </c>
      <c r="F977" s="252" t="str">
        <f t="shared" si="403"/>
        <v>-</v>
      </c>
      <c r="G977" s="37"/>
      <c r="H977" s="285"/>
      <c r="I977" s="259" t="str">
        <f t="shared" si="404"/>
        <v>-</v>
      </c>
      <c r="J977" s="251">
        <f t="shared" si="405"/>
        <v>0</v>
      </c>
      <c r="K977" s="252" t="str">
        <f t="shared" si="406"/>
        <v>-</v>
      </c>
      <c r="L977" s="37"/>
      <c r="M977" s="285"/>
      <c r="N977" s="259" t="str">
        <f t="shared" si="407"/>
        <v>-</v>
      </c>
      <c r="O977" s="251">
        <f t="shared" si="408"/>
        <v>0</v>
      </c>
      <c r="P977" s="252" t="str">
        <f t="shared" si="409"/>
        <v>-</v>
      </c>
      <c r="Q977" s="37"/>
      <c r="R977" s="285"/>
    </row>
    <row r="978" spans="1:18">
      <c r="A978" s="265"/>
      <c r="B978" s="286"/>
      <c r="C978" s="37"/>
      <c r="D978" s="37"/>
      <c r="E978" s="37"/>
      <c r="F978" s="37"/>
      <c r="G978" s="37"/>
      <c r="H978" s="287"/>
      <c r="I978" s="37"/>
      <c r="J978" s="37"/>
      <c r="K978" s="37"/>
      <c r="L978" s="37"/>
      <c r="M978" s="287"/>
      <c r="N978" s="37"/>
      <c r="O978" s="37"/>
      <c r="P978" s="37"/>
      <c r="Q978" s="37"/>
      <c r="R978" s="287"/>
    </row>
    <row r="979" spans="1:18">
      <c r="A979" s="270" t="s">
        <v>723</v>
      </c>
      <c r="B979" s="291"/>
      <c r="C979" s="39"/>
      <c r="D979" s="39"/>
      <c r="E979" s="39"/>
      <c r="F979" s="39"/>
      <c r="G979" s="39"/>
      <c r="H979" s="292"/>
      <c r="I979" s="39"/>
      <c r="J979" s="39"/>
      <c r="K979" s="39"/>
      <c r="L979" s="39"/>
      <c r="M979" s="292"/>
      <c r="N979" s="39"/>
      <c r="O979" s="39"/>
      <c r="P979" s="39"/>
      <c r="Q979" s="39"/>
      <c r="R979" s="292"/>
    </row>
    <row r="980" spans="1:18">
      <c r="A980" s="265"/>
      <c r="B980" s="286"/>
      <c r="C980" s="37"/>
      <c r="D980" s="37"/>
      <c r="E980" s="37"/>
      <c r="F980" s="37"/>
      <c r="G980" s="37"/>
      <c r="H980" s="287"/>
      <c r="I980" s="37"/>
      <c r="J980" s="37"/>
      <c r="K980" s="37"/>
      <c r="L980" s="37"/>
      <c r="M980" s="287"/>
      <c r="N980" s="37"/>
      <c r="O980" s="37"/>
      <c r="P980" s="37"/>
      <c r="Q980" s="37"/>
      <c r="R980" s="287"/>
    </row>
    <row r="981" spans="1:18">
      <c r="A981" s="265"/>
      <c r="B981" s="286"/>
      <c r="C981" s="37"/>
      <c r="D981" s="37"/>
      <c r="E981" s="37"/>
      <c r="F981" s="37"/>
      <c r="G981" s="37"/>
      <c r="H981" s="287"/>
      <c r="I981" s="37"/>
      <c r="J981" s="37"/>
      <c r="K981" s="37"/>
      <c r="L981" s="37"/>
      <c r="M981" s="287"/>
      <c r="N981" s="37"/>
      <c r="O981" s="37"/>
      <c r="P981" s="37"/>
      <c r="Q981" s="37"/>
      <c r="R981" s="287"/>
    </row>
    <row r="982" spans="1:18">
      <c r="A982" s="265"/>
      <c r="B982" s="286"/>
      <c r="C982" s="37"/>
      <c r="D982" s="37"/>
      <c r="E982" s="37"/>
      <c r="F982" s="37"/>
      <c r="G982" s="37"/>
      <c r="H982" s="287"/>
      <c r="I982" s="37"/>
      <c r="J982" s="37"/>
      <c r="K982" s="37"/>
      <c r="L982" s="37"/>
      <c r="M982" s="287"/>
      <c r="N982" s="37"/>
      <c r="O982" s="37"/>
      <c r="P982" s="37"/>
      <c r="Q982" s="37"/>
      <c r="R982" s="287"/>
    </row>
    <row r="983" spans="1:18">
      <c r="A983" s="265"/>
      <c r="B983" s="286"/>
      <c r="C983" s="37"/>
      <c r="D983" s="37"/>
      <c r="E983" s="37"/>
      <c r="F983" s="37"/>
      <c r="G983" s="37"/>
      <c r="H983" s="287"/>
      <c r="I983" s="37"/>
      <c r="J983" s="37"/>
      <c r="K983" s="37"/>
      <c r="L983" s="37"/>
      <c r="M983" s="287"/>
      <c r="N983" s="37"/>
      <c r="O983" s="37"/>
      <c r="P983" s="37"/>
      <c r="Q983" s="37"/>
      <c r="R983" s="287"/>
    </row>
    <row r="984" spans="1:18">
      <c r="A984" s="265"/>
      <c r="B984" s="286"/>
      <c r="C984" s="37"/>
      <c r="D984" s="37"/>
      <c r="E984" s="37"/>
      <c r="F984" s="37"/>
      <c r="G984" s="37"/>
      <c r="H984" s="287"/>
      <c r="I984" s="37"/>
      <c r="J984" s="37"/>
      <c r="K984" s="37"/>
      <c r="L984" s="37"/>
      <c r="M984" s="287"/>
      <c r="N984" s="37"/>
      <c r="O984" s="37"/>
      <c r="P984" s="37"/>
      <c r="Q984" s="37"/>
      <c r="R984" s="287"/>
    </row>
    <row r="985" spans="1:18">
      <c r="A985" s="265"/>
      <c r="B985" s="286"/>
      <c r="C985" s="37"/>
      <c r="D985" s="37"/>
      <c r="E985" s="37"/>
      <c r="F985" s="37"/>
      <c r="G985" s="37"/>
      <c r="H985" s="287"/>
      <c r="I985" s="37"/>
      <c r="J985" s="37"/>
      <c r="K985" s="37"/>
      <c r="L985" s="37"/>
      <c r="M985" s="287"/>
      <c r="N985" s="37"/>
      <c r="O985" s="37"/>
      <c r="P985" s="37"/>
      <c r="Q985" s="37"/>
      <c r="R985" s="287"/>
    </row>
    <row r="986" spans="1:18">
      <c r="A986" s="264" t="s">
        <v>235</v>
      </c>
      <c r="B986" s="282"/>
      <c r="C986" s="40"/>
      <c r="D986" s="40"/>
      <c r="E986" s="40"/>
      <c r="F986" s="40"/>
      <c r="G986" s="40"/>
      <c r="H986" s="283"/>
      <c r="I986" s="40"/>
      <c r="J986" s="40"/>
      <c r="K986" s="40"/>
      <c r="L986" s="40"/>
      <c r="M986" s="283"/>
      <c r="N986" s="40"/>
      <c r="O986" s="40"/>
      <c r="P986" s="40"/>
      <c r="Q986" s="40"/>
      <c r="R986" s="283"/>
    </row>
    <row r="987" spans="1:18">
      <c r="A987" s="268" t="s">
        <v>17</v>
      </c>
      <c r="B987" s="288"/>
      <c r="C987" s="13"/>
      <c r="D987" s="13"/>
      <c r="E987" s="13"/>
      <c r="F987" s="13"/>
      <c r="G987" s="13"/>
      <c r="H987" s="113"/>
      <c r="I987" s="13"/>
      <c r="J987" s="13"/>
      <c r="K987" s="13"/>
      <c r="L987" s="13"/>
      <c r="M987" s="113"/>
      <c r="N987" s="13"/>
      <c r="O987" s="13"/>
      <c r="P987" s="13"/>
      <c r="Q987" s="13"/>
      <c r="R987" s="113"/>
    </row>
    <row r="988" spans="1:18">
      <c r="A988" s="268" t="s">
        <v>18</v>
      </c>
      <c r="B988" s="288"/>
      <c r="C988" s="13"/>
      <c r="D988" s="13"/>
      <c r="E988" s="13"/>
      <c r="F988" s="13"/>
      <c r="G988" s="13"/>
      <c r="H988" s="113"/>
      <c r="I988" s="13"/>
      <c r="J988" s="13"/>
      <c r="K988" s="13"/>
      <c r="L988" s="13"/>
      <c r="M988" s="113"/>
      <c r="N988" s="13"/>
      <c r="O988" s="13"/>
      <c r="P988" s="13"/>
      <c r="Q988" s="13"/>
      <c r="R988" s="113"/>
    </row>
    <row r="989" spans="1:18">
      <c r="A989" s="268"/>
      <c r="B989" s="288"/>
      <c r="C989" s="13"/>
      <c r="D989" s="13"/>
      <c r="E989" s="13"/>
      <c r="F989" s="13"/>
      <c r="G989" s="13"/>
      <c r="H989" s="113"/>
      <c r="I989" s="13"/>
      <c r="J989" s="13"/>
      <c r="K989" s="13"/>
      <c r="L989" s="13"/>
      <c r="M989" s="113"/>
      <c r="N989" s="13"/>
      <c r="O989" s="13"/>
      <c r="P989" s="13"/>
      <c r="Q989" s="13"/>
      <c r="R989" s="113"/>
    </row>
    <row r="990" spans="1:18">
      <c r="A990" s="262" t="s">
        <v>255</v>
      </c>
      <c r="B990" s="278"/>
      <c r="C990" s="17"/>
      <c r="D990" s="17"/>
      <c r="E990" s="17"/>
      <c r="F990" s="17"/>
      <c r="G990" s="17"/>
      <c r="H990" s="279"/>
      <c r="I990" s="17"/>
      <c r="J990" s="17"/>
      <c r="K990" s="17"/>
      <c r="L990" s="17"/>
      <c r="M990" s="279"/>
      <c r="N990" s="17"/>
      <c r="O990" s="17"/>
      <c r="P990" s="17"/>
      <c r="Q990" s="17"/>
      <c r="R990" s="279"/>
    </row>
    <row r="991" spans="1:18">
      <c r="A991" s="263" t="s">
        <v>255</v>
      </c>
      <c r="B991" s="280"/>
      <c r="C991" s="35"/>
      <c r="D991" s="35"/>
      <c r="E991" s="35"/>
      <c r="F991" s="35"/>
      <c r="G991" s="35"/>
      <c r="H991" s="281"/>
      <c r="I991" s="35"/>
      <c r="J991" s="35"/>
      <c r="K991" s="35"/>
      <c r="L991" s="35"/>
      <c r="M991" s="281"/>
      <c r="N991" s="35"/>
      <c r="O991" s="35"/>
      <c r="P991" s="35"/>
      <c r="Q991" s="35"/>
      <c r="R991" s="281"/>
    </row>
    <row r="992" spans="1:18">
      <c r="A992" s="264" t="s">
        <v>714</v>
      </c>
      <c r="B992" s="282"/>
      <c r="C992" s="40"/>
      <c r="D992" s="40"/>
      <c r="E992" s="40"/>
      <c r="F992" s="40"/>
      <c r="G992" s="40"/>
      <c r="H992" s="283"/>
      <c r="I992" s="40"/>
      <c r="J992" s="40"/>
      <c r="K992" s="40"/>
      <c r="L992" s="40"/>
      <c r="M992" s="283"/>
      <c r="N992" s="40"/>
      <c r="O992" s="40"/>
      <c r="P992" s="40"/>
      <c r="Q992" s="40"/>
      <c r="R992" s="283"/>
    </row>
    <row r="993" spans="1:18">
      <c r="A993" s="263" t="s">
        <v>256</v>
      </c>
      <c r="B993" s="280"/>
      <c r="C993" s="35"/>
      <c r="D993" s="35"/>
      <c r="E993" s="35"/>
      <c r="F993" s="35"/>
      <c r="G993" s="35"/>
      <c r="H993" s="281"/>
      <c r="I993" s="35"/>
      <c r="J993" s="35"/>
      <c r="K993" s="35"/>
      <c r="L993" s="35"/>
      <c r="M993" s="281"/>
      <c r="N993" s="35"/>
      <c r="O993" s="35"/>
      <c r="P993" s="35"/>
      <c r="Q993" s="35"/>
      <c r="R993" s="281"/>
    </row>
    <row r="994" spans="1:18">
      <c r="A994" s="265" t="s">
        <v>682</v>
      </c>
      <c r="B994" s="284">
        <f>1.425-1.425</f>
        <v>0</v>
      </c>
      <c r="C994" s="251" t="str">
        <f>IF(B994=0,"-",3600/B994)</f>
        <v>-</v>
      </c>
      <c r="D994" s="259" t="str">
        <f>IFERROR((H994/C994),"-")</f>
        <v>-</v>
      </c>
      <c r="E994" s="251">
        <f>IFERROR(ROUNDUP(D994/0.95,0.999),0)*G994</f>
        <v>0</v>
      </c>
      <c r="F994" s="252" t="str">
        <f>IFERROR((H994/C994/E994),"-")</f>
        <v>-</v>
      </c>
      <c r="G994" s="661"/>
      <c r="H994" s="285">
        <f>H1014</f>
        <v>276.03702824590556</v>
      </c>
      <c r="I994" s="259" t="str">
        <f>IFERROR((M994/C994),"-")</f>
        <v>-</v>
      </c>
      <c r="J994" s="251">
        <f>IFERROR(ROUNDUP(I994/0.95,0.999),0)*L994</f>
        <v>0</v>
      </c>
      <c r="K994" s="252" t="str">
        <f>IFERROR((M994/C994/J994),"-")</f>
        <v>-</v>
      </c>
      <c r="L994" s="661"/>
      <c r="M994" s="285">
        <f>M1014</f>
        <v>0</v>
      </c>
      <c r="N994" s="259" t="str">
        <f>IFERROR((R994/C994),"-")</f>
        <v>-</v>
      </c>
      <c r="O994" s="251">
        <f>IFERROR(ROUNDUP(N994/0.95,0.999),0)</f>
        <v>0</v>
      </c>
      <c r="P994" s="252" t="str">
        <f>IFERROR((R994/C994/O994),"-")</f>
        <v>-</v>
      </c>
      <c r="Q994" s="661"/>
      <c r="R994" s="285">
        <f>R1014</f>
        <v>0</v>
      </c>
    </row>
    <row r="995" spans="1:18">
      <c r="A995" s="271" t="s">
        <v>684</v>
      </c>
      <c r="B995" s="284"/>
      <c r="C995" s="251"/>
      <c r="D995" s="259"/>
      <c r="E995" s="568">
        <f>(IFERROR(ROUNDUP(D1013/0.95,0.999),0)-IFERROR(ROUNDUP(D1013/0.95,0.999),0))+IFERROR(ROUNDUP(SUM(D997:D1012)/0.95,0.999),0)+IFERROR(ROUNDUP(D996/0.95,0.999),0)</f>
        <v>0</v>
      </c>
      <c r="F995" s="252">
        <f>IFERROR((D1013/0.95)+((SUM(D997:D1012)/0.95)+(D996/0.95))/E995,0)</f>
        <v>0</v>
      </c>
      <c r="G995" s="37"/>
      <c r="H995" s="285"/>
      <c r="I995" s="259"/>
      <c r="J995" s="568">
        <f>(IFERROR(ROUNDUP(I1013/0.95,0.999),0)-IFERROR(ROUNDUP(I1013/0.95,0.999),0))+IFERROR(ROUNDUP(SUM(I997:I1012)/0.95,0.999),0)+IFERROR(ROUNDUP(I996/0.95,0.999),0)</f>
        <v>0</v>
      </c>
      <c r="K995" s="569">
        <f>IFERROR((I1013/0.95)+((SUM(I997:I1012)/0.95)+(I996/0.95))/J995,0)</f>
        <v>0</v>
      </c>
      <c r="L995" s="37"/>
      <c r="M995" s="285"/>
      <c r="N995" s="259"/>
      <c r="O995" s="568">
        <f>IFERROR(ROUNDUP(N1013/0.95,0.999),0)+IFERROR(ROUNDUP(SUM(N997:N1012)/0.95,0.999),0)+IFERROR(ROUNDUP(N996/0.95,0.999),0)</f>
        <v>0</v>
      </c>
      <c r="P995" s="569">
        <f>IFERROR((N1013/0.95)+((SUM(N997:N1012)/0.95)+(N996/0.95))/O995,0)</f>
        <v>0</v>
      </c>
      <c r="Q995" s="37"/>
      <c r="R995" s="285"/>
    </row>
    <row r="996" spans="1:18">
      <c r="A996" s="200" t="s">
        <v>1938</v>
      </c>
      <c r="B996" s="284">
        <f>IF(Preencher!$B$359="Não",2.85-2.85,0)</f>
        <v>0</v>
      </c>
      <c r="C996" s="568" t="str">
        <f>IF(B996=0,"-",3600/B996)</f>
        <v>-</v>
      </c>
      <c r="D996" s="259" t="str">
        <f>IFERROR((H996/C996),"-")</f>
        <v>-</v>
      </c>
      <c r="E996" s="568">
        <f>IFERROR(ROUNDUP(D996/0.95,0.999),0)</f>
        <v>0</v>
      </c>
      <c r="F996" s="569" t="str">
        <f t="shared" ref="F996:F1012" si="410">IFERROR((H996/C996/E996),"-")</f>
        <v>-</v>
      </c>
      <c r="G996" s="37"/>
      <c r="H996" s="822">
        <f>VLOOKUP(Preencher!$A$371,Preencher!$R$369:$X$386,7,0)-IF(Preencher!$B$363&gt;=1,Preencher!B373+Preencher!B374+Preencher!B375,0)</f>
        <v>276.03702824590556</v>
      </c>
      <c r="I996" s="259" t="str">
        <f t="shared" ref="I996:I1012" si="411">IFERROR((M996/C996),"-")</f>
        <v>-</v>
      </c>
      <c r="J996" s="568">
        <f t="shared" ref="J996:J1012" si="412">IFERROR(ROUNDUP(I996/0.95,0.999),0)</f>
        <v>0</v>
      </c>
      <c r="K996" s="569" t="str">
        <f t="shared" ref="K996:K1012" si="413">IFERROR((M996/C996/J996),"-")</f>
        <v>-</v>
      </c>
      <c r="L996" s="37"/>
      <c r="M996" s="285">
        <f>VLOOKUP(Preencher!$A$371,Preencher!$R$369:$Y$386,8,0)-IF(Preencher!$C$363&gt;=1,Preencher!C373+Preencher!C374+Preencher!C375,0)</f>
        <v>0</v>
      </c>
      <c r="N996" s="259" t="str">
        <f>IFERROR((R996/C996),"-")</f>
        <v>-</v>
      </c>
      <c r="O996" s="568">
        <f>IFERROR(ROUNDUP(N996/0.95,0.999),0)</f>
        <v>0</v>
      </c>
      <c r="P996" s="569" t="str">
        <f>IFERROR((R996/C996/O996),"-")</f>
        <v>-</v>
      </c>
      <c r="Q996" s="37"/>
      <c r="R996" s="285">
        <f>VLOOKUP(Preencher!$A$371,Preencher!$R$369:$Z$386,9,0)-IF(Preencher!$D$363&gt;=1,Preencher!D373+Preencher!D374+Preencher!D375,0)</f>
        <v>0</v>
      </c>
    </row>
    <row r="997" spans="1:18">
      <c r="A997" s="200" t="s">
        <v>1437</v>
      </c>
      <c r="B997" s="284">
        <f>IF(Preencher!$H$360="Sim",IF(Preencher!$B$360="Não",15.7,0),IF(Preencher!$B$360="Não",9.8,0))</f>
        <v>0</v>
      </c>
      <c r="C997" s="568" t="str">
        <f>IF(B997=0,"-",3600/B997)</f>
        <v>-</v>
      </c>
      <c r="D997" s="259" t="str">
        <f t="shared" ref="D997:D1012" si="414">IFERROR((H997/C997),"-")</f>
        <v>-</v>
      </c>
      <c r="E997" s="568">
        <f>IFERROR(ROUNDUP(D997/0.95,0.999),0)</f>
        <v>0</v>
      </c>
      <c r="F997" s="569" t="str">
        <f t="shared" si="410"/>
        <v>-</v>
      </c>
      <c r="G997" s="37"/>
      <c r="H997" s="285">
        <f>Preencher!B399</f>
        <v>0</v>
      </c>
      <c r="I997" s="259" t="str">
        <f t="shared" si="411"/>
        <v>-</v>
      </c>
      <c r="J997" s="568">
        <f t="shared" si="412"/>
        <v>0</v>
      </c>
      <c r="K997" s="569" t="str">
        <f t="shared" si="413"/>
        <v>-</v>
      </c>
      <c r="L997" s="37"/>
      <c r="M997" s="285">
        <f>Preencher!C399</f>
        <v>0</v>
      </c>
      <c r="N997" s="259" t="str">
        <f t="shared" ref="N997:N1012" si="415">IFERROR((R997/C997),"-")</f>
        <v>-</v>
      </c>
      <c r="O997" s="568">
        <f t="shared" ref="O997:O1012" si="416">IFERROR(ROUNDUP(N997/0.95,0.999),0)</f>
        <v>0</v>
      </c>
      <c r="P997" s="569" t="str">
        <f t="shared" ref="P997:P1012" si="417">IFERROR((R997/C997/O997),"-")</f>
        <v>-</v>
      </c>
      <c r="Q997" s="37"/>
      <c r="R997" s="285">
        <f>Preencher!D399</f>
        <v>0</v>
      </c>
    </row>
    <row r="998" spans="1:18">
      <c r="A998" s="200" t="s">
        <v>1917</v>
      </c>
      <c r="B998" s="284">
        <f>IF(Preencher!$H$360="Sim",IF(Preencher!$B$360="Não",15.7,0),IF(Preencher!$B$360="Não",8.5,0))</f>
        <v>0</v>
      </c>
      <c r="C998" s="568" t="str">
        <f t="shared" ref="C998:C1012" si="418">IF(B998=0,"-",3600/B998)</f>
        <v>-</v>
      </c>
      <c r="D998" s="259" t="str">
        <f t="shared" si="414"/>
        <v>-</v>
      </c>
      <c r="E998" s="568">
        <f t="shared" ref="E998:E1012" si="419">IFERROR(ROUNDUP(D998/0.95,0.999),0)</f>
        <v>0</v>
      </c>
      <c r="F998" s="569" t="str">
        <f t="shared" si="410"/>
        <v>-</v>
      </c>
      <c r="G998" s="37"/>
      <c r="H998" s="285">
        <f>Preencher!B399</f>
        <v>0</v>
      </c>
      <c r="I998" s="259" t="str">
        <f t="shared" si="411"/>
        <v>-</v>
      </c>
      <c r="J998" s="568">
        <f t="shared" si="412"/>
        <v>0</v>
      </c>
      <c r="K998" s="569" t="str">
        <f t="shared" si="413"/>
        <v>-</v>
      </c>
      <c r="L998" s="37"/>
      <c r="M998" s="285">
        <f>Preencher!C400</f>
        <v>0</v>
      </c>
      <c r="N998" s="259" t="str">
        <f t="shared" si="415"/>
        <v>-</v>
      </c>
      <c r="O998" s="568">
        <f t="shared" si="416"/>
        <v>0</v>
      </c>
      <c r="P998" s="569" t="str">
        <f t="shared" si="417"/>
        <v>-</v>
      </c>
      <c r="Q998" s="37"/>
      <c r="R998" s="285">
        <f>Preencher!D400</f>
        <v>0</v>
      </c>
    </row>
    <row r="999" spans="1:18">
      <c r="A999" s="200" t="s">
        <v>976</v>
      </c>
      <c r="B999" s="284">
        <f>IF(Preencher!$H$360="Sim",IF(Preencher!$B$360="Não",21.43,0),IF(Preencher!$B$360="Não",8.52,0))</f>
        <v>0</v>
      </c>
      <c r="C999" s="568" t="str">
        <f t="shared" si="418"/>
        <v>-</v>
      </c>
      <c r="D999" s="259" t="str">
        <f t="shared" si="414"/>
        <v>-</v>
      </c>
      <c r="E999" s="568">
        <f t="shared" si="419"/>
        <v>0</v>
      </c>
      <c r="F999" s="569" t="str">
        <f t="shared" si="410"/>
        <v>-</v>
      </c>
      <c r="G999" s="37"/>
      <c r="H999" s="285">
        <f>Preencher!B400</f>
        <v>0</v>
      </c>
      <c r="I999" s="259" t="str">
        <f t="shared" si="411"/>
        <v>-</v>
      </c>
      <c r="J999" s="568">
        <f t="shared" si="412"/>
        <v>0</v>
      </c>
      <c r="K999" s="569" t="str">
        <f t="shared" si="413"/>
        <v>-</v>
      </c>
      <c r="L999" s="37"/>
      <c r="M999" s="285">
        <f>Preencher!C401</f>
        <v>0</v>
      </c>
      <c r="N999" s="259" t="str">
        <f t="shared" si="415"/>
        <v>-</v>
      </c>
      <c r="O999" s="568">
        <f t="shared" si="416"/>
        <v>0</v>
      </c>
      <c r="P999" s="569" t="str">
        <f t="shared" si="417"/>
        <v>-</v>
      </c>
      <c r="Q999" s="37"/>
      <c r="R999" s="285">
        <f>Preencher!D401</f>
        <v>0</v>
      </c>
    </row>
    <row r="1000" spans="1:18">
      <c r="A1000" s="200" t="s">
        <v>1918</v>
      </c>
      <c r="B1000" s="284">
        <f>IF(Preencher!$H$360="Sim",IF(Preencher!$B$360="Não",15.7,0),IF(Preencher!$B$360="Não",8.5,0))</f>
        <v>0</v>
      </c>
      <c r="C1000" s="568" t="str">
        <f t="shared" si="418"/>
        <v>-</v>
      </c>
      <c r="D1000" s="259" t="str">
        <f t="shared" si="414"/>
        <v>-</v>
      </c>
      <c r="E1000" s="568">
        <f t="shared" si="419"/>
        <v>0</v>
      </c>
      <c r="F1000" s="569" t="str">
        <f t="shared" si="410"/>
        <v>-</v>
      </c>
      <c r="G1000" s="37"/>
      <c r="H1000" s="285">
        <f>Preencher!$B$401</f>
        <v>6.900925706147639</v>
      </c>
      <c r="I1000" s="259" t="str">
        <f t="shared" si="411"/>
        <v>-</v>
      </c>
      <c r="J1000" s="568">
        <f t="shared" si="412"/>
        <v>0</v>
      </c>
      <c r="K1000" s="569" t="str">
        <f t="shared" si="413"/>
        <v>-</v>
      </c>
      <c r="L1000" s="37"/>
      <c r="M1000" s="285">
        <f>Preencher!C402</f>
        <v>0</v>
      </c>
      <c r="N1000" s="259" t="str">
        <f t="shared" si="415"/>
        <v>-</v>
      </c>
      <c r="O1000" s="568">
        <f t="shared" si="416"/>
        <v>0</v>
      </c>
      <c r="P1000" s="569" t="str">
        <f t="shared" si="417"/>
        <v>-</v>
      </c>
      <c r="Q1000" s="37"/>
      <c r="R1000" s="285">
        <f>Preencher!D402</f>
        <v>0</v>
      </c>
    </row>
    <row r="1001" spans="1:18">
      <c r="A1001" s="200" t="s">
        <v>1804</v>
      </c>
      <c r="B1001" s="284">
        <f>IF(Preencher!$H$360="Sim",IF(Preencher!$B$360="Não",15.7,0),IF(Preencher!$B$360="Não",8.5,0))</f>
        <v>0</v>
      </c>
      <c r="C1001" s="568" t="str">
        <f t="shared" si="418"/>
        <v>-</v>
      </c>
      <c r="D1001" s="259" t="str">
        <f t="shared" si="414"/>
        <v>-</v>
      </c>
      <c r="E1001" s="568">
        <f t="shared" si="419"/>
        <v>0</v>
      </c>
      <c r="F1001" s="569" t="str">
        <f t="shared" si="410"/>
        <v>-</v>
      </c>
      <c r="G1001" s="37"/>
      <c r="H1001" s="285">
        <f>Preencher!B402</f>
        <v>0</v>
      </c>
      <c r="I1001" s="259" t="str">
        <f t="shared" si="411"/>
        <v>-</v>
      </c>
      <c r="J1001" s="568">
        <f t="shared" si="412"/>
        <v>0</v>
      </c>
      <c r="K1001" s="569" t="str">
        <f t="shared" si="413"/>
        <v>-</v>
      </c>
      <c r="L1001" s="37"/>
      <c r="M1001" s="285">
        <f>Preencher!C403</f>
        <v>0</v>
      </c>
      <c r="N1001" s="259" t="str">
        <f t="shared" si="415"/>
        <v>-</v>
      </c>
      <c r="O1001" s="568">
        <f t="shared" si="416"/>
        <v>0</v>
      </c>
      <c r="P1001" s="569" t="str">
        <f t="shared" si="417"/>
        <v>-</v>
      </c>
      <c r="Q1001" s="37"/>
      <c r="R1001" s="285">
        <f>Preencher!D403</f>
        <v>0</v>
      </c>
    </row>
    <row r="1002" spans="1:18">
      <c r="A1002" s="200" t="s">
        <v>1807</v>
      </c>
      <c r="B1002" s="284">
        <f>IF(Preencher!$H$360="Sim",IF(Preencher!$B$360="Não",15.7,0),IF(Preencher!$B$360="Não",8.5,0))</f>
        <v>0</v>
      </c>
      <c r="C1002" s="568" t="str">
        <f t="shared" si="418"/>
        <v>-</v>
      </c>
      <c r="D1002" s="259" t="str">
        <f t="shared" si="414"/>
        <v>-</v>
      </c>
      <c r="E1002" s="568">
        <f t="shared" si="419"/>
        <v>0</v>
      </c>
      <c r="F1002" s="569" t="str">
        <f t="shared" si="410"/>
        <v>-</v>
      </c>
      <c r="G1002" s="37"/>
      <c r="H1002" s="285">
        <f>Preencher!B403</f>
        <v>0</v>
      </c>
      <c r="I1002" s="259" t="str">
        <f t="shared" si="411"/>
        <v>-</v>
      </c>
      <c r="J1002" s="568">
        <f t="shared" si="412"/>
        <v>0</v>
      </c>
      <c r="K1002" s="569" t="str">
        <f t="shared" si="413"/>
        <v>-</v>
      </c>
      <c r="L1002" s="37"/>
      <c r="M1002" s="285">
        <f>Preencher!C404</f>
        <v>0</v>
      </c>
      <c r="N1002" s="259" t="str">
        <f t="shared" si="415"/>
        <v>-</v>
      </c>
      <c r="O1002" s="568">
        <f t="shared" si="416"/>
        <v>0</v>
      </c>
      <c r="P1002" s="569" t="str">
        <f t="shared" si="417"/>
        <v>-</v>
      </c>
      <c r="Q1002" s="37"/>
      <c r="R1002" s="285">
        <f>Preencher!D404</f>
        <v>0</v>
      </c>
    </row>
    <row r="1003" spans="1:18">
      <c r="A1003" s="200" t="s">
        <v>1589</v>
      </c>
      <c r="B1003" s="284">
        <f>IF(Preencher!$H$360="Sim",IF(Preencher!$B$360="Não",14.64,0),IF(Preencher!$B$360="Não",9.5,0))</f>
        <v>0</v>
      </c>
      <c r="C1003" s="568" t="str">
        <f t="shared" si="418"/>
        <v>-</v>
      </c>
      <c r="D1003" s="259" t="str">
        <f t="shared" si="414"/>
        <v>-</v>
      </c>
      <c r="E1003" s="568">
        <f t="shared" si="419"/>
        <v>0</v>
      </c>
      <c r="F1003" s="569" t="str">
        <f t="shared" si="410"/>
        <v>-</v>
      </c>
      <c r="G1003" s="37"/>
      <c r="H1003" s="285">
        <f>Preencher!B404</f>
        <v>0</v>
      </c>
      <c r="I1003" s="259" t="str">
        <f t="shared" si="411"/>
        <v>-</v>
      </c>
      <c r="J1003" s="568">
        <f t="shared" si="412"/>
        <v>0</v>
      </c>
      <c r="K1003" s="569" t="str">
        <f t="shared" si="413"/>
        <v>-</v>
      </c>
      <c r="L1003" s="37"/>
      <c r="M1003" s="285">
        <f>Preencher!C405</f>
        <v>0</v>
      </c>
      <c r="N1003" s="259" t="str">
        <f t="shared" si="415"/>
        <v>-</v>
      </c>
      <c r="O1003" s="568">
        <f t="shared" si="416"/>
        <v>0</v>
      </c>
      <c r="P1003" s="569" t="str">
        <f t="shared" si="417"/>
        <v>-</v>
      </c>
      <c r="Q1003" s="37"/>
      <c r="R1003" s="285">
        <f>Preencher!D405</f>
        <v>0</v>
      </c>
    </row>
    <row r="1004" spans="1:18">
      <c r="A1004" s="200" t="s">
        <v>1701</v>
      </c>
      <c r="B1004" s="284">
        <f>IF(Preencher!$H$360="Sim",IF(Preencher!$B$360="Não",17.83,0),IF(Preencher!$B$360="Não",12.35,0))</f>
        <v>0</v>
      </c>
      <c r="C1004" s="568" t="str">
        <f t="shared" si="418"/>
        <v>-</v>
      </c>
      <c r="D1004" s="259" t="str">
        <f t="shared" si="414"/>
        <v>-</v>
      </c>
      <c r="E1004" s="568">
        <f t="shared" si="419"/>
        <v>0</v>
      </c>
      <c r="F1004" s="569" t="str">
        <f t="shared" si="410"/>
        <v>-</v>
      </c>
      <c r="G1004" s="37"/>
      <c r="H1004" s="285">
        <f>Preencher!B405</f>
        <v>1.4355566104913366</v>
      </c>
      <c r="I1004" s="259" t="str">
        <f t="shared" si="411"/>
        <v>-</v>
      </c>
      <c r="J1004" s="568">
        <f t="shared" si="412"/>
        <v>0</v>
      </c>
      <c r="K1004" s="569" t="str">
        <f t="shared" si="413"/>
        <v>-</v>
      </c>
      <c r="L1004" s="37"/>
      <c r="M1004" s="285">
        <f>Preencher!C406</f>
        <v>0</v>
      </c>
      <c r="N1004" s="259" t="str">
        <f t="shared" si="415"/>
        <v>-</v>
      </c>
      <c r="O1004" s="568">
        <f t="shared" si="416"/>
        <v>0</v>
      </c>
      <c r="P1004" s="569" t="str">
        <f t="shared" si="417"/>
        <v>-</v>
      </c>
      <c r="Q1004" s="37"/>
      <c r="R1004" s="285">
        <f>Preencher!D406</f>
        <v>0</v>
      </c>
    </row>
    <row r="1005" spans="1:18">
      <c r="A1005" s="200" t="s">
        <v>1654</v>
      </c>
      <c r="B1005" s="284">
        <f>IF(Preencher!$H$360="Sim",IF(Preencher!$B$360="Não",17.83,0),IF(Preencher!$B$360="Não",12.35,0))</f>
        <v>0</v>
      </c>
      <c r="C1005" s="568" t="str">
        <f t="shared" si="418"/>
        <v>-</v>
      </c>
      <c r="D1005" s="259" t="str">
        <f t="shared" si="414"/>
        <v>-</v>
      </c>
      <c r="E1005" s="568">
        <f t="shared" si="419"/>
        <v>0</v>
      </c>
      <c r="F1005" s="569" t="str">
        <f t="shared" si="410"/>
        <v>-</v>
      </c>
      <c r="G1005" s="37"/>
      <c r="H1005" s="285">
        <f>Preencher!B406</f>
        <v>0</v>
      </c>
      <c r="I1005" s="259" t="str">
        <f t="shared" si="411"/>
        <v>-</v>
      </c>
      <c r="J1005" s="568">
        <f t="shared" si="412"/>
        <v>0</v>
      </c>
      <c r="K1005" s="569" t="str">
        <f t="shared" si="413"/>
        <v>-</v>
      </c>
      <c r="L1005" s="37"/>
      <c r="M1005" s="285">
        <f>Preencher!C407</f>
        <v>0</v>
      </c>
      <c r="N1005" s="259" t="str">
        <f t="shared" si="415"/>
        <v>-</v>
      </c>
      <c r="O1005" s="568">
        <f t="shared" si="416"/>
        <v>0</v>
      </c>
      <c r="P1005" s="569" t="str">
        <f t="shared" si="417"/>
        <v>-</v>
      </c>
      <c r="Q1005" s="37"/>
      <c r="R1005" s="285">
        <f>Preencher!D407</f>
        <v>0</v>
      </c>
    </row>
    <row r="1006" spans="1:18">
      <c r="A1006" s="200" t="s">
        <v>1792</v>
      </c>
      <c r="B1006" s="284">
        <f>IF(Preencher!$H$360="Sim",IF(Preencher!$B$360="Não",17.83,0),IF(Preencher!$B$360="Não",12.35,0))</f>
        <v>0</v>
      </c>
      <c r="C1006" s="568" t="str">
        <f t="shared" si="418"/>
        <v>-</v>
      </c>
      <c r="D1006" s="259" t="str">
        <f t="shared" si="414"/>
        <v>-</v>
      </c>
      <c r="E1006" s="568">
        <f t="shared" si="419"/>
        <v>0</v>
      </c>
      <c r="F1006" s="569" t="str">
        <f t="shared" si="410"/>
        <v>-</v>
      </c>
      <c r="G1006" s="37"/>
      <c r="H1006" s="285">
        <f>Preencher!B407</f>
        <v>0</v>
      </c>
      <c r="I1006" s="259" t="str">
        <f t="shared" si="411"/>
        <v>-</v>
      </c>
      <c r="J1006" s="568">
        <f t="shared" si="412"/>
        <v>0</v>
      </c>
      <c r="K1006" s="569" t="str">
        <f t="shared" si="413"/>
        <v>-</v>
      </c>
      <c r="L1006" s="37"/>
      <c r="M1006" s="285">
        <f>Preencher!C408</f>
        <v>0</v>
      </c>
      <c r="N1006" s="259" t="str">
        <f t="shared" si="415"/>
        <v>-</v>
      </c>
      <c r="O1006" s="568">
        <f t="shared" si="416"/>
        <v>0</v>
      </c>
      <c r="P1006" s="569" t="str">
        <f t="shared" si="417"/>
        <v>-</v>
      </c>
      <c r="Q1006" s="37"/>
      <c r="R1006" s="285">
        <f>Preencher!D408</f>
        <v>0</v>
      </c>
    </row>
    <row r="1007" spans="1:18">
      <c r="A1007" s="200" t="s">
        <v>1642</v>
      </c>
      <c r="B1007" s="284">
        <f>IF(Preencher!$H$360="Sim",IF(Preencher!$B$360="Não",14.89,0),IF(Preencher!$B$360="Não",12.35,0))</f>
        <v>0</v>
      </c>
      <c r="C1007" s="568" t="str">
        <f t="shared" si="418"/>
        <v>-</v>
      </c>
      <c r="D1007" s="259" t="str">
        <f t="shared" si="414"/>
        <v>-</v>
      </c>
      <c r="E1007" s="568">
        <f t="shared" si="419"/>
        <v>0</v>
      </c>
      <c r="F1007" s="569" t="str">
        <f t="shared" si="410"/>
        <v>-</v>
      </c>
      <c r="G1007" s="37"/>
      <c r="H1007" s="285">
        <f>Preencher!B408</f>
        <v>0</v>
      </c>
      <c r="I1007" s="259" t="str">
        <f t="shared" si="411"/>
        <v>-</v>
      </c>
      <c r="J1007" s="568">
        <f t="shared" si="412"/>
        <v>0</v>
      </c>
      <c r="K1007" s="569" t="str">
        <f t="shared" si="413"/>
        <v>-</v>
      </c>
      <c r="L1007" s="37"/>
      <c r="M1007" s="285">
        <f>Preencher!C409</f>
        <v>0</v>
      </c>
      <c r="N1007" s="259" t="str">
        <f t="shared" si="415"/>
        <v>-</v>
      </c>
      <c r="O1007" s="568">
        <f t="shared" si="416"/>
        <v>0</v>
      </c>
      <c r="P1007" s="569" t="str">
        <f t="shared" si="417"/>
        <v>-</v>
      </c>
      <c r="Q1007" s="37"/>
      <c r="R1007" s="285">
        <f>Preencher!D409</f>
        <v>0</v>
      </c>
    </row>
    <row r="1008" spans="1:18">
      <c r="A1008" s="200" t="s">
        <v>1747</v>
      </c>
      <c r="B1008" s="284">
        <f>IF(Preencher!$H$360="Sim",IF(Preencher!$B$360="Não",14.89,0),IF(Preencher!$B$360="Não",12.35,0))</f>
        <v>0</v>
      </c>
      <c r="C1008" s="568" t="str">
        <f t="shared" si="418"/>
        <v>-</v>
      </c>
      <c r="D1008" s="259" t="str">
        <f t="shared" si="414"/>
        <v>-</v>
      </c>
      <c r="E1008" s="568">
        <f t="shared" si="419"/>
        <v>0</v>
      </c>
      <c r="F1008" s="569" t="str">
        <f t="shared" si="410"/>
        <v>-</v>
      </c>
      <c r="G1008" s="37"/>
      <c r="H1008" s="285">
        <f>Preencher!B409</f>
        <v>24.840913655535072</v>
      </c>
      <c r="I1008" s="259" t="str">
        <f t="shared" si="411"/>
        <v>-</v>
      </c>
      <c r="J1008" s="568">
        <f t="shared" si="412"/>
        <v>0</v>
      </c>
      <c r="K1008" s="569" t="str">
        <f t="shared" si="413"/>
        <v>-</v>
      </c>
      <c r="L1008" s="37"/>
      <c r="M1008" s="285">
        <f>Preencher!C410</f>
        <v>0</v>
      </c>
      <c r="N1008" s="259" t="str">
        <f t="shared" si="415"/>
        <v>-</v>
      </c>
      <c r="O1008" s="568">
        <f t="shared" si="416"/>
        <v>0</v>
      </c>
      <c r="P1008" s="569" t="str">
        <f t="shared" si="417"/>
        <v>-</v>
      </c>
      <c r="Q1008" s="37"/>
      <c r="R1008" s="285">
        <f>Preencher!D410</f>
        <v>0</v>
      </c>
    </row>
    <row r="1009" spans="1:18">
      <c r="A1009" s="200" t="s">
        <v>1798</v>
      </c>
      <c r="B1009" s="284">
        <f>IF(Preencher!$H$360="Sim",IF(Preencher!$B$360="Não",14.89,0),IF(Preencher!$B$360="Não",12.35,0))</f>
        <v>0</v>
      </c>
      <c r="C1009" s="568" t="str">
        <f t="shared" si="418"/>
        <v>-</v>
      </c>
      <c r="D1009" s="259" t="str">
        <f t="shared" si="414"/>
        <v>-</v>
      </c>
      <c r="E1009" s="568">
        <f t="shared" si="419"/>
        <v>0</v>
      </c>
      <c r="F1009" s="569" t="str">
        <f t="shared" si="410"/>
        <v>-</v>
      </c>
      <c r="G1009" s="37"/>
      <c r="H1009" s="285">
        <f>Preencher!B410</f>
        <v>0</v>
      </c>
      <c r="I1009" s="259" t="str">
        <f t="shared" si="411"/>
        <v>-</v>
      </c>
      <c r="J1009" s="568">
        <f t="shared" si="412"/>
        <v>0</v>
      </c>
      <c r="K1009" s="569" t="str">
        <f t="shared" si="413"/>
        <v>-</v>
      </c>
      <c r="L1009" s="37"/>
      <c r="M1009" s="285">
        <f>Preencher!C411</f>
        <v>0</v>
      </c>
      <c r="N1009" s="259" t="str">
        <f t="shared" si="415"/>
        <v>-</v>
      </c>
      <c r="O1009" s="568">
        <f t="shared" si="416"/>
        <v>0</v>
      </c>
      <c r="P1009" s="569" t="str">
        <f t="shared" si="417"/>
        <v>-</v>
      </c>
      <c r="Q1009" s="37"/>
      <c r="R1009" s="285">
        <f>Preencher!D411</f>
        <v>0</v>
      </c>
    </row>
    <row r="1010" spans="1:18">
      <c r="A1010" s="200" t="s">
        <v>1768</v>
      </c>
      <c r="B1010" s="284">
        <f>IF(Preencher!$H$360="Sim",IF(Preencher!$B$360="Não",14.89,0),IF(Preencher!$B$360="Não",12.35,0))</f>
        <v>0</v>
      </c>
      <c r="C1010" s="568" t="str">
        <f t="shared" si="418"/>
        <v>-</v>
      </c>
      <c r="D1010" s="259" t="str">
        <f t="shared" si="414"/>
        <v>-</v>
      </c>
      <c r="E1010" s="568">
        <f t="shared" si="419"/>
        <v>0</v>
      </c>
      <c r="F1010" s="569" t="str">
        <f t="shared" si="410"/>
        <v>-</v>
      </c>
      <c r="G1010" s="37"/>
      <c r="H1010" s="285">
        <f>Preencher!B411</f>
        <v>0</v>
      </c>
      <c r="I1010" s="259" t="str">
        <f t="shared" si="411"/>
        <v>-</v>
      </c>
      <c r="J1010" s="568">
        <f t="shared" si="412"/>
        <v>0</v>
      </c>
      <c r="K1010" s="569" t="str">
        <f t="shared" si="413"/>
        <v>-</v>
      </c>
      <c r="L1010" s="37"/>
      <c r="M1010" s="285">
        <f>Preencher!C412</f>
        <v>0</v>
      </c>
      <c r="N1010" s="259" t="str">
        <f t="shared" si="415"/>
        <v>-</v>
      </c>
      <c r="O1010" s="568">
        <f t="shared" si="416"/>
        <v>0</v>
      </c>
      <c r="P1010" s="569" t="str">
        <f t="shared" si="417"/>
        <v>-</v>
      </c>
      <c r="Q1010" s="37"/>
      <c r="R1010" s="285">
        <f>Preencher!D412</f>
        <v>0</v>
      </c>
    </row>
    <row r="1011" spans="1:18">
      <c r="A1011" s="200" t="s">
        <v>1008</v>
      </c>
      <c r="B1011" s="284">
        <f>IF(Preencher!$H$360="Sim",IF(Preencher!$B$360="Não",14.89,0),IF(Preencher!$B$360="Não",12.35,0))</f>
        <v>0</v>
      </c>
      <c r="C1011" s="568" t="str">
        <f t="shared" si="418"/>
        <v>-</v>
      </c>
      <c r="D1011" s="259" t="str">
        <f t="shared" si="414"/>
        <v>-</v>
      </c>
      <c r="E1011" s="568">
        <f t="shared" si="419"/>
        <v>0</v>
      </c>
      <c r="F1011" s="569" t="str">
        <f t="shared" si="410"/>
        <v>-</v>
      </c>
      <c r="G1011" s="37"/>
      <c r="H1011" s="285">
        <f>Preencher!B412</f>
        <v>0</v>
      </c>
      <c r="I1011" s="259" t="str">
        <f t="shared" si="411"/>
        <v>-</v>
      </c>
      <c r="J1011" s="568">
        <f t="shared" si="412"/>
        <v>0</v>
      </c>
      <c r="K1011" s="569" t="str">
        <f t="shared" si="413"/>
        <v>-</v>
      </c>
      <c r="L1011" s="37"/>
      <c r="M1011" s="285">
        <f>Preencher!C413</f>
        <v>0</v>
      </c>
      <c r="N1011" s="259" t="str">
        <f t="shared" si="415"/>
        <v>-</v>
      </c>
      <c r="O1011" s="568">
        <f t="shared" si="416"/>
        <v>0</v>
      </c>
      <c r="P1011" s="569" t="str">
        <f t="shared" si="417"/>
        <v>-</v>
      </c>
      <c r="Q1011" s="37"/>
      <c r="R1011" s="285">
        <f>Preencher!D413</f>
        <v>0</v>
      </c>
    </row>
    <row r="1012" spans="1:18">
      <c r="A1012" s="200" t="s">
        <v>1015</v>
      </c>
      <c r="B1012" s="284">
        <f>IF(Preencher!$H$360="Sim",IF(Preencher!$B$360="Não",14.89,0),IF(Preencher!$B$360="Não",12.35,0))</f>
        <v>0</v>
      </c>
      <c r="C1012" s="568" t="str">
        <f t="shared" si="418"/>
        <v>-</v>
      </c>
      <c r="D1012" s="259" t="str">
        <f t="shared" si="414"/>
        <v>-</v>
      </c>
      <c r="E1012" s="568">
        <f t="shared" si="419"/>
        <v>0</v>
      </c>
      <c r="F1012" s="569" t="str">
        <f t="shared" si="410"/>
        <v>-</v>
      </c>
      <c r="G1012" s="37"/>
      <c r="H1012" s="285">
        <f>Preencher!B413</f>
        <v>0</v>
      </c>
      <c r="I1012" s="259" t="str">
        <f t="shared" si="411"/>
        <v>-</v>
      </c>
      <c r="J1012" s="568">
        <f t="shared" si="412"/>
        <v>0</v>
      </c>
      <c r="K1012" s="569" t="str">
        <f t="shared" si="413"/>
        <v>-</v>
      </c>
      <c r="L1012" s="37"/>
      <c r="M1012" s="285">
        <f>Preencher!C413</f>
        <v>0</v>
      </c>
      <c r="N1012" s="259" t="str">
        <f t="shared" si="415"/>
        <v>-</v>
      </c>
      <c r="O1012" s="568">
        <f t="shared" si="416"/>
        <v>0</v>
      </c>
      <c r="P1012" s="569" t="str">
        <f t="shared" si="417"/>
        <v>-</v>
      </c>
      <c r="Q1012" s="37"/>
      <c r="R1012" s="285">
        <f>Preencher!D414</f>
        <v>0</v>
      </c>
    </row>
    <row r="1013" spans="1:18">
      <c r="A1013" s="200" t="s">
        <v>1939</v>
      </c>
      <c r="B1013" s="284">
        <f>IF(Preencher!$B$361="Não",4.85,0)</f>
        <v>0</v>
      </c>
      <c r="C1013" s="568" t="str">
        <f>IF(B1013=0,"-",3600/B1013)</f>
        <v>-</v>
      </c>
      <c r="D1013" s="259" t="str">
        <f>IFERROR((H1013/C1013),"-")</f>
        <v>-</v>
      </c>
      <c r="E1013" s="568">
        <f>IFERROR(ROUNDUP(D1013/0.95,0.999),0)</f>
        <v>0</v>
      </c>
      <c r="F1013" s="569" t="str">
        <f>IFERROR((H1014/C1013/E1013),"-")</f>
        <v>-</v>
      </c>
      <c r="G1013" s="37"/>
      <c r="H1013" s="285">
        <f>Preencher!B428</f>
        <v>0</v>
      </c>
      <c r="I1013" s="259" t="str">
        <f>IFERROR((M1013/C1013),"-")</f>
        <v>-</v>
      </c>
      <c r="J1013" s="568">
        <f>IFERROR(ROUNDUP(I1013/0.95,0.999),0)</f>
        <v>0</v>
      </c>
      <c r="K1013" s="569" t="str">
        <f>IFERROR((M1013/C1013/J1013),"-")</f>
        <v>-</v>
      </c>
      <c r="L1013" s="37"/>
      <c r="M1013" s="285">
        <f>Preencher!C428</f>
        <v>0</v>
      </c>
      <c r="N1013" s="259" t="str">
        <f>IFERROR((R1013/C1013),"-")</f>
        <v>-</v>
      </c>
      <c r="O1013" s="568">
        <f>IFERROR(ROUNDUP(N1013/0.95,0.999),0)</f>
        <v>0</v>
      </c>
      <c r="P1013" s="569" t="str">
        <f>IFERROR((R1013/C1013/O1013),"-")</f>
        <v>-</v>
      </c>
      <c r="Q1013" s="37"/>
      <c r="R1013" s="285">
        <f>Preencher!D428</f>
        <v>0</v>
      </c>
    </row>
    <row r="1014" spans="1:18">
      <c r="A1014" s="271" t="s">
        <v>266</v>
      </c>
      <c r="B1014" s="284">
        <f>IF(Preencher!$B$359="Sim",0,22.36)</f>
        <v>0</v>
      </c>
      <c r="C1014" s="251" t="str">
        <f>IF(B1014=0,"-",3600/B1014)</f>
        <v>-</v>
      </c>
      <c r="D1014" s="259" t="str">
        <f>IFERROR((H1014/C1014),"-")</f>
        <v>-</v>
      </c>
      <c r="E1014" s="251">
        <f>IFERROR(ROUNDUP(D1014/0.95,0.999),0)</f>
        <v>0</v>
      </c>
      <c r="F1014" s="252" t="str">
        <f>IFERROR((H1014/C1014/E1014),"-")</f>
        <v>-</v>
      </c>
      <c r="G1014" s="37"/>
      <c r="H1014" s="285">
        <f>H996</f>
        <v>276.03702824590556</v>
      </c>
      <c r="I1014" s="259" t="str">
        <f>IFERROR((M1014/C1014),"-")</f>
        <v>-</v>
      </c>
      <c r="J1014" s="251">
        <f>IFERROR(ROUNDUP(I1014/0.95,0.999),0)</f>
        <v>0</v>
      </c>
      <c r="K1014" s="252" t="str">
        <f>IFERROR((M1014/C1014/J1014),"-")</f>
        <v>-</v>
      </c>
      <c r="L1014" s="37"/>
      <c r="M1014" s="285">
        <f>M996</f>
        <v>0</v>
      </c>
      <c r="N1014" s="259" t="str">
        <f>IFERROR((R1014/C1014),"-")</f>
        <v>-</v>
      </c>
      <c r="O1014" s="251">
        <f>IFERROR(ROUNDUP(N1014/0.95,0.999),0)</f>
        <v>0</v>
      </c>
      <c r="P1014" s="252" t="str">
        <f>IFERROR((R1014/C1014/O1014),"-")</f>
        <v>-</v>
      </c>
      <c r="Q1014" s="37"/>
      <c r="R1014" s="285">
        <f>R996</f>
        <v>0</v>
      </c>
    </row>
    <row r="1015" spans="1:18">
      <c r="A1015" s="265" t="s">
        <v>685</v>
      </c>
      <c r="B1015" s="284"/>
      <c r="C1015" s="251"/>
      <c r="D1015" s="259"/>
      <c r="E1015" s="251">
        <f>SUM(E1016:E1018)</f>
        <v>1</v>
      </c>
      <c r="F1015" s="252">
        <f>IFERROR(MEDIAN(F1016:F1018),0)</f>
        <v>0</v>
      </c>
      <c r="G1015" s="37"/>
      <c r="H1015" s="285"/>
      <c r="I1015" s="259"/>
      <c r="J1015" s="575">
        <f>SUM(J1016:J1018)</f>
        <v>0</v>
      </c>
      <c r="K1015" s="576">
        <f>IFERROR(MEDIAN(K1016:K1018),0)</f>
        <v>0</v>
      </c>
      <c r="L1015" s="37"/>
      <c r="M1015" s="285"/>
      <c r="N1015" s="259"/>
      <c r="O1015" s="575">
        <f>SUM(O1016:O1018)</f>
        <v>0</v>
      </c>
      <c r="P1015" s="576">
        <f>IFERROR(MEDIAN(P1016:P1018),0)</f>
        <v>0</v>
      </c>
      <c r="Q1015" s="37"/>
      <c r="R1015" s="285"/>
    </row>
    <row r="1016" spans="1:18">
      <c r="A1016" s="200" t="s">
        <v>1940</v>
      </c>
      <c r="B1016" s="284">
        <f>2.225</f>
        <v>2.2250000000000001</v>
      </c>
      <c r="C1016" s="570">
        <f>IF(B1016=0,"-",3600/B1016)</f>
        <v>1617.9775280898875</v>
      </c>
      <c r="D1016" s="259">
        <f>IFERROR((H1016/C1016),"-")</f>
        <v>0.17060621884642777</v>
      </c>
      <c r="E1016" s="570">
        <f>IFERROR(ROUNDUP(D1016/0.95,0.999),0)*G1016</f>
        <v>0</v>
      </c>
      <c r="F1016" s="571" t="e">
        <f>IFERROR((H1016/C1016/E1016),"-")*G1016</f>
        <v>#VALUE!</v>
      </c>
      <c r="G1016" s="661">
        <f>IF(Preencher!$B$363=3,1,0)</f>
        <v>0</v>
      </c>
      <c r="H1016" s="285">
        <f>H1014</f>
        <v>276.03702824590556</v>
      </c>
      <c r="I1016" s="259">
        <f>IFERROR((M1016/C1016),"-")</f>
        <v>0</v>
      </c>
      <c r="J1016" s="572">
        <f>IFERROR(ROUNDUP(I1016/0.95,0.999),0)*L1016</f>
        <v>0</v>
      </c>
      <c r="K1016" s="573" t="str">
        <f>IFERROR((M1016/C1016/J1016)*L1016,"-")</f>
        <v>-</v>
      </c>
      <c r="L1016" s="661">
        <f>IF(Preencher!$B$363=3,1,0)</f>
        <v>0</v>
      </c>
      <c r="M1016" s="285">
        <f>M1014</f>
        <v>0</v>
      </c>
      <c r="N1016" s="259">
        <f>IFERROR((R1016/C1016),"-")</f>
        <v>0</v>
      </c>
      <c r="O1016" s="572">
        <f>IFERROR(ROUNDUP(N1016/0.95,0.999),0)*Q1016</f>
        <v>0</v>
      </c>
      <c r="P1016" s="573" t="str">
        <f>IFERROR((R1016/C1016/O1016)*Q1016,"-")</f>
        <v>-</v>
      </c>
      <c r="Q1016" s="661">
        <f>Preencher!C363</f>
        <v>0</v>
      </c>
      <c r="R1016" s="285">
        <f>R1014</f>
        <v>0</v>
      </c>
    </row>
    <row r="1017" spans="1:18">
      <c r="A1017" s="200" t="s">
        <v>1941</v>
      </c>
      <c r="B1017" s="284">
        <v>2.1120000000000001</v>
      </c>
      <c r="C1017" s="572">
        <f>IF(B1017=0,"-",3600/B1017)</f>
        <v>1704.5454545454545</v>
      </c>
      <c r="D1017" s="259">
        <f>IFERROR((H1017/C1017),"-")</f>
        <v>1.9464072303675441E-2</v>
      </c>
      <c r="E1017" s="721">
        <f>IFERROR(ROUNDUP(D1017/0.95,0.999),0)*G1017</f>
        <v>1</v>
      </c>
      <c r="F1017" s="722">
        <f>IFERROR((H1017/C1017/E1017)*G1017,"-")</f>
        <v>1.9464072303675441E-2</v>
      </c>
      <c r="G1017" s="661">
        <f>Preencher!$B$364</f>
        <v>1</v>
      </c>
      <c r="H1017" s="285">
        <f>SUM($H$997:$H$1012)</f>
        <v>33.177395972174047</v>
      </c>
      <c r="I1017" s="259">
        <f>IFERROR((M1017/C1017),"-")</f>
        <v>0</v>
      </c>
      <c r="J1017" s="721">
        <f>IFERROR(ROUNDUP(I1017/0.95,0.999),0)*L1017</f>
        <v>0</v>
      </c>
      <c r="K1017" s="722" t="str">
        <f>IFERROR((M1017/C1017/J1017)*L1017,"-")</f>
        <v>-</v>
      </c>
      <c r="L1017" s="661">
        <f>Preencher!$B$364</f>
        <v>1</v>
      </c>
      <c r="M1017" s="285">
        <f>SUM(M997:M1012)</f>
        <v>0</v>
      </c>
      <c r="N1017" s="259">
        <f>IFERROR((R1017/C1017),"-")</f>
        <v>0</v>
      </c>
      <c r="O1017" s="721">
        <f>IFERROR(ROUNDUP(N1017/0.95,0.999),0)*Q1017</f>
        <v>0</v>
      </c>
      <c r="P1017" s="722" t="str">
        <f>IFERROR((R1017/C1017/O1017)*Q1017,"-")</f>
        <v>-</v>
      </c>
      <c r="Q1017" s="661">
        <f>Preencher!C364</f>
        <v>0</v>
      </c>
      <c r="R1017" s="285">
        <f>SUM(R997:R1012)</f>
        <v>0</v>
      </c>
    </row>
    <row r="1018" spans="1:18">
      <c r="A1018" s="200" t="s">
        <v>1942</v>
      </c>
      <c r="B1018" s="284">
        <v>2.1120000000000001</v>
      </c>
      <c r="C1018" s="699">
        <f>IF(B1018=0,"-",3600/B1018)</f>
        <v>1704.5454545454545</v>
      </c>
      <c r="D1018" s="259">
        <f>IFERROR((H1018/C1018),"-")</f>
        <v>0</v>
      </c>
      <c r="E1018" s="721">
        <f>IFERROR(ROUNDUP(D1018/0.95,0.999),0)*G1018</f>
        <v>0</v>
      </c>
      <c r="F1018" s="722" t="str">
        <f>IFERROR((H1018/C1018/E1018)*G1018,"-")</f>
        <v>-</v>
      </c>
      <c r="G1018" s="661">
        <f>Preencher!$B$365</f>
        <v>0</v>
      </c>
      <c r="H1018" s="285">
        <f>$H$1013</f>
        <v>0</v>
      </c>
      <c r="I1018" s="259">
        <f>IFERROR((M1018/C1018),"-")</f>
        <v>0</v>
      </c>
      <c r="J1018" s="721">
        <f>IFERROR(ROUNDUP(I1018/0.95,0.999),0)*L1018</f>
        <v>0</v>
      </c>
      <c r="K1018" s="722" t="str">
        <f>IFERROR((M1018/C1018/J1018)*L1018,"-")</f>
        <v>-</v>
      </c>
      <c r="L1018" s="661">
        <f>Preencher!$B$365</f>
        <v>0</v>
      </c>
      <c r="M1018" s="285">
        <f>M1013</f>
        <v>0</v>
      </c>
      <c r="N1018" s="259">
        <f>IFERROR((R1018/C1018),"-")</f>
        <v>0</v>
      </c>
      <c r="O1018" s="721">
        <f>IFERROR(ROUNDUP(N1018/0.95,0.999),0)*Q1018</f>
        <v>0</v>
      </c>
      <c r="P1018" s="722" t="str">
        <f>IFERROR((R1018/C1018/O1018)*Q1018,"-")</f>
        <v>-</v>
      </c>
      <c r="Q1018" s="661">
        <f>Preencher!C365</f>
        <v>0</v>
      </c>
      <c r="R1018" s="285">
        <f>R1013</f>
        <v>0</v>
      </c>
    </row>
    <row r="1019" spans="1:18">
      <c r="A1019" s="265" t="s">
        <v>139</v>
      </c>
      <c r="B1019" s="284"/>
      <c r="C1019" s="251"/>
      <c r="D1019" s="259"/>
      <c r="E1019" s="575">
        <f>SUM(E1020:E1022)</f>
        <v>0</v>
      </c>
      <c r="F1019" s="576">
        <f>IFERROR(MEDIAN(F1020:F1022),0)</f>
        <v>0</v>
      </c>
      <c r="G1019" s="37"/>
      <c r="H1019" s="285"/>
      <c r="I1019" s="259"/>
      <c r="J1019" s="575">
        <f>SUM(J1020:J1022)</f>
        <v>0</v>
      </c>
      <c r="K1019" s="576">
        <f>IFERROR(MEDIAN(K1020:K1022),0)</f>
        <v>0</v>
      </c>
      <c r="L1019" s="37"/>
      <c r="M1019" s="285"/>
      <c r="N1019" s="259"/>
      <c r="O1019" s="575">
        <f>SUM(O1020:O1022)</f>
        <v>0</v>
      </c>
      <c r="P1019" s="576">
        <f>IFERROR(MEDIAN(P1020:P1022),0)</f>
        <v>0</v>
      </c>
      <c r="Q1019" s="37"/>
      <c r="R1019" s="285"/>
    </row>
    <row r="1020" spans="1:18">
      <c r="A1020" s="200" t="s">
        <v>1943</v>
      </c>
      <c r="B1020" s="284">
        <f>1.225-1.225</f>
        <v>0</v>
      </c>
      <c r="C1020" s="575" t="str">
        <f>IF(B1020=0,"-",3600/B1020)</f>
        <v>-</v>
      </c>
      <c r="D1020" s="259" t="str">
        <f>IFERROR((H1020/C1020),"-")</f>
        <v>-</v>
      </c>
      <c r="E1020" s="721">
        <f>IFERROR(ROUNDUP(D1020/0.95,0.999),0)*G1020</f>
        <v>0</v>
      </c>
      <c r="F1020" s="722" t="e">
        <f>IFERROR((H1020/C1020/E1020),"-")*G1020</f>
        <v>#VALUE!</v>
      </c>
      <c r="G1020" s="661">
        <f>Preencher!$B$363</f>
        <v>0</v>
      </c>
      <c r="H1020" s="285">
        <f>H1016</f>
        <v>276.03702824590556</v>
      </c>
      <c r="I1020" s="259" t="str">
        <f>IFERROR((M1020/C1020),"-")</f>
        <v>-</v>
      </c>
      <c r="J1020" s="721">
        <f>IFERROR(ROUNDUP(I1020/0.95,0.999),0)*L1020</f>
        <v>0</v>
      </c>
      <c r="K1020" s="722" t="str">
        <f>IFERROR((M1020/C1020/J1020)*L1020,"-")</f>
        <v>-</v>
      </c>
      <c r="L1020" s="661">
        <f>Preencher!$B$363</f>
        <v>0</v>
      </c>
      <c r="M1020" s="285">
        <f>M1016</f>
        <v>0</v>
      </c>
      <c r="N1020" s="259" t="str">
        <f>IFERROR((R1020/C1020),"-")</f>
        <v>-</v>
      </c>
      <c r="O1020" s="575">
        <f>IFERROR(ROUNDUP(N1020/0.95,0.999),0)</f>
        <v>0</v>
      </c>
      <c r="P1020" s="576" t="str">
        <f>IFERROR((R1020/C1020/O1020),"-")</f>
        <v>-</v>
      </c>
      <c r="Q1020" s="37"/>
      <c r="R1020" s="285">
        <f>R1016</f>
        <v>0</v>
      </c>
    </row>
    <row r="1021" spans="1:18">
      <c r="A1021" s="200" t="s">
        <v>1945</v>
      </c>
      <c r="B1021" s="284">
        <f>2.112-2.112</f>
        <v>0</v>
      </c>
      <c r="C1021" s="575" t="str">
        <f>IF(B1021=0,"-",3600/B1021)</f>
        <v>-</v>
      </c>
      <c r="D1021" s="259" t="str">
        <f>IFERROR((H1021/C1021),"-")</f>
        <v>-</v>
      </c>
      <c r="E1021" s="721">
        <f>IFERROR(ROUNDUP(D1021/0.95,0.999),0)*G1021</f>
        <v>0</v>
      </c>
      <c r="F1021" s="722" t="str">
        <f>IFERROR((H1021/C1021/E1021)*G1021,"-")</f>
        <v>-</v>
      </c>
      <c r="G1021" s="661">
        <f>Preencher!$B$364</f>
        <v>1</v>
      </c>
      <c r="H1021" s="285">
        <f>SUM(H$997:H$1012)</f>
        <v>33.177395972174047</v>
      </c>
      <c r="I1021" s="259" t="str">
        <f>IFERROR((M1021/C1021),"-")</f>
        <v>-</v>
      </c>
      <c r="J1021" s="721">
        <f>IFERROR(ROUNDUP(I1021/0.95,0.999),0)*L1021</f>
        <v>0</v>
      </c>
      <c r="K1021" s="722" t="str">
        <f>IFERROR((M1021/C1021/J1021)*L1021,"-")</f>
        <v>-</v>
      </c>
      <c r="L1021" s="661">
        <f>Preencher!$B$364</f>
        <v>1</v>
      </c>
      <c r="M1021" s="285">
        <f>SUM(M$997:M$1012)</f>
        <v>0</v>
      </c>
      <c r="N1021" s="259" t="str">
        <f>IFERROR((R1021/C1021),"-")</f>
        <v>-</v>
      </c>
      <c r="O1021" s="575">
        <f>IFERROR(ROUNDUP(N1021/0.95,0.999),0)</f>
        <v>0</v>
      </c>
      <c r="P1021" s="576" t="str">
        <f>IFERROR((R1021/C1021/O1021),"-")</f>
        <v>-</v>
      </c>
      <c r="Q1021" s="37"/>
      <c r="R1021" s="285">
        <f>SUM(R$997:R$1012)</f>
        <v>0</v>
      </c>
    </row>
    <row r="1022" spans="1:18" ht="13.5" customHeight="1">
      <c r="A1022" s="200" t="s">
        <v>1944</v>
      </c>
      <c r="B1022" s="284">
        <v>2.1120000000000001</v>
      </c>
      <c r="C1022" s="699">
        <f>IF(B1022=0,"-",3600/B1022)</f>
        <v>1704.5454545454545</v>
      </c>
      <c r="D1022" s="259">
        <f>IFERROR((H1022/C1022),"-")</f>
        <v>0</v>
      </c>
      <c r="E1022" s="721">
        <f>IFERROR(ROUNDUP(D1022/0.95,0.999),0)*G1022</f>
        <v>0</v>
      </c>
      <c r="F1022" s="722" t="str">
        <f>IFERROR((H1022/C1022/E1022)*G1022,"-")</f>
        <v>-</v>
      </c>
      <c r="G1022" s="661">
        <f>Preencher!$B$365</f>
        <v>0</v>
      </c>
      <c r="H1022" s="285">
        <f>H1013</f>
        <v>0</v>
      </c>
      <c r="I1022" s="259">
        <f>IFERROR((M1022/C1022),"-")</f>
        <v>0</v>
      </c>
      <c r="J1022" s="721">
        <f>IFERROR(ROUNDUP(I1022/0.95,0.999),0)*L1022</f>
        <v>0</v>
      </c>
      <c r="K1022" s="722" t="str">
        <f>IFERROR((M1022/C1022/J1022)*L1022,"-")</f>
        <v>-</v>
      </c>
      <c r="L1022" s="661">
        <f>Preencher!$B$365</f>
        <v>0</v>
      </c>
      <c r="M1022" s="285">
        <f>M1013</f>
        <v>0</v>
      </c>
      <c r="N1022" s="259">
        <f>IFERROR((R1022/C1022),"-")</f>
        <v>0</v>
      </c>
      <c r="O1022" s="575">
        <f>IFERROR(ROUNDUP(N1022/0.95,0.999),0)</f>
        <v>0</v>
      </c>
      <c r="P1022" s="576" t="str">
        <f>IFERROR((R1022/C1022/O1022),"-")</f>
        <v>-</v>
      </c>
      <c r="Q1022" s="37"/>
      <c r="R1022" s="285">
        <f>R1013</f>
        <v>0</v>
      </c>
    </row>
    <row r="1023" spans="1:18">
      <c r="A1023" s="265" t="s">
        <v>140</v>
      </c>
      <c r="B1023" s="284"/>
      <c r="C1023" s="575"/>
      <c r="D1023" s="259"/>
      <c r="E1023" s="575">
        <f>ROUNDUP(SUM(D1025:D1027),0)</f>
        <v>1</v>
      </c>
      <c r="F1023" s="576">
        <f>IFERROR(MEDIAN(F1025:F1027),0)</f>
        <v>0.10082585458927498</v>
      </c>
      <c r="G1023" s="37"/>
      <c r="H1023" s="285"/>
      <c r="I1023" s="259"/>
      <c r="J1023" s="575">
        <f>SUM(J1025:J1027)</f>
        <v>0</v>
      </c>
      <c r="K1023" s="576">
        <f>IFERROR(MEDIAN(K1025:K1027),0)</f>
        <v>0</v>
      </c>
      <c r="L1023" s="37"/>
      <c r="M1023" s="285"/>
      <c r="N1023" s="259"/>
      <c r="O1023" s="575">
        <f>SUM(O1025:O1027)</f>
        <v>0</v>
      </c>
      <c r="P1023" s="576">
        <f>IFERROR(MEDIAN(P1025:P1027),0)</f>
        <v>0</v>
      </c>
      <c r="Q1023" s="37"/>
      <c r="R1023" s="285"/>
    </row>
    <row r="1024" spans="1:18">
      <c r="A1024" s="265" t="s">
        <v>140</v>
      </c>
      <c r="B1024" s="284"/>
      <c r="C1024" s="575"/>
      <c r="D1024" s="259"/>
      <c r="E1024" s="770">
        <f>SUM(E1025:E1027)</f>
        <v>2</v>
      </c>
      <c r="F1024" s="576">
        <f>IFERROR(MEDIAN(F1025:F1027),0)</f>
        <v>0.10082585458927498</v>
      </c>
      <c r="G1024" s="37"/>
      <c r="H1024" s="285"/>
      <c r="I1024" s="259"/>
      <c r="J1024" s="575">
        <f>SUM(J1025:J1027)</f>
        <v>0</v>
      </c>
      <c r="K1024" s="576">
        <f>IFERROR(MEDIAN(K1025:K1027),0)</f>
        <v>0</v>
      </c>
      <c r="L1024" s="37"/>
      <c r="M1024" s="285"/>
      <c r="N1024" s="259"/>
      <c r="O1024" s="575">
        <f>SUM(O1025:O1027)</f>
        <v>0</v>
      </c>
      <c r="P1024" s="576">
        <f>IFERROR(MEDIAN(P1025:P1027),0)</f>
        <v>0</v>
      </c>
      <c r="Q1024" s="37"/>
      <c r="R1024" s="285"/>
    </row>
    <row r="1025" spans="1:18">
      <c r="A1025" s="200" t="s">
        <v>1946</v>
      </c>
      <c r="B1025" s="284">
        <f>IF(Preencher!$B$362="Sim",2.29,0)</f>
        <v>2.29</v>
      </c>
      <c r="C1025" s="575">
        <f>IF(B1025=0,"-",3600/B1025)</f>
        <v>1572.0524017467249</v>
      </c>
      <c r="D1025" s="259">
        <f>IFERROR((H1025/C1025),"-")</f>
        <v>0.17559022074531216</v>
      </c>
      <c r="E1025" s="575">
        <f>IFERROR(ROUNDUP(D1025/0.95,0.999),0)</f>
        <v>1</v>
      </c>
      <c r="F1025" s="576">
        <f>IFERROR((H1025/C1025/E1025),"-")</f>
        <v>0.17559022074531216</v>
      </c>
      <c r="G1025" s="37"/>
      <c r="H1025" s="285">
        <f>$H$1020</f>
        <v>276.03702824590556</v>
      </c>
      <c r="I1025" s="259">
        <f>IFERROR((M1025/C1025),"-")</f>
        <v>0</v>
      </c>
      <c r="J1025" s="575">
        <f>IFERROR(ROUNDUP(I1025/0.95,0.999),0)</f>
        <v>0</v>
      </c>
      <c r="K1025" s="576" t="str">
        <f>IFERROR((M1025/C1025/J1025),"-")</f>
        <v>-</v>
      </c>
      <c r="L1025" s="37"/>
      <c r="M1025" s="285">
        <f>$M$1020</f>
        <v>0</v>
      </c>
      <c r="N1025" s="259">
        <f>IFERROR((R1025/C1025),"-")</f>
        <v>0</v>
      </c>
      <c r="O1025" s="575">
        <f>IFERROR(ROUNDUP(N1025/0.95,0.999),0)</f>
        <v>0</v>
      </c>
      <c r="P1025" s="576" t="str">
        <f>IFERROR((R1025/C1025/O1025),"-")</f>
        <v>-</v>
      </c>
      <c r="Q1025" s="37"/>
      <c r="R1025" s="285">
        <f>$R$1020</f>
        <v>0</v>
      </c>
    </row>
    <row r="1026" spans="1:18">
      <c r="A1026" s="200" t="s">
        <v>1947</v>
      </c>
      <c r="B1026" s="284">
        <f>IF(Preencher!$B$362="Sim",2.445,0)</f>
        <v>2.4449999999999998</v>
      </c>
      <c r="C1026" s="575">
        <f>IF(B1026=0,"-",3600/B1026)</f>
        <v>1472.39263803681</v>
      </c>
      <c r="D1026" s="259">
        <f>IFERROR((H1026/C1026),"-")</f>
        <v>2.606148843323778E-2</v>
      </c>
      <c r="E1026" s="575">
        <f>IFERROR(ROUNDUP(D1026/0.95,0.999),0)</f>
        <v>1</v>
      </c>
      <c r="F1026" s="576">
        <f>IFERROR((H1026/C1026/E1026),"-")</f>
        <v>2.606148843323778E-2</v>
      </c>
      <c r="G1026" s="37"/>
      <c r="H1026" s="285">
        <f>VLOOKUP(Preencher!$A$394,Preencher!$R$369:$AC$386,10,0)</f>
        <v>38.372743705380785</v>
      </c>
      <c r="I1026" s="259">
        <f>IFERROR((M1026/C1026),"-")</f>
        <v>0</v>
      </c>
      <c r="J1026" s="575">
        <f>IFERROR(ROUNDUP(I1026/0.95,0.999),0)</f>
        <v>0</v>
      </c>
      <c r="K1026" s="576" t="str">
        <f>IFERROR((M1026/C1026/J1026),"-")</f>
        <v>-</v>
      </c>
      <c r="L1026" s="37"/>
      <c r="M1026" s="285">
        <f>VLOOKUP(Preencher!$A$394,Preencher!$R$369:$AC$386,11,0)</f>
        <v>0</v>
      </c>
      <c r="N1026" s="259">
        <f>IFERROR((R1026/C1026),"-")</f>
        <v>0</v>
      </c>
      <c r="O1026" s="575">
        <f>IFERROR(ROUNDUP(N1026/0.95,0.999),0)</f>
        <v>0</v>
      </c>
      <c r="P1026" s="576" t="str">
        <f>IFERROR((R1026/C1026/O1026),"-")</f>
        <v>-</v>
      </c>
      <c r="Q1026" s="37"/>
      <c r="R1026" s="285">
        <f>VLOOKUP(Preencher!$A$394,Preencher!$R$369:$AC$386,12,0)</f>
        <v>0</v>
      </c>
    </row>
    <row r="1027" spans="1:18">
      <c r="A1027" s="200" t="s">
        <v>1948</v>
      </c>
      <c r="B1027" s="284"/>
      <c r="C1027" s="575" t="str">
        <f>IF(B1027=0,"-",3600/B1027)</f>
        <v>-</v>
      </c>
      <c r="D1027" s="259" t="str">
        <f>IFERROR((H1027/C1027),"-")</f>
        <v>-</v>
      </c>
      <c r="E1027" s="575">
        <f>IFERROR(ROUNDUP(D1027/0.95,0.999),0)</f>
        <v>0</v>
      </c>
      <c r="F1027" s="576" t="str">
        <f>IFERROR((H1027/C1027/E1027),"-")</f>
        <v>-</v>
      </c>
      <c r="G1027" s="37"/>
      <c r="H1027" s="285"/>
      <c r="I1027" s="259" t="str">
        <f>IFERROR((M1027/C1027),"-")</f>
        <v>-</v>
      </c>
      <c r="J1027" s="575">
        <f>IFERROR(ROUNDUP(I1027/0.95,0.999),0)</f>
        <v>0</v>
      </c>
      <c r="K1027" s="576" t="str">
        <f>IFERROR((M1027/C1027/J1027),"-")</f>
        <v>-</v>
      </c>
      <c r="L1027" s="37"/>
      <c r="M1027" s="285"/>
      <c r="N1027" s="259" t="str">
        <f>IFERROR((R1027/C1027),"-")</f>
        <v>-</v>
      </c>
      <c r="O1027" s="575">
        <f>IFERROR(ROUNDUP(N1027/0.95,0.999),0)</f>
        <v>0</v>
      </c>
      <c r="P1027" s="576" t="str">
        <f>IFERROR((R1027/C1027/O1027),"-")</f>
        <v>-</v>
      </c>
      <c r="Q1027" s="37"/>
      <c r="R1027" s="285"/>
    </row>
    <row r="1028" spans="1:18">
      <c r="A1028" s="265" t="s">
        <v>267</v>
      </c>
      <c r="B1028" s="284">
        <v>0</v>
      </c>
      <c r="C1028" s="706" t="str">
        <f>IF(B1028=0,"-",3600/B1028)</f>
        <v>-</v>
      </c>
      <c r="D1028" s="259" t="str">
        <f>IFERROR((H1028/C1028),"-")</f>
        <v>-</v>
      </c>
      <c r="E1028" s="706">
        <f>IFERROR(ROUNDUP(D1028/0.95,0.999),0)</f>
        <v>0</v>
      </c>
      <c r="F1028" s="705" t="str">
        <f>IFERROR((H1028/C1028/E1028),"-")</f>
        <v>-</v>
      </c>
      <c r="G1028" s="37"/>
      <c r="H1028" s="285">
        <f>$H$1020+H1021</f>
        <v>309.21442421807961</v>
      </c>
      <c r="I1028" s="259" t="str">
        <f>IFERROR((M1028/C1028),"-")</f>
        <v>-</v>
      </c>
      <c r="J1028" s="706">
        <f>IFERROR(ROUNDUP(I1028/0.95,0.999),0)</f>
        <v>0</v>
      </c>
      <c r="K1028" s="705" t="str">
        <f>IFERROR((M1028/C1028/J1028),"-")</f>
        <v>-</v>
      </c>
      <c r="L1028" s="37"/>
      <c r="M1028" s="285">
        <f>$H$1020+M1021</f>
        <v>276.03702824590556</v>
      </c>
      <c r="N1028" s="259" t="str">
        <f>IFERROR((R1028/C1028),"-")</f>
        <v>-</v>
      </c>
      <c r="O1028" s="706">
        <f>IFERROR(ROUNDUP(N1028/0.95,0.999),0)</f>
        <v>0</v>
      </c>
      <c r="P1028" s="705" t="str">
        <f>IFERROR((R1028/C1028/O1028),"-")</f>
        <v>-</v>
      </c>
      <c r="Q1028" s="37"/>
      <c r="R1028" s="285">
        <f>$R$1020</f>
        <v>0</v>
      </c>
    </row>
    <row r="1029" spans="1:18">
      <c r="A1029" s="265" t="s">
        <v>58</v>
      </c>
      <c r="B1029" s="284">
        <v>0</v>
      </c>
      <c r="C1029" s="251" t="str">
        <f>IF(B1029=0,"-",3600/B1029)</f>
        <v>-</v>
      </c>
      <c r="D1029" s="259" t="str">
        <f>IFERROR((H1029/C1029),"-")</f>
        <v>-</v>
      </c>
      <c r="E1029" s="251">
        <f>IFERROR(ROUNDUP(D1029/0.95,0.999),0)</f>
        <v>0</v>
      </c>
      <c r="F1029" s="252" t="str">
        <f>IFERROR((H1029/C1029/E1029),"-")</f>
        <v>-</v>
      </c>
      <c r="G1029" s="37"/>
      <c r="H1029" s="285">
        <f>SUM(H1020:H1022)</f>
        <v>309.21442421807961</v>
      </c>
      <c r="I1029" s="259" t="str">
        <f>IFERROR((M1029/C1029),"-")</f>
        <v>-</v>
      </c>
      <c r="J1029" s="251">
        <f>IFERROR(ROUNDUP(I1029/0.95,0.999),0)</f>
        <v>0</v>
      </c>
      <c r="K1029" s="252" t="str">
        <f>IFERROR((M1029/C1029/J1029),"-")</f>
        <v>-</v>
      </c>
      <c r="L1029" s="37"/>
      <c r="M1029" s="285">
        <f>SUM(M1020:M1022)</f>
        <v>0</v>
      </c>
      <c r="N1029" s="259" t="str">
        <f>IFERROR((R1029/C1029),"-")</f>
        <v>-</v>
      </c>
      <c r="O1029" s="251">
        <f>IFERROR(ROUNDUP(N1029/0.95,0.999),0)</f>
        <v>0</v>
      </c>
      <c r="P1029" s="252" t="str">
        <f>IFERROR((R1029/C1029/O1029),"-")</f>
        <v>-</v>
      </c>
      <c r="Q1029" s="37"/>
      <c r="R1029" s="285">
        <f>SUM(R1020:R1022)</f>
        <v>0</v>
      </c>
    </row>
    <row r="1030" spans="1:18">
      <c r="A1030" s="265" t="s">
        <v>686</v>
      </c>
      <c r="B1030" s="284"/>
      <c r="C1030" s="575"/>
      <c r="D1030" s="259"/>
      <c r="E1030" s="575">
        <f>SUM(E1031:E1033)</f>
        <v>1</v>
      </c>
      <c r="F1030" s="576">
        <f>IFERROR(MEDIAN(F1031:F1035),0)</f>
        <v>0.95000000000000007</v>
      </c>
      <c r="G1030" s="37"/>
      <c r="H1030" s="285"/>
      <c r="I1030" s="259"/>
      <c r="J1030" s="721">
        <f>SUM(J1031:J1033)</f>
        <v>0</v>
      </c>
      <c r="K1030" s="704">
        <f>IFERROR(MEDIAN(K1031:K1035),0)</f>
        <v>0</v>
      </c>
      <c r="L1030" s="37"/>
      <c r="M1030" s="285"/>
      <c r="N1030" s="259"/>
      <c r="O1030" s="721">
        <f>SUM(O1031:O1033)</f>
        <v>0</v>
      </c>
      <c r="P1030" s="704">
        <f>IFERROR(MEDIAN(P1031:P1035),0)</f>
        <v>0</v>
      </c>
      <c r="Q1030" s="37"/>
      <c r="R1030" s="285"/>
    </row>
    <row r="1031" spans="1:18">
      <c r="A1031" s="200" t="s">
        <v>1949</v>
      </c>
      <c r="B1031" s="284">
        <f>IF(SUM(RESUMO!S10:S23)=0,0,3420)</f>
        <v>3420</v>
      </c>
      <c r="C1031" s="575">
        <f t="shared" ref="C1031:C1035" si="420">IF(B1031=0,"-",3600/B1031)</f>
        <v>1.0526315789473684</v>
      </c>
      <c r="D1031" s="259">
        <f t="shared" ref="D1031:D1035" si="421">IFERROR((H1031/C1031),"-")</f>
        <v>0</v>
      </c>
      <c r="E1031" s="575">
        <f t="shared" ref="E1031:E1035" si="422">IFERROR(ROUNDUP(D1031/0.95,0.999),0)</f>
        <v>0</v>
      </c>
      <c r="F1031" s="576" t="str">
        <f t="shared" ref="F1031:F1035" si="423">IFERROR((H1031/C1031/E1031),"-")</f>
        <v>-</v>
      </c>
      <c r="G1031" s="37"/>
      <c r="H1031" s="285">
        <f>Preencher!$B$363</f>
        <v>0</v>
      </c>
      <c r="I1031" s="259">
        <f t="shared" ref="I1031:I1036" si="424">IFERROR((M1031/C1031),"-")</f>
        <v>0</v>
      </c>
      <c r="J1031" s="575">
        <f t="shared" ref="J1031:J1036" si="425">IFERROR(ROUNDUP(I1031/0.95,0.999),0)</f>
        <v>0</v>
      </c>
      <c r="K1031" s="576" t="str">
        <f t="shared" ref="K1031:K1036" si="426">IFERROR((M1031/C1031/J1031),"-")</f>
        <v>-</v>
      </c>
      <c r="L1031" s="37"/>
      <c r="M1031" s="285">
        <f>Preencher!$C$363</f>
        <v>0</v>
      </c>
      <c r="N1031" s="259">
        <f>IFERROR((R1031/C1031),"-")</f>
        <v>0</v>
      </c>
      <c r="O1031" s="575">
        <f>IFERROR(ROUNDUP(N1031/0.95,0.999),0)</f>
        <v>0</v>
      </c>
      <c r="P1031" s="576" t="str">
        <f>IFERROR((R1031/C1031/O1031),"-")</f>
        <v>-</v>
      </c>
      <c r="Q1031" s="37"/>
      <c r="R1031" s="285">
        <f>Preencher!D363</f>
        <v>0</v>
      </c>
    </row>
    <row r="1032" spans="1:18">
      <c r="A1032" s="200" t="s">
        <v>1950</v>
      </c>
      <c r="B1032" s="284">
        <f>IF(SUM(RESUMO!S28:S47)=0,0,3420)</f>
        <v>3420</v>
      </c>
      <c r="C1032" s="575">
        <f t="shared" si="420"/>
        <v>1.0526315789473684</v>
      </c>
      <c r="D1032" s="259">
        <f t="shared" si="421"/>
        <v>0.95000000000000007</v>
      </c>
      <c r="E1032" s="575">
        <f t="shared" si="422"/>
        <v>1</v>
      </c>
      <c r="F1032" s="576">
        <f t="shared" si="423"/>
        <v>0.95000000000000007</v>
      </c>
      <c r="G1032" s="37"/>
      <c r="H1032" s="285">
        <f>Preencher!$B$364</f>
        <v>1</v>
      </c>
      <c r="I1032" s="259">
        <f t="shared" si="424"/>
        <v>0</v>
      </c>
      <c r="J1032" s="575">
        <f t="shared" si="425"/>
        <v>0</v>
      </c>
      <c r="K1032" s="576" t="str">
        <f t="shared" si="426"/>
        <v>-</v>
      </c>
      <c r="L1032" s="37"/>
      <c r="M1032" s="285">
        <f>Preencher!$C$364</f>
        <v>0</v>
      </c>
      <c r="N1032" s="259">
        <f>IFERROR((R1032/C1032),"-")</f>
        <v>0</v>
      </c>
      <c r="O1032" s="575">
        <f>IFERROR(ROUNDUP(N1032/0.95,0.999),0)</f>
        <v>0</v>
      </c>
      <c r="P1032" s="576" t="str">
        <f>IFERROR((R1032/C1032/O1032),"-")</f>
        <v>-</v>
      </c>
      <c r="Q1032" s="37"/>
      <c r="R1032" s="285">
        <f>Preencher!D364</f>
        <v>0</v>
      </c>
    </row>
    <row r="1033" spans="1:18">
      <c r="A1033" s="200" t="s">
        <v>1951</v>
      </c>
      <c r="B1033" s="284">
        <f>IF(SUM(RESUMO!S49:S57)=0,0,3420)</f>
        <v>0</v>
      </c>
      <c r="C1033" s="686" t="str">
        <f t="shared" si="420"/>
        <v>-</v>
      </c>
      <c r="D1033" s="259" t="str">
        <f t="shared" si="421"/>
        <v>-</v>
      </c>
      <c r="E1033" s="686">
        <f t="shared" si="422"/>
        <v>0</v>
      </c>
      <c r="F1033" s="687" t="str">
        <f t="shared" si="423"/>
        <v>-</v>
      </c>
      <c r="G1033" s="37"/>
      <c r="H1033" s="285">
        <f>Preencher!$B$365</f>
        <v>0</v>
      </c>
      <c r="I1033" s="259" t="str">
        <f t="shared" si="424"/>
        <v>-</v>
      </c>
      <c r="J1033" s="706">
        <f t="shared" si="425"/>
        <v>0</v>
      </c>
      <c r="K1033" s="705" t="str">
        <f t="shared" si="426"/>
        <v>-</v>
      </c>
      <c r="L1033" s="37"/>
      <c r="M1033" s="285">
        <f>Preencher!$C$365</f>
        <v>0</v>
      </c>
      <c r="N1033" s="259"/>
      <c r="O1033" s="575"/>
      <c r="P1033" s="576"/>
      <c r="Q1033" s="37"/>
      <c r="R1033" s="285">
        <f>Preencher!D365</f>
        <v>0</v>
      </c>
    </row>
    <row r="1034" spans="1:18">
      <c r="A1034" s="200" t="s">
        <v>2603</v>
      </c>
      <c r="B1034" s="284">
        <f>IF(SUM(RESUMO!S28:S47)=0,0,3420)</f>
        <v>3420</v>
      </c>
      <c r="C1034" s="703">
        <f t="shared" si="420"/>
        <v>1.0526315789473684</v>
      </c>
      <c r="D1034" s="259">
        <f t="shared" si="421"/>
        <v>0</v>
      </c>
      <c r="E1034" s="703">
        <f t="shared" si="422"/>
        <v>0</v>
      </c>
      <c r="F1034" s="704" t="str">
        <f t="shared" si="423"/>
        <v>-</v>
      </c>
      <c r="G1034" s="37"/>
      <c r="H1034" s="285">
        <f>Preencher!$B$366</f>
        <v>0</v>
      </c>
      <c r="I1034" s="259">
        <f t="shared" si="424"/>
        <v>0</v>
      </c>
      <c r="J1034" s="703">
        <f t="shared" si="425"/>
        <v>0</v>
      </c>
      <c r="K1034" s="704" t="str">
        <f t="shared" si="426"/>
        <v>-</v>
      </c>
      <c r="L1034" s="37"/>
      <c r="M1034" s="285">
        <f>Preencher!$C$366</f>
        <v>0</v>
      </c>
      <c r="N1034" s="259">
        <f>IFERROR((R1034/C1034),"-")</f>
        <v>0</v>
      </c>
      <c r="O1034" s="703">
        <f>IFERROR(ROUNDUP(N1034/0.95,0.999),0)</f>
        <v>0</v>
      </c>
      <c r="P1034" s="704" t="str">
        <f>IFERROR((R1034/C1034/O1034),"-")</f>
        <v>-</v>
      </c>
      <c r="Q1034" s="37"/>
      <c r="R1034" s="285">
        <f>Preencher!D366</f>
        <v>0</v>
      </c>
    </row>
    <row r="1035" spans="1:18">
      <c r="A1035" s="200" t="s">
        <v>2604</v>
      </c>
      <c r="B1035" s="284">
        <f>IF(SUM(RESUMO!S49:S57)=0,0,3420)</f>
        <v>0</v>
      </c>
      <c r="C1035" s="703" t="str">
        <f t="shared" si="420"/>
        <v>-</v>
      </c>
      <c r="D1035" s="259" t="str">
        <f t="shared" si="421"/>
        <v>-</v>
      </c>
      <c r="E1035" s="703">
        <f t="shared" si="422"/>
        <v>0</v>
      </c>
      <c r="F1035" s="704" t="str">
        <f t="shared" si="423"/>
        <v>-</v>
      </c>
      <c r="G1035" s="37"/>
      <c r="H1035" s="285">
        <f>Preencher!$B$367</f>
        <v>0</v>
      </c>
      <c r="I1035" s="259" t="str">
        <f t="shared" si="424"/>
        <v>-</v>
      </c>
      <c r="J1035" s="703">
        <f t="shared" si="425"/>
        <v>0</v>
      </c>
      <c r="K1035" s="704" t="str">
        <f t="shared" si="426"/>
        <v>-</v>
      </c>
      <c r="L1035" s="37"/>
      <c r="M1035" s="285">
        <f>Preencher!$C$367</f>
        <v>0</v>
      </c>
      <c r="N1035" s="259" t="str">
        <f>IFERROR((R1035/C1035),"-")</f>
        <v>-</v>
      </c>
      <c r="O1035" s="703">
        <f>IFERROR(ROUNDUP(N1035/0.95,0.999),0)</f>
        <v>0</v>
      </c>
      <c r="P1035" s="704" t="str">
        <f>IFERROR((R1035/C1035/O1035),"-")</f>
        <v>-</v>
      </c>
      <c r="Q1035" s="37"/>
      <c r="R1035" s="285">
        <f>Preencher!D367</f>
        <v>0</v>
      </c>
    </row>
    <row r="1036" spans="1:18">
      <c r="A1036" s="265" t="s">
        <v>141</v>
      </c>
      <c r="B1036" s="284">
        <v>0</v>
      </c>
      <c r="C1036" s="770" t="str">
        <f t="shared" ref="C1036" si="427">IF(B1036=0,"-",3600/B1036)</f>
        <v>-</v>
      </c>
      <c r="D1036" s="259" t="str">
        <f t="shared" ref="D1036" si="428">IFERROR((H1036/C1036),"-")</f>
        <v>-</v>
      </c>
      <c r="E1036" s="770">
        <f t="shared" ref="E1036" si="429">IFERROR(ROUNDUP(D1036/0.95,0.999),0)</f>
        <v>0</v>
      </c>
      <c r="F1036" s="772" t="str">
        <f t="shared" ref="F1036" si="430">IFERROR((H1036/C1036/E1036),"-")</f>
        <v>-</v>
      </c>
      <c r="G1036" s="37"/>
      <c r="H1036" s="285">
        <f>SUM(H996:H1014)</f>
        <v>585.25145246398517</v>
      </c>
      <c r="I1036" s="259" t="str">
        <f t="shared" si="424"/>
        <v>-</v>
      </c>
      <c r="J1036" s="251">
        <f t="shared" si="425"/>
        <v>0</v>
      </c>
      <c r="K1036" s="252" t="str">
        <f t="shared" si="426"/>
        <v>-</v>
      </c>
      <c r="L1036" s="37"/>
      <c r="M1036" s="285">
        <f>M357</f>
        <v>0</v>
      </c>
      <c r="N1036" s="259" t="str">
        <f>IFERROR((R1036/C1036),"-")</f>
        <v>-</v>
      </c>
      <c r="O1036" s="251">
        <f>IFERROR(ROUNDUP(N1036/0.95,0.999),0)</f>
        <v>0</v>
      </c>
      <c r="P1036" s="252" t="str">
        <f>IFERROR((R1036/C1036/O1036),"-")</f>
        <v>-</v>
      </c>
      <c r="Q1036" s="37"/>
      <c r="R1036" s="285">
        <f>R357</f>
        <v>0</v>
      </c>
    </row>
    <row r="1037" spans="1:18">
      <c r="A1037" s="268"/>
      <c r="B1037" s="288"/>
      <c r="C1037" s="13"/>
      <c r="D1037" s="13"/>
      <c r="E1037" s="13"/>
      <c r="F1037" s="13"/>
      <c r="G1037" s="13"/>
      <c r="H1037" s="113"/>
      <c r="I1037" s="13"/>
      <c r="J1037" s="13"/>
      <c r="K1037" s="13"/>
      <c r="L1037" s="13"/>
      <c r="M1037" s="113"/>
      <c r="N1037" s="13"/>
      <c r="O1037" s="13"/>
      <c r="P1037" s="13"/>
      <c r="Q1037" s="13"/>
      <c r="R1037" s="113"/>
    </row>
    <row r="1038" spans="1:18">
      <c r="A1038" s="269" t="s">
        <v>723</v>
      </c>
      <c r="B1038" s="289"/>
      <c r="C1038" s="36"/>
      <c r="D1038" s="36"/>
      <c r="E1038" s="36"/>
      <c r="F1038" s="36"/>
      <c r="G1038" s="36"/>
      <c r="H1038" s="290"/>
      <c r="I1038" s="36"/>
      <c r="J1038" s="36"/>
      <c r="K1038" s="36"/>
      <c r="L1038" s="36"/>
      <c r="M1038" s="290"/>
      <c r="N1038" s="36"/>
      <c r="O1038" s="36"/>
      <c r="P1038" s="36"/>
      <c r="Q1038" s="36"/>
      <c r="R1038" s="290"/>
    </row>
    <row r="1039" spans="1:18">
      <c r="A1039" s="37" t="s">
        <v>16</v>
      </c>
      <c r="B1039" s="284"/>
      <c r="C1039" s="912" t="s">
        <v>1075</v>
      </c>
      <c r="D1039" s="259"/>
      <c r="E1039" s="770">
        <f>IFERROR(ROUNDUP(SUM(Avaliação!J678:J687)*'BD Temp'!H1039,0.999),0)</f>
        <v>1</v>
      </c>
      <c r="F1039" s="772" t="str">
        <f t="shared" ref="F1039" si="431">IFERROR((H1039/C1039/E1039),"-")</f>
        <v>-</v>
      </c>
      <c r="G1039" s="37"/>
      <c r="H1039" s="285">
        <f>IF(Preencher!$A$15=Preencher!$R$28,0,IF(Preencher!$A$15=Preencher!$R$29,Preencher!$C$15,Preencher!$D$15))</f>
        <v>0.33</v>
      </c>
      <c r="I1039" s="259" t="str">
        <f t="shared" ref="I1039" si="432">IFERROR((M1039/C1039),"-")</f>
        <v>-</v>
      </c>
      <c r="J1039" s="770">
        <f>IFERROR(ROUNDUP(SUM(Avaliação!N678:N687)*'BD Temp'!M1039,0.999),0)</f>
        <v>0</v>
      </c>
      <c r="K1039" s="772" t="str">
        <f t="shared" ref="K1039" si="433">IFERROR((M1039/C1039/J1039),"-")</f>
        <v>-</v>
      </c>
      <c r="L1039" s="37"/>
      <c r="M1039" s="285">
        <f>IF(Preencher!$A$15=Preencher!$R$28,0,IF(Preencher!$A$15=Preencher!$R$29,Preencher!$C$15,Preencher!$D$15))</f>
        <v>0.33</v>
      </c>
      <c r="N1039" s="259" t="str">
        <f t="shared" ref="N1039" si="434">IFERROR((R1039/C1039),"-")</f>
        <v>-</v>
      </c>
      <c r="O1039" s="770">
        <f>IFERROR(ROUNDUP(SUM(Avaliação!R678:R687)*'BD Temp'!R1039,0.999),0)</f>
        <v>0</v>
      </c>
      <c r="P1039" s="772" t="str">
        <f t="shared" ref="P1039" si="435">IFERROR((R1039/C1039/O1039),"-")</f>
        <v>-</v>
      </c>
      <c r="Q1039" s="37"/>
      <c r="R1039" s="285">
        <f>IF(Preencher!$A$15=Preencher!$R$28,0,IF(Preencher!$A$15=Preencher!$R$29,Preencher!$C$15,Preencher!$D$15))</f>
        <v>0.33</v>
      </c>
    </row>
    <row r="1040" spans="1:18">
      <c r="A1040" s="268"/>
      <c r="B1040" s="288"/>
      <c r="C1040" s="13"/>
      <c r="D1040" s="13"/>
      <c r="E1040" s="13"/>
      <c r="F1040" s="13"/>
      <c r="G1040" s="13"/>
      <c r="H1040" s="113"/>
      <c r="I1040" s="13"/>
      <c r="J1040" s="13"/>
      <c r="K1040" s="13"/>
      <c r="L1040" s="13"/>
      <c r="M1040" s="113"/>
      <c r="N1040" s="13"/>
      <c r="O1040" s="13"/>
      <c r="P1040" s="13"/>
      <c r="Q1040" s="13"/>
      <c r="R1040" s="113"/>
    </row>
    <row r="1041" spans="1:18">
      <c r="A1041" s="268"/>
      <c r="B1041" s="288"/>
      <c r="C1041" s="13"/>
      <c r="D1041" s="13"/>
      <c r="E1041" s="13"/>
      <c r="F1041" s="13"/>
      <c r="G1041" s="13"/>
      <c r="H1041" s="113"/>
      <c r="I1041" s="13"/>
      <c r="J1041" s="13"/>
      <c r="K1041" s="13"/>
      <c r="L1041" s="13"/>
      <c r="M1041" s="113"/>
      <c r="N1041" s="13"/>
      <c r="O1041" s="13"/>
      <c r="P1041" s="13"/>
      <c r="Q1041" s="13"/>
      <c r="R1041" s="113"/>
    </row>
    <row r="1042" spans="1:18">
      <c r="A1042" s="268"/>
      <c r="B1042" s="288"/>
      <c r="C1042" s="13"/>
      <c r="D1042" s="13"/>
      <c r="E1042" s="13"/>
      <c r="F1042" s="13"/>
      <c r="G1042" s="13"/>
      <c r="H1042" s="113"/>
      <c r="I1042" s="13"/>
      <c r="J1042" s="13"/>
      <c r="K1042" s="13"/>
      <c r="L1042" s="13"/>
      <c r="M1042" s="113"/>
      <c r="N1042" s="13"/>
      <c r="O1042" s="13"/>
      <c r="P1042" s="13"/>
      <c r="Q1042" s="13"/>
      <c r="R1042" s="113"/>
    </row>
    <row r="1043" spans="1:18">
      <c r="A1043" s="268"/>
      <c r="B1043" s="288"/>
      <c r="C1043" s="13"/>
      <c r="D1043" s="13"/>
      <c r="E1043" s="13"/>
      <c r="F1043" s="13"/>
      <c r="G1043" s="13"/>
      <c r="H1043" s="113"/>
      <c r="I1043" s="13"/>
      <c r="J1043" s="13"/>
      <c r="K1043" s="13"/>
      <c r="L1043" s="13"/>
      <c r="M1043" s="113"/>
      <c r="N1043" s="13"/>
      <c r="O1043" s="13"/>
      <c r="P1043" s="13"/>
      <c r="Q1043" s="13"/>
      <c r="R1043" s="113"/>
    </row>
    <row r="1044" spans="1:18">
      <c r="A1044" s="268"/>
      <c r="B1044" s="288"/>
      <c r="C1044" s="13"/>
      <c r="D1044" s="13"/>
      <c r="E1044" s="13"/>
      <c r="F1044" s="13"/>
      <c r="G1044" s="13"/>
      <c r="H1044" s="113"/>
      <c r="I1044" s="13"/>
      <c r="J1044" s="13"/>
      <c r="K1044" s="13"/>
      <c r="L1044" s="13"/>
      <c r="M1044" s="113"/>
      <c r="N1044" s="13"/>
      <c r="O1044" s="13"/>
      <c r="P1044" s="13"/>
      <c r="Q1044" s="13"/>
      <c r="R1044" s="113"/>
    </row>
    <row r="1045" spans="1:18">
      <c r="A1045" s="263" t="s">
        <v>259</v>
      </c>
      <c r="B1045" s="280"/>
      <c r="C1045" s="35"/>
      <c r="D1045" s="35"/>
      <c r="E1045" s="35"/>
      <c r="F1045" s="35"/>
      <c r="G1045" s="35"/>
      <c r="H1045" s="281"/>
      <c r="I1045" s="35"/>
      <c r="J1045" s="35"/>
      <c r="K1045" s="35"/>
      <c r="L1045" s="35"/>
      <c r="M1045" s="281"/>
      <c r="N1045" s="35"/>
      <c r="O1045" s="35"/>
      <c r="P1045" s="35"/>
      <c r="Q1045" s="35"/>
      <c r="R1045" s="281"/>
    </row>
    <row r="1046" spans="1:18">
      <c r="A1046" s="265" t="s">
        <v>142</v>
      </c>
      <c r="B1046" s="284"/>
      <c r="C1046" s="251" t="str">
        <f>IF(B1046=0,"-",3600/B1046)</f>
        <v>-</v>
      </c>
      <c r="D1046" s="259" t="str">
        <f>IFERROR((H1046/C1046),"-")</f>
        <v>-</v>
      </c>
      <c r="E1046" s="251">
        <f>IFERROR(ROUNDUP(D1046/0.95,0.999),0)</f>
        <v>0</v>
      </c>
      <c r="F1046" s="252" t="str">
        <f>IFERROR((H1046/C1046/E1046),"-")</f>
        <v>-</v>
      </c>
      <c r="G1046" s="37"/>
      <c r="H1046" s="285"/>
      <c r="I1046" s="259" t="str">
        <f>IFERROR((M1046/C1046),"-")</f>
        <v>-</v>
      </c>
      <c r="J1046" s="251">
        <f>IFERROR(ROUNDUP(I1046/0.95,0.999),0)</f>
        <v>0</v>
      </c>
      <c r="K1046" s="252" t="str">
        <f>IFERROR((M1046/C1046/J1046),"-")</f>
        <v>-</v>
      </c>
      <c r="L1046" s="37"/>
      <c r="M1046" s="285"/>
      <c r="N1046" s="259" t="str">
        <f>IFERROR((R1046/C1046),"-")</f>
        <v>-</v>
      </c>
      <c r="O1046" s="251">
        <f>IFERROR(ROUNDUP(N1046/0.95,0.999),0)</f>
        <v>0</v>
      </c>
      <c r="P1046" s="252" t="str">
        <f>IFERROR((R1046/C1046/O1046),"-")</f>
        <v>-</v>
      </c>
      <c r="Q1046" s="37"/>
      <c r="R1046" s="285"/>
    </row>
    <row r="1047" spans="1:18">
      <c r="A1047" s="265" t="s">
        <v>143</v>
      </c>
      <c r="B1047" s="284"/>
      <c r="C1047" s="251" t="str">
        <f>IF(B1047=0,"-",3600/B1047)</f>
        <v>-</v>
      </c>
      <c r="D1047" s="259" t="str">
        <f>IFERROR((H1047/C1047),"-")</f>
        <v>-</v>
      </c>
      <c r="E1047" s="251">
        <f>IFERROR(ROUNDUP(D1047/0.95,0.999),0)</f>
        <v>0</v>
      </c>
      <c r="F1047" s="252" t="str">
        <f>IFERROR((H1047/C1047/E1047),"-")</f>
        <v>-</v>
      </c>
      <c r="G1047" s="37"/>
      <c r="H1047" s="285"/>
      <c r="I1047" s="259" t="str">
        <f>IFERROR((M1047/C1047),"-")</f>
        <v>-</v>
      </c>
      <c r="J1047" s="251">
        <f>IFERROR(ROUNDUP(I1047/0.95,0.999),0)</f>
        <v>0</v>
      </c>
      <c r="K1047" s="252" t="str">
        <f>IFERROR((M1047/C1047/J1047),"-")</f>
        <v>-</v>
      </c>
      <c r="L1047" s="37"/>
      <c r="M1047" s="285"/>
      <c r="N1047" s="259" t="str">
        <f>IFERROR((R1047/C1047),"-")</f>
        <v>-</v>
      </c>
      <c r="O1047" s="251">
        <f>IFERROR(ROUNDUP(N1047/0.95,0.999),0)</f>
        <v>0</v>
      </c>
      <c r="P1047" s="252" t="str">
        <f>IFERROR((R1047/C1047/O1047),"-")</f>
        <v>-</v>
      </c>
      <c r="Q1047" s="37"/>
      <c r="R1047" s="285"/>
    </row>
    <row r="1048" spans="1:18">
      <c r="A1048" s="265" t="s">
        <v>144</v>
      </c>
      <c r="B1048" s="284"/>
      <c r="C1048" s="251" t="str">
        <f>IF(B1048=0,"-",3600/B1048)</f>
        <v>-</v>
      </c>
      <c r="D1048" s="259" t="str">
        <f>IFERROR((H1048/C1048),"-")</f>
        <v>-</v>
      </c>
      <c r="E1048" s="251">
        <f>IFERROR(ROUNDUP(D1048/0.95,0.999),0)</f>
        <v>0</v>
      </c>
      <c r="F1048" s="252" t="str">
        <f>IFERROR((H1048/C1048/E1048),"-")</f>
        <v>-</v>
      </c>
      <c r="G1048" s="37"/>
      <c r="H1048" s="285"/>
      <c r="I1048" s="259" t="str">
        <f>IFERROR((M1048/C1048),"-")</f>
        <v>-</v>
      </c>
      <c r="J1048" s="251">
        <f>IFERROR(ROUNDUP(I1048/0.95,0.999),0)</f>
        <v>0</v>
      </c>
      <c r="K1048" s="252" t="str">
        <f>IFERROR((M1048/C1048/J1048),"-")</f>
        <v>-</v>
      </c>
      <c r="L1048" s="37"/>
      <c r="M1048" s="285"/>
      <c r="N1048" s="259" t="str">
        <f>IFERROR((R1048/C1048),"-")</f>
        <v>-</v>
      </c>
      <c r="O1048" s="251">
        <f>IFERROR(ROUNDUP(N1048/0.95,0.999),0)</f>
        <v>0</v>
      </c>
      <c r="P1048" s="252" t="str">
        <f>IFERROR((R1048/C1048/O1048),"-")</f>
        <v>-</v>
      </c>
      <c r="Q1048" s="37"/>
      <c r="R1048" s="285"/>
    </row>
    <row r="1049" spans="1:18">
      <c r="A1049" s="265"/>
      <c r="B1049" s="286"/>
      <c r="C1049" s="37"/>
      <c r="D1049" s="37"/>
      <c r="E1049" s="37"/>
      <c r="F1049" s="37"/>
      <c r="G1049" s="37"/>
      <c r="H1049" s="287"/>
      <c r="I1049" s="37"/>
      <c r="J1049" s="37"/>
      <c r="K1049" s="37"/>
      <c r="L1049" s="37"/>
      <c r="M1049" s="287"/>
      <c r="N1049" s="37"/>
      <c r="O1049" s="37"/>
      <c r="P1049" s="37"/>
      <c r="Q1049" s="37"/>
      <c r="R1049" s="287"/>
    </row>
    <row r="1050" spans="1:18">
      <c r="A1050" s="270" t="s">
        <v>723</v>
      </c>
      <c r="B1050" s="291"/>
      <c r="C1050" s="39"/>
      <c r="D1050" s="39"/>
      <c r="E1050" s="39"/>
      <c r="F1050" s="39"/>
      <c r="G1050" s="39"/>
      <c r="H1050" s="292"/>
      <c r="I1050" s="39"/>
      <c r="J1050" s="39"/>
      <c r="K1050" s="39"/>
      <c r="L1050" s="39"/>
      <c r="M1050" s="292"/>
      <c r="N1050" s="39"/>
      <c r="O1050" s="39"/>
      <c r="P1050" s="39"/>
      <c r="Q1050" s="39"/>
      <c r="R1050" s="292"/>
    </row>
    <row r="1051" spans="1:18">
      <c r="A1051" s="265"/>
      <c r="B1051" s="286"/>
      <c r="C1051" s="37"/>
      <c r="D1051" s="37"/>
      <c r="E1051" s="37"/>
      <c r="F1051" s="37"/>
      <c r="G1051" s="37"/>
      <c r="H1051" s="287"/>
      <c r="I1051" s="37"/>
      <c r="J1051" s="37"/>
      <c r="K1051" s="37"/>
      <c r="L1051" s="37"/>
      <c r="M1051" s="287"/>
      <c r="N1051" s="37"/>
      <c r="O1051" s="37"/>
      <c r="P1051" s="37"/>
      <c r="Q1051" s="37"/>
      <c r="R1051" s="287"/>
    </row>
    <row r="1052" spans="1:18">
      <c r="A1052" s="265"/>
      <c r="B1052" s="286"/>
      <c r="C1052" s="37"/>
      <c r="D1052" s="37"/>
      <c r="E1052" s="37"/>
      <c r="F1052" s="37"/>
      <c r="G1052" s="37"/>
      <c r="H1052" s="287"/>
      <c r="I1052" s="37"/>
      <c r="J1052" s="37"/>
      <c r="K1052" s="37"/>
      <c r="L1052" s="37"/>
      <c r="M1052" s="287"/>
      <c r="N1052" s="37"/>
      <c r="O1052" s="37"/>
      <c r="P1052" s="37"/>
      <c r="Q1052" s="37"/>
      <c r="R1052" s="287"/>
    </row>
    <row r="1053" spans="1:18">
      <c r="A1053" s="265"/>
      <c r="B1053" s="286"/>
      <c r="C1053" s="37"/>
      <c r="D1053" s="37"/>
      <c r="E1053" s="37"/>
      <c r="F1053" s="37"/>
      <c r="G1053" s="37"/>
      <c r="H1053" s="287"/>
      <c r="I1053" s="37"/>
      <c r="J1053" s="37"/>
      <c r="K1053" s="37"/>
      <c r="L1053" s="37"/>
      <c r="M1053" s="287"/>
      <c r="N1053" s="37"/>
      <c r="O1053" s="37"/>
      <c r="P1053" s="37"/>
      <c r="Q1053" s="37"/>
      <c r="R1053" s="287"/>
    </row>
    <row r="1054" spans="1:18">
      <c r="A1054" s="265"/>
      <c r="B1054" s="286"/>
      <c r="C1054" s="37"/>
      <c r="D1054" s="37"/>
      <c r="E1054" s="37"/>
      <c r="F1054" s="37"/>
      <c r="G1054" s="37"/>
      <c r="H1054" s="287"/>
      <c r="I1054" s="37"/>
      <c r="J1054" s="37"/>
      <c r="K1054" s="37"/>
      <c r="L1054" s="37"/>
      <c r="M1054" s="287"/>
      <c r="N1054" s="37"/>
      <c r="O1054" s="37"/>
      <c r="P1054" s="37"/>
      <c r="Q1054" s="37"/>
      <c r="R1054" s="287"/>
    </row>
    <row r="1055" spans="1:18">
      <c r="A1055" s="265"/>
      <c r="B1055" s="286"/>
      <c r="C1055" s="37"/>
      <c r="D1055" s="37"/>
      <c r="E1055" s="37"/>
      <c r="F1055" s="37"/>
      <c r="G1055" s="37"/>
      <c r="H1055" s="287"/>
      <c r="I1055" s="37"/>
      <c r="J1055" s="37"/>
      <c r="K1055" s="37"/>
      <c r="L1055" s="37"/>
      <c r="M1055" s="287"/>
      <c r="N1055" s="37"/>
      <c r="O1055" s="37"/>
      <c r="P1055" s="37"/>
      <c r="Q1055" s="37"/>
      <c r="R1055" s="287"/>
    </row>
    <row r="1056" spans="1:18">
      <c r="A1056" s="268"/>
      <c r="B1056" s="288"/>
      <c r="C1056" s="13"/>
      <c r="D1056" s="13"/>
      <c r="E1056" s="13"/>
      <c r="F1056" s="13"/>
      <c r="G1056" s="13"/>
      <c r="H1056" s="113"/>
      <c r="I1056" s="13"/>
      <c r="J1056" s="13"/>
      <c r="K1056" s="13"/>
      <c r="L1056" s="13"/>
      <c r="M1056" s="113"/>
      <c r="N1056" s="13"/>
      <c r="O1056" s="13"/>
      <c r="P1056" s="13"/>
      <c r="Q1056" s="13"/>
      <c r="R1056" s="113"/>
    </row>
    <row r="1057" spans="1:18">
      <c r="A1057" s="263" t="s">
        <v>260</v>
      </c>
      <c r="B1057" s="280"/>
      <c r="C1057" s="35"/>
      <c r="D1057" s="35"/>
      <c r="E1057" s="35"/>
      <c r="F1057" s="35"/>
      <c r="G1057" s="35"/>
      <c r="H1057" s="281"/>
      <c r="I1057" s="35"/>
      <c r="J1057" s="35"/>
      <c r="K1057" s="35"/>
      <c r="L1057" s="35"/>
      <c r="M1057" s="281"/>
      <c r="N1057" s="35"/>
      <c r="O1057" s="35"/>
      <c r="P1057" s="35"/>
      <c r="Q1057" s="35"/>
      <c r="R1057" s="281"/>
    </row>
    <row r="1058" spans="1:18">
      <c r="A1058" s="266" t="s">
        <v>688</v>
      </c>
      <c r="B1058" s="284"/>
      <c r="C1058" s="251"/>
      <c r="D1058" s="259"/>
      <c r="E1058" s="609">
        <f>SUM(E1059:E1060)</f>
        <v>0</v>
      </c>
      <c r="F1058" s="610">
        <f>IFERROR(MEDIAN(F1059:F1061),0)</f>
        <v>0</v>
      </c>
      <c r="G1058" s="37"/>
      <c r="H1058" s="285"/>
      <c r="I1058" s="259"/>
      <c r="J1058" s="609">
        <f>SUM(J1059:J1060)</f>
        <v>0</v>
      </c>
      <c r="K1058" s="610">
        <f>IFERROR(MEDIAN(K1059:K1061),0)</f>
        <v>0</v>
      </c>
      <c r="L1058" s="37"/>
      <c r="M1058" s="285"/>
      <c r="N1058" s="259"/>
      <c r="O1058" s="609">
        <f>SUM(O1059:O1060)</f>
        <v>0</v>
      </c>
      <c r="P1058" s="610">
        <f>IFERROR(MEDIAN(P1059:P1061),0)</f>
        <v>0</v>
      </c>
      <c r="Q1058" s="37"/>
      <c r="R1058" s="285"/>
    </row>
    <row r="1059" spans="1:18">
      <c r="A1059" s="200" t="s">
        <v>2185</v>
      </c>
      <c r="B1059" s="284">
        <v>1.3049999999999999</v>
      </c>
      <c r="C1059" s="609">
        <f>IF(B1059=0,"-",3600/B1059)</f>
        <v>2758.6206896551726</v>
      </c>
      <c r="D1059" s="259">
        <f>IFERROR((H1059/C1059),"-")</f>
        <v>0</v>
      </c>
      <c r="E1059" s="609">
        <f>IFERROR(ROUNDUP(D1059/0.95,0.999),0)</f>
        <v>0</v>
      </c>
      <c r="F1059" s="610" t="str">
        <f>IFERROR((H1059/C1059/E1059),"-")</f>
        <v>-</v>
      </c>
      <c r="G1059" s="37"/>
      <c r="H1059" s="285">
        <f>SUM(Preencher!$B$443:$B$456)</f>
        <v>0</v>
      </c>
      <c r="I1059" s="259">
        <f>IFERROR((M1059/C1059),"-")</f>
        <v>0</v>
      </c>
      <c r="J1059" s="609">
        <f>IFERROR(ROUNDUP(I1059/0.95,0.999),0)</f>
        <v>0</v>
      </c>
      <c r="K1059" s="610" t="str">
        <f>IFERROR((M1059/C1059/J1059),"-")</f>
        <v>-</v>
      </c>
      <c r="L1059" s="37"/>
      <c r="M1059" s="285">
        <f>SUM(Preencher!$C$443:$C$456)</f>
        <v>0</v>
      </c>
      <c r="N1059" s="259">
        <f>IFERROR((R1059/C1059),"-")</f>
        <v>0</v>
      </c>
      <c r="O1059" s="609">
        <f>IFERROR(ROUNDUP(N1059/0.95,0.999),0)</f>
        <v>0</v>
      </c>
      <c r="P1059" s="610" t="str">
        <f>IFERROR((R1059/C1059/O1059),"-")</f>
        <v>-</v>
      </c>
      <c r="Q1059" s="37"/>
      <c r="R1059" s="285">
        <f>SUM(Preencher!$D$443:$D$456)</f>
        <v>0</v>
      </c>
    </row>
    <row r="1060" spans="1:18">
      <c r="A1060" s="200" t="s">
        <v>2186</v>
      </c>
      <c r="B1060" s="284">
        <f>1.2</f>
        <v>1.2</v>
      </c>
      <c r="C1060" s="609">
        <f>IF(B1060=0,"-",3600/B1060)</f>
        <v>3000</v>
      </c>
      <c r="D1060" s="259">
        <f>IFERROR((H1060/C1060),"-")</f>
        <v>0</v>
      </c>
      <c r="E1060" s="609">
        <f>IFERROR(ROUNDUP(D1060/0.95,0.999),0)</f>
        <v>0</v>
      </c>
      <c r="F1060" s="610" t="str">
        <f>IFERROR((H1060/C1060/E1060),"-")</f>
        <v>-</v>
      </c>
      <c r="G1060" s="37"/>
      <c r="H1060" s="285">
        <f>SUM(Preencher!$B$458:$B$465)</f>
        <v>0</v>
      </c>
      <c r="I1060" s="259">
        <f>IFERROR((M1060/C1060),"-")</f>
        <v>0</v>
      </c>
      <c r="J1060" s="609">
        <f>IFERROR(ROUNDUP(I1060/0.95,0.999),0)</f>
        <v>0</v>
      </c>
      <c r="K1060" s="610" t="str">
        <f>IFERROR((M1060/C1060/J1060),"-")</f>
        <v>-</v>
      </c>
      <c r="L1060" s="37"/>
      <c r="M1060" s="285">
        <f>SUM(Preencher!$C$458:$C$465)</f>
        <v>0</v>
      </c>
      <c r="N1060" s="259">
        <f>IFERROR((R1060/C1060),"-")</f>
        <v>0</v>
      </c>
      <c r="O1060" s="609">
        <f>IFERROR(ROUNDUP(N1060/0.95,0.999),0)</f>
        <v>0</v>
      </c>
      <c r="P1060" s="610" t="str">
        <f>IFERROR((R1060/C1060/O1060),"-")</f>
        <v>-</v>
      </c>
      <c r="Q1060" s="37"/>
      <c r="R1060" s="285">
        <f>SUM(Preencher!$D$458:$D$465)</f>
        <v>0</v>
      </c>
    </row>
    <row r="1061" spans="1:18">
      <c r="A1061" s="266" t="s">
        <v>693</v>
      </c>
      <c r="B1061" s="284">
        <v>8.9</v>
      </c>
      <c r="C1061" s="251">
        <f>IF(B1061=0,"-",3600/B1061)</f>
        <v>404.49438202247188</v>
      </c>
      <c r="D1061" s="259">
        <f>IFERROR((H1061/C1061),"-")</f>
        <v>0</v>
      </c>
      <c r="E1061" s="251">
        <f>IFERROR(ROUNDUP(D1061/0.95,0.999),0)</f>
        <v>0</v>
      </c>
      <c r="F1061" s="252" t="str">
        <f>IFERROR((H1061/C1061/E1061),"-")</f>
        <v>-</v>
      </c>
      <c r="G1061" s="37"/>
      <c r="H1061" s="285">
        <f>SUM(Preencher!$B$458:$B$465)</f>
        <v>0</v>
      </c>
      <c r="I1061" s="259">
        <f>IFERROR((M1061/C1061),"-")</f>
        <v>0</v>
      </c>
      <c r="J1061" s="251">
        <f>IFERROR(ROUNDUP(I1061/0.95,0.999),0)</f>
        <v>0</v>
      </c>
      <c r="K1061" s="252" t="str">
        <f>IFERROR((M1061/C1061/J1061),"-")</f>
        <v>-</v>
      </c>
      <c r="L1061" s="37"/>
      <c r="M1061" s="285">
        <f>SUM(Preencher!$C$458:$C$465)</f>
        <v>0</v>
      </c>
      <c r="N1061" s="259">
        <f>IFERROR((R1061/C1061),"-")</f>
        <v>0</v>
      </c>
      <c r="O1061" s="251">
        <f>IFERROR(ROUNDUP(N1061/0.95,0.999),0)</f>
        <v>0</v>
      </c>
      <c r="P1061" s="252" t="str">
        <f>IFERROR((R1061/C1061/O1061),"-")</f>
        <v>-</v>
      </c>
      <c r="Q1061" s="37"/>
      <c r="R1061" s="285">
        <f>SUM(Preencher!$D$458:$D$465)</f>
        <v>0</v>
      </c>
    </row>
    <row r="1062" spans="1:18">
      <c r="A1062" s="265" t="s">
        <v>687</v>
      </c>
      <c r="B1062" s="284"/>
      <c r="C1062" s="251" t="str">
        <f>IF(B1062=0,"-",3600/B1062)</f>
        <v>-</v>
      </c>
      <c r="D1062" s="259" t="str">
        <f>IFERROR((H1062/C1062),"-")</f>
        <v>-</v>
      </c>
      <c r="E1062" s="251">
        <f>IFERROR(ROUNDUP(D1062/0.95,0.999),0)</f>
        <v>0</v>
      </c>
      <c r="F1062" s="252" t="str">
        <f>IFERROR((H1062/C1062/E1062),"-")</f>
        <v>-</v>
      </c>
      <c r="G1062" s="37"/>
      <c r="H1062" s="285"/>
      <c r="I1062" s="259" t="str">
        <f>IFERROR((M1062/C1062),"-")</f>
        <v>-</v>
      </c>
      <c r="J1062" s="251">
        <f>IFERROR(ROUNDUP(I1062/0.95,0.999),0)</f>
        <v>0</v>
      </c>
      <c r="K1062" s="252" t="str">
        <f>IFERROR((M1062/C1062/J1062),"-")</f>
        <v>-</v>
      </c>
      <c r="L1062" s="37"/>
      <c r="M1062" s="285"/>
      <c r="N1062" s="259" t="str">
        <f>IFERROR((R1062/C1062),"-")</f>
        <v>-</v>
      </c>
      <c r="O1062" s="251">
        <f>IFERROR(ROUNDUP(N1062/0.95,0.999),0)</f>
        <v>0</v>
      </c>
      <c r="P1062" s="252" t="str">
        <f>IFERROR((R1062/C1062/O1062),"-")</f>
        <v>-</v>
      </c>
      <c r="Q1062" s="37"/>
      <c r="R1062" s="285"/>
    </row>
    <row r="1063" spans="1:18">
      <c r="A1063" s="265" t="s">
        <v>856</v>
      </c>
      <c r="B1063" s="284">
        <f>3.9-0.2</f>
        <v>3.6999999999999997</v>
      </c>
      <c r="C1063" s="612">
        <f>IF(B1063=0,"-",3600/B1063)</f>
        <v>972.97297297297303</v>
      </c>
      <c r="D1063" s="259">
        <f>IFERROR((H1063/C1063),"-")</f>
        <v>0</v>
      </c>
      <c r="E1063" s="612">
        <f>IFERROR(ROUNDUP(D1063/0.95,0.999),0)</f>
        <v>0</v>
      </c>
      <c r="F1063" s="611" t="str">
        <f>IFERROR((H1063/C1063/E1063),"-")</f>
        <v>-</v>
      </c>
      <c r="G1063" s="37"/>
      <c r="H1063" s="285">
        <f>H1059</f>
        <v>0</v>
      </c>
      <c r="I1063" s="259">
        <f>IFERROR((M1063/C1063),"-")</f>
        <v>0</v>
      </c>
      <c r="J1063" s="612">
        <f>IFERROR(ROUNDUP(I1063/0.95,0.999),0)</f>
        <v>0</v>
      </c>
      <c r="K1063" s="611" t="str">
        <f>IFERROR((M1063/C1063/J1063),"-")</f>
        <v>-</v>
      </c>
      <c r="L1063" s="37"/>
      <c r="M1063" s="285">
        <f>M1059</f>
        <v>0</v>
      </c>
      <c r="N1063" s="259">
        <f>IFERROR((R1063/C1063),"-")</f>
        <v>0</v>
      </c>
      <c r="O1063" s="612">
        <f>IFERROR(ROUNDUP(N1063/0.95,0.999),0)</f>
        <v>0</v>
      </c>
      <c r="P1063" s="611" t="str">
        <f>IFERROR((R1063/C1063/O1063),"-")</f>
        <v>-</v>
      </c>
      <c r="Q1063" s="37"/>
      <c r="R1063" s="285">
        <f>R1059</f>
        <v>0</v>
      </c>
    </row>
    <row r="1064" spans="1:18">
      <c r="A1064" s="266" t="s">
        <v>689</v>
      </c>
      <c r="B1064" s="284"/>
      <c r="C1064" s="251"/>
      <c r="D1064" s="259"/>
      <c r="E1064" s="577">
        <f>E1065+E1079+E1087</f>
        <v>0</v>
      </c>
      <c r="F1064" s="578">
        <f>IFERROR(MEDIAN(F1066:F1091),0)</f>
        <v>0</v>
      </c>
      <c r="G1064" s="37"/>
      <c r="H1064" s="285"/>
      <c r="I1064" s="259"/>
      <c r="J1064" s="653">
        <f>J1065+J1079+J1087</f>
        <v>0</v>
      </c>
      <c r="K1064" s="652">
        <f>IFERROR(MEDIAN(K1066:K1091),0)</f>
        <v>0</v>
      </c>
      <c r="L1064" s="37"/>
      <c r="M1064" s="285"/>
      <c r="N1064" s="259"/>
      <c r="O1064" s="653">
        <f>O1065+O1079+O1087</f>
        <v>0</v>
      </c>
      <c r="P1064" s="652">
        <f>IFERROR(MEDIAN(P1066:P1091),0)</f>
        <v>0</v>
      </c>
      <c r="Q1064" s="37"/>
      <c r="R1064" s="285"/>
    </row>
    <row r="1065" spans="1:18">
      <c r="A1065" s="266" t="s">
        <v>1967</v>
      </c>
      <c r="B1065" s="284"/>
      <c r="C1065" s="577"/>
      <c r="D1065" s="259"/>
      <c r="E1065" s="577">
        <f>IFERROR(ROUNDUP(SUM(D1067:D1078)/0.95,0.999),0)</f>
        <v>0</v>
      </c>
      <c r="F1065" s="578">
        <f>IFERROR(MEDIAN(F1067:F1078),0)</f>
        <v>0</v>
      </c>
      <c r="G1065" s="37"/>
      <c r="H1065" s="285"/>
      <c r="I1065" s="259"/>
      <c r="J1065" s="577">
        <f>IFERROR(ROUNDUP(SUM(I1067:I1078)/0.95,0.999),0)</f>
        <v>0</v>
      </c>
      <c r="K1065" s="578">
        <f>IFERROR(MEDIAN(K1067:K1078),0)</f>
        <v>0</v>
      </c>
      <c r="L1065" s="37"/>
      <c r="M1065" s="285"/>
      <c r="N1065" s="259"/>
      <c r="O1065" s="577">
        <f>IFERROR(ROUNDUP(SUM(N1067:N1078)/0.95,0.999),0)</f>
        <v>0</v>
      </c>
      <c r="P1065" s="578">
        <f>IFERROR(MEDIAN(P1067:P1078),0)</f>
        <v>0</v>
      </c>
      <c r="Q1065" s="37"/>
      <c r="R1065" s="285"/>
    </row>
    <row r="1066" spans="1:18">
      <c r="A1066" s="200" t="s">
        <v>1523</v>
      </c>
      <c r="B1066" s="284">
        <v>43.699999999999996</v>
      </c>
      <c r="C1066" s="577">
        <f t="shared" ref="C1066:C1078" si="436">IF(B1066=0,"-",3600/B1066)</f>
        <v>82.379862700228841</v>
      </c>
      <c r="D1066" s="259">
        <f t="shared" ref="D1066:D1078" si="437">IFERROR((H1066/C1066),"-")</f>
        <v>0</v>
      </c>
      <c r="E1066" s="577">
        <f t="shared" ref="E1066:E1078" si="438">IFERROR(ROUNDUP(D1066/0.95,0.999),0)</f>
        <v>0</v>
      </c>
      <c r="F1066" s="578" t="str">
        <f t="shared" ref="F1066:F1078" si="439">IFERROR((H1066/C1066/E1066),"-")</f>
        <v>-</v>
      </c>
      <c r="G1066" s="37"/>
      <c r="H1066" s="285">
        <f>IF(Preencher!$B$435="Automática",0,Preencher!B443)</f>
        <v>0</v>
      </c>
      <c r="I1066" s="259">
        <f>IFERROR((M1066/C1066),"-")</f>
        <v>0</v>
      </c>
      <c r="J1066" s="577">
        <f>IFERROR(ROUNDUP(I1066/0.95,0.999),0)</f>
        <v>0</v>
      </c>
      <c r="K1066" s="578" t="str">
        <f>IFERROR((M1066/C1066/J1066),"-")</f>
        <v>-</v>
      </c>
      <c r="L1066" s="37"/>
      <c r="M1066" s="285">
        <f>IF(Preencher!$C$435="Automática",0,Preencher!C443)</f>
        <v>0</v>
      </c>
      <c r="N1066" s="259">
        <f t="shared" ref="N1066:N1073" si="440">IFERROR((R1066/C1066),"-")</f>
        <v>0</v>
      </c>
      <c r="O1066" s="577">
        <f t="shared" ref="O1066:O1073" si="441">IFERROR(ROUNDUP(N1066/0.95,0.999),0)</f>
        <v>0</v>
      </c>
      <c r="P1066" s="578" t="str">
        <f t="shared" ref="P1066:P1073" si="442">IFERROR((R1066/C1066/O1066),"-")</f>
        <v>-</v>
      </c>
      <c r="Q1066" s="37"/>
      <c r="R1066" s="285">
        <f>IF(Preencher!$D$435="Automática",0,Preencher!D443)</f>
        <v>0</v>
      </c>
    </row>
    <row r="1067" spans="1:18">
      <c r="A1067" s="200" t="s">
        <v>1805</v>
      </c>
      <c r="B1067" s="284">
        <v>29.639999999999997</v>
      </c>
      <c r="C1067" s="577">
        <f t="shared" si="436"/>
        <v>121.45748987854252</v>
      </c>
      <c r="D1067" s="259">
        <f t="shared" si="437"/>
        <v>0</v>
      </c>
      <c r="E1067" s="577">
        <f t="shared" si="438"/>
        <v>0</v>
      </c>
      <c r="F1067" s="578" t="str">
        <f t="shared" si="439"/>
        <v>-</v>
      </c>
      <c r="G1067" s="37"/>
      <c r="H1067" s="285">
        <f>IF(Preencher!$B$435="Automática",0,Preencher!B444)</f>
        <v>0</v>
      </c>
      <c r="I1067" s="259">
        <f t="shared" ref="I1067:I1078" si="443">IFERROR((M1067/C1067),"-")</f>
        <v>0</v>
      </c>
      <c r="J1067" s="577">
        <f t="shared" ref="J1067:J1078" si="444">IFERROR(ROUNDUP(I1067/0.95,0.999),0)</f>
        <v>0</v>
      </c>
      <c r="K1067" s="578" t="str">
        <f t="shared" ref="K1067:K1078" si="445">IFERROR((M1067/C1067/J1067),"-")</f>
        <v>-</v>
      </c>
      <c r="L1067" s="37"/>
      <c r="M1067" s="285">
        <f>IF(Preencher!$C$435="Automática",0,Preencher!C444)</f>
        <v>0</v>
      </c>
      <c r="N1067" s="259">
        <f t="shared" si="440"/>
        <v>0</v>
      </c>
      <c r="O1067" s="577">
        <f t="shared" si="441"/>
        <v>0</v>
      </c>
      <c r="P1067" s="578" t="str">
        <f t="shared" si="442"/>
        <v>-</v>
      </c>
      <c r="Q1067" s="37"/>
      <c r="R1067" s="285">
        <f>IF(Preencher!$D$435="Automática",0,Preencher!D444)</f>
        <v>0</v>
      </c>
    </row>
    <row r="1068" spans="1:18">
      <c r="A1068" s="200" t="s">
        <v>1809</v>
      </c>
      <c r="B1068" s="284">
        <v>29.639999999999997</v>
      </c>
      <c r="C1068" s="577">
        <f t="shared" si="436"/>
        <v>121.45748987854252</v>
      </c>
      <c r="D1068" s="259">
        <f t="shared" si="437"/>
        <v>0</v>
      </c>
      <c r="E1068" s="577">
        <f t="shared" si="438"/>
        <v>0</v>
      </c>
      <c r="F1068" s="578" t="str">
        <f t="shared" si="439"/>
        <v>-</v>
      </c>
      <c r="G1068" s="37"/>
      <c r="H1068" s="285">
        <f>IF(Preencher!$B$435="Automática",0,Preencher!B445)</f>
        <v>0</v>
      </c>
      <c r="I1068" s="259">
        <f t="shared" si="443"/>
        <v>0</v>
      </c>
      <c r="J1068" s="577">
        <f t="shared" si="444"/>
        <v>0</v>
      </c>
      <c r="K1068" s="578" t="str">
        <f t="shared" si="445"/>
        <v>-</v>
      </c>
      <c r="L1068" s="37"/>
      <c r="M1068" s="285">
        <f>IF(Preencher!$C$435="Automática",0,Preencher!C445)</f>
        <v>0</v>
      </c>
      <c r="N1068" s="259">
        <f t="shared" si="440"/>
        <v>0</v>
      </c>
      <c r="O1068" s="577">
        <f t="shared" si="441"/>
        <v>0</v>
      </c>
      <c r="P1068" s="578" t="str">
        <f t="shared" si="442"/>
        <v>-</v>
      </c>
      <c r="Q1068" s="37"/>
      <c r="R1068" s="285">
        <f>IF(Preencher!$D$435="Automática",0,Preencher!D445)</f>
        <v>0</v>
      </c>
    </row>
    <row r="1069" spans="1:18">
      <c r="A1069" s="200" t="s">
        <v>936</v>
      </c>
      <c r="B1069" s="284">
        <v>43.699999999999996</v>
      </c>
      <c r="C1069" s="577">
        <f t="shared" si="436"/>
        <v>82.379862700228841</v>
      </c>
      <c r="D1069" s="259">
        <f t="shared" si="437"/>
        <v>0</v>
      </c>
      <c r="E1069" s="577">
        <f t="shared" si="438"/>
        <v>0</v>
      </c>
      <c r="F1069" s="578" t="str">
        <f t="shared" si="439"/>
        <v>-</v>
      </c>
      <c r="G1069" s="37"/>
      <c r="H1069" s="285">
        <f>IF(Preencher!$B$435="Automática",0,Preencher!B446)</f>
        <v>0</v>
      </c>
      <c r="I1069" s="259">
        <f t="shared" si="443"/>
        <v>0</v>
      </c>
      <c r="J1069" s="577">
        <f t="shared" si="444"/>
        <v>0</v>
      </c>
      <c r="K1069" s="578" t="str">
        <f t="shared" si="445"/>
        <v>-</v>
      </c>
      <c r="L1069" s="37"/>
      <c r="M1069" s="285">
        <f>IF(Preencher!$C$435="Automática",0,Preencher!C446)</f>
        <v>0</v>
      </c>
      <c r="N1069" s="259">
        <f t="shared" si="440"/>
        <v>0</v>
      </c>
      <c r="O1069" s="577">
        <f t="shared" si="441"/>
        <v>0</v>
      </c>
      <c r="P1069" s="578" t="str">
        <f t="shared" si="442"/>
        <v>-</v>
      </c>
      <c r="Q1069" s="37"/>
      <c r="R1069" s="285">
        <f>IF(Preencher!$D$435="Automática",0,Preencher!D446)</f>
        <v>0</v>
      </c>
    </row>
    <row r="1070" spans="1:18">
      <c r="A1070" s="200" t="s">
        <v>933</v>
      </c>
      <c r="B1070" s="284">
        <v>29.639999999999997</v>
      </c>
      <c r="C1070" s="577">
        <f t="shared" si="436"/>
        <v>121.45748987854252</v>
      </c>
      <c r="D1070" s="259">
        <f t="shared" si="437"/>
        <v>0</v>
      </c>
      <c r="E1070" s="577">
        <f t="shared" si="438"/>
        <v>0</v>
      </c>
      <c r="F1070" s="578" t="str">
        <f t="shared" si="439"/>
        <v>-</v>
      </c>
      <c r="G1070" s="37"/>
      <c r="H1070" s="285">
        <f>IF(Preencher!$B$435="Automática",0,Preencher!B447)</f>
        <v>0</v>
      </c>
      <c r="I1070" s="259">
        <f t="shared" si="443"/>
        <v>0</v>
      </c>
      <c r="J1070" s="577">
        <f t="shared" si="444"/>
        <v>0</v>
      </c>
      <c r="K1070" s="578" t="str">
        <f t="shared" si="445"/>
        <v>-</v>
      </c>
      <c r="L1070" s="37"/>
      <c r="M1070" s="285">
        <f>IF(Preencher!$C$435="Automática",0,Preencher!C447)</f>
        <v>0</v>
      </c>
      <c r="N1070" s="259">
        <f t="shared" si="440"/>
        <v>0</v>
      </c>
      <c r="O1070" s="577">
        <f t="shared" si="441"/>
        <v>0</v>
      </c>
      <c r="P1070" s="578" t="str">
        <f t="shared" si="442"/>
        <v>-</v>
      </c>
      <c r="Q1070" s="37"/>
      <c r="R1070" s="285">
        <f>IF(Preencher!$D$435="Automática",0,Preencher!D447)</f>
        <v>0</v>
      </c>
    </row>
    <row r="1071" spans="1:18">
      <c r="A1071" s="200" t="s">
        <v>2399</v>
      </c>
      <c r="B1071" s="284">
        <v>43.699999999999996</v>
      </c>
      <c r="C1071" s="649">
        <f t="shared" si="436"/>
        <v>82.379862700228841</v>
      </c>
      <c r="D1071" s="259">
        <f t="shared" si="437"/>
        <v>0</v>
      </c>
      <c r="E1071" s="649">
        <f t="shared" si="438"/>
        <v>0</v>
      </c>
      <c r="F1071" s="650" t="str">
        <f t="shared" si="439"/>
        <v>-</v>
      </c>
      <c r="G1071" s="37"/>
      <c r="H1071" s="285">
        <f>IF(Preencher!$B$435="Automática",0,Preencher!B448)</f>
        <v>0</v>
      </c>
      <c r="I1071" s="259">
        <f>IFERROR((M1071/C1071),"-")</f>
        <v>0</v>
      </c>
      <c r="J1071" s="649">
        <f>IFERROR(ROUNDUP(I1071/0.95,0.999),0)</f>
        <v>0</v>
      </c>
      <c r="K1071" s="650" t="str">
        <f>IFERROR((M1071/C1071/J1071),"-")</f>
        <v>-</v>
      </c>
      <c r="L1071" s="37"/>
      <c r="M1071" s="285">
        <f>IF(Preencher!$C$435="Automática",0,Preencher!C448)</f>
        <v>0</v>
      </c>
      <c r="N1071" s="259">
        <f>IFERROR((R1071/C1071),"-")</f>
        <v>0</v>
      </c>
      <c r="O1071" s="649">
        <f>IFERROR(ROUNDUP(N1071/0.95,0.999),0)</f>
        <v>0</v>
      </c>
      <c r="P1071" s="650" t="str">
        <f>IFERROR((R1071/C1071/O1071),"-")</f>
        <v>-</v>
      </c>
      <c r="Q1071" s="37"/>
      <c r="R1071" s="285">
        <f>IF(Preencher!$D$435="Automática",0,Preencher!D448)</f>
        <v>0</v>
      </c>
    </row>
    <row r="1072" spans="1:18">
      <c r="A1072" s="200" t="s">
        <v>1081</v>
      </c>
      <c r="B1072" s="284">
        <v>43.699999999999996</v>
      </c>
      <c r="C1072" s="577">
        <f t="shared" si="436"/>
        <v>82.379862700228841</v>
      </c>
      <c r="D1072" s="259">
        <f t="shared" si="437"/>
        <v>0</v>
      </c>
      <c r="E1072" s="577">
        <f t="shared" si="438"/>
        <v>0</v>
      </c>
      <c r="F1072" s="578" t="str">
        <f t="shared" si="439"/>
        <v>-</v>
      </c>
      <c r="G1072" s="37"/>
      <c r="H1072" s="285">
        <f>IF(Preencher!$B$435="Automática",0,Preencher!B449)</f>
        <v>0</v>
      </c>
      <c r="I1072" s="259">
        <f t="shared" si="443"/>
        <v>0</v>
      </c>
      <c r="J1072" s="577">
        <f t="shared" si="444"/>
        <v>0</v>
      </c>
      <c r="K1072" s="578" t="str">
        <f t="shared" si="445"/>
        <v>-</v>
      </c>
      <c r="L1072" s="37"/>
      <c r="M1072" s="285">
        <f>IF(Preencher!$C$435="Automática",0,Preencher!C449)</f>
        <v>0</v>
      </c>
      <c r="N1072" s="259">
        <f t="shared" si="440"/>
        <v>0</v>
      </c>
      <c r="O1072" s="577">
        <f t="shared" si="441"/>
        <v>0</v>
      </c>
      <c r="P1072" s="578" t="str">
        <f t="shared" si="442"/>
        <v>-</v>
      </c>
      <c r="Q1072" s="37"/>
      <c r="R1072" s="285">
        <f>IF(Preencher!$D$435="Automática",0,Preencher!D449)</f>
        <v>0</v>
      </c>
    </row>
    <row r="1073" spans="1:18">
      <c r="A1073" s="200" t="s">
        <v>1655</v>
      </c>
      <c r="B1073" s="284">
        <v>29.639999999999997</v>
      </c>
      <c r="C1073" s="577">
        <f t="shared" si="436"/>
        <v>121.45748987854252</v>
      </c>
      <c r="D1073" s="259">
        <f t="shared" si="437"/>
        <v>0</v>
      </c>
      <c r="E1073" s="577">
        <f t="shared" si="438"/>
        <v>0</v>
      </c>
      <c r="F1073" s="578" t="str">
        <f t="shared" si="439"/>
        <v>-</v>
      </c>
      <c r="G1073" s="37"/>
      <c r="H1073" s="285">
        <f>IF(Preencher!$B$435="Automática",0,Preencher!B450)</f>
        <v>0</v>
      </c>
      <c r="I1073" s="259">
        <f t="shared" si="443"/>
        <v>0</v>
      </c>
      <c r="J1073" s="577">
        <f t="shared" si="444"/>
        <v>0</v>
      </c>
      <c r="K1073" s="578" t="str">
        <f t="shared" si="445"/>
        <v>-</v>
      </c>
      <c r="L1073" s="37"/>
      <c r="M1073" s="285">
        <f>IF(Preencher!$C$435="Automática",0,Preencher!C450)</f>
        <v>0</v>
      </c>
      <c r="N1073" s="259">
        <f t="shared" si="440"/>
        <v>0</v>
      </c>
      <c r="O1073" s="577">
        <f t="shared" si="441"/>
        <v>0</v>
      </c>
      <c r="P1073" s="578" t="str">
        <f t="shared" si="442"/>
        <v>-</v>
      </c>
      <c r="Q1073" s="37"/>
      <c r="R1073" s="285">
        <f>IF(Preencher!$D$435="Automática",0,Preencher!D450)</f>
        <v>0</v>
      </c>
    </row>
    <row r="1074" spans="1:18">
      <c r="A1074" s="200" t="s">
        <v>1643</v>
      </c>
      <c r="B1074" s="284">
        <v>29.639999999999997</v>
      </c>
      <c r="C1074" s="577">
        <f t="shared" si="436"/>
        <v>121.45748987854252</v>
      </c>
      <c r="D1074" s="259">
        <f t="shared" si="437"/>
        <v>0</v>
      </c>
      <c r="E1074" s="577">
        <f t="shared" si="438"/>
        <v>0</v>
      </c>
      <c r="F1074" s="578" t="str">
        <f t="shared" si="439"/>
        <v>-</v>
      </c>
      <c r="G1074" s="37"/>
      <c r="H1074" s="285">
        <f>IF(Preencher!$B$435="Automática",0,Preencher!B452)</f>
        <v>0</v>
      </c>
      <c r="I1074" s="259">
        <f t="shared" si="443"/>
        <v>0</v>
      </c>
      <c r="J1074" s="577">
        <f t="shared" si="444"/>
        <v>0</v>
      </c>
      <c r="K1074" s="578" t="str">
        <f t="shared" si="445"/>
        <v>-</v>
      </c>
      <c r="L1074" s="37"/>
      <c r="M1074" s="285">
        <f>IF(Preencher!$C$435="Automática",0,Preencher!C452)</f>
        <v>0</v>
      </c>
      <c r="N1074" s="259">
        <f>IFERROR((R1074/C1074),"-")</f>
        <v>0</v>
      </c>
      <c r="O1074" s="577">
        <f>IFERROR(ROUNDUP(N1074/0.95,0.999),0)</f>
        <v>0</v>
      </c>
      <c r="P1074" s="578" t="str">
        <f>IFERROR((R1074/C1074/O1074),"-")</f>
        <v>-</v>
      </c>
      <c r="Q1074" s="37"/>
      <c r="R1074" s="285">
        <f>IF(Preencher!$D$435="Automática",0,Preencher!D452)</f>
        <v>0</v>
      </c>
    </row>
    <row r="1075" spans="1:18">
      <c r="A1075" s="200" t="s">
        <v>2400</v>
      </c>
      <c r="B1075" s="284">
        <v>29.639999999999997</v>
      </c>
      <c r="C1075" s="649">
        <f t="shared" si="436"/>
        <v>121.45748987854252</v>
      </c>
      <c r="D1075" s="259">
        <f t="shared" si="437"/>
        <v>0</v>
      </c>
      <c r="E1075" s="649">
        <f t="shared" si="438"/>
        <v>0</v>
      </c>
      <c r="F1075" s="650" t="str">
        <f t="shared" si="439"/>
        <v>-</v>
      </c>
      <c r="G1075" s="37"/>
      <c r="H1075" s="285">
        <f>IF(Preencher!$B$435="Automática",0,Preencher!B454)</f>
        <v>0</v>
      </c>
      <c r="I1075" s="259">
        <f>IFERROR((M1075/C1075),"-")</f>
        <v>0</v>
      </c>
      <c r="J1075" s="649">
        <f>IFERROR(ROUNDUP(I1075/0.95,0.999),0)</f>
        <v>0</v>
      </c>
      <c r="K1075" s="650" t="str">
        <f>IFERROR((M1075/C1075/J1075),"-")</f>
        <v>-</v>
      </c>
      <c r="L1075" s="37"/>
      <c r="M1075" s="285">
        <f>IF(Preencher!$C$435="Automática",0,Preencher!C454)</f>
        <v>0</v>
      </c>
      <c r="N1075" s="259">
        <f>IFERROR((R1075/C1075),"-")</f>
        <v>0</v>
      </c>
      <c r="O1075" s="649">
        <f>IFERROR(ROUNDUP(N1075/0.95,0.999),0)</f>
        <v>0</v>
      </c>
      <c r="P1075" s="650" t="str">
        <f>IFERROR((R1075/C1075/O1075),"-")</f>
        <v>-</v>
      </c>
      <c r="Q1075" s="37"/>
      <c r="R1075" s="285">
        <f>IF(Preencher!$D$435="Automática",0,Preencher!D454)</f>
        <v>0</v>
      </c>
    </row>
    <row r="1076" spans="1:18">
      <c r="A1076" s="200" t="s">
        <v>1009</v>
      </c>
      <c r="B1076" s="284">
        <v>29.639999999999997</v>
      </c>
      <c r="C1076" s="577">
        <f t="shared" si="436"/>
        <v>121.45748987854252</v>
      </c>
      <c r="D1076" s="259">
        <f t="shared" si="437"/>
        <v>0</v>
      </c>
      <c r="E1076" s="577">
        <f t="shared" si="438"/>
        <v>0</v>
      </c>
      <c r="F1076" s="578" t="str">
        <f t="shared" si="439"/>
        <v>-</v>
      </c>
      <c r="G1076" s="37"/>
      <c r="H1076" s="285">
        <f>IF(Preencher!$B$435="Automática",0,Preencher!B454)</f>
        <v>0</v>
      </c>
      <c r="I1076" s="259">
        <f t="shared" si="443"/>
        <v>0</v>
      </c>
      <c r="J1076" s="577">
        <f t="shared" si="444"/>
        <v>0</v>
      </c>
      <c r="K1076" s="578" t="str">
        <f t="shared" si="445"/>
        <v>-</v>
      </c>
      <c r="L1076" s="37"/>
      <c r="M1076" s="285">
        <f>IF(Preencher!$C$435="Automática",0,Preencher!C454)</f>
        <v>0</v>
      </c>
      <c r="N1076" s="259">
        <f>IFERROR((R1076/C1076),"-")</f>
        <v>0</v>
      </c>
      <c r="O1076" s="577">
        <f>IFERROR(ROUNDUP(N1076/0.95,0.999),0)</f>
        <v>0</v>
      </c>
      <c r="P1076" s="578" t="str">
        <f>IFERROR((R1076/C1076/O1076),"-")</f>
        <v>-</v>
      </c>
      <c r="Q1076" s="37"/>
      <c r="R1076" s="285">
        <f>IF(Preencher!$D$435="Automática",0,Preencher!D454)</f>
        <v>0</v>
      </c>
    </row>
    <row r="1077" spans="1:18">
      <c r="A1077" s="200" t="s">
        <v>1016</v>
      </c>
      <c r="B1077" s="284">
        <v>29.639999999999997</v>
      </c>
      <c r="C1077" s="577">
        <f t="shared" si="436"/>
        <v>121.45748987854252</v>
      </c>
      <c r="D1077" s="259">
        <f t="shared" si="437"/>
        <v>0</v>
      </c>
      <c r="E1077" s="577">
        <f t="shared" si="438"/>
        <v>0</v>
      </c>
      <c r="F1077" s="578" t="str">
        <f t="shared" si="439"/>
        <v>-</v>
      </c>
      <c r="G1077" s="37"/>
      <c r="H1077" s="285">
        <f>IF(Preencher!$B$435="Automática",0,Preencher!B455)</f>
        <v>0</v>
      </c>
      <c r="I1077" s="259">
        <f t="shared" si="443"/>
        <v>0</v>
      </c>
      <c r="J1077" s="577">
        <f t="shared" si="444"/>
        <v>0</v>
      </c>
      <c r="K1077" s="578" t="str">
        <f t="shared" si="445"/>
        <v>-</v>
      </c>
      <c r="L1077" s="37"/>
      <c r="M1077" s="285">
        <f>IF(Preencher!$C$435="Automática",0,Preencher!C455)</f>
        <v>0</v>
      </c>
      <c r="N1077" s="259">
        <f>IFERROR((R1077/C1077),"-")</f>
        <v>0</v>
      </c>
      <c r="O1077" s="577">
        <f>IFERROR(ROUNDUP(N1077/0.95,0.999),0)</f>
        <v>0</v>
      </c>
      <c r="P1077" s="578" t="str">
        <f>IFERROR((R1077/C1077/O1077),"-")</f>
        <v>-</v>
      </c>
      <c r="Q1077" s="37"/>
      <c r="R1077" s="285">
        <f>IF(Preencher!$D$435="Automática",0,Preencher!D455)</f>
        <v>0</v>
      </c>
    </row>
    <row r="1078" spans="1:18">
      <c r="A1078" s="200" t="s">
        <v>1440</v>
      </c>
      <c r="B1078" s="284">
        <v>29.639999999999997</v>
      </c>
      <c r="C1078" s="577">
        <f t="shared" si="436"/>
        <v>121.45748987854252</v>
      </c>
      <c r="D1078" s="259">
        <f t="shared" si="437"/>
        <v>0</v>
      </c>
      <c r="E1078" s="577">
        <f t="shared" si="438"/>
        <v>0</v>
      </c>
      <c r="F1078" s="578" t="str">
        <f t="shared" si="439"/>
        <v>-</v>
      </c>
      <c r="G1078" s="37"/>
      <c r="H1078" s="285">
        <f>IF(Preencher!$B$435="Automática",0,Preencher!B456)</f>
        <v>0</v>
      </c>
      <c r="I1078" s="259">
        <f t="shared" si="443"/>
        <v>0</v>
      </c>
      <c r="J1078" s="577">
        <f t="shared" si="444"/>
        <v>0</v>
      </c>
      <c r="K1078" s="578" t="str">
        <f t="shared" si="445"/>
        <v>-</v>
      </c>
      <c r="L1078" s="37"/>
      <c r="M1078" s="285">
        <f>IF(Preencher!$C$435="Automática",0,Preencher!C456)</f>
        <v>0</v>
      </c>
      <c r="N1078" s="259">
        <f>IFERROR((R1078/C1078),"-")</f>
        <v>0</v>
      </c>
      <c r="O1078" s="577">
        <f>IFERROR(ROUNDUP(N1078/0.95,0.999),0)</f>
        <v>0</v>
      </c>
      <c r="P1078" s="578" t="str">
        <f>IFERROR((R1078/C1078/O1078),"-")</f>
        <v>-</v>
      </c>
      <c r="Q1078" s="37"/>
      <c r="R1078" s="285">
        <f>IF(Preencher!$D$435="Automática",0,Preencher!D456)</f>
        <v>0</v>
      </c>
    </row>
    <row r="1079" spans="1:18">
      <c r="A1079" s="266" t="s">
        <v>1968</v>
      </c>
      <c r="B1079" s="284"/>
      <c r="C1079" s="577"/>
      <c r="D1079" s="259"/>
      <c r="E1079" s="577">
        <f>IFERROR(ROUNDUP(SUM(D1080:D1086)/0.95,0.999),0)</f>
        <v>0</v>
      </c>
      <c r="F1079" s="578">
        <f>IFERROR(MEDIAN(F1080:F1086),0)</f>
        <v>0</v>
      </c>
      <c r="G1079" s="37"/>
      <c r="H1079" s="285"/>
      <c r="I1079" s="259"/>
      <c r="J1079" s="577">
        <f>IFERROR(ROUNDUP(SUM(I1080:I1086)/0.95,0.999),0)</f>
        <v>0</v>
      </c>
      <c r="K1079" s="578">
        <f>IFERROR(MEDIAN(K1080:K1086),0)</f>
        <v>0</v>
      </c>
      <c r="L1079" s="37"/>
      <c r="M1079" s="285"/>
      <c r="N1079" s="259"/>
      <c r="O1079" s="577">
        <f>IFERROR(ROUNDUP(SUM(N1080:N1086)/0.95,0.999),0)</f>
        <v>0</v>
      </c>
      <c r="P1079" s="578">
        <f>IFERROR(MEDIAN(P1080:P1086),0)</f>
        <v>0</v>
      </c>
      <c r="Q1079" s="37"/>
      <c r="R1079" s="285"/>
    </row>
    <row r="1080" spans="1:18">
      <c r="A1080" s="200" t="s">
        <v>1529</v>
      </c>
      <c r="B1080" s="284">
        <v>29.639999999999997</v>
      </c>
      <c r="C1080" s="577">
        <f t="shared" ref="C1080:C1092" si="446">IF(B1080=0,"-",3600/B1080)</f>
        <v>121.45748987854252</v>
      </c>
      <c r="D1080" s="259">
        <f t="shared" ref="D1080:D1086" si="447">IFERROR((H1080/C1080),"-")</f>
        <v>0</v>
      </c>
      <c r="E1080" s="577">
        <f t="shared" ref="E1080:E1086" si="448">IFERROR(ROUNDUP(D1080/0.95,0.999),0)</f>
        <v>0</v>
      </c>
      <c r="F1080" s="578" t="str">
        <f t="shared" ref="F1080:F1086" si="449">IFERROR((H1080/C1080/E1080),"-")</f>
        <v>-</v>
      </c>
      <c r="G1080" s="37"/>
      <c r="H1080" s="285">
        <f>IF(Preencher!$B$436="Automática",0,Preencher!B458)</f>
        <v>0</v>
      </c>
      <c r="I1080" s="259">
        <f t="shared" ref="I1080:I1092" si="450">IFERROR((M1080/C1080),"-")</f>
        <v>0</v>
      </c>
      <c r="J1080" s="577">
        <f t="shared" ref="J1080:J1086" si="451">IFERROR(ROUNDUP(I1080/0.95,0.999),0)</f>
        <v>0</v>
      </c>
      <c r="K1080" s="578" t="str">
        <f t="shared" ref="K1080:K1086" si="452">IFERROR((M1080/C1080/J1080),"-")</f>
        <v>-</v>
      </c>
      <c r="L1080" s="37"/>
      <c r="M1080" s="285">
        <f>IF(Preencher!$C$436="Automática",0,Preencher!C458)</f>
        <v>0</v>
      </c>
      <c r="N1080" s="259">
        <f t="shared" ref="N1080:N1092" si="453">IFERROR((R1080/C1080),"-")</f>
        <v>0</v>
      </c>
      <c r="O1080" s="577">
        <f t="shared" ref="O1080:O1086" si="454">IFERROR(ROUNDUP(N1080/0.95,0.999),0)</f>
        <v>0</v>
      </c>
      <c r="P1080" s="578" t="str">
        <f t="shared" ref="P1080:P1086" si="455">IFERROR((R1080/C1080/O1080),"-")</f>
        <v>-</v>
      </c>
      <c r="Q1080" s="37"/>
      <c r="R1080" s="285">
        <f>IF(Preencher!$D$436="Automática",0,Preencher!D458)</f>
        <v>0</v>
      </c>
    </row>
    <row r="1081" spans="1:18">
      <c r="A1081" s="200" t="s">
        <v>1522</v>
      </c>
      <c r="B1081" s="284">
        <v>29.639999999999997</v>
      </c>
      <c r="C1081" s="577">
        <f t="shared" si="446"/>
        <v>121.45748987854252</v>
      </c>
      <c r="D1081" s="259">
        <f t="shared" si="447"/>
        <v>0</v>
      </c>
      <c r="E1081" s="577">
        <f t="shared" si="448"/>
        <v>0</v>
      </c>
      <c r="F1081" s="578" t="str">
        <f t="shared" si="449"/>
        <v>-</v>
      </c>
      <c r="G1081" s="37"/>
      <c r="H1081" s="285">
        <f>IF(Preencher!$B$436="Automática",0,Preencher!B459)</f>
        <v>0</v>
      </c>
      <c r="I1081" s="259">
        <f t="shared" si="450"/>
        <v>0</v>
      </c>
      <c r="J1081" s="577">
        <f t="shared" si="451"/>
        <v>0</v>
      </c>
      <c r="K1081" s="578" t="str">
        <f t="shared" si="452"/>
        <v>-</v>
      </c>
      <c r="L1081" s="37"/>
      <c r="M1081" s="285">
        <f>IF(Preencher!$C$436="Automática",0,Preencher!C459)</f>
        <v>0</v>
      </c>
      <c r="N1081" s="259">
        <f t="shared" si="453"/>
        <v>0</v>
      </c>
      <c r="O1081" s="577">
        <f t="shared" si="454"/>
        <v>0</v>
      </c>
      <c r="P1081" s="578" t="str">
        <f t="shared" si="455"/>
        <v>-</v>
      </c>
      <c r="Q1081" s="37"/>
      <c r="R1081" s="285">
        <f>IF(Preencher!$D$436="Automática",0,Preencher!D459)</f>
        <v>0</v>
      </c>
    </row>
    <row r="1082" spans="1:18">
      <c r="A1082" s="200" t="s">
        <v>1074</v>
      </c>
      <c r="B1082" s="284">
        <v>43.699999999999996</v>
      </c>
      <c r="C1082" s="577">
        <f t="shared" si="446"/>
        <v>82.379862700228841</v>
      </c>
      <c r="D1082" s="259">
        <f t="shared" si="447"/>
        <v>0</v>
      </c>
      <c r="E1082" s="577">
        <f t="shared" si="448"/>
        <v>0</v>
      </c>
      <c r="F1082" s="578" t="str">
        <f t="shared" si="449"/>
        <v>-</v>
      </c>
      <c r="G1082" s="37"/>
      <c r="H1082" s="285">
        <f>IF(Preencher!$B$436="Automática",0,Preencher!B460)</f>
        <v>0</v>
      </c>
      <c r="I1082" s="259">
        <f t="shared" si="450"/>
        <v>0</v>
      </c>
      <c r="J1082" s="577">
        <f t="shared" si="451"/>
        <v>0</v>
      </c>
      <c r="K1082" s="578" t="str">
        <f t="shared" si="452"/>
        <v>-</v>
      </c>
      <c r="L1082" s="37"/>
      <c r="M1082" s="285">
        <f>IF(Preencher!$C$436="Automática",0,Preencher!C460)</f>
        <v>0</v>
      </c>
      <c r="N1082" s="259">
        <f t="shared" si="453"/>
        <v>0</v>
      </c>
      <c r="O1082" s="577">
        <f t="shared" si="454"/>
        <v>0</v>
      </c>
      <c r="P1082" s="578" t="str">
        <f t="shared" si="455"/>
        <v>-</v>
      </c>
      <c r="Q1082" s="37"/>
      <c r="R1082" s="285">
        <f>IF(Preencher!$D$436="Automática",0,Preencher!D460)</f>
        <v>0</v>
      </c>
    </row>
    <row r="1083" spans="1:18">
      <c r="A1083" s="200" t="s">
        <v>1602</v>
      </c>
      <c r="B1083" s="284">
        <v>29.639999999999997</v>
      </c>
      <c r="C1083" s="577">
        <f t="shared" si="446"/>
        <v>121.45748987854252</v>
      </c>
      <c r="D1083" s="259">
        <f t="shared" si="447"/>
        <v>0</v>
      </c>
      <c r="E1083" s="577">
        <f t="shared" si="448"/>
        <v>0</v>
      </c>
      <c r="F1083" s="578" t="str">
        <f t="shared" si="449"/>
        <v>-</v>
      </c>
      <c r="G1083" s="37"/>
      <c r="H1083" s="285">
        <f>IF(Preencher!$B$436="Automática",0,Preencher!B461)</f>
        <v>0</v>
      </c>
      <c r="I1083" s="259">
        <f t="shared" si="450"/>
        <v>0</v>
      </c>
      <c r="J1083" s="577">
        <f t="shared" si="451"/>
        <v>0</v>
      </c>
      <c r="K1083" s="578" t="str">
        <f t="shared" si="452"/>
        <v>-</v>
      </c>
      <c r="L1083" s="37"/>
      <c r="M1083" s="285">
        <f>IF(Preencher!$C$436="Automática",0,Preencher!C461)</f>
        <v>0</v>
      </c>
      <c r="N1083" s="259">
        <f t="shared" si="453"/>
        <v>0</v>
      </c>
      <c r="O1083" s="577">
        <f t="shared" si="454"/>
        <v>0</v>
      </c>
      <c r="P1083" s="578" t="str">
        <f t="shared" si="455"/>
        <v>-</v>
      </c>
      <c r="Q1083" s="37"/>
      <c r="R1083" s="285">
        <f>IF(Preencher!$D$436="Automática",0,Preencher!D461)</f>
        <v>0</v>
      </c>
    </row>
    <row r="1084" spans="1:18">
      <c r="A1084" s="200" t="s">
        <v>1082</v>
      </c>
      <c r="B1084" s="284">
        <v>43.699999999999996</v>
      </c>
      <c r="C1084" s="577">
        <f t="shared" si="446"/>
        <v>82.379862700228841</v>
      </c>
      <c r="D1084" s="259">
        <f t="shared" si="447"/>
        <v>0</v>
      </c>
      <c r="E1084" s="577">
        <f t="shared" si="448"/>
        <v>0</v>
      </c>
      <c r="F1084" s="578" t="str">
        <f t="shared" si="449"/>
        <v>-</v>
      </c>
      <c r="G1084" s="37"/>
      <c r="H1084" s="285">
        <f>IF(Preencher!$B$436="Automática",0,Preencher!B462)</f>
        <v>0</v>
      </c>
      <c r="I1084" s="259">
        <f t="shared" si="450"/>
        <v>0</v>
      </c>
      <c r="J1084" s="577">
        <f t="shared" si="451"/>
        <v>0</v>
      </c>
      <c r="K1084" s="578" t="str">
        <f t="shared" si="452"/>
        <v>-</v>
      </c>
      <c r="L1084" s="37"/>
      <c r="M1084" s="285">
        <f>IF(Preencher!$C$436="Automática",0,Preencher!C462)</f>
        <v>0</v>
      </c>
      <c r="N1084" s="259">
        <f t="shared" si="453"/>
        <v>0</v>
      </c>
      <c r="O1084" s="577">
        <f t="shared" si="454"/>
        <v>0</v>
      </c>
      <c r="P1084" s="578" t="str">
        <f t="shared" si="455"/>
        <v>-</v>
      </c>
      <c r="Q1084" s="37"/>
      <c r="R1084" s="285">
        <f>IF(Preencher!$D$436="Automática",0,Preencher!D462)</f>
        <v>0</v>
      </c>
    </row>
    <row r="1085" spans="1:18">
      <c r="A1085" s="200" t="s">
        <v>1647</v>
      </c>
      <c r="B1085" s="284">
        <v>29.639999999999997</v>
      </c>
      <c r="C1085" s="577">
        <f t="shared" si="446"/>
        <v>121.45748987854252</v>
      </c>
      <c r="D1085" s="259">
        <f t="shared" si="447"/>
        <v>0</v>
      </c>
      <c r="E1085" s="577">
        <f t="shared" si="448"/>
        <v>0</v>
      </c>
      <c r="F1085" s="578" t="str">
        <f t="shared" si="449"/>
        <v>-</v>
      </c>
      <c r="G1085" s="37"/>
      <c r="H1085" s="285">
        <f>IF(Preencher!$B$436="Automática",0,Preencher!B463)</f>
        <v>0</v>
      </c>
      <c r="I1085" s="259">
        <f t="shared" si="450"/>
        <v>0</v>
      </c>
      <c r="J1085" s="577">
        <f t="shared" si="451"/>
        <v>0</v>
      </c>
      <c r="K1085" s="578" t="str">
        <f t="shared" si="452"/>
        <v>-</v>
      </c>
      <c r="L1085" s="37"/>
      <c r="M1085" s="285">
        <f>IF(Preencher!$C$436="Automática",0,Preencher!C463)</f>
        <v>0</v>
      </c>
      <c r="N1085" s="259">
        <f t="shared" si="453"/>
        <v>0</v>
      </c>
      <c r="O1085" s="577">
        <f t="shared" si="454"/>
        <v>0</v>
      </c>
      <c r="P1085" s="578" t="str">
        <f t="shared" si="455"/>
        <v>-</v>
      </c>
      <c r="Q1085" s="37"/>
      <c r="R1085" s="285">
        <f>IF(Preencher!$D$436="Automática",0,Preencher!D463)</f>
        <v>0</v>
      </c>
    </row>
    <row r="1086" spans="1:18">
      <c r="A1086" s="200" t="s">
        <v>1644</v>
      </c>
      <c r="B1086" s="284">
        <v>29.639999999999997</v>
      </c>
      <c r="C1086" s="577">
        <f t="shared" si="446"/>
        <v>121.45748987854252</v>
      </c>
      <c r="D1086" s="259">
        <f t="shared" si="447"/>
        <v>0</v>
      </c>
      <c r="E1086" s="577">
        <f t="shared" si="448"/>
        <v>0</v>
      </c>
      <c r="F1086" s="578" t="str">
        <f t="shared" si="449"/>
        <v>-</v>
      </c>
      <c r="G1086" s="37"/>
      <c r="H1086" s="285">
        <f>IF(Preencher!$B$436="Automática",0,Preencher!B464)</f>
        <v>0</v>
      </c>
      <c r="I1086" s="259">
        <f t="shared" si="450"/>
        <v>0</v>
      </c>
      <c r="J1086" s="577">
        <f t="shared" si="451"/>
        <v>0</v>
      </c>
      <c r="K1086" s="578" t="str">
        <f t="shared" si="452"/>
        <v>-</v>
      </c>
      <c r="L1086" s="37"/>
      <c r="M1086" s="285">
        <f>IF(Preencher!$C$436="Automática",0,Preencher!C464)</f>
        <v>0</v>
      </c>
      <c r="N1086" s="259">
        <f t="shared" si="453"/>
        <v>0</v>
      </c>
      <c r="O1086" s="577">
        <f t="shared" si="454"/>
        <v>0</v>
      </c>
      <c r="P1086" s="578" t="str">
        <f t="shared" si="455"/>
        <v>-</v>
      </c>
      <c r="Q1086" s="37"/>
      <c r="R1086" s="285">
        <f>IF(Preencher!$D$436="Automática",0,Preencher!D464)</f>
        <v>0</v>
      </c>
    </row>
    <row r="1087" spans="1:18">
      <c r="A1087" s="266" t="s">
        <v>2418</v>
      </c>
      <c r="B1087" s="284"/>
      <c r="C1087" s="653"/>
      <c r="D1087" s="259"/>
      <c r="E1087" s="653">
        <f>IFERROR(ROUNDUP(SUM(D1088:D1091)/0.95,0.999),0)</f>
        <v>0</v>
      </c>
      <c r="F1087" s="652">
        <f>IFERROR(MEDIAN(F1088:F1091),0)</f>
        <v>0</v>
      </c>
      <c r="G1087" s="37"/>
      <c r="H1087" s="285"/>
      <c r="I1087" s="259"/>
      <c r="J1087" s="653">
        <f>IFERROR(ROUNDUP(SUM(I1088:I1091)/0.95,0.999),0)</f>
        <v>0</v>
      </c>
      <c r="K1087" s="652">
        <f>IFERROR(MEDIAN(K1088:K1091),0)</f>
        <v>0</v>
      </c>
      <c r="L1087" s="37"/>
      <c r="M1087" s="285"/>
      <c r="N1087" s="259"/>
      <c r="O1087" s="653">
        <f>IFERROR(ROUNDUP(SUM(N1088:N1091)/0.95,0.999),0)</f>
        <v>0</v>
      </c>
      <c r="P1087" s="652">
        <f>IFERROR(MEDIAN(P1088:P1091),0)</f>
        <v>0</v>
      </c>
      <c r="Q1087" s="37"/>
      <c r="R1087" s="285"/>
    </row>
    <row r="1088" spans="1:18">
      <c r="A1088" s="360" t="s">
        <v>2386</v>
      </c>
      <c r="B1088" s="284">
        <v>29.639999999999997</v>
      </c>
      <c r="C1088" s="653">
        <f>IF(B1088=0,"-",3600/B1088)</f>
        <v>121.45748987854252</v>
      </c>
      <c r="D1088" s="259">
        <f>IFERROR((H1088/C1088),"-")</f>
        <v>0</v>
      </c>
      <c r="E1088" s="653">
        <f>IFERROR(ROUNDUP(D1088/0.95,0.999),0)</f>
        <v>0</v>
      </c>
      <c r="F1088" s="652" t="str">
        <f>IFERROR((H1088/C1088/E1088),"-")</f>
        <v>-</v>
      </c>
      <c r="G1088" s="37"/>
      <c r="H1088" s="285">
        <f>IF(Preencher!$B$437="Automática",0,Preencher!B467)</f>
        <v>0</v>
      </c>
      <c r="I1088" s="259">
        <f>IFERROR((M1088/C1088),"-")</f>
        <v>0</v>
      </c>
      <c r="J1088" s="653">
        <f>IFERROR(ROUNDUP(I1088/0.95,0.999),0)</f>
        <v>0</v>
      </c>
      <c r="K1088" s="652" t="str">
        <f>IFERROR((M1088/C1088/J1088),"-")</f>
        <v>-</v>
      </c>
      <c r="L1088" s="37"/>
      <c r="M1088" s="285">
        <f>IF(Preencher!$C$437="Automática",0,Preencher!C467)</f>
        <v>0</v>
      </c>
      <c r="N1088" s="259">
        <f>IFERROR((R1088/C1088),"-")</f>
        <v>0</v>
      </c>
      <c r="O1088" s="653">
        <f>IFERROR(ROUNDUP(N1088/0.95,0.999),0)</f>
        <v>0</v>
      </c>
      <c r="P1088" s="652" t="str">
        <f>IFERROR((R1088/C1088/O1088),"-")</f>
        <v>-</v>
      </c>
      <c r="Q1088" s="37"/>
      <c r="R1088" s="285">
        <f>IF(Preencher!$D$437="Automática",0,Preencher!D467)</f>
        <v>0</v>
      </c>
    </row>
    <row r="1089" spans="1:18">
      <c r="A1089" s="360" t="s">
        <v>2387</v>
      </c>
      <c r="B1089" s="284">
        <v>29.639999999999997</v>
      </c>
      <c r="C1089" s="653">
        <f>IF(B1089=0,"-",3600/B1089)</f>
        <v>121.45748987854252</v>
      </c>
      <c r="D1089" s="259">
        <f>IFERROR((H1089/C1089),"-")</f>
        <v>0</v>
      </c>
      <c r="E1089" s="653">
        <f>IFERROR(ROUNDUP(D1089/0.95,0.999),0)</f>
        <v>0</v>
      </c>
      <c r="F1089" s="652" t="str">
        <f>IFERROR((H1089/C1089/E1089),"-")</f>
        <v>-</v>
      </c>
      <c r="G1089" s="37"/>
      <c r="H1089" s="285">
        <f>IF(Preencher!$B$437="Automática",0,Preencher!B468)</f>
        <v>0</v>
      </c>
      <c r="I1089" s="259">
        <f>IFERROR((M1089/C1089),"-")</f>
        <v>0</v>
      </c>
      <c r="J1089" s="653">
        <f>IFERROR(ROUNDUP(I1089/0.95,0.999),0)</f>
        <v>0</v>
      </c>
      <c r="K1089" s="652" t="str">
        <f>IFERROR((M1089/C1089/J1089),"-")</f>
        <v>-</v>
      </c>
      <c r="L1089" s="37"/>
      <c r="M1089" s="285">
        <f>IF(Preencher!$C$437="Automática",0,Preencher!C468)</f>
        <v>0</v>
      </c>
      <c r="N1089" s="259">
        <f>IFERROR((R1089/C1089),"-")</f>
        <v>0</v>
      </c>
      <c r="O1089" s="653">
        <f>IFERROR(ROUNDUP(N1089/0.95,0.999),0)</f>
        <v>0</v>
      </c>
      <c r="P1089" s="652" t="str">
        <f>IFERROR((R1089/C1089/O1089),"-")</f>
        <v>-</v>
      </c>
      <c r="Q1089" s="37"/>
      <c r="R1089" s="285">
        <f>IF(Preencher!$D$437="Automática",0,Preencher!D468)</f>
        <v>0</v>
      </c>
    </row>
    <row r="1090" spans="1:18">
      <c r="A1090" s="360" t="s">
        <v>2388</v>
      </c>
      <c r="B1090" s="284">
        <v>29.639999999999997</v>
      </c>
      <c r="C1090" s="653">
        <f>IF(B1090=0,"-",3600/B1090)</f>
        <v>121.45748987854252</v>
      </c>
      <c r="D1090" s="259">
        <f>IFERROR((H1090/C1090),"-")</f>
        <v>0</v>
      </c>
      <c r="E1090" s="653">
        <f>IFERROR(ROUNDUP(D1090/0.95,0.999),0)</f>
        <v>0</v>
      </c>
      <c r="F1090" s="652" t="str">
        <f>IFERROR((H1090/C1090/E1090),"-")</f>
        <v>-</v>
      </c>
      <c r="G1090" s="37"/>
      <c r="H1090" s="285">
        <f>IF(Preencher!$B$437="Automática",0,Preencher!B469)</f>
        <v>0</v>
      </c>
      <c r="I1090" s="259">
        <f>IFERROR((M1090/C1090),"-")</f>
        <v>0</v>
      </c>
      <c r="J1090" s="653">
        <f>IFERROR(ROUNDUP(I1090/0.95,0.999),0)</f>
        <v>0</v>
      </c>
      <c r="K1090" s="652" t="str">
        <f>IFERROR((M1090/C1090/J1090),"-")</f>
        <v>-</v>
      </c>
      <c r="L1090" s="37"/>
      <c r="M1090" s="285">
        <f>IF(Preencher!$C$437="Automática",0,Preencher!C469)</f>
        <v>0</v>
      </c>
      <c r="N1090" s="259">
        <f>IFERROR((R1090/C1090),"-")</f>
        <v>0</v>
      </c>
      <c r="O1090" s="653">
        <f>IFERROR(ROUNDUP(N1090/0.95,0.999),0)</f>
        <v>0</v>
      </c>
      <c r="P1090" s="652" t="str">
        <f>IFERROR((R1090/C1090/O1090),"-")</f>
        <v>-</v>
      </c>
      <c r="Q1090" s="37"/>
      <c r="R1090" s="285">
        <f>IF(Preencher!$D$437="Automática",0,Preencher!D469)</f>
        <v>0</v>
      </c>
    </row>
    <row r="1091" spans="1:18">
      <c r="A1091" s="360"/>
      <c r="B1091" s="284"/>
      <c r="C1091" s="653"/>
      <c r="D1091" s="259"/>
      <c r="E1091" s="653"/>
      <c r="F1091" s="652"/>
      <c r="G1091" s="37"/>
      <c r="H1091" s="285"/>
      <c r="I1091" s="259"/>
      <c r="J1091" s="653"/>
      <c r="K1091" s="652"/>
      <c r="L1091" s="37"/>
      <c r="M1091" s="285"/>
      <c r="N1091" s="259"/>
      <c r="O1091" s="653"/>
      <c r="P1091" s="652"/>
      <c r="Q1091" s="37"/>
      <c r="R1091" s="285"/>
    </row>
    <row r="1092" spans="1:18">
      <c r="A1092" s="266" t="s">
        <v>690</v>
      </c>
      <c r="B1092" s="284">
        <f>1.009-0.1</f>
        <v>0.90899999999999992</v>
      </c>
      <c r="C1092" s="612">
        <f t="shared" si="446"/>
        <v>3960.3960396039606</v>
      </c>
      <c r="D1092" s="259">
        <f>IFERROR((H1092/C1092),"-")</f>
        <v>0</v>
      </c>
      <c r="E1092" s="612">
        <f>IFERROR(ROUNDUP(D1092/0.95,0.999)*G1092,0)</f>
        <v>0</v>
      </c>
      <c r="F1092" s="611" t="str">
        <f>IFERROR((H1092/C1092/E1092)*G1092,"-")</f>
        <v>-</v>
      </c>
      <c r="G1092" s="661">
        <f>Preencher!$B$434</f>
        <v>0</v>
      </c>
      <c r="H1092" s="285">
        <f>IFERROR(RESUMO!$W$5/Preencher!$B$441,0)</f>
        <v>0</v>
      </c>
      <c r="I1092" s="259">
        <f t="shared" si="450"/>
        <v>0</v>
      </c>
      <c r="J1092" s="612">
        <f>IFERROR(ROUNDUP(I1092/0.95,0.999)*L1092,0)</f>
        <v>0</v>
      </c>
      <c r="K1092" s="611" t="str">
        <f>IFERROR((M1092/C1092/J1092)*L1092,"-")</f>
        <v>-</v>
      </c>
      <c r="L1092" s="661">
        <f>Preencher!$C$434</f>
        <v>0</v>
      </c>
      <c r="M1092" s="285">
        <f>IF(Preencher!$C$441&gt;1,H1092,0)</f>
        <v>0</v>
      </c>
      <c r="N1092" s="259">
        <f t="shared" si="453"/>
        <v>0</v>
      </c>
      <c r="O1092" s="612">
        <f>IFERROR(ROUNDUP(N1092/0.95,0.999)*Q1092,0)</f>
        <v>0</v>
      </c>
      <c r="P1092" s="611" t="str">
        <f>IFERROR((R1092/C1092/O1092)*Q1092,"-")</f>
        <v>-</v>
      </c>
      <c r="Q1092" s="661">
        <f>Preencher!$D$434-1</f>
        <v>-1</v>
      </c>
      <c r="R1092" s="285">
        <f>IF(Preencher!$C$441&gt;2,M1092,0)</f>
        <v>0</v>
      </c>
    </row>
    <row r="1093" spans="1:18">
      <c r="A1093" s="266" t="s">
        <v>691</v>
      </c>
      <c r="B1093" s="284"/>
      <c r="C1093" s="251"/>
      <c r="D1093" s="259"/>
      <c r="E1093" s="577">
        <f>SUM(E1094:E1095)</f>
        <v>0</v>
      </c>
      <c r="F1093" s="610">
        <f>IFERROR(SUM(D1094:D1095)/E1093,0)</f>
        <v>0</v>
      </c>
      <c r="G1093" s="37"/>
      <c r="H1093" s="285"/>
      <c r="I1093" s="259"/>
      <c r="J1093" s="609">
        <f>SUM(J1094:J1095)</f>
        <v>0</v>
      </c>
      <c r="K1093" s="610">
        <f>IFERROR(SUM(I1094:I1095)/J1093,0)</f>
        <v>0</v>
      </c>
      <c r="L1093" s="37"/>
      <c r="M1093" s="285"/>
      <c r="N1093" s="259"/>
      <c r="O1093" s="609">
        <f>SUM(O1094:O1095)</f>
        <v>0</v>
      </c>
      <c r="P1093" s="610">
        <f>IFERROR(SUM(N1094:N1095)/O1093,0)</f>
        <v>0</v>
      </c>
      <c r="Q1093" s="37"/>
      <c r="R1093" s="285"/>
    </row>
    <row r="1094" spans="1:18">
      <c r="A1094" s="200" t="s">
        <v>1962</v>
      </c>
      <c r="B1094" s="284">
        <f>IF(Preencher!$B$435="Automática",0,3.11)</f>
        <v>0</v>
      </c>
      <c r="C1094" s="577" t="str">
        <f>IF(B1094=0,"-",3600/B1094)</f>
        <v>-</v>
      </c>
      <c r="D1094" s="259" t="str">
        <f>IFERROR((H1094/C1094),"-")</f>
        <v>-</v>
      </c>
      <c r="E1094" s="577">
        <f>IFERROR(ROUNDUP(D1094/0.95,0.999),0)</f>
        <v>0</v>
      </c>
      <c r="F1094" s="578" t="str">
        <f>IFERROR((H1094/C1094/E1094),"-")</f>
        <v>-</v>
      </c>
      <c r="G1094" s="37"/>
      <c r="H1094" s="285">
        <f>SUM(H1066:H1090)</f>
        <v>0</v>
      </c>
      <c r="I1094" s="259" t="str">
        <f>IFERROR((M1094/C1094),"-")</f>
        <v>-</v>
      </c>
      <c r="J1094" s="577">
        <f>IFERROR(ROUNDUP(I1094/0.95,0.999),0)</f>
        <v>0</v>
      </c>
      <c r="K1094" s="578" t="str">
        <f>IFERROR((M1094/C1094/J1094),"-")</f>
        <v>-</v>
      </c>
      <c r="L1094" s="37"/>
      <c r="M1094" s="285">
        <f>SUM(M1066:M1090)</f>
        <v>0</v>
      </c>
      <c r="N1094" s="259" t="str">
        <f>IFERROR((R1094/C1094),"-")</f>
        <v>-</v>
      </c>
      <c r="O1094" s="577">
        <f>IFERROR(ROUNDUP(N1094/0.95,0.999),0)</f>
        <v>0</v>
      </c>
      <c r="P1094" s="578" t="str">
        <f>IFERROR((R1094/C1094/O1094),"-")</f>
        <v>-</v>
      </c>
      <c r="Q1094" s="37"/>
      <c r="R1094" s="285">
        <f>SUM(R1066:R1090)</f>
        <v>0</v>
      </c>
    </row>
    <row r="1095" spans="1:18">
      <c r="A1095" s="200" t="s">
        <v>1963</v>
      </c>
      <c r="B1095" s="284">
        <f>IF(Preencher!$B$435="Automática",35,0)</f>
        <v>35</v>
      </c>
      <c r="C1095" s="577">
        <f>IF(B1095=0,"-",3600/B1095)</f>
        <v>102.85714285714286</v>
      </c>
      <c r="D1095" s="259">
        <f>IFERROR((H1095/C1095),"-")</f>
        <v>0</v>
      </c>
      <c r="E1095" s="577">
        <f>IFERROR(ROUNDUP(D1095/0.95,0.999),0)</f>
        <v>0</v>
      </c>
      <c r="F1095" s="578" t="str">
        <f>IFERROR((H1095/C1095/E1095),"-")</f>
        <v>-</v>
      </c>
      <c r="G1095" s="37"/>
      <c r="H1095" s="285">
        <f>$H$1092*2%</f>
        <v>0</v>
      </c>
      <c r="I1095" s="259">
        <f>IFERROR((M1095/C1095),"-")</f>
        <v>0</v>
      </c>
      <c r="J1095" s="577">
        <f>IFERROR(ROUNDUP(I1095/0.95,0.999),0)</f>
        <v>0</v>
      </c>
      <c r="K1095" s="578" t="str">
        <f>IFERROR((M1095/C1095/J1095),"-")</f>
        <v>-</v>
      </c>
      <c r="L1095" s="37"/>
      <c r="M1095" s="285">
        <f>$M$1092*2%</f>
        <v>0</v>
      </c>
      <c r="N1095" s="259">
        <f>IFERROR((R1095/C1095),"-")</f>
        <v>0</v>
      </c>
      <c r="O1095" s="577">
        <f>IFERROR(ROUNDUP(N1095/0.95,0.999),0)</f>
        <v>0</v>
      </c>
      <c r="P1095" s="578" t="str">
        <f>IFERROR((R1095/C1095/O1095),"-")</f>
        <v>-</v>
      </c>
      <c r="Q1095" s="37"/>
      <c r="R1095" s="285">
        <f>$R$1092*2%</f>
        <v>0</v>
      </c>
    </row>
    <row r="1096" spans="1:18">
      <c r="A1096" s="266" t="s">
        <v>692</v>
      </c>
      <c r="B1096" s="284">
        <f>IF(Preencher!$B$438="Sim",22.5,0)</f>
        <v>22.5</v>
      </c>
      <c r="C1096" s="612">
        <f>IF(B1096=0,"-",3600/B1096)</f>
        <v>160</v>
      </c>
      <c r="D1096" s="259">
        <f>IFERROR((H1096/C1096),"-")</f>
        <v>0</v>
      </c>
      <c r="E1096" s="612">
        <f>IFERROR(ROUNDUP(D1096/0.95,0.999),0)</f>
        <v>0</v>
      </c>
      <c r="F1096" s="611" t="str">
        <f>IFERROR((H1096/C1096/E1096),"-")</f>
        <v>-</v>
      </c>
      <c r="G1096" s="37"/>
      <c r="H1096" s="285">
        <f>RESUMO!$X$5/'BD VOLUME'!$C$3</f>
        <v>0</v>
      </c>
      <c r="I1096" s="259">
        <f>IFERROR((M1096/C1096),"-")</f>
        <v>0</v>
      </c>
      <c r="J1096" s="612">
        <f>IFERROR(ROUNDUP(I1096/0.95,0.999),0)</f>
        <v>0</v>
      </c>
      <c r="K1096" s="611" t="str">
        <f>IFERROR((M1096/C1096/J1096),"-")</f>
        <v>-</v>
      </c>
      <c r="L1096" s="37"/>
      <c r="M1096" s="285">
        <f>IF(Preencher!$C$441&gt;1,H1096,0)</f>
        <v>0</v>
      </c>
      <c r="N1096" s="259">
        <f>IFERROR((R1096/C1096),"-")</f>
        <v>0</v>
      </c>
      <c r="O1096" s="612">
        <f>IFERROR(ROUNDUP(N1096/0.95,0.999),0)</f>
        <v>0</v>
      </c>
      <c r="P1096" s="611" t="str">
        <f>IFERROR((R1096/C1096/O1096),"-")</f>
        <v>-</v>
      </c>
      <c r="Q1096" s="37"/>
      <c r="R1096" s="285">
        <f>IF(Preencher!$C$441&gt;2,M1096,0)</f>
        <v>0</v>
      </c>
    </row>
    <row r="1097" spans="1:18">
      <c r="A1097" s="265" t="s">
        <v>695</v>
      </c>
      <c r="B1097" s="284">
        <v>3420</v>
      </c>
      <c r="C1097" s="612">
        <f>IF(B1097=0,"-",3600/B1097)</f>
        <v>1.0526315789473684</v>
      </c>
      <c r="D1097" s="259">
        <f>IFERROR((H1097/C1097),"-")</f>
        <v>0</v>
      </c>
      <c r="E1097" s="612">
        <f>IFERROR(ROUNDUP(D1097/0.95,0.999),0)</f>
        <v>0</v>
      </c>
      <c r="F1097" s="611" t="str">
        <f>IFERROR((H1097/C1097/E1097),"-")</f>
        <v>-</v>
      </c>
      <c r="G1097" s="37"/>
      <c r="H1097" s="285">
        <f>Preencher!$B$434</f>
        <v>0</v>
      </c>
      <c r="I1097" s="259">
        <f>IFERROR((M1097/C1097),"-")</f>
        <v>0</v>
      </c>
      <c r="J1097" s="612">
        <f>IFERROR(ROUNDUP(I1097/0.95,0.999),0)</f>
        <v>0</v>
      </c>
      <c r="K1097" s="611" t="str">
        <f>IFERROR((M1097/C1097/J1097),"-")</f>
        <v>-</v>
      </c>
      <c r="L1097" s="37"/>
      <c r="M1097" s="285">
        <f>IF(J1093=0,0,Preencher!$C$434)</f>
        <v>0</v>
      </c>
      <c r="N1097" s="259">
        <f>IFERROR((R1097/C1097),"-")</f>
        <v>0</v>
      </c>
      <c r="O1097" s="612">
        <f>IFERROR(ROUNDUP(N1097/0.95,0.999),0)</f>
        <v>0</v>
      </c>
      <c r="P1097" s="611" t="str">
        <f>IFERROR((R1097/C1097/O1097),"-")</f>
        <v>-</v>
      </c>
      <c r="Q1097" s="37"/>
      <c r="R1097" s="285">
        <f>Preencher!$D$434</f>
        <v>0</v>
      </c>
    </row>
    <row r="1098" spans="1:18">
      <c r="A1098" s="265" t="s">
        <v>694</v>
      </c>
      <c r="B1098" s="284">
        <f>1710+1710</f>
        <v>3420</v>
      </c>
      <c r="C1098" s="612">
        <f>IF(B1098=0,"-",3600/B1098)</f>
        <v>1.0526315789473684</v>
      </c>
      <c r="D1098" s="259">
        <f>IFERROR((H1098/C1098),"-")</f>
        <v>0</v>
      </c>
      <c r="E1098" s="612">
        <f>IFERROR(ROUNDUP(D1098/0.95,0.999),0)</f>
        <v>0</v>
      </c>
      <c r="F1098" s="611" t="str">
        <f>IFERROR((H1098/C1098/E1098),"-")</f>
        <v>-</v>
      </c>
      <c r="G1098" s="37"/>
      <c r="H1098" s="285">
        <f>IF(Preencher!$B$433&gt;1,Preencher!$B$433,Preencher!$B$433)</f>
        <v>0</v>
      </c>
      <c r="I1098" s="259">
        <f>IFERROR((M1098/C1098),"-")</f>
        <v>0</v>
      </c>
      <c r="J1098" s="612">
        <f>IFERROR(ROUNDUP(I1098/0.95,0.999),0)</f>
        <v>0</v>
      </c>
      <c r="K1098" s="611" t="str">
        <f>IFERROR((M1098/C1098/J1098),"-")</f>
        <v>-</v>
      </c>
      <c r="L1098" s="37"/>
      <c r="M1098" s="285">
        <f>IF(Preencher!$C$433&gt;1,Preencher!$C$433,Preencher!$C$433)</f>
        <v>0</v>
      </c>
      <c r="N1098" s="259">
        <f>IFERROR((R1098/C1098),"-")</f>
        <v>0</v>
      </c>
      <c r="O1098" s="612">
        <f>IFERROR(ROUNDUP(N1098/0.95,0.999),0)</f>
        <v>0</v>
      </c>
      <c r="P1098" s="611" t="str">
        <f>IFERROR((R1098/C1098/O1098),"-")</f>
        <v>-</v>
      </c>
      <c r="Q1098" s="37"/>
      <c r="R1098" s="285">
        <f>IF(Preencher!$D$433&gt;1,Preencher!$D$433,Preencher!$D$433)</f>
        <v>0</v>
      </c>
    </row>
    <row r="1099" spans="1:18">
      <c r="A1099" s="265"/>
      <c r="B1099" s="286"/>
      <c r="C1099" s="37"/>
      <c r="D1099" s="37"/>
      <c r="E1099" s="37"/>
      <c r="F1099" s="37"/>
      <c r="G1099" s="37"/>
      <c r="H1099" s="287"/>
      <c r="I1099" s="37"/>
      <c r="J1099" s="37"/>
      <c r="K1099" s="37"/>
      <c r="L1099" s="37"/>
      <c r="M1099" s="287"/>
      <c r="N1099" s="37"/>
      <c r="O1099" s="37"/>
      <c r="P1099" s="37"/>
      <c r="Q1099" s="37"/>
      <c r="R1099" s="287"/>
    </row>
    <row r="1100" spans="1:18">
      <c r="A1100" s="270" t="s">
        <v>723</v>
      </c>
      <c r="B1100" s="291"/>
      <c r="C1100" s="39"/>
      <c r="D1100" s="39"/>
      <c r="E1100" s="39"/>
      <c r="F1100" s="39"/>
      <c r="G1100" s="39"/>
      <c r="H1100" s="292"/>
      <c r="I1100" s="39"/>
      <c r="J1100" s="39"/>
      <c r="K1100" s="39"/>
      <c r="L1100" s="39"/>
      <c r="M1100" s="292"/>
      <c r="N1100" s="39"/>
      <c r="O1100" s="39"/>
      <c r="P1100" s="39"/>
      <c r="Q1100" s="39"/>
      <c r="R1100" s="292"/>
    </row>
    <row r="1101" spans="1:18">
      <c r="A1101" s="265" t="s">
        <v>971</v>
      </c>
      <c r="B1101" s="284">
        <v>0</v>
      </c>
      <c r="C1101" s="706" t="str">
        <f>IF(B1101=0,"-",3600/B1101)</f>
        <v>-</v>
      </c>
      <c r="D1101" s="259" t="str">
        <f>IFERROR((H1101/C1101),"-")</f>
        <v>-</v>
      </c>
      <c r="E1101" s="706">
        <f>IFERROR(ROUNDUP(D1101/0.95,0.999),0)</f>
        <v>0</v>
      </c>
      <c r="F1101" s="705" t="str">
        <f>IFERROR((H1101/C1101/E1101),"-")</f>
        <v>-</v>
      </c>
      <c r="G1101" s="37"/>
      <c r="H1101" s="285">
        <f>H1096</f>
        <v>0</v>
      </c>
      <c r="I1101" s="259" t="str">
        <f>IFERROR((M1101/C1101),"-")</f>
        <v>-</v>
      </c>
      <c r="J1101" s="251">
        <f>IFERROR(ROUNDUP(I1101/0.95,0.999),0)</f>
        <v>0</v>
      </c>
      <c r="K1101" s="252" t="str">
        <f>IFERROR((M1101/C1101/J1101),"-")</f>
        <v>-</v>
      </c>
      <c r="L1101" s="37"/>
      <c r="M1101" s="285">
        <f>M1096</f>
        <v>0</v>
      </c>
      <c r="N1101" s="259" t="str">
        <f>IFERROR((R1101/C1101),"-")</f>
        <v>-</v>
      </c>
      <c r="O1101" s="251">
        <f>IFERROR(ROUNDUP(N1101/0.95,0.999),0)</f>
        <v>0</v>
      </c>
      <c r="P1101" s="252" t="str">
        <f>IFERROR((R1101/C1101/O1101),"-")</f>
        <v>-</v>
      </c>
      <c r="Q1101" s="37"/>
      <c r="R1101" s="285">
        <f>R1096</f>
        <v>0</v>
      </c>
    </row>
    <row r="1102" spans="1:18">
      <c r="A1102" s="265" t="s">
        <v>972</v>
      </c>
      <c r="B1102" s="284">
        <f>IF(Preencher!$B$438="Sim",15,0)</f>
        <v>15</v>
      </c>
      <c r="C1102" s="251">
        <f>IF(B1102=0,"-",3600/B1102)</f>
        <v>240</v>
      </c>
      <c r="D1102" s="259">
        <f>IFERROR((H1102/C1102),"-")</f>
        <v>0</v>
      </c>
      <c r="E1102" s="251">
        <f>IFERROR(ROUNDUP(D1102/0.95,0.999),0)</f>
        <v>0</v>
      </c>
      <c r="F1102" s="252" t="str">
        <f>IFERROR((H1102/C1102/E1102),"-")</f>
        <v>-</v>
      </c>
      <c r="G1102" s="37"/>
      <c r="H1102" s="285">
        <f>H1101</f>
        <v>0</v>
      </c>
      <c r="I1102" s="259">
        <f>IFERROR((M1102/C1102),"-")</f>
        <v>0</v>
      </c>
      <c r="J1102" s="251">
        <f>IFERROR(ROUNDUP(I1102/0.95,0.999),0)</f>
        <v>0</v>
      </c>
      <c r="K1102" s="252" t="str">
        <f>IFERROR((M1102/C1102/J1102),"-")</f>
        <v>-</v>
      </c>
      <c r="L1102" s="37"/>
      <c r="M1102" s="285">
        <f>M1101</f>
        <v>0</v>
      </c>
      <c r="N1102" s="259">
        <f>IFERROR((R1102/C1102),"-")</f>
        <v>0</v>
      </c>
      <c r="O1102" s="251">
        <f>IFERROR(ROUNDUP(N1102/0.95,0.999),0)</f>
        <v>0</v>
      </c>
      <c r="P1102" s="252" t="str">
        <f>IFERROR((R1102/C1102/O1102),"-")</f>
        <v>-</v>
      </c>
      <c r="Q1102" s="37"/>
      <c r="R1102" s="285">
        <f>R1101</f>
        <v>0</v>
      </c>
    </row>
    <row r="1103" spans="1:18">
      <c r="A1103" s="265" t="s">
        <v>977</v>
      </c>
      <c r="B1103" s="284"/>
      <c r="C1103" s="251"/>
      <c r="D1103" s="259"/>
      <c r="E1103" s="251">
        <f>IFERROR(ROUNDUP(H1103/G1103,0),0)</f>
        <v>0</v>
      </c>
      <c r="F1103" s="252"/>
      <c r="G1103" s="93">
        <f>VLOOKUP(Preencher!$A$441,Preencher!$P$442:$U$455,4,0)</f>
        <v>0</v>
      </c>
      <c r="H1103" s="285">
        <f>SUM(Avaliação!$J$711:$J$716)+SUM(Avaliação!$J$721:$J$722)</f>
        <v>0</v>
      </c>
      <c r="I1103" s="259"/>
      <c r="J1103" s="612">
        <f>IFERROR(ROUNDUP(M1103/L1103,0),0)</f>
        <v>0</v>
      </c>
      <c r="K1103" s="252"/>
      <c r="L1103" s="93">
        <f>VLOOKUP(Preencher!$A$441,Preencher!$P$442:$U$455,5,0)</f>
        <v>0</v>
      </c>
      <c r="M1103" s="285">
        <f>SUM(Avaliação!$N$711:$N$716)+SUM(Avaliação!$N$721:$N$722)</f>
        <v>0</v>
      </c>
      <c r="N1103" s="259"/>
      <c r="O1103" s="612">
        <f>IFERROR(ROUNDUP(R1103/Q1103,0),0)</f>
        <v>0</v>
      </c>
      <c r="P1103" s="252"/>
      <c r="Q1103" s="93">
        <f>VLOOKUP(Preencher!$A$441,Preencher!$P$442:$U$455,6,0)</f>
        <v>0</v>
      </c>
      <c r="R1103" s="285">
        <f>SUM(Avaliação!$R$711:$R$716)+SUM(Avaliação!$R$721:$R$722)</f>
        <v>0</v>
      </c>
    </row>
    <row r="1104" spans="1:18">
      <c r="A1104" s="268"/>
      <c r="B1104" s="288"/>
      <c r="C1104" s="13"/>
      <c r="D1104" s="13"/>
      <c r="E1104" s="13"/>
      <c r="F1104" s="13"/>
      <c r="G1104" s="13"/>
      <c r="H1104" s="113"/>
      <c r="I1104" s="13"/>
      <c r="J1104" s="13"/>
      <c r="K1104" s="13"/>
      <c r="L1104" s="13"/>
      <c r="M1104" s="113"/>
      <c r="N1104" s="13"/>
      <c r="O1104" s="13"/>
      <c r="P1104" s="13"/>
      <c r="Q1104" s="13"/>
      <c r="R1104" s="113"/>
    </row>
    <row r="1105" spans="1:18">
      <c r="A1105" s="263" t="s">
        <v>261</v>
      </c>
      <c r="B1105" s="280"/>
      <c r="C1105" s="35"/>
      <c r="D1105" s="35"/>
      <c r="E1105" s="35"/>
      <c r="F1105" s="35"/>
      <c r="G1105" s="35"/>
      <c r="H1105" s="281"/>
      <c r="I1105" s="35"/>
      <c r="J1105" s="35"/>
      <c r="K1105" s="35"/>
      <c r="L1105" s="35"/>
      <c r="M1105" s="281"/>
      <c r="N1105" s="35"/>
      <c r="O1105" s="35"/>
      <c r="P1105" s="35"/>
      <c r="Q1105" s="35"/>
      <c r="R1105" s="281"/>
    </row>
    <row r="1106" spans="1:18">
      <c r="A1106" s="265" t="s">
        <v>145</v>
      </c>
      <c r="B1106" s="284">
        <v>0</v>
      </c>
      <c r="C1106" s="251" t="str">
        <f t="shared" ref="C1106:C1113" si="456">IF(B1106=0,"-",3600/B1106)</f>
        <v>-</v>
      </c>
      <c r="D1106" s="259" t="str">
        <f t="shared" ref="D1106:D1113" si="457">IFERROR((H1106/C1106),"-")</f>
        <v>-</v>
      </c>
      <c r="E1106" s="251">
        <f t="shared" ref="E1106:E1113" si="458">IFERROR(ROUNDUP(D1106/0.95,0.999),0)</f>
        <v>0</v>
      </c>
      <c r="F1106" s="252" t="str">
        <f t="shared" ref="F1106:F1113" si="459">IFERROR((H1106/C1106/E1106),"-")</f>
        <v>-</v>
      </c>
      <c r="G1106" s="37"/>
      <c r="H1106" s="285">
        <f>Preencher!$B$477</f>
        <v>6630.9073069888191</v>
      </c>
      <c r="I1106" s="259" t="str">
        <f t="shared" ref="I1106:I1113" si="460">IFERROR((M1106/C1106),"-")</f>
        <v>-</v>
      </c>
      <c r="J1106" s="251">
        <f t="shared" ref="J1106:J1113" si="461">IFERROR(ROUNDUP(I1106/0.95,0.999),0)</f>
        <v>0</v>
      </c>
      <c r="K1106" s="252" t="str">
        <f t="shared" ref="K1106:K1113" si="462">IFERROR((M1106/C1106/J1106),"-")</f>
        <v>-</v>
      </c>
      <c r="L1106" s="37"/>
      <c r="M1106" s="285">
        <f>Preencher!$C$477</f>
        <v>0</v>
      </c>
      <c r="N1106" s="259" t="str">
        <f t="shared" ref="N1106:N1113" si="463">IFERROR((R1106/C1106),"-")</f>
        <v>-</v>
      </c>
      <c r="O1106" s="251">
        <f t="shared" ref="O1106:O1113" si="464">IFERROR(ROUNDUP(N1106/0.95,0.999),0)</f>
        <v>0</v>
      </c>
      <c r="P1106" s="252" t="str">
        <f t="shared" ref="P1106:P1113" si="465">IFERROR((R1106/C1106/O1106),"-")</f>
        <v>-</v>
      </c>
      <c r="Q1106" s="37"/>
      <c r="R1106" s="285">
        <f>Preencher!$D$477</f>
        <v>0</v>
      </c>
    </row>
    <row r="1107" spans="1:18">
      <c r="A1107" s="265" t="s">
        <v>225</v>
      </c>
      <c r="B1107" s="284">
        <v>0</v>
      </c>
      <c r="C1107" s="712" t="str">
        <f t="shared" si="456"/>
        <v>-</v>
      </c>
      <c r="D1107" s="259" t="str">
        <f t="shared" si="457"/>
        <v>-</v>
      </c>
      <c r="E1107" s="712">
        <f t="shared" si="458"/>
        <v>0</v>
      </c>
      <c r="F1107" s="711" t="str">
        <f t="shared" si="459"/>
        <v>-</v>
      </c>
      <c r="G1107" s="37"/>
      <c r="H1107" s="285">
        <f>Preencher!$B$491+Preencher!$B$492</f>
        <v>565.48203416453975</v>
      </c>
      <c r="I1107" s="259" t="str">
        <f t="shared" si="460"/>
        <v>-</v>
      </c>
      <c r="J1107" s="712">
        <f t="shared" si="461"/>
        <v>0</v>
      </c>
      <c r="K1107" s="711" t="str">
        <f t="shared" si="462"/>
        <v>-</v>
      </c>
      <c r="L1107" s="37"/>
      <c r="M1107" s="285">
        <f>Preencher!$C$491+Preencher!$C$492</f>
        <v>0</v>
      </c>
      <c r="N1107" s="259" t="str">
        <f t="shared" si="463"/>
        <v>-</v>
      </c>
      <c r="O1107" s="712">
        <f t="shared" si="464"/>
        <v>0</v>
      </c>
      <c r="P1107" s="711" t="str">
        <f t="shared" si="465"/>
        <v>-</v>
      </c>
      <c r="Q1107" s="37"/>
      <c r="R1107" s="285">
        <f>Preencher!$D$491+Preencher!$D$492</f>
        <v>0</v>
      </c>
    </row>
    <row r="1108" spans="1:18">
      <c r="A1108" s="265" t="s">
        <v>257</v>
      </c>
      <c r="B1108" s="284">
        <v>10</v>
      </c>
      <c r="C1108" s="251">
        <f t="shared" si="456"/>
        <v>360</v>
      </c>
      <c r="D1108" s="259">
        <f t="shared" si="457"/>
        <v>1.5707834282348327</v>
      </c>
      <c r="E1108" s="251">
        <f t="shared" si="458"/>
        <v>2</v>
      </c>
      <c r="F1108" s="252">
        <f t="shared" si="459"/>
        <v>0.78539171411741637</v>
      </c>
      <c r="G1108" s="37"/>
      <c r="H1108" s="285">
        <f>Preencher!$B$491+Preencher!$B$492</f>
        <v>565.48203416453975</v>
      </c>
      <c r="I1108" s="259">
        <f t="shared" si="460"/>
        <v>0</v>
      </c>
      <c r="J1108" s="251">
        <f t="shared" si="461"/>
        <v>0</v>
      </c>
      <c r="K1108" s="252" t="str">
        <f t="shared" si="462"/>
        <v>-</v>
      </c>
      <c r="L1108" s="37"/>
      <c r="M1108" s="285">
        <f>Preencher!$C$491+Preencher!$C$492</f>
        <v>0</v>
      </c>
      <c r="N1108" s="259">
        <f t="shared" si="463"/>
        <v>0</v>
      </c>
      <c r="O1108" s="251">
        <f t="shared" si="464"/>
        <v>0</v>
      </c>
      <c r="P1108" s="252" t="str">
        <f t="shared" si="465"/>
        <v>-</v>
      </c>
      <c r="Q1108" s="37"/>
      <c r="R1108" s="285">
        <f>Preencher!$D$491+Preencher!$D$492</f>
        <v>0</v>
      </c>
    </row>
    <row r="1109" spans="1:18">
      <c r="A1109" s="265" t="s">
        <v>258</v>
      </c>
      <c r="B1109" s="284">
        <v>3.5</v>
      </c>
      <c r="C1109" s="712">
        <f>IF(B1109=0,"-",3600/B1109)</f>
        <v>1028.5714285714287</v>
      </c>
      <c r="D1109" s="259">
        <f>IFERROR((H1109/C1109),"-")</f>
        <v>6.4467154373502398</v>
      </c>
      <c r="E1109" s="712">
        <f>IFERROR(ROUNDUP(D1109/0.95,0.999),0)</f>
        <v>7</v>
      </c>
      <c r="F1109" s="711">
        <f>IFERROR((H1109/C1109/E1109),"-")</f>
        <v>0.92095934819289138</v>
      </c>
      <c r="G1109" s="37"/>
      <c r="H1109" s="285">
        <f>Preencher!$B$477</f>
        <v>6630.9073069888191</v>
      </c>
      <c r="I1109" s="259">
        <f t="shared" si="460"/>
        <v>0</v>
      </c>
      <c r="J1109" s="712">
        <f t="shared" si="461"/>
        <v>0</v>
      </c>
      <c r="K1109" s="711" t="str">
        <f t="shared" si="462"/>
        <v>-</v>
      </c>
      <c r="L1109" s="37"/>
      <c r="M1109" s="285">
        <f>Preencher!$C$477</f>
        <v>0</v>
      </c>
      <c r="N1109" s="259">
        <f t="shared" si="463"/>
        <v>0</v>
      </c>
      <c r="O1109" s="712">
        <f t="shared" si="464"/>
        <v>0</v>
      </c>
      <c r="P1109" s="711" t="str">
        <f t="shared" si="465"/>
        <v>-</v>
      </c>
      <c r="Q1109" s="37"/>
      <c r="R1109" s="285">
        <f>Preencher!$D$477</f>
        <v>0</v>
      </c>
    </row>
    <row r="1110" spans="1:18">
      <c r="A1110" s="200" t="s">
        <v>1890</v>
      </c>
      <c r="B1110" s="284">
        <v>1.5269999999999999</v>
      </c>
      <c r="C1110" s="577">
        <f t="shared" si="456"/>
        <v>2357.563850687623</v>
      </c>
      <c r="D1110" s="259">
        <f t="shared" si="457"/>
        <v>0</v>
      </c>
      <c r="E1110" s="577">
        <f t="shared" si="458"/>
        <v>0</v>
      </c>
      <c r="F1110" s="578" t="str">
        <f t="shared" si="459"/>
        <v>-</v>
      </c>
      <c r="G1110" s="37"/>
      <c r="H1110" s="285">
        <f>Preencher!AC45+Preencher!AC53+Preencher!AC61</f>
        <v>0</v>
      </c>
      <c r="I1110" s="259">
        <f t="shared" si="460"/>
        <v>0</v>
      </c>
      <c r="J1110" s="577">
        <f t="shared" si="461"/>
        <v>0</v>
      </c>
      <c r="K1110" s="578" t="str">
        <f t="shared" si="462"/>
        <v>-</v>
      </c>
      <c r="L1110" s="37"/>
      <c r="M1110" s="285">
        <f>Preencher!AD45+Preencher!AD53+Preencher!AD61</f>
        <v>0</v>
      </c>
      <c r="N1110" s="259">
        <f t="shared" si="463"/>
        <v>0</v>
      </c>
      <c r="O1110" s="577">
        <f t="shared" si="464"/>
        <v>0</v>
      </c>
      <c r="P1110" s="578" t="str">
        <f t="shared" si="465"/>
        <v>-</v>
      </c>
      <c r="Q1110" s="37"/>
      <c r="R1110" s="285">
        <f>Preencher!AE45+Preencher!AE53+Preencher!AE61</f>
        <v>0</v>
      </c>
    </row>
    <row r="1111" spans="1:18">
      <c r="A1111" s="200" t="s">
        <v>1891</v>
      </c>
      <c r="B1111" s="284">
        <v>2.5</v>
      </c>
      <c r="C1111" s="577">
        <f t="shared" si="456"/>
        <v>1440</v>
      </c>
      <c r="D1111" s="259">
        <f t="shared" si="457"/>
        <v>0.29717540944694992</v>
      </c>
      <c r="E1111" s="577">
        <f t="shared" si="458"/>
        <v>1</v>
      </c>
      <c r="F1111" s="578">
        <f t="shared" si="459"/>
        <v>0.29717540944694992</v>
      </c>
      <c r="G1111" s="37"/>
      <c r="H1111" s="285">
        <f>Preencher!AC46+Preencher!AC54+Preencher!AC62</f>
        <v>427.93258960360788</v>
      </c>
      <c r="I1111" s="259">
        <f t="shared" si="460"/>
        <v>0</v>
      </c>
      <c r="J1111" s="577">
        <f t="shared" si="461"/>
        <v>0</v>
      </c>
      <c r="K1111" s="578" t="str">
        <f t="shared" si="462"/>
        <v>-</v>
      </c>
      <c r="L1111" s="37"/>
      <c r="M1111" s="285">
        <f>Preencher!AD46+Preencher!AD54+Preencher!AD62</f>
        <v>0</v>
      </c>
      <c r="N1111" s="259">
        <f t="shared" si="463"/>
        <v>0</v>
      </c>
      <c r="O1111" s="577">
        <f t="shared" si="464"/>
        <v>0</v>
      </c>
      <c r="P1111" s="578" t="str">
        <f t="shared" si="465"/>
        <v>-</v>
      </c>
      <c r="Q1111" s="37"/>
      <c r="R1111" s="285">
        <f>Preencher!AE46+Preencher!AE54+Preencher!AE62</f>
        <v>0</v>
      </c>
    </row>
    <row r="1112" spans="1:18">
      <c r="A1112" s="360" t="s">
        <v>1162</v>
      </c>
      <c r="B1112" s="284">
        <v>30</v>
      </c>
      <c r="C1112" s="616">
        <f t="shared" si="456"/>
        <v>120</v>
      </c>
      <c r="D1112" s="259">
        <f t="shared" si="457"/>
        <v>5.3168763351530979E-2</v>
      </c>
      <c r="E1112" s="616">
        <f t="shared" si="458"/>
        <v>1</v>
      </c>
      <c r="F1112" s="615">
        <f t="shared" si="459"/>
        <v>5.3168763351530979E-2</v>
      </c>
      <c r="G1112" s="37"/>
      <c r="H1112" s="285">
        <f>Preencher!$I$12*SUM(RESUMO!I261:J261)*$H$1225</f>
        <v>6.3802516021837175</v>
      </c>
      <c r="I1112" s="259">
        <f t="shared" si="460"/>
        <v>0</v>
      </c>
      <c r="J1112" s="616">
        <f t="shared" si="461"/>
        <v>0</v>
      </c>
      <c r="K1112" s="615" t="str">
        <f t="shared" si="462"/>
        <v>-</v>
      </c>
      <c r="L1112" s="37"/>
      <c r="M1112" s="285">
        <f>Preencher!$I$12*SUM(RESUMO!I261:J261)*$M$1225</f>
        <v>0</v>
      </c>
      <c r="N1112" s="259">
        <f t="shared" si="463"/>
        <v>0</v>
      </c>
      <c r="O1112" s="616">
        <f t="shared" si="464"/>
        <v>0</v>
      </c>
      <c r="P1112" s="615" t="str">
        <f t="shared" si="465"/>
        <v>-</v>
      </c>
      <c r="Q1112" s="37"/>
      <c r="R1112" s="285">
        <f>Preencher!$I$12*SUM(RESUMO!I261:J261)*$R$1225</f>
        <v>0</v>
      </c>
    </row>
    <row r="1113" spans="1:18">
      <c r="A1113" s="200" t="s">
        <v>1894</v>
      </c>
      <c r="B1113" s="284">
        <v>21.533999999999999</v>
      </c>
      <c r="C1113" s="577">
        <f t="shared" si="456"/>
        <v>167.17748676511565</v>
      </c>
      <c r="D1113" s="259">
        <f t="shared" si="457"/>
        <v>0</v>
      </c>
      <c r="E1113" s="577">
        <f t="shared" si="458"/>
        <v>0</v>
      </c>
      <c r="F1113" s="578" t="str">
        <f t="shared" si="459"/>
        <v>-</v>
      </c>
      <c r="G1113" s="37"/>
      <c r="H1113" s="285">
        <f>Preencher!AC47+Preencher!AC55+Preencher!AC63</f>
        <v>0</v>
      </c>
      <c r="I1113" s="259">
        <f t="shared" si="460"/>
        <v>0</v>
      </c>
      <c r="J1113" s="577">
        <f t="shared" si="461"/>
        <v>0</v>
      </c>
      <c r="K1113" s="578" t="str">
        <f t="shared" si="462"/>
        <v>-</v>
      </c>
      <c r="L1113" s="37"/>
      <c r="M1113" s="285">
        <f>Preencher!AD47+Preencher!AD55+Preencher!AD63</f>
        <v>0</v>
      </c>
      <c r="N1113" s="259">
        <f t="shared" si="463"/>
        <v>0</v>
      </c>
      <c r="O1113" s="577">
        <f t="shared" si="464"/>
        <v>0</v>
      </c>
      <c r="P1113" s="578" t="str">
        <f t="shared" si="465"/>
        <v>-</v>
      </c>
      <c r="Q1113" s="37"/>
      <c r="R1113" s="285">
        <f>Preencher!AE47+Preencher!AE55+Preencher!AE63</f>
        <v>0</v>
      </c>
    </row>
    <row r="1114" spans="1:18">
      <c r="A1114" s="265" t="s">
        <v>226</v>
      </c>
      <c r="B1114" s="284"/>
      <c r="C1114" s="251"/>
      <c r="D1114" s="259"/>
      <c r="E1114" s="613">
        <f>SUMIF(A1115:A1251,$A$1114,E1115:E1251)-SUMIF(A1115:A1251,$A$1114,E1115:E1251)</f>
        <v>0</v>
      </c>
      <c r="F1114" s="578">
        <f>IFERROR(SUM(D1115:D1251)/E1114,0)</f>
        <v>0</v>
      </c>
      <c r="G1114" s="37"/>
      <c r="H1114" s="285"/>
      <c r="I1114" s="259"/>
      <c r="J1114" s="616">
        <f>SUMIF(A1115:A1251,$A$1114,J1115:J1251)-SUMIF(A1115:A1251,$A$1114,J1115:J1251)</f>
        <v>0</v>
      </c>
      <c r="K1114" s="615">
        <f>IFERROR(SUM(I1115:I1251)/J1114,0)</f>
        <v>0</v>
      </c>
      <c r="L1114" s="37"/>
      <c r="M1114" s="285"/>
      <c r="N1114" s="259"/>
      <c r="O1114" s="616">
        <f>SUMIF(A1115:A1251,$A$1114,O1115:O1251)-SUMIF(A1115:A1251,$A$1114,O1115:O1251)</f>
        <v>0</v>
      </c>
      <c r="P1114" s="615">
        <f>IFERROR(SUM(N1115:N1251)/O1114,0)</f>
        <v>0</v>
      </c>
      <c r="Q1114" s="37"/>
      <c r="R1114" s="285"/>
    </row>
    <row r="1115" spans="1:18">
      <c r="A1115" s="621" t="s">
        <v>226</v>
      </c>
      <c r="B1115" s="619"/>
      <c r="C1115" s="617"/>
      <c r="D1115" s="620"/>
      <c r="E1115" s="617">
        <f>ROUNDUP(SUM(D1116:D1120)/0.95,0)</f>
        <v>0</v>
      </c>
      <c r="F1115" s="618">
        <f>IFERROR(SUM(D1116:D1120)/E1115,0)</f>
        <v>0</v>
      </c>
      <c r="G1115" s="205"/>
      <c r="H1115" s="622" t="e">
        <f>(Preencher!$B$60+Preencher!$B$67+Preencher!$B$85+Preencher!$B$125)/(SUM(Preencher!$B$60:$D$60)+SUM(Preencher!$B$67:$D$67)+SUM(Preencher!$B$85:$D$85)+SUM(Preencher!$B$125:$D$125))</f>
        <v>#DIV/0!</v>
      </c>
      <c r="I1115" s="620"/>
      <c r="J1115" s="617">
        <f>ROUNDUP(SUM(I1116:I1120)/0.95,0)</f>
        <v>0</v>
      </c>
      <c r="K1115" s="618">
        <f>IFERROR(SUM(I1116:I1120)/J1115,0)</f>
        <v>0</v>
      </c>
      <c r="L1115" s="205"/>
      <c r="M1115" s="622" t="e">
        <f>(Preencher!$C$60+Preencher!$C$67+Preencher!$C$85+Preencher!$C$125)/(SUM(Preencher!$B$60:$D$60)+SUM(Preencher!$B$67:$D$67)+SUM(Preencher!$B$85:$D$85)+SUM(Preencher!$B$125:$D$125))</f>
        <v>#DIV/0!</v>
      </c>
      <c r="N1115" s="620"/>
      <c r="O1115" s="617">
        <f>ROUNDUP(SUM(N1116:N1120)/0.95,0)</f>
        <v>0</v>
      </c>
      <c r="P1115" s="618">
        <f>IFERROR(SUM(N1116:N1120)/O1115,0)</f>
        <v>0</v>
      </c>
      <c r="Q1115" s="205"/>
      <c r="R1115" s="622" t="e">
        <f>(Preencher!$D$60+Preencher!$D$67+Preencher!$D$85+Preencher!$C$125)/(SUM(Preencher!$B$60:$D$60)+SUM(Preencher!$B$67:$D$67)+SUM(Preencher!$B$85:$D$85)+SUM(Preencher!$B$125:$D$125))</f>
        <v>#DIV/0!</v>
      </c>
    </row>
    <row r="1116" spans="1:18">
      <c r="A1116" s="200" t="s">
        <v>1339</v>
      </c>
      <c r="B1116" s="284">
        <v>30</v>
      </c>
      <c r="C1116" s="577">
        <f>IF(B1116=0,"-",3600/B1116)</f>
        <v>120</v>
      </c>
      <c r="D1116" s="259" t="str">
        <f>IFERROR((H1116/C1116),"-")</f>
        <v>-</v>
      </c>
      <c r="E1116" s="577">
        <f>IFERROR(ROUNDUP(D1116/0.95,0.999),0)</f>
        <v>0</v>
      </c>
      <c r="F1116" s="578" t="str">
        <f>IFERROR((H1116/C1116/E1116),"-")</f>
        <v>-</v>
      </c>
      <c r="G1116" s="37"/>
      <c r="H1116" s="285" t="e">
        <f>Preencher!$I$12*RESUMO!H37*$H$1115</f>
        <v>#DIV/0!</v>
      </c>
      <c r="I1116" s="259" t="str">
        <f>IFERROR((M1116/C1116),"-")</f>
        <v>-</v>
      </c>
      <c r="J1116" s="577">
        <f>IFERROR(ROUNDUP(I1116/0.95,0.999),0)</f>
        <v>0</v>
      </c>
      <c r="K1116" s="578" t="str">
        <f>IFERROR((M1116/C1116/J1116),"-")</f>
        <v>-</v>
      </c>
      <c r="L1116" s="37"/>
      <c r="M1116" s="285" t="e">
        <f>Preencher!$I$12*RESUMO!H37*$M$1115</f>
        <v>#DIV/0!</v>
      </c>
      <c r="N1116" s="259" t="str">
        <f>IFERROR((R1116/C1116),"-")</f>
        <v>-</v>
      </c>
      <c r="O1116" s="577">
        <f>IFERROR(ROUNDUP(N1116/0.95,0.999),0)</f>
        <v>0</v>
      </c>
      <c r="P1116" s="578" t="str">
        <f>IFERROR((R1116/C1116/O1116),"-")</f>
        <v>-</v>
      </c>
      <c r="Q1116" s="37"/>
      <c r="R1116" s="285" t="e">
        <f>Preencher!$I$12*RESUMO!H37*$R$1115</f>
        <v>#DIV/0!</v>
      </c>
    </row>
    <row r="1117" spans="1:18">
      <c r="A1117" s="200" t="s">
        <v>1340</v>
      </c>
      <c r="B1117" s="284">
        <v>30</v>
      </c>
      <c r="C1117" s="612">
        <f>IF(B1117=0,"-",3600/B1117)</f>
        <v>120</v>
      </c>
      <c r="D1117" s="259" t="str">
        <f>IFERROR((H1117/C1117),"-")</f>
        <v>-</v>
      </c>
      <c r="E1117" s="612">
        <f>IFERROR(ROUNDUP(D1117/0.95,0.999),0)</f>
        <v>0</v>
      </c>
      <c r="F1117" s="611" t="str">
        <f>IFERROR((H1117/C1117/E1117),"-")</f>
        <v>-</v>
      </c>
      <c r="G1117" s="37"/>
      <c r="H1117" s="285" t="e">
        <f>Preencher!$I$12*RESUMO!H38*$H$1115</f>
        <v>#DIV/0!</v>
      </c>
      <c r="I1117" s="259" t="str">
        <f>IFERROR((M1117/C1117),"-")</f>
        <v>-</v>
      </c>
      <c r="J1117" s="612">
        <f>IFERROR(ROUNDUP(I1117/0.95,0.999),0)</f>
        <v>0</v>
      </c>
      <c r="K1117" s="611" t="str">
        <f>IFERROR((M1117/C1117/J1117),"-")</f>
        <v>-</v>
      </c>
      <c r="L1117" s="37"/>
      <c r="M1117" s="285" t="e">
        <f>Preencher!$I$12*RESUMO!H38*$M$1115</f>
        <v>#DIV/0!</v>
      </c>
      <c r="N1117" s="259" t="str">
        <f>IFERROR((R1117/C1117),"-")</f>
        <v>-</v>
      </c>
      <c r="O1117" s="612">
        <f>IFERROR(ROUNDUP(N1117/0.95,0.999),0)</f>
        <v>0</v>
      </c>
      <c r="P1117" s="611" t="str">
        <f>IFERROR((R1117/C1117/O1117),"-")</f>
        <v>-</v>
      </c>
      <c r="Q1117" s="37"/>
      <c r="R1117" s="285" t="e">
        <f>Preencher!$I$12*RESUMO!H38*$R$1115</f>
        <v>#DIV/0!</v>
      </c>
    </row>
    <row r="1118" spans="1:18">
      <c r="A1118" s="200" t="s">
        <v>1341</v>
      </c>
      <c r="B1118" s="284">
        <v>30</v>
      </c>
      <c r="C1118" s="612">
        <f>IF(B1118=0,"-",3600/B1118)</f>
        <v>120</v>
      </c>
      <c r="D1118" s="259" t="str">
        <f>IFERROR((H1118/C1118),"-")</f>
        <v>-</v>
      </c>
      <c r="E1118" s="612">
        <f>IFERROR(ROUNDUP(D1118/0.95,0.999),0)</f>
        <v>0</v>
      </c>
      <c r="F1118" s="611" t="str">
        <f>IFERROR((H1118/C1118/E1118),"-")</f>
        <v>-</v>
      </c>
      <c r="G1118" s="37"/>
      <c r="H1118" s="285" t="e">
        <f>Preencher!$I$12*(SUM(RESUMO!$H$39:$H$43)*$H$1115)</f>
        <v>#DIV/0!</v>
      </c>
      <c r="I1118" s="259" t="str">
        <f>IFERROR((M1118/C1118),"-")</f>
        <v>-</v>
      </c>
      <c r="J1118" s="612">
        <f>IFERROR(ROUNDUP(I1118/0.95,0.999),0)</f>
        <v>0</v>
      </c>
      <c r="K1118" s="611" t="str">
        <f>IFERROR((M1118/C1118/J1118),"-")</f>
        <v>-</v>
      </c>
      <c r="L1118" s="37"/>
      <c r="M1118" s="285" t="e">
        <f>Preencher!$I$12*(SUM(RESUMO!$H$39:$H$43)*$M$1115)</f>
        <v>#DIV/0!</v>
      </c>
      <c r="N1118" s="259" t="str">
        <f>IFERROR((R1118/C1118),"-")</f>
        <v>-</v>
      </c>
      <c r="O1118" s="612">
        <f>IFERROR(ROUNDUP(N1118/0.95,0.999),0)</f>
        <v>0</v>
      </c>
      <c r="P1118" s="611" t="str">
        <f>IFERROR((R1118/C1118/O1118),"-")</f>
        <v>-</v>
      </c>
      <c r="Q1118" s="37"/>
      <c r="R1118" s="285" t="e">
        <f>Preencher!$I$12*(SUM(RESUMO!$H$39:$H$43)*$R$1115)</f>
        <v>#DIV/0!</v>
      </c>
    </row>
    <row r="1119" spans="1:18">
      <c r="A1119" s="200" t="s">
        <v>322</v>
      </c>
      <c r="B1119" s="284">
        <v>30</v>
      </c>
      <c r="C1119" s="612">
        <f>IF(B1119=0,"-",3600/B1119)</f>
        <v>120</v>
      </c>
      <c r="D1119" s="259" t="str">
        <f>IFERROR((H1119/C1119),"-")</f>
        <v>-</v>
      </c>
      <c r="E1119" s="612">
        <f>IFERROR(ROUNDUP(D1119/0.95,0.999),0)</f>
        <v>0</v>
      </c>
      <c r="F1119" s="611" t="str">
        <f>IFERROR((H1119/C1119/E1119),"-")</f>
        <v>-</v>
      </c>
      <c r="G1119" s="37"/>
      <c r="H1119" s="285" t="e">
        <f>Preencher!$I$12*RESUMO!$H$44*$H$1115</f>
        <v>#DIV/0!</v>
      </c>
      <c r="I1119" s="259" t="str">
        <f>IFERROR((M1119/C1119),"-")</f>
        <v>-</v>
      </c>
      <c r="J1119" s="612">
        <f>IFERROR(ROUNDUP(I1119/0.95,0.999),0)</f>
        <v>0</v>
      </c>
      <c r="K1119" s="611" t="str">
        <f>IFERROR((M1119/C1119/J1119),"-")</f>
        <v>-</v>
      </c>
      <c r="L1119" s="37"/>
      <c r="M1119" s="285" t="e">
        <f>Preencher!$I$12*RESUMO!$H$44*$M$1115</f>
        <v>#DIV/0!</v>
      </c>
      <c r="N1119" s="259" t="str">
        <f>IFERROR((R1119/C1119),"-")</f>
        <v>-</v>
      </c>
      <c r="O1119" s="612">
        <f>IFERROR(ROUNDUP(N1119/0.95,0.999),0)</f>
        <v>0</v>
      </c>
      <c r="P1119" s="611" t="str">
        <f>IFERROR((R1119/C1119/O1119),"-")</f>
        <v>-</v>
      </c>
      <c r="Q1119" s="37"/>
      <c r="R1119" s="285" t="e">
        <f>Preencher!$I$12*RESUMO!$H$44*$H$1115</f>
        <v>#DIV/0!</v>
      </c>
    </row>
    <row r="1120" spans="1:18">
      <c r="A1120" s="200" t="s">
        <v>238</v>
      </c>
      <c r="B1120" s="284">
        <v>0</v>
      </c>
      <c r="C1120" s="612" t="str">
        <f>IF(B1120=0,"-",3600/B1120)</f>
        <v>-</v>
      </c>
      <c r="D1120" s="259" t="str">
        <f>IFERROR((H1120/C1120),"-")</f>
        <v>-</v>
      </c>
      <c r="E1120" s="612">
        <f>IFERROR(ROUNDUP(D1120/0.95,0.999),0)</f>
        <v>0</v>
      </c>
      <c r="F1120" s="611" t="str">
        <f>IFERROR((H1120/C1120/E1120),"-")</f>
        <v>-</v>
      </c>
      <c r="G1120" s="37"/>
      <c r="H1120" s="285" t="e">
        <f>Preencher!$I$12*(SUM(RESUMO!$H$45:$H$46)*$H$1115)</f>
        <v>#DIV/0!</v>
      </c>
      <c r="I1120" s="259" t="str">
        <f>IFERROR((M1120/C1120),"-")</f>
        <v>-</v>
      </c>
      <c r="J1120" s="612">
        <f>IFERROR(ROUNDUP(I1120/0.95,0.999),0)</f>
        <v>0</v>
      </c>
      <c r="K1120" s="611" t="str">
        <f>IFERROR((M1120/C1120/J1120),"-")</f>
        <v>-</v>
      </c>
      <c r="L1120" s="37"/>
      <c r="M1120" s="285" t="e">
        <f>Preencher!$I$12*(SUM(RESUMO!$H$45:$H$46)*$M$1115)</f>
        <v>#DIV/0!</v>
      </c>
      <c r="N1120" s="259" t="str">
        <f>IFERROR((R1120/C1120),"-")</f>
        <v>-</v>
      </c>
      <c r="O1120" s="612">
        <f>IFERROR(ROUNDUP(N1120/0.95,0.999),0)</f>
        <v>0</v>
      </c>
      <c r="P1120" s="611" t="str">
        <f>IFERROR((R1120/C1120/O1120),"-")</f>
        <v>-</v>
      </c>
      <c r="Q1120" s="37"/>
      <c r="R1120" s="285" t="e">
        <f>Preencher!$I$12*(SUM(RESUMO!$H$45:$H$46)*$R$1115)</f>
        <v>#DIV/0!</v>
      </c>
    </row>
    <row r="1121" spans="1:18">
      <c r="A1121" s="621" t="s">
        <v>226</v>
      </c>
      <c r="B1121" s="619"/>
      <c r="C1121" s="617"/>
      <c r="D1121" s="620"/>
      <c r="E1121" s="617">
        <f>ROUNDUP(SUM(D1122:D1124)/0.95,0)</f>
        <v>0</v>
      </c>
      <c r="F1121" s="618">
        <f>IFERROR(SUM(D1122:D1124)/E1121,0)</f>
        <v>0</v>
      </c>
      <c r="G1121" s="205"/>
      <c r="H1121" s="622">
        <f>Preencher!$B$138/SUM(Preencher!$B$138:$D$138)</f>
        <v>1</v>
      </c>
      <c r="I1121" s="620"/>
      <c r="J1121" s="617">
        <f>ROUNDUP(SUM(I1122:I1124)/0.95,0)</f>
        <v>0</v>
      </c>
      <c r="K1121" s="618">
        <f>IFERROR(SUM(I1122:I1124)/J1121,0)</f>
        <v>0</v>
      </c>
      <c r="L1121" s="205"/>
      <c r="M1121" s="622">
        <f>Preencher!$C$138/SUM(Preencher!$B$138:$D$138)</f>
        <v>0</v>
      </c>
      <c r="N1121" s="620"/>
      <c r="O1121" s="617">
        <f>ROUNDUP(SUM(N1122:N1124)/0.95,0)</f>
        <v>0</v>
      </c>
      <c r="P1121" s="618">
        <f>IFERROR(SUM(N1122:N1124)/O1121,0)</f>
        <v>0</v>
      </c>
      <c r="Q1121" s="205"/>
      <c r="R1121" s="622">
        <f>Preencher!$D$138/SUM(Preencher!$B$138:$D$138)</f>
        <v>0</v>
      </c>
    </row>
    <row r="1122" spans="1:18">
      <c r="A1122" s="200" t="s">
        <v>1506</v>
      </c>
      <c r="B1122" s="284">
        <v>30</v>
      </c>
      <c r="C1122" s="613">
        <f t="shared" ref="C1122:C1138" si="466">IF(B1122=0,"-",3600/B1122)</f>
        <v>120</v>
      </c>
      <c r="D1122" s="259">
        <f>IFERROR((H1122/C1122),"-")</f>
        <v>0</v>
      </c>
      <c r="E1122" s="613">
        <f t="shared" ref="E1122:E1138" si="467">IFERROR(ROUNDUP(D1122/0.95,0.999),0)</f>
        <v>0</v>
      </c>
      <c r="F1122" s="614" t="str">
        <f>IFERROR((H1122/C1122/E1122),"-")</f>
        <v>-</v>
      </c>
      <c r="G1122" s="37"/>
      <c r="H1122" s="285">
        <f>Preencher!$I$12*SUM(RESUMO!I50:J50)*$H$1121</f>
        <v>0</v>
      </c>
      <c r="I1122" s="259">
        <f t="shared" ref="I1122:I1138" si="468">IFERROR((M1122/C1122),"-")</f>
        <v>0</v>
      </c>
      <c r="J1122" s="613">
        <f t="shared" ref="J1122:J1138" si="469">IFERROR(ROUNDUP(I1122/0.95,0.999),0)</f>
        <v>0</v>
      </c>
      <c r="K1122" s="614" t="str">
        <f t="shared" ref="K1122:K1138" si="470">IFERROR((M1122/C1122/J1122),"-")</f>
        <v>-</v>
      </c>
      <c r="L1122" s="37"/>
      <c r="M1122" s="285">
        <f>Preencher!$I$12*SUM(RESUMO!I50:J50)*$M$1121</f>
        <v>0</v>
      </c>
      <c r="N1122" s="259">
        <f t="shared" ref="N1122:N1138" si="471">IFERROR((R1122/C1122),"-")</f>
        <v>0</v>
      </c>
      <c r="O1122" s="613">
        <f t="shared" ref="O1122:O1138" si="472">IFERROR(ROUNDUP(N1122/0.95,0.999),0)</f>
        <v>0</v>
      </c>
      <c r="P1122" s="614" t="str">
        <f t="shared" ref="P1122:P1138" si="473">IFERROR((R1122/C1122/O1122),"-")</f>
        <v>-</v>
      </c>
      <c r="Q1122" s="37"/>
      <c r="R1122" s="285">
        <f>Preencher!$I$12*SUM(RESUMO!I50:J50)*$R$1121</f>
        <v>0</v>
      </c>
    </row>
    <row r="1123" spans="1:18">
      <c r="A1123" s="200" t="s">
        <v>1507</v>
      </c>
      <c r="B1123" s="284">
        <v>30</v>
      </c>
      <c r="C1123" s="613">
        <f t="shared" si="466"/>
        <v>120</v>
      </c>
      <c r="D1123" s="259">
        <f>IFERROR((H1123/C1123),"-")</f>
        <v>0</v>
      </c>
      <c r="E1123" s="613">
        <f t="shared" si="467"/>
        <v>0</v>
      </c>
      <c r="F1123" s="614" t="str">
        <f>IFERROR((H1123/C1123/E1123),"-")</f>
        <v>-</v>
      </c>
      <c r="G1123" s="37"/>
      <c r="H1123" s="285">
        <f>Preencher!$I$12*SUM(RESUMO!I51:J51)*$H$1121</f>
        <v>0</v>
      </c>
      <c r="I1123" s="259">
        <f t="shared" si="468"/>
        <v>0</v>
      </c>
      <c r="J1123" s="613">
        <f t="shared" si="469"/>
        <v>0</v>
      </c>
      <c r="K1123" s="614" t="str">
        <f t="shared" si="470"/>
        <v>-</v>
      </c>
      <c r="L1123" s="37"/>
      <c r="M1123" s="285">
        <f>Preencher!$I$12*SUM(RESUMO!I51:J51)*$M$1121</f>
        <v>0</v>
      </c>
      <c r="N1123" s="259">
        <f t="shared" si="471"/>
        <v>0</v>
      </c>
      <c r="O1123" s="613">
        <f t="shared" si="472"/>
        <v>0</v>
      </c>
      <c r="P1123" s="614" t="str">
        <f t="shared" si="473"/>
        <v>-</v>
      </c>
      <c r="Q1123" s="37"/>
      <c r="R1123" s="285">
        <f>Preencher!$I$12*SUM(RESUMO!I51:J51)*$R$1121</f>
        <v>0</v>
      </c>
    </row>
    <row r="1124" spans="1:18">
      <c r="A1124" s="200" t="s">
        <v>1508</v>
      </c>
      <c r="B1124" s="284">
        <v>30</v>
      </c>
      <c r="C1124" s="613">
        <f t="shared" si="466"/>
        <v>120</v>
      </c>
      <c r="D1124" s="259">
        <f>IFERROR((H1124/C1124),"-")</f>
        <v>0</v>
      </c>
      <c r="E1124" s="613">
        <f t="shared" si="467"/>
        <v>0</v>
      </c>
      <c r="F1124" s="614" t="str">
        <f>IFERROR((H1124/C1124/E1124),"-")</f>
        <v>-</v>
      </c>
      <c r="G1124" s="37"/>
      <c r="H1124" s="285">
        <f>Preencher!$I$12*SUM(RESUMO!I52:J52)*$H$1121</f>
        <v>0</v>
      </c>
      <c r="I1124" s="259">
        <f t="shared" si="468"/>
        <v>0</v>
      </c>
      <c r="J1124" s="613">
        <f t="shared" si="469"/>
        <v>0</v>
      </c>
      <c r="K1124" s="614" t="str">
        <f t="shared" si="470"/>
        <v>-</v>
      </c>
      <c r="L1124" s="37"/>
      <c r="M1124" s="285">
        <f>Preencher!$I$12*SUM(RESUMO!I52:J52)*$M$1121</f>
        <v>0</v>
      </c>
      <c r="N1124" s="259">
        <f t="shared" si="471"/>
        <v>0</v>
      </c>
      <c r="O1124" s="613">
        <f t="shared" si="472"/>
        <v>0</v>
      </c>
      <c r="P1124" s="614" t="str">
        <f t="shared" si="473"/>
        <v>-</v>
      </c>
      <c r="Q1124" s="37"/>
      <c r="R1124" s="285">
        <f>Preencher!$I$12*SUM(RESUMO!I52:J52)*$R$1121</f>
        <v>0</v>
      </c>
    </row>
    <row r="1125" spans="1:18">
      <c r="A1125" s="621" t="s">
        <v>226</v>
      </c>
      <c r="B1125" s="619"/>
      <c r="C1125" s="617"/>
      <c r="D1125" s="620"/>
      <c r="E1125" s="617">
        <f>ROUNDUP(SUM(D1126:D1134)/0.95,0)</f>
        <v>2</v>
      </c>
      <c r="F1125" s="618">
        <f>IFERROR(SUM(D1126:D1134)/E1125,0)</f>
        <v>0.55346688820318068</v>
      </c>
      <c r="G1125" s="205"/>
      <c r="H1125" s="622"/>
      <c r="I1125" s="620"/>
      <c r="J1125" s="617">
        <f>ROUNDUP(SUM(I1126:I1134)/0.95,0)</f>
        <v>0</v>
      </c>
      <c r="K1125" s="618">
        <f>IFERROR(SUM(I1126:I1134)/J1125,0)</f>
        <v>0</v>
      </c>
      <c r="L1125" s="205"/>
      <c r="M1125" s="622"/>
      <c r="N1125" s="620"/>
      <c r="O1125" s="617">
        <f>ROUNDUP(SUM(N1126:N1134)/0.95,0)</f>
        <v>0</v>
      </c>
      <c r="P1125" s="618">
        <f>IFERROR(SUM(N1126:N1134)/O1125,0)</f>
        <v>0</v>
      </c>
      <c r="Q1125" s="205"/>
      <c r="R1125" s="622"/>
    </row>
    <row r="1126" spans="1:18">
      <c r="A1126" s="200" t="s">
        <v>1509</v>
      </c>
      <c r="B1126" s="284">
        <v>30</v>
      </c>
      <c r="C1126" s="613">
        <f t="shared" si="466"/>
        <v>120</v>
      </c>
      <c r="D1126" s="259">
        <f t="shared" ref="D1126:D1134" si="474">IFERROR((H1126/C1126),"-")</f>
        <v>0</v>
      </c>
      <c r="E1126" s="613">
        <f t="shared" si="467"/>
        <v>0</v>
      </c>
      <c r="F1126" s="614" t="str">
        <f t="shared" ref="F1126:F1134" si="475">IFERROR((H1126/C1126/E1126),"-")</f>
        <v>-</v>
      </c>
      <c r="G1126" s="37"/>
      <c r="H1126" s="285">
        <f>Preencher!$I$12*SUM(RESUMO!$H$53)*$H$1121</f>
        <v>0</v>
      </c>
      <c r="I1126" s="259">
        <f t="shared" si="468"/>
        <v>0</v>
      </c>
      <c r="J1126" s="613">
        <f t="shared" si="469"/>
        <v>0</v>
      </c>
      <c r="K1126" s="614" t="str">
        <f t="shared" si="470"/>
        <v>-</v>
      </c>
      <c r="L1126" s="37"/>
      <c r="M1126" s="285">
        <f>Preencher!$I$12*SUM(RESUMO!$H$53)*$M$1121</f>
        <v>0</v>
      </c>
      <c r="N1126" s="259">
        <f t="shared" si="471"/>
        <v>0</v>
      </c>
      <c r="O1126" s="613">
        <f t="shared" si="472"/>
        <v>0</v>
      </c>
      <c r="P1126" s="614" t="str">
        <f t="shared" si="473"/>
        <v>-</v>
      </c>
      <c r="Q1126" s="37"/>
      <c r="R1126" s="285">
        <f>Preencher!$I$12*SUM(RESUMO!$H$53)*$R$1121</f>
        <v>0</v>
      </c>
    </row>
    <row r="1127" spans="1:18">
      <c r="A1127" s="200" t="s">
        <v>1510</v>
      </c>
      <c r="B1127" s="284">
        <v>30</v>
      </c>
      <c r="C1127" s="613">
        <f t="shared" si="466"/>
        <v>120</v>
      </c>
      <c r="D1127" s="259">
        <f t="shared" si="474"/>
        <v>0</v>
      </c>
      <c r="E1127" s="613">
        <f t="shared" si="467"/>
        <v>0</v>
      </c>
      <c r="F1127" s="614" t="str">
        <f t="shared" si="475"/>
        <v>-</v>
      </c>
      <c r="G1127" s="37"/>
      <c r="H1127" s="285">
        <f>Preencher!$I$12*SUM(RESUMO!$H$55)*$H$1121</f>
        <v>0</v>
      </c>
      <c r="I1127" s="259">
        <f t="shared" si="468"/>
        <v>0</v>
      </c>
      <c r="J1127" s="613">
        <f t="shared" si="469"/>
        <v>0</v>
      </c>
      <c r="K1127" s="614" t="str">
        <f t="shared" si="470"/>
        <v>-</v>
      </c>
      <c r="L1127" s="37"/>
      <c r="M1127" s="285">
        <f>Preencher!$I$12*SUM(RESUMO!$H$55)*$M$1121</f>
        <v>0</v>
      </c>
      <c r="N1127" s="259">
        <f t="shared" si="471"/>
        <v>0</v>
      </c>
      <c r="O1127" s="613">
        <f t="shared" si="472"/>
        <v>0</v>
      </c>
      <c r="P1127" s="614" t="str">
        <f t="shared" si="473"/>
        <v>-</v>
      </c>
      <c r="Q1127" s="37"/>
      <c r="R1127" s="285">
        <f>Preencher!$I$12*SUM(RESUMO!$H$53)*$R$1121</f>
        <v>0</v>
      </c>
    </row>
    <row r="1128" spans="1:18">
      <c r="A1128" s="200" t="s">
        <v>1511</v>
      </c>
      <c r="B1128" s="284">
        <v>30</v>
      </c>
      <c r="C1128" s="613">
        <f t="shared" si="466"/>
        <v>120</v>
      </c>
      <c r="D1128" s="259">
        <f t="shared" si="474"/>
        <v>2.9622596724424403E-2</v>
      </c>
      <c r="E1128" s="613">
        <f t="shared" si="467"/>
        <v>1</v>
      </c>
      <c r="F1128" s="614">
        <f t="shared" si="475"/>
        <v>2.9622596724424403E-2</v>
      </c>
      <c r="G1128" s="37"/>
      <c r="H1128" s="285">
        <f>Preencher!$I$12*SUM(RESUMO!$H$56)*$H$1121</f>
        <v>3.5547116069309284</v>
      </c>
      <c r="I1128" s="259">
        <f t="shared" si="468"/>
        <v>0</v>
      </c>
      <c r="J1128" s="613">
        <f t="shared" si="469"/>
        <v>0</v>
      </c>
      <c r="K1128" s="614" t="str">
        <f t="shared" si="470"/>
        <v>-</v>
      </c>
      <c r="L1128" s="37"/>
      <c r="M1128" s="285">
        <f>Preencher!$I$12*SUM(RESUMO!$H$56)*$M$1121</f>
        <v>0</v>
      </c>
      <c r="N1128" s="259">
        <f t="shared" si="471"/>
        <v>0</v>
      </c>
      <c r="O1128" s="613">
        <f t="shared" si="472"/>
        <v>0</v>
      </c>
      <c r="P1128" s="614" t="str">
        <f t="shared" si="473"/>
        <v>-</v>
      </c>
      <c r="Q1128" s="37"/>
      <c r="R1128" s="285">
        <f>Preencher!$I$12*SUM(RESUMO!$H$53)*$R$1121</f>
        <v>0</v>
      </c>
    </row>
    <row r="1129" spans="1:18">
      <c r="A1129" s="200" t="s">
        <v>1517</v>
      </c>
      <c r="B1129" s="284">
        <v>30</v>
      </c>
      <c r="C1129" s="613">
        <f t="shared" si="466"/>
        <v>120</v>
      </c>
      <c r="D1129" s="259">
        <f t="shared" si="474"/>
        <v>0</v>
      </c>
      <c r="E1129" s="613">
        <f t="shared" si="467"/>
        <v>0</v>
      </c>
      <c r="F1129" s="614" t="str">
        <f t="shared" si="475"/>
        <v>-</v>
      </c>
      <c r="G1129" s="37"/>
      <c r="H1129" s="285">
        <f>Preencher!$I$12*SUM(RESUMO!$H$57)*$H$1121</f>
        <v>0</v>
      </c>
      <c r="I1129" s="259">
        <f t="shared" si="468"/>
        <v>0</v>
      </c>
      <c r="J1129" s="613">
        <f t="shared" si="469"/>
        <v>0</v>
      </c>
      <c r="K1129" s="614" t="str">
        <f t="shared" si="470"/>
        <v>-</v>
      </c>
      <c r="L1129" s="37"/>
      <c r="M1129" s="285">
        <f>Preencher!$I$12*SUM(RESUMO!$H$57)*$M$1121</f>
        <v>0</v>
      </c>
      <c r="N1129" s="259">
        <f t="shared" si="471"/>
        <v>0</v>
      </c>
      <c r="O1129" s="613">
        <f t="shared" si="472"/>
        <v>0</v>
      </c>
      <c r="P1129" s="614" t="str">
        <f t="shared" si="473"/>
        <v>-</v>
      </c>
      <c r="Q1129" s="37"/>
      <c r="R1129" s="285">
        <f>Preencher!$I$12*SUM(RESUMO!$H$53)*$R$1121</f>
        <v>0</v>
      </c>
    </row>
    <row r="1130" spans="1:18">
      <c r="A1130" s="200" t="s">
        <v>1518</v>
      </c>
      <c r="B1130" s="284">
        <v>30</v>
      </c>
      <c r="C1130" s="613">
        <f t="shared" si="466"/>
        <v>120</v>
      </c>
      <c r="D1130" s="259">
        <f t="shared" si="474"/>
        <v>0</v>
      </c>
      <c r="E1130" s="613">
        <f t="shared" si="467"/>
        <v>0</v>
      </c>
      <c r="F1130" s="614" t="str">
        <f t="shared" si="475"/>
        <v>-</v>
      </c>
      <c r="G1130" s="37"/>
      <c r="H1130" s="285">
        <f>Preencher!$I$12*SUM(RESUMO!$H$58)*$H$1121</f>
        <v>0</v>
      </c>
      <c r="I1130" s="259">
        <f t="shared" si="468"/>
        <v>0</v>
      </c>
      <c r="J1130" s="613">
        <f t="shared" si="469"/>
        <v>0</v>
      </c>
      <c r="K1130" s="614" t="str">
        <f t="shared" si="470"/>
        <v>-</v>
      </c>
      <c r="L1130" s="37"/>
      <c r="M1130" s="285">
        <f>Preencher!$I$12*SUM(RESUMO!$H$58)*$M$1121</f>
        <v>0</v>
      </c>
      <c r="N1130" s="259">
        <f t="shared" si="471"/>
        <v>0</v>
      </c>
      <c r="O1130" s="613">
        <f t="shared" si="472"/>
        <v>0</v>
      </c>
      <c r="P1130" s="614" t="str">
        <f t="shared" si="473"/>
        <v>-</v>
      </c>
      <c r="Q1130" s="37"/>
      <c r="R1130" s="285">
        <f>Preencher!$I$12*SUM(RESUMO!$H$53)*$R$1121</f>
        <v>0</v>
      </c>
    </row>
    <row r="1131" spans="1:18">
      <c r="A1131" s="200" t="s">
        <v>2140</v>
      </c>
      <c r="B1131" s="284">
        <v>30</v>
      </c>
      <c r="C1131" s="613">
        <f t="shared" si="466"/>
        <v>120</v>
      </c>
      <c r="D1131" s="259">
        <f t="shared" si="474"/>
        <v>0</v>
      </c>
      <c r="E1131" s="613">
        <f t="shared" si="467"/>
        <v>0</v>
      </c>
      <c r="F1131" s="614" t="str">
        <f t="shared" si="475"/>
        <v>-</v>
      </c>
      <c r="G1131" s="37"/>
      <c r="H1131" s="285">
        <f>Preencher!$I$12*SUM(RESUMO!$H$59)*$H$1121</f>
        <v>0</v>
      </c>
      <c r="I1131" s="259">
        <f t="shared" si="468"/>
        <v>0</v>
      </c>
      <c r="J1131" s="613">
        <f t="shared" si="469"/>
        <v>0</v>
      </c>
      <c r="K1131" s="614" t="str">
        <f t="shared" si="470"/>
        <v>-</v>
      </c>
      <c r="L1131" s="37"/>
      <c r="M1131" s="285">
        <f>Preencher!$I$12*SUM(RESUMO!$H$59)*$M$1121</f>
        <v>0</v>
      </c>
      <c r="N1131" s="259">
        <f t="shared" si="471"/>
        <v>0</v>
      </c>
      <c r="O1131" s="613">
        <f t="shared" si="472"/>
        <v>0</v>
      </c>
      <c r="P1131" s="614" t="str">
        <f t="shared" si="473"/>
        <v>-</v>
      </c>
      <c r="Q1131" s="37"/>
      <c r="R1131" s="285">
        <f>Preencher!$I$12*SUM(RESUMO!$H$53)*$R$1121</f>
        <v>0</v>
      </c>
    </row>
    <row r="1132" spans="1:18">
      <c r="A1132" s="200" t="s">
        <v>1525</v>
      </c>
      <c r="B1132" s="284">
        <v>30</v>
      </c>
      <c r="C1132" s="613">
        <f t="shared" si="466"/>
        <v>120</v>
      </c>
      <c r="D1132" s="259">
        <f t="shared" si="474"/>
        <v>0</v>
      </c>
      <c r="E1132" s="613">
        <f t="shared" si="467"/>
        <v>0</v>
      </c>
      <c r="F1132" s="614" t="str">
        <f t="shared" si="475"/>
        <v>-</v>
      </c>
      <c r="G1132" s="37"/>
      <c r="H1132" s="285">
        <f>Preencher!$I$12*SUM(RESUMO!$H$60)*$H$1121</f>
        <v>0</v>
      </c>
      <c r="I1132" s="259">
        <f t="shared" si="468"/>
        <v>0</v>
      </c>
      <c r="J1132" s="613">
        <f t="shared" si="469"/>
        <v>0</v>
      </c>
      <c r="K1132" s="614" t="str">
        <f t="shared" si="470"/>
        <v>-</v>
      </c>
      <c r="L1132" s="37"/>
      <c r="M1132" s="285">
        <f>Preencher!$I$12*SUM(RESUMO!$H$60)*$M$1121</f>
        <v>0</v>
      </c>
      <c r="N1132" s="259">
        <f t="shared" si="471"/>
        <v>0</v>
      </c>
      <c r="O1132" s="613">
        <f t="shared" si="472"/>
        <v>0</v>
      </c>
      <c r="P1132" s="614" t="str">
        <f t="shared" si="473"/>
        <v>-</v>
      </c>
      <c r="Q1132" s="37"/>
      <c r="R1132" s="285">
        <f>Preencher!$I$12*SUM(RESUMO!$H$53)*$R$1121</f>
        <v>0</v>
      </c>
    </row>
    <row r="1133" spans="1:18">
      <c r="A1133" s="200" t="s">
        <v>938</v>
      </c>
      <c r="B1133" s="284">
        <v>30</v>
      </c>
      <c r="C1133" s="613">
        <f t="shared" si="466"/>
        <v>120</v>
      </c>
      <c r="D1133" s="259">
        <f t="shared" si="474"/>
        <v>1.077311179681937</v>
      </c>
      <c r="E1133" s="613">
        <f t="shared" si="467"/>
        <v>2</v>
      </c>
      <c r="F1133" s="614">
        <f t="shared" si="475"/>
        <v>0.53865558984096851</v>
      </c>
      <c r="G1133" s="37"/>
      <c r="H1133" s="285">
        <f>Preencher!$I$12*SUM(RESUMO!$H$61)*$H$1121</f>
        <v>129.27734156183243</v>
      </c>
      <c r="I1133" s="259" t="str">
        <f t="shared" si="468"/>
        <v>-</v>
      </c>
      <c r="J1133" s="613">
        <f t="shared" si="469"/>
        <v>0</v>
      </c>
      <c r="K1133" s="614" t="str">
        <f t="shared" si="470"/>
        <v>-</v>
      </c>
      <c r="L1133" s="37"/>
      <c r="M1133" s="285" t="e">
        <f>Preencher!$I$12*SUM(RESUMO!$H$61)*$M$1115</f>
        <v>#DIV/0!</v>
      </c>
      <c r="N1133" s="259">
        <f t="shared" si="471"/>
        <v>0</v>
      </c>
      <c r="O1133" s="613">
        <f t="shared" si="472"/>
        <v>0</v>
      </c>
      <c r="P1133" s="614" t="str">
        <f t="shared" si="473"/>
        <v>-</v>
      </c>
      <c r="Q1133" s="37"/>
      <c r="R1133" s="285">
        <f>Preencher!$I$12*SUM(RESUMO!$H$53)*$R$1121</f>
        <v>0</v>
      </c>
    </row>
    <row r="1134" spans="1:18">
      <c r="A1134" s="200" t="s">
        <v>1505</v>
      </c>
      <c r="B1134" s="284">
        <v>30</v>
      </c>
      <c r="C1134" s="613">
        <f t="shared" si="466"/>
        <v>120</v>
      </c>
      <c r="D1134" s="259">
        <f t="shared" si="474"/>
        <v>0</v>
      </c>
      <c r="E1134" s="613">
        <f t="shared" si="467"/>
        <v>0</v>
      </c>
      <c r="F1134" s="614" t="str">
        <f t="shared" si="475"/>
        <v>-</v>
      </c>
      <c r="G1134" s="37"/>
      <c r="H1134" s="285">
        <f>Preencher!$I$12*SUM(RESUMO!$H$62)*$H$1121</f>
        <v>0</v>
      </c>
      <c r="I1134" s="259" t="str">
        <f t="shared" si="468"/>
        <v>-</v>
      </c>
      <c r="J1134" s="613">
        <f t="shared" si="469"/>
        <v>0</v>
      </c>
      <c r="K1134" s="614" t="str">
        <f t="shared" si="470"/>
        <v>-</v>
      </c>
      <c r="L1134" s="37"/>
      <c r="M1134" s="285" t="e">
        <f>Preencher!$I$12*SUM(RESUMO!$H$62)*$M$1115</f>
        <v>#DIV/0!</v>
      </c>
      <c r="N1134" s="259">
        <f t="shared" si="471"/>
        <v>0</v>
      </c>
      <c r="O1134" s="613">
        <f t="shared" si="472"/>
        <v>0</v>
      </c>
      <c r="P1134" s="614" t="str">
        <f t="shared" si="473"/>
        <v>-</v>
      </c>
      <c r="Q1134" s="37"/>
      <c r="R1134" s="285">
        <f>Preencher!$I$12*SUM(RESUMO!$H$53)*$R$1121</f>
        <v>0</v>
      </c>
    </row>
    <row r="1135" spans="1:18">
      <c r="A1135" s="621" t="s">
        <v>226</v>
      </c>
      <c r="B1135" s="619"/>
      <c r="C1135" s="617"/>
      <c r="D1135" s="620"/>
      <c r="E1135" s="617">
        <f>ROUNDUP(SUM(D1136)/0.95,0)</f>
        <v>1</v>
      </c>
      <c r="F1135" s="618">
        <f>IFERROR(SUM(D1136)/E1135,0)</f>
        <v>0.49840018988844059</v>
      </c>
      <c r="G1135" s="205"/>
      <c r="H1135" s="622"/>
      <c r="I1135" s="620"/>
      <c r="J1135" s="617">
        <f>ROUNDUP(SUM(I1136)/0.95,0)</f>
        <v>0</v>
      </c>
      <c r="K1135" s="618">
        <f>IFERROR(SUM(I1136)/J1135,0)</f>
        <v>0</v>
      </c>
      <c r="L1135" s="205"/>
      <c r="M1135" s="622"/>
      <c r="N1135" s="620"/>
      <c r="O1135" s="617">
        <f>ROUNDUP(SUM(N1136)/0.95,0)</f>
        <v>0</v>
      </c>
      <c r="P1135" s="618">
        <f>IFERROR(SUM(N1136)/O1135,0)</f>
        <v>0</v>
      </c>
      <c r="Q1135" s="205"/>
      <c r="R1135" s="622"/>
    </row>
    <row r="1136" spans="1:18">
      <c r="A1136" s="200" t="s">
        <v>994</v>
      </c>
      <c r="B1136" s="284">
        <v>30</v>
      </c>
      <c r="C1136" s="613">
        <f t="shared" si="466"/>
        <v>120</v>
      </c>
      <c r="D1136" s="259">
        <f>IFERROR((H1136/C1136),"-")</f>
        <v>0.49840018988844059</v>
      </c>
      <c r="E1136" s="613">
        <f t="shared" si="467"/>
        <v>1</v>
      </c>
      <c r="F1136" s="614">
        <f>IFERROR((H1136/C1136/E1136),"-")</f>
        <v>0.49840018988844059</v>
      </c>
      <c r="G1136" s="37"/>
      <c r="H1136" s="285">
        <f>Preencher!$I$12*SUM(RESUMO!H63:I63)*$H$1121</f>
        <v>59.808022786612874</v>
      </c>
      <c r="I1136" s="259">
        <f t="shared" si="468"/>
        <v>0</v>
      </c>
      <c r="J1136" s="613">
        <f t="shared" si="469"/>
        <v>0</v>
      </c>
      <c r="K1136" s="614" t="str">
        <f t="shared" si="470"/>
        <v>-</v>
      </c>
      <c r="L1136" s="37"/>
      <c r="M1136" s="285">
        <f>Preencher!$I$12*SUM(RESUMO!I63:J63)*$M$1121</f>
        <v>0</v>
      </c>
      <c r="N1136" s="259">
        <f t="shared" si="471"/>
        <v>0</v>
      </c>
      <c r="O1136" s="613">
        <f t="shared" si="472"/>
        <v>0</v>
      </c>
      <c r="P1136" s="614" t="str">
        <f t="shared" si="473"/>
        <v>-</v>
      </c>
      <c r="Q1136" s="37"/>
      <c r="R1136" s="285">
        <f>Preencher!$I$12*SUM(RESUMO!I63:J63)*$R$1121</f>
        <v>0</v>
      </c>
    </row>
    <row r="1137" spans="1:18">
      <c r="A1137" s="621" t="s">
        <v>226</v>
      </c>
      <c r="B1137" s="619"/>
      <c r="C1137" s="617"/>
      <c r="D1137" s="620"/>
      <c r="E1137" s="617">
        <f>ROUNDUP(SUM(D1138:D1141)/0.95,0)</f>
        <v>0</v>
      </c>
      <c r="F1137" s="618">
        <f>IFERROR(SUM(D1138:D1141)/E1137,0)</f>
        <v>0</v>
      </c>
      <c r="G1137" s="205"/>
      <c r="H1137" s="622"/>
      <c r="I1137" s="620"/>
      <c r="J1137" s="617">
        <f>ROUNDUP(SUM(I1138:I1141)/0.95,0)</f>
        <v>0</v>
      </c>
      <c r="K1137" s="618">
        <f>IFERROR(SUM(I1138:I1141)/J1137,0)</f>
        <v>0</v>
      </c>
      <c r="L1137" s="205"/>
      <c r="M1137" s="622"/>
      <c r="N1137" s="620"/>
      <c r="O1137" s="617">
        <f>ROUNDUP(SUM(N1138:N1141)/0.95,0)</f>
        <v>0</v>
      </c>
      <c r="P1137" s="618">
        <f>IFERROR(SUM(N1138:N1141)/O1137,0)</f>
        <v>0</v>
      </c>
      <c r="Q1137" s="205"/>
      <c r="R1137" s="622"/>
    </row>
    <row r="1138" spans="1:18">
      <c r="A1138" s="200" t="s">
        <v>1527</v>
      </c>
      <c r="B1138" s="284">
        <v>30</v>
      </c>
      <c r="C1138" s="613">
        <f t="shared" si="466"/>
        <v>120</v>
      </c>
      <c r="D1138" s="259">
        <f>IFERROR((H1138/C1138),"-")</f>
        <v>0</v>
      </c>
      <c r="E1138" s="613">
        <f t="shared" si="467"/>
        <v>0</v>
      </c>
      <c r="F1138" s="614" t="str">
        <f>IFERROR((H1138/C1138/E1138),"-")</f>
        <v>-</v>
      </c>
      <c r="G1138" s="37"/>
      <c r="H1138" s="285">
        <f>Preencher!$I$12*SUM(RESUMO!I64:J64)*$H$1121</f>
        <v>0</v>
      </c>
      <c r="I1138" s="259">
        <f t="shared" si="468"/>
        <v>0</v>
      </c>
      <c r="J1138" s="613">
        <f t="shared" si="469"/>
        <v>0</v>
      </c>
      <c r="K1138" s="614" t="str">
        <f t="shared" si="470"/>
        <v>-</v>
      </c>
      <c r="L1138" s="37"/>
      <c r="M1138" s="285">
        <f>Preencher!$I$12*SUM(RESUMO!I64:J64)*$M$1121</f>
        <v>0</v>
      </c>
      <c r="N1138" s="259">
        <f t="shared" si="471"/>
        <v>0</v>
      </c>
      <c r="O1138" s="613">
        <f t="shared" si="472"/>
        <v>0</v>
      </c>
      <c r="P1138" s="614" t="str">
        <f t="shared" si="473"/>
        <v>-</v>
      </c>
      <c r="Q1138" s="37"/>
      <c r="R1138" s="285">
        <f>Preencher!$I$12*SUM(RESUMO!I64:J64)*$R$1121</f>
        <v>0</v>
      </c>
    </row>
    <row r="1139" spans="1:18">
      <c r="A1139" s="200" t="s">
        <v>1519</v>
      </c>
      <c r="B1139" s="284">
        <v>30</v>
      </c>
      <c r="C1139" s="613">
        <f t="shared" ref="C1139:C1152" si="476">IF(B1139=0,"-",3600/B1139)</f>
        <v>120</v>
      </c>
      <c r="D1139" s="259">
        <f>IFERROR((H1139/C1139),"-")</f>
        <v>0</v>
      </c>
      <c r="E1139" s="613">
        <f t="shared" ref="E1139:E1152" si="477">IFERROR(ROUNDUP(D1139/0.95,0.999),0)</f>
        <v>0</v>
      </c>
      <c r="F1139" s="614" t="str">
        <f>IFERROR((H1139/C1139/E1139),"-")</f>
        <v>-</v>
      </c>
      <c r="G1139" s="37"/>
      <c r="H1139" s="285">
        <f>Preencher!$I$12*SUM(RESUMO!I66:J66)*$H$1121</f>
        <v>0</v>
      </c>
      <c r="I1139" s="259">
        <f>IFERROR((M1139/C1139),"-")</f>
        <v>0</v>
      </c>
      <c r="J1139" s="613">
        <f>IFERROR(ROUNDUP(I1139/0.95,0.999),0)</f>
        <v>0</v>
      </c>
      <c r="K1139" s="614" t="str">
        <f>IFERROR((M1139/C1139/J1139),"-")</f>
        <v>-</v>
      </c>
      <c r="L1139" s="37"/>
      <c r="M1139" s="285">
        <f>Preencher!$I$12*SUM(RESUMO!I66:J66)*$M$1121</f>
        <v>0</v>
      </c>
      <c r="N1139" s="259">
        <f>IFERROR((R1139/C1139),"-")</f>
        <v>0</v>
      </c>
      <c r="O1139" s="613">
        <f>IFERROR(ROUNDUP(N1139/0.95,0.999),0)</f>
        <v>0</v>
      </c>
      <c r="P1139" s="614" t="str">
        <f>IFERROR((R1139/C1139/O1139),"-")</f>
        <v>-</v>
      </c>
      <c r="Q1139" s="37"/>
      <c r="R1139" s="285">
        <f>Preencher!$I$12*SUM(RESUMO!I66:J66)*$R$1121</f>
        <v>0</v>
      </c>
    </row>
    <row r="1140" spans="1:18">
      <c r="A1140" s="200" t="s">
        <v>1520</v>
      </c>
      <c r="B1140" s="284">
        <v>30</v>
      </c>
      <c r="C1140" s="613">
        <f t="shared" si="476"/>
        <v>120</v>
      </c>
      <c r="D1140" s="259">
        <f>IFERROR((H1140/C1140),"-")</f>
        <v>0</v>
      </c>
      <c r="E1140" s="613">
        <f t="shared" si="477"/>
        <v>0</v>
      </c>
      <c r="F1140" s="614" t="str">
        <f>IFERROR((H1140/C1140/E1140),"-")</f>
        <v>-</v>
      </c>
      <c r="G1140" s="37"/>
      <c r="H1140" s="285">
        <f>Preencher!$I$12*SUM(RESUMO!I67:J67)*$H$1121</f>
        <v>0</v>
      </c>
      <c r="I1140" s="259">
        <f t="shared" ref="I1140:I1152" si="478">IFERROR((M1140/C1140),"-")</f>
        <v>0</v>
      </c>
      <c r="J1140" s="613">
        <f t="shared" ref="J1140:J1152" si="479">IFERROR(ROUNDUP(I1140/0.95,0.999),0)</f>
        <v>0</v>
      </c>
      <c r="K1140" s="614" t="str">
        <f t="shared" ref="K1140:K1152" si="480">IFERROR((M1140/C1140/J1140),"-")</f>
        <v>-</v>
      </c>
      <c r="L1140" s="37"/>
      <c r="M1140" s="285">
        <f>Preencher!$I$12*SUM(RESUMO!I67:J67)*$M$1121</f>
        <v>0</v>
      </c>
      <c r="N1140" s="259">
        <f t="shared" ref="N1140:N1152" si="481">IFERROR((R1140/C1140),"-")</f>
        <v>0</v>
      </c>
      <c r="O1140" s="613">
        <f t="shared" ref="O1140:O1152" si="482">IFERROR(ROUNDUP(N1140/0.95,0.999),0)</f>
        <v>0</v>
      </c>
      <c r="P1140" s="614" t="str">
        <f t="shared" ref="P1140:P1152" si="483">IFERROR((R1140/C1140/O1140),"-")</f>
        <v>-</v>
      </c>
      <c r="Q1140" s="37"/>
      <c r="R1140" s="285">
        <f>Preencher!$I$12*SUM(RESUMO!I67:J67)*$R$1121</f>
        <v>0</v>
      </c>
    </row>
    <row r="1141" spans="1:18">
      <c r="A1141" s="200" t="s">
        <v>1521</v>
      </c>
      <c r="B1141" s="284">
        <v>30</v>
      </c>
      <c r="C1141" s="613">
        <f t="shared" si="476"/>
        <v>120</v>
      </c>
      <c r="D1141" s="259">
        <f>IFERROR((H1141/C1141),"-")</f>
        <v>0</v>
      </c>
      <c r="E1141" s="613">
        <f t="shared" si="477"/>
        <v>0</v>
      </c>
      <c r="F1141" s="614" t="str">
        <f>IFERROR((H1141/C1141/E1141),"-")</f>
        <v>-</v>
      </c>
      <c r="G1141" s="37"/>
      <c r="H1141" s="285">
        <f>Preencher!$I$12*SUM(RESUMO!I68:J68)*$H$1121</f>
        <v>0</v>
      </c>
      <c r="I1141" s="259">
        <f t="shared" si="478"/>
        <v>0</v>
      </c>
      <c r="J1141" s="613">
        <f t="shared" si="479"/>
        <v>0</v>
      </c>
      <c r="K1141" s="614" t="str">
        <f t="shared" si="480"/>
        <v>-</v>
      </c>
      <c r="L1141" s="37"/>
      <c r="M1141" s="285">
        <f>Preencher!$I$12*SUM(RESUMO!I68:J68)*$M$1121</f>
        <v>0</v>
      </c>
      <c r="N1141" s="259">
        <f t="shared" si="481"/>
        <v>0</v>
      </c>
      <c r="O1141" s="613">
        <f t="shared" si="482"/>
        <v>0</v>
      </c>
      <c r="P1141" s="614" t="str">
        <f t="shared" si="483"/>
        <v>-</v>
      </c>
      <c r="Q1141" s="37"/>
      <c r="R1141" s="285">
        <f>Preencher!$I$12*SUM(RESUMO!I68:J68)*$R$1121</f>
        <v>0</v>
      </c>
    </row>
    <row r="1142" spans="1:18">
      <c r="A1142" s="621" t="s">
        <v>226</v>
      </c>
      <c r="B1142" s="619"/>
      <c r="C1142" s="617"/>
      <c r="D1142" s="620"/>
      <c r="E1142" s="617">
        <f>ROUNDUP(SUM(D1143:D1147)/0.95,0)</f>
        <v>0</v>
      </c>
      <c r="F1142" s="618">
        <f>IFERROR(SUM(D1143:D1147)/E1142,0)</f>
        <v>0</v>
      </c>
      <c r="G1142" s="205"/>
      <c r="H1142" s="622"/>
      <c r="I1142" s="620"/>
      <c r="J1142" s="617">
        <f>ROUNDUP(SUM(I1143:I1147)/0.95,0)</f>
        <v>0</v>
      </c>
      <c r="K1142" s="618">
        <f>IFERROR(SUM(I1143:I1147)/J1142,0)</f>
        <v>0</v>
      </c>
      <c r="L1142" s="205"/>
      <c r="M1142" s="622"/>
      <c r="N1142" s="620"/>
      <c r="O1142" s="617">
        <f>ROUNDUP(SUM(N1143:N1147)/0.95,0)</f>
        <v>0</v>
      </c>
      <c r="P1142" s="618">
        <f>IFERROR(SUM(N1143:N1147)/O1142,0)</f>
        <v>0</v>
      </c>
      <c r="Q1142" s="205"/>
      <c r="R1142" s="622"/>
    </row>
    <row r="1143" spans="1:18">
      <c r="A1143" s="200" t="s">
        <v>1514</v>
      </c>
      <c r="B1143" s="284">
        <v>30</v>
      </c>
      <c r="C1143" s="613">
        <f t="shared" si="476"/>
        <v>120</v>
      </c>
      <c r="D1143" s="259">
        <f>IFERROR((H1143/C1143),"-")</f>
        <v>0</v>
      </c>
      <c r="E1143" s="613">
        <f t="shared" si="477"/>
        <v>0</v>
      </c>
      <c r="F1143" s="614" t="str">
        <f>IFERROR((H1143/C1143/E1143),"-")</f>
        <v>-</v>
      </c>
      <c r="G1143" s="37"/>
      <c r="H1143" s="285">
        <f>Preencher!$I$12*SUM(RESUMO!H74:I74)*$H$1121</f>
        <v>0</v>
      </c>
      <c r="I1143" s="259">
        <f t="shared" si="478"/>
        <v>0</v>
      </c>
      <c r="J1143" s="613">
        <f t="shared" si="479"/>
        <v>0</v>
      </c>
      <c r="K1143" s="614" t="str">
        <f t="shared" si="480"/>
        <v>-</v>
      </c>
      <c r="L1143" s="37"/>
      <c r="M1143" s="285">
        <f>Preencher!$I$12*SUM(RESUMO!H74)*$M$1121</f>
        <v>0</v>
      </c>
      <c r="N1143" s="259">
        <f t="shared" si="481"/>
        <v>0</v>
      </c>
      <c r="O1143" s="613">
        <f t="shared" si="482"/>
        <v>0</v>
      </c>
      <c r="P1143" s="614" t="str">
        <f t="shared" si="483"/>
        <v>-</v>
      </c>
      <c r="Q1143" s="37"/>
      <c r="R1143" s="285">
        <f>Preencher!$I$12*SUM(RESUMO!H74)*$R$1121</f>
        <v>0</v>
      </c>
    </row>
    <row r="1144" spans="1:18">
      <c r="A1144" s="200" t="s">
        <v>1513</v>
      </c>
      <c r="B1144" s="284">
        <v>30</v>
      </c>
      <c r="C1144" s="613">
        <f t="shared" si="476"/>
        <v>120</v>
      </c>
      <c r="D1144" s="259">
        <f>IFERROR((H1144/C1144),"-")</f>
        <v>0</v>
      </c>
      <c r="E1144" s="613">
        <f t="shared" si="477"/>
        <v>0</v>
      </c>
      <c r="F1144" s="614" t="str">
        <f>IFERROR((H1144/C1144/E1144),"-")</f>
        <v>-</v>
      </c>
      <c r="G1144" s="37"/>
      <c r="H1144" s="285">
        <f>Preencher!$I$12*SUM(RESUMO!H75:I75)*$H$1121</f>
        <v>0</v>
      </c>
      <c r="I1144" s="259">
        <f t="shared" si="478"/>
        <v>0</v>
      </c>
      <c r="J1144" s="613">
        <f t="shared" si="479"/>
        <v>0</v>
      </c>
      <c r="K1144" s="614" t="str">
        <f t="shared" si="480"/>
        <v>-</v>
      </c>
      <c r="L1144" s="37"/>
      <c r="M1144" s="285">
        <f>Preencher!$I$12*SUM(RESUMO!H75)*$M$1121</f>
        <v>0</v>
      </c>
      <c r="N1144" s="259">
        <f t="shared" si="481"/>
        <v>0</v>
      </c>
      <c r="O1144" s="613">
        <f t="shared" si="482"/>
        <v>0</v>
      </c>
      <c r="P1144" s="614" t="str">
        <f t="shared" si="483"/>
        <v>-</v>
      </c>
      <c r="Q1144" s="37"/>
      <c r="R1144" s="285">
        <f>Preencher!$I$12*SUM(RESUMO!H75)*$R$1121</f>
        <v>0</v>
      </c>
    </row>
    <row r="1145" spans="1:18">
      <c r="A1145" s="200" t="s">
        <v>1512</v>
      </c>
      <c r="B1145" s="284">
        <v>30</v>
      </c>
      <c r="C1145" s="613">
        <f t="shared" si="476"/>
        <v>120</v>
      </c>
      <c r="D1145" s="259">
        <f>IFERROR((H1145/C1145),"-")</f>
        <v>0</v>
      </c>
      <c r="E1145" s="613">
        <f t="shared" si="477"/>
        <v>0</v>
      </c>
      <c r="F1145" s="614" t="str">
        <f>IFERROR((H1145/C1145/E1145),"-")</f>
        <v>-</v>
      </c>
      <c r="G1145" s="37"/>
      <c r="H1145" s="285">
        <f>Preencher!$I$12*SUM(RESUMO!H76:I76)*$H$1121</f>
        <v>0</v>
      </c>
      <c r="I1145" s="259">
        <f t="shared" si="478"/>
        <v>0</v>
      </c>
      <c r="J1145" s="613">
        <f t="shared" si="479"/>
        <v>0</v>
      </c>
      <c r="K1145" s="614" t="str">
        <f t="shared" si="480"/>
        <v>-</v>
      </c>
      <c r="L1145" s="37"/>
      <c r="M1145" s="285">
        <f>Preencher!$I$12*SUM(RESUMO!H76)*$M$1121</f>
        <v>0</v>
      </c>
      <c r="N1145" s="259">
        <f t="shared" si="481"/>
        <v>0</v>
      </c>
      <c r="O1145" s="613">
        <f t="shared" si="482"/>
        <v>0</v>
      </c>
      <c r="P1145" s="614" t="str">
        <f t="shared" si="483"/>
        <v>-</v>
      </c>
      <c r="Q1145" s="37"/>
      <c r="R1145" s="285">
        <f>Preencher!$I$12*SUM(RESUMO!H76)*$R$1121</f>
        <v>0</v>
      </c>
    </row>
    <row r="1146" spans="1:18">
      <c r="A1146" s="200" t="s">
        <v>1516</v>
      </c>
      <c r="B1146" s="284">
        <v>30</v>
      </c>
      <c r="C1146" s="613">
        <f t="shared" si="476"/>
        <v>120</v>
      </c>
      <c r="D1146" s="259">
        <f>IFERROR((H1146/C1146),"-")</f>
        <v>0</v>
      </c>
      <c r="E1146" s="613">
        <f t="shared" si="477"/>
        <v>0</v>
      </c>
      <c r="F1146" s="614" t="str">
        <f>IFERROR((H1146/C1146/E1146),"-")</f>
        <v>-</v>
      </c>
      <c r="G1146" s="37"/>
      <c r="H1146" s="285">
        <f>Preencher!$I$12*SUM(RESUMO!H77:I77)*$H$1121</f>
        <v>0</v>
      </c>
      <c r="I1146" s="259">
        <f t="shared" si="478"/>
        <v>0</v>
      </c>
      <c r="J1146" s="613">
        <f t="shared" si="479"/>
        <v>0</v>
      </c>
      <c r="K1146" s="614" t="str">
        <f t="shared" si="480"/>
        <v>-</v>
      </c>
      <c r="L1146" s="37"/>
      <c r="M1146" s="285">
        <f>Preencher!$I$12*SUM(RESUMO!H77)*$M$1121</f>
        <v>0</v>
      </c>
      <c r="N1146" s="259">
        <f t="shared" si="481"/>
        <v>0</v>
      </c>
      <c r="O1146" s="613">
        <f t="shared" si="482"/>
        <v>0</v>
      </c>
      <c r="P1146" s="614" t="str">
        <f t="shared" si="483"/>
        <v>-</v>
      </c>
      <c r="Q1146" s="37"/>
      <c r="R1146" s="285">
        <f>Preencher!$I$12*SUM(RESUMO!H77)*$R$1121</f>
        <v>0</v>
      </c>
    </row>
    <row r="1147" spans="1:18">
      <c r="A1147" s="200" t="s">
        <v>1515</v>
      </c>
      <c r="B1147" s="284">
        <v>30</v>
      </c>
      <c r="C1147" s="613">
        <f t="shared" si="476"/>
        <v>120</v>
      </c>
      <c r="D1147" s="259">
        <f>IFERROR((H1147/C1147),"-")</f>
        <v>0</v>
      </c>
      <c r="E1147" s="613">
        <f t="shared" si="477"/>
        <v>0</v>
      </c>
      <c r="F1147" s="614" t="str">
        <f>IFERROR((H1147/C1147/E1147),"-")</f>
        <v>-</v>
      </c>
      <c r="G1147" s="37"/>
      <c r="H1147" s="285">
        <f>Preencher!$I$12*SUM(RESUMO!H78)*$H$1121</f>
        <v>0</v>
      </c>
      <c r="I1147" s="259">
        <f t="shared" si="478"/>
        <v>0</v>
      </c>
      <c r="J1147" s="613">
        <f t="shared" si="479"/>
        <v>0</v>
      </c>
      <c r="K1147" s="614" t="str">
        <f t="shared" si="480"/>
        <v>-</v>
      </c>
      <c r="L1147" s="37"/>
      <c r="M1147" s="285">
        <f>Preencher!$I$12*SUM(RESUMO!H78)*$M$1121</f>
        <v>0</v>
      </c>
      <c r="N1147" s="259">
        <f t="shared" si="481"/>
        <v>0</v>
      </c>
      <c r="O1147" s="613">
        <f t="shared" si="482"/>
        <v>0</v>
      </c>
      <c r="P1147" s="614" t="str">
        <f t="shared" si="483"/>
        <v>-</v>
      </c>
      <c r="Q1147" s="37"/>
      <c r="R1147" s="285">
        <f>Preencher!$I$12*SUM(RESUMO!H78)*$R$1121</f>
        <v>0</v>
      </c>
    </row>
    <row r="1148" spans="1:18">
      <c r="A1148" s="621" t="s">
        <v>226</v>
      </c>
      <c r="B1148" s="619"/>
      <c r="C1148" s="617"/>
      <c r="D1148" s="620"/>
      <c r="E1148" s="617">
        <f>ROUNDUP(SUM(D1149:D1152)/0.95,0)</f>
        <v>0</v>
      </c>
      <c r="F1148" s="618">
        <f>IFERROR(SUM(D1149:D1152)/E1148,0)</f>
        <v>0</v>
      </c>
      <c r="G1148" s="205"/>
      <c r="H1148" s="622"/>
      <c r="I1148" s="620"/>
      <c r="J1148" s="617">
        <f>ROUNDUP(SUM(I1149:I1152)/0.95,0)</f>
        <v>0</v>
      </c>
      <c r="K1148" s="618">
        <f>IFERROR(SUM(I1149:I1152)/J1148,0)</f>
        <v>0</v>
      </c>
      <c r="L1148" s="205"/>
      <c r="M1148" s="622"/>
      <c r="N1148" s="620"/>
      <c r="O1148" s="617">
        <f>ROUNDUP(SUM(N1149:N1152)/0.95,0)</f>
        <v>0</v>
      </c>
      <c r="P1148" s="618">
        <f>IFERROR(SUM(N1149:N1152)/O1148,0)</f>
        <v>0</v>
      </c>
      <c r="Q1148" s="205"/>
      <c r="R1148" s="622"/>
    </row>
    <row r="1149" spans="1:18">
      <c r="A1149" s="200" t="s">
        <v>1806</v>
      </c>
      <c r="B1149" s="284">
        <v>30</v>
      </c>
      <c r="C1149" s="613">
        <f t="shared" si="476"/>
        <v>120</v>
      </c>
      <c r="D1149" s="259">
        <f>IFERROR((H1149/C1149),"-")</f>
        <v>0</v>
      </c>
      <c r="E1149" s="613">
        <f t="shared" si="477"/>
        <v>0</v>
      </c>
      <c r="F1149" s="614" t="str">
        <f>IFERROR((H1149/C1149/E1149),"-")</f>
        <v>-</v>
      </c>
      <c r="G1149" s="37"/>
      <c r="H1149" s="285">
        <f>Preencher!$I$12*SUM(RESUMO!I85:J85)*$H$1121</f>
        <v>0</v>
      </c>
      <c r="I1149" s="259">
        <f t="shared" si="478"/>
        <v>0</v>
      </c>
      <c r="J1149" s="613">
        <f t="shared" si="479"/>
        <v>0</v>
      </c>
      <c r="K1149" s="614" t="str">
        <f t="shared" si="480"/>
        <v>-</v>
      </c>
      <c r="L1149" s="37"/>
      <c r="M1149" s="285">
        <f>Preencher!$I$12*SUM(RESUMO!I85:J85)*$M$1121</f>
        <v>0</v>
      </c>
      <c r="N1149" s="259">
        <f t="shared" si="481"/>
        <v>0</v>
      </c>
      <c r="O1149" s="613">
        <f t="shared" si="482"/>
        <v>0</v>
      </c>
      <c r="P1149" s="614" t="str">
        <f t="shared" si="483"/>
        <v>-</v>
      </c>
      <c r="Q1149" s="37"/>
      <c r="R1149" s="285">
        <f>Preencher!$I$12*SUM(RESUMO!I85:J85)*$R$1121</f>
        <v>0</v>
      </c>
    </row>
    <row r="1150" spans="1:18">
      <c r="A1150" s="200" t="s">
        <v>1808</v>
      </c>
      <c r="B1150" s="284">
        <v>30</v>
      </c>
      <c r="C1150" s="613">
        <f t="shared" si="476"/>
        <v>120</v>
      </c>
      <c r="D1150" s="259">
        <f>IFERROR((H1150/C1150),"-")</f>
        <v>0</v>
      </c>
      <c r="E1150" s="613">
        <f t="shared" si="477"/>
        <v>0</v>
      </c>
      <c r="F1150" s="614" t="str">
        <f>IFERROR((H1150/C1150/E1150),"-")</f>
        <v>-</v>
      </c>
      <c r="G1150" s="37"/>
      <c r="H1150" s="285">
        <f>Preencher!$I$12*SUM(RESUMO!I86:J86)*$H$1121</f>
        <v>0</v>
      </c>
      <c r="I1150" s="259">
        <f t="shared" si="478"/>
        <v>0</v>
      </c>
      <c r="J1150" s="613">
        <f t="shared" si="479"/>
        <v>0</v>
      </c>
      <c r="K1150" s="614" t="str">
        <f t="shared" si="480"/>
        <v>-</v>
      </c>
      <c r="L1150" s="37"/>
      <c r="M1150" s="285">
        <f>Preencher!$I$12*SUM(RESUMO!I86:J86)*$M$1121</f>
        <v>0</v>
      </c>
      <c r="N1150" s="259">
        <f t="shared" si="481"/>
        <v>0</v>
      </c>
      <c r="O1150" s="613">
        <f t="shared" si="482"/>
        <v>0</v>
      </c>
      <c r="P1150" s="614" t="str">
        <f t="shared" si="483"/>
        <v>-</v>
      </c>
      <c r="Q1150" s="37"/>
      <c r="R1150" s="285">
        <f>Preencher!$I$12*SUM(RESUMO!I86:J86)*$R$1121</f>
        <v>0</v>
      </c>
    </row>
    <row r="1151" spans="1:18">
      <c r="A1151" s="200" t="s">
        <v>1810</v>
      </c>
      <c r="B1151" s="284">
        <v>30</v>
      </c>
      <c r="C1151" s="613">
        <f t="shared" si="476"/>
        <v>120</v>
      </c>
      <c r="D1151" s="259">
        <f>IFERROR((H1151/C1151),"-")</f>
        <v>0</v>
      </c>
      <c r="E1151" s="613">
        <f t="shared" si="477"/>
        <v>0</v>
      </c>
      <c r="F1151" s="614" t="str">
        <f>IFERROR((H1151/C1151/E1151),"-")</f>
        <v>-</v>
      </c>
      <c r="G1151" s="37"/>
      <c r="H1151" s="285">
        <f>Preencher!$I$12*SUM(RESUMO!I87:J87)*$H$1121</f>
        <v>0</v>
      </c>
      <c r="I1151" s="259">
        <f t="shared" si="478"/>
        <v>0</v>
      </c>
      <c r="J1151" s="613">
        <f t="shared" si="479"/>
        <v>0</v>
      </c>
      <c r="K1151" s="614" t="str">
        <f t="shared" si="480"/>
        <v>-</v>
      </c>
      <c r="L1151" s="37"/>
      <c r="M1151" s="285">
        <f>Preencher!$I$12*SUM(RESUMO!I87:J87)*$M$1121</f>
        <v>0</v>
      </c>
      <c r="N1151" s="259">
        <f t="shared" si="481"/>
        <v>0</v>
      </c>
      <c r="O1151" s="613">
        <f t="shared" si="482"/>
        <v>0</v>
      </c>
      <c r="P1151" s="614" t="str">
        <f t="shared" si="483"/>
        <v>-</v>
      </c>
      <c r="Q1151" s="37"/>
      <c r="R1151" s="285">
        <f>Preencher!$I$12*SUM(RESUMO!I87:J87)*$R$1121</f>
        <v>0</v>
      </c>
    </row>
    <row r="1152" spans="1:18">
      <c r="A1152" s="200" t="s">
        <v>1811</v>
      </c>
      <c r="B1152" s="284">
        <v>30</v>
      </c>
      <c r="C1152" s="613">
        <f t="shared" si="476"/>
        <v>120</v>
      </c>
      <c r="D1152" s="259">
        <f>IFERROR((H1152/C1152),"-")</f>
        <v>0</v>
      </c>
      <c r="E1152" s="613">
        <f t="shared" si="477"/>
        <v>0</v>
      </c>
      <c r="F1152" s="614" t="str">
        <f>IFERROR((H1152/C1152/E1152),"-")</f>
        <v>-</v>
      </c>
      <c r="G1152" s="37"/>
      <c r="H1152" s="285">
        <f>Preencher!$I$12*SUM(RESUMO!I89:J89)*$H$1121</f>
        <v>0</v>
      </c>
      <c r="I1152" s="259">
        <f t="shared" si="478"/>
        <v>0</v>
      </c>
      <c r="J1152" s="613">
        <f t="shared" si="479"/>
        <v>0</v>
      </c>
      <c r="K1152" s="614" t="str">
        <f t="shared" si="480"/>
        <v>-</v>
      </c>
      <c r="L1152" s="37"/>
      <c r="M1152" s="285">
        <f>Preencher!$I$12*SUM(RESUMO!I89:J89)*$M$1121</f>
        <v>0</v>
      </c>
      <c r="N1152" s="259">
        <f t="shared" si="481"/>
        <v>0</v>
      </c>
      <c r="O1152" s="613">
        <f t="shared" si="482"/>
        <v>0</v>
      </c>
      <c r="P1152" s="614" t="str">
        <f t="shared" si="483"/>
        <v>-</v>
      </c>
      <c r="Q1152" s="37"/>
      <c r="R1152" s="285">
        <f>Preencher!$I$12*SUM(RESUMO!I89:J89)*$R$1121</f>
        <v>0</v>
      </c>
    </row>
    <row r="1153" spans="1:18">
      <c r="A1153" s="621" t="s">
        <v>226</v>
      </c>
      <c r="B1153" s="619"/>
      <c r="C1153" s="617"/>
      <c r="D1153" s="620"/>
      <c r="E1153" s="617">
        <f>ROUNDUP(SUM(D1154:D1164)/0.95,0)</f>
        <v>1</v>
      </c>
      <c r="F1153" s="618">
        <f>IFERROR(SUM(D1154:D1164)/E1153,0)</f>
        <v>0.4144354774903079</v>
      </c>
      <c r="G1153" s="205"/>
      <c r="H1153" s="622">
        <f>Preencher!$B$138/SUM(Preencher!$B$138:$D$138)</f>
        <v>1</v>
      </c>
      <c r="I1153" s="620"/>
      <c r="J1153" s="617">
        <f>ROUNDUP(SUM(I1154:I1164)/0.95,0)</f>
        <v>0</v>
      </c>
      <c r="K1153" s="618">
        <f>IFERROR(SUM(I1154:I1164)/J1153,0)</f>
        <v>0</v>
      </c>
      <c r="L1153" s="205"/>
      <c r="M1153" s="622">
        <f>Preencher!$C$138/SUM(Preencher!$B$138:$D$138)</f>
        <v>0</v>
      </c>
      <c r="N1153" s="620"/>
      <c r="O1153" s="617">
        <f>ROUNDUP(SUM(N1154:N1164)/0.95,0)</f>
        <v>0</v>
      </c>
      <c r="P1153" s="618">
        <f>IFERROR(SUM(N1154:N1164)/O1153,0)</f>
        <v>0</v>
      </c>
      <c r="Q1153" s="205"/>
      <c r="R1153" s="622">
        <f>Preencher!$D$138/SUM(Preencher!$B$138:$D$138)</f>
        <v>0</v>
      </c>
    </row>
    <row r="1154" spans="1:18">
      <c r="A1154" s="200" t="s">
        <v>1593</v>
      </c>
      <c r="B1154" s="284">
        <v>30</v>
      </c>
      <c r="C1154" s="616">
        <f>IF(B1154=0,"-",3600/B1154)</f>
        <v>120</v>
      </c>
      <c r="D1154" s="259">
        <f t="shared" ref="D1154:D1164" si="484">IFERROR((H1154/C1154),"-")</f>
        <v>0.39776881082364124</v>
      </c>
      <c r="E1154" s="616">
        <f>IFERROR(ROUNDUP(D1154/0.95,0.999),0)</f>
        <v>1</v>
      </c>
      <c r="F1154" s="615">
        <f t="shared" ref="F1154:F1164" si="485">IFERROR((H1154/C1154/E1154),"-")</f>
        <v>0.39776881082364124</v>
      </c>
      <c r="G1154" s="37"/>
      <c r="H1154" s="285">
        <f>Preencher!$I$12*SUM(RESUMO!I101:J101)*$H$1153</f>
        <v>47.732257298836949</v>
      </c>
      <c r="I1154" s="259">
        <f>IFERROR((M1154/C1154),"-")</f>
        <v>0</v>
      </c>
      <c r="J1154" s="616">
        <f>IFERROR(ROUNDUP(I1154/0.95,0.999),0)</f>
        <v>0</v>
      </c>
      <c r="K1154" s="615" t="str">
        <f>IFERROR((M1154/C1154/J1154),"-")</f>
        <v>-</v>
      </c>
      <c r="L1154" s="37"/>
      <c r="M1154" s="285">
        <f>Preencher!$I$12*SUM(RESUMO!I101:J101)*$M$1153</f>
        <v>0</v>
      </c>
      <c r="N1154" s="259">
        <f t="shared" ref="N1154:N1164" si="486">IFERROR((R1154/C1154),"-")</f>
        <v>0</v>
      </c>
      <c r="O1154" s="616">
        <f t="shared" ref="O1154:O1164" si="487">IFERROR(ROUNDUP(N1154/0.95,0.999),0)</f>
        <v>0</v>
      </c>
      <c r="P1154" s="615" t="str">
        <f t="shared" ref="P1154:P1164" si="488">IFERROR((R1154/C1154/O1154),"-")</f>
        <v>-</v>
      </c>
      <c r="Q1154" s="37"/>
      <c r="R1154" s="285">
        <f>Preencher!$I$12*SUM(RESUMO!I101:J101)*$R$1153</f>
        <v>0</v>
      </c>
    </row>
    <row r="1155" spans="1:18">
      <c r="A1155" s="200" t="s">
        <v>1592</v>
      </c>
      <c r="B1155" s="284">
        <v>30</v>
      </c>
      <c r="C1155" s="616">
        <f t="shared" ref="C1155:C1164" si="489">IF(B1155=0,"-",3600/B1155)</f>
        <v>120</v>
      </c>
      <c r="D1155" s="259">
        <f t="shared" si="484"/>
        <v>0</v>
      </c>
      <c r="E1155" s="616">
        <f t="shared" ref="E1155:E1164" si="490">IFERROR(ROUNDUP(D1155/0.95,0.999),0)</f>
        <v>0</v>
      </c>
      <c r="F1155" s="615" t="str">
        <f t="shared" si="485"/>
        <v>-</v>
      </c>
      <c r="G1155" s="37"/>
      <c r="H1155" s="285">
        <f>Preencher!$I$12*SUM(RESUMO!I102:J102)*$H$1153</f>
        <v>0</v>
      </c>
      <c r="I1155" s="259">
        <f t="shared" ref="I1155:I1164" si="491">IFERROR((M1155/C1155),"-")</f>
        <v>0</v>
      </c>
      <c r="J1155" s="616">
        <f t="shared" ref="J1155:J1164" si="492">IFERROR(ROUNDUP(I1155/0.95,0.999),0)</f>
        <v>0</v>
      </c>
      <c r="K1155" s="615" t="str">
        <f t="shared" ref="K1155:K1164" si="493">IFERROR((M1155/C1155/J1155),"-")</f>
        <v>-</v>
      </c>
      <c r="L1155" s="37"/>
      <c r="M1155" s="285">
        <f>Preencher!$I$12*SUM(RESUMO!I102:J102)*$M$1153</f>
        <v>0</v>
      </c>
      <c r="N1155" s="259">
        <f t="shared" si="486"/>
        <v>0</v>
      </c>
      <c r="O1155" s="616">
        <f t="shared" si="487"/>
        <v>0</v>
      </c>
      <c r="P1155" s="615" t="str">
        <f t="shared" si="488"/>
        <v>-</v>
      </c>
      <c r="Q1155" s="37"/>
      <c r="R1155" s="285">
        <f>Preencher!$I$12*SUM(RESUMO!I102:J102)*$R$1153</f>
        <v>0</v>
      </c>
    </row>
    <row r="1156" spans="1:18">
      <c r="A1156" s="200" t="s">
        <v>1594</v>
      </c>
      <c r="B1156" s="284">
        <v>30</v>
      </c>
      <c r="C1156" s="616">
        <f t="shared" si="489"/>
        <v>120</v>
      </c>
      <c r="D1156" s="259">
        <f t="shared" si="484"/>
        <v>0</v>
      </c>
      <c r="E1156" s="616">
        <f t="shared" si="490"/>
        <v>0</v>
      </c>
      <c r="F1156" s="615" t="str">
        <f t="shared" si="485"/>
        <v>-</v>
      </c>
      <c r="G1156" s="37"/>
      <c r="H1156" s="285">
        <f>Preencher!$I$12*SUM(RESUMO!I103:J103)*$H$1153</f>
        <v>0</v>
      </c>
      <c r="I1156" s="259">
        <f t="shared" si="491"/>
        <v>0</v>
      </c>
      <c r="J1156" s="616">
        <f t="shared" si="492"/>
        <v>0</v>
      </c>
      <c r="K1156" s="615" t="str">
        <f t="shared" si="493"/>
        <v>-</v>
      </c>
      <c r="L1156" s="37"/>
      <c r="M1156" s="285">
        <f>Preencher!$I$12*SUM(RESUMO!I103:J103)*$M$1153</f>
        <v>0</v>
      </c>
      <c r="N1156" s="259">
        <f t="shared" si="486"/>
        <v>0</v>
      </c>
      <c r="O1156" s="616">
        <f t="shared" si="487"/>
        <v>0</v>
      </c>
      <c r="P1156" s="615" t="str">
        <f t="shared" si="488"/>
        <v>-</v>
      </c>
      <c r="Q1156" s="37"/>
      <c r="R1156" s="285">
        <f>Preencher!$I$12*SUM(RESUMO!I103:J103)*$R$1153</f>
        <v>0</v>
      </c>
    </row>
    <row r="1157" spans="1:18">
      <c r="A1157" s="200" t="s">
        <v>1595</v>
      </c>
      <c r="B1157" s="284">
        <v>30</v>
      </c>
      <c r="C1157" s="616">
        <f t="shared" si="489"/>
        <v>120</v>
      </c>
      <c r="D1157" s="259">
        <f t="shared" si="484"/>
        <v>0</v>
      </c>
      <c r="E1157" s="616">
        <f t="shared" si="490"/>
        <v>0</v>
      </c>
      <c r="F1157" s="615" t="str">
        <f t="shared" si="485"/>
        <v>-</v>
      </c>
      <c r="G1157" s="37"/>
      <c r="H1157" s="285">
        <f>Preencher!$I$12*SUM(RESUMO!I104:J104)*$H$1153</f>
        <v>0</v>
      </c>
      <c r="I1157" s="259">
        <f t="shared" si="491"/>
        <v>0</v>
      </c>
      <c r="J1157" s="616">
        <f t="shared" si="492"/>
        <v>0</v>
      </c>
      <c r="K1157" s="615" t="str">
        <f t="shared" si="493"/>
        <v>-</v>
      </c>
      <c r="L1157" s="37"/>
      <c r="M1157" s="285">
        <f>Preencher!$I$12*SUM(RESUMO!I104:J104)*$M$1153</f>
        <v>0</v>
      </c>
      <c r="N1157" s="259">
        <f t="shared" si="486"/>
        <v>0</v>
      </c>
      <c r="O1157" s="616">
        <f t="shared" si="487"/>
        <v>0</v>
      </c>
      <c r="P1157" s="615" t="str">
        <f t="shared" si="488"/>
        <v>-</v>
      </c>
      <c r="Q1157" s="37"/>
      <c r="R1157" s="285">
        <f>Preencher!$I$12*SUM(RESUMO!I104:J104)*$R$1153</f>
        <v>0</v>
      </c>
    </row>
    <row r="1158" spans="1:18">
      <c r="A1158" s="200" t="s">
        <v>1596</v>
      </c>
      <c r="B1158" s="284">
        <v>30</v>
      </c>
      <c r="C1158" s="616">
        <f t="shared" si="489"/>
        <v>120</v>
      </c>
      <c r="D1158" s="259">
        <f t="shared" si="484"/>
        <v>0</v>
      </c>
      <c r="E1158" s="616">
        <f t="shared" si="490"/>
        <v>0</v>
      </c>
      <c r="F1158" s="615" t="str">
        <f t="shared" si="485"/>
        <v>-</v>
      </c>
      <c r="G1158" s="37"/>
      <c r="H1158" s="285">
        <f>Preencher!$I$12*SUM(RESUMO!I105:J105)*$H$1153</f>
        <v>0</v>
      </c>
      <c r="I1158" s="259">
        <f t="shared" si="491"/>
        <v>0</v>
      </c>
      <c r="J1158" s="616">
        <f t="shared" si="492"/>
        <v>0</v>
      </c>
      <c r="K1158" s="615" t="str">
        <f t="shared" si="493"/>
        <v>-</v>
      </c>
      <c r="L1158" s="37"/>
      <c r="M1158" s="285">
        <f>Preencher!$I$12*SUM(RESUMO!I105:J105)*$M$1153</f>
        <v>0</v>
      </c>
      <c r="N1158" s="259">
        <f t="shared" si="486"/>
        <v>0</v>
      </c>
      <c r="O1158" s="616">
        <f t="shared" si="487"/>
        <v>0</v>
      </c>
      <c r="P1158" s="615" t="str">
        <f t="shared" si="488"/>
        <v>-</v>
      </c>
      <c r="Q1158" s="37"/>
      <c r="R1158" s="285">
        <f>Preencher!$I$12*SUM(RESUMO!I105:J105)*$R$1153</f>
        <v>0</v>
      </c>
    </row>
    <row r="1159" spans="1:18">
      <c r="A1159" s="200" t="s">
        <v>1601</v>
      </c>
      <c r="B1159" s="284">
        <v>30</v>
      </c>
      <c r="C1159" s="616">
        <f t="shared" si="489"/>
        <v>120</v>
      </c>
      <c r="D1159" s="259">
        <f t="shared" si="484"/>
        <v>0</v>
      </c>
      <c r="E1159" s="616">
        <f t="shared" si="490"/>
        <v>0</v>
      </c>
      <c r="F1159" s="615" t="str">
        <f t="shared" si="485"/>
        <v>-</v>
      </c>
      <c r="G1159" s="37"/>
      <c r="H1159" s="285">
        <f>Preencher!$I$12*SUM(RESUMO!I106:J106)*$H$1153</f>
        <v>0</v>
      </c>
      <c r="I1159" s="259">
        <f t="shared" si="491"/>
        <v>0</v>
      </c>
      <c r="J1159" s="616">
        <f t="shared" si="492"/>
        <v>0</v>
      </c>
      <c r="K1159" s="615" t="str">
        <f t="shared" si="493"/>
        <v>-</v>
      </c>
      <c r="L1159" s="37"/>
      <c r="M1159" s="285">
        <f>Preencher!$I$12*SUM(RESUMO!I106:J106)*$M$1153</f>
        <v>0</v>
      </c>
      <c r="N1159" s="259">
        <f t="shared" si="486"/>
        <v>0</v>
      </c>
      <c r="O1159" s="616">
        <f t="shared" si="487"/>
        <v>0</v>
      </c>
      <c r="P1159" s="615" t="str">
        <f t="shared" si="488"/>
        <v>-</v>
      </c>
      <c r="Q1159" s="37"/>
      <c r="R1159" s="285">
        <f>Preencher!$I$12*SUM(RESUMO!I106:J106)*$R$1153</f>
        <v>0</v>
      </c>
    </row>
    <row r="1160" spans="1:18">
      <c r="A1160" s="200" t="s">
        <v>1597</v>
      </c>
      <c r="B1160" s="284">
        <v>30</v>
      </c>
      <c r="C1160" s="616">
        <f t="shared" si="489"/>
        <v>120</v>
      </c>
      <c r="D1160" s="259">
        <f t="shared" si="484"/>
        <v>0</v>
      </c>
      <c r="E1160" s="616">
        <f t="shared" si="490"/>
        <v>0</v>
      </c>
      <c r="F1160" s="615" t="str">
        <f t="shared" si="485"/>
        <v>-</v>
      </c>
      <c r="G1160" s="37"/>
      <c r="H1160" s="285">
        <f>Preencher!$I$12*SUM(RESUMO!I107:J107)*$H$1153</f>
        <v>0</v>
      </c>
      <c r="I1160" s="259">
        <f t="shared" si="491"/>
        <v>0</v>
      </c>
      <c r="J1160" s="616">
        <f t="shared" si="492"/>
        <v>0</v>
      </c>
      <c r="K1160" s="615" t="str">
        <f t="shared" si="493"/>
        <v>-</v>
      </c>
      <c r="L1160" s="37"/>
      <c r="M1160" s="285">
        <f>Preencher!$I$12*SUM(RESUMO!I107:J107)*$M$1153</f>
        <v>0</v>
      </c>
      <c r="N1160" s="259">
        <f t="shared" si="486"/>
        <v>0</v>
      </c>
      <c r="O1160" s="616">
        <f t="shared" si="487"/>
        <v>0</v>
      </c>
      <c r="P1160" s="615" t="str">
        <f t="shared" si="488"/>
        <v>-</v>
      </c>
      <c r="Q1160" s="37"/>
      <c r="R1160" s="285">
        <f>Preencher!$I$12*SUM(RESUMO!I107:J107)*$R$1153</f>
        <v>0</v>
      </c>
    </row>
    <row r="1161" spans="1:18">
      <c r="A1161" s="200" t="s">
        <v>1598</v>
      </c>
      <c r="B1161" s="284">
        <v>30</v>
      </c>
      <c r="C1161" s="616">
        <f t="shared" si="489"/>
        <v>120</v>
      </c>
      <c r="D1161" s="259">
        <f t="shared" si="484"/>
        <v>0</v>
      </c>
      <c r="E1161" s="616">
        <f t="shared" si="490"/>
        <v>0</v>
      </c>
      <c r="F1161" s="615" t="str">
        <f t="shared" si="485"/>
        <v>-</v>
      </c>
      <c r="G1161" s="37"/>
      <c r="H1161" s="285">
        <f>Preencher!$I$12*SUM(RESUMO!I108:J108)*$H$1153</f>
        <v>0</v>
      </c>
      <c r="I1161" s="259">
        <f t="shared" si="491"/>
        <v>0</v>
      </c>
      <c r="J1161" s="616">
        <f t="shared" si="492"/>
        <v>0</v>
      </c>
      <c r="K1161" s="615" t="str">
        <f t="shared" si="493"/>
        <v>-</v>
      </c>
      <c r="L1161" s="37"/>
      <c r="M1161" s="285">
        <f>Preencher!$I$12*SUM(RESUMO!I108:J108)*$M$1153</f>
        <v>0</v>
      </c>
      <c r="N1161" s="259">
        <f t="shared" si="486"/>
        <v>0</v>
      </c>
      <c r="O1161" s="616">
        <f t="shared" si="487"/>
        <v>0</v>
      </c>
      <c r="P1161" s="615" t="str">
        <f t="shared" si="488"/>
        <v>-</v>
      </c>
      <c r="Q1161" s="37"/>
      <c r="R1161" s="285">
        <f>Preencher!$I$12*SUM(RESUMO!I108:J108)*$R$1153</f>
        <v>0</v>
      </c>
    </row>
    <row r="1162" spans="1:18">
      <c r="A1162" s="200" t="s">
        <v>1591</v>
      </c>
      <c r="B1162" s="284">
        <v>30</v>
      </c>
      <c r="C1162" s="616">
        <f t="shared" si="489"/>
        <v>120</v>
      </c>
      <c r="D1162" s="259">
        <f t="shared" si="484"/>
        <v>0</v>
      </c>
      <c r="E1162" s="616">
        <f t="shared" si="490"/>
        <v>0</v>
      </c>
      <c r="F1162" s="615" t="str">
        <f t="shared" si="485"/>
        <v>-</v>
      </c>
      <c r="G1162" s="37"/>
      <c r="H1162" s="285">
        <f>Preencher!$I$12*SUM(RESUMO!I110:J110)*$H$1153</f>
        <v>0</v>
      </c>
      <c r="I1162" s="259">
        <f t="shared" si="491"/>
        <v>0</v>
      </c>
      <c r="J1162" s="616">
        <f t="shared" si="492"/>
        <v>0</v>
      </c>
      <c r="K1162" s="615" t="str">
        <f t="shared" si="493"/>
        <v>-</v>
      </c>
      <c r="L1162" s="37"/>
      <c r="M1162" s="285">
        <f>Preencher!$I$12*SUM(RESUMO!I110:J110)*$M$1153</f>
        <v>0</v>
      </c>
      <c r="N1162" s="259">
        <f t="shared" si="486"/>
        <v>0</v>
      </c>
      <c r="O1162" s="616">
        <f t="shared" si="487"/>
        <v>0</v>
      </c>
      <c r="P1162" s="615" t="str">
        <f t="shared" si="488"/>
        <v>-</v>
      </c>
      <c r="Q1162" s="37"/>
      <c r="R1162" s="285">
        <f>Preencher!$I$12*SUM(RESUMO!I110:J110)*$R$1153</f>
        <v>0</v>
      </c>
    </row>
    <row r="1163" spans="1:18">
      <c r="A1163" s="200" t="s">
        <v>892</v>
      </c>
      <c r="B1163" s="284">
        <v>30</v>
      </c>
      <c r="C1163" s="616">
        <f t="shared" si="489"/>
        <v>120</v>
      </c>
      <c r="D1163" s="259">
        <f t="shared" si="484"/>
        <v>0</v>
      </c>
      <c r="E1163" s="616">
        <f t="shared" si="490"/>
        <v>0</v>
      </c>
      <c r="F1163" s="615" t="str">
        <f t="shared" si="485"/>
        <v>-</v>
      </c>
      <c r="G1163" s="37"/>
      <c r="H1163" s="285">
        <f>Preencher!$I$12*SUM(RESUMO!I111:J111)*$H$1153</f>
        <v>0</v>
      </c>
      <c r="I1163" s="259">
        <f t="shared" si="491"/>
        <v>0</v>
      </c>
      <c r="J1163" s="616">
        <f t="shared" si="492"/>
        <v>0</v>
      </c>
      <c r="K1163" s="615" t="str">
        <f t="shared" si="493"/>
        <v>-</v>
      </c>
      <c r="L1163" s="37"/>
      <c r="M1163" s="285">
        <f>Preencher!$I$12*SUM(RESUMO!I111:J111)*$M$1153</f>
        <v>0</v>
      </c>
      <c r="N1163" s="259">
        <f t="shared" si="486"/>
        <v>0</v>
      </c>
      <c r="O1163" s="616">
        <f t="shared" si="487"/>
        <v>0</v>
      </c>
      <c r="P1163" s="615" t="str">
        <f t="shared" si="488"/>
        <v>-</v>
      </c>
      <c r="Q1163" s="37"/>
      <c r="R1163" s="285">
        <f>Preencher!$I$12*SUM(RESUMO!I111:J111)*$R$1153</f>
        <v>0</v>
      </c>
    </row>
    <row r="1164" spans="1:18">
      <c r="A1164" s="200" t="s">
        <v>1445</v>
      </c>
      <c r="B1164" s="284">
        <v>30</v>
      </c>
      <c r="C1164" s="616">
        <f t="shared" si="489"/>
        <v>120</v>
      </c>
      <c r="D1164" s="259">
        <f t="shared" si="484"/>
        <v>1.6666666666666666E-2</v>
      </c>
      <c r="E1164" s="616">
        <f t="shared" si="490"/>
        <v>1</v>
      </c>
      <c r="F1164" s="615">
        <f t="shared" si="485"/>
        <v>1.6666666666666666E-2</v>
      </c>
      <c r="G1164" s="37"/>
      <c r="H1164" s="285">
        <v>2</v>
      </c>
      <c r="I1164" s="259">
        <f t="shared" si="491"/>
        <v>0</v>
      </c>
      <c r="J1164" s="616">
        <f t="shared" si="492"/>
        <v>0</v>
      </c>
      <c r="K1164" s="615" t="str">
        <f t="shared" si="493"/>
        <v>-</v>
      </c>
      <c r="L1164" s="37"/>
      <c r="M1164" s="285">
        <f>Preencher!$I$12*SUM(RESUMO!I112:J112)*$M$1153</f>
        <v>0</v>
      </c>
      <c r="N1164" s="259">
        <f t="shared" si="486"/>
        <v>0</v>
      </c>
      <c r="O1164" s="616">
        <f t="shared" si="487"/>
        <v>0</v>
      </c>
      <c r="P1164" s="615" t="str">
        <f t="shared" si="488"/>
        <v>-</v>
      </c>
      <c r="Q1164" s="37"/>
      <c r="R1164" s="285">
        <f>Preencher!$I$12*SUM(RESUMO!I112:J112)*$R$1153</f>
        <v>0</v>
      </c>
    </row>
    <row r="1165" spans="1:18">
      <c r="A1165" s="621" t="s">
        <v>226</v>
      </c>
      <c r="B1165" s="619"/>
      <c r="C1165" s="617"/>
      <c r="D1165" s="620"/>
      <c r="E1165" s="617">
        <f>ROUNDUP(SUM(D1166:D1168)/0.95,0)</f>
        <v>0</v>
      </c>
      <c r="F1165" s="618">
        <f>IFERROR(SUM(D1166:D1168)/E1165,0)</f>
        <v>0</v>
      </c>
      <c r="G1165" s="205"/>
      <c r="H1165" s="622">
        <f>Preencher!$B$212/SUM(Preencher!$B$212:$D$212)</f>
        <v>1</v>
      </c>
      <c r="I1165" s="620"/>
      <c r="J1165" s="617">
        <f>ROUNDUP(SUM(I1166:I1168)/0.95,0)</f>
        <v>0</v>
      </c>
      <c r="K1165" s="618">
        <f>IFERROR(SUM(I1166:I1168)/J1165,0)</f>
        <v>0</v>
      </c>
      <c r="L1165" s="205"/>
      <c r="M1165" s="622">
        <f>Preencher!$C$212/SUM(Preencher!$B$212:$D$212)</f>
        <v>0</v>
      </c>
      <c r="N1165" s="620"/>
      <c r="O1165" s="617">
        <f>ROUNDUP(SUM(N1166:N1168)/0.95,0)</f>
        <v>0</v>
      </c>
      <c r="P1165" s="618">
        <f>IFERROR(SUM(N1166:N1168)/O1165,0)</f>
        <v>0</v>
      </c>
      <c r="Q1165" s="205"/>
      <c r="R1165" s="622">
        <f>Preencher!$D$212/SUM(Preencher!$B$212:$D$212)</f>
        <v>0</v>
      </c>
    </row>
    <row r="1166" spans="1:18">
      <c r="A1166" s="200" t="s">
        <v>1076</v>
      </c>
      <c r="B1166" s="284">
        <v>30</v>
      </c>
      <c r="C1166" s="616">
        <f>IF(B1166=0,"-",3600/B1166)</f>
        <v>120</v>
      </c>
      <c r="D1166" s="259">
        <f>IFERROR((H1166/C1166),"-")</f>
        <v>0</v>
      </c>
      <c r="E1166" s="616">
        <f>IFERROR(ROUNDUP(D1166/0.95,0.999),0)</f>
        <v>0</v>
      </c>
      <c r="F1166" s="615" t="str">
        <f>IFERROR((H1166/C1166/E1166),"-")</f>
        <v>-</v>
      </c>
      <c r="G1166" s="37"/>
      <c r="H1166" s="285">
        <f>Preencher!$I$12*SUM(RESUMO!I123:J123)*$H$1165</f>
        <v>0</v>
      </c>
      <c r="I1166" s="259">
        <f>IFERROR((M1166/C1166),"-")</f>
        <v>0</v>
      </c>
      <c r="J1166" s="616">
        <f>IFERROR(ROUNDUP(I1166/0.95,0.999),0)</f>
        <v>0</v>
      </c>
      <c r="K1166" s="615" t="str">
        <f>IFERROR((M1166/C1166/J1166),"-")</f>
        <v>-</v>
      </c>
      <c r="L1166" s="37"/>
      <c r="M1166" s="285">
        <f>Preencher!$I$12*SUM(RESUMO!I123:J123)*$M$1165</f>
        <v>0</v>
      </c>
      <c r="N1166" s="259">
        <f>IFERROR((R1166/C1166),"-")</f>
        <v>0</v>
      </c>
      <c r="O1166" s="616">
        <f>IFERROR(ROUNDUP(N1166/0.95,0.999),0)</f>
        <v>0</v>
      </c>
      <c r="P1166" s="615" t="str">
        <f>IFERROR((R1166/C1166/O1166),"-")</f>
        <v>-</v>
      </c>
      <c r="Q1166" s="37"/>
      <c r="R1166" s="285">
        <f>Preencher!$I$12*SUM(RESUMO!I123:J123)*$R$1165</f>
        <v>0</v>
      </c>
    </row>
    <row r="1167" spans="1:18">
      <c r="A1167" s="200" t="s">
        <v>1077</v>
      </c>
      <c r="B1167" s="284">
        <v>30</v>
      </c>
      <c r="C1167" s="616">
        <f>IF(B1167=0,"-",3600/B1167)</f>
        <v>120</v>
      </c>
      <c r="D1167" s="259">
        <f>IFERROR((H1167/C1167),"-")</f>
        <v>0</v>
      </c>
      <c r="E1167" s="616">
        <f>IFERROR(ROUNDUP(D1167/0.95,0.999),0)</f>
        <v>0</v>
      </c>
      <c r="F1167" s="615" t="str">
        <f>IFERROR((H1167/C1167/E1167),"-")</f>
        <v>-</v>
      </c>
      <c r="G1167" s="37"/>
      <c r="H1167" s="285">
        <f>Preencher!$I$12*SUM(RESUMO!I124:J124)*$H$1165</f>
        <v>0</v>
      </c>
      <c r="I1167" s="259">
        <f>IFERROR((M1167/C1167),"-")</f>
        <v>0</v>
      </c>
      <c r="J1167" s="616">
        <f>IFERROR(ROUNDUP(I1167/0.95,0.999),0)</f>
        <v>0</v>
      </c>
      <c r="K1167" s="615" t="str">
        <f>IFERROR((M1167/C1167/J1167),"-")</f>
        <v>-</v>
      </c>
      <c r="L1167" s="37"/>
      <c r="M1167" s="285">
        <f>Preencher!$I$12*SUM(RESUMO!I124:J124)*$M$1165</f>
        <v>0</v>
      </c>
      <c r="N1167" s="259">
        <f>IFERROR((R1167/C1167),"-")</f>
        <v>0</v>
      </c>
      <c r="O1167" s="616">
        <f>IFERROR(ROUNDUP(N1167/0.95,0.999),0)</f>
        <v>0</v>
      </c>
      <c r="P1167" s="615" t="str">
        <f>IFERROR((R1167/C1167/O1167),"-")</f>
        <v>-</v>
      </c>
      <c r="Q1167" s="37"/>
      <c r="R1167" s="285">
        <f>Preencher!$I$12*SUM(RESUMO!I124:J124)*$R$1165</f>
        <v>0</v>
      </c>
    </row>
    <row r="1168" spans="1:18">
      <c r="A1168" s="200" t="s">
        <v>925</v>
      </c>
      <c r="B1168" s="284">
        <v>30</v>
      </c>
      <c r="C1168" s="616">
        <f>IF(B1168=0,"-",3600/B1168)</f>
        <v>120</v>
      </c>
      <c r="D1168" s="259">
        <f>IFERROR((H1168/C1168),"-")</f>
        <v>0</v>
      </c>
      <c r="E1168" s="616">
        <f>IFERROR(ROUNDUP(D1168/0.95,0.999),0)</f>
        <v>0</v>
      </c>
      <c r="F1168" s="615" t="str">
        <f>IFERROR((H1168/C1168/E1168),"-")</f>
        <v>-</v>
      </c>
      <c r="G1168" s="37"/>
      <c r="H1168" s="285">
        <f>Preencher!$I$12*SUM(RESUMO!I126:J126)*$H$1165</f>
        <v>0</v>
      </c>
      <c r="I1168" s="259">
        <f>IFERROR((M1168/C1168),"-")</f>
        <v>0</v>
      </c>
      <c r="J1168" s="616">
        <f>IFERROR(ROUNDUP(I1168/0.95,0.999),0)</f>
        <v>0</v>
      </c>
      <c r="K1168" s="615" t="str">
        <f>IFERROR((M1168/C1168/J1168),"-")</f>
        <v>-</v>
      </c>
      <c r="L1168" s="37"/>
      <c r="M1168" s="285">
        <f>Preencher!$I$12*SUM(RESUMO!I126:J126)*$M$1165</f>
        <v>0</v>
      </c>
      <c r="N1168" s="259">
        <f>IFERROR((R1168/C1168),"-")</f>
        <v>0</v>
      </c>
      <c r="O1168" s="616">
        <f>IFERROR(ROUNDUP(N1168/0.95,0.999),0)</f>
        <v>0</v>
      </c>
      <c r="P1168" s="615" t="str">
        <f>IFERROR((R1168/C1168/O1168),"-")</f>
        <v>-</v>
      </c>
      <c r="Q1168" s="37"/>
      <c r="R1168" s="285">
        <f>Preencher!$I$12*SUM(RESUMO!I126:J126)*$R$1165</f>
        <v>0</v>
      </c>
    </row>
    <row r="1169" spans="1:18">
      <c r="A1169" s="621" t="s">
        <v>226</v>
      </c>
      <c r="B1169" s="619"/>
      <c r="C1169" s="617"/>
      <c r="D1169" s="620"/>
      <c r="E1169" s="617">
        <f>ROUNDUP(SUM(D1170:D1172)/0.95,0)</f>
        <v>0</v>
      </c>
      <c r="F1169" s="618">
        <f>IFERROR(SUM(D1170:D1172)/E1169,0)</f>
        <v>0</v>
      </c>
      <c r="G1169" s="205"/>
      <c r="H1169" s="622"/>
      <c r="I1169" s="620"/>
      <c r="J1169" s="617">
        <f>ROUNDUP(SUM(I1170:I1172)/0.95,0)</f>
        <v>0</v>
      </c>
      <c r="K1169" s="618">
        <f>IFERROR(SUM(I1170:I1172)/J1169,0)</f>
        <v>0</v>
      </c>
      <c r="L1169" s="205"/>
      <c r="M1169" s="622"/>
      <c r="N1169" s="620"/>
      <c r="O1169" s="617">
        <f>ROUNDUP(SUM(N1170:N1172)/0.95,0)</f>
        <v>0</v>
      </c>
      <c r="P1169" s="618">
        <f>IFERROR(SUM(N1170:N1172)/O1169,0)</f>
        <v>0</v>
      </c>
      <c r="Q1169" s="205"/>
      <c r="R1169" s="622"/>
    </row>
    <row r="1170" spans="1:18">
      <c r="A1170" s="200" t="s">
        <v>1078</v>
      </c>
      <c r="B1170" s="284">
        <v>30</v>
      </c>
      <c r="C1170" s="616">
        <f t="shared" ref="C1170:C1188" si="494">IF(B1170=0,"-",3600/B1170)</f>
        <v>120</v>
      </c>
      <c r="D1170" s="259">
        <f>IFERROR((H1170/C1170),"-")</f>
        <v>0</v>
      </c>
      <c r="E1170" s="616">
        <f t="shared" ref="E1170:E1188" si="495">IFERROR(ROUNDUP(D1170/0.95,0.999),0)</f>
        <v>0</v>
      </c>
      <c r="F1170" s="615" t="str">
        <f>IFERROR((H1170/C1170/E1170),"-")</f>
        <v>-</v>
      </c>
      <c r="G1170" s="37"/>
      <c r="H1170" s="285">
        <f>Preencher!$I$12*SUM(RESUMO!I127:J127)*$H$1165</f>
        <v>0</v>
      </c>
      <c r="I1170" s="259">
        <f t="shared" ref="I1170:I1188" si="496">IFERROR((M1170/C1170),"-")</f>
        <v>0</v>
      </c>
      <c r="J1170" s="616">
        <f t="shared" ref="J1170:J1188" si="497">IFERROR(ROUNDUP(I1170/0.95,0.999),0)</f>
        <v>0</v>
      </c>
      <c r="K1170" s="615" t="str">
        <f t="shared" ref="K1170:K1188" si="498">IFERROR((M1170/C1170/J1170),"-")</f>
        <v>-</v>
      </c>
      <c r="L1170" s="37"/>
      <c r="M1170" s="285">
        <f>Preencher!$I$12*SUM(RESUMO!I127:J127)*$M$1165</f>
        <v>0</v>
      </c>
      <c r="N1170" s="259">
        <f t="shared" ref="N1170:N1188" si="499">IFERROR((R1170/C1170),"-")</f>
        <v>0</v>
      </c>
      <c r="O1170" s="616">
        <f t="shared" ref="O1170:O1188" si="500">IFERROR(ROUNDUP(N1170/0.95,0.999),0)</f>
        <v>0</v>
      </c>
      <c r="P1170" s="615" t="str">
        <f t="shared" ref="P1170:P1188" si="501">IFERROR((R1170/C1170/O1170),"-")</f>
        <v>-</v>
      </c>
      <c r="Q1170" s="37"/>
      <c r="R1170" s="285">
        <f>Preencher!$I$12*SUM(RESUMO!I127:J127)*$R$1165</f>
        <v>0</v>
      </c>
    </row>
    <row r="1171" spans="1:18">
      <c r="A1171" s="200" t="s">
        <v>1079</v>
      </c>
      <c r="B1171" s="284">
        <v>30</v>
      </c>
      <c r="C1171" s="616">
        <f t="shared" si="494"/>
        <v>120</v>
      </c>
      <c r="D1171" s="259">
        <f>IFERROR((H1171/C1171),"-")</f>
        <v>0</v>
      </c>
      <c r="E1171" s="616">
        <f t="shared" si="495"/>
        <v>0</v>
      </c>
      <c r="F1171" s="615" t="str">
        <f>IFERROR((H1171/C1171/E1171),"-")</f>
        <v>-</v>
      </c>
      <c r="G1171" s="37"/>
      <c r="H1171" s="285">
        <f>Preencher!$I$12*SUM(RESUMO!I128:J128)*$H$1165</f>
        <v>0</v>
      </c>
      <c r="I1171" s="259">
        <f t="shared" si="496"/>
        <v>0</v>
      </c>
      <c r="J1171" s="616">
        <f t="shared" si="497"/>
        <v>0</v>
      </c>
      <c r="K1171" s="615" t="str">
        <f t="shared" si="498"/>
        <v>-</v>
      </c>
      <c r="L1171" s="37"/>
      <c r="M1171" s="285">
        <f>Preencher!$I$12*SUM(RESUMO!I128:J128)*$M$1165</f>
        <v>0</v>
      </c>
      <c r="N1171" s="259">
        <f t="shared" si="499"/>
        <v>0</v>
      </c>
      <c r="O1171" s="616">
        <f t="shared" si="500"/>
        <v>0</v>
      </c>
      <c r="P1171" s="615" t="str">
        <f t="shared" si="501"/>
        <v>-</v>
      </c>
      <c r="Q1171" s="37"/>
      <c r="R1171" s="285">
        <f>Preencher!$I$12*SUM(RESUMO!I128:J128)*$R$1165</f>
        <v>0</v>
      </c>
    </row>
    <row r="1172" spans="1:18">
      <c r="A1172" s="200" t="s">
        <v>1080</v>
      </c>
      <c r="B1172" s="284">
        <v>30</v>
      </c>
      <c r="C1172" s="616">
        <f t="shared" si="494"/>
        <v>120</v>
      </c>
      <c r="D1172" s="259">
        <f>IFERROR((H1172/C1172),"-")</f>
        <v>0</v>
      </c>
      <c r="E1172" s="616">
        <f t="shared" si="495"/>
        <v>0</v>
      </c>
      <c r="F1172" s="615" t="str">
        <f>IFERROR((H1172/C1172/E1172),"-")</f>
        <v>-</v>
      </c>
      <c r="G1172" s="37"/>
      <c r="H1172" s="285">
        <f>Preencher!$I$12*SUM(RESUMO!I129:J129)*$H$1165</f>
        <v>0</v>
      </c>
      <c r="I1172" s="259">
        <f t="shared" si="496"/>
        <v>0</v>
      </c>
      <c r="J1172" s="616">
        <f t="shared" si="497"/>
        <v>0</v>
      </c>
      <c r="K1172" s="615" t="str">
        <f t="shared" si="498"/>
        <v>-</v>
      </c>
      <c r="L1172" s="37"/>
      <c r="M1172" s="285">
        <f>Preencher!$I$12*SUM(RESUMO!I129:J129)*$M$1165</f>
        <v>0</v>
      </c>
      <c r="N1172" s="259">
        <f t="shared" si="499"/>
        <v>0</v>
      </c>
      <c r="O1172" s="616">
        <f t="shared" si="500"/>
        <v>0</v>
      </c>
      <c r="P1172" s="615" t="str">
        <f t="shared" si="501"/>
        <v>-</v>
      </c>
      <c r="Q1172" s="37"/>
      <c r="R1172" s="285">
        <f>Preencher!$I$12*SUM(RESUMO!I129:J129)*$R$1165</f>
        <v>0</v>
      </c>
    </row>
    <row r="1173" spans="1:18">
      <c r="A1173" s="621" t="s">
        <v>226</v>
      </c>
      <c r="B1173" s="619"/>
      <c r="C1173" s="617"/>
      <c r="D1173" s="620"/>
      <c r="E1173" s="617">
        <f>ROUNDUP(SUM(D1174:D1178)/0.95,0)</f>
        <v>0</v>
      </c>
      <c r="F1173" s="618">
        <f>IFERROR(SUM(D1174:D1178)/E1173,0)</f>
        <v>0</v>
      </c>
      <c r="G1173" s="205"/>
      <c r="H1173" s="622"/>
      <c r="I1173" s="620"/>
      <c r="J1173" s="617">
        <f>ROUNDUP(SUM(I1174:I1178)/0.95,0)</f>
        <v>0</v>
      </c>
      <c r="K1173" s="618">
        <f>IFERROR(SUM(I1174:I1178)/J1173,0)</f>
        <v>0</v>
      </c>
      <c r="L1173" s="205"/>
      <c r="M1173" s="622"/>
      <c r="N1173" s="620"/>
      <c r="O1173" s="617">
        <f>ROUNDUP(SUM(N1174:N1178)/0.95,0)</f>
        <v>0</v>
      </c>
      <c r="P1173" s="618">
        <f>IFERROR(SUM(N1174:N1178)/O1173,0)</f>
        <v>0</v>
      </c>
      <c r="Q1173" s="205"/>
      <c r="R1173" s="622"/>
    </row>
    <row r="1174" spans="1:18">
      <c r="A1174" s="200" t="s">
        <v>1732</v>
      </c>
      <c r="B1174" s="284">
        <v>30</v>
      </c>
      <c r="C1174" s="616">
        <f t="shared" si="494"/>
        <v>120</v>
      </c>
      <c r="D1174" s="259">
        <f>IFERROR((H1174/C1174),"-")</f>
        <v>0</v>
      </c>
      <c r="E1174" s="616">
        <f t="shared" si="495"/>
        <v>0</v>
      </c>
      <c r="F1174" s="615" t="str">
        <f>IFERROR((H1174/C1174/E1174),"-")</f>
        <v>-</v>
      </c>
      <c r="G1174" s="37"/>
      <c r="H1174" s="285">
        <f>Preencher!$I$12*SUM(RESUMO!I132:J132)*$H$1165</f>
        <v>0</v>
      </c>
      <c r="I1174" s="259">
        <f t="shared" si="496"/>
        <v>0</v>
      </c>
      <c r="J1174" s="616">
        <f t="shared" si="497"/>
        <v>0</v>
      </c>
      <c r="K1174" s="615" t="str">
        <f t="shared" si="498"/>
        <v>-</v>
      </c>
      <c r="L1174" s="37"/>
      <c r="M1174" s="285">
        <f>Preencher!$I$12*SUM(RESUMO!I132:J132)*$M$1165</f>
        <v>0</v>
      </c>
      <c r="N1174" s="259">
        <f t="shared" si="499"/>
        <v>0</v>
      </c>
      <c r="O1174" s="616">
        <f t="shared" si="500"/>
        <v>0</v>
      </c>
      <c r="P1174" s="615" t="str">
        <f t="shared" si="501"/>
        <v>-</v>
      </c>
      <c r="Q1174" s="37"/>
      <c r="R1174" s="285">
        <f>Preencher!$I$12*SUM(RESUMO!I132:J132)*$R$1165</f>
        <v>0</v>
      </c>
    </row>
    <row r="1175" spans="1:18">
      <c r="A1175" s="200" t="s">
        <v>1733</v>
      </c>
      <c r="B1175" s="284">
        <v>30</v>
      </c>
      <c r="C1175" s="616">
        <f t="shared" si="494"/>
        <v>120</v>
      </c>
      <c r="D1175" s="259">
        <f>IFERROR((H1175/C1175),"-")</f>
        <v>0</v>
      </c>
      <c r="E1175" s="616">
        <f t="shared" si="495"/>
        <v>0</v>
      </c>
      <c r="F1175" s="615" t="str">
        <f>IFERROR((H1175/C1175/E1175),"-")</f>
        <v>-</v>
      </c>
      <c r="G1175" s="37"/>
      <c r="H1175" s="285">
        <f>Preencher!$I$12*SUM(RESUMO!H145)*$H$1165</f>
        <v>0</v>
      </c>
      <c r="I1175" s="259">
        <f t="shared" si="496"/>
        <v>0</v>
      </c>
      <c r="J1175" s="616">
        <f t="shared" si="497"/>
        <v>0</v>
      </c>
      <c r="K1175" s="615" t="str">
        <f t="shared" si="498"/>
        <v>-</v>
      </c>
      <c r="L1175" s="37"/>
      <c r="M1175" s="285">
        <f>Preencher!$I$12*SUM(RESUMO!H145)*$M$1165</f>
        <v>0</v>
      </c>
      <c r="N1175" s="259">
        <f t="shared" si="499"/>
        <v>0</v>
      </c>
      <c r="O1175" s="616">
        <f t="shared" si="500"/>
        <v>0</v>
      </c>
      <c r="P1175" s="615" t="str">
        <f t="shared" si="501"/>
        <v>-</v>
      </c>
      <c r="Q1175" s="37"/>
      <c r="R1175" s="285">
        <f>Preencher!$I$12*SUM(RESUMO!I133:J133)*$R$1165</f>
        <v>0</v>
      </c>
    </row>
    <row r="1176" spans="1:18">
      <c r="A1176" s="200" t="s">
        <v>1852</v>
      </c>
      <c r="B1176" s="284">
        <v>30</v>
      </c>
      <c r="C1176" s="616">
        <f t="shared" si="494"/>
        <v>120</v>
      </c>
      <c r="D1176" s="259">
        <f>IFERROR((H1176/C1176),"-")</f>
        <v>0</v>
      </c>
      <c r="E1176" s="616">
        <f t="shared" si="495"/>
        <v>0</v>
      </c>
      <c r="F1176" s="615" t="str">
        <f>IFERROR((H1176/C1176/E1176),"-")</f>
        <v>-</v>
      </c>
      <c r="G1176" s="37"/>
      <c r="H1176" s="285">
        <f>Preencher!$I$12*SUM(RESUMO!H146)*$H$1165</f>
        <v>0</v>
      </c>
      <c r="I1176" s="259">
        <f t="shared" si="496"/>
        <v>0</v>
      </c>
      <c r="J1176" s="616">
        <f t="shared" si="497"/>
        <v>0</v>
      </c>
      <c r="K1176" s="615" t="str">
        <f t="shared" si="498"/>
        <v>-</v>
      </c>
      <c r="L1176" s="37"/>
      <c r="M1176" s="285">
        <f>Preencher!$I$12*SUM(RESUMO!H146)*$M$1165</f>
        <v>0</v>
      </c>
      <c r="N1176" s="259">
        <f t="shared" si="499"/>
        <v>0</v>
      </c>
      <c r="O1176" s="616">
        <f t="shared" si="500"/>
        <v>0</v>
      </c>
      <c r="P1176" s="615" t="str">
        <f t="shared" si="501"/>
        <v>-</v>
      </c>
      <c r="Q1176" s="37"/>
      <c r="R1176" s="285">
        <f>Preencher!$I$12*SUM(RESUMO!I134:J134)*$R$1165</f>
        <v>0</v>
      </c>
    </row>
    <row r="1177" spans="1:18">
      <c r="A1177" s="200" t="s">
        <v>1648</v>
      </c>
      <c r="B1177" s="284">
        <v>30</v>
      </c>
      <c r="C1177" s="616">
        <f>IF(B1177=0,"-",3600/B1177)</f>
        <v>120</v>
      </c>
      <c r="D1177" s="259">
        <f>IFERROR((H1177/C1177),"-")</f>
        <v>0</v>
      </c>
      <c r="E1177" s="616">
        <f>IFERROR(ROUNDUP(D1177/0.95,0.999),0)</f>
        <v>0</v>
      </c>
      <c r="F1177" s="615" t="str">
        <f>IFERROR((H1177/C1177/E1177),"-")</f>
        <v>-</v>
      </c>
      <c r="G1177" s="37"/>
      <c r="H1177" s="285">
        <f>Preencher!$I$12*SUM(RESUMO!H147)*$H$1165</f>
        <v>0</v>
      </c>
      <c r="I1177" s="259">
        <f>IFERROR((M1177/C1177),"-")</f>
        <v>0</v>
      </c>
      <c r="J1177" s="616">
        <f>IFERROR(ROUNDUP(I1177/0.95,0.999),0)</f>
        <v>0</v>
      </c>
      <c r="K1177" s="615" t="str">
        <f>IFERROR((M1177/C1177/J1177),"-")</f>
        <v>-</v>
      </c>
      <c r="L1177" s="37"/>
      <c r="M1177" s="285">
        <f>Preencher!$I$12*SUM(RESUMO!H147)*$M$1165</f>
        <v>0</v>
      </c>
      <c r="N1177" s="259">
        <f>IFERROR((R1177/C1177),"-")</f>
        <v>0</v>
      </c>
      <c r="O1177" s="616">
        <f>IFERROR(ROUNDUP(N1177/0.95,0.999),0)</f>
        <v>0</v>
      </c>
      <c r="P1177" s="615" t="str">
        <f>IFERROR((R1177/C1177/O1177),"-")</f>
        <v>-</v>
      </c>
      <c r="Q1177" s="37"/>
      <c r="R1177" s="285">
        <f>Preencher!$I$12*SUM(RESUMO!H147)*$R$1165</f>
        <v>0</v>
      </c>
    </row>
    <row r="1178" spans="1:18">
      <c r="A1178" s="200" t="s">
        <v>1636</v>
      </c>
      <c r="B1178" s="284">
        <v>30</v>
      </c>
      <c r="C1178" s="616">
        <f>IF(B1178=0,"-",3600/B1178)</f>
        <v>120</v>
      </c>
      <c r="D1178" s="259">
        <f>IFERROR((H1178/C1178),"-")</f>
        <v>0</v>
      </c>
      <c r="E1178" s="616">
        <f>IFERROR(ROUNDUP(D1178/0.95,0.999),0)</f>
        <v>0</v>
      </c>
      <c r="F1178" s="615" t="str">
        <f>IFERROR((H1178/C1178/E1178),"-")</f>
        <v>-</v>
      </c>
      <c r="G1178" s="37"/>
      <c r="H1178" s="285">
        <f>Preencher!$I$12*SUM(RESUMO!H148)*$H$1165</f>
        <v>0</v>
      </c>
      <c r="I1178" s="259">
        <f>IFERROR((M1178/C1178),"-")</f>
        <v>0</v>
      </c>
      <c r="J1178" s="616">
        <f>IFERROR(ROUNDUP(I1178/0.95,0.999),0)</f>
        <v>0</v>
      </c>
      <c r="K1178" s="615" t="str">
        <f>IFERROR((M1178/C1178/J1178),"-")</f>
        <v>-</v>
      </c>
      <c r="L1178" s="37"/>
      <c r="M1178" s="285">
        <f>Preencher!$I$12*SUM(RESUMO!H148)*$M$1165</f>
        <v>0</v>
      </c>
      <c r="N1178" s="259">
        <f>IFERROR((R1178/C1178),"-")</f>
        <v>0</v>
      </c>
      <c r="O1178" s="616">
        <f>IFERROR(ROUNDUP(N1178/0.95,0.999),0)</f>
        <v>0</v>
      </c>
      <c r="P1178" s="615" t="str">
        <f>IFERROR((R1178/C1178/O1178),"-")</f>
        <v>-</v>
      </c>
      <c r="Q1178" s="37"/>
      <c r="R1178" s="285">
        <f>Preencher!$I$12*SUM(RESUMO!I165:J165)*$R$1165</f>
        <v>0</v>
      </c>
    </row>
    <row r="1179" spans="1:18">
      <c r="A1179" s="621" t="s">
        <v>226</v>
      </c>
      <c r="B1179" s="619"/>
      <c r="C1179" s="617"/>
      <c r="D1179" s="620"/>
      <c r="E1179" s="617">
        <f>ROUNDUP(SUM(D1180:D1185)/0.95,0)</f>
        <v>2</v>
      </c>
      <c r="F1179" s="618">
        <f>IFERROR(SUM(D1180:D1185)/E1179,0)</f>
        <v>0.89254782815096156</v>
      </c>
      <c r="G1179" s="205"/>
      <c r="H1179" s="622"/>
      <c r="I1179" s="620"/>
      <c r="J1179" s="617">
        <f>ROUNDUP(SUM(I1180:I1185)/0.95,0)</f>
        <v>0</v>
      </c>
      <c r="K1179" s="618">
        <f>IFERROR(SUM(I1180:I1185)/J1179,0)</f>
        <v>0</v>
      </c>
      <c r="L1179" s="205"/>
      <c r="M1179" s="622"/>
      <c r="N1179" s="620"/>
      <c r="O1179" s="617">
        <f>ROUNDUP(SUM(N1180:N1185)/0.95,0)</f>
        <v>0</v>
      </c>
      <c r="P1179" s="618">
        <f>IFERROR(SUM(N1180:N1185)/O1179,0)</f>
        <v>0</v>
      </c>
      <c r="Q1179" s="205"/>
      <c r="R1179" s="622"/>
    </row>
    <row r="1180" spans="1:18">
      <c r="A1180" s="200" t="s">
        <v>924</v>
      </c>
      <c r="B1180" s="284">
        <v>30</v>
      </c>
      <c r="C1180" s="616">
        <f t="shared" si="494"/>
        <v>120</v>
      </c>
      <c r="D1180" s="259">
        <f t="shared" ref="D1180:D1185" si="502">IFERROR((H1180/C1180),"-")</f>
        <v>1.7850956563019231</v>
      </c>
      <c r="E1180" s="616">
        <f t="shared" si="495"/>
        <v>2</v>
      </c>
      <c r="F1180" s="615">
        <f t="shared" ref="F1180:F1185" si="503">IFERROR((H1180/C1180/E1180),"-")</f>
        <v>0.89254782815096156</v>
      </c>
      <c r="G1180" s="37"/>
      <c r="H1180" s="285">
        <f>Preencher!$I$12*SUM(RESUMO!I135:J135)*$H$1165</f>
        <v>214.21147875623078</v>
      </c>
      <c r="I1180" s="259">
        <f t="shared" si="496"/>
        <v>0</v>
      </c>
      <c r="J1180" s="616">
        <f t="shared" si="497"/>
        <v>0</v>
      </c>
      <c r="K1180" s="615" t="str">
        <f t="shared" si="498"/>
        <v>-</v>
      </c>
      <c r="L1180" s="37"/>
      <c r="M1180" s="285">
        <f>Preencher!$I$12*SUM(RESUMO!I135:J135)*$M$1165</f>
        <v>0</v>
      </c>
      <c r="N1180" s="259">
        <f t="shared" si="499"/>
        <v>0</v>
      </c>
      <c r="O1180" s="616">
        <f t="shared" si="500"/>
        <v>0</v>
      </c>
      <c r="P1180" s="615" t="str">
        <f t="shared" si="501"/>
        <v>-</v>
      </c>
      <c r="Q1180" s="37"/>
      <c r="R1180" s="285">
        <f>Preencher!$I$12*SUM(RESUMO!I135:J135)*$R$1165</f>
        <v>0</v>
      </c>
    </row>
    <row r="1181" spans="1:18">
      <c r="A1181" s="200" t="s">
        <v>1702</v>
      </c>
      <c r="B1181" s="284">
        <v>30</v>
      </c>
      <c r="C1181" s="616">
        <f t="shared" si="494"/>
        <v>120</v>
      </c>
      <c r="D1181" s="259">
        <f t="shared" si="502"/>
        <v>0</v>
      </c>
      <c r="E1181" s="616">
        <f t="shared" si="495"/>
        <v>0</v>
      </c>
      <c r="F1181" s="615" t="str">
        <f t="shared" si="503"/>
        <v>-</v>
      </c>
      <c r="G1181" s="37"/>
      <c r="H1181" s="285">
        <f>Preencher!$I$12*SUM(RESUMO!I136:J136)*$H$1165</f>
        <v>0</v>
      </c>
      <c r="I1181" s="259">
        <f t="shared" si="496"/>
        <v>0</v>
      </c>
      <c r="J1181" s="616">
        <f t="shared" si="497"/>
        <v>0</v>
      </c>
      <c r="K1181" s="615" t="str">
        <f t="shared" si="498"/>
        <v>-</v>
      </c>
      <c r="L1181" s="37"/>
      <c r="M1181" s="285">
        <f>Preencher!$I$12*SUM(RESUMO!I136:J136)*$M$1165</f>
        <v>0</v>
      </c>
      <c r="N1181" s="259">
        <f t="shared" si="499"/>
        <v>0</v>
      </c>
      <c r="O1181" s="616">
        <f t="shared" si="500"/>
        <v>0</v>
      </c>
      <c r="P1181" s="615" t="str">
        <f t="shared" si="501"/>
        <v>-</v>
      </c>
      <c r="Q1181" s="37"/>
      <c r="R1181" s="285">
        <f>Preencher!$I$12*SUM(RESUMO!I136:J136)*$R$1165</f>
        <v>0</v>
      </c>
    </row>
    <row r="1182" spans="1:18">
      <c r="A1182" s="200" t="s">
        <v>1649</v>
      </c>
      <c r="B1182" s="284">
        <v>30</v>
      </c>
      <c r="C1182" s="616">
        <f>IF(B1182=0,"-",3600/B1182)</f>
        <v>120</v>
      </c>
      <c r="D1182" s="259">
        <f t="shared" si="502"/>
        <v>0</v>
      </c>
      <c r="E1182" s="616">
        <f>IFERROR(ROUNDUP(D1182/0.95,0.999),0)</f>
        <v>0</v>
      </c>
      <c r="F1182" s="615" t="str">
        <f t="shared" si="503"/>
        <v>-</v>
      </c>
      <c r="G1182" s="37"/>
      <c r="H1182" s="285">
        <f>Preencher!$I$12*SUM(RESUMO!I148:J148)*$H$1165</f>
        <v>0</v>
      </c>
      <c r="I1182" s="259">
        <f>IFERROR((M1182/C1182),"-")</f>
        <v>0</v>
      </c>
      <c r="J1182" s="616">
        <f>IFERROR(ROUNDUP(I1182/0.95,0.999),0)</f>
        <v>0</v>
      </c>
      <c r="K1182" s="615" t="str">
        <f>IFERROR((M1182/C1182/J1182),"-")</f>
        <v>-</v>
      </c>
      <c r="L1182" s="37"/>
      <c r="M1182" s="285">
        <f>Preencher!$I$12*SUM(RESUMO!I148:J148)*$M$1165</f>
        <v>0</v>
      </c>
      <c r="N1182" s="259">
        <f>IFERROR((R1182/C1182),"-")</f>
        <v>0</v>
      </c>
      <c r="O1182" s="616">
        <f>IFERROR(ROUNDUP(N1182/0.95,0.999),0)</f>
        <v>0</v>
      </c>
      <c r="P1182" s="615" t="str">
        <f>IFERROR((R1182/C1182/O1182),"-")</f>
        <v>-</v>
      </c>
      <c r="Q1182" s="37"/>
      <c r="R1182" s="285">
        <f>Preencher!$I$12*SUM(RESUMO!I148:J148)*$R$1165</f>
        <v>0</v>
      </c>
    </row>
    <row r="1183" spans="1:18">
      <c r="A1183" s="200" t="s">
        <v>1650</v>
      </c>
      <c r="B1183" s="284">
        <v>30</v>
      </c>
      <c r="C1183" s="616">
        <f>IF(B1183=0,"-",3600/B1183)</f>
        <v>120</v>
      </c>
      <c r="D1183" s="259">
        <f t="shared" si="502"/>
        <v>0</v>
      </c>
      <c r="E1183" s="616">
        <f>IFERROR(ROUNDUP(D1183/0.95,0.999),0)</f>
        <v>0</v>
      </c>
      <c r="F1183" s="615" t="str">
        <f t="shared" si="503"/>
        <v>-</v>
      </c>
      <c r="G1183" s="37"/>
      <c r="H1183" s="285">
        <f>Preencher!$I$12*SUM(RESUMO!I149:J149)*$H$1165</f>
        <v>0</v>
      </c>
      <c r="I1183" s="259">
        <f>IFERROR((M1183/C1183),"-")</f>
        <v>0</v>
      </c>
      <c r="J1183" s="616">
        <f>IFERROR(ROUNDUP(I1183/0.95,0.999),0)</f>
        <v>0</v>
      </c>
      <c r="K1183" s="615" t="str">
        <f>IFERROR((M1183/C1183/J1183),"-")</f>
        <v>-</v>
      </c>
      <c r="L1183" s="37"/>
      <c r="M1183" s="285">
        <f>Preencher!$I$12*SUM(RESUMO!I149:J149)*$M$1165</f>
        <v>0</v>
      </c>
      <c r="N1183" s="259">
        <f>IFERROR((R1183/C1183),"-")</f>
        <v>0</v>
      </c>
      <c r="O1183" s="616">
        <f>IFERROR(ROUNDUP(N1183/0.95,0.999),0)</f>
        <v>0</v>
      </c>
      <c r="P1183" s="615" t="str">
        <f>IFERROR((R1183/C1183/O1183),"-")</f>
        <v>-</v>
      </c>
      <c r="Q1183" s="37"/>
      <c r="R1183" s="285">
        <f>Preencher!$I$12*SUM(RESUMO!I149:J149)*$R$1165</f>
        <v>0</v>
      </c>
    </row>
    <row r="1184" spans="1:18">
      <c r="A1184" s="200" t="s">
        <v>1637</v>
      </c>
      <c r="B1184" s="284">
        <v>30</v>
      </c>
      <c r="C1184" s="616">
        <f>IF(B1184=0,"-",3600/B1184)</f>
        <v>120</v>
      </c>
      <c r="D1184" s="259">
        <f t="shared" si="502"/>
        <v>0</v>
      </c>
      <c r="E1184" s="616">
        <f>IFERROR(ROUNDUP(D1184/0.95,0.999),0)</f>
        <v>0</v>
      </c>
      <c r="F1184" s="615" t="str">
        <f t="shared" si="503"/>
        <v>-</v>
      </c>
      <c r="G1184" s="37"/>
      <c r="H1184" s="285">
        <f>Preencher!$I$12*SUM(RESUMO!I167:J167)*$H$1165</f>
        <v>0</v>
      </c>
      <c r="I1184" s="259">
        <f>IFERROR((M1184/C1184),"-")</f>
        <v>0</v>
      </c>
      <c r="J1184" s="616">
        <f>IFERROR(ROUNDUP(I1184/0.95,0.999),0)</f>
        <v>0</v>
      </c>
      <c r="K1184" s="615" t="str">
        <f>IFERROR((M1184/C1184/J1184),"-")</f>
        <v>-</v>
      </c>
      <c r="L1184" s="37"/>
      <c r="M1184" s="285">
        <f>Preencher!$I$12*SUM(RESUMO!I167:J167)*$M$1165</f>
        <v>0</v>
      </c>
      <c r="N1184" s="259">
        <f>IFERROR((R1184/C1184),"-")</f>
        <v>0</v>
      </c>
      <c r="O1184" s="616">
        <f>IFERROR(ROUNDUP(N1184/0.95,0.999),0)</f>
        <v>0</v>
      </c>
      <c r="P1184" s="615" t="str">
        <f>IFERROR((R1184/C1184/O1184),"-")</f>
        <v>-</v>
      </c>
      <c r="Q1184" s="37"/>
      <c r="R1184" s="285">
        <f>Preencher!$I$12*SUM(RESUMO!I167:J167)*$R$1165</f>
        <v>0</v>
      </c>
    </row>
    <row r="1185" spans="1:18">
      <c r="A1185" s="200" t="s">
        <v>1638</v>
      </c>
      <c r="B1185" s="284">
        <v>30</v>
      </c>
      <c r="C1185" s="616">
        <f>IF(B1185=0,"-",3600/B1185)</f>
        <v>120</v>
      </c>
      <c r="D1185" s="259">
        <f t="shared" si="502"/>
        <v>0</v>
      </c>
      <c r="E1185" s="616">
        <f>IFERROR(ROUNDUP(D1185/0.95,0.999),0)</f>
        <v>0</v>
      </c>
      <c r="F1185" s="615" t="str">
        <f t="shared" si="503"/>
        <v>-</v>
      </c>
      <c r="G1185" s="37"/>
      <c r="H1185" s="285">
        <f>Preencher!$I$12*SUM(RESUMO!I168:J168)*$H$1165</f>
        <v>0</v>
      </c>
      <c r="I1185" s="259">
        <f>IFERROR((M1185/C1185),"-")</f>
        <v>0</v>
      </c>
      <c r="J1185" s="616">
        <f>IFERROR(ROUNDUP(I1185/0.95,0.999),0)</f>
        <v>0</v>
      </c>
      <c r="K1185" s="615" t="str">
        <f>IFERROR((M1185/C1185/J1185),"-")</f>
        <v>-</v>
      </c>
      <c r="L1185" s="37"/>
      <c r="M1185" s="285">
        <f>Preencher!$I$12*SUM(RESUMO!I168:J168)*$M$1165</f>
        <v>0</v>
      </c>
      <c r="N1185" s="259">
        <f>IFERROR((R1185/C1185),"-")</f>
        <v>0</v>
      </c>
      <c r="O1185" s="616">
        <f>IFERROR(ROUNDUP(N1185/0.95,0.999),0)</f>
        <v>0</v>
      </c>
      <c r="P1185" s="615" t="str">
        <f>IFERROR((R1185/C1185/O1185),"-")</f>
        <v>-</v>
      </c>
      <c r="Q1185" s="37"/>
      <c r="R1185" s="285">
        <f>Preencher!$I$12*SUM(RESUMO!I168:J168)*$R$1165</f>
        <v>0</v>
      </c>
    </row>
    <row r="1186" spans="1:18">
      <c r="A1186" s="621" t="s">
        <v>226</v>
      </c>
      <c r="B1186" s="619"/>
      <c r="C1186" s="617"/>
      <c r="D1186" s="620"/>
      <c r="E1186" s="617">
        <f>ROUNDUP(SUM(D1187:D1192)/0.95,0)</f>
        <v>0</v>
      </c>
      <c r="F1186" s="618">
        <f>IFERROR(SUM(D1187:D1192)/E1186,0)</f>
        <v>0</v>
      </c>
      <c r="G1186" s="205"/>
      <c r="H1186" s="622"/>
      <c r="I1186" s="620"/>
      <c r="J1186" s="617">
        <f>ROUNDUP(SUM(I1187:I1192)/0.95,0)</f>
        <v>0</v>
      </c>
      <c r="K1186" s="618">
        <f>IFERROR(SUM(I1187:I1192)/J1186,0)</f>
        <v>0</v>
      </c>
      <c r="L1186" s="205"/>
      <c r="M1186" s="622"/>
      <c r="N1186" s="620"/>
      <c r="O1186" s="617">
        <f>ROUNDUP(SUM(N1187:N1192)/0.95,0)</f>
        <v>0</v>
      </c>
      <c r="P1186" s="618">
        <f>IFERROR(SUM(N1187:N1192)/O1186,0)</f>
        <v>0</v>
      </c>
      <c r="Q1186" s="205"/>
      <c r="R1186" s="622"/>
    </row>
    <row r="1187" spans="1:18">
      <c r="A1187" s="200" t="s">
        <v>1634</v>
      </c>
      <c r="B1187" s="284">
        <v>30</v>
      </c>
      <c r="C1187" s="616">
        <f t="shared" si="494"/>
        <v>120</v>
      </c>
      <c r="D1187" s="259">
        <f t="shared" ref="D1187:D1192" si="504">IFERROR((H1187/C1187),"-")</f>
        <v>0</v>
      </c>
      <c r="E1187" s="616">
        <f t="shared" si="495"/>
        <v>0</v>
      </c>
      <c r="F1187" s="615" t="str">
        <f t="shared" ref="F1187:F1192" si="505">IFERROR((H1187/C1187/E1187),"-")</f>
        <v>-</v>
      </c>
      <c r="G1187" s="37"/>
      <c r="H1187" s="285">
        <f>Preencher!$I$12*SUM(RESUMO!I137:J137)*$H$1165</f>
        <v>0</v>
      </c>
      <c r="I1187" s="259">
        <f t="shared" si="496"/>
        <v>0</v>
      </c>
      <c r="J1187" s="616">
        <f t="shared" si="497"/>
        <v>0</v>
      </c>
      <c r="K1187" s="615" t="str">
        <f t="shared" si="498"/>
        <v>-</v>
      </c>
      <c r="L1187" s="37"/>
      <c r="M1187" s="285">
        <f>Preencher!$I$12*SUM(RESUMO!I137:J137)*$M$1165</f>
        <v>0</v>
      </c>
      <c r="N1187" s="259">
        <f t="shared" si="499"/>
        <v>0</v>
      </c>
      <c r="O1187" s="616">
        <f t="shared" si="500"/>
        <v>0</v>
      </c>
      <c r="P1187" s="615" t="str">
        <f t="shared" si="501"/>
        <v>-</v>
      </c>
      <c r="Q1187" s="37"/>
      <c r="R1187" s="285">
        <f>Preencher!$I$12*SUM(RESUMO!I137:J137)*$R$1165</f>
        <v>0</v>
      </c>
    </row>
    <row r="1188" spans="1:18">
      <c r="A1188" s="200" t="s">
        <v>1635</v>
      </c>
      <c r="B1188" s="284">
        <v>30</v>
      </c>
      <c r="C1188" s="616">
        <f t="shared" si="494"/>
        <v>120</v>
      </c>
      <c r="D1188" s="259">
        <f t="shared" si="504"/>
        <v>0</v>
      </c>
      <c r="E1188" s="616">
        <f t="shared" si="495"/>
        <v>0</v>
      </c>
      <c r="F1188" s="615" t="str">
        <f t="shared" si="505"/>
        <v>-</v>
      </c>
      <c r="G1188" s="37"/>
      <c r="H1188" s="285">
        <f>Preencher!$I$12*SUM(RESUMO!I138:J138)*$H$1165</f>
        <v>0</v>
      </c>
      <c r="I1188" s="259">
        <f t="shared" si="496"/>
        <v>0</v>
      </c>
      <c r="J1188" s="616">
        <f t="shared" si="497"/>
        <v>0</v>
      </c>
      <c r="K1188" s="615" t="str">
        <f t="shared" si="498"/>
        <v>-</v>
      </c>
      <c r="L1188" s="37"/>
      <c r="M1188" s="285">
        <f>Preencher!$I$12*SUM(RESUMO!I138:J138)*$M$1165</f>
        <v>0</v>
      </c>
      <c r="N1188" s="259">
        <f t="shared" si="499"/>
        <v>0</v>
      </c>
      <c r="O1188" s="616">
        <f t="shared" si="500"/>
        <v>0</v>
      </c>
      <c r="P1188" s="615" t="str">
        <f t="shared" si="501"/>
        <v>-</v>
      </c>
      <c r="Q1188" s="37"/>
      <c r="R1188" s="285">
        <f>Preencher!$I$12*SUM(RESUMO!I138:J138)*$R$1165</f>
        <v>0</v>
      </c>
    </row>
    <row r="1189" spans="1:18">
      <c r="A1189" s="200" t="s">
        <v>1651</v>
      </c>
      <c r="B1189" s="284">
        <v>30</v>
      </c>
      <c r="C1189" s="616">
        <f t="shared" ref="C1189:C1194" si="506">IF(B1189=0,"-",3600/B1189)</f>
        <v>120</v>
      </c>
      <c r="D1189" s="259">
        <f t="shared" si="504"/>
        <v>0</v>
      </c>
      <c r="E1189" s="616">
        <f t="shared" ref="E1189:E1194" si="507">IFERROR(ROUNDUP(D1189/0.95,0.999),0)</f>
        <v>0</v>
      </c>
      <c r="F1189" s="615" t="str">
        <f t="shared" si="505"/>
        <v>-</v>
      </c>
      <c r="G1189" s="37"/>
      <c r="H1189" s="285">
        <f>Preencher!$I$12*SUM(RESUMO!I150:J150)*$H$1165</f>
        <v>0</v>
      </c>
      <c r="I1189" s="259">
        <f t="shared" ref="I1189:I1194" si="508">IFERROR((M1189/C1189),"-")</f>
        <v>0</v>
      </c>
      <c r="J1189" s="616">
        <f t="shared" ref="J1189:J1194" si="509">IFERROR(ROUNDUP(I1189/0.95,0.999),0)</f>
        <v>0</v>
      </c>
      <c r="K1189" s="615" t="str">
        <f t="shared" ref="K1189:K1194" si="510">IFERROR((M1189/C1189/J1189),"-")</f>
        <v>-</v>
      </c>
      <c r="L1189" s="37"/>
      <c r="M1189" s="285">
        <f>Preencher!$I$12*SUM(RESUMO!I150:J150)*$M$1165</f>
        <v>0</v>
      </c>
      <c r="N1189" s="259">
        <f t="shared" ref="N1189:N1194" si="511">IFERROR((R1189/C1189),"-")</f>
        <v>0</v>
      </c>
      <c r="O1189" s="616">
        <f t="shared" ref="O1189:O1194" si="512">IFERROR(ROUNDUP(N1189/0.95,0.999),0)</f>
        <v>0</v>
      </c>
      <c r="P1189" s="615" t="str">
        <f t="shared" ref="P1189:P1194" si="513">IFERROR((R1189/C1189/O1189),"-")</f>
        <v>-</v>
      </c>
      <c r="Q1189" s="37"/>
      <c r="R1189" s="285">
        <f>Preencher!$I$12*SUM(RESUMO!I150:J150)*$R$1165</f>
        <v>0</v>
      </c>
    </row>
    <row r="1190" spans="1:18">
      <c r="A1190" s="200" t="s">
        <v>1652</v>
      </c>
      <c r="B1190" s="284">
        <v>30</v>
      </c>
      <c r="C1190" s="616">
        <f t="shared" si="506"/>
        <v>120</v>
      </c>
      <c r="D1190" s="259">
        <f t="shared" si="504"/>
        <v>0</v>
      </c>
      <c r="E1190" s="616">
        <f t="shared" si="507"/>
        <v>0</v>
      </c>
      <c r="F1190" s="615" t="str">
        <f t="shared" si="505"/>
        <v>-</v>
      </c>
      <c r="G1190" s="37"/>
      <c r="H1190" s="285">
        <f>Preencher!$I$12*SUM(RESUMO!I151:J151)*$H$1165</f>
        <v>0</v>
      </c>
      <c r="I1190" s="259">
        <f t="shared" si="508"/>
        <v>0</v>
      </c>
      <c r="J1190" s="616">
        <f t="shared" si="509"/>
        <v>0</v>
      </c>
      <c r="K1190" s="615" t="str">
        <f t="shared" si="510"/>
        <v>-</v>
      </c>
      <c r="L1190" s="37"/>
      <c r="M1190" s="285">
        <f>Preencher!$I$12*SUM(RESUMO!I151:J151)*$M$1165</f>
        <v>0</v>
      </c>
      <c r="N1190" s="259">
        <f t="shared" si="511"/>
        <v>0</v>
      </c>
      <c r="O1190" s="616">
        <f t="shared" si="512"/>
        <v>0</v>
      </c>
      <c r="P1190" s="615" t="str">
        <f t="shared" si="513"/>
        <v>-</v>
      </c>
      <c r="Q1190" s="37"/>
      <c r="R1190" s="285">
        <f>Preencher!$I$12*SUM(RESUMO!I151:J151)*$R$1165</f>
        <v>0</v>
      </c>
    </row>
    <row r="1191" spans="1:18">
      <c r="A1191" s="200" t="s">
        <v>1639</v>
      </c>
      <c r="B1191" s="284">
        <v>30</v>
      </c>
      <c r="C1191" s="616">
        <f>IF(B1191=0,"-",3600/B1191)</f>
        <v>120</v>
      </c>
      <c r="D1191" s="259">
        <f t="shared" si="504"/>
        <v>0</v>
      </c>
      <c r="E1191" s="616">
        <f>IFERROR(ROUNDUP(D1191/0.95,0.999),0)</f>
        <v>0</v>
      </c>
      <c r="F1191" s="615" t="str">
        <f t="shared" si="505"/>
        <v>-</v>
      </c>
      <c r="G1191" s="37"/>
      <c r="H1191" s="285">
        <f>Preencher!$I$12*SUM(RESUMO!I169:J169)*$H$1165</f>
        <v>0</v>
      </c>
      <c r="I1191" s="259">
        <f>IFERROR((M1191/C1191),"-")</f>
        <v>0</v>
      </c>
      <c r="J1191" s="616">
        <f>IFERROR(ROUNDUP(I1191/0.95,0.999),0)</f>
        <v>0</v>
      </c>
      <c r="K1191" s="615" t="str">
        <f>IFERROR((M1191/C1191/J1191),"-")</f>
        <v>-</v>
      </c>
      <c r="L1191" s="37"/>
      <c r="M1191" s="285">
        <f>Preencher!$I$12*SUM(RESUMO!I169:J169)*$M$1165</f>
        <v>0</v>
      </c>
      <c r="N1191" s="259">
        <f>IFERROR((R1191/C1191),"-")</f>
        <v>0</v>
      </c>
      <c r="O1191" s="616">
        <f>IFERROR(ROUNDUP(N1191/0.95,0.999),0)</f>
        <v>0</v>
      </c>
      <c r="P1191" s="615" t="str">
        <f>IFERROR((R1191/C1191/O1191),"-")</f>
        <v>-</v>
      </c>
      <c r="Q1191" s="37"/>
      <c r="R1191" s="285">
        <f>Preencher!$I$12*SUM(RESUMO!I169:J169)*$R$1165</f>
        <v>0</v>
      </c>
    </row>
    <row r="1192" spans="1:18">
      <c r="A1192" s="200" t="s">
        <v>1640</v>
      </c>
      <c r="B1192" s="284">
        <v>30</v>
      </c>
      <c r="C1192" s="616">
        <f>IF(B1192=0,"-",3600/B1192)</f>
        <v>120</v>
      </c>
      <c r="D1192" s="259">
        <f t="shared" si="504"/>
        <v>0</v>
      </c>
      <c r="E1192" s="616">
        <f>IFERROR(ROUNDUP(D1192/0.95,0.999),0)</f>
        <v>0</v>
      </c>
      <c r="F1192" s="615" t="str">
        <f t="shared" si="505"/>
        <v>-</v>
      </c>
      <c r="G1192" s="37"/>
      <c r="H1192" s="285">
        <f>Preencher!$I$12*SUM(RESUMO!I170:J170)*$H$1165</f>
        <v>0</v>
      </c>
      <c r="I1192" s="259">
        <f>IFERROR((M1192/C1192),"-")</f>
        <v>0</v>
      </c>
      <c r="J1192" s="616">
        <f>IFERROR(ROUNDUP(I1192/0.95,0.999),0)</f>
        <v>0</v>
      </c>
      <c r="K1192" s="615" t="str">
        <f>IFERROR((M1192/C1192/J1192),"-")</f>
        <v>-</v>
      </c>
      <c r="L1192" s="37"/>
      <c r="M1192" s="285">
        <f>Preencher!$I$12*SUM(RESUMO!I170:J170)*$M$1165</f>
        <v>0</v>
      </c>
      <c r="N1192" s="259">
        <f>IFERROR((R1192/C1192),"-")</f>
        <v>0</v>
      </c>
      <c r="O1192" s="616">
        <f>IFERROR(ROUNDUP(N1192/0.95,0.999),0)</f>
        <v>0</v>
      </c>
      <c r="P1192" s="615" t="str">
        <f>IFERROR((R1192/C1192/O1192),"-")</f>
        <v>-</v>
      </c>
      <c r="Q1192" s="37"/>
      <c r="R1192" s="285">
        <f>Preencher!$I$12*SUM(RESUMO!I170:J170)*$R$1165</f>
        <v>0</v>
      </c>
    </row>
    <row r="1193" spans="1:18">
      <c r="A1193" s="621" t="s">
        <v>226</v>
      </c>
      <c r="B1193" s="619"/>
      <c r="C1193" s="617"/>
      <c r="D1193" s="620"/>
      <c r="E1193" s="617">
        <f>ROUNDUP(SUM(D1194:D1197)/0.95,0)</f>
        <v>0</v>
      </c>
      <c r="F1193" s="618">
        <f>IFERROR(SUM(D1194:D1197)/E1193,0)</f>
        <v>0</v>
      </c>
      <c r="G1193" s="205"/>
      <c r="H1193" s="622"/>
      <c r="I1193" s="620"/>
      <c r="J1193" s="617">
        <f>ROUNDUP(SUM(I1194:I1197)/0.95,0)</f>
        <v>0</v>
      </c>
      <c r="K1193" s="618">
        <f>IFERROR(SUM(I1194:I1197)/J1193,0)</f>
        <v>0</v>
      </c>
      <c r="L1193" s="205"/>
      <c r="M1193" s="622"/>
      <c r="N1193" s="620"/>
      <c r="O1193" s="617">
        <f>ROUNDUP(SUM(N1194:N1197)/0.95,0)</f>
        <v>0</v>
      </c>
      <c r="P1193" s="618">
        <f>IFERROR(SUM(N1194:N1197)/O1193,0)</f>
        <v>0</v>
      </c>
      <c r="Q1193" s="205"/>
      <c r="R1193" s="622"/>
    </row>
    <row r="1194" spans="1:18">
      <c r="A1194" s="200" t="s">
        <v>1646</v>
      </c>
      <c r="B1194" s="284">
        <v>30</v>
      </c>
      <c r="C1194" s="616">
        <f t="shared" si="506"/>
        <v>120</v>
      </c>
      <c r="D1194" s="259">
        <f>IFERROR((H1194/C1194),"-")</f>
        <v>0</v>
      </c>
      <c r="E1194" s="616">
        <f t="shared" si="507"/>
        <v>0</v>
      </c>
      <c r="F1194" s="615" t="str">
        <f>IFERROR((H1194/C1194/E1194),"-")</f>
        <v>-</v>
      </c>
      <c r="G1194" s="37"/>
      <c r="H1194" s="285">
        <f>Preencher!$I$12*SUM(RESUMO!I152:J152)*$H$1165</f>
        <v>0</v>
      </c>
      <c r="I1194" s="259">
        <f t="shared" si="508"/>
        <v>0</v>
      </c>
      <c r="J1194" s="616">
        <f t="shared" si="509"/>
        <v>0</v>
      </c>
      <c r="K1194" s="615" t="str">
        <f t="shared" si="510"/>
        <v>-</v>
      </c>
      <c r="L1194" s="37"/>
      <c r="M1194" s="285">
        <f>Preencher!$I$12*SUM(RESUMO!I152:J152)*$M$1165</f>
        <v>0</v>
      </c>
      <c r="N1194" s="259">
        <f t="shared" si="511"/>
        <v>0</v>
      </c>
      <c r="O1194" s="616">
        <f t="shared" si="512"/>
        <v>0</v>
      </c>
      <c r="P1194" s="615" t="str">
        <f t="shared" si="513"/>
        <v>-</v>
      </c>
      <c r="Q1194" s="37"/>
      <c r="R1194" s="285">
        <f>Preencher!$I$12*SUM(RESUMO!I152:J152)*$R$1165</f>
        <v>0</v>
      </c>
    </row>
    <row r="1195" spans="1:18">
      <c r="A1195" s="200" t="s">
        <v>2129</v>
      </c>
      <c r="B1195" s="284">
        <v>30</v>
      </c>
      <c r="C1195" s="616">
        <f>IF(B1195=0,"-",3600/B1195)</f>
        <v>120</v>
      </c>
      <c r="D1195" s="259">
        <f>IFERROR((H1195/C1195),"-")</f>
        <v>0</v>
      </c>
      <c r="E1195" s="616">
        <f>IFERROR(ROUNDUP(D1195/0.95,0.999),0)</f>
        <v>0</v>
      </c>
      <c r="F1195" s="615" t="str">
        <f>IFERROR((H1195/C1195/E1195),"-")</f>
        <v>-</v>
      </c>
      <c r="G1195" s="37"/>
      <c r="H1195" s="285">
        <f>Preencher!$I$12*SUM(RESUMO!I178:J178)*$H$1165</f>
        <v>0</v>
      </c>
      <c r="I1195" s="259">
        <f>IFERROR((M1195/C1195),"-")</f>
        <v>0</v>
      </c>
      <c r="J1195" s="616">
        <f>IFERROR(ROUNDUP(I1195/0.95,0.999),0)</f>
        <v>0</v>
      </c>
      <c r="K1195" s="615" t="str">
        <f>IFERROR((M1195/C1195/J1195),"-")</f>
        <v>-</v>
      </c>
      <c r="L1195" s="37"/>
      <c r="M1195" s="285">
        <f>Preencher!$I$12*SUM(RESUMO!I178:J178)*$M$1165</f>
        <v>0</v>
      </c>
      <c r="N1195" s="259">
        <f>IFERROR((R1195/C1195),"-")</f>
        <v>0</v>
      </c>
      <c r="O1195" s="616">
        <f>IFERROR(ROUNDUP(N1195/0.95,0.999),0)</f>
        <v>0</v>
      </c>
      <c r="P1195" s="615" t="str">
        <f>IFERROR((R1195/C1195/O1195),"-")</f>
        <v>-</v>
      </c>
      <c r="Q1195" s="37"/>
      <c r="R1195" s="285">
        <f>Preencher!$I$12*SUM(RESUMO!I178:J178)*$R$1165</f>
        <v>0</v>
      </c>
    </row>
    <row r="1196" spans="1:18">
      <c r="A1196" s="200" t="s">
        <v>2137</v>
      </c>
      <c r="B1196" s="284">
        <v>30</v>
      </c>
      <c r="C1196" s="616">
        <f>IF(B1196=0,"-",3600/B1196)</f>
        <v>120</v>
      </c>
      <c r="D1196" s="259">
        <f>IFERROR((H1196/C1196),"-")</f>
        <v>0</v>
      </c>
      <c r="E1196" s="616">
        <f>IFERROR(ROUNDUP(D1196/0.95,0.999),0)</f>
        <v>0</v>
      </c>
      <c r="F1196" s="615" t="str">
        <f>IFERROR((H1196/C1196/E1196),"-")</f>
        <v>-</v>
      </c>
      <c r="G1196" s="37"/>
      <c r="H1196" s="285">
        <f>Preencher!$I$12*SUM(RESUMO!I179:J179)*$H$1165</f>
        <v>0</v>
      </c>
      <c r="I1196" s="259">
        <f>IFERROR((M1196/C1196),"-")</f>
        <v>0</v>
      </c>
      <c r="J1196" s="616">
        <f>IFERROR(ROUNDUP(I1196/0.95,0.999),0)</f>
        <v>0</v>
      </c>
      <c r="K1196" s="615" t="str">
        <f>IFERROR((M1196/C1196/J1196),"-")</f>
        <v>-</v>
      </c>
      <c r="L1196" s="37"/>
      <c r="M1196" s="285">
        <f>Preencher!$I$12*SUM(RESUMO!I179:J179)*$M$1165</f>
        <v>0</v>
      </c>
      <c r="N1196" s="259">
        <f>IFERROR((R1196/C1196),"-")</f>
        <v>0</v>
      </c>
      <c r="O1196" s="616">
        <f>IFERROR(ROUNDUP(N1196/0.95,0.999),0)</f>
        <v>0</v>
      </c>
      <c r="P1196" s="615" t="str">
        <f>IFERROR((R1196/C1196/O1196),"-")</f>
        <v>-</v>
      </c>
      <c r="Q1196" s="37"/>
      <c r="R1196" s="285">
        <f>Preencher!$I$12*SUM(RESUMO!I179:J179)*$R$1165</f>
        <v>0</v>
      </c>
    </row>
    <row r="1197" spans="1:18">
      <c r="A1197" s="360" t="s">
        <v>1645</v>
      </c>
      <c r="B1197" s="284">
        <v>30</v>
      </c>
      <c r="C1197" s="616">
        <f>IF(B1197=0,"-",3600/B1197)</f>
        <v>120</v>
      </c>
      <c r="D1197" s="259">
        <f>IFERROR((H1197/C1197),"-")</f>
        <v>0</v>
      </c>
      <c r="E1197" s="616">
        <f>IFERROR(ROUNDUP(D1197/0.95,0.999),0)</f>
        <v>0</v>
      </c>
      <c r="F1197" s="615" t="str">
        <f>IFERROR((H1197/C1197/E1197),"-")</f>
        <v>-</v>
      </c>
      <c r="G1197" s="37"/>
      <c r="H1197" s="285">
        <f>Preencher!$I$12*SUM(RESUMO!I184:J184)*$H$1165</f>
        <v>0</v>
      </c>
      <c r="I1197" s="259">
        <f>IFERROR((M1197/C1197),"-")</f>
        <v>0</v>
      </c>
      <c r="J1197" s="616">
        <f>IFERROR(ROUNDUP(I1197/0.95,0.999),0)</f>
        <v>0</v>
      </c>
      <c r="K1197" s="615" t="str">
        <f>IFERROR((M1197/C1197/J1197),"-")</f>
        <v>-</v>
      </c>
      <c r="L1197" s="37"/>
      <c r="M1197" s="285">
        <f>Preencher!$I$12*SUM(RESUMO!I184:J184)*$M$1165</f>
        <v>0</v>
      </c>
      <c r="N1197" s="259">
        <f>IFERROR((R1197/C1197),"-")</f>
        <v>0</v>
      </c>
      <c r="O1197" s="616">
        <f>IFERROR(ROUNDUP(N1197/0.95,0.999),0)</f>
        <v>0</v>
      </c>
      <c r="P1197" s="615" t="str">
        <f>IFERROR((R1197/C1197/O1197),"-")</f>
        <v>-</v>
      </c>
      <c r="Q1197" s="37"/>
      <c r="R1197" s="285">
        <f>Preencher!$I$12*SUM(RESUMO!I184:J184)*$R$1165</f>
        <v>0</v>
      </c>
    </row>
    <row r="1198" spans="1:18">
      <c r="A1198" s="621" t="s">
        <v>226</v>
      </c>
      <c r="B1198" s="619"/>
      <c r="C1198" s="617"/>
      <c r="D1198" s="620"/>
      <c r="E1198" s="617">
        <f>ROUNDUP(SUM(D1199:D1205)/0.95,0)</f>
        <v>1</v>
      </c>
      <c r="F1198" s="618">
        <f>IFERROR(SUM(D1199:D1205)/E1198,0)</f>
        <v>0.23090434369807739</v>
      </c>
      <c r="G1198" s="205"/>
      <c r="H1198" s="622">
        <f>Preencher!$B$290/SUM(Preencher!$B$290:$D$290)</f>
        <v>1</v>
      </c>
      <c r="I1198" s="620"/>
      <c r="J1198" s="617">
        <f>ROUNDUP(SUM(I1199:I1205)/0.95,0)</f>
        <v>0</v>
      </c>
      <c r="K1198" s="618">
        <f>IFERROR(SUM(I1199:I1205)/J1198,0)</f>
        <v>0</v>
      </c>
      <c r="L1198" s="205"/>
      <c r="M1198" s="622">
        <f>Preencher!$C$290/SUM(Preencher!$B$290:$D$290)</f>
        <v>0</v>
      </c>
      <c r="N1198" s="620"/>
      <c r="O1198" s="617">
        <f>ROUNDUP(SUM(N1199:N1205)/0.95,0)</f>
        <v>0</v>
      </c>
      <c r="P1198" s="618">
        <f>IFERROR(SUM(N1199:N1205)/O1198,0)</f>
        <v>0</v>
      </c>
      <c r="Q1198" s="205"/>
      <c r="R1198" s="622">
        <f>Preencher!$D$290/SUM(Preencher!$B$290:$D$290)</f>
        <v>0</v>
      </c>
    </row>
    <row r="1199" spans="1:18">
      <c r="A1199" s="360" t="s">
        <v>923</v>
      </c>
      <c r="B1199" s="284">
        <v>30</v>
      </c>
      <c r="C1199" s="616">
        <f t="shared" ref="C1199:C1205" si="514">IF(B1199=0,"-",3600/B1199)</f>
        <v>120</v>
      </c>
      <c r="D1199" s="259">
        <f t="shared" ref="D1199:D1205" si="515">IFERROR((H1199/C1199),"-")</f>
        <v>0.23090434369807739</v>
      </c>
      <c r="E1199" s="616">
        <f t="shared" ref="E1199:E1205" si="516">IFERROR(ROUNDUP(D1199/0.95,0.999),0)</f>
        <v>1</v>
      </c>
      <c r="F1199" s="615">
        <f t="shared" ref="F1199:F1205" si="517">IFERROR((H1199/C1199/E1199),"-")</f>
        <v>0.23090434369807739</v>
      </c>
      <c r="G1199" s="37"/>
      <c r="H1199" s="285">
        <f>Preencher!$I$12*SUM(RESUMO!I190:J190)*$H$1198</f>
        <v>27.708521243769287</v>
      </c>
      <c r="I1199" s="259">
        <f t="shared" ref="I1199:I1205" si="518">IFERROR((M1199/C1199),"-")</f>
        <v>0</v>
      </c>
      <c r="J1199" s="616">
        <f t="shared" ref="J1199:J1205" si="519">IFERROR(ROUNDUP(I1199/0.95,0.999),0)</f>
        <v>0</v>
      </c>
      <c r="K1199" s="615" t="str">
        <f t="shared" ref="K1199:K1205" si="520">IFERROR((M1199/C1199/J1199),"-")</f>
        <v>-</v>
      </c>
      <c r="L1199" s="37"/>
      <c r="M1199" s="285">
        <f>Preencher!$I$12*SUM(RESUMO!I190:J190)*$M$1198</f>
        <v>0</v>
      </c>
      <c r="N1199" s="259">
        <f t="shared" ref="N1199:N1205" si="521">IFERROR((R1199/C1199),"-")</f>
        <v>0</v>
      </c>
      <c r="O1199" s="616">
        <f t="shared" ref="O1199:O1205" si="522">IFERROR(ROUNDUP(N1199/0.95,0.999),0)</f>
        <v>0</v>
      </c>
      <c r="P1199" s="615" t="str">
        <f t="shared" ref="P1199:P1205" si="523">IFERROR((R1199/C1199/O1199),"-")</f>
        <v>-</v>
      </c>
      <c r="Q1199" s="37"/>
      <c r="R1199" s="285">
        <f>Preencher!$I$12*SUM(RESUMO!I190:J190)*$R$1198</f>
        <v>0</v>
      </c>
    </row>
    <row r="1200" spans="1:18">
      <c r="A1200" s="360" t="s">
        <v>1842</v>
      </c>
      <c r="B1200" s="284">
        <v>30</v>
      </c>
      <c r="C1200" s="616">
        <f t="shared" si="514"/>
        <v>120</v>
      </c>
      <c r="D1200" s="259">
        <f t="shared" si="515"/>
        <v>0</v>
      </c>
      <c r="E1200" s="616">
        <f t="shared" si="516"/>
        <v>0</v>
      </c>
      <c r="F1200" s="615" t="str">
        <f t="shared" si="517"/>
        <v>-</v>
      </c>
      <c r="G1200" s="37"/>
      <c r="H1200" s="285">
        <f>Preencher!$I$12*SUM(RESUMO!I192:J192)*$H$1198</f>
        <v>0</v>
      </c>
      <c r="I1200" s="259">
        <f t="shared" si="518"/>
        <v>0</v>
      </c>
      <c r="J1200" s="616">
        <f t="shared" si="519"/>
        <v>0</v>
      </c>
      <c r="K1200" s="615" t="str">
        <f t="shared" si="520"/>
        <v>-</v>
      </c>
      <c r="L1200" s="37"/>
      <c r="M1200" s="285">
        <f>Preencher!$I$12*SUM(RESUMO!I192:J192)*$M$1198</f>
        <v>0</v>
      </c>
      <c r="N1200" s="259">
        <f t="shared" si="521"/>
        <v>0</v>
      </c>
      <c r="O1200" s="616">
        <f t="shared" si="522"/>
        <v>0</v>
      </c>
      <c r="P1200" s="615" t="str">
        <f t="shared" si="523"/>
        <v>-</v>
      </c>
      <c r="Q1200" s="37"/>
      <c r="R1200" s="285">
        <f>Preencher!$I$12*SUM(RESUMO!I192:J192)*$R$1198</f>
        <v>0</v>
      </c>
    </row>
    <row r="1201" spans="1:18">
      <c r="A1201" s="360" t="s">
        <v>1836</v>
      </c>
      <c r="B1201" s="284">
        <v>30</v>
      </c>
      <c r="C1201" s="616">
        <f t="shared" si="514"/>
        <v>120</v>
      </c>
      <c r="D1201" s="259">
        <f t="shared" si="515"/>
        <v>0</v>
      </c>
      <c r="E1201" s="616">
        <f t="shared" si="516"/>
        <v>0</v>
      </c>
      <c r="F1201" s="615" t="str">
        <f t="shared" si="517"/>
        <v>-</v>
      </c>
      <c r="G1201" s="37"/>
      <c r="H1201" s="285">
        <f>Preencher!$I$12*SUM(RESUMO!I193:J193)*$H$1198</f>
        <v>0</v>
      </c>
      <c r="I1201" s="259">
        <f t="shared" si="518"/>
        <v>0</v>
      </c>
      <c r="J1201" s="616">
        <f t="shared" si="519"/>
        <v>0</v>
      </c>
      <c r="K1201" s="615" t="str">
        <f t="shared" si="520"/>
        <v>-</v>
      </c>
      <c r="L1201" s="37"/>
      <c r="M1201" s="285">
        <f>Preencher!$I$12*SUM(RESUMO!I193:J193)*$M$1198</f>
        <v>0</v>
      </c>
      <c r="N1201" s="259">
        <f t="shared" si="521"/>
        <v>0</v>
      </c>
      <c r="O1201" s="616">
        <f t="shared" si="522"/>
        <v>0</v>
      </c>
      <c r="P1201" s="615" t="str">
        <f t="shared" si="523"/>
        <v>-</v>
      </c>
      <c r="Q1201" s="37"/>
      <c r="R1201" s="285">
        <f>Preencher!$I$12*SUM(RESUMO!I193:J193)*$R$1198</f>
        <v>0</v>
      </c>
    </row>
    <row r="1202" spans="1:18">
      <c r="A1202" s="360" t="s">
        <v>1011</v>
      </c>
      <c r="B1202" s="284">
        <v>30</v>
      </c>
      <c r="C1202" s="616">
        <f t="shared" si="514"/>
        <v>120</v>
      </c>
      <c r="D1202" s="259">
        <f t="shared" si="515"/>
        <v>0</v>
      </c>
      <c r="E1202" s="616">
        <f t="shared" si="516"/>
        <v>0</v>
      </c>
      <c r="F1202" s="615" t="str">
        <f t="shared" si="517"/>
        <v>-</v>
      </c>
      <c r="G1202" s="37"/>
      <c r="H1202" s="285">
        <f>Preencher!$I$12*SUM(RESUMO!I212:J212)*$H$1198</f>
        <v>0</v>
      </c>
      <c r="I1202" s="259">
        <f t="shared" si="518"/>
        <v>0</v>
      </c>
      <c r="J1202" s="616">
        <f t="shared" si="519"/>
        <v>0</v>
      </c>
      <c r="K1202" s="615" t="str">
        <f t="shared" si="520"/>
        <v>-</v>
      </c>
      <c r="L1202" s="37"/>
      <c r="M1202" s="285">
        <f>Preencher!$I$12*SUM(RESUMO!I212:J212)*$M$1198</f>
        <v>0</v>
      </c>
      <c r="N1202" s="259">
        <f t="shared" si="521"/>
        <v>0</v>
      </c>
      <c r="O1202" s="616">
        <f t="shared" si="522"/>
        <v>0</v>
      </c>
      <c r="P1202" s="615" t="str">
        <f t="shared" si="523"/>
        <v>-</v>
      </c>
      <c r="Q1202" s="37"/>
      <c r="R1202" s="285">
        <f>Preencher!$I$12*SUM(RESUMO!I212:J212)*$R$1198</f>
        <v>0</v>
      </c>
    </row>
    <row r="1203" spans="1:18">
      <c r="A1203" s="360" t="s">
        <v>1838</v>
      </c>
      <c r="B1203" s="284">
        <v>30</v>
      </c>
      <c r="C1203" s="616">
        <f t="shared" si="514"/>
        <v>120</v>
      </c>
      <c r="D1203" s="259">
        <f t="shared" si="515"/>
        <v>0</v>
      </c>
      <c r="E1203" s="616">
        <f t="shared" si="516"/>
        <v>0</v>
      </c>
      <c r="F1203" s="615" t="str">
        <f t="shared" si="517"/>
        <v>-</v>
      </c>
      <c r="G1203" s="37"/>
      <c r="H1203" s="285">
        <f>Preencher!$I$12*SUM(RESUMO!I213:J213)*$H$1198</f>
        <v>0</v>
      </c>
      <c r="I1203" s="259">
        <f t="shared" si="518"/>
        <v>0</v>
      </c>
      <c r="J1203" s="616">
        <f t="shared" si="519"/>
        <v>0</v>
      </c>
      <c r="K1203" s="615" t="str">
        <f t="shared" si="520"/>
        <v>-</v>
      </c>
      <c r="L1203" s="37"/>
      <c r="M1203" s="285">
        <f>Preencher!$I$12*SUM(RESUMO!I213:J213)*$M$1198</f>
        <v>0</v>
      </c>
      <c r="N1203" s="259">
        <f t="shared" si="521"/>
        <v>0</v>
      </c>
      <c r="O1203" s="616">
        <f t="shared" si="522"/>
        <v>0</v>
      </c>
      <c r="P1203" s="615" t="str">
        <f t="shared" si="523"/>
        <v>-</v>
      </c>
      <c r="Q1203" s="37"/>
      <c r="R1203" s="285">
        <f>Preencher!$I$12*SUM(RESUMO!I213:J213)*$R$1198</f>
        <v>0</v>
      </c>
    </row>
    <row r="1204" spans="1:18">
      <c r="A1204" s="360" t="s">
        <v>1018</v>
      </c>
      <c r="B1204" s="284">
        <v>30</v>
      </c>
      <c r="C1204" s="616">
        <f t="shared" si="514"/>
        <v>120</v>
      </c>
      <c r="D1204" s="259">
        <f t="shared" si="515"/>
        <v>0</v>
      </c>
      <c r="E1204" s="616">
        <f t="shared" si="516"/>
        <v>0</v>
      </c>
      <c r="F1204" s="615" t="str">
        <f t="shared" si="517"/>
        <v>-</v>
      </c>
      <c r="G1204" s="37"/>
      <c r="H1204" s="285">
        <f>Preencher!$I$12*SUM(RESUMO!I228:J228)*$H$1198</f>
        <v>0</v>
      </c>
      <c r="I1204" s="259">
        <f t="shared" si="518"/>
        <v>0</v>
      </c>
      <c r="J1204" s="616">
        <f t="shared" si="519"/>
        <v>0</v>
      </c>
      <c r="K1204" s="615" t="str">
        <f t="shared" si="520"/>
        <v>-</v>
      </c>
      <c r="L1204" s="37"/>
      <c r="M1204" s="285">
        <f>Preencher!$I$12*SUM(RESUMO!I228:J228)*$M$1198</f>
        <v>0</v>
      </c>
      <c r="N1204" s="259">
        <f t="shared" si="521"/>
        <v>0</v>
      </c>
      <c r="O1204" s="616">
        <f t="shared" si="522"/>
        <v>0</v>
      </c>
      <c r="P1204" s="615" t="str">
        <f t="shared" si="523"/>
        <v>-</v>
      </c>
      <c r="Q1204" s="37"/>
      <c r="R1204" s="285">
        <f>Preencher!$I$12*SUM(RESUMO!I228:J228)*$R$1198</f>
        <v>0</v>
      </c>
    </row>
    <row r="1205" spans="1:18">
      <c r="A1205" s="360" t="s">
        <v>1839</v>
      </c>
      <c r="B1205" s="284">
        <v>30</v>
      </c>
      <c r="C1205" s="616">
        <f t="shared" si="514"/>
        <v>120</v>
      </c>
      <c r="D1205" s="259">
        <f t="shared" si="515"/>
        <v>0</v>
      </c>
      <c r="E1205" s="616">
        <f t="shared" si="516"/>
        <v>0</v>
      </c>
      <c r="F1205" s="615" t="str">
        <f t="shared" si="517"/>
        <v>-</v>
      </c>
      <c r="G1205" s="37"/>
      <c r="H1205" s="285">
        <f>Preencher!$I$12*SUM(RESUMO!I229:J229)*$H$1198</f>
        <v>0</v>
      </c>
      <c r="I1205" s="259">
        <f t="shared" si="518"/>
        <v>0</v>
      </c>
      <c r="J1205" s="616">
        <f t="shared" si="519"/>
        <v>0</v>
      </c>
      <c r="K1205" s="615" t="str">
        <f t="shared" si="520"/>
        <v>-</v>
      </c>
      <c r="L1205" s="37"/>
      <c r="M1205" s="285">
        <f>Preencher!$I$12*SUM(RESUMO!I229:J229)*$M$1198</f>
        <v>0</v>
      </c>
      <c r="N1205" s="259">
        <f t="shared" si="521"/>
        <v>0</v>
      </c>
      <c r="O1205" s="616">
        <f t="shared" si="522"/>
        <v>0</v>
      </c>
      <c r="P1205" s="615" t="str">
        <f t="shared" si="523"/>
        <v>-</v>
      </c>
      <c r="Q1205" s="37"/>
      <c r="R1205" s="285">
        <f>Preencher!$I$12*SUM(RESUMO!I229:J229)*$R$1198</f>
        <v>0</v>
      </c>
    </row>
    <row r="1206" spans="1:18">
      <c r="A1206" s="621" t="s">
        <v>226</v>
      </c>
      <c r="B1206" s="619"/>
      <c r="C1206" s="617"/>
      <c r="D1206" s="620"/>
      <c r="E1206" s="617">
        <f>ROUNDUP(SUM(D1207:D1211)/0.95,0)</f>
        <v>0</v>
      </c>
      <c r="F1206" s="618">
        <f>IFERROR(SUM(D1207:D1211)/E1206,0)</f>
        <v>0</v>
      </c>
      <c r="G1206" s="205"/>
      <c r="H1206" s="622"/>
      <c r="I1206" s="620"/>
      <c r="J1206" s="617">
        <f>ROUNDUP(SUM(I1207:I1211)/0.95,0)</f>
        <v>0</v>
      </c>
      <c r="K1206" s="618">
        <f>IFERROR(SUM(I1207:I1211)/J1206,0)</f>
        <v>0</v>
      </c>
      <c r="L1206" s="205"/>
      <c r="M1206" s="622"/>
      <c r="N1206" s="620"/>
      <c r="O1206" s="617">
        <f>ROUNDUP(SUM(N1207:N1211)/0.95,0)</f>
        <v>0</v>
      </c>
      <c r="P1206" s="618">
        <f>IFERROR(SUM(N1207:N1211)/O1206,0)</f>
        <v>0</v>
      </c>
      <c r="Q1206" s="205"/>
      <c r="R1206" s="622"/>
    </row>
    <row r="1207" spans="1:18">
      <c r="A1207" s="360" t="s">
        <v>1004</v>
      </c>
      <c r="B1207" s="284">
        <v>30</v>
      </c>
      <c r="C1207" s="616">
        <f>IF(B1207=0,"-",3600/B1207)</f>
        <v>120</v>
      </c>
      <c r="D1207" s="259">
        <f>IFERROR((H1207/C1207),"-")</f>
        <v>0</v>
      </c>
      <c r="E1207" s="616">
        <f>IFERROR(ROUNDUP(D1207/0.95,0.999),0)</f>
        <v>0</v>
      </c>
      <c r="F1207" s="615" t="str">
        <f>IFERROR((H1207/C1207/E1207),"-")</f>
        <v>-</v>
      </c>
      <c r="G1207" s="37"/>
      <c r="H1207" s="285">
        <f>Preencher!$I$12*SUM(RESUMO!I194:J194)*$H$1198</f>
        <v>0</v>
      </c>
      <c r="I1207" s="259">
        <f>IFERROR((M1207/C1207),"-")</f>
        <v>0</v>
      </c>
      <c r="J1207" s="616">
        <f>IFERROR(ROUNDUP(I1207/0.95,0.999),0)</f>
        <v>0</v>
      </c>
      <c r="K1207" s="615" t="str">
        <f>IFERROR((M1207/C1207/J1207),"-")</f>
        <v>-</v>
      </c>
      <c r="L1207" s="37"/>
      <c r="M1207" s="285">
        <f>Preencher!$I$12*SUM(RESUMO!I194:J194)*$M$1198</f>
        <v>0</v>
      </c>
      <c r="N1207" s="259">
        <f>IFERROR((R1207/C1207),"-")</f>
        <v>0</v>
      </c>
      <c r="O1207" s="616">
        <f>IFERROR(ROUNDUP(N1207/0.95,0.999),0)</f>
        <v>0</v>
      </c>
      <c r="P1207" s="615" t="str">
        <f>IFERROR((R1207/C1207/O1207),"-")</f>
        <v>-</v>
      </c>
      <c r="Q1207" s="37"/>
      <c r="R1207" s="285">
        <f>Preencher!$I$12*SUM(RESUMO!I194:J194)*$R$1198</f>
        <v>0</v>
      </c>
    </row>
    <row r="1208" spans="1:18">
      <c r="A1208" s="360" t="s">
        <v>1756</v>
      </c>
      <c r="B1208" s="284">
        <v>30</v>
      </c>
      <c r="C1208" s="616">
        <f>IF(B1208=0,"-",3600/B1208)</f>
        <v>120</v>
      </c>
      <c r="D1208" s="259">
        <f>IFERROR((H1208/C1208),"-")</f>
        <v>0</v>
      </c>
      <c r="E1208" s="616">
        <f>IFERROR(ROUNDUP(D1208/0.95,0.999),0)</f>
        <v>0</v>
      </c>
      <c r="F1208" s="615" t="str">
        <f>IFERROR((H1208/C1208/E1208),"-")</f>
        <v>-</v>
      </c>
      <c r="G1208" s="37"/>
      <c r="H1208" s="285">
        <f>Preencher!$I$12*SUM(RESUMO!I214:J214)*$H$1198</f>
        <v>0</v>
      </c>
      <c r="I1208" s="259">
        <f>IFERROR((M1208/C1208),"-")</f>
        <v>0</v>
      </c>
      <c r="J1208" s="616">
        <f>IFERROR(ROUNDUP(I1208/0.95,0.999),0)</f>
        <v>0</v>
      </c>
      <c r="K1208" s="615" t="str">
        <f>IFERROR((M1208/C1208/J1208),"-")</f>
        <v>-</v>
      </c>
      <c r="L1208" s="37"/>
      <c r="M1208" s="285">
        <f>Preencher!$I$12*SUM(RESUMO!I214:J214)*$M$1198</f>
        <v>0</v>
      </c>
      <c r="N1208" s="259">
        <f>IFERROR((R1208/C1208),"-")</f>
        <v>0</v>
      </c>
      <c r="O1208" s="616">
        <f>IFERROR(ROUNDUP(N1208/0.95,0.999),0)</f>
        <v>0</v>
      </c>
      <c r="P1208" s="615" t="str">
        <f>IFERROR((R1208/C1208/O1208),"-")</f>
        <v>-</v>
      </c>
      <c r="Q1208" s="37"/>
      <c r="R1208" s="285">
        <f>Preencher!$I$12*SUM(RESUMO!I214:J214)*$R$1198</f>
        <v>0</v>
      </c>
    </row>
    <row r="1209" spans="1:18">
      <c r="A1209" s="360" t="s">
        <v>1012</v>
      </c>
      <c r="B1209" s="284">
        <v>30</v>
      </c>
      <c r="C1209" s="616">
        <f>IF(B1209=0,"-",3600/B1209)</f>
        <v>120</v>
      </c>
      <c r="D1209" s="259">
        <f>IFERROR((H1209/C1209),"-")</f>
        <v>0</v>
      </c>
      <c r="E1209" s="616">
        <f>IFERROR(ROUNDUP(D1209/0.95,0.999),0)</f>
        <v>0</v>
      </c>
      <c r="F1209" s="615" t="str">
        <f>IFERROR((H1209/C1209/E1209),"-")</f>
        <v>-</v>
      </c>
      <c r="G1209" s="37"/>
      <c r="H1209" s="285">
        <f>Preencher!$I$12*SUM(RESUMO!I215:J215)*$H$1198</f>
        <v>0</v>
      </c>
      <c r="I1209" s="259">
        <f>IFERROR((M1209/C1209),"-")</f>
        <v>0</v>
      </c>
      <c r="J1209" s="616">
        <f>IFERROR(ROUNDUP(I1209/0.95,0.999),0)</f>
        <v>0</v>
      </c>
      <c r="K1209" s="615" t="str">
        <f>IFERROR((M1209/C1209/J1209),"-")</f>
        <v>-</v>
      </c>
      <c r="L1209" s="37"/>
      <c r="M1209" s="285">
        <f>Preencher!$I$12*SUM(RESUMO!I215:J215)*$M$1198</f>
        <v>0</v>
      </c>
      <c r="N1209" s="259">
        <f>IFERROR((R1209/C1209),"-")</f>
        <v>0</v>
      </c>
      <c r="O1209" s="616">
        <f>IFERROR(ROUNDUP(N1209/0.95,0.999),0)</f>
        <v>0</v>
      </c>
      <c r="P1209" s="615" t="str">
        <f>IFERROR((R1209/C1209/O1209),"-")</f>
        <v>-</v>
      </c>
      <c r="Q1209" s="37"/>
      <c r="R1209" s="285">
        <f>Preencher!$I$12*SUM(RESUMO!I215:J215)*$R$1198</f>
        <v>0</v>
      </c>
    </row>
    <row r="1210" spans="1:18">
      <c r="A1210" s="360" t="s">
        <v>1757</v>
      </c>
      <c r="B1210" s="284">
        <v>30</v>
      </c>
      <c r="C1210" s="616">
        <f>IF(B1210=0,"-",3600/B1210)</f>
        <v>120</v>
      </c>
      <c r="D1210" s="259">
        <f>IFERROR((H1210/C1210),"-")</f>
        <v>0</v>
      </c>
      <c r="E1210" s="616">
        <f>IFERROR(ROUNDUP(D1210/0.95,0.999),0)</f>
        <v>0</v>
      </c>
      <c r="F1210" s="615" t="str">
        <f>IFERROR((H1210/C1210/E1210),"-")</f>
        <v>-</v>
      </c>
      <c r="G1210" s="37"/>
      <c r="H1210" s="285">
        <f>Preencher!$I$12*SUM(RESUMO!I231:J231)*$H$1198</f>
        <v>0</v>
      </c>
      <c r="I1210" s="259">
        <f>IFERROR((M1210/C1210),"-")</f>
        <v>0</v>
      </c>
      <c r="J1210" s="616">
        <f>IFERROR(ROUNDUP(I1210/0.95,0.999),0)</f>
        <v>0</v>
      </c>
      <c r="K1210" s="615" t="str">
        <f>IFERROR((M1210/C1210/J1210),"-")</f>
        <v>-</v>
      </c>
      <c r="L1210" s="37"/>
      <c r="M1210" s="285">
        <f>Preencher!$I$12*SUM(RESUMO!I231:J231)*$M$1198</f>
        <v>0</v>
      </c>
      <c r="N1210" s="259">
        <f>IFERROR((R1210/C1210),"-")</f>
        <v>0</v>
      </c>
      <c r="O1210" s="616">
        <f>IFERROR(ROUNDUP(N1210/0.95,0.999),0)</f>
        <v>0</v>
      </c>
      <c r="P1210" s="615" t="str">
        <f>IFERROR((R1210/C1210/O1210),"-")</f>
        <v>-</v>
      </c>
      <c r="Q1210" s="37"/>
      <c r="R1210" s="285">
        <f>Preencher!$I$12*SUM(RESUMO!I231:J231)*$R$1198</f>
        <v>0</v>
      </c>
    </row>
    <row r="1211" spans="1:18">
      <c r="A1211" s="360" t="s">
        <v>1017</v>
      </c>
      <c r="B1211" s="284">
        <v>30</v>
      </c>
      <c r="C1211" s="616">
        <f>IF(B1211=0,"-",3600/B1211)</f>
        <v>120</v>
      </c>
      <c r="D1211" s="259">
        <f>IFERROR((H1211/C1211),"-")</f>
        <v>0</v>
      </c>
      <c r="E1211" s="616">
        <f>IFERROR(ROUNDUP(D1211/0.95,0.999),0)</f>
        <v>0</v>
      </c>
      <c r="F1211" s="615" t="str">
        <f>IFERROR((H1211/C1211/E1211),"-")</f>
        <v>-</v>
      </c>
      <c r="G1211" s="37"/>
      <c r="H1211" s="285">
        <f>Preencher!$I$12*SUM(RESUMO!I232:J232)*$H$1198</f>
        <v>0</v>
      </c>
      <c r="I1211" s="259">
        <f>IFERROR((M1211/C1211),"-")</f>
        <v>0</v>
      </c>
      <c r="J1211" s="616">
        <f>IFERROR(ROUNDUP(I1211/0.95,0.999),0)</f>
        <v>0</v>
      </c>
      <c r="K1211" s="615" t="str">
        <f>IFERROR((M1211/C1211/J1211),"-")</f>
        <v>-</v>
      </c>
      <c r="L1211" s="37"/>
      <c r="M1211" s="285">
        <f>Preencher!$I$12*SUM(RESUMO!I232:J232)*$M$1198</f>
        <v>0</v>
      </c>
      <c r="N1211" s="259">
        <f>IFERROR((R1211/C1211),"-")</f>
        <v>0</v>
      </c>
      <c r="O1211" s="616">
        <f>IFERROR(ROUNDUP(N1211/0.95,0.999),0)</f>
        <v>0</v>
      </c>
      <c r="P1211" s="615" t="str">
        <f>IFERROR((R1211/C1211/O1211),"-")</f>
        <v>-</v>
      </c>
      <c r="Q1211" s="37"/>
      <c r="R1211" s="285">
        <f>Preencher!$I$12*SUM(RESUMO!I232:J232)*$R$1198</f>
        <v>0</v>
      </c>
    </row>
    <row r="1212" spans="1:18">
      <c r="A1212" s="621" t="s">
        <v>226</v>
      </c>
      <c r="B1212" s="619"/>
      <c r="C1212" s="617"/>
      <c r="D1212" s="620"/>
      <c r="E1212" s="617">
        <f>ROUNDUP(SUM(D1213:D1218)/0.95,0)</f>
        <v>1</v>
      </c>
      <c r="F1212" s="618">
        <f>IFERROR(SUM(D1213:D1218)/E1212,0)</f>
        <v>0.34876176912730444</v>
      </c>
      <c r="G1212" s="205"/>
      <c r="H1212" s="622"/>
      <c r="I1212" s="620"/>
      <c r="J1212" s="617">
        <f>ROUNDUP(SUM(I1213:I1218)/0.95,0)</f>
        <v>0</v>
      </c>
      <c r="K1212" s="618">
        <f>IFERROR(SUM(I1213:I1218)/J1212,0)</f>
        <v>0</v>
      </c>
      <c r="L1212" s="205"/>
      <c r="M1212" s="622"/>
      <c r="N1212" s="620"/>
      <c r="O1212" s="617">
        <f>ROUNDUP(SUM(N1213:N1218)/0.95,0)</f>
        <v>0</v>
      </c>
      <c r="P1212" s="618">
        <f>IFERROR(SUM(N1213:N1218)/O1212,0)</f>
        <v>0</v>
      </c>
      <c r="Q1212" s="205"/>
      <c r="R1212" s="622"/>
    </row>
    <row r="1213" spans="1:18">
      <c r="A1213" s="360" t="s">
        <v>951</v>
      </c>
      <c r="B1213" s="284">
        <v>30</v>
      </c>
      <c r="C1213" s="616">
        <f>IF(B1213=0,"-",3600/B1213)</f>
        <v>120</v>
      </c>
      <c r="D1213" s="259">
        <f t="shared" ref="D1213:D1218" si="524">IFERROR((H1213/C1213),"-")</f>
        <v>0</v>
      </c>
      <c r="E1213" s="616">
        <f>IFERROR(ROUNDUP(D1213/0.95,0.999),0)</f>
        <v>0</v>
      </c>
      <c r="F1213" s="615" t="str">
        <f t="shared" ref="F1213:F1218" si="525">IFERROR((H1213/C1213/E1213),"-")</f>
        <v>-</v>
      </c>
      <c r="G1213" s="37"/>
      <c r="H1213" s="285">
        <f>Preencher!$I$12*SUM(RESUMO!I198:J198)*$H$1198</f>
        <v>0</v>
      </c>
      <c r="I1213" s="259">
        <f>IFERROR((M1213/C1213),"-")</f>
        <v>0</v>
      </c>
      <c r="J1213" s="616">
        <f>IFERROR(ROUNDUP(I1213/0.95,0.999),0)</f>
        <v>0</v>
      </c>
      <c r="K1213" s="615" t="str">
        <f>IFERROR((M1213/C1213/J1213),"-")</f>
        <v>-</v>
      </c>
      <c r="L1213" s="37"/>
      <c r="M1213" s="285">
        <f>Preencher!$I$12*SUM(RESUMO!I198:J198)*$M$1198</f>
        <v>0</v>
      </c>
      <c r="N1213" s="259">
        <f>IFERROR((R1213/C1213),"-")</f>
        <v>0</v>
      </c>
      <c r="O1213" s="616">
        <f>IFERROR(ROUNDUP(N1213/0.95,0.999),0)</f>
        <v>0</v>
      </c>
      <c r="P1213" s="615" t="str">
        <f>IFERROR((R1213/C1213/O1213),"-")</f>
        <v>-</v>
      </c>
      <c r="Q1213" s="37"/>
      <c r="R1213" s="285">
        <f>Preencher!$I$12*SUM(RESUMO!I198:J198)*$R$1198</f>
        <v>0</v>
      </c>
    </row>
    <row r="1214" spans="1:18">
      <c r="A1214" s="360" t="s">
        <v>1752</v>
      </c>
      <c r="B1214" s="284">
        <v>30</v>
      </c>
      <c r="C1214" s="616">
        <f>IF(B1214=0,"-",3600/B1214)</f>
        <v>120</v>
      </c>
      <c r="D1214" s="259">
        <f t="shared" si="524"/>
        <v>0.18760977925468791</v>
      </c>
      <c r="E1214" s="616">
        <f>IFERROR(ROUNDUP(D1214/0.95,0.999),0)</f>
        <v>1</v>
      </c>
      <c r="F1214" s="615">
        <f t="shared" si="525"/>
        <v>0.18760977925468791</v>
      </c>
      <c r="G1214" s="37"/>
      <c r="H1214" s="285">
        <f>Preencher!$I$12*SUM(RESUMO!I201:J201)*$H$1198</f>
        <v>22.513173510562549</v>
      </c>
      <c r="I1214" s="259">
        <f>IFERROR((M1214/C1214),"-")</f>
        <v>0</v>
      </c>
      <c r="J1214" s="616">
        <f>IFERROR(ROUNDUP(I1214/0.95,0.999),0)</f>
        <v>0</v>
      </c>
      <c r="K1214" s="615" t="str">
        <f>IFERROR((M1214/C1214/J1214),"-")</f>
        <v>-</v>
      </c>
      <c r="L1214" s="37"/>
      <c r="M1214" s="285">
        <f>Preencher!$I$12*SUM(RESUMO!I201:J201)*$M$1198</f>
        <v>0</v>
      </c>
      <c r="N1214" s="259">
        <f>IFERROR((R1214/C1214),"-")</f>
        <v>0</v>
      </c>
      <c r="O1214" s="616">
        <f>IFERROR(ROUNDUP(N1214/0.95,0.999),0)</f>
        <v>0</v>
      </c>
      <c r="P1214" s="615" t="str">
        <f>IFERROR((R1214/C1214/O1214),"-")</f>
        <v>-</v>
      </c>
      <c r="Q1214" s="37"/>
      <c r="R1214" s="285">
        <f>Preencher!$I$12*SUM(RESUMO!I201:J201)*$R$1198</f>
        <v>0</v>
      </c>
    </row>
    <row r="1215" spans="1:18">
      <c r="A1215" s="360" t="s">
        <v>1753</v>
      </c>
      <c r="B1215" s="284">
        <v>30</v>
      </c>
      <c r="C1215" s="616">
        <f t="shared" ref="C1215:C1222" si="526">IF(B1215=0,"-",3600/B1215)</f>
        <v>120</v>
      </c>
      <c r="D1215" s="259">
        <f t="shared" si="524"/>
        <v>0</v>
      </c>
      <c r="E1215" s="616">
        <f t="shared" ref="E1215:E1222" si="527">IFERROR(ROUNDUP(D1215/0.95,0.999),0)</f>
        <v>0</v>
      </c>
      <c r="F1215" s="615" t="str">
        <f t="shared" si="525"/>
        <v>-</v>
      </c>
      <c r="G1215" s="37"/>
      <c r="H1215" s="285">
        <f>Preencher!$I$12*SUM(RESUMO!I202:J202)*$H$1198</f>
        <v>0</v>
      </c>
      <c r="I1215" s="259">
        <f t="shared" ref="I1215:I1222" si="528">IFERROR((M1215/C1215),"-")</f>
        <v>0</v>
      </c>
      <c r="J1215" s="616">
        <f t="shared" ref="J1215:J1222" si="529">IFERROR(ROUNDUP(I1215/0.95,0.999),0)</f>
        <v>0</v>
      </c>
      <c r="K1215" s="615" t="str">
        <f t="shared" ref="K1215:K1222" si="530">IFERROR((M1215/C1215/J1215),"-")</f>
        <v>-</v>
      </c>
      <c r="L1215" s="37"/>
      <c r="M1215" s="285">
        <f>Preencher!$I$12*SUM(RESUMO!I202:J202)*$M$1198</f>
        <v>0</v>
      </c>
      <c r="N1215" s="259">
        <f t="shared" ref="N1215:N1222" si="531">IFERROR((R1215/C1215),"-")</f>
        <v>0</v>
      </c>
      <c r="O1215" s="616">
        <f t="shared" ref="O1215:O1222" si="532">IFERROR(ROUNDUP(N1215/0.95,0.999),0)</f>
        <v>0</v>
      </c>
      <c r="P1215" s="615" t="str">
        <f t="shared" ref="P1215:P1222" si="533">IFERROR((R1215/C1215/O1215),"-")</f>
        <v>-</v>
      </c>
      <c r="Q1215" s="37"/>
      <c r="R1215" s="285">
        <f>Preencher!$I$12*SUM(RESUMO!I202:J202)*$R$1198</f>
        <v>0</v>
      </c>
    </row>
    <row r="1216" spans="1:18">
      <c r="A1216" s="360" t="s">
        <v>1845</v>
      </c>
      <c r="B1216" s="284">
        <v>30</v>
      </c>
      <c r="C1216" s="616">
        <f t="shared" si="526"/>
        <v>120</v>
      </c>
      <c r="D1216" s="259">
        <f t="shared" si="524"/>
        <v>0</v>
      </c>
      <c r="E1216" s="616">
        <f t="shared" si="527"/>
        <v>0</v>
      </c>
      <c r="F1216" s="615" t="str">
        <f t="shared" si="525"/>
        <v>-</v>
      </c>
      <c r="G1216" s="37"/>
      <c r="H1216" s="285">
        <f>Preencher!$I$12*SUM(RESUMO!I203:J203)*$H$1198</f>
        <v>0</v>
      </c>
      <c r="I1216" s="259">
        <f t="shared" si="528"/>
        <v>0</v>
      </c>
      <c r="J1216" s="616">
        <f t="shared" si="529"/>
        <v>0</v>
      </c>
      <c r="K1216" s="615" t="str">
        <f t="shared" si="530"/>
        <v>-</v>
      </c>
      <c r="L1216" s="37"/>
      <c r="M1216" s="285">
        <f>Preencher!$I$12*SUM(RESUMO!I203:J203)*$M$1198</f>
        <v>0</v>
      </c>
      <c r="N1216" s="259">
        <f t="shared" si="531"/>
        <v>0</v>
      </c>
      <c r="O1216" s="616">
        <f t="shared" si="532"/>
        <v>0</v>
      </c>
      <c r="P1216" s="615" t="str">
        <f t="shared" si="533"/>
        <v>-</v>
      </c>
      <c r="Q1216" s="37"/>
      <c r="R1216" s="285">
        <f>Preencher!$I$12*SUM(RESUMO!I203:J203)*$R$1198</f>
        <v>0</v>
      </c>
    </row>
    <row r="1217" spans="1:18">
      <c r="A1217" s="360" t="s">
        <v>1754</v>
      </c>
      <c r="B1217" s="284">
        <v>30</v>
      </c>
      <c r="C1217" s="616">
        <f>IF(B1217=0,"-",3600/B1217)</f>
        <v>120</v>
      </c>
      <c r="D1217" s="259">
        <f t="shared" si="524"/>
        <v>0.16115198987261653</v>
      </c>
      <c r="E1217" s="616">
        <f>IFERROR(ROUNDUP(D1217/0.95,0.999),0)</f>
        <v>1</v>
      </c>
      <c r="F1217" s="615">
        <f t="shared" si="525"/>
        <v>0.16115198987261653</v>
      </c>
      <c r="G1217" s="37"/>
      <c r="H1217" s="285">
        <f>Preencher!$I$12*SUM(RESUMO!I218:J218)*$H$1198</f>
        <v>19.338238784713983</v>
      </c>
      <c r="I1217" s="259">
        <f>IFERROR((M1217/C1217),"-")</f>
        <v>0</v>
      </c>
      <c r="J1217" s="616">
        <f>IFERROR(ROUNDUP(I1217/0.95,0.999),0)</f>
        <v>0</v>
      </c>
      <c r="K1217" s="615" t="str">
        <f>IFERROR((M1217/C1217/J1217),"-")</f>
        <v>-</v>
      </c>
      <c r="L1217" s="37"/>
      <c r="M1217" s="285">
        <f>Preencher!$I$12*SUM(RESUMO!I218:J218)*$M$1198</f>
        <v>0</v>
      </c>
      <c r="N1217" s="259">
        <f>IFERROR((R1217/C1217),"-")</f>
        <v>0</v>
      </c>
      <c r="O1217" s="616">
        <f>IFERROR(ROUNDUP(N1217/0.95,0.999),0)</f>
        <v>0</v>
      </c>
      <c r="P1217" s="615" t="str">
        <f>IFERROR((R1217/C1217/O1217),"-")</f>
        <v>-</v>
      </c>
      <c r="Q1217" s="37"/>
      <c r="R1217" s="285">
        <f>Preencher!$I$12*SUM(RESUMO!I218:J218)*$R$1198</f>
        <v>0</v>
      </c>
    </row>
    <row r="1218" spans="1:18">
      <c r="A1218" s="360" t="s">
        <v>1755</v>
      </c>
      <c r="B1218" s="284">
        <v>30</v>
      </c>
      <c r="C1218" s="616">
        <f>IF(B1218=0,"-",3600/B1218)</f>
        <v>120</v>
      </c>
      <c r="D1218" s="259">
        <f t="shared" si="524"/>
        <v>0</v>
      </c>
      <c r="E1218" s="616">
        <f>IFERROR(ROUNDUP(D1218/0.95,0.999),0)</f>
        <v>0</v>
      </c>
      <c r="F1218" s="615" t="str">
        <f t="shared" si="525"/>
        <v>-</v>
      </c>
      <c r="G1218" s="37"/>
      <c r="H1218" s="285">
        <f>Preencher!$I$12*SUM(RESUMO!I219:J219)*$H$1198</f>
        <v>0</v>
      </c>
      <c r="I1218" s="259">
        <f>IFERROR((M1218/C1218),"-")</f>
        <v>0</v>
      </c>
      <c r="J1218" s="616">
        <f>IFERROR(ROUNDUP(I1218/0.95,0.999),0)</f>
        <v>0</v>
      </c>
      <c r="K1218" s="615" t="str">
        <f>IFERROR((M1218/C1218/J1218),"-")</f>
        <v>-</v>
      </c>
      <c r="L1218" s="37"/>
      <c r="M1218" s="285">
        <f>Preencher!$I$12*SUM(RESUMO!I219:J219)*$M$1198</f>
        <v>0</v>
      </c>
      <c r="N1218" s="259">
        <f>IFERROR((R1218/C1218),"-")</f>
        <v>0</v>
      </c>
      <c r="O1218" s="616">
        <f>IFERROR(ROUNDUP(N1218/0.95,0.999),0)</f>
        <v>0</v>
      </c>
      <c r="P1218" s="615" t="str">
        <f>IFERROR((R1218/C1218/O1218),"-")</f>
        <v>-</v>
      </c>
      <c r="Q1218" s="37"/>
      <c r="R1218" s="285">
        <f>Preencher!$I$12*SUM(RESUMO!I219:J219)*$R$1198</f>
        <v>0</v>
      </c>
    </row>
    <row r="1219" spans="1:18">
      <c r="A1219" s="621" t="s">
        <v>226</v>
      </c>
      <c r="B1219" s="619"/>
      <c r="C1219" s="617"/>
      <c r="D1219" s="620"/>
      <c r="E1219" s="617">
        <f>ROUNDUP(SUM(D1220:D1224)/0.95,0)</f>
        <v>0</v>
      </c>
      <c r="F1219" s="618">
        <f>IFERROR(SUM(D1220:D1224)/E1219,0)</f>
        <v>0</v>
      </c>
      <c r="G1219" s="205"/>
      <c r="H1219" s="622"/>
      <c r="I1219" s="620"/>
      <c r="J1219" s="617">
        <f>ROUNDUP(SUM(I1220:I1224)/0.95,0)</f>
        <v>0</v>
      </c>
      <c r="K1219" s="618">
        <f>IFERROR(SUM(I1220:I1224)/J1219,0)</f>
        <v>0</v>
      </c>
      <c r="L1219" s="205"/>
      <c r="M1219" s="622"/>
      <c r="N1219" s="620"/>
      <c r="O1219" s="617">
        <f>ROUNDUP(SUM(N1220:N1224)/0.95,0)</f>
        <v>0</v>
      </c>
      <c r="P1219" s="618">
        <f>IFERROR(SUM(N1220:N1224)/O1219,0)</f>
        <v>0</v>
      </c>
      <c r="Q1219" s="205"/>
      <c r="R1219" s="622"/>
    </row>
    <row r="1220" spans="1:18">
      <c r="A1220" s="360" t="s">
        <v>1006</v>
      </c>
      <c r="B1220" s="284">
        <v>30</v>
      </c>
      <c r="C1220" s="616">
        <f t="shared" si="526"/>
        <v>120</v>
      </c>
      <c r="D1220" s="259">
        <f>IFERROR((H1220/C1220),"-")</f>
        <v>0</v>
      </c>
      <c r="E1220" s="616">
        <f t="shared" si="527"/>
        <v>0</v>
      </c>
      <c r="F1220" s="615" t="str">
        <f>IFERROR((H1220/C1220/E1220),"-")</f>
        <v>-</v>
      </c>
      <c r="G1220" s="37"/>
      <c r="H1220" s="285">
        <f>Preencher!$I$12*SUM(RESUMO!I204:J204)*$H$1198</f>
        <v>0</v>
      </c>
      <c r="I1220" s="259">
        <f t="shared" si="528"/>
        <v>0</v>
      </c>
      <c r="J1220" s="616">
        <f t="shared" si="529"/>
        <v>0</v>
      </c>
      <c r="K1220" s="615" t="str">
        <f t="shared" si="530"/>
        <v>-</v>
      </c>
      <c r="L1220" s="37"/>
      <c r="M1220" s="285">
        <f>Preencher!$I$12*SUM(RESUMO!I204:J204)*$M$1198</f>
        <v>0</v>
      </c>
      <c r="N1220" s="259">
        <f t="shared" si="531"/>
        <v>0</v>
      </c>
      <c r="O1220" s="616">
        <f t="shared" si="532"/>
        <v>0</v>
      </c>
      <c r="P1220" s="615" t="str">
        <f t="shared" si="533"/>
        <v>-</v>
      </c>
      <c r="Q1220" s="37"/>
      <c r="R1220" s="285">
        <f>Preencher!$I$12*SUM(RESUMO!I204:J204)*$R$1198</f>
        <v>0</v>
      </c>
    </row>
    <row r="1221" spans="1:18">
      <c r="A1221" s="360" t="s">
        <v>1826</v>
      </c>
      <c r="B1221" s="284">
        <v>30</v>
      </c>
      <c r="C1221" s="616">
        <f t="shared" si="526"/>
        <v>120</v>
      </c>
      <c r="D1221" s="259">
        <f>IFERROR((H1221/C1221),"-")</f>
        <v>0</v>
      </c>
      <c r="E1221" s="616">
        <f t="shared" si="527"/>
        <v>0</v>
      </c>
      <c r="F1221" s="615" t="str">
        <f>IFERROR((H1221/C1221/E1221),"-")</f>
        <v>-</v>
      </c>
      <c r="G1221" s="37"/>
      <c r="H1221" s="285">
        <f>Preencher!$I$12*SUM(RESUMO!I205:J205)*$H$1198</f>
        <v>0</v>
      </c>
      <c r="I1221" s="259">
        <f t="shared" si="528"/>
        <v>0</v>
      </c>
      <c r="J1221" s="616">
        <f t="shared" si="529"/>
        <v>0</v>
      </c>
      <c r="K1221" s="615" t="str">
        <f t="shared" si="530"/>
        <v>-</v>
      </c>
      <c r="L1221" s="37"/>
      <c r="M1221" s="285">
        <f>Preencher!$I$12*SUM(RESUMO!I205:J205)*$M$1198</f>
        <v>0</v>
      </c>
      <c r="N1221" s="259">
        <f t="shared" si="531"/>
        <v>0</v>
      </c>
      <c r="O1221" s="616">
        <f t="shared" si="532"/>
        <v>0</v>
      </c>
      <c r="P1221" s="615" t="str">
        <f t="shared" si="533"/>
        <v>-</v>
      </c>
      <c r="Q1221" s="37"/>
      <c r="R1221" s="285">
        <f>Preencher!$I$12*SUM(RESUMO!I205:J205)*$R$1198</f>
        <v>0</v>
      </c>
    </row>
    <row r="1222" spans="1:18">
      <c r="A1222" s="360" t="s">
        <v>1010</v>
      </c>
      <c r="B1222" s="284">
        <v>30</v>
      </c>
      <c r="C1222" s="616">
        <f t="shared" si="526"/>
        <v>120</v>
      </c>
      <c r="D1222" s="259">
        <f>IFERROR((H1222/C1222),"-")</f>
        <v>0</v>
      </c>
      <c r="E1222" s="616">
        <f t="shared" si="527"/>
        <v>0</v>
      </c>
      <c r="F1222" s="615" t="str">
        <f>IFERROR((H1222/C1222/E1222),"-")</f>
        <v>-</v>
      </c>
      <c r="G1222" s="37"/>
      <c r="H1222" s="285">
        <f>Preencher!$I$12*SUM(RESUMO!I211:J211)*$H$1198</f>
        <v>0</v>
      </c>
      <c r="I1222" s="259">
        <f t="shared" si="528"/>
        <v>0</v>
      </c>
      <c r="J1222" s="616">
        <f t="shared" si="529"/>
        <v>0</v>
      </c>
      <c r="K1222" s="615" t="str">
        <f t="shared" si="530"/>
        <v>-</v>
      </c>
      <c r="L1222" s="37"/>
      <c r="M1222" s="285">
        <f>Preencher!$I$12*SUM(RESUMO!I211:J211)*$M$1198</f>
        <v>0</v>
      </c>
      <c r="N1222" s="259">
        <f t="shared" si="531"/>
        <v>0</v>
      </c>
      <c r="O1222" s="616">
        <f t="shared" si="532"/>
        <v>0</v>
      </c>
      <c r="P1222" s="615" t="str">
        <f t="shared" si="533"/>
        <v>-</v>
      </c>
      <c r="Q1222" s="37"/>
      <c r="R1222" s="285">
        <f>Preencher!$I$12*SUM(RESUMO!I211:J211)*$R$1198</f>
        <v>0</v>
      </c>
    </row>
    <row r="1223" spans="1:18">
      <c r="A1223" s="360" t="s">
        <v>1013</v>
      </c>
      <c r="B1223" s="284">
        <v>30</v>
      </c>
      <c r="C1223" s="616">
        <f>IF(B1223=0,"-",3600/B1223)</f>
        <v>120</v>
      </c>
      <c r="D1223" s="259">
        <f>IFERROR((H1223/C1223),"-")</f>
        <v>0</v>
      </c>
      <c r="E1223" s="616">
        <f>IFERROR(ROUNDUP(D1223/0.95,0.999),0)</f>
        <v>0</v>
      </c>
      <c r="F1223" s="615" t="str">
        <f>IFERROR((H1223/C1223/E1223),"-")</f>
        <v>-</v>
      </c>
      <c r="G1223" s="37"/>
      <c r="H1223" s="285">
        <f>Preencher!$I$12*SUM(RESUMO!I220:J220)*$H$1198</f>
        <v>0</v>
      </c>
      <c r="I1223" s="259">
        <f>IFERROR((M1223/C1223),"-")</f>
        <v>0</v>
      </c>
      <c r="J1223" s="616">
        <f>IFERROR(ROUNDUP(I1223/0.95,0.999),0)</f>
        <v>0</v>
      </c>
      <c r="K1223" s="615" t="str">
        <f>IFERROR((M1223/C1223/J1223),"-")</f>
        <v>-</v>
      </c>
      <c r="L1223" s="37"/>
      <c r="M1223" s="285">
        <f>Preencher!$I$12*SUM(RESUMO!I220:J220)*$M$1198</f>
        <v>0</v>
      </c>
      <c r="N1223" s="259">
        <f>IFERROR((R1223/C1223),"-")</f>
        <v>0</v>
      </c>
      <c r="O1223" s="616">
        <f>IFERROR(ROUNDUP(N1223/0.95,0.999),0)</f>
        <v>0</v>
      </c>
      <c r="P1223" s="615" t="str">
        <f>IFERROR((R1223/C1223/O1223),"-")</f>
        <v>-</v>
      </c>
      <c r="Q1223" s="37"/>
      <c r="R1223" s="285">
        <f>Preencher!$I$12*SUM(RESUMO!I220:J220)*$R$1198</f>
        <v>0</v>
      </c>
    </row>
    <row r="1224" spans="1:18">
      <c r="A1224" s="360" t="s">
        <v>1826</v>
      </c>
      <c r="B1224" s="284">
        <v>30</v>
      </c>
      <c r="C1224" s="616">
        <f>IF(B1224=0,"-",3600/B1224)</f>
        <v>120</v>
      </c>
      <c r="D1224" s="259">
        <f>IFERROR((H1224/C1224),"-")</f>
        <v>0</v>
      </c>
      <c r="E1224" s="616">
        <f>IFERROR(ROUNDUP(D1224/0.95,0.999),0)</f>
        <v>0</v>
      </c>
      <c r="F1224" s="615" t="str">
        <f>IFERROR((H1224/C1224/E1224),"-")</f>
        <v>-</v>
      </c>
      <c r="G1224" s="37"/>
      <c r="H1224" s="285">
        <f>Preencher!$I$12*SUM(RESUMO!I221:J221)*$H$1198</f>
        <v>0</v>
      </c>
      <c r="I1224" s="259">
        <f>IFERROR((M1224/C1224),"-")</f>
        <v>0</v>
      </c>
      <c r="J1224" s="616">
        <f>IFERROR(ROUNDUP(I1224/0.95,0.999),0)</f>
        <v>0</v>
      </c>
      <c r="K1224" s="615" t="str">
        <f>IFERROR((M1224/C1224/J1224),"-")</f>
        <v>-</v>
      </c>
      <c r="L1224" s="37"/>
      <c r="M1224" s="285">
        <f>Preencher!$I$12*SUM(RESUMO!I221:J221)*$M$1198</f>
        <v>0</v>
      </c>
      <c r="N1224" s="259">
        <f>IFERROR((R1224/C1224),"-")</f>
        <v>0</v>
      </c>
      <c r="O1224" s="616">
        <f>IFERROR(ROUNDUP(N1224/0.95,0.999),0)</f>
        <v>0</v>
      </c>
      <c r="P1224" s="615" t="str">
        <f>IFERROR((R1224/C1224/O1224),"-")</f>
        <v>-</v>
      </c>
      <c r="Q1224" s="37"/>
      <c r="R1224" s="285">
        <f>Preencher!$I$12*SUM(RESUMO!I221:J221)*$R$1198</f>
        <v>0</v>
      </c>
    </row>
    <row r="1225" spans="1:18">
      <c r="A1225" s="621" t="s">
        <v>226</v>
      </c>
      <c r="B1225" s="619"/>
      <c r="C1225" s="617"/>
      <c r="D1225" s="620"/>
      <c r="E1225" s="617">
        <f>ROUNDUP(SUM(D1226:D1228)/0.95,0)</f>
        <v>0</v>
      </c>
      <c r="F1225" s="618">
        <f>IFERROR(SUM(D1226:D1228)/E1225,0)</f>
        <v>0</v>
      </c>
      <c r="G1225" s="205"/>
      <c r="H1225" s="622">
        <f>Preencher!$B$290/SUM(Preencher!$B$290:$D$290)</f>
        <v>1</v>
      </c>
      <c r="I1225" s="620"/>
      <c r="J1225" s="617">
        <f>ROUNDUP(SUM(I1226:I1228)/0.95,0)</f>
        <v>0</v>
      </c>
      <c r="K1225" s="618">
        <f>IFERROR(SUM(I1226:I1228)/J1225,0)</f>
        <v>0</v>
      </c>
      <c r="L1225" s="205"/>
      <c r="M1225" s="622">
        <f>Preencher!$C$290/SUM(Preencher!$B$290:$D$290)</f>
        <v>0</v>
      </c>
      <c r="N1225" s="620"/>
      <c r="O1225" s="617">
        <f>ROUNDUP(SUM(N1226:N1228)/0.95,0)</f>
        <v>0</v>
      </c>
      <c r="P1225" s="618">
        <f>IFERROR(SUM(N1226:N1228)/O1225,0)</f>
        <v>0</v>
      </c>
      <c r="Q1225" s="205"/>
      <c r="R1225" s="622">
        <f>Preencher!$D$290/SUM(Preencher!$B$290:$D$290)</f>
        <v>0</v>
      </c>
    </row>
    <row r="1226" spans="1:18">
      <c r="A1226" s="360" t="s">
        <v>2</v>
      </c>
      <c r="B1226" s="284">
        <v>30</v>
      </c>
      <c r="C1226" s="616">
        <f>IF(B1226=0,"-",3600/B1226)</f>
        <v>120</v>
      </c>
      <c r="D1226" s="259">
        <f>IFERROR((H1226/C1226),"-")</f>
        <v>0</v>
      </c>
      <c r="E1226" s="616">
        <f>IFERROR(ROUNDUP(D1226/0.95,0.999),0)</f>
        <v>0</v>
      </c>
      <c r="F1226" s="615" t="str">
        <f>IFERROR((H1226/C1226/E1226),"-")</f>
        <v>-</v>
      </c>
      <c r="G1226" s="37"/>
      <c r="H1226" s="285">
        <f>Preencher!$I$12*SUM(RESUMO!I238:J238)*$H$1225</f>
        <v>0</v>
      </c>
      <c r="I1226" s="259">
        <f>IFERROR((M1226/C1226),"-")</f>
        <v>0</v>
      </c>
      <c r="J1226" s="616">
        <f>IFERROR(ROUNDUP(I1226/0.95,0.999),0)</f>
        <v>0</v>
      </c>
      <c r="K1226" s="615" t="str">
        <f>IFERROR((M1226/C1226/J1226),"-")</f>
        <v>-</v>
      </c>
      <c r="L1226" s="37"/>
      <c r="M1226" s="285">
        <f>Preencher!$I$12*SUM(RESUMO!I238:J238)*$M$1225</f>
        <v>0</v>
      </c>
      <c r="N1226" s="259">
        <f>IFERROR((R1226/C1226),"-")</f>
        <v>0</v>
      </c>
      <c r="O1226" s="616">
        <f>IFERROR(ROUNDUP(N1226/0.95,0.999),0)</f>
        <v>0</v>
      </c>
      <c r="P1226" s="615" t="str">
        <f>IFERROR((R1226/C1226/O1226),"-")</f>
        <v>-</v>
      </c>
      <c r="Q1226" s="37"/>
      <c r="R1226" s="285">
        <f>Preencher!$I$12*SUM(RESUMO!I238:J238)*$R$1225</f>
        <v>0</v>
      </c>
    </row>
    <row r="1227" spans="1:18">
      <c r="A1227" s="360" t="s">
        <v>916</v>
      </c>
      <c r="B1227" s="284">
        <v>30</v>
      </c>
      <c r="C1227" s="616">
        <f t="shared" ref="C1227:C1244" si="534">IF(B1227=0,"-",3600/B1227)</f>
        <v>120</v>
      </c>
      <c r="D1227" s="259">
        <f>IFERROR((H1227/C1227),"-")</f>
        <v>0</v>
      </c>
      <c r="E1227" s="616">
        <f t="shared" ref="E1227:E1244" si="535">IFERROR(ROUNDUP(D1227/0.95,0.999),0)</f>
        <v>0</v>
      </c>
      <c r="F1227" s="615" t="str">
        <f>IFERROR((H1227/C1227/E1227),"-")</f>
        <v>-</v>
      </c>
      <c r="G1227" s="37"/>
      <c r="H1227" s="285">
        <f>Preencher!$I$12*SUM(RESUMO!I239:J239)*$H$1225</f>
        <v>0</v>
      </c>
      <c r="I1227" s="259">
        <f t="shared" ref="I1227:I1244" si="536">IFERROR((M1227/C1227),"-")</f>
        <v>0</v>
      </c>
      <c r="J1227" s="616">
        <f t="shared" ref="J1227:J1244" si="537">IFERROR(ROUNDUP(I1227/0.95,0.999),0)</f>
        <v>0</v>
      </c>
      <c r="K1227" s="615" t="str">
        <f t="shared" ref="K1227:K1244" si="538">IFERROR((M1227/C1227/J1227),"-")</f>
        <v>-</v>
      </c>
      <c r="L1227" s="37"/>
      <c r="M1227" s="285">
        <f>Preencher!$I$12*SUM(RESUMO!I239:J239)*$M$1225</f>
        <v>0</v>
      </c>
      <c r="N1227" s="259">
        <f t="shared" ref="N1227:N1244" si="539">IFERROR((R1227/C1227),"-")</f>
        <v>0</v>
      </c>
      <c r="O1227" s="616">
        <f t="shared" ref="O1227:O1244" si="540">IFERROR(ROUNDUP(N1227/0.95,0.999),0)</f>
        <v>0</v>
      </c>
      <c r="P1227" s="615" t="str">
        <f t="shared" ref="P1227:P1244" si="541">IFERROR((R1227/C1227/O1227),"-")</f>
        <v>-</v>
      </c>
      <c r="Q1227" s="37"/>
      <c r="R1227" s="285">
        <f>Preencher!$I$12*SUM(RESUMO!I239:J239)*$R$1225</f>
        <v>0</v>
      </c>
    </row>
    <row r="1228" spans="1:18">
      <c r="A1228" s="360" t="s">
        <v>915</v>
      </c>
      <c r="B1228" s="284">
        <v>30</v>
      </c>
      <c r="C1228" s="616">
        <f t="shared" si="534"/>
        <v>120</v>
      </c>
      <c r="D1228" s="259">
        <f>IFERROR((H1228/C1228),"-")</f>
        <v>0</v>
      </c>
      <c r="E1228" s="616">
        <f t="shared" si="535"/>
        <v>0</v>
      </c>
      <c r="F1228" s="615" t="str">
        <f>IFERROR((H1228/C1228/E1228),"-")</f>
        <v>-</v>
      </c>
      <c r="G1228" s="37"/>
      <c r="H1228" s="285">
        <f>Preencher!$I$12*SUM(RESUMO!I240:J240)*$H$1225</f>
        <v>0</v>
      </c>
      <c r="I1228" s="259">
        <f t="shared" si="536"/>
        <v>0</v>
      </c>
      <c r="J1228" s="616">
        <f t="shared" si="537"/>
        <v>0</v>
      </c>
      <c r="K1228" s="615" t="str">
        <f t="shared" si="538"/>
        <v>-</v>
      </c>
      <c r="L1228" s="37"/>
      <c r="M1228" s="285">
        <f>Preencher!$I$12*SUM(RESUMO!I240:J240)*$M$1225</f>
        <v>0</v>
      </c>
      <c r="N1228" s="259">
        <f t="shared" si="539"/>
        <v>0</v>
      </c>
      <c r="O1228" s="616">
        <f t="shared" si="540"/>
        <v>0</v>
      </c>
      <c r="P1228" s="615" t="str">
        <f t="shared" si="541"/>
        <v>-</v>
      </c>
      <c r="Q1228" s="37"/>
      <c r="R1228" s="285">
        <f>Preencher!$I$12*SUM(RESUMO!I240:J240)*$R$1225</f>
        <v>0</v>
      </c>
    </row>
    <row r="1229" spans="1:18">
      <c r="A1229" s="621" t="s">
        <v>226</v>
      </c>
      <c r="B1229" s="619"/>
      <c r="C1229" s="617"/>
      <c r="D1229" s="620"/>
      <c r="E1229" s="617">
        <f>ROUNDUP(SUM(D1230:D1233)/0.95,0)</f>
        <v>0</v>
      </c>
      <c r="F1229" s="618">
        <f>IFERROR(SUM(D1230:D1233)/E1229,0)</f>
        <v>0</v>
      </c>
      <c r="G1229" s="205"/>
      <c r="H1229" s="622"/>
      <c r="I1229" s="620"/>
      <c r="J1229" s="617">
        <f>ROUNDUP(SUM(I1230:I1233)/0.95,0)</f>
        <v>0</v>
      </c>
      <c r="K1229" s="618">
        <f>IFERROR(SUM(I1230:I1233)/J1229,0)</f>
        <v>0</v>
      </c>
      <c r="L1229" s="205"/>
      <c r="M1229" s="622"/>
      <c r="N1229" s="620"/>
      <c r="O1229" s="617">
        <f>ROUNDUP(SUM(N1230:N1233)/0.95,0)</f>
        <v>0</v>
      </c>
      <c r="P1229" s="618">
        <f>IFERROR(SUM(N1230:N1233)/O1229,0)</f>
        <v>0</v>
      </c>
      <c r="Q1229" s="205"/>
      <c r="R1229" s="622"/>
    </row>
    <row r="1230" spans="1:18">
      <c r="A1230" s="360" t="s">
        <v>913</v>
      </c>
      <c r="B1230" s="284">
        <v>30</v>
      </c>
      <c r="C1230" s="616">
        <f t="shared" si="534"/>
        <v>120</v>
      </c>
      <c r="D1230" s="259">
        <f>IFERROR((H1230/C1230),"-")</f>
        <v>0</v>
      </c>
      <c r="E1230" s="616">
        <f t="shared" si="535"/>
        <v>0</v>
      </c>
      <c r="F1230" s="615" t="str">
        <f>IFERROR((H1230/C1230/E1230),"-")</f>
        <v>-</v>
      </c>
      <c r="G1230" s="37"/>
      <c r="H1230" s="285">
        <f>Preencher!$I$12*SUM(RESUMO!I241:J241)*$H$1225</f>
        <v>0</v>
      </c>
      <c r="I1230" s="259">
        <f t="shared" si="536"/>
        <v>0</v>
      </c>
      <c r="J1230" s="616">
        <f t="shared" si="537"/>
        <v>0</v>
      </c>
      <c r="K1230" s="615" t="str">
        <f t="shared" si="538"/>
        <v>-</v>
      </c>
      <c r="L1230" s="37"/>
      <c r="M1230" s="285">
        <f>Preencher!$I$12*SUM(RESUMO!I241:J241)*$M$1225</f>
        <v>0</v>
      </c>
      <c r="N1230" s="259">
        <f t="shared" si="539"/>
        <v>0</v>
      </c>
      <c r="O1230" s="616">
        <f t="shared" si="540"/>
        <v>0</v>
      </c>
      <c r="P1230" s="615" t="str">
        <f t="shared" si="541"/>
        <v>-</v>
      </c>
      <c r="Q1230" s="37"/>
      <c r="R1230" s="285">
        <f>Preencher!$I$12*SUM(RESUMO!I241:J241)*$R$1225</f>
        <v>0</v>
      </c>
    </row>
    <row r="1231" spans="1:18">
      <c r="A1231" s="360" t="s">
        <v>912</v>
      </c>
      <c r="B1231" s="284">
        <v>30</v>
      </c>
      <c r="C1231" s="616">
        <f t="shared" si="534"/>
        <v>120</v>
      </c>
      <c r="D1231" s="259">
        <f>IFERROR((H1231/C1231),"-")</f>
        <v>0</v>
      </c>
      <c r="E1231" s="616">
        <f t="shared" si="535"/>
        <v>0</v>
      </c>
      <c r="F1231" s="615" t="str">
        <f>IFERROR((H1231/C1231/E1231),"-")</f>
        <v>-</v>
      </c>
      <c r="G1231" s="37"/>
      <c r="H1231" s="285">
        <f>Preencher!$I$12*SUM(RESUMO!I242:J242)*$H$1225</f>
        <v>0</v>
      </c>
      <c r="I1231" s="259">
        <f t="shared" si="536"/>
        <v>0</v>
      </c>
      <c r="J1231" s="616">
        <f t="shared" si="537"/>
        <v>0</v>
      </c>
      <c r="K1231" s="615" t="str">
        <f t="shared" si="538"/>
        <v>-</v>
      </c>
      <c r="L1231" s="37"/>
      <c r="M1231" s="285">
        <f>Preencher!$I$12*SUM(RESUMO!I242:J242)*$M$1225</f>
        <v>0</v>
      </c>
      <c r="N1231" s="259">
        <f t="shared" si="539"/>
        <v>0</v>
      </c>
      <c r="O1231" s="616">
        <f t="shared" si="540"/>
        <v>0</v>
      </c>
      <c r="P1231" s="615" t="str">
        <f t="shared" si="541"/>
        <v>-</v>
      </c>
      <c r="Q1231" s="37"/>
      <c r="R1231" s="285">
        <f>Preencher!$I$12*SUM(RESUMO!I242:J242)*$R$1225</f>
        <v>0</v>
      </c>
    </row>
    <row r="1232" spans="1:18">
      <c r="A1232" s="360" t="s">
        <v>1129</v>
      </c>
      <c r="B1232" s="284">
        <v>30</v>
      </c>
      <c r="C1232" s="616">
        <f t="shared" si="534"/>
        <v>120</v>
      </c>
      <c r="D1232" s="259">
        <f>IFERROR((H1232/C1232),"-")</f>
        <v>0</v>
      </c>
      <c r="E1232" s="616">
        <f t="shared" si="535"/>
        <v>0</v>
      </c>
      <c r="F1232" s="615" t="str">
        <f>IFERROR((H1232/C1232/E1232),"-")</f>
        <v>-</v>
      </c>
      <c r="G1232" s="37"/>
      <c r="H1232" s="285">
        <f>Preencher!$I$12*SUM(RESUMO!I243:J243)*$H$1225</f>
        <v>0</v>
      </c>
      <c r="I1232" s="259">
        <f t="shared" si="536"/>
        <v>0</v>
      </c>
      <c r="J1232" s="616">
        <f t="shared" si="537"/>
        <v>0</v>
      </c>
      <c r="K1232" s="615" t="str">
        <f t="shared" si="538"/>
        <v>-</v>
      </c>
      <c r="L1232" s="37"/>
      <c r="M1232" s="285">
        <f>Preencher!$I$12*SUM(RESUMO!I243:J243)*$M$1225</f>
        <v>0</v>
      </c>
      <c r="N1232" s="259">
        <f t="shared" si="539"/>
        <v>0</v>
      </c>
      <c r="O1232" s="616">
        <f t="shared" si="540"/>
        <v>0</v>
      </c>
      <c r="P1232" s="615" t="str">
        <f t="shared" si="541"/>
        <v>-</v>
      </c>
      <c r="Q1232" s="37"/>
      <c r="R1232" s="285">
        <f>Preencher!$I$12*SUM(RESUMO!I243:J243)*$R$1225</f>
        <v>0</v>
      </c>
    </row>
    <row r="1233" spans="1:18">
      <c r="A1233" s="360" t="s">
        <v>974</v>
      </c>
      <c r="B1233" s="284">
        <v>30</v>
      </c>
      <c r="C1233" s="616">
        <f t="shared" si="534"/>
        <v>120</v>
      </c>
      <c r="D1233" s="259">
        <f>IFERROR((H1233/C1233),"-")</f>
        <v>0</v>
      </c>
      <c r="E1233" s="616">
        <f t="shared" si="535"/>
        <v>0</v>
      </c>
      <c r="F1233" s="615" t="str">
        <f>IFERROR((H1233/C1233/E1233),"-")</f>
        <v>-</v>
      </c>
      <c r="G1233" s="37"/>
      <c r="H1233" s="285">
        <f>Preencher!$I$12*SUM(RESUMO!I244:J244)*$H$1225</f>
        <v>0</v>
      </c>
      <c r="I1233" s="259">
        <f t="shared" si="536"/>
        <v>0</v>
      </c>
      <c r="J1233" s="616">
        <f t="shared" si="537"/>
        <v>0</v>
      </c>
      <c r="K1233" s="615" t="str">
        <f t="shared" si="538"/>
        <v>-</v>
      </c>
      <c r="L1233" s="37"/>
      <c r="M1233" s="285">
        <f>Preencher!$I$12*SUM(RESUMO!I244:J244)*$M$1225</f>
        <v>0</v>
      </c>
      <c r="N1233" s="259">
        <f t="shared" si="539"/>
        <v>0</v>
      </c>
      <c r="O1233" s="616">
        <f t="shared" si="540"/>
        <v>0</v>
      </c>
      <c r="P1233" s="615" t="str">
        <f t="shared" si="541"/>
        <v>-</v>
      </c>
      <c r="Q1233" s="37"/>
      <c r="R1233" s="285">
        <f>Preencher!$I$12*SUM(RESUMO!I244:J244)*$R$1225</f>
        <v>0</v>
      </c>
    </row>
    <row r="1234" spans="1:18">
      <c r="A1234" s="621" t="s">
        <v>226</v>
      </c>
      <c r="B1234" s="619"/>
      <c r="C1234" s="617"/>
      <c r="D1234" s="620"/>
      <c r="E1234" s="617">
        <f>ROUNDUP(SUM(D1235:D1239)/0.95,0)</f>
        <v>0</v>
      </c>
      <c r="F1234" s="618">
        <f>IFERROR(SUM(D1235:D1239)/E1234,0)</f>
        <v>0</v>
      </c>
      <c r="G1234" s="205"/>
      <c r="H1234" s="622"/>
      <c r="I1234" s="620"/>
      <c r="J1234" s="617">
        <f>ROUNDUP(SUM(I1235:I1239)/0.95,0)</f>
        <v>0</v>
      </c>
      <c r="K1234" s="618">
        <f>IFERROR(SUM(I1235:I1239)/J1234,0)</f>
        <v>0</v>
      </c>
      <c r="L1234" s="205"/>
      <c r="M1234" s="622"/>
      <c r="N1234" s="620"/>
      <c r="O1234" s="617">
        <f>ROUNDUP(SUM(N1235:N1239)/0.95,0)</f>
        <v>0</v>
      </c>
      <c r="P1234" s="618">
        <f>IFERROR(SUM(N1235:N1239)/O1234,0)</f>
        <v>0</v>
      </c>
      <c r="Q1234" s="205"/>
      <c r="R1234" s="622"/>
    </row>
    <row r="1235" spans="1:18">
      <c r="A1235" s="360" t="s">
        <v>996</v>
      </c>
      <c r="B1235" s="284">
        <v>30</v>
      </c>
      <c r="C1235" s="616">
        <f t="shared" si="534"/>
        <v>120</v>
      </c>
      <c r="D1235" s="259">
        <f>IFERROR((H1235/C1235),"-")</f>
        <v>0</v>
      </c>
      <c r="E1235" s="616">
        <f t="shared" si="535"/>
        <v>0</v>
      </c>
      <c r="F1235" s="615" t="str">
        <f>IFERROR((H1235/C1235/E1235),"-")</f>
        <v>-</v>
      </c>
      <c r="G1235" s="37"/>
      <c r="H1235" s="285">
        <f>Preencher!$I$12*SUM(RESUMO!I246:J246)*$H$1225</f>
        <v>0</v>
      </c>
      <c r="I1235" s="259">
        <f t="shared" si="536"/>
        <v>0</v>
      </c>
      <c r="J1235" s="616">
        <f t="shared" si="537"/>
        <v>0</v>
      </c>
      <c r="K1235" s="615" t="str">
        <f t="shared" si="538"/>
        <v>-</v>
      </c>
      <c r="L1235" s="37"/>
      <c r="M1235" s="285">
        <f>Preencher!$I$12*SUM(RESUMO!I246:J246)*$M$1225</f>
        <v>0</v>
      </c>
      <c r="N1235" s="259">
        <f t="shared" si="539"/>
        <v>0</v>
      </c>
      <c r="O1235" s="616">
        <f t="shared" si="540"/>
        <v>0</v>
      </c>
      <c r="P1235" s="615" t="str">
        <f t="shared" si="541"/>
        <v>-</v>
      </c>
      <c r="Q1235" s="37"/>
      <c r="R1235" s="285">
        <f>Preencher!$I$12*SUM(RESUMO!I246:J246)*$R$1225</f>
        <v>0</v>
      </c>
    </row>
    <row r="1236" spans="1:18">
      <c r="A1236" s="360" t="s">
        <v>997</v>
      </c>
      <c r="B1236" s="284">
        <v>30</v>
      </c>
      <c r="C1236" s="616">
        <f t="shared" si="534"/>
        <v>120</v>
      </c>
      <c r="D1236" s="259">
        <f>IFERROR((H1236/C1236),"-")</f>
        <v>0</v>
      </c>
      <c r="E1236" s="616">
        <f t="shared" si="535"/>
        <v>0</v>
      </c>
      <c r="F1236" s="615" t="str">
        <f>IFERROR((H1236/C1236/E1236),"-")</f>
        <v>-</v>
      </c>
      <c r="G1236" s="37"/>
      <c r="H1236" s="285">
        <f>Preencher!$I$12*SUM(RESUMO!I247:J247)*$H$1225</f>
        <v>0</v>
      </c>
      <c r="I1236" s="259">
        <f t="shared" si="536"/>
        <v>0</v>
      </c>
      <c r="J1236" s="616">
        <f t="shared" si="537"/>
        <v>0</v>
      </c>
      <c r="K1236" s="615" t="str">
        <f t="shared" si="538"/>
        <v>-</v>
      </c>
      <c r="L1236" s="37"/>
      <c r="M1236" s="285">
        <f>Preencher!$I$12*SUM(RESUMO!I247:J247)*$M$1225</f>
        <v>0</v>
      </c>
      <c r="N1236" s="259">
        <f t="shared" si="539"/>
        <v>0</v>
      </c>
      <c r="O1236" s="616">
        <f t="shared" si="540"/>
        <v>0</v>
      </c>
      <c r="P1236" s="615" t="str">
        <f t="shared" si="541"/>
        <v>-</v>
      </c>
      <c r="Q1236" s="37"/>
      <c r="R1236" s="285">
        <f>Preencher!$I$12*SUM(RESUMO!I247:J247)*$R$1225</f>
        <v>0</v>
      </c>
    </row>
    <row r="1237" spans="1:18">
      <c r="A1237" s="360" t="s">
        <v>1359</v>
      </c>
      <c r="B1237" s="284">
        <v>30</v>
      </c>
      <c r="C1237" s="616">
        <f t="shared" si="534"/>
        <v>120</v>
      </c>
      <c r="D1237" s="259">
        <f>IFERROR((H1237/C1237),"-")</f>
        <v>0</v>
      </c>
      <c r="E1237" s="616">
        <f t="shared" si="535"/>
        <v>0</v>
      </c>
      <c r="F1237" s="615" t="str">
        <f>IFERROR((H1237/C1237/E1237),"-")</f>
        <v>-</v>
      </c>
      <c r="G1237" s="37"/>
      <c r="H1237" s="285">
        <f>Preencher!$I$12*SUM(RESUMO!I248:J248)*$H$1225</f>
        <v>0</v>
      </c>
      <c r="I1237" s="259">
        <f t="shared" si="536"/>
        <v>0</v>
      </c>
      <c r="J1237" s="616">
        <f t="shared" si="537"/>
        <v>0</v>
      </c>
      <c r="K1237" s="615" t="str">
        <f t="shared" si="538"/>
        <v>-</v>
      </c>
      <c r="L1237" s="37"/>
      <c r="M1237" s="285">
        <f>Preencher!$I$12*SUM(RESUMO!I248:J248)*$M$1225</f>
        <v>0</v>
      </c>
      <c r="N1237" s="259">
        <f t="shared" si="539"/>
        <v>0</v>
      </c>
      <c r="O1237" s="616">
        <f t="shared" si="540"/>
        <v>0</v>
      </c>
      <c r="P1237" s="615" t="str">
        <f t="shared" si="541"/>
        <v>-</v>
      </c>
      <c r="Q1237" s="37"/>
      <c r="R1237" s="285">
        <f>Preencher!$I$12*SUM(RESUMO!I248:J248)*$R$1225</f>
        <v>0</v>
      </c>
    </row>
    <row r="1238" spans="1:18">
      <c r="A1238" s="360" t="s">
        <v>911</v>
      </c>
      <c r="B1238" s="284">
        <v>30</v>
      </c>
      <c r="C1238" s="616">
        <f t="shared" si="534"/>
        <v>120</v>
      </c>
      <c r="D1238" s="259">
        <f>IFERROR((H1238/C1238),"-")</f>
        <v>0</v>
      </c>
      <c r="E1238" s="616">
        <f t="shared" si="535"/>
        <v>0</v>
      </c>
      <c r="F1238" s="615" t="str">
        <f>IFERROR((H1238/C1238/E1238),"-")</f>
        <v>-</v>
      </c>
      <c r="G1238" s="37"/>
      <c r="H1238" s="285">
        <f>Preencher!$I$12*SUM(RESUMO!I249:J249)*$H$1225</f>
        <v>0</v>
      </c>
      <c r="I1238" s="259">
        <f t="shared" si="536"/>
        <v>0</v>
      </c>
      <c r="J1238" s="616">
        <f t="shared" si="537"/>
        <v>0</v>
      </c>
      <c r="K1238" s="615" t="str">
        <f t="shared" si="538"/>
        <v>-</v>
      </c>
      <c r="L1238" s="37"/>
      <c r="M1238" s="285">
        <f>Preencher!$I$12*SUM(RESUMO!I249:J249)*$M$1225</f>
        <v>0</v>
      </c>
      <c r="N1238" s="259">
        <f t="shared" si="539"/>
        <v>0</v>
      </c>
      <c r="O1238" s="616">
        <f t="shared" si="540"/>
        <v>0</v>
      </c>
      <c r="P1238" s="615" t="str">
        <f t="shared" si="541"/>
        <v>-</v>
      </c>
      <c r="Q1238" s="37"/>
      <c r="R1238" s="285">
        <f>Preencher!$I$12*SUM(RESUMO!I249:J249)*$R$1225</f>
        <v>0</v>
      </c>
    </row>
    <row r="1239" spans="1:18">
      <c r="A1239" s="360" t="s">
        <v>1020</v>
      </c>
      <c r="B1239" s="284">
        <v>30</v>
      </c>
      <c r="C1239" s="616">
        <f t="shared" si="534"/>
        <v>120</v>
      </c>
      <c r="D1239" s="259">
        <f>IFERROR((H1239/C1239),"-")</f>
        <v>0</v>
      </c>
      <c r="E1239" s="616">
        <f t="shared" si="535"/>
        <v>0</v>
      </c>
      <c r="F1239" s="615" t="str">
        <f>IFERROR((H1239/C1239/E1239),"-")</f>
        <v>-</v>
      </c>
      <c r="G1239" s="37"/>
      <c r="H1239" s="285">
        <f>Preencher!$I$12*SUM(RESUMO!I250:J250)*$H$1225</f>
        <v>0</v>
      </c>
      <c r="I1239" s="259">
        <f t="shared" si="536"/>
        <v>0</v>
      </c>
      <c r="J1239" s="616">
        <f t="shared" si="537"/>
        <v>0</v>
      </c>
      <c r="K1239" s="615" t="str">
        <f t="shared" si="538"/>
        <v>-</v>
      </c>
      <c r="L1239" s="37"/>
      <c r="M1239" s="285">
        <f>Preencher!$I$12*SUM(RESUMO!I250:J250)*$M$1225</f>
        <v>0</v>
      </c>
      <c r="N1239" s="259">
        <f t="shared" si="539"/>
        <v>0</v>
      </c>
      <c r="O1239" s="616">
        <f t="shared" si="540"/>
        <v>0</v>
      </c>
      <c r="P1239" s="615" t="str">
        <f t="shared" si="541"/>
        <v>-</v>
      </c>
      <c r="Q1239" s="37"/>
      <c r="R1239" s="285">
        <f>Preencher!$I$12*SUM(RESUMO!I250:J250)*$R$1225</f>
        <v>0</v>
      </c>
    </row>
    <row r="1240" spans="1:18">
      <c r="A1240" s="621" t="s">
        <v>226</v>
      </c>
      <c r="B1240" s="619"/>
      <c r="C1240" s="617"/>
      <c r="D1240" s="620"/>
      <c r="E1240" s="617">
        <f>ROUNDUP(SUM(D1241:D1244)/0.95,0)</f>
        <v>0</v>
      </c>
      <c r="F1240" s="618">
        <f>IFERROR(SUM(D1241:D1244)/E1240,0)</f>
        <v>0</v>
      </c>
      <c r="G1240" s="205"/>
      <c r="H1240" s="622"/>
      <c r="I1240" s="620"/>
      <c r="J1240" s="617">
        <f>ROUNDUP(SUM(I1241:I1244)/0.95,0)</f>
        <v>0</v>
      </c>
      <c r="K1240" s="618">
        <f>IFERROR(SUM(I1241:I1244)/J1240,0)</f>
        <v>0</v>
      </c>
      <c r="L1240" s="205"/>
      <c r="M1240" s="622"/>
      <c r="N1240" s="620"/>
      <c r="O1240" s="617">
        <f>ROUNDUP(SUM(N1241:N1244)/0.95,0)</f>
        <v>0</v>
      </c>
      <c r="P1240" s="618">
        <f>IFERROR(SUM(N1241:N1244)/O1240,0)</f>
        <v>0</v>
      </c>
      <c r="Q1240" s="205"/>
      <c r="R1240" s="622"/>
    </row>
    <row r="1241" spans="1:18">
      <c r="A1241" s="360" t="s">
        <v>1441</v>
      </c>
      <c r="B1241" s="284">
        <v>30</v>
      </c>
      <c r="C1241" s="616">
        <f t="shared" si="534"/>
        <v>120</v>
      </c>
      <c r="D1241" s="259">
        <f>IFERROR((H1241/C1241),"-")</f>
        <v>0</v>
      </c>
      <c r="E1241" s="616">
        <f t="shared" si="535"/>
        <v>0</v>
      </c>
      <c r="F1241" s="615" t="str">
        <f>IFERROR((H1241/C1241/E1241),"-")</f>
        <v>-</v>
      </c>
      <c r="G1241" s="37"/>
      <c r="H1241" s="285">
        <f>Preencher!$I$12*SUM(RESUMO!I255:J255)*$H$1225</f>
        <v>0</v>
      </c>
      <c r="I1241" s="259">
        <f t="shared" si="536"/>
        <v>0</v>
      </c>
      <c r="J1241" s="616">
        <f t="shared" si="537"/>
        <v>0</v>
      </c>
      <c r="K1241" s="615" t="str">
        <f t="shared" si="538"/>
        <v>-</v>
      </c>
      <c r="L1241" s="37"/>
      <c r="M1241" s="285">
        <f>Preencher!$I$12*SUM(RESUMO!I255:J255)*$M$1225</f>
        <v>0</v>
      </c>
      <c r="N1241" s="259">
        <f t="shared" si="539"/>
        <v>0</v>
      </c>
      <c r="O1241" s="616">
        <f t="shared" si="540"/>
        <v>0</v>
      </c>
      <c r="P1241" s="615" t="str">
        <f t="shared" si="541"/>
        <v>-</v>
      </c>
      <c r="Q1241" s="37"/>
      <c r="R1241" s="285">
        <f>Preencher!$I$12*SUM(RESUMO!I255:J255)*$R$1225</f>
        <v>0</v>
      </c>
    </row>
    <row r="1242" spans="1:18">
      <c r="A1242" s="360" t="s">
        <v>1442</v>
      </c>
      <c r="B1242" s="284">
        <v>30</v>
      </c>
      <c r="C1242" s="616">
        <f t="shared" si="534"/>
        <v>120</v>
      </c>
      <c r="D1242" s="259">
        <f>IFERROR((H1242/C1242),"-")</f>
        <v>0</v>
      </c>
      <c r="E1242" s="616">
        <f t="shared" si="535"/>
        <v>0</v>
      </c>
      <c r="F1242" s="615" t="str">
        <f>IFERROR((H1242/C1242/E1242),"-")</f>
        <v>-</v>
      </c>
      <c r="G1242" s="37"/>
      <c r="H1242" s="285">
        <f>Preencher!$I$12*SUM(RESUMO!I256:J256)*$H$1225</f>
        <v>0</v>
      </c>
      <c r="I1242" s="259">
        <f t="shared" si="536"/>
        <v>0</v>
      </c>
      <c r="J1242" s="616">
        <f t="shared" si="537"/>
        <v>0</v>
      </c>
      <c r="K1242" s="615" t="str">
        <f t="shared" si="538"/>
        <v>-</v>
      </c>
      <c r="L1242" s="37"/>
      <c r="M1242" s="285">
        <f>Preencher!$I$12*SUM(RESUMO!I256:J256)*$M$1225</f>
        <v>0</v>
      </c>
      <c r="N1242" s="259">
        <f t="shared" si="539"/>
        <v>0</v>
      </c>
      <c r="O1242" s="616">
        <f t="shared" si="540"/>
        <v>0</v>
      </c>
      <c r="P1242" s="615" t="str">
        <f t="shared" si="541"/>
        <v>-</v>
      </c>
      <c r="Q1242" s="37"/>
      <c r="R1242" s="285">
        <f>Preencher!$I$12*SUM(RESUMO!I256:J256)*$R$1225</f>
        <v>0</v>
      </c>
    </row>
    <row r="1243" spans="1:18">
      <c r="A1243" s="360" t="s">
        <v>1443</v>
      </c>
      <c r="B1243" s="284">
        <v>30</v>
      </c>
      <c r="C1243" s="616">
        <f t="shared" si="534"/>
        <v>120</v>
      </c>
      <c r="D1243" s="259">
        <f>IFERROR((H1243/C1243),"-")</f>
        <v>0</v>
      </c>
      <c r="E1243" s="616">
        <f t="shared" si="535"/>
        <v>0</v>
      </c>
      <c r="F1243" s="615" t="str">
        <f>IFERROR((H1243/C1243/E1243),"-")</f>
        <v>-</v>
      </c>
      <c r="G1243" s="37"/>
      <c r="H1243" s="285">
        <f>Preencher!$I$12*SUM(RESUMO!I257:J257)*$H$1225</f>
        <v>0</v>
      </c>
      <c r="I1243" s="259">
        <f t="shared" si="536"/>
        <v>0</v>
      </c>
      <c r="J1243" s="616">
        <f t="shared" si="537"/>
        <v>0</v>
      </c>
      <c r="K1243" s="615" t="str">
        <f t="shared" si="538"/>
        <v>-</v>
      </c>
      <c r="L1243" s="37"/>
      <c r="M1243" s="285">
        <f>Preencher!$I$12*SUM(RESUMO!I257:J257)*$M$1225</f>
        <v>0</v>
      </c>
      <c r="N1243" s="259">
        <f t="shared" si="539"/>
        <v>0</v>
      </c>
      <c r="O1243" s="616">
        <f t="shared" si="540"/>
        <v>0</v>
      </c>
      <c r="P1243" s="615" t="str">
        <f t="shared" si="541"/>
        <v>-</v>
      </c>
      <c r="Q1243" s="37"/>
      <c r="R1243" s="285">
        <f>Preencher!$I$12*SUM(RESUMO!I257:J257)*$R$1225</f>
        <v>0</v>
      </c>
    </row>
    <row r="1244" spans="1:18">
      <c r="A1244" s="360" t="s">
        <v>1444</v>
      </c>
      <c r="B1244" s="284">
        <v>30</v>
      </c>
      <c r="C1244" s="616">
        <f t="shared" si="534"/>
        <v>120</v>
      </c>
      <c r="D1244" s="259">
        <f>IFERROR((H1244/C1244),"-")</f>
        <v>0</v>
      </c>
      <c r="E1244" s="616">
        <f t="shared" si="535"/>
        <v>0</v>
      </c>
      <c r="F1244" s="615" t="str">
        <f>IFERROR((H1244/C1244/E1244),"-")</f>
        <v>-</v>
      </c>
      <c r="G1244" s="37"/>
      <c r="H1244" s="285">
        <f>Preencher!$I$12*SUM(RESUMO!I258:J258)*$H$1225</f>
        <v>0</v>
      </c>
      <c r="I1244" s="259">
        <f t="shared" si="536"/>
        <v>0</v>
      </c>
      <c r="J1244" s="616">
        <f t="shared" si="537"/>
        <v>0</v>
      </c>
      <c r="K1244" s="615" t="str">
        <f t="shared" si="538"/>
        <v>-</v>
      </c>
      <c r="L1244" s="37"/>
      <c r="M1244" s="285">
        <f>Preencher!$I$12*SUM(RESUMO!I258:J258)*$M$1225</f>
        <v>0</v>
      </c>
      <c r="N1244" s="259">
        <f t="shared" si="539"/>
        <v>0</v>
      </c>
      <c r="O1244" s="616">
        <f t="shared" si="540"/>
        <v>0</v>
      </c>
      <c r="P1244" s="615" t="str">
        <f t="shared" si="541"/>
        <v>-</v>
      </c>
      <c r="Q1244" s="37"/>
      <c r="R1244" s="285">
        <f>Preencher!$I$12*SUM(RESUMO!I258:J258)*$R$1225</f>
        <v>0</v>
      </c>
    </row>
    <row r="1245" spans="1:18">
      <c r="A1245" s="621" t="s">
        <v>226</v>
      </c>
      <c r="B1245" s="619"/>
      <c r="C1245" s="617"/>
      <c r="D1245" s="620"/>
      <c r="E1245" s="617">
        <f>SUM(E1246:E1248)</f>
        <v>0</v>
      </c>
      <c r="F1245" s="618">
        <f>IFERROR(SUM(D1246:D1248)/E1245,0)</f>
        <v>0</v>
      </c>
      <c r="G1245" s="205"/>
      <c r="H1245" s="622"/>
      <c r="I1245" s="620"/>
      <c r="J1245" s="617">
        <f>SUM(J1246:J1248)</f>
        <v>0</v>
      </c>
      <c r="K1245" s="618">
        <f>IFERROR(SUM(I1246:I1248)/J1245,0)</f>
        <v>0</v>
      </c>
      <c r="L1245" s="205"/>
      <c r="M1245" s="622"/>
      <c r="N1245" s="620"/>
      <c r="O1245" s="617">
        <f>SUM(O1246:O1248)</f>
        <v>0</v>
      </c>
      <c r="P1245" s="618">
        <f>IFERROR(SUM(N1246:N1248)/O1245,0)</f>
        <v>0</v>
      </c>
      <c r="Q1245" s="205"/>
      <c r="R1245" s="622"/>
    </row>
    <row r="1246" spans="1:18">
      <c r="A1246" s="200" t="s">
        <v>1946</v>
      </c>
      <c r="B1246" s="284">
        <f>IF(Preencher!$B$362="Sim",0,2.29)</f>
        <v>0</v>
      </c>
      <c r="C1246" s="616" t="str">
        <f>IF(B1246=0,"-",3600/B1246)</f>
        <v>-</v>
      </c>
      <c r="D1246" s="259" t="str">
        <f>IFERROR((H1246/C1246),"-")</f>
        <v>-</v>
      </c>
      <c r="E1246" s="616">
        <f>IFERROR(ROUNDUP(D1246/0.95,0.999),0)</f>
        <v>0</v>
      </c>
      <c r="F1246" s="615" t="str">
        <f>IFERROR((H1246/C1246/E1246),"-")</f>
        <v>-</v>
      </c>
      <c r="G1246" s="37"/>
      <c r="H1246" s="285">
        <f>$H$1020</f>
        <v>276.03702824590556</v>
      </c>
      <c r="I1246" s="259" t="str">
        <f>IFERROR((M1246/C1246),"-")</f>
        <v>-</v>
      </c>
      <c r="J1246" s="616">
        <f>IFERROR(ROUNDUP(I1246/0.95,0.999),0)</f>
        <v>0</v>
      </c>
      <c r="K1246" s="615" t="str">
        <f>IFERROR((M1246/C1246/J1246),"-")</f>
        <v>-</v>
      </c>
      <c r="L1246" s="37"/>
      <c r="M1246" s="285">
        <f>$M$1020</f>
        <v>0</v>
      </c>
      <c r="N1246" s="259" t="str">
        <f>IFERROR((R1246/C1246),"-")</f>
        <v>-</v>
      </c>
      <c r="O1246" s="616">
        <f>IFERROR(ROUNDUP(N1246/0.95,0.999),0)</f>
        <v>0</v>
      </c>
      <c r="P1246" s="615" t="str">
        <f>IFERROR((R1246/C1246/O1246),"-")</f>
        <v>-</v>
      </c>
      <c r="Q1246" s="37"/>
      <c r="R1246" s="285">
        <f>$R$1020</f>
        <v>0</v>
      </c>
    </row>
    <row r="1247" spans="1:18">
      <c r="A1247" s="200" t="s">
        <v>1947</v>
      </c>
      <c r="B1247" s="284">
        <f>IF(Preencher!$B$362="Sim",0,2.445)</f>
        <v>0</v>
      </c>
      <c r="C1247" s="616" t="str">
        <f>IF(B1247=0,"-",3600/B1247)</f>
        <v>-</v>
      </c>
      <c r="D1247" s="259" t="str">
        <f>IFERROR((H1247/C1247),"-")</f>
        <v>-</v>
      </c>
      <c r="E1247" s="616">
        <f>IFERROR(ROUNDUP(D1247/0.95,0.999),0)</f>
        <v>0</v>
      </c>
      <c r="F1247" s="615" t="str">
        <f>IFERROR((H1247/C1247/E1247),"-")</f>
        <v>-</v>
      </c>
      <c r="G1247" s="37"/>
      <c r="H1247" s="285">
        <f>VLOOKUP(Preencher!$A$394,Preencher!$R$369:$AC$386,10,0)</f>
        <v>38.372743705380785</v>
      </c>
      <c r="I1247" s="259" t="str">
        <f>IFERROR((M1247/C1247),"-")</f>
        <v>-</v>
      </c>
      <c r="J1247" s="616">
        <f>IFERROR(ROUNDUP(I1247/0.95,0.999),0)</f>
        <v>0</v>
      </c>
      <c r="K1247" s="615" t="str">
        <f>IFERROR((M1247/C1247/J1247),"-")</f>
        <v>-</v>
      </c>
      <c r="L1247" s="37"/>
      <c r="M1247" s="285">
        <f>VLOOKUP(Preencher!$A$394,Preencher!$R$369:$AC$386,11,0)</f>
        <v>0</v>
      </c>
      <c r="N1247" s="259" t="str">
        <f>IFERROR((R1247/C1247),"-")</f>
        <v>-</v>
      </c>
      <c r="O1247" s="616">
        <f>IFERROR(ROUNDUP(N1247/0.95,0.999),0)</f>
        <v>0</v>
      </c>
      <c r="P1247" s="615" t="str">
        <f>IFERROR((R1247/C1247/O1247),"-")</f>
        <v>-</v>
      </c>
      <c r="Q1247" s="37"/>
      <c r="R1247" s="285">
        <f>VLOOKUP(Preencher!$A$394,Preencher!$R$369:$AC$386,12,0)</f>
        <v>0</v>
      </c>
    </row>
    <row r="1248" spans="1:18">
      <c r="A1248" s="200" t="s">
        <v>1948</v>
      </c>
      <c r="B1248" s="284"/>
      <c r="C1248" s="616" t="str">
        <f>IF(B1248=0,"-",3600/B1248)</f>
        <v>-</v>
      </c>
      <c r="D1248" s="259" t="str">
        <f>IFERROR((H1248/C1248),"-")</f>
        <v>-</v>
      </c>
      <c r="E1248" s="616">
        <f>IFERROR(ROUNDUP(D1248/0.95,0.999),0)</f>
        <v>0</v>
      </c>
      <c r="F1248" s="615" t="str">
        <f>IFERROR((H1248/C1248/E1248),"-")</f>
        <v>-</v>
      </c>
      <c r="G1248" s="37"/>
      <c r="H1248" s="285"/>
      <c r="I1248" s="259" t="str">
        <f>IFERROR((M1248/C1248),"-")</f>
        <v>-</v>
      </c>
      <c r="J1248" s="616">
        <f>IFERROR(ROUNDUP(I1248/0.95,0.999),0)</f>
        <v>0</v>
      </c>
      <c r="K1248" s="615" t="str">
        <f>IFERROR((M1248/C1248/J1248),"-")</f>
        <v>-</v>
      </c>
      <c r="L1248" s="37"/>
      <c r="M1248" s="285"/>
      <c r="N1248" s="259" t="str">
        <f>IFERROR((R1248/C1248),"-")</f>
        <v>-</v>
      </c>
      <c r="O1248" s="616">
        <f>IFERROR(ROUNDUP(N1248/0.95,0.999),0)</f>
        <v>0</v>
      </c>
      <c r="P1248" s="615" t="str">
        <f>IFERROR((R1248/C1248/O1248),"-")</f>
        <v>-</v>
      </c>
      <c r="Q1248" s="37"/>
      <c r="R1248" s="285"/>
    </row>
    <row r="1249" spans="1:18">
      <c r="A1249" s="621" t="s">
        <v>226</v>
      </c>
      <c r="B1249" s="619"/>
      <c r="C1249" s="617"/>
      <c r="D1249" s="620"/>
      <c r="E1249" s="617">
        <f>SUM(E1250)</f>
        <v>0</v>
      </c>
      <c r="F1249" s="618">
        <f>IFERROR(SUM(D1250)/E1249,0)</f>
        <v>0</v>
      </c>
      <c r="G1249" s="205"/>
      <c r="H1249" s="622"/>
      <c r="I1249" s="620"/>
      <c r="J1249" s="617">
        <f>SUM(J1250)</f>
        <v>0</v>
      </c>
      <c r="K1249" s="618">
        <f>IFERROR(SUM(I1250)/J1249,0)</f>
        <v>0</v>
      </c>
      <c r="L1249" s="205"/>
      <c r="M1249" s="622"/>
      <c r="N1249" s="620"/>
      <c r="O1249" s="617">
        <f>SUM(O1250)</f>
        <v>0</v>
      </c>
      <c r="P1249" s="618">
        <f>IFERROR(SUM(N1250)/O1249,0)</f>
        <v>0</v>
      </c>
      <c r="Q1249" s="205"/>
      <c r="R1249" s="622"/>
    </row>
    <row r="1250" spans="1:18">
      <c r="A1250" s="266" t="s">
        <v>692</v>
      </c>
      <c r="B1250" s="284">
        <f>IF(Preencher!$B$438="Sim",0,34.716)</f>
        <v>0</v>
      </c>
      <c r="C1250" s="616" t="str">
        <f>IF(B1250=0,"-",3600/B1250)</f>
        <v>-</v>
      </c>
      <c r="D1250" s="259" t="str">
        <f>IFERROR((H1250/C1250),"-")</f>
        <v>-</v>
      </c>
      <c r="E1250" s="616">
        <f>IFERROR(ROUNDUP(D1250/0.95,0.999),0)</f>
        <v>0</v>
      </c>
      <c r="F1250" s="615" t="str">
        <f>IFERROR((H1250/C1250/E1250),"-")</f>
        <v>-</v>
      </c>
      <c r="G1250" s="37"/>
      <c r="H1250" s="285">
        <f>RESUMO!$X$5/'BD VOLUME'!$C$3</f>
        <v>0</v>
      </c>
      <c r="I1250" s="259" t="str">
        <f>IFERROR((M1250/C1250),"-")</f>
        <v>-</v>
      </c>
      <c r="J1250" s="616">
        <f>IFERROR(ROUNDUP(I1250/0.95,0.999),0)</f>
        <v>0</v>
      </c>
      <c r="K1250" s="615" t="str">
        <f>IFERROR((M1250/C1250/J1250),"-")</f>
        <v>-</v>
      </c>
      <c r="L1250" s="37"/>
      <c r="M1250" s="285">
        <f>IF(Preencher!$C$441&gt;1,H1250,0)</f>
        <v>0</v>
      </c>
      <c r="N1250" s="259" t="str">
        <f>IFERROR((R1250/C1250),"-")</f>
        <v>-</v>
      </c>
      <c r="O1250" s="616">
        <f>IFERROR(ROUNDUP(N1250/0.95,0.999),0)</f>
        <v>0</v>
      </c>
      <c r="P1250" s="615" t="str">
        <f>IFERROR((R1250/C1250/O1250),"-")</f>
        <v>-</v>
      </c>
      <c r="Q1250" s="37"/>
      <c r="R1250" s="285">
        <f>IF(Preencher!$C$441&gt;2,M1250,0)</f>
        <v>0</v>
      </c>
    </row>
    <row r="1251" spans="1:18">
      <c r="A1251" s="360" t="s">
        <v>1022</v>
      </c>
      <c r="B1251" s="284"/>
      <c r="C1251" s="616"/>
      <c r="D1251" s="259"/>
      <c r="E1251" s="616"/>
      <c r="F1251" s="615"/>
      <c r="G1251" s="37"/>
      <c r="H1251" s="285"/>
      <c r="I1251" s="259"/>
      <c r="J1251" s="616"/>
      <c r="K1251" s="615"/>
      <c r="L1251" s="37"/>
      <c r="M1251" s="285"/>
      <c r="N1251" s="259"/>
      <c r="O1251" s="616"/>
      <c r="P1251" s="615"/>
      <c r="Q1251" s="37"/>
      <c r="R1251" s="285"/>
    </row>
    <row r="1252" spans="1:18">
      <c r="A1252" s="265" t="s">
        <v>5393</v>
      </c>
      <c r="B1252" s="284"/>
      <c r="C1252" s="251" t="str">
        <f>IF(B1252=0,"-",3600/B1252)</f>
        <v>-</v>
      </c>
      <c r="D1252" s="259" t="str">
        <f>IFERROR((H1252/C1252),"-")</f>
        <v>-</v>
      </c>
      <c r="E1252" s="251">
        <f>IFERROR(ROUNDUP(SUM(Avaliação!$J$729:$J$733)*'BD Temp'!H1252,0.999),0)</f>
        <v>3</v>
      </c>
      <c r="F1252" s="252" t="str">
        <f>IFERROR((H1252/C1252/E1252),"-")</f>
        <v>-</v>
      </c>
      <c r="G1252" s="37"/>
      <c r="H1252" s="285">
        <f>IF(Preencher!$A$15=Preencher!$R$28,0,IF(Preencher!$A$15=Preencher!$R$29,Preencher!$C$15,Preencher!$D$15))</f>
        <v>0.33</v>
      </c>
      <c r="I1252" s="259" t="str">
        <f>IFERROR((M1252/C1252),"-")</f>
        <v>-</v>
      </c>
      <c r="J1252" s="251">
        <f>IFERROR(ROUNDUP(SUM(Avaliação!$N$729:$N$733)*'BD Temp'!M1252,0.999),0)</f>
        <v>0</v>
      </c>
      <c r="K1252" s="252" t="str">
        <f>IFERROR((M1252/C1252/J1252),"-")</f>
        <v>-</v>
      </c>
      <c r="L1252" s="37"/>
      <c r="M1252" s="285">
        <f>IF(Preencher!$A$15=Preencher!$R$28,0,IF(Preencher!$A$15=Preencher!$R$29,Preencher!$C$15,Preencher!$D$15))</f>
        <v>0.33</v>
      </c>
      <c r="N1252" s="259"/>
      <c r="O1252" s="251">
        <f>IFERROR(ROUNDUP(SUM(Avaliação!$R$729:$R$733)*'BD Temp'!R1252,0.999),0)</f>
        <v>0</v>
      </c>
      <c r="P1252" s="252" t="str">
        <f>IFERROR((R1252/C1252/O1252),"-")</f>
        <v>-</v>
      </c>
      <c r="Q1252" s="37"/>
      <c r="R1252" s="285">
        <f>IF(Preencher!$A$15=Preencher!$R$28,0,IF(Preencher!$A$15=Preencher!$R$29,Preencher!$C$15,Preencher!$D$15))</f>
        <v>0.33</v>
      </c>
    </row>
    <row r="1253" spans="1:18">
      <c r="A1253" s="265" t="s">
        <v>227</v>
      </c>
      <c r="B1253" s="284"/>
      <c r="C1253" s="251" t="str">
        <f>IF(B1253=0,"-",3600/B1253)</f>
        <v>-</v>
      </c>
      <c r="D1253" s="259" t="str">
        <f>IFERROR((H1253/C1253),"-")</f>
        <v>-</v>
      </c>
      <c r="E1253" s="251">
        <f>IFERROR(ROUNDUP(D1253/0.95,0.999),0)</f>
        <v>0</v>
      </c>
      <c r="F1253" s="252" t="str">
        <f>IFERROR((H1253/C1253/E1253),"-")</f>
        <v>-</v>
      </c>
      <c r="G1253" s="37"/>
      <c r="H1253" s="285"/>
      <c r="I1253" s="259" t="str">
        <f>IFERROR((M1253/C1253),"-")</f>
        <v>-</v>
      </c>
      <c r="J1253" s="251">
        <f>IFERROR(ROUNDUP(I1253/0.95,0.999),0)</f>
        <v>0</v>
      </c>
      <c r="K1253" s="252" t="str">
        <f>IFERROR((M1253/C1253/J1253),"-")</f>
        <v>-</v>
      </c>
      <c r="L1253" s="37"/>
      <c r="M1253" s="285"/>
      <c r="N1253" s="259" t="str">
        <f>IFERROR((R1253/C1253),"-")</f>
        <v>-</v>
      </c>
      <c r="O1253" s="251">
        <f>IFERROR(ROUNDUP(N1253/0.95,0.999),0)</f>
        <v>0</v>
      </c>
      <c r="P1253" s="252" t="str">
        <f>IFERROR((R1253/C1253/O1253),"-")</f>
        <v>-</v>
      </c>
      <c r="Q1253" s="37"/>
      <c r="R1253" s="285"/>
    </row>
    <row r="1254" spans="1:18">
      <c r="A1254" s="265"/>
      <c r="B1254" s="286"/>
      <c r="C1254" s="37"/>
      <c r="D1254" s="37"/>
      <c r="E1254" s="37"/>
      <c r="F1254" s="37"/>
      <c r="G1254" s="37"/>
      <c r="H1254" s="287"/>
      <c r="I1254" s="37"/>
      <c r="J1254" s="37"/>
      <c r="K1254" s="37"/>
      <c r="L1254" s="37"/>
      <c r="M1254" s="287"/>
      <c r="N1254" s="37"/>
      <c r="O1254" s="37"/>
      <c r="P1254" s="37"/>
      <c r="Q1254" s="37"/>
      <c r="R1254" s="287"/>
    </row>
    <row r="1255" spans="1:18">
      <c r="A1255" s="270" t="s">
        <v>723</v>
      </c>
      <c r="B1255" s="291"/>
      <c r="C1255" s="39"/>
      <c r="D1255" s="39"/>
      <c r="E1255" s="39"/>
      <c r="F1255" s="39"/>
      <c r="G1255" s="39"/>
      <c r="H1255" s="292"/>
      <c r="I1255" s="39"/>
      <c r="J1255" s="39"/>
      <c r="K1255" s="39"/>
      <c r="L1255" s="39"/>
      <c r="M1255" s="292"/>
      <c r="N1255" s="39"/>
      <c r="O1255" s="39"/>
      <c r="P1255" s="39"/>
      <c r="Q1255" s="39"/>
      <c r="R1255" s="292"/>
    </row>
    <row r="1256" spans="1:18">
      <c r="A1256" s="265"/>
      <c r="B1256" s="286"/>
      <c r="C1256" s="37"/>
      <c r="D1256" s="37"/>
      <c r="E1256" s="37"/>
      <c r="F1256" s="37"/>
      <c r="G1256" s="37"/>
      <c r="H1256" s="287"/>
      <c r="I1256" s="37"/>
      <c r="J1256" s="37"/>
      <c r="K1256" s="37"/>
      <c r="L1256" s="37"/>
      <c r="M1256" s="287"/>
      <c r="N1256" s="37"/>
      <c r="O1256" s="37"/>
      <c r="P1256" s="37"/>
      <c r="Q1256" s="37"/>
      <c r="R1256" s="287"/>
    </row>
    <row r="1257" spans="1:18">
      <c r="A1257" s="265"/>
      <c r="B1257" s="286"/>
      <c r="C1257" s="37"/>
      <c r="D1257" s="37"/>
      <c r="E1257" s="37"/>
      <c r="F1257" s="37"/>
      <c r="G1257" s="37"/>
      <c r="H1257" s="287"/>
      <c r="I1257" s="37"/>
      <c r="J1257" s="37"/>
      <c r="K1257" s="37"/>
      <c r="L1257" s="37"/>
      <c r="M1257" s="287"/>
      <c r="N1257" s="37"/>
      <c r="O1257" s="37"/>
      <c r="P1257" s="37"/>
      <c r="Q1257" s="37"/>
      <c r="R1257" s="287"/>
    </row>
    <row r="1258" spans="1:18">
      <c r="A1258" s="265"/>
      <c r="B1258" s="286"/>
      <c r="C1258" s="37"/>
      <c r="D1258" s="37"/>
      <c r="E1258" s="37"/>
      <c r="F1258" s="37"/>
      <c r="G1258" s="37"/>
      <c r="H1258" s="287"/>
      <c r="I1258" s="37"/>
      <c r="J1258" s="37"/>
      <c r="K1258" s="37"/>
      <c r="L1258" s="37"/>
      <c r="M1258" s="287"/>
      <c r="N1258" s="37"/>
      <c r="O1258" s="37"/>
      <c r="P1258" s="37"/>
      <c r="Q1258" s="37"/>
      <c r="R1258" s="287"/>
    </row>
    <row r="1259" spans="1:18">
      <c r="A1259" s="265"/>
      <c r="B1259" s="286"/>
      <c r="C1259" s="37"/>
      <c r="D1259" s="37"/>
      <c r="E1259" s="37"/>
      <c r="F1259" s="37"/>
      <c r="G1259" s="37"/>
      <c r="H1259" s="287"/>
      <c r="I1259" s="37"/>
      <c r="J1259" s="37"/>
      <c r="K1259" s="37"/>
      <c r="L1259" s="37"/>
      <c r="M1259" s="287"/>
      <c r="N1259" s="37"/>
      <c r="O1259" s="37"/>
      <c r="P1259" s="37"/>
      <c r="Q1259" s="37"/>
      <c r="R1259" s="287"/>
    </row>
    <row r="1260" spans="1:18">
      <c r="A1260" s="265"/>
      <c r="B1260" s="286"/>
      <c r="C1260" s="37"/>
      <c r="D1260" s="37"/>
      <c r="E1260" s="37"/>
      <c r="F1260" s="37"/>
      <c r="G1260" s="37"/>
      <c r="H1260" s="287"/>
      <c r="I1260" s="37"/>
      <c r="J1260" s="37"/>
      <c r="K1260" s="37"/>
      <c r="L1260" s="37"/>
      <c r="M1260" s="287"/>
      <c r="N1260" s="37"/>
      <c r="O1260" s="37"/>
      <c r="P1260" s="37"/>
      <c r="Q1260" s="37"/>
      <c r="R1260" s="287"/>
    </row>
    <row r="1261" spans="1:18">
      <c r="A1261" s="265"/>
      <c r="B1261" s="286"/>
      <c r="C1261" s="37"/>
      <c r="D1261" s="37"/>
      <c r="E1261" s="37"/>
      <c r="F1261" s="37"/>
      <c r="G1261" s="37"/>
      <c r="H1261" s="287"/>
      <c r="I1261" s="37"/>
      <c r="J1261" s="37"/>
      <c r="K1261" s="37"/>
      <c r="L1261" s="37"/>
      <c r="M1261" s="287"/>
      <c r="N1261" s="37"/>
      <c r="O1261" s="37"/>
      <c r="P1261" s="37"/>
      <c r="Q1261" s="37"/>
      <c r="R1261" s="287"/>
    </row>
    <row r="1262" spans="1:18">
      <c r="A1262" s="263" t="s">
        <v>262</v>
      </c>
      <c r="B1262" s="280"/>
      <c r="C1262" s="35"/>
      <c r="D1262" s="35"/>
      <c r="E1262" s="35"/>
      <c r="F1262" s="35"/>
      <c r="G1262" s="35"/>
      <c r="H1262" s="281"/>
      <c r="I1262" s="35"/>
      <c r="J1262" s="35"/>
      <c r="K1262" s="35"/>
      <c r="L1262" s="35"/>
      <c r="M1262" s="281"/>
      <c r="N1262" s="35"/>
      <c r="O1262" s="35"/>
      <c r="P1262" s="35"/>
      <c r="Q1262" s="35"/>
      <c r="R1262" s="281"/>
    </row>
    <row r="1263" spans="1:18">
      <c r="A1263" s="265" t="s">
        <v>228</v>
      </c>
      <c r="B1263" s="284">
        <f>IF(Preencher!B498="Sim",2.6+1,0)</f>
        <v>3.6</v>
      </c>
      <c r="C1263" s="251">
        <f t="shared" ref="C1263:C1285" si="542">IF(B1263=0,"-",3600/B1263)</f>
        <v>1000</v>
      </c>
      <c r="D1263" s="259">
        <f t="shared" ref="D1263:D1273" si="543">IFERROR((H1263/C1263),"-")</f>
        <v>0.56548203416453979</v>
      </c>
      <c r="E1263" s="251">
        <f t="shared" ref="E1263:E1285" si="544">IFERROR(ROUNDUP(D1263/0.95,0.999),0)</f>
        <v>1</v>
      </c>
      <c r="F1263" s="252">
        <f t="shared" ref="F1263:F1273" si="545">IFERROR((H1263/C1263/E1263),"-")</f>
        <v>0.56548203416453979</v>
      </c>
      <c r="G1263" s="37"/>
      <c r="H1263" s="285">
        <f>Preencher!$B$491+Preencher!$B$492</f>
        <v>565.48203416453975</v>
      </c>
      <c r="I1263" s="259">
        <f t="shared" ref="I1263:I1286" si="546">IFERROR((M1263/C1263),"-")</f>
        <v>0.56548203416453979</v>
      </c>
      <c r="J1263" s="251">
        <f t="shared" ref="J1263:J1285" si="547">IFERROR(ROUNDUP(I1263/0.95,0.999),0)</f>
        <v>1</v>
      </c>
      <c r="K1263" s="252">
        <f t="shared" ref="K1263:K1286" si="548">IFERROR((M1263/C1263/J1263),"-")</f>
        <v>0.56548203416453979</v>
      </c>
      <c r="L1263" s="37"/>
      <c r="M1263" s="285">
        <f>Preencher!$B$491+Preencher!$B$492</f>
        <v>565.48203416453975</v>
      </c>
      <c r="N1263" s="259">
        <f t="shared" ref="N1263:N1286" si="549">IFERROR((R1263/C1263),"-")</f>
        <v>0</v>
      </c>
      <c r="O1263" s="251">
        <f t="shared" ref="O1263:O1285" si="550">IFERROR(ROUNDUP(N1263/0.95,0.999),0)</f>
        <v>0</v>
      </c>
      <c r="P1263" s="252" t="str">
        <f t="shared" ref="P1263:P1286" si="551">IFERROR((R1263/C1263/O1263),"-")</f>
        <v>-</v>
      </c>
      <c r="Q1263" s="37"/>
      <c r="R1263" s="285">
        <f>Preencher!$D$491+Preencher!$D$492</f>
        <v>0</v>
      </c>
    </row>
    <row r="1264" spans="1:18">
      <c r="A1264" s="265" t="s">
        <v>229</v>
      </c>
      <c r="B1264" s="284">
        <f>IF(Preencher!$B$499="Cx Papelão",3.325,5.325-5.325)</f>
        <v>0</v>
      </c>
      <c r="C1264" s="251" t="str">
        <f t="shared" si="542"/>
        <v>-</v>
      </c>
      <c r="D1264" s="259" t="str">
        <f t="shared" si="543"/>
        <v>-</v>
      </c>
      <c r="E1264" s="251">
        <f t="shared" si="544"/>
        <v>0</v>
      </c>
      <c r="F1264" s="252" t="str">
        <f t="shared" si="545"/>
        <v>-</v>
      </c>
      <c r="G1264" s="37"/>
      <c r="H1264" s="285">
        <f>Preencher!$B$491+Preencher!$B$492</f>
        <v>565.48203416453975</v>
      </c>
      <c r="I1264" s="259" t="str">
        <f t="shared" si="546"/>
        <v>-</v>
      </c>
      <c r="J1264" s="251">
        <f t="shared" si="547"/>
        <v>0</v>
      </c>
      <c r="K1264" s="252" t="str">
        <f t="shared" si="548"/>
        <v>-</v>
      </c>
      <c r="L1264" s="37"/>
      <c r="M1264" s="285">
        <f>Preencher!$B$491+Preencher!$B$492</f>
        <v>565.48203416453975</v>
      </c>
      <c r="N1264" s="259" t="str">
        <f t="shared" si="549"/>
        <v>-</v>
      </c>
      <c r="O1264" s="251">
        <f t="shared" si="550"/>
        <v>0</v>
      </c>
      <c r="P1264" s="252" t="str">
        <f t="shared" si="551"/>
        <v>-</v>
      </c>
      <c r="Q1264" s="37"/>
      <c r="R1264" s="285">
        <f>Preencher!$D$491+Preencher!$D$492</f>
        <v>0</v>
      </c>
    </row>
    <row r="1265" spans="1:18">
      <c r="A1265" s="265" t="s">
        <v>230</v>
      </c>
      <c r="B1265" s="284">
        <f>IF(Preencher!$B$499="Cx Papelão",0,0)</f>
        <v>0</v>
      </c>
      <c r="C1265" s="251" t="str">
        <f t="shared" si="542"/>
        <v>-</v>
      </c>
      <c r="D1265" s="259" t="str">
        <f t="shared" si="543"/>
        <v>-</v>
      </c>
      <c r="E1265" s="251">
        <f t="shared" si="544"/>
        <v>0</v>
      </c>
      <c r="F1265" s="252" t="str">
        <f t="shared" si="545"/>
        <v>-</v>
      </c>
      <c r="G1265" s="37"/>
      <c r="H1265" s="285">
        <f>Preencher!$B$491+Preencher!$B$492</f>
        <v>565.48203416453975</v>
      </c>
      <c r="I1265" s="259" t="str">
        <f t="shared" si="546"/>
        <v>-</v>
      </c>
      <c r="J1265" s="251">
        <f t="shared" si="547"/>
        <v>0</v>
      </c>
      <c r="K1265" s="252" t="str">
        <f t="shared" si="548"/>
        <v>-</v>
      </c>
      <c r="L1265" s="37"/>
      <c r="M1265" s="285">
        <f>Preencher!$C$491+Preencher!$C$492</f>
        <v>0</v>
      </c>
      <c r="N1265" s="259" t="str">
        <f t="shared" si="549"/>
        <v>-</v>
      </c>
      <c r="O1265" s="251">
        <f t="shared" si="550"/>
        <v>0</v>
      </c>
      <c r="P1265" s="252" t="str">
        <f t="shared" si="551"/>
        <v>-</v>
      </c>
      <c r="Q1265" s="37"/>
      <c r="R1265" s="285">
        <f>Preencher!$D$491+Preencher!$D$492</f>
        <v>0</v>
      </c>
    </row>
    <row r="1266" spans="1:18">
      <c r="A1266" s="265" t="s">
        <v>231</v>
      </c>
      <c r="B1266" s="284">
        <f>IF(Preencher!$B$499="Cx Papelão",1.25,6.65)</f>
        <v>6.65</v>
      </c>
      <c r="C1266" s="251">
        <f>IF(B1266=0,"-",3600/B1266)</f>
        <v>541.35338345864659</v>
      </c>
      <c r="D1266" s="259">
        <f t="shared" si="543"/>
        <v>1.0445709797761638</v>
      </c>
      <c r="E1266" s="251">
        <f t="shared" si="544"/>
        <v>2</v>
      </c>
      <c r="F1266" s="252">
        <f t="shared" si="545"/>
        <v>0.52228548988808188</v>
      </c>
      <c r="G1266" s="37"/>
      <c r="H1266" s="285">
        <f>Preencher!$B$491+Preencher!$B$492</f>
        <v>565.48203416453975</v>
      </c>
      <c r="I1266" s="259">
        <f t="shared" si="546"/>
        <v>0</v>
      </c>
      <c r="J1266" s="251">
        <f t="shared" si="547"/>
        <v>0</v>
      </c>
      <c r="K1266" s="252" t="str">
        <f t="shared" si="548"/>
        <v>-</v>
      </c>
      <c r="L1266" s="37"/>
      <c r="M1266" s="285">
        <f>Preencher!$C$491+Preencher!$C$492</f>
        <v>0</v>
      </c>
      <c r="N1266" s="259">
        <f t="shared" si="549"/>
        <v>0</v>
      </c>
      <c r="O1266" s="251">
        <f t="shared" si="550"/>
        <v>0</v>
      </c>
      <c r="P1266" s="252" t="str">
        <f t="shared" si="551"/>
        <v>-</v>
      </c>
      <c r="Q1266" s="37"/>
      <c r="R1266" s="285">
        <f>Preencher!$D$491+Preencher!$D$492</f>
        <v>0</v>
      </c>
    </row>
    <row r="1267" spans="1:18">
      <c r="A1267" s="265" t="s">
        <v>232</v>
      </c>
      <c r="B1267" s="284">
        <v>0</v>
      </c>
      <c r="C1267" s="251" t="str">
        <f t="shared" si="542"/>
        <v>-</v>
      </c>
      <c r="D1267" s="259" t="str">
        <f t="shared" si="543"/>
        <v>-</v>
      </c>
      <c r="E1267" s="251">
        <f t="shared" si="544"/>
        <v>0</v>
      </c>
      <c r="F1267" s="252" t="str">
        <f t="shared" si="545"/>
        <v>-</v>
      </c>
      <c r="G1267" s="37"/>
      <c r="H1267" s="285">
        <f>Preencher!$B$493+H1266</f>
        <v>565.48203416453975</v>
      </c>
      <c r="I1267" s="259" t="str">
        <f t="shared" si="546"/>
        <v>-</v>
      </c>
      <c r="J1267" s="251">
        <f t="shared" si="547"/>
        <v>0</v>
      </c>
      <c r="K1267" s="252" t="str">
        <f t="shared" si="548"/>
        <v>-</v>
      </c>
      <c r="L1267" s="37"/>
      <c r="M1267" s="285">
        <f>Preencher!$C$493+M1266</f>
        <v>0</v>
      </c>
      <c r="N1267" s="259" t="str">
        <f t="shared" si="549"/>
        <v>-</v>
      </c>
      <c r="O1267" s="251">
        <f t="shared" si="550"/>
        <v>0</v>
      </c>
      <c r="P1267" s="252" t="str">
        <f t="shared" si="551"/>
        <v>-</v>
      </c>
      <c r="Q1267" s="37"/>
      <c r="R1267" s="285">
        <f>Preencher!$C$493+R1266</f>
        <v>0</v>
      </c>
    </row>
    <row r="1268" spans="1:18">
      <c r="A1268" s="265" t="s">
        <v>146</v>
      </c>
      <c r="B1268" s="284">
        <f>(1.2)*Preencher!B495</f>
        <v>1.2</v>
      </c>
      <c r="C1268" s="251">
        <f t="shared" si="542"/>
        <v>3000</v>
      </c>
      <c r="D1268" s="259">
        <f t="shared" si="543"/>
        <v>0.18849401138817992</v>
      </c>
      <c r="E1268" s="251">
        <f>IFERROR(ROUNDUP(D1268/0.95,0.999),0)</f>
        <v>1</v>
      </c>
      <c r="F1268" s="252">
        <f t="shared" si="545"/>
        <v>0.18849401138817992</v>
      </c>
      <c r="G1268" s="37"/>
      <c r="H1268" s="285">
        <f>Preencher!$B$491+Preencher!$B$492</f>
        <v>565.48203416453975</v>
      </c>
      <c r="I1268" s="259">
        <f t="shared" si="546"/>
        <v>0</v>
      </c>
      <c r="J1268" s="251">
        <f t="shared" si="547"/>
        <v>0</v>
      </c>
      <c r="K1268" s="252" t="str">
        <f t="shared" si="548"/>
        <v>-</v>
      </c>
      <c r="L1268" s="37"/>
      <c r="M1268" s="285">
        <f>Preencher!$C$491+Preencher!$C$492</f>
        <v>0</v>
      </c>
      <c r="N1268" s="259">
        <f t="shared" si="549"/>
        <v>0</v>
      </c>
      <c r="O1268" s="251">
        <f t="shared" si="550"/>
        <v>0</v>
      </c>
      <c r="P1268" s="252" t="str">
        <f t="shared" si="551"/>
        <v>-</v>
      </c>
      <c r="Q1268" s="37"/>
      <c r="R1268" s="285">
        <f>Preencher!$D$491+Preencher!$D$492</f>
        <v>0</v>
      </c>
    </row>
    <row r="1269" spans="1:18">
      <c r="A1269" s="276" t="s">
        <v>147</v>
      </c>
      <c r="B1269" s="284">
        <f>17.571+12</f>
        <v>29.571000000000002</v>
      </c>
      <c r="C1269" s="251">
        <f t="shared" si="542"/>
        <v>121.74089479557674</v>
      </c>
      <c r="D1269" s="259">
        <f t="shared" si="543"/>
        <v>3.1283651673723929</v>
      </c>
      <c r="E1269" s="251">
        <f t="shared" si="544"/>
        <v>4</v>
      </c>
      <c r="F1269" s="252">
        <f t="shared" si="545"/>
        <v>0.78209129184309822</v>
      </c>
      <c r="G1269" s="37"/>
      <c r="H1269" s="285">
        <f>Preencher!$B$491</f>
        <v>380.84997472322931</v>
      </c>
      <c r="I1269" s="259">
        <f t="shared" si="546"/>
        <v>0</v>
      </c>
      <c r="J1269" s="251">
        <f t="shared" si="547"/>
        <v>0</v>
      </c>
      <c r="K1269" s="252" t="str">
        <f t="shared" si="548"/>
        <v>-</v>
      </c>
      <c r="L1269" s="37"/>
      <c r="M1269" s="285">
        <f>Preencher!$C$491</f>
        <v>0</v>
      </c>
      <c r="N1269" s="259">
        <f t="shared" si="549"/>
        <v>0</v>
      </c>
      <c r="O1269" s="251">
        <f t="shared" si="550"/>
        <v>0</v>
      </c>
      <c r="P1269" s="252" t="str">
        <f t="shared" si="551"/>
        <v>-</v>
      </c>
      <c r="Q1269" s="37"/>
      <c r="R1269" s="285">
        <v>0</v>
      </c>
    </row>
    <row r="1270" spans="1:18">
      <c r="A1270" s="265" t="s">
        <v>233</v>
      </c>
      <c r="B1270" s="284">
        <v>0</v>
      </c>
      <c r="C1270" s="251" t="str">
        <f t="shared" si="542"/>
        <v>-</v>
      </c>
      <c r="D1270" s="259" t="str">
        <f t="shared" si="543"/>
        <v>-</v>
      </c>
      <c r="E1270" s="251">
        <f>IFERROR(ROUNDUP(D1270/0.95,0.999),0)</f>
        <v>0</v>
      </c>
      <c r="F1270" s="252" t="str">
        <f t="shared" si="545"/>
        <v>-</v>
      </c>
      <c r="G1270" s="37"/>
      <c r="H1270" s="285">
        <f>IF(Preencher!$B$491+Preencher!$B$492&gt;0,1,0)</f>
        <v>1</v>
      </c>
      <c r="I1270" s="259" t="str">
        <f t="shared" si="546"/>
        <v>-</v>
      </c>
      <c r="J1270" s="251">
        <f t="shared" si="547"/>
        <v>0</v>
      </c>
      <c r="K1270" s="252" t="str">
        <f t="shared" si="548"/>
        <v>-</v>
      </c>
      <c r="L1270" s="37"/>
      <c r="M1270" s="285">
        <f>IF(Preencher!$C$491+Preencher!$C$492&gt;0,1,0)</f>
        <v>0</v>
      </c>
      <c r="N1270" s="259" t="str">
        <f t="shared" si="549"/>
        <v>-</v>
      </c>
      <c r="O1270" s="251">
        <f t="shared" si="550"/>
        <v>0</v>
      </c>
      <c r="P1270" s="252" t="str">
        <f t="shared" si="551"/>
        <v>-</v>
      </c>
      <c r="Q1270" s="37"/>
      <c r="R1270" s="285">
        <f>IF(Preencher!$D$491+Preencher!$D$492&gt;0,1,0)</f>
        <v>0</v>
      </c>
    </row>
    <row r="1271" spans="1:18">
      <c r="A1271" s="265" t="s">
        <v>696</v>
      </c>
      <c r="B1271" s="284">
        <f>0</f>
        <v>0</v>
      </c>
      <c r="C1271" s="251" t="str">
        <f t="shared" si="542"/>
        <v>-</v>
      </c>
      <c r="D1271" s="259" t="str">
        <f t="shared" si="543"/>
        <v>-</v>
      </c>
      <c r="E1271" s="712">
        <f>IFERROR(ROUNDUP(D1271/0.95,0.999),0)</f>
        <v>0</v>
      </c>
      <c r="F1271" s="711" t="str">
        <f>IFERROR((H1271/C1271/E1271),"-")</f>
        <v>-</v>
      </c>
      <c r="G1271" s="37"/>
      <c r="H1271" s="285">
        <f>Preencher!$B$492</f>
        <v>184.63205944131039</v>
      </c>
      <c r="I1271" s="259" t="str">
        <f t="shared" si="546"/>
        <v>-</v>
      </c>
      <c r="J1271" s="712">
        <f>IFERROR(ROUNDUP(I1271/0.95,0.999),0)</f>
        <v>0</v>
      </c>
      <c r="K1271" s="711" t="str">
        <f>IFERROR((M1271/C1271/J1271),"-")</f>
        <v>-</v>
      </c>
      <c r="L1271" s="37"/>
      <c r="M1271" s="285">
        <f>Preencher!$C$492</f>
        <v>0</v>
      </c>
      <c r="N1271" s="259" t="str">
        <f t="shared" si="549"/>
        <v>-</v>
      </c>
      <c r="O1271" s="251">
        <f t="shared" si="550"/>
        <v>0</v>
      </c>
      <c r="P1271" s="252" t="str">
        <f t="shared" si="551"/>
        <v>-</v>
      </c>
      <c r="Q1271" s="37"/>
      <c r="R1271" s="285">
        <f>Preencher!$D$492</f>
        <v>0</v>
      </c>
    </row>
    <row r="1272" spans="1:18">
      <c r="A1272" s="265" t="s">
        <v>148</v>
      </c>
      <c r="B1272" s="284">
        <v>0</v>
      </c>
      <c r="C1272" s="721" t="str">
        <f>IF(B1272=0,"-",3600/B1272)</f>
        <v>-</v>
      </c>
      <c r="D1272" s="259" t="str">
        <f>IFERROR((H1272/C1272),"-")</f>
        <v>-</v>
      </c>
      <c r="E1272" s="721">
        <f>IFERROR(ROUNDUP(D1272/0.95,0.999),0)</f>
        <v>0</v>
      </c>
      <c r="F1272" s="722" t="str">
        <f>IFERROR((H1272/C1272/E1272),"-")</f>
        <v>-</v>
      </c>
      <c r="G1272" s="37"/>
      <c r="H1272" s="285">
        <f>Preencher!$B$493+H1271</f>
        <v>184.63205944131039</v>
      </c>
      <c r="I1272" s="259" t="str">
        <f>IFERROR((M1272/C1272),"-")</f>
        <v>-</v>
      </c>
      <c r="J1272" s="721">
        <f>IFERROR(ROUNDUP(I1272/0.95,0.999),0)</f>
        <v>0</v>
      </c>
      <c r="K1272" s="722" t="str">
        <f>IFERROR((M1272/C1272/J1272),"-")</f>
        <v>-</v>
      </c>
      <c r="L1272" s="37"/>
      <c r="M1272" s="285">
        <f>Preencher!$C$493+M1271</f>
        <v>0</v>
      </c>
      <c r="N1272" s="259" t="str">
        <f>IFERROR((R1272/C1272),"-")</f>
        <v>-</v>
      </c>
      <c r="O1272" s="721">
        <f>IFERROR(ROUNDUP(N1272/0.95,0.999),0)</f>
        <v>0</v>
      </c>
      <c r="P1272" s="722" t="str">
        <f>IFERROR((R1272/C1272/O1272),"-")</f>
        <v>-</v>
      </c>
      <c r="Q1272" s="37"/>
      <c r="R1272" s="285">
        <f>Preencher!$C$493+R1271</f>
        <v>0</v>
      </c>
    </row>
    <row r="1273" spans="1:18">
      <c r="A1273" s="265" t="s">
        <v>149</v>
      </c>
      <c r="B1273" s="284">
        <f>72+72+72</f>
        <v>216</v>
      </c>
      <c r="C1273" s="251">
        <f>IF(B1273=0,"-",3600/B1273)</f>
        <v>16.666666666666668</v>
      </c>
      <c r="D1273" s="259">
        <f t="shared" si="543"/>
        <v>0.6168894918158615</v>
      </c>
      <c r="E1273" s="251">
        <f t="shared" si="544"/>
        <v>1</v>
      </c>
      <c r="F1273" s="252">
        <f t="shared" si="545"/>
        <v>0.6168894918158615</v>
      </c>
      <c r="G1273" s="37"/>
      <c r="H1273" s="285">
        <f>Preencher!$B$494</f>
        <v>10.281491530264359</v>
      </c>
      <c r="I1273" s="259">
        <f t="shared" si="546"/>
        <v>0</v>
      </c>
      <c r="J1273" s="251">
        <f t="shared" si="547"/>
        <v>0</v>
      </c>
      <c r="K1273" s="252" t="str">
        <f t="shared" si="548"/>
        <v>-</v>
      </c>
      <c r="L1273" s="37"/>
      <c r="M1273" s="285">
        <f>Preencher!$C$494</f>
        <v>0</v>
      </c>
      <c r="N1273" s="259">
        <f t="shared" si="549"/>
        <v>0</v>
      </c>
      <c r="O1273" s="251">
        <f t="shared" si="550"/>
        <v>0</v>
      </c>
      <c r="P1273" s="252" t="str">
        <f t="shared" si="551"/>
        <v>-</v>
      </c>
      <c r="Q1273" s="37"/>
      <c r="R1273" s="285">
        <f>Preencher!$D$494</f>
        <v>0</v>
      </c>
    </row>
    <row r="1274" spans="1:18">
      <c r="A1274" s="265" t="s">
        <v>150</v>
      </c>
      <c r="B1274" s="284"/>
      <c r="C1274" s="251"/>
      <c r="D1274" s="259"/>
      <c r="E1274" s="632">
        <f>IFERROR(ROUNDUP(SUM(D1275:D1276)/0.95,0.999),0)</f>
        <v>1</v>
      </c>
      <c r="F1274" s="631">
        <f>IFERROR((SUM(D1275:D1276)/E1274),0)</f>
        <v>0.48213040532443185</v>
      </c>
      <c r="G1274" s="37"/>
      <c r="H1274" s="285"/>
      <c r="I1274" s="259"/>
      <c r="J1274" s="632">
        <f>IFERROR(ROUNDUP(SUM(I1275:I1276)/0.95,0.999),0)</f>
        <v>0</v>
      </c>
      <c r="K1274" s="631">
        <f>IFERROR((SUM(I1275:I1276)/J1274),0)</f>
        <v>0</v>
      </c>
      <c r="L1274" s="37"/>
      <c r="M1274" s="285"/>
      <c r="N1274" s="259"/>
      <c r="O1274" s="632">
        <f>IFERROR(ROUNDUP(SUM(N1275:N1276)/0.95,0.999),0)</f>
        <v>0</v>
      </c>
      <c r="P1274" s="631">
        <f>IFERROR((SUM(N1275:N1276)/O1274),0)</f>
        <v>0</v>
      </c>
      <c r="Q1274" s="37"/>
      <c r="R1274" s="285"/>
    </row>
    <row r="1275" spans="1:18">
      <c r="A1275" s="200" t="s">
        <v>150</v>
      </c>
      <c r="B1275" s="284">
        <f>IF(MEDIAN($H$1273+$M$1273+$R$1273)&lt;10,0,132+20)</f>
        <v>152</v>
      </c>
      <c r="C1275" s="632">
        <f>IF(B1275=0,"-",3600/B1275)</f>
        <v>23.684210526315791</v>
      </c>
      <c r="D1275" s="259">
        <f t="shared" ref="D1275:D1285" si="552">IFERROR((H1275/C1275),"-")</f>
        <v>0.29236967756530735</v>
      </c>
      <c r="E1275" s="632">
        <f>IFERROR(ROUNDUP(D1275/0.95,0.999),0)</f>
        <v>1</v>
      </c>
      <c r="F1275" s="631">
        <f t="shared" ref="F1275:F1286" si="553">IFERROR((H1275/C1275/E1275),"-")</f>
        <v>0.29236967756530735</v>
      </c>
      <c r="G1275" s="37"/>
      <c r="H1275" s="285">
        <f>Preencher!$B$491/55</f>
        <v>6.924544994967806</v>
      </c>
      <c r="I1275" s="259">
        <f>IFERROR((M1275/C1275),"-")</f>
        <v>0</v>
      </c>
      <c r="J1275" s="632">
        <f>IFERROR(ROUNDUP(I1275/0.95,0.999),0)</f>
        <v>0</v>
      </c>
      <c r="K1275" s="631" t="str">
        <f>IFERROR((M1275/C1275/J1275),"-")</f>
        <v>-</v>
      </c>
      <c r="L1275" s="37"/>
      <c r="M1275" s="285">
        <f>Preencher!$C$491/55</f>
        <v>0</v>
      </c>
      <c r="N1275" s="259">
        <f>IFERROR((R1275/C1275),"-")</f>
        <v>0</v>
      </c>
      <c r="O1275" s="632">
        <f>IFERROR(ROUNDUP(N1275/0.95,0.999),0)</f>
        <v>0</v>
      </c>
      <c r="P1275" s="631" t="str">
        <f>IFERROR((R1275/C1275/O1275),"-")</f>
        <v>-</v>
      </c>
      <c r="Q1275" s="37"/>
      <c r="R1275" s="285">
        <f>Preencher!$D$491/55+(R1096/55)</f>
        <v>0</v>
      </c>
    </row>
    <row r="1276" spans="1:18">
      <c r="A1276" s="200" t="s">
        <v>2299</v>
      </c>
      <c r="B1276" s="284">
        <f>IF(MEDIAN($H$1273+$M$1273+$R$1273)&lt;10,0,152+70)</f>
        <v>222</v>
      </c>
      <c r="C1276" s="632">
        <f>IF(B1276=0,"-",3600/B1276)</f>
        <v>16.216216216216218</v>
      </c>
      <c r="D1276" s="259">
        <f t="shared" si="552"/>
        <v>0.18976072775912453</v>
      </c>
      <c r="E1276" s="632">
        <f>IFERROR(ROUNDUP(D1276/0.95,0.999),0)</f>
        <v>1</v>
      </c>
      <c r="F1276" s="631">
        <f t="shared" si="553"/>
        <v>0.18976072775912453</v>
      </c>
      <c r="G1276" s="37"/>
      <c r="H1276" s="285">
        <f>Preencher!$B$492/60</f>
        <v>3.0772009906885063</v>
      </c>
      <c r="I1276" s="259">
        <f>IFERROR((M1276/C1276),"-")</f>
        <v>0</v>
      </c>
      <c r="J1276" s="632">
        <f>IFERROR(ROUNDUP(I1276/0.95,0.999),0)</f>
        <v>0</v>
      </c>
      <c r="K1276" s="631" t="str">
        <f>IFERROR((M1276/C1276/J1276),"-")</f>
        <v>-</v>
      </c>
      <c r="L1276" s="37"/>
      <c r="M1276" s="285">
        <f>Preencher!$C$492/60</f>
        <v>0</v>
      </c>
      <c r="N1276" s="259">
        <f>IFERROR((R1276/C1276),"-")</f>
        <v>0</v>
      </c>
      <c r="O1276" s="632">
        <f>IFERROR(ROUNDUP(N1276/0.95,0.999),0)</f>
        <v>0</v>
      </c>
      <c r="P1276" s="631" t="str">
        <f>IFERROR((R1276/C1276/O1276),"-")</f>
        <v>-</v>
      </c>
      <c r="Q1276" s="37"/>
      <c r="R1276" s="285">
        <f>Preencher!$D$492/60</f>
        <v>0</v>
      </c>
    </row>
    <row r="1277" spans="1:18">
      <c r="A1277" s="265" t="s">
        <v>71</v>
      </c>
      <c r="B1277" s="284"/>
      <c r="C1277" s="251" t="str">
        <f t="shared" si="542"/>
        <v>-</v>
      </c>
      <c r="D1277" s="259" t="str">
        <f t="shared" si="552"/>
        <v>-</v>
      </c>
      <c r="E1277" s="251">
        <f t="shared" si="544"/>
        <v>0</v>
      </c>
      <c r="F1277" s="252" t="str">
        <f t="shared" si="553"/>
        <v>-</v>
      </c>
      <c r="G1277" s="37"/>
      <c r="H1277" s="285"/>
      <c r="I1277" s="259" t="str">
        <f t="shared" si="546"/>
        <v>-</v>
      </c>
      <c r="J1277" s="251">
        <f t="shared" si="547"/>
        <v>0</v>
      </c>
      <c r="K1277" s="252" t="str">
        <f t="shared" si="548"/>
        <v>-</v>
      </c>
      <c r="L1277" s="37"/>
      <c r="M1277" s="285"/>
      <c r="N1277" s="259" t="str">
        <f t="shared" si="549"/>
        <v>-</v>
      </c>
      <c r="O1277" s="251">
        <f t="shared" si="550"/>
        <v>0</v>
      </c>
      <c r="P1277" s="252" t="str">
        <f t="shared" si="551"/>
        <v>-</v>
      </c>
      <c r="Q1277" s="37"/>
      <c r="R1277" s="285"/>
    </row>
    <row r="1278" spans="1:18">
      <c r="A1278" s="265" t="s">
        <v>151</v>
      </c>
      <c r="B1278" s="284">
        <f>IF(Preencher!$B$499="Cx Papelão",0,1.5-1.5)</f>
        <v>0</v>
      </c>
      <c r="C1278" s="251" t="str">
        <f t="shared" si="542"/>
        <v>-</v>
      </c>
      <c r="D1278" s="259" t="str">
        <f t="shared" si="552"/>
        <v>-</v>
      </c>
      <c r="E1278" s="251">
        <f t="shared" si="544"/>
        <v>0</v>
      </c>
      <c r="F1278" s="252" t="str">
        <f t="shared" si="553"/>
        <v>-</v>
      </c>
      <c r="G1278" s="37"/>
      <c r="H1278" s="285">
        <f>Preencher!$B$491+Preencher!$B$492</f>
        <v>565.48203416453975</v>
      </c>
      <c r="I1278" s="259" t="str">
        <f t="shared" si="546"/>
        <v>-</v>
      </c>
      <c r="J1278" s="251">
        <f t="shared" si="547"/>
        <v>0</v>
      </c>
      <c r="K1278" s="252" t="str">
        <f t="shared" si="548"/>
        <v>-</v>
      </c>
      <c r="L1278" s="37"/>
      <c r="M1278" s="285">
        <f>Preencher!$C$491+Preencher!$C$492</f>
        <v>0</v>
      </c>
      <c r="N1278" s="259" t="str">
        <f t="shared" si="549"/>
        <v>-</v>
      </c>
      <c r="O1278" s="251">
        <f t="shared" si="550"/>
        <v>0</v>
      </c>
      <c r="P1278" s="252" t="str">
        <f t="shared" si="551"/>
        <v>-</v>
      </c>
      <c r="Q1278" s="37"/>
      <c r="R1278" s="285">
        <f>Preencher!$D$492</f>
        <v>0</v>
      </c>
    </row>
    <row r="1279" spans="1:18">
      <c r="A1279" s="265" t="s">
        <v>152</v>
      </c>
      <c r="B1279" s="284"/>
      <c r="C1279" s="251" t="str">
        <f t="shared" si="542"/>
        <v>-</v>
      </c>
      <c r="D1279" s="259" t="str">
        <f t="shared" si="552"/>
        <v>-</v>
      </c>
      <c r="E1279" s="251">
        <f t="shared" si="544"/>
        <v>0</v>
      </c>
      <c r="F1279" s="252" t="str">
        <f t="shared" si="553"/>
        <v>-</v>
      </c>
      <c r="G1279" s="37"/>
      <c r="H1279" s="285"/>
      <c r="I1279" s="259" t="str">
        <f t="shared" si="546"/>
        <v>-</v>
      </c>
      <c r="J1279" s="251">
        <f t="shared" si="547"/>
        <v>0</v>
      </c>
      <c r="K1279" s="252" t="str">
        <f t="shared" si="548"/>
        <v>-</v>
      </c>
      <c r="L1279" s="37"/>
      <c r="M1279" s="285"/>
      <c r="N1279" s="259" t="str">
        <f t="shared" si="549"/>
        <v>-</v>
      </c>
      <c r="O1279" s="251">
        <f t="shared" si="550"/>
        <v>0</v>
      </c>
      <c r="P1279" s="252" t="str">
        <f t="shared" si="551"/>
        <v>-</v>
      </c>
      <c r="Q1279" s="37"/>
      <c r="R1279" s="285"/>
    </row>
    <row r="1280" spans="1:18">
      <c r="A1280" s="265" t="s">
        <v>857</v>
      </c>
      <c r="B1280" s="284">
        <v>0.28499999999999998</v>
      </c>
      <c r="C1280" s="251">
        <f t="shared" si="542"/>
        <v>12631.578947368422</v>
      </c>
      <c r="D1280" s="259">
        <f t="shared" si="552"/>
        <v>0.38</v>
      </c>
      <c r="E1280" s="251">
        <f t="shared" si="544"/>
        <v>1</v>
      </c>
      <c r="F1280" s="252">
        <f t="shared" si="553"/>
        <v>0.38</v>
      </c>
      <c r="G1280" s="37"/>
      <c r="H1280" s="285">
        <f>Preencher!$I$18+Preencher!$I$19</f>
        <v>4800</v>
      </c>
      <c r="I1280" s="259">
        <f t="shared" si="546"/>
        <v>0</v>
      </c>
      <c r="J1280" s="251">
        <f t="shared" si="547"/>
        <v>0</v>
      </c>
      <c r="K1280" s="252" t="str">
        <f t="shared" si="548"/>
        <v>-</v>
      </c>
      <c r="L1280" s="37"/>
      <c r="M1280" s="285">
        <f>Preencher!$J$18+Preencher!$J$19</f>
        <v>0</v>
      </c>
      <c r="N1280" s="259">
        <f t="shared" si="549"/>
        <v>0</v>
      </c>
      <c r="O1280" s="251">
        <f t="shared" si="550"/>
        <v>0</v>
      </c>
      <c r="P1280" s="252" t="str">
        <f t="shared" si="551"/>
        <v>-</v>
      </c>
      <c r="Q1280" s="37"/>
      <c r="R1280" s="285">
        <f>Preencher!$K$18+Preencher!$K$19</f>
        <v>0</v>
      </c>
    </row>
    <row r="1281" spans="1:18">
      <c r="A1281" s="265" t="s">
        <v>697</v>
      </c>
      <c r="B1281" s="284">
        <f>5710</f>
        <v>5710</v>
      </c>
      <c r="C1281" s="251">
        <f t="shared" si="542"/>
        <v>0.63047285464098068</v>
      </c>
      <c r="D1281" s="259">
        <f t="shared" si="552"/>
        <v>0</v>
      </c>
      <c r="E1281" s="251">
        <f t="shared" si="544"/>
        <v>0</v>
      </c>
      <c r="F1281" s="252" t="str">
        <f t="shared" si="553"/>
        <v>-</v>
      </c>
      <c r="G1281" s="37"/>
      <c r="H1281" s="285">
        <f>Preencher!$B$433</f>
        <v>0</v>
      </c>
      <c r="I1281" s="259">
        <f t="shared" si="546"/>
        <v>0</v>
      </c>
      <c r="J1281" s="251">
        <f t="shared" si="547"/>
        <v>0</v>
      </c>
      <c r="K1281" s="252" t="str">
        <f t="shared" si="548"/>
        <v>-</v>
      </c>
      <c r="L1281" s="37"/>
      <c r="M1281" s="285">
        <f>Preencher!$C433</f>
        <v>0</v>
      </c>
      <c r="N1281" s="259">
        <f t="shared" si="549"/>
        <v>0</v>
      </c>
      <c r="O1281" s="251">
        <f>IFERROR(ROUNDUP(N1281/0.95,0.999),0)</f>
        <v>0</v>
      </c>
      <c r="P1281" s="252" t="str">
        <f t="shared" si="551"/>
        <v>-</v>
      </c>
      <c r="Q1281" s="37"/>
      <c r="R1281" s="285">
        <f>Preencher!$D433</f>
        <v>0</v>
      </c>
    </row>
    <row r="1282" spans="1:18">
      <c r="A1282" s="265" t="s">
        <v>858</v>
      </c>
      <c r="B1282" s="284"/>
      <c r="C1282" s="251" t="str">
        <f t="shared" si="542"/>
        <v>-</v>
      </c>
      <c r="D1282" s="259" t="str">
        <f t="shared" si="552"/>
        <v>-</v>
      </c>
      <c r="E1282" s="251">
        <f t="shared" si="544"/>
        <v>0</v>
      </c>
      <c r="F1282" s="252" t="str">
        <f t="shared" si="553"/>
        <v>-</v>
      </c>
      <c r="G1282" s="37"/>
      <c r="H1282" s="285"/>
      <c r="I1282" s="259" t="str">
        <f t="shared" si="546"/>
        <v>-</v>
      </c>
      <c r="J1282" s="251">
        <f t="shared" si="547"/>
        <v>0</v>
      </c>
      <c r="K1282" s="252" t="str">
        <f t="shared" si="548"/>
        <v>-</v>
      </c>
      <c r="L1282" s="37"/>
      <c r="M1282" s="285"/>
      <c r="N1282" s="259" t="str">
        <f t="shared" si="549"/>
        <v>-</v>
      </c>
      <c r="O1282" s="251">
        <f t="shared" si="550"/>
        <v>0</v>
      </c>
      <c r="P1282" s="252" t="str">
        <f t="shared" si="551"/>
        <v>-</v>
      </c>
      <c r="Q1282" s="37"/>
      <c r="R1282" s="285"/>
    </row>
    <row r="1283" spans="1:18">
      <c r="A1283" s="265" t="s">
        <v>3121</v>
      </c>
      <c r="B1283" s="284">
        <v>0.23499999999999999</v>
      </c>
      <c r="C1283" s="770">
        <f>IF(B1283=0,"-",3600/B1283)</f>
        <v>15319.148936170213</v>
      </c>
      <c r="D1283" s="259">
        <f>IFERROR((H1283/C1283),"-")</f>
        <v>0.3133333333333333</v>
      </c>
      <c r="E1283" s="770">
        <f>IFERROR(ROUNDUP(D1283/0.95,0.999),0)</f>
        <v>1</v>
      </c>
      <c r="F1283" s="772">
        <f>IFERROR((H1283/C1283/E1283),"-")</f>
        <v>0.3133333333333333</v>
      </c>
      <c r="G1283" s="37"/>
      <c r="H1283" s="285">
        <f>Preencher!$I$18+Preencher!$I$19</f>
        <v>4800</v>
      </c>
      <c r="I1283" s="259">
        <f>IFERROR((M1283/C1283),"-")</f>
        <v>0</v>
      </c>
      <c r="J1283" s="770">
        <f>IFERROR(ROUNDUP(I1283/0.95,0.999),0)</f>
        <v>0</v>
      </c>
      <c r="K1283" s="772" t="str">
        <f>IFERROR((M1283/C1283/J1283),"-")</f>
        <v>-</v>
      </c>
      <c r="L1283" s="37"/>
      <c r="M1283" s="285">
        <f>Preencher!$J$18+Preencher!$J$19</f>
        <v>0</v>
      </c>
      <c r="N1283" s="259">
        <f>IFERROR((R1283/C1283),"-")</f>
        <v>0</v>
      </c>
      <c r="O1283" s="770">
        <f>IFERROR(ROUNDUP(N1283/0.95,0.999),0)</f>
        <v>0</v>
      </c>
      <c r="P1283" s="772" t="str">
        <f>IFERROR((R1283/C1283/O1283),"-")</f>
        <v>-</v>
      </c>
      <c r="Q1283" s="37"/>
      <c r="R1283" s="285">
        <f>Preencher!$K$18+Preencher!$K$19</f>
        <v>0</v>
      </c>
    </row>
    <row r="1284" spans="1:18">
      <c r="A1284" s="265" t="s">
        <v>3122</v>
      </c>
      <c r="B1284" s="284">
        <v>0.245</v>
      </c>
      <c r="C1284" s="770">
        <f>IF(B1284=0,"-",3600/B1284)</f>
        <v>14693.877551020409</v>
      </c>
      <c r="D1284" s="259">
        <f>IFERROR((H1284/C1284),"-")</f>
        <v>0.32666666666666666</v>
      </c>
      <c r="E1284" s="770">
        <f>IFERROR(ROUNDUP(D1284/0.95,0.999),0)</f>
        <v>1</v>
      </c>
      <c r="F1284" s="772">
        <f>IFERROR((H1284/C1284/E1284),"-")</f>
        <v>0.32666666666666666</v>
      </c>
      <c r="G1284" s="37"/>
      <c r="H1284" s="285">
        <f>Preencher!$I$18+Preencher!$I$19</f>
        <v>4800</v>
      </c>
      <c r="I1284" s="259">
        <f>IFERROR((M1284/C1284),"-")</f>
        <v>0</v>
      </c>
      <c r="J1284" s="770">
        <f>IFERROR(ROUNDUP(I1284/0.95,0.999),0)</f>
        <v>0</v>
      </c>
      <c r="K1284" s="772" t="str">
        <f>IFERROR((M1284/C1284/J1284),"-")</f>
        <v>-</v>
      </c>
      <c r="L1284" s="37"/>
      <c r="M1284" s="285">
        <f>Preencher!$J$18+Preencher!$J$19</f>
        <v>0</v>
      </c>
      <c r="N1284" s="259">
        <f>IFERROR((R1284/C1284),"-")</f>
        <v>0</v>
      </c>
      <c r="O1284" s="770">
        <f>IFERROR(ROUNDUP(N1284/0.95,0.999),0)</f>
        <v>0</v>
      </c>
      <c r="P1284" s="772" t="str">
        <f>IFERROR((R1284/C1284/O1284),"-")</f>
        <v>-</v>
      </c>
      <c r="Q1284" s="37"/>
      <c r="R1284" s="285">
        <f>Preencher!$K$18+Preencher!$K$19</f>
        <v>0</v>
      </c>
    </row>
    <row r="1285" spans="1:18">
      <c r="A1285" s="265" t="s">
        <v>15</v>
      </c>
      <c r="B1285" s="284"/>
      <c r="C1285" s="251" t="str">
        <f t="shared" si="542"/>
        <v>-</v>
      </c>
      <c r="D1285" s="259" t="str">
        <f t="shared" si="552"/>
        <v>-</v>
      </c>
      <c r="E1285" s="251">
        <f t="shared" si="544"/>
        <v>0</v>
      </c>
      <c r="F1285" s="252" t="str">
        <f t="shared" si="553"/>
        <v>-</v>
      </c>
      <c r="G1285" s="37"/>
      <c r="H1285" s="285"/>
      <c r="I1285" s="259" t="str">
        <f t="shared" si="546"/>
        <v>-</v>
      </c>
      <c r="J1285" s="251">
        <f t="shared" si="547"/>
        <v>0</v>
      </c>
      <c r="K1285" s="252" t="str">
        <f t="shared" si="548"/>
        <v>-</v>
      </c>
      <c r="L1285" s="37"/>
      <c r="M1285" s="285"/>
      <c r="N1285" s="259" t="str">
        <f t="shared" si="549"/>
        <v>-</v>
      </c>
      <c r="O1285" s="251">
        <f t="shared" si="550"/>
        <v>0</v>
      </c>
      <c r="P1285" s="252" t="str">
        <f t="shared" si="551"/>
        <v>-</v>
      </c>
      <c r="Q1285" s="37"/>
      <c r="R1285" s="285"/>
    </row>
    <row r="1286" spans="1:18">
      <c r="A1286" s="265" t="s">
        <v>130</v>
      </c>
      <c r="B1286" s="284"/>
      <c r="C1286" s="912" t="s">
        <v>1075</v>
      </c>
      <c r="D1286" s="259"/>
      <c r="E1286" s="770">
        <f>IFERROR(ROUNDUP(G1286/H1286,0),0)-E1310</f>
        <v>4</v>
      </c>
      <c r="F1286" s="772" t="str">
        <f t="shared" si="553"/>
        <v>-</v>
      </c>
      <c r="G1286" s="913">
        <f>SUM(Avaliação!$J$744:$J$757)</f>
        <v>9</v>
      </c>
      <c r="H1286" s="285">
        <f>VLOOKUP(Preencher!$A$489,Preencher!$P$494:$U$508,4,0)</f>
        <v>2</v>
      </c>
      <c r="I1286" s="259" t="str">
        <f t="shared" si="546"/>
        <v>-</v>
      </c>
      <c r="J1286" s="770">
        <f>IFERROR(ROUNDUP(L1286/M1286,0),0)</f>
        <v>0</v>
      </c>
      <c r="K1286" s="772" t="str">
        <f t="shared" si="548"/>
        <v>-</v>
      </c>
      <c r="L1286" s="913">
        <f>SUM(Avaliação!$N$744:$N$757)</f>
        <v>0</v>
      </c>
      <c r="M1286" s="285">
        <f>VLOOKUP(Preencher!$A$489,Preencher!$P$494:$U$508,5,0)</f>
        <v>0</v>
      </c>
      <c r="N1286" s="259" t="str">
        <f t="shared" si="549"/>
        <v>-</v>
      </c>
      <c r="O1286" s="770">
        <f>IFERROR(ROUNDUP(Q1286/R1286,0),0)</f>
        <v>0</v>
      </c>
      <c r="P1286" s="772" t="str">
        <f t="shared" si="551"/>
        <v>-</v>
      </c>
      <c r="Q1286" s="913">
        <f>SUM(Avaliação!$R$744:$R$757)</f>
        <v>0</v>
      </c>
      <c r="R1286" s="285">
        <f>VLOOKUP(Preencher!$A$489,Preencher!$P$494:$U$508,6,0)</f>
        <v>0</v>
      </c>
    </row>
    <row r="1287" spans="1:18">
      <c r="A1287" s="265"/>
      <c r="B1287" s="286"/>
      <c r="C1287" s="37"/>
      <c r="D1287" s="37"/>
      <c r="E1287" s="37"/>
      <c r="F1287" s="37"/>
      <c r="G1287" s="37"/>
      <c r="H1287" s="287"/>
      <c r="I1287" s="37"/>
      <c r="J1287" s="37"/>
      <c r="K1287" s="37"/>
      <c r="L1287" s="37"/>
      <c r="M1287" s="287"/>
      <c r="N1287" s="37"/>
      <c r="O1287" s="37"/>
      <c r="P1287" s="37"/>
      <c r="Q1287" s="37"/>
      <c r="R1287" s="287"/>
    </row>
    <row r="1288" spans="1:18">
      <c r="A1288" s="270" t="s">
        <v>723</v>
      </c>
      <c r="B1288" s="291"/>
      <c r="C1288" s="39"/>
      <c r="D1288" s="39"/>
      <c r="E1288" s="39"/>
      <c r="F1288" s="39"/>
      <c r="G1288" s="39"/>
      <c r="H1288" s="292"/>
      <c r="I1288" s="39"/>
      <c r="J1288" s="39"/>
      <c r="K1288" s="39"/>
      <c r="L1288" s="39"/>
      <c r="M1288" s="292"/>
      <c r="N1288" s="39"/>
      <c r="O1288" s="39"/>
      <c r="P1288" s="39"/>
      <c r="Q1288" s="39"/>
      <c r="R1288" s="292"/>
    </row>
    <row r="1289" spans="1:18">
      <c r="A1289" s="265"/>
      <c r="B1289" s="286"/>
      <c r="C1289" s="37"/>
      <c r="D1289" s="37"/>
      <c r="E1289" s="37"/>
      <c r="F1289" s="37"/>
      <c r="G1289" s="37"/>
      <c r="H1289" s="287"/>
      <c r="I1289" s="37"/>
      <c r="J1289" s="37"/>
      <c r="K1289" s="37"/>
      <c r="L1289" s="37"/>
      <c r="M1289" s="287"/>
      <c r="N1289" s="37"/>
      <c r="O1289" s="37"/>
      <c r="P1289" s="37"/>
      <c r="Q1289" s="37"/>
      <c r="R1289" s="287"/>
    </row>
    <row r="1290" spans="1:18">
      <c r="A1290" s="265"/>
      <c r="B1290" s="286"/>
      <c r="C1290" s="37"/>
      <c r="D1290" s="37"/>
      <c r="E1290" s="37"/>
      <c r="F1290" s="37"/>
      <c r="G1290" s="37"/>
      <c r="H1290" s="287"/>
      <c r="I1290" s="37"/>
      <c r="J1290" s="37"/>
      <c r="K1290" s="37"/>
      <c r="L1290" s="37"/>
      <c r="M1290" s="287"/>
      <c r="N1290" s="37"/>
      <c r="O1290" s="37"/>
      <c r="P1290" s="37"/>
      <c r="Q1290" s="37"/>
      <c r="R1290" s="287"/>
    </row>
    <row r="1291" spans="1:18">
      <c r="A1291" s="265"/>
      <c r="B1291" s="286"/>
      <c r="C1291" s="37"/>
      <c r="D1291" s="37"/>
      <c r="E1291" s="37"/>
      <c r="F1291" s="37"/>
      <c r="G1291" s="37"/>
      <c r="H1291" s="287"/>
      <c r="I1291" s="37"/>
      <c r="J1291" s="37"/>
      <c r="K1291" s="37"/>
      <c r="L1291" s="37"/>
      <c r="M1291" s="287"/>
      <c r="N1291" s="37"/>
      <c r="O1291" s="37"/>
      <c r="P1291" s="37"/>
      <c r="Q1291" s="37"/>
      <c r="R1291" s="287"/>
    </row>
    <row r="1292" spans="1:18">
      <c r="A1292" s="265"/>
      <c r="B1292" s="286"/>
      <c r="C1292" s="37"/>
      <c r="D1292" s="37"/>
      <c r="E1292" s="37"/>
      <c r="F1292" s="37"/>
      <c r="G1292" s="37"/>
      <c r="H1292" s="287"/>
      <c r="I1292" s="37"/>
      <c r="J1292" s="37"/>
      <c r="K1292" s="37"/>
      <c r="L1292" s="37"/>
      <c r="M1292" s="287"/>
      <c r="N1292" s="37"/>
      <c r="O1292" s="37"/>
      <c r="P1292" s="37"/>
      <c r="Q1292" s="37"/>
      <c r="R1292" s="287"/>
    </row>
    <row r="1293" spans="1:18">
      <c r="A1293" s="265"/>
      <c r="B1293" s="286"/>
      <c r="C1293" s="37"/>
      <c r="D1293" s="37"/>
      <c r="E1293" s="37"/>
      <c r="F1293" s="37"/>
      <c r="G1293" s="37"/>
      <c r="H1293" s="287"/>
      <c r="I1293" s="37"/>
      <c r="J1293" s="37"/>
      <c r="K1293" s="37"/>
      <c r="L1293" s="37"/>
      <c r="M1293" s="287"/>
      <c r="N1293" s="37"/>
      <c r="O1293" s="37"/>
      <c r="P1293" s="37"/>
      <c r="Q1293" s="37"/>
      <c r="R1293" s="287"/>
    </row>
    <row r="1294" spans="1:18">
      <c r="A1294" s="265"/>
      <c r="B1294" s="286"/>
      <c r="C1294" s="37"/>
      <c r="D1294" s="37"/>
      <c r="E1294" s="37"/>
      <c r="F1294" s="37"/>
      <c r="G1294" s="37"/>
      <c r="H1294" s="287"/>
      <c r="I1294" s="37"/>
      <c r="J1294" s="37"/>
      <c r="K1294" s="37"/>
      <c r="L1294" s="37"/>
      <c r="M1294" s="287"/>
      <c r="N1294" s="37"/>
      <c r="O1294" s="37"/>
      <c r="P1294" s="37"/>
      <c r="Q1294" s="37"/>
      <c r="R1294" s="287"/>
    </row>
    <row r="1295" spans="1:18">
      <c r="A1295" s="264" t="s">
        <v>235</v>
      </c>
      <c r="B1295" s="282"/>
      <c r="C1295" s="40"/>
      <c r="D1295" s="40"/>
      <c r="E1295" s="40"/>
      <c r="F1295" s="40"/>
      <c r="G1295" s="40"/>
      <c r="H1295" s="283"/>
      <c r="I1295" s="40"/>
      <c r="J1295" s="40"/>
      <c r="K1295" s="40"/>
      <c r="L1295" s="40"/>
      <c r="M1295" s="283"/>
      <c r="N1295" s="40"/>
      <c r="O1295" s="40"/>
      <c r="P1295" s="40"/>
      <c r="Q1295" s="40"/>
      <c r="R1295" s="283"/>
    </row>
    <row r="1296" spans="1:18">
      <c r="A1296" s="268" t="s">
        <v>17</v>
      </c>
      <c r="B1296" s="288"/>
      <c r="C1296" s="13"/>
      <c r="D1296" s="13"/>
      <c r="E1296" s="13"/>
      <c r="F1296" s="13"/>
      <c r="G1296" s="13"/>
      <c r="H1296" s="113"/>
      <c r="I1296" s="13"/>
      <c r="J1296" s="13"/>
      <c r="K1296" s="13"/>
      <c r="L1296" s="13"/>
      <c r="M1296" s="113"/>
      <c r="N1296" s="13"/>
      <c r="O1296" s="13"/>
      <c r="P1296" s="13"/>
      <c r="Q1296" s="13"/>
      <c r="R1296" s="113"/>
    </row>
    <row r="1297" spans="1:18">
      <c r="A1297" s="268" t="s">
        <v>18</v>
      </c>
      <c r="B1297" s="288"/>
      <c r="C1297" s="13"/>
      <c r="D1297" s="13"/>
      <c r="E1297" s="13"/>
      <c r="F1297" s="13"/>
      <c r="G1297" s="13"/>
      <c r="H1297" s="113"/>
      <c r="I1297" s="13"/>
      <c r="J1297" s="13"/>
      <c r="K1297" s="13"/>
      <c r="L1297" s="13"/>
      <c r="M1297" s="113"/>
      <c r="N1297" s="13"/>
      <c r="O1297" s="13"/>
      <c r="P1297" s="13"/>
      <c r="Q1297" s="13"/>
      <c r="R1297" s="113"/>
    </row>
    <row r="1298" spans="1:18">
      <c r="A1298" s="268"/>
      <c r="B1298" s="288"/>
      <c r="C1298" s="13"/>
      <c r="D1298" s="13"/>
      <c r="E1298" s="13"/>
      <c r="F1298" s="13"/>
      <c r="G1298" s="13"/>
      <c r="H1298" s="113"/>
      <c r="I1298" s="13"/>
      <c r="J1298" s="13"/>
      <c r="K1298" s="13"/>
      <c r="L1298" s="13"/>
      <c r="M1298" s="113"/>
      <c r="N1298" s="13"/>
      <c r="O1298" s="13"/>
      <c r="P1298" s="13"/>
      <c r="Q1298" s="13"/>
      <c r="R1298" s="113"/>
    </row>
    <row r="1299" spans="1:18">
      <c r="A1299" s="262" t="s">
        <v>153</v>
      </c>
      <c r="B1299" s="278"/>
      <c r="C1299" s="17"/>
      <c r="D1299" s="17"/>
      <c r="E1299" s="17"/>
      <c r="F1299" s="17"/>
      <c r="G1299" s="17"/>
      <c r="H1299" s="279"/>
      <c r="I1299" s="17"/>
      <c r="J1299" s="17"/>
      <c r="K1299" s="17"/>
      <c r="L1299" s="17"/>
      <c r="M1299" s="279"/>
      <c r="N1299" s="17"/>
      <c r="O1299" s="17"/>
      <c r="P1299" s="17"/>
      <c r="Q1299" s="17"/>
      <c r="R1299" s="279"/>
    </row>
    <row r="1300" spans="1:18">
      <c r="A1300" s="263" t="s">
        <v>153</v>
      </c>
      <c r="B1300" s="280"/>
      <c r="C1300" s="35"/>
      <c r="D1300" s="35"/>
      <c r="E1300" s="35"/>
      <c r="F1300" s="35"/>
      <c r="G1300" s="35"/>
      <c r="H1300" s="281"/>
      <c r="I1300" s="35"/>
      <c r="J1300" s="35"/>
      <c r="K1300" s="35"/>
      <c r="L1300" s="35"/>
      <c r="M1300" s="281"/>
      <c r="N1300" s="35"/>
      <c r="O1300" s="35"/>
      <c r="P1300" s="35"/>
      <c r="Q1300" s="35"/>
      <c r="R1300" s="281"/>
    </row>
    <row r="1301" spans="1:18">
      <c r="A1301" s="264" t="s">
        <v>714</v>
      </c>
      <c r="B1301" s="282"/>
      <c r="C1301" s="40"/>
      <c r="D1301" s="40"/>
      <c r="E1301" s="40"/>
      <c r="F1301" s="40"/>
      <c r="G1301" s="40"/>
      <c r="H1301" s="283"/>
      <c r="I1301" s="40"/>
      <c r="J1301" s="40"/>
      <c r="K1301" s="40"/>
      <c r="L1301" s="40"/>
      <c r="M1301" s="283"/>
      <c r="N1301" s="40"/>
      <c r="O1301" s="40"/>
      <c r="P1301" s="40"/>
      <c r="Q1301" s="40"/>
      <c r="R1301" s="283"/>
    </row>
    <row r="1302" spans="1:18">
      <c r="A1302" s="265" t="s">
        <v>263</v>
      </c>
      <c r="B1302" s="284">
        <v>2840</v>
      </c>
      <c r="C1302" s="251">
        <f t="shared" ref="C1302:C1309" si="554">IF(B1302=0,"-",3600/B1302)</f>
        <v>1.267605633802817</v>
      </c>
      <c r="D1302" s="259">
        <f t="shared" ref="D1302:D1309" si="555">IFERROR((H1302/C1302),"-")</f>
        <v>0.78888888888888886</v>
      </c>
      <c r="E1302" s="251">
        <f t="shared" ref="E1302:E1309" si="556">IFERROR(ROUNDUP(D1302/0.95,0.999),0)</f>
        <v>1</v>
      </c>
      <c r="F1302" s="252">
        <f t="shared" ref="F1302:F1310" si="557">IFERROR((H1302/C1302/E1302),"-")</f>
        <v>0.78888888888888886</v>
      </c>
      <c r="G1302" s="37"/>
      <c r="H1302" s="285">
        <f>Preencher!$B$497</f>
        <v>1</v>
      </c>
      <c r="I1302" s="259">
        <f t="shared" ref="I1302:I1310" si="558">IFERROR((M1302/C1302),"-")</f>
        <v>0</v>
      </c>
      <c r="J1302" s="251">
        <f t="shared" ref="J1302:J1309" si="559">IFERROR(ROUNDUP(I1302/0.95,0.999),0)</f>
        <v>0</v>
      </c>
      <c r="K1302" s="252" t="str">
        <f t="shared" ref="K1302:K1310" si="560">IFERROR((M1302/C1302/J1302),"-")</f>
        <v>-</v>
      </c>
      <c r="L1302" s="37"/>
      <c r="M1302" s="285">
        <f>Preencher!$C$497</f>
        <v>0</v>
      </c>
      <c r="N1302" s="259">
        <f t="shared" ref="N1302:N1310" si="561">IFERROR((R1302/C1302),"-")</f>
        <v>0</v>
      </c>
      <c r="O1302" s="251">
        <f t="shared" ref="O1302:O1309" si="562">IFERROR(ROUNDUP(N1302/0.95,0.999),0)</f>
        <v>0</v>
      </c>
      <c r="P1302" s="252" t="str">
        <f t="shared" ref="P1302:P1310" si="563">IFERROR((R1302/C1302/O1302),"-")</f>
        <v>-</v>
      </c>
      <c r="Q1302" s="37"/>
      <c r="R1302" s="285">
        <f>Preencher!$D$497</f>
        <v>0</v>
      </c>
    </row>
    <row r="1303" spans="1:18">
      <c r="A1303" s="265" t="s">
        <v>154</v>
      </c>
      <c r="B1303" s="284"/>
      <c r="C1303" s="251" t="str">
        <f t="shared" si="554"/>
        <v>-</v>
      </c>
      <c r="D1303" s="259" t="str">
        <f t="shared" si="555"/>
        <v>-</v>
      </c>
      <c r="E1303" s="251">
        <f t="shared" si="556"/>
        <v>0</v>
      </c>
      <c r="F1303" s="252" t="str">
        <f t="shared" si="557"/>
        <v>-</v>
      </c>
      <c r="G1303" s="37"/>
      <c r="H1303" s="285"/>
      <c r="I1303" s="259" t="str">
        <f t="shared" si="558"/>
        <v>-</v>
      </c>
      <c r="J1303" s="251">
        <f t="shared" si="559"/>
        <v>0</v>
      </c>
      <c r="K1303" s="252" t="str">
        <f t="shared" si="560"/>
        <v>-</v>
      </c>
      <c r="L1303" s="37"/>
      <c r="M1303" s="285"/>
      <c r="N1303" s="259" t="str">
        <f t="shared" si="561"/>
        <v>-</v>
      </c>
      <c r="O1303" s="251">
        <f t="shared" si="562"/>
        <v>0</v>
      </c>
      <c r="P1303" s="252" t="str">
        <f t="shared" si="563"/>
        <v>-</v>
      </c>
      <c r="Q1303" s="37"/>
      <c r="R1303" s="285"/>
    </row>
    <row r="1304" spans="1:18">
      <c r="A1304" s="265" t="s">
        <v>155</v>
      </c>
      <c r="B1304" s="284"/>
      <c r="C1304" s="251" t="str">
        <f t="shared" si="554"/>
        <v>-</v>
      </c>
      <c r="D1304" s="259" t="str">
        <f t="shared" si="555"/>
        <v>-</v>
      </c>
      <c r="E1304" s="251">
        <f t="shared" si="556"/>
        <v>0</v>
      </c>
      <c r="F1304" s="252" t="str">
        <f t="shared" si="557"/>
        <v>-</v>
      </c>
      <c r="G1304" s="37"/>
      <c r="H1304" s="285"/>
      <c r="I1304" s="259" t="str">
        <f t="shared" si="558"/>
        <v>-</v>
      </c>
      <c r="J1304" s="251">
        <f t="shared" si="559"/>
        <v>0</v>
      </c>
      <c r="K1304" s="252" t="str">
        <f t="shared" si="560"/>
        <v>-</v>
      </c>
      <c r="L1304" s="37"/>
      <c r="M1304" s="285"/>
      <c r="N1304" s="259" t="str">
        <f t="shared" si="561"/>
        <v>-</v>
      </c>
      <c r="O1304" s="251">
        <f t="shared" si="562"/>
        <v>0</v>
      </c>
      <c r="P1304" s="252" t="str">
        <f t="shared" si="563"/>
        <v>-</v>
      </c>
      <c r="Q1304" s="37"/>
      <c r="R1304" s="285"/>
    </row>
    <row r="1305" spans="1:18">
      <c r="A1305" s="265" t="s">
        <v>264</v>
      </c>
      <c r="B1305" s="284"/>
      <c r="C1305" s="251" t="str">
        <f t="shared" si="554"/>
        <v>-</v>
      </c>
      <c r="D1305" s="259" t="str">
        <f t="shared" si="555"/>
        <v>-</v>
      </c>
      <c r="E1305" s="251">
        <f t="shared" si="556"/>
        <v>0</v>
      </c>
      <c r="F1305" s="252" t="str">
        <f t="shared" si="557"/>
        <v>-</v>
      </c>
      <c r="G1305" s="37"/>
      <c r="H1305" s="285"/>
      <c r="I1305" s="259" t="str">
        <f t="shared" si="558"/>
        <v>-</v>
      </c>
      <c r="J1305" s="251">
        <f t="shared" si="559"/>
        <v>0</v>
      </c>
      <c r="K1305" s="252" t="str">
        <f t="shared" si="560"/>
        <v>-</v>
      </c>
      <c r="L1305" s="37"/>
      <c r="M1305" s="285"/>
      <c r="N1305" s="259" t="str">
        <f t="shared" si="561"/>
        <v>-</v>
      </c>
      <c r="O1305" s="251">
        <f t="shared" si="562"/>
        <v>0</v>
      </c>
      <c r="P1305" s="252" t="str">
        <f t="shared" si="563"/>
        <v>-</v>
      </c>
      <c r="Q1305" s="37"/>
      <c r="R1305" s="285"/>
    </row>
    <row r="1306" spans="1:18">
      <c r="A1306" s="265" t="s">
        <v>13</v>
      </c>
      <c r="B1306" s="284"/>
      <c r="C1306" s="251" t="str">
        <f t="shared" si="554"/>
        <v>-</v>
      </c>
      <c r="D1306" s="259" t="str">
        <f t="shared" si="555"/>
        <v>-</v>
      </c>
      <c r="E1306" s="251">
        <f t="shared" si="556"/>
        <v>0</v>
      </c>
      <c r="F1306" s="252" t="str">
        <f t="shared" si="557"/>
        <v>-</v>
      </c>
      <c r="G1306" s="37"/>
      <c r="H1306" s="285"/>
      <c r="I1306" s="259" t="str">
        <f t="shared" si="558"/>
        <v>-</v>
      </c>
      <c r="J1306" s="251">
        <f t="shared" si="559"/>
        <v>0</v>
      </c>
      <c r="K1306" s="252" t="str">
        <f t="shared" si="560"/>
        <v>-</v>
      </c>
      <c r="L1306" s="37"/>
      <c r="M1306" s="285"/>
      <c r="N1306" s="259" t="str">
        <f t="shared" si="561"/>
        <v>-</v>
      </c>
      <c r="O1306" s="251">
        <f t="shared" si="562"/>
        <v>0</v>
      </c>
      <c r="P1306" s="252" t="str">
        <f t="shared" si="563"/>
        <v>-</v>
      </c>
      <c r="Q1306" s="37"/>
      <c r="R1306" s="285"/>
    </row>
    <row r="1307" spans="1:18">
      <c r="A1307" s="265" t="s">
        <v>14</v>
      </c>
      <c r="B1307" s="284"/>
      <c r="C1307" s="251" t="str">
        <f t="shared" si="554"/>
        <v>-</v>
      </c>
      <c r="D1307" s="259" t="str">
        <f t="shared" si="555"/>
        <v>-</v>
      </c>
      <c r="E1307" s="251">
        <f t="shared" si="556"/>
        <v>0</v>
      </c>
      <c r="F1307" s="252" t="str">
        <f t="shared" si="557"/>
        <v>-</v>
      </c>
      <c r="G1307" s="37"/>
      <c r="H1307" s="285"/>
      <c r="I1307" s="259" t="str">
        <f t="shared" si="558"/>
        <v>-</v>
      </c>
      <c r="J1307" s="251">
        <f t="shared" si="559"/>
        <v>0</v>
      </c>
      <c r="K1307" s="252" t="str">
        <f t="shared" si="560"/>
        <v>-</v>
      </c>
      <c r="L1307" s="37"/>
      <c r="M1307" s="285"/>
      <c r="N1307" s="259" t="str">
        <f t="shared" si="561"/>
        <v>-</v>
      </c>
      <c r="O1307" s="251">
        <f t="shared" si="562"/>
        <v>0</v>
      </c>
      <c r="P1307" s="252" t="str">
        <f t="shared" si="563"/>
        <v>-</v>
      </c>
      <c r="Q1307" s="37"/>
      <c r="R1307" s="285"/>
    </row>
    <row r="1308" spans="1:18">
      <c r="A1308" s="265" t="s">
        <v>0</v>
      </c>
      <c r="B1308" s="284"/>
      <c r="C1308" s="251" t="str">
        <f t="shared" si="554"/>
        <v>-</v>
      </c>
      <c r="D1308" s="259" t="str">
        <f t="shared" si="555"/>
        <v>-</v>
      </c>
      <c r="E1308" s="251">
        <f t="shared" si="556"/>
        <v>0</v>
      </c>
      <c r="F1308" s="252" t="str">
        <f t="shared" si="557"/>
        <v>-</v>
      </c>
      <c r="G1308" s="37"/>
      <c r="H1308" s="285"/>
      <c r="I1308" s="259" t="str">
        <f t="shared" si="558"/>
        <v>-</v>
      </c>
      <c r="J1308" s="251">
        <f t="shared" si="559"/>
        <v>0</v>
      </c>
      <c r="K1308" s="252" t="str">
        <f t="shared" si="560"/>
        <v>-</v>
      </c>
      <c r="L1308" s="37"/>
      <c r="M1308" s="285"/>
      <c r="N1308" s="259" t="str">
        <f t="shared" si="561"/>
        <v>-</v>
      </c>
      <c r="O1308" s="251">
        <f t="shared" si="562"/>
        <v>0</v>
      </c>
      <c r="P1308" s="252" t="str">
        <f t="shared" si="563"/>
        <v>-</v>
      </c>
      <c r="Q1308" s="37"/>
      <c r="R1308" s="285"/>
    </row>
    <row r="1309" spans="1:18">
      <c r="A1309" s="265" t="s">
        <v>15</v>
      </c>
      <c r="B1309" s="284"/>
      <c r="C1309" s="251" t="str">
        <f t="shared" si="554"/>
        <v>-</v>
      </c>
      <c r="D1309" s="259" t="str">
        <f t="shared" si="555"/>
        <v>-</v>
      </c>
      <c r="E1309" s="251">
        <f t="shared" si="556"/>
        <v>0</v>
      </c>
      <c r="F1309" s="252" t="str">
        <f t="shared" si="557"/>
        <v>-</v>
      </c>
      <c r="G1309" s="37"/>
      <c r="H1309" s="285"/>
      <c r="I1309" s="259" t="str">
        <f t="shared" si="558"/>
        <v>-</v>
      </c>
      <c r="J1309" s="251">
        <f t="shared" si="559"/>
        <v>0</v>
      </c>
      <c r="K1309" s="252" t="str">
        <f t="shared" si="560"/>
        <v>-</v>
      </c>
      <c r="L1309" s="37"/>
      <c r="M1309" s="285"/>
      <c r="N1309" s="259" t="str">
        <f t="shared" si="561"/>
        <v>-</v>
      </c>
      <c r="O1309" s="251">
        <f t="shared" si="562"/>
        <v>0</v>
      </c>
      <c r="P1309" s="252" t="str">
        <f t="shared" si="563"/>
        <v>-</v>
      </c>
      <c r="Q1309" s="37"/>
      <c r="R1309" s="285"/>
    </row>
    <row r="1310" spans="1:18">
      <c r="A1310" s="265" t="s">
        <v>130</v>
      </c>
      <c r="B1310" s="284"/>
      <c r="C1310" s="912" t="s">
        <v>1075</v>
      </c>
      <c r="D1310" s="259"/>
      <c r="E1310" s="770">
        <f>IFERROR(ROUNDUP(G1310/H1310,0),0)</f>
        <v>1</v>
      </c>
      <c r="F1310" s="772" t="str">
        <f t="shared" si="557"/>
        <v>-</v>
      </c>
      <c r="G1310" s="913">
        <f>SUM(Avaliação!$J$781:$J$784)</f>
        <v>2</v>
      </c>
      <c r="H1310" s="285">
        <f>VLOOKUP(Preencher!$A$489,Preencher!$P$494:$U$508,4,0)</f>
        <v>2</v>
      </c>
      <c r="I1310" s="259" t="str">
        <f t="shared" si="558"/>
        <v>-</v>
      </c>
      <c r="J1310" s="770">
        <f>IFERROR(ROUNDUP(L1310/M1310,0),0)</f>
        <v>0</v>
      </c>
      <c r="K1310" s="772" t="str">
        <f t="shared" si="560"/>
        <v>-</v>
      </c>
      <c r="L1310" s="913">
        <f>SUM(Avaliação!$N$781:$N$784)</f>
        <v>1</v>
      </c>
      <c r="M1310" s="285">
        <f>VLOOKUP(Preencher!$A$489,Preencher!$P$494:$U$508,5,0)</f>
        <v>0</v>
      </c>
      <c r="N1310" s="259" t="str">
        <f t="shared" si="561"/>
        <v>-</v>
      </c>
      <c r="O1310" s="770">
        <f>IFERROR(ROUNDUP(Q1310/R1310,0),0)</f>
        <v>0</v>
      </c>
      <c r="P1310" s="772" t="str">
        <f t="shared" si="563"/>
        <v>-</v>
      </c>
      <c r="Q1310" s="913">
        <f>SUM(Avaliação!$R$781:$R$784)</f>
        <v>0</v>
      </c>
      <c r="R1310" s="285">
        <f>VLOOKUP(Preencher!$A$489,Preencher!$P$494:$U$508,6,0)</f>
        <v>0</v>
      </c>
    </row>
    <row r="1311" spans="1:18">
      <c r="A1311" s="265"/>
      <c r="B1311" s="286"/>
      <c r="C1311" s="37"/>
      <c r="D1311" s="37"/>
      <c r="E1311" s="37"/>
      <c r="F1311" s="37"/>
      <c r="G1311" s="37"/>
      <c r="H1311" s="287"/>
      <c r="I1311" s="37"/>
      <c r="J1311" s="37"/>
      <c r="K1311" s="37"/>
      <c r="L1311" s="37"/>
      <c r="M1311" s="287"/>
      <c r="N1311" s="37"/>
      <c r="O1311" s="37"/>
      <c r="P1311" s="37"/>
      <c r="Q1311" s="37"/>
      <c r="R1311" s="287"/>
    </row>
    <row r="1312" spans="1:18">
      <c r="A1312" s="270" t="s">
        <v>723</v>
      </c>
      <c r="B1312" s="291"/>
      <c r="C1312" s="39"/>
      <c r="D1312" s="39"/>
      <c r="E1312" s="39"/>
      <c r="F1312" s="39"/>
      <c r="G1312" s="39"/>
      <c r="H1312" s="292"/>
      <c r="I1312" s="39"/>
      <c r="J1312" s="39"/>
      <c r="K1312" s="39"/>
      <c r="L1312" s="39"/>
      <c r="M1312" s="292"/>
      <c r="N1312" s="39"/>
      <c r="O1312" s="39"/>
      <c r="P1312" s="39"/>
      <c r="Q1312" s="39"/>
      <c r="R1312" s="292"/>
    </row>
    <row r="1313" spans="1:18">
      <c r="A1313" s="265"/>
      <c r="B1313" s="286"/>
      <c r="C1313" s="37"/>
      <c r="D1313" s="37"/>
      <c r="E1313" s="37"/>
      <c r="F1313" s="37"/>
      <c r="G1313" s="37"/>
      <c r="H1313" s="287"/>
      <c r="I1313" s="37"/>
      <c r="J1313" s="37"/>
      <c r="K1313" s="37"/>
      <c r="L1313" s="37"/>
      <c r="M1313" s="287"/>
      <c r="N1313" s="37"/>
      <c r="O1313" s="37"/>
      <c r="P1313" s="37"/>
      <c r="Q1313" s="37"/>
      <c r="R1313" s="287"/>
    </row>
    <row r="1314" spans="1:18">
      <c r="A1314" s="265"/>
      <c r="B1314" s="286"/>
      <c r="C1314" s="37"/>
      <c r="D1314" s="37"/>
      <c r="E1314" s="37"/>
      <c r="F1314" s="37"/>
      <c r="G1314" s="37"/>
      <c r="H1314" s="287"/>
      <c r="I1314" s="37"/>
      <c r="J1314" s="37"/>
      <c r="K1314" s="37"/>
      <c r="L1314" s="37"/>
      <c r="M1314" s="287"/>
      <c r="N1314" s="37"/>
      <c r="O1314" s="37"/>
      <c r="P1314" s="37"/>
      <c r="Q1314" s="37"/>
      <c r="R1314" s="287"/>
    </row>
    <row r="1315" spans="1:18">
      <c r="A1315" s="265"/>
      <c r="B1315" s="286"/>
      <c r="C1315" s="37"/>
      <c r="D1315" s="37"/>
      <c r="E1315" s="37"/>
      <c r="F1315" s="37"/>
      <c r="G1315" s="37"/>
      <c r="H1315" s="287"/>
      <c r="I1315" s="37"/>
      <c r="J1315" s="37"/>
      <c r="K1315" s="37"/>
      <c r="L1315" s="37"/>
      <c r="M1315" s="287"/>
      <c r="N1315" s="37"/>
      <c r="O1315" s="37"/>
      <c r="P1315" s="37"/>
      <c r="Q1315" s="37"/>
      <c r="R1315" s="287"/>
    </row>
    <row r="1316" spans="1:18">
      <c r="A1316" s="265"/>
      <c r="B1316" s="286"/>
      <c r="C1316" s="37"/>
      <c r="D1316" s="37"/>
      <c r="E1316" s="37"/>
      <c r="F1316" s="37"/>
      <c r="G1316" s="37"/>
      <c r="H1316" s="287"/>
      <c r="I1316" s="37"/>
      <c r="J1316" s="37"/>
      <c r="K1316" s="37"/>
      <c r="L1316" s="37"/>
      <c r="M1316" s="287"/>
      <c r="N1316" s="37"/>
      <c r="O1316" s="37"/>
      <c r="P1316" s="37"/>
      <c r="Q1316" s="37"/>
      <c r="R1316" s="287"/>
    </row>
    <row r="1317" spans="1:18">
      <c r="A1317" s="265"/>
      <c r="B1317" s="286"/>
      <c r="C1317" s="37"/>
      <c r="D1317" s="37"/>
      <c r="E1317" s="37"/>
      <c r="F1317" s="37"/>
      <c r="G1317" s="37"/>
      <c r="H1317" s="287"/>
      <c r="I1317" s="37"/>
      <c r="J1317" s="37"/>
      <c r="K1317" s="37"/>
      <c r="L1317" s="37"/>
      <c r="M1317" s="287"/>
      <c r="N1317" s="37"/>
      <c r="O1317" s="37"/>
      <c r="P1317" s="37"/>
      <c r="Q1317" s="37"/>
      <c r="R1317" s="287"/>
    </row>
    <row r="1318" spans="1:18">
      <c r="A1318" s="265"/>
      <c r="B1318" s="286"/>
      <c r="C1318" s="37"/>
      <c r="D1318" s="37"/>
      <c r="E1318" s="37"/>
      <c r="F1318" s="37"/>
      <c r="G1318" s="37"/>
      <c r="H1318" s="287"/>
      <c r="I1318" s="37"/>
      <c r="J1318" s="37"/>
      <c r="K1318" s="37"/>
      <c r="L1318" s="37"/>
      <c r="M1318" s="287"/>
      <c r="N1318" s="37"/>
      <c r="O1318" s="37"/>
      <c r="P1318" s="37"/>
      <c r="Q1318" s="37"/>
      <c r="R1318" s="287"/>
    </row>
    <row r="1319" spans="1:18">
      <c r="A1319" s="264" t="s">
        <v>235</v>
      </c>
      <c r="B1319" s="282"/>
      <c r="C1319" s="40"/>
      <c r="D1319" s="40"/>
      <c r="E1319" s="40"/>
      <c r="F1319" s="40"/>
      <c r="G1319" s="40"/>
      <c r="H1319" s="283"/>
      <c r="I1319" s="40"/>
      <c r="J1319" s="40"/>
      <c r="K1319" s="40"/>
      <c r="L1319" s="40"/>
      <c r="M1319" s="283"/>
      <c r="N1319" s="40"/>
      <c r="O1319" s="40"/>
      <c r="P1319" s="40"/>
      <c r="Q1319" s="40"/>
      <c r="R1319" s="283"/>
    </row>
    <row r="1320" spans="1:18">
      <c r="A1320" s="268" t="s">
        <v>17</v>
      </c>
      <c r="B1320" s="288"/>
      <c r="C1320" s="13"/>
      <c r="D1320" s="13"/>
      <c r="E1320" s="13"/>
      <c r="F1320" s="13"/>
      <c r="G1320" s="13"/>
      <c r="H1320" s="113"/>
      <c r="I1320" s="13"/>
      <c r="J1320" s="13"/>
      <c r="K1320" s="13"/>
      <c r="L1320" s="13"/>
      <c r="M1320" s="113"/>
      <c r="N1320" s="13"/>
      <c r="O1320" s="13"/>
      <c r="P1320" s="13"/>
      <c r="Q1320" s="13"/>
      <c r="R1320" s="113"/>
    </row>
    <row r="1321" spans="1:18">
      <c r="A1321" s="268" t="s">
        <v>18</v>
      </c>
      <c r="B1321" s="288"/>
      <c r="C1321" s="13"/>
      <c r="D1321" s="13"/>
      <c r="E1321" s="13"/>
      <c r="F1321" s="13"/>
      <c r="G1321" s="13"/>
      <c r="H1321" s="113"/>
      <c r="I1321" s="13"/>
      <c r="J1321" s="13"/>
      <c r="K1321" s="13"/>
      <c r="L1321" s="13"/>
      <c r="M1321" s="113"/>
      <c r="N1321" s="13"/>
      <c r="O1321" s="13"/>
      <c r="P1321" s="13"/>
      <c r="Q1321" s="13"/>
      <c r="R1321" s="113"/>
    </row>
    <row r="1322" spans="1:18">
      <c r="A1322" s="268"/>
      <c r="B1322" s="288"/>
      <c r="C1322" s="13"/>
      <c r="D1322" s="13"/>
      <c r="E1322" s="13"/>
      <c r="F1322" s="13"/>
      <c r="G1322" s="13"/>
      <c r="H1322" s="113"/>
      <c r="I1322" s="13"/>
      <c r="J1322" s="13"/>
      <c r="K1322" s="13"/>
      <c r="L1322" s="13"/>
      <c r="M1322" s="113"/>
      <c r="N1322" s="13"/>
      <c r="O1322" s="13"/>
      <c r="P1322" s="13"/>
      <c r="Q1322" s="13"/>
      <c r="R1322" s="113"/>
    </row>
    <row r="1323" spans="1:18">
      <c r="A1323" s="262" t="s">
        <v>156</v>
      </c>
      <c r="B1323" s="278"/>
      <c r="C1323" s="17"/>
      <c r="D1323" s="17"/>
      <c r="E1323" s="17"/>
      <c r="F1323" s="17"/>
      <c r="G1323" s="17"/>
      <c r="H1323" s="279"/>
      <c r="I1323" s="17"/>
      <c r="J1323" s="17"/>
      <c r="K1323" s="17"/>
      <c r="L1323" s="17"/>
      <c r="M1323" s="279"/>
      <c r="N1323" s="17"/>
      <c r="O1323" s="17"/>
      <c r="P1323" s="17"/>
      <c r="Q1323" s="17"/>
      <c r="R1323" s="279"/>
    </row>
    <row r="1324" spans="1:18">
      <c r="A1324" s="263" t="s">
        <v>156</v>
      </c>
      <c r="B1324" s="280"/>
      <c r="C1324" s="35"/>
      <c r="D1324" s="35"/>
      <c r="E1324" s="35"/>
      <c r="F1324" s="35"/>
      <c r="G1324" s="35"/>
      <c r="H1324" s="281"/>
      <c r="I1324" s="35"/>
      <c r="J1324" s="35"/>
      <c r="K1324" s="35"/>
      <c r="L1324" s="35"/>
      <c r="M1324" s="281"/>
      <c r="N1324" s="35"/>
      <c r="O1324" s="35"/>
      <c r="P1324" s="35"/>
      <c r="Q1324" s="35"/>
      <c r="R1324" s="281"/>
    </row>
    <row r="1325" spans="1:18">
      <c r="A1325" s="264" t="s">
        <v>714</v>
      </c>
      <c r="B1325" s="282"/>
      <c r="C1325" s="40"/>
      <c r="D1325" s="40"/>
      <c r="E1325" s="40"/>
      <c r="F1325" s="40"/>
      <c r="G1325" s="40"/>
      <c r="H1325" s="283"/>
      <c r="I1325" s="40"/>
      <c r="J1325" s="40"/>
      <c r="K1325" s="40"/>
      <c r="L1325" s="40"/>
      <c r="M1325" s="283"/>
      <c r="N1325" s="40"/>
      <c r="O1325" s="40"/>
      <c r="P1325" s="40"/>
      <c r="Q1325" s="40"/>
      <c r="R1325" s="283"/>
    </row>
    <row r="1326" spans="1:18">
      <c r="A1326" s="265" t="s">
        <v>9</v>
      </c>
      <c r="B1326" s="286"/>
      <c r="C1326" s="37"/>
      <c r="D1326" s="37"/>
      <c r="E1326" s="37"/>
      <c r="F1326" s="37"/>
      <c r="G1326" s="37"/>
      <c r="H1326" s="287"/>
      <c r="I1326" s="37"/>
      <c r="J1326" s="37"/>
      <c r="K1326" s="37"/>
      <c r="L1326" s="37"/>
      <c r="M1326" s="287"/>
      <c r="N1326" s="37"/>
      <c r="O1326" s="37"/>
      <c r="P1326" s="37"/>
      <c r="Q1326" s="37"/>
      <c r="R1326" s="287"/>
    </row>
    <row r="1327" spans="1:18">
      <c r="A1327" s="265" t="s">
        <v>157</v>
      </c>
      <c r="B1327" s="286"/>
      <c r="C1327" s="37"/>
      <c r="D1327" s="37"/>
      <c r="E1327" s="37"/>
      <c r="F1327" s="37"/>
      <c r="G1327" s="37"/>
      <c r="H1327" s="287"/>
      <c r="I1327" s="37"/>
      <c r="J1327" s="37"/>
      <c r="K1327" s="37"/>
      <c r="L1327" s="37"/>
      <c r="M1327" s="287"/>
      <c r="N1327" s="37"/>
      <c r="O1327" s="37"/>
      <c r="P1327" s="37"/>
      <c r="Q1327" s="37"/>
      <c r="R1327" s="287"/>
    </row>
    <row r="1328" spans="1:18">
      <c r="A1328" s="265" t="s">
        <v>158</v>
      </c>
      <c r="B1328" s="286"/>
      <c r="C1328" s="37"/>
      <c r="D1328" s="37"/>
      <c r="E1328" s="37"/>
      <c r="F1328" s="37"/>
      <c r="G1328" s="37"/>
      <c r="H1328" s="287"/>
      <c r="I1328" s="37"/>
      <c r="J1328" s="37"/>
      <c r="K1328" s="37"/>
      <c r="L1328" s="37"/>
      <c r="M1328" s="287"/>
      <c r="N1328" s="37"/>
      <c r="O1328" s="37"/>
      <c r="P1328" s="37"/>
      <c r="Q1328" s="37"/>
      <c r="R1328" s="287"/>
    </row>
    <row r="1329" spans="1:18">
      <c r="A1329" s="265" t="s">
        <v>159</v>
      </c>
      <c r="B1329" s="286"/>
      <c r="C1329" s="37"/>
      <c r="D1329" s="37"/>
      <c r="E1329" s="37"/>
      <c r="F1329" s="37"/>
      <c r="G1329" s="37"/>
      <c r="H1329" s="287"/>
      <c r="I1329" s="37"/>
      <c r="J1329" s="37"/>
      <c r="K1329" s="37"/>
      <c r="L1329" s="37"/>
      <c r="M1329" s="287"/>
      <c r="N1329" s="37"/>
      <c r="O1329" s="37"/>
      <c r="P1329" s="37"/>
      <c r="Q1329" s="37"/>
      <c r="R1329" s="287"/>
    </row>
    <row r="1330" spans="1:18">
      <c r="A1330" s="265" t="s">
        <v>160</v>
      </c>
      <c r="B1330" s="286"/>
      <c r="C1330" s="37"/>
      <c r="D1330" s="37"/>
      <c r="E1330" s="37"/>
      <c r="F1330" s="37"/>
      <c r="G1330" s="37"/>
      <c r="H1330" s="287"/>
      <c r="I1330" s="37"/>
      <c r="J1330" s="37"/>
      <c r="K1330" s="37"/>
      <c r="L1330" s="37"/>
      <c r="M1330" s="287"/>
      <c r="N1330" s="37"/>
      <c r="O1330" s="37"/>
      <c r="P1330" s="37"/>
      <c r="Q1330" s="37"/>
      <c r="R1330" s="287"/>
    </row>
    <row r="1331" spans="1:18">
      <c r="A1331" s="265" t="s">
        <v>161</v>
      </c>
      <c r="B1331" s="286"/>
      <c r="C1331" s="37"/>
      <c r="D1331" s="37"/>
      <c r="E1331" s="37"/>
      <c r="F1331" s="37"/>
      <c r="G1331" s="37"/>
      <c r="H1331" s="287"/>
      <c r="I1331" s="37"/>
      <c r="J1331" s="37"/>
      <c r="K1331" s="37"/>
      <c r="L1331" s="37"/>
      <c r="M1331" s="287"/>
      <c r="N1331" s="37"/>
      <c r="O1331" s="37"/>
      <c r="P1331" s="37"/>
      <c r="Q1331" s="37"/>
      <c r="R1331" s="287"/>
    </row>
    <row r="1332" spans="1:18">
      <c r="A1332" s="265" t="s">
        <v>861</v>
      </c>
      <c r="B1332" s="286"/>
      <c r="C1332" s="37"/>
      <c r="D1332" s="37"/>
      <c r="E1332" s="37"/>
      <c r="F1332" s="37"/>
      <c r="G1332" s="37"/>
      <c r="H1332" s="287"/>
      <c r="I1332" s="37"/>
      <c r="J1332" s="37"/>
      <c r="K1332" s="37"/>
      <c r="L1332" s="37"/>
      <c r="M1332" s="287"/>
      <c r="N1332" s="37"/>
      <c r="O1332" s="37"/>
      <c r="P1332" s="37"/>
      <c r="Q1332" s="37"/>
      <c r="R1332" s="287"/>
    </row>
    <row r="1333" spans="1:18">
      <c r="A1333" s="265" t="s">
        <v>14</v>
      </c>
      <c r="B1333" s="286"/>
      <c r="C1333" s="37"/>
      <c r="D1333" s="37"/>
      <c r="E1333" s="37"/>
      <c r="F1333" s="37"/>
      <c r="G1333" s="37"/>
      <c r="H1333" s="287"/>
      <c r="I1333" s="37"/>
      <c r="J1333" s="37"/>
      <c r="K1333" s="37"/>
      <c r="L1333" s="37"/>
      <c r="M1333" s="287"/>
      <c r="N1333" s="37"/>
      <c r="O1333" s="37"/>
      <c r="P1333" s="37"/>
      <c r="Q1333" s="37"/>
      <c r="R1333" s="287"/>
    </row>
    <row r="1334" spans="1:18">
      <c r="A1334" s="265" t="s">
        <v>0</v>
      </c>
      <c r="B1334" s="286"/>
      <c r="C1334" s="37"/>
      <c r="D1334" s="37"/>
      <c r="E1334" s="37"/>
      <c r="F1334" s="37"/>
      <c r="G1334" s="37"/>
      <c r="H1334" s="287"/>
      <c r="I1334" s="37"/>
      <c r="J1334" s="37"/>
      <c r="K1334" s="37"/>
      <c r="L1334" s="37"/>
      <c r="M1334" s="287"/>
      <c r="N1334" s="37"/>
      <c r="O1334" s="37"/>
      <c r="P1334" s="37"/>
      <c r="Q1334" s="37"/>
      <c r="R1334" s="287"/>
    </row>
    <row r="1335" spans="1:18">
      <c r="A1335" s="265" t="s">
        <v>15</v>
      </c>
      <c r="B1335" s="286"/>
      <c r="C1335" s="37"/>
      <c r="D1335" s="37"/>
      <c r="E1335" s="37"/>
      <c r="F1335" s="37"/>
      <c r="G1335" s="37"/>
      <c r="H1335" s="287"/>
      <c r="I1335" s="37"/>
      <c r="J1335" s="37"/>
      <c r="K1335" s="37"/>
      <c r="L1335" s="37"/>
      <c r="M1335" s="287"/>
      <c r="N1335" s="37"/>
      <c r="O1335" s="37"/>
      <c r="P1335" s="37"/>
      <c r="Q1335" s="37"/>
      <c r="R1335" s="287"/>
    </row>
    <row r="1336" spans="1:18">
      <c r="A1336" s="265" t="s">
        <v>698</v>
      </c>
      <c r="B1336" s="286"/>
      <c r="C1336" s="37"/>
      <c r="D1336" s="37"/>
      <c r="E1336" s="37"/>
      <c r="F1336" s="37"/>
      <c r="G1336" s="37"/>
      <c r="H1336" s="287"/>
      <c r="I1336" s="37"/>
      <c r="J1336" s="37"/>
      <c r="K1336" s="37"/>
      <c r="L1336" s="37"/>
      <c r="M1336" s="287"/>
      <c r="N1336" s="37"/>
      <c r="O1336" s="37"/>
      <c r="P1336" s="37"/>
      <c r="Q1336" s="37"/>
      <c r="R1336" s="287"/>
    </row>
    <row r="1337" spans="1:18">
      <c r="A1337" s="265" t="s">
        <v>162</v>
      </c>
      <c r="B1337" s="286"/>
      <c r="C1337" s="37"/>
      <c r="D1337" s="37"/>
      <c r="E1337" s="37"/>
      <c r="F1337" s="37"/>
      <c r="G1337" s="37"/>
      <c r="H1337" s="287"/>
      <c r="I1337" s="37"/>
      <c r="J1337" s="37"/>
      <c r="K1337" s="37"/>
      <c r="L1337" s="37"/>
      <c r="M1337" s="287"/>
      <c r="N1337" s="37"/>
      <c r="O1337" s="37"/>
      <c r="P1337" s="37"/>
      <c r="Q1337" s="37"/>
      <c r="R1337" s="287"/>
    </row>
    <row r="1338" spans="1:18">
      <c r="A1338" s="265" t="s">
        <v>163</v>
      </c>
      <c r="B1338" s="286"/>
      <c r="C1338" s="37"/>
      <c r="D1338" s="37"/>
      <c r="E1338" s="37"/>
      <c r="F1338" s="37"/>
      <c r="G1338" s="37"/>
      <c r="H1338" s="287"/>
      <c r="I1338" s="37"/>
      <c r="J1338" s="37"/>
      <c r="K1338" s="37"/>
      <c r="L1338" s="37"/>
      <c r="M1338" s="287"/>
      <c r="N1338" s="37"/>
      <c r="O1338" s="37"/>
      <c r="P1338" s="37"/>
      <c r="Q1338" s="37"/>
      <c r="R1338" s="287"/>
    </row>
    <row r="1339" spans="1:18">
      <c r="A1339" s="265"/>
      <c r="B1339" s="286"/>
      <c r="C1339" s="37"/>
      <c r="D1339" s="37"/>
      <c r="E1339" s="37"/>
      <c r="F1339" s="37"/>
      <c r="G1339" s="37"/>
      <c r="H1339" s="287"/>
      <c r="I1339" s="37"/>
      <c r="J1339" s="37"/>
      <c r="K1339" s="37"/>
      <c r="L1339" s="37"/>
      <c r="M1339" s="287"/>
      <c r="N1339" s="37"/>
      <c r="O1339" s="37"/>
      <c r="P1339" s="37"/>
      <c r="Q1339" s="37"/>
      <c r="R1339" s="287"/>
    </row>
    <row r="1340" spans="1:18">
      <c r="A1340" s="270" t="s">
        <v>723</v>
      </c>
      <c r="B1340" s="291"/>
      <c r="C1340" s="39"/>
      <c r="D1340" s="39"/>
      <c r="E1340" s="39"/>
      <c r="F1340" s="39"/>
      <c r="G1340" s="39"/>
      <c r="H1340" s="292"/>
      <c r="I1340" s="39"/>
      <c r="J1340" s="39"/>
      <c r="K1340" s="39"/>
      <c r="L1340" s="39"/>
      <c r="M1340" s="292"/>
      <c r="N1340" s="39"/>
      <c r="O1340" s="39"/>
      <c r="P1340" s="39"/>
      <c r="Q1340" s="39"/>
      <c r="R1340" s="292"/>
    </row>
    <row r="1341" spans="1:18">
      <c r="A1341" s="265"/>
      <c r="B1341" s="286"/>
      <c r="C1341" s="37"/>
      <c r="D1341" s="37"/>
      <c r="E1341" s="37"/>
      <c r="F1341" s="37"/>
      <c r="G1341" s="37"/>
      <c r="H1341" s="287"/>
      <c r="I1341" s="37"/>
      <c r="J1341" s="37"/>
      <c r="K1341" s="37"/>
      <c r="L1341" s="37"/>
      <c r="M1341" s="287"/>
      <c r="N1341" s="37"/>
      <c r="O1341" s="37"/>
      <c r="P1341" s="37"/>
      <c r="Q1341" s="37"/>
      <c r="R1341" s="287"/>
    </row>
    <row r="1342" spans="1:18">
      <c r="A1342" s="265"/>
      <c r="B1342" s="286"/>
      <c r="C1342" s="37"/>
      <c r="D1342" s="37"/>
      <c r="E1342" s="37"/>
      <c r="F1342" s="37"/>
      <c r="G1342" s="37"/>
      <c r="H1342" s="287"/>
      <c r="I1342" s="37"/>
      <c r="J1342" s="37"/>
      <c r="K1342" s="37"/>
      <c r="L1342" s="37"/>
      <c r="M1342" s="287"/>
      <c r="N1342" s="37"/>
      <c r="O1342" s="37"/>
      <c r="P1342" s="37"/>
      <c r="Q1342" s="37"/>
      <c r="R1342" s="287"/>
    </row>
    <row r="1343" spans="1:18">
      <c r="A1343" s="265"/>
      <c r="B1343" s="286"/>
      <c r="C1343" s="37"/>
      <c r="D1343" s="37"/>
      <c r="E1343" s="37"/>
      <c r="F1343" s="37"/>
      <c r="G1343" s="37"/>
      <c r="H1343" s="287"/>
      <c r="I1343" s="37"/>
      <c r="J1343" s="37"/>
      <c r="K1343" s="37"/>
      <c r="L1343" s="37"/>
      <c r="M1343" s="287"/>
      <c r="N1343" s="37"/>
      <c r="O1343" s="37"/>
      <c r="P1343" s="37"/>
      <c r="Q1343" s="37"/>
      <c r="R1343" s="287"/>
    </row>
    <row r="1344" spans="1:18">
      <c r="A1344" s="265"/>
      <c r="B1344" s="286"/>
      <c r="C1344" s="37"/>
      <c r="D1344" s="37"/>
      <c r="E1344" s="37"/>
      <c r="F1344" s="37"/>
      <c r="G1344" s="37"/>
      <c r="H1344" s="287"/>
      <c r="I1344" s="37"/>
      <c r="J1344" s="37"/>
      <c r="K1344" s="37"/>
      <c r="L1344" s="37"/>
      <c r="M1344" s="287"/>
      <c r="N1344" s="37"/>
      <c r="O1344" s="37"/>
      <c r="P1344" s="37"/>
      <c r="Q1344" s="37"/>
      <c r="R1344" s="287"/>
    </row>
    <row r="1345" spans="1:18">
      <c r="A1345" s="265"/>
      <c r="B1345" s="286"/>
      <c r="C1345" s="37"/>
      <c r="D1345" s="37"/>
      <c r="E1345" s="37"/>
      <c r="F1345" s="37"/>
      <c r="G1345" s="37"/>
      <c r="H1345" s="287"/>
      <c r="I1345" s="37"/>
      <c r="J1345" s="37"/>
      <c r="K1345" s="37"/>
      <c r="L1345" s="37"/>
      <c r="M1345" s="287"/>
      <c r="N1345" s="37"/>
      <c r="O1345" s="37"/>
      <c r="P1345" s="37"/>
      <c r="Q1345" s="37"/>
      <c r="R1345" s="287"/>
    </row>
    <row r="1346" spans="1:18">
      <c r="A1346" s="268"/>
      <c r="B1346" s="288"/>
      <c r="C1346" s="13"/>
      <c r="D1346" s="13"/>
      <c r="E1346" s="13"/>
      <c r="F1346" s="13"/>
      <c r="G1346" s="13"/>
      <c r="H1346" s="113"/>
      <c r="I1346" s="13"/>
      <c r="J1346" s="13"/>
      <c r="K1346" s="13"/>
      <c r="L1346" s="13"/>
      <c r="M1346" s="113"/>
      <c r="N1346" s="13"/>
      <c r="O1346" s="13"/>
      <c r="P1346" s="13"/>
      <c r="Q1346" s="13"/>
      <c r="R1346" s="113"/>
    </row>
    <row r="1347" spans="1:18">
      <c r="A1347" s="264" t="s">
        <v>235</v>
      </c>
      <c r="B1347" s="282"/>
      <c r="C1347" s="40"/>
      <c r="D1347" s="40"/>
      <c r="E1347" s="40"/>
      <c r="F1347" s="40"/>
      <c r="G1347" s="40"/>
      <c r="H1347" s="283"/>
      <c r="I1347" s="40"/>
      <c r="J1347" s="40"/>
      <c r="K1347" s="40"/>
      <c r="L1347" s="40"/>
      <c r="M1347" s="283"/>
      <c r="N1347" s="40"/>
      <c r="O1347" s="40"/>
      <c r="P1347" s="40"/>
      <c r="Q1347" s="40"/>
      <c r="R1347" s="283"/>
    </row>
    <row r="1348" spans="1:18">
      <c r="A1348" s="268" t="s">
        <v>17</v>
      </c>
      <c r="B1348" s="288"/>
      <c r="C1348" s="13"/>
      <c r="D1348" s="13"/>
      <c r="E1348" s="13"/>
      <c r="F1348" s="13"/>
      <c r="G1348" s="13"/>
      <c r="H1348" s="113"/>
      <c r="I1348" s="13"/>
      <c r="J1348" s="13"/>
      <c r="K1348" s="13"/>
      <c r="L1348" s="13"/>
      <c r="M1348" s="113"/>
      <c r="N1348" s="13"/>
      <c r="O1348" s="13"/>
      <c r="P1348" s="13"/>
      <c r="Q1348" s="13"/>
      <c r="R1348" s="113"/>
    </row>
    <row r="1349" spans="1:18">
      <c r="A1349" s="268" t="s">
        <v>18</v>
      </c>
      <c r="B1349" s="288"/>
      <c r="C1349" s="13"/>
      <c r="D1349" s="13"/>
      <c r="E1349" s="13"/>
      <c r="F1349" s="13"/>
      <c r="G1349" s="13"/>
      <c r="H1349" s="113"/>
      <c r="I1349" s="13"/>
      <c r="J1349" s="13"/>
      <c r="K1349" s="13"/>
      <c r="L1349" s="13"/>
      <c r="M1349" s="113"/>
      <c r="N1349" s="13"/>
      <c r="O1349" s="13"/>
      <c r="P1349" s="13"/>
      <c r="Q1349" s="13"/>
      <c r="R1349" s="113"/>
    </row>
    <row r="1350" spans="1:18">
      <c r="A1350" s="268"/>
      <c r="B1350" s="288"/>
      <c r="C1350" s="13"/>
      <c r="D1350" s="13"/>
      <c r="E1350" s="13"/>
      <c r="F1350" s="13"/>
      <c r="G1350" s="13"/>
      <c r="H1350" s="113"/>
      <c r="I1350" s="13"/>
      <c r="J1350" s="13"/>
      <c r="K1350" s="13"/>
      <c r="L1350" s="13"/>
      <c r="M1350" s="113"/>
      <c r="N1350" s="13"/>
      <c r="O1350" s="13"/>
      <c r="P1350" s="13"/>
      <c r="Q1350" s="13"/>
      <c r="R1350" s="113"/>
    </row>
    <row r="1351" spans="1:18">
      <c r="A1351" s="262" t="s">
        <v>268</v>
      </c>
      <c r="B1351" s="278"/>
      <c r="C1351" s="17"/>
      <c r="D1351" s="17"/>
      <c r="E1351" s="17"/>
      <c r="F1351" s="17"/>
      <c r="G1351" s="17"/>
      <c r="H1351" s="279"/>
      <c r="I1351" s="17"/>
      <c r="J1351" s="17"/>
      <c r="K1351" s="17"/>
      <c r="L1351" s="17"/>
      <c r="M1351" s="279"/>
      <c r="N1351" s="17"/>
      <c r="O1351" s="17"/>
      <c r="P1351" s="17"/>
      <c r="Q1351" s="17"/>
      <c r="R1351" s="279"/>
    </row>
    <row r="1352" spans="1:18">
      <c r="A1352" s="263" t="s">
        <v>268</v>
      </c>
      <c r="B1352" s="280"/>
      <c r="C1352" s="35"/>
      <c r="D1352" s="35"/>
      <c r="E1352" s="35"/>
      <c r="F1352" s="35"/>
      <c r="G1352" s="35"/>
      <c r="H1352" s="281"/>
      <c r="I1352" s="35"/>
      <c r="J1352" s="35"/>
      <c r="K1352" s="35"/>
      <c r="L1352" s="35"/>
      <c r="M1352" s="281"/>
      <c r="N1352" s="35"/>
      <c r="O1352" s="35"/>
      <c r="P1352" s="35"/>
      <c r="Q1352" s="35"/>
      <c r="R1352" s="281"/>
    </row>
    <row r="1353" spans="1:18">
      <c r="A1353" s="264" t="s">
        <v>714</v>
      </c>
      <c r="B1353" s="282"/>
      <c r="C1353" s="40"/>
      <c r="D1353" s="40"/>
      <c r="E1353" s="40"/>
      <c r="F1353" s="40"/>
      <c r="G1353" s="40"/>
      <c r="H1353" s="283"/>
      <c r="I1353" s="40"/>
      <c r="J1353" s="40"/>
      <c r="K1353" s="40"/>
      <c r="L1353" s="40"/>
      <c r="M1353" s="283"/>
      <c r="N1353" s="40"/>
      <c r="O1353" s="40"/>
      <c r="P1353" s="40"/>
      <c r="Q1353" s="40"/>
      <c r="R1353" s="283"/>
    </row>
    <row r="1354" spans="1:18">
      <c r="A1354" s="268"/>
      <c r="B1354" s="288"/>
      <c r="C1354" s="13"/>
      <c r="D1354" s="13"/>
      <c r="E1354" s="13"/>
      <c r="F1354" s="13"/>
      <c r="G1354" s="13"/>
      <c r="H1354" s="113"/>
      <c r="I1354" s="13"/>
      <c r="J1354" s="13"/>
      <c r="K1354" s="13"/>
      <c r="L1354" s="13"/>
      <c r="M1354" s="113"/>
      <c r="N1354" s="13"/>
      <c r="O1354" s="13"/>
      <c r="P1354" s="13"/>
      <c r="Q1354" s="13"/>
      <c r="R1354" s="113"/>
    </row>
    <row r="1355" spans="1:18">
      <c r="A1355" s="268"/>
      <c r="B1355" s="288"/>
      <c r="C1355" s="13"/>
      <c r="D1355" s="13"/>
      <c r="E1355" s="13"/>
      <c r="F1355" s="13"/>
      <c r="G1355" s="13"/>
      <c r="H1355" s="113"/>
      <c r="I1355" s="13"/>
      <c r="J1355" s="13"/>
      <c r="K1355" s="13"/>
      <c r="L1355" s="13"/>
      <c r="M1355" s="113"/>
      <c r="N1355" s="13"/>
      <c r="O1355" s="13"/>
      <c r="P1355" s="13"/>
      <c r="Q1355" s="13"/>
      <c r="R1355" s="113"/>
    </row>
    <row r="1356" spans="1:18">
      <c r="A1356" s="268"/>
      <c r="B1356" s="288"/>
      <c r="C1356" s="13"/>
      <c r="D1356" s="13"/>
      <c r="E1356" s="13"/>
      <c r="F1356" s="13"/>
      <c r="G1356" s="13"/>
      <c r="H1356" s="113"/>
      <c r="I1356" s="13"/>
      <c r="J1356" s="13"/>
      <c r="K1356" s="13"/>
      <c r="L1356" s="13"/>
      <c r="M1356" s="113"/>
      <c r="N1356" s="13"/>
      <c r="O1356" s="13"/>
      <c r="P1356" s="13"/>
      <c r="Q1356" s="13"/>
      <c r="R1356" s="113"/>
    </row>
    <row r="1357" spans="1:18">
      <c r="A1357" s="268"/>
      <c r="B1357" s="288"/>
      <c r="C1357" s="13"/>
      <c r="D1357" s="13"/>
      <c r="E1357" s="13"/>
      <c r="F1357" s="13"/>
      <c r="G1357" s="13"/>
      <c r="H1357" s="113"/>
      <c r="I1357" s="13"/>
      <c r="J1357" s="13"/>
      <c r="K1357" s="13"/>
      <c r="L1357" s="13"/>
      <c r="M1357" s="113"/>
      <c r="N1357" s="13"/>
      <c r="O1357" s="13"/>
      <c r="P1357" s="13"/>
      <c r="Q1357" s="13"/>
      <c r="R1357" s="113"/>
    </row>
    <row r="1358" spans="1:18">
      <c r="A1358" s="264" t="s">
        <v>235</v>
      </c>
      <c r="B1358" s="282"/>
      <c r="C1358" s="40"/>
      <c r="D1358" s="40"/>
      <c r="E1358" s="40"/>
      <c r="F1358" s="40"/>
      <c r="G1358" s="40"/>
      <c r="H1358" s="283"/>
      <c r="I1358" s="40"/>
      <c r="J1358" s="40"/>
      <c r="K1358" s="40"/>
      <c r="L1358" s="40"/>
      <c r="M1358" s="283"/>
      <c r="N1358" s="40"/>
      <c r="O1358" s="40"/>
      <c r="P1358" s="40"/>
      <c r="Q1358" s="40"/>
      <c r="R1358" s="283"/>
    </row>
    <row r="1359" spans="1:18">
      <c r="A1359" s="268" t="s">
        <v>17</v>
      </c>
      <c r="B1359" s="288"/>
      <c r="C1359" s="13"/>
      <c r="D1359" s="13"/>
      <c r="E1359" s="13"/>
      <c r="F1359" s="13"/>
      <c r="G1359" s="13"/>
      <c r="H1359" s="113"/>
      <c r="I1359" s="13"/>
      <c r="J1359" s="13"/>
      <c r="K1359" s="13"/>
      <c r="L1359" s="13"/>
      <c r="M1359" s="113"/>
      <c r="N1359" s="13"/>
      <c r="O1359" s="13"/>
      <c r="P1359" s="13"/>
      <c r="Q1359" s="13"/>
      <c r="R1359" s="113"/>
    </row>
    <row r="1360" spans="1:18">
      <c r="A1360" s="268" t="s">
        <v>18</v>
      </c>
      <c r="B1360" s="288"/>
      <c r="C1360" s="13"/>
      <c r="D1360" s="13"/>
      <c r="E1360" s="13"/>
      <c r="F1360" s="13"/>
      <c r="G1360" s="13"/>
      <c r="H1360" s="113"/>
      <c r="I1360" s="13"/>
      <c r="J1360" s="13"/>
      <c r="K1360" s="13"/>
      <c r="L1360" s="13"/>
      <c r="M1360" s="113"/>
      <c r="N1360" s="13"/>
      <c r="O1360" s="13"/>
      <c r="P1360" s="13"/>
      <c r="Q1360" s="13"/>
      <c r="R1360" s="113"/>
    </row>
    <row r="1361" spans="1:18">
      <c r="A1361" s="268"/>
      <c r="B1361" s="288"/>
      <c r="C1361" s="13"/>
      <c r="D1361" s="13"/>
      <c r="E1361" s="13"/>
      <c r="F1361" s="13"/>
      <c r="G1361" s="13"/>
      <c r="H1361" s="113"/>
      <c r="I1361" s="13"/>
      <c r="J1361" s="13"/>
      <c r="K1361" s="13"/>
      <c r="L1361" s="13"/>
      <c r="M1361" s="113"/>
      <c r="N1361" s="13"/>
      <c r="O1361" s="13"/>
      <c r="P1361" s="13"/>
      <c r="Q1361" s="13"/>
      <c r="R1361" s="113"/>
    </row>
    <row r="1362" spans="1:18">
      <c r="A1362" s="262" t="s">
        <v>269</v>
      </c>
      <c r="B1362" s="278"/>
      <c r="C1362" s="17"/>
      <c r="D1362" s="17"/>
      <c r="E1362" s="17"/>
      <c r="F1362" s="17"/>
      <c r="G1362" s="17"/>
      <c r="H1362" s="279"/>
      <c r="I1362" s="17"/>
      <c r="J1362" s="17"/>
      <c r="K1362" s="17"/>
      <c r="L1362" s="17"/>
      <c r="M1362" s="279"/>
      <c r="N1362" s="17"/>
      <c r="O1362" s="17"/>
      <c r="P1362" s="17"/>
      <c r="Q1362" s="17"/>
      <c r="R1362" s="279"/>
    </row>
    <row r="1363" spans="1:18">
      <c r="A1363" s="263" t="s">
        <v>269</v>
      </c>
      <c r="B1363" s="280"/>
      <c r="C1363" s="35"/>
      <c r="D1363" s="35"/>
      <c r="E1363" s="35"/>
      <c r="F1363" s="35"/>
      <c r="G1363" s="35"/>
      <c r="H1363" s="281"/>
      <c r="I1363" s="35"/>
      <c r="J1363" s="35"/>
      <c r="K1363" s="35"/>
      <c r="L1363" s="35"/>
      <c r="M1363" s="281"/>
      <c r="N1363" s="35"/>
      <c r="O1363" s="35"/>
      <c r="P1363" s="35"/>
      <c r="Q1363" s="35"/>
      <c r="R1363" s="281"/>
    </row>
    <row r="1364" spans="1:18">
      <c r="A1364" s="264" t="s">
        <v>714</v>
      </c>
      <c r="B1364" s="282"/>
      <c r="C1364" s="40"/>
      <c r="D1364" s="40"/>
      <c r="E1364" s="40"/>
      <c r="F1364" s="40"/>
      <c r="G1364" s="40"/>
      <c r="H1364" s="283"/>
      <c r="I1364" s="40"/>
      <c r="J1364" s="40"/>
      <c r="K1364" s="40"/>
      <c r="L1364" s="40"/>
      <c r="M1364" s="283"/>
      <c r="N1364" s="40"/>
      <c r="O1364" s="40"/>
      <c r="P1364" s="40"/>
      <c r="Q1364" s="40"/>
      <c r="R1364" s="283"/>
    </row>
    <row r="1365" spans="1:18">
      <c r="A1365" s="263" t="s">
        <v>270</v>
      </c>
      <c r="B1365" s="280"/>
      <c r="C1365" s="35"/>
      <c r="D1365" s="35"/>
      <c r="E1365" s="35"/>
      <c r="F1365" s="35"/>
      <c r="G1365" s="35"/>
      <c r="H1365" s="281"/>
      <c r="I1365" s="35"/>
      <c r="J1365" s="35"/>
      <c r="K1365" s="35"/>
      <c r="L1365" s="35"/>
      <c r="M1365" s="281"/>
      <c r="N1365" s="35"/>
      <c r="O1365" s="35"/>
      <c r="P1365" s="35"/>
      <c r="Q1365" s="35"/>
      <c r="R1365" s="281"/>
    </row>
    <row r="1366" spans="1:18">
      <c r="A1366" s="268" t="s">
        <v>953</v>
      </c>
      <c r="B1366" s="288"/>
      <c r="C1366" s="13"/>
      <c r="D1366" s="13"/>
      <c r="E1366" s="13"/>
      <c r="F1366" s="13"/>
      <c r="G1366" s="13"/>
      <c r="H1366" s="113"/>
      <c r="I1366" s="13"/>
      <c r="J1366" s="13"/>
      <c r="K1366" s="13"/>
      <c r="L1366" s="13"/>
      <c r="M1366" s="113"/>
      <c r="N1366" s="13"/>
      <c r="O1366" s="13"/>
      <c r="P1366" s="13"/>
      <c r="Q1366" s="13"/>
      <c r="R1366" s="113"/>
    </row>
    <row r="1367" spans="1:18">
      <c r="A1367" s="268"/>
      <c r="B1367" s="288"/>
      <c r="C1367" s="13"/>
      <c r="D1367" s="13"/>
      <c r="E1367" s="13"/>
      <c r="F1367" s="13"/>
      <c r="G1367" s="13"/>
      <c r="H1367" s="113"/>
      <c r="I1367" s="13"/>
      <c r="J1367" s="13"/>
      <c r="K1367" s="13"/>
      <c r="L1367" s="13"/>
      <c r="M1367" s="113"/>
      <c r="N1367" s="13"/>
      <c r="O1367" s="13"/>
      <c r="P1367" s="13"/>
      <c r="Q1367" s="13"/>
      <c r="R1367" s="113"/>
    </row>
    <row r="1368" spans="1:18">
      <c r="A1368" s="268"/>
      <c r="B1368" s="288"/>
      <c r="C1368" s="13"/>
      <c r="D1368" s="13"/>
      <c r="E1368" s="13"/>
      <c r="F1368" s="13"/>
      <c r="G1368" s="13"/>
      <c r="H1368" s="113"/>
      <c r="I1368" s="13"/>
      <c r="J1368" s="13"/>
      <c r="K1368" s="13"/>
      <c r="L1368" s="13"/>
      <c r="M1368" s="113"/>
      <c r="N1368" s="13"/>
      <c r="O1368" s="13"/>
      <c r="P1368" s="13"/>
      <c r="Q1368" s="13"/>
      <c r="R1368" s="113"/>
    </row>
    <row r="1369" spans="1:18">
      <c r="A1369" s="268"/>
      <c r="B1369" s="288"/>
      <c r="C1369" s="13"/>
      <c r="D1369" s="13"/>
      <c r="E1369" s="13"/>
      <c r="F1369" s="13"/>
      <c r="G1369" s="13"/>
      <c r="H1369" s="113"/>
      <c r="I1369" s="13"/>
      <c r="J1369" s="13"/>
      <c r="K1369" s="13"/>
      <c r="L1369" s="13"/>
      <c r="M1369" s="113"/>
      <c r="N1369" s="13"/>
      <c r="O1369" s="13"/>
      <c r="P1369" s="13"/>
      <c r="Q1369" s="13"/>
      <c r="R1369" s="113"/>
    </row>
    <row r="1370" spans="1:18">
      <c r="A1370" s="263" t="s">
        <v>271</v>
      </c>
      <c r="B1370" s="280"/>
      <c r="C1370" s="35"/>
      <c r="D1370" s="35"/>
      <c r="E1370" s="35"/>
      <c r="F1370" s="35"/>
      <c r="G1370" s="35"/>
      <c r="H1370" s="281"/>
      <c r="I1370" s="35"/>
      <c r="J1370" s="35"/>
      <c r="K1370" s="35"/>
      <c r="L1370" s="35"/>
      <c r="M1370" s="281"/>
      <c r="N1370" s="35"/>
      <c r="O1370" s="35"/>
      <c r="P1370" s="35"/>
      <c r="Q1370" s="35"/>
      <c r="R1370" s="281"/>
    </row>
    <row r="1371" spans="1:18">
      <c r="A1371" s="268" t="s">
        <v>955</v>
      </c>
      <c r="B1371" s="288"/>
      <c r="C1371" s="13"/>
      <c r="D1371" s="13"/>
      <c r="E1371" s="13"/>
      <c r="F1371" s="13"/>
      <c r="G1371" s="13"/>
      <c r="H1371" s="113"/>
      <c r="I1371" s="13"/>
      <c r="J1371" s="13"/>
      <c r="K1371" s="13"/>
      <c r="L1371" s="13"/>
      <c r="M1371" s="113"/>
      <c r="N1371" s="13"/>
      <c r="O1371" s="13"/>
      <c r="P1371" s="13"/>
      <c r="Q1371" s="13"/>
      <c r="R1371" s="113"/>
    </row>
    <row r="1372" spans="1:18">
      <c r="A1372" s="268" t="s">
        <v>956</v>
      </c>
      <c r="B1372" s="288"/>
      <c r="C1372" s="13"/>
      <c r="D1372" s="13"/>
      <c r="E1372" s="13"/>
      <c r="F1372" s="13"/>
      <c r="G1372" s="13"/>
      <c r="H1372" s="113"/>
      <c r="I1372" s="13"/>
      <c r="J1372" s="13"/>
      <c r="K1372" s="13"/>
      <c r="L1372" s="13"/>
      <c r="M1372" s="113"/>
      <c r="N1372" s="13"/>
      <c r="O1372" s="13"/>
      <c r="P1372" s="13"/>
      <c r="Q1372" s="13"/>
      <c r="R1372" s="113"/>
    </row>
    <row r="1373" spans="1:18">
      <c r="A1373" s="268" t="s">
        <v>954</v>
      </c>
      <c r="B1373" s="288"/>
      <c r="C1373" s="13"/>
      <c r="D1373" s="13"/>
      <c r="E1373" s="13"/>
      <c r="F1373" s="13"/>
      <c r="G1373" s="13"/>
      <c r="H1373" s="113"/>
      <c r="I1373" s="13"/>
      <c r="J1373" s="13"/>
      <c r="K1373" s="13"/>
      <c r="L1373" s="13"/>
      <c r="M1373" s="113"/>
      <c r="N1373" s="13"/>
      <c r="O1373" s="13"/>
      <c r="P1373" s="13"/>
      <c r="Q1373" s="13"/>
      <c r="R1373" s="113"/>
    </row>
    <row r="1374" spans="1:18">
      <c r="A1374" s="268"/>
      <c r="B1374" s="288"/>
      <c r="C1374" s="13"/>
      <c r="D1374" s="13"/>
      <c r="E1374" s="13"/>
      <c r="F1374" s="13"/>
      <c r="G1374" s="13"/>
      <c r="H1374" s="113"/>
      <c r="I1374" s="13"/>
      <c r="J1374" s="13"/>
      <c r="K1374" s="13"/>
      <c r="L1374" s="13"/>
      <c r="M1374" s="113"/>
      <c r="N1374" s="13"/>
      <c r="O1374" s="13"/>
      <c r="P1374" s="13"/>
      <c r="Q1374" s="13"/>
      <c r="R1374" s="113"/>
    </row>
    <row r="1375" spans="1:18">
      <c r="A1375" s="268"/>
      <c r="B1375" s="288"/>
      <c r="C1375" s="13"/>
      <c r="D1375" s="13"/>
      <c r="E1375" s="13"/>
      <c r="F1375" s="13"/>
      <c r="G1375" s="13"/>
      <c r="H1375" s="113"/>
      <c r="I1375" s="13"/>
      <c r="J1375" s="13"/>
      <c r="K1375" s="13"/>
      <c r="L1375" s="13"/>
      <c r="M1375" s="113"/>
      <c r="N1375" s="13"/>
      <c r="O1375" s="13"/>
      <c r="P1375" s="13"/>
      <c r="Q1375" s="13"/>
      <c r="R1375" s="113"/>
    </row>
    <row r="1376" spans="1:18">
      <c r="A1376" s="268"/>
      <c r="B1376" s="288"/>
      <c r="C1376" s="13"/>
      <c r="D1376" s="13"/>
      <c r="E1376" s="13"/>
      <c r="F1376" s="13"/>
      <c r="G1376" s="13"/>
      <c r="H1376" s="113"/>
      <c r="I1376" s="13"/>
      <c r="J1376" s="13"/>
      <c r="K1376" s="13"/>
      <c r="L1376" s="13"/>
      <c r="M1376" s="113"/>
      <c r="N1376" s="13"/>
      <c r="O1376" s="13"/>
      <c r="P1376" s="13"/>
      <c r="Q1376" s="13"/>
      <c r="R1376" s="113"/>
    </row>
    <row r="1377" spans="1:18">
      <c r="A1377" s="264" t="s">
        <v>235</v>
      </c>
      <c r="B1377" s="282"/>
      <c r="C1377" s="40"/>
      <c r="D1377" s="40"/>
      <c r="E1377" s="40"/>
      <c r="F1377" s="40"/>
      <c r="G1377" s="40"/>
      <c r="H1377" s="283"/>
      <c r="I1377" s="40"/>
      <c r="J1377" s="40"/>
      <c r="K1377" s="40"/>
      <c r="L1377" s="40"/>
      <c r="M1377" s="283"/>
      <c r="N1377" s="40"/>
      <c r="O1377" s="40"/>
      <c r="P1377" s="40"/>
      <c r="Q1377" s="40"/>
      <c r="R1377" s="283"/>
    </row>
    <row r="1378" spans="1:18">
      <c r="A1378" s="268" t="s">
        <v>17</v>
      </c>
      <c r="B1378" s="288"/>
      <c r="C1378" s="13"/>
      <c r="D1378" s="13"/>
      <c r="E1378" s="13"/>
      <c r="F1378" s="13"/>
      <c r="G1378" s="13"/>
      <c r="H1378" s="113"/>
      <c r="I1378" s="13"/>
      <c r="J1378" s="13"/>
      <c r="K1378" s="13"/>
      <c r="L1378" s="13"/>
      <c r="M1378" s="113"/>
      <c r="N1378" s="13"/>
      <c r="O1378" s="13"/>
      <c r="P1378" s="13"/>
      <c r="Q1378" s="13"/>
      <c r="R1378" s="113"/>
    </row>
    <row r="1379" spans="1:18">
      <c r="A1379" s="268" t="s">
        <v>18</v>
      </c>
      <c r="B1379" s="288"/>
      <c r="C1379" s="13"/>
      <c r="D1379" s="13"/>
      <c r="E1379" s="13"/>
      <c r="F1379" s="13"/>
      <c r="G1379" s="13"/>
      <c r="H1379" s="113"/>
      <c r="I1379" s="13"/>
      <c r="J1379" s="13"/>
      <c r="K1379" s="13"/>
      <c r="L1379" s="13"/>
      <c r="M1379" s="113"/>
      <c r="N1379" s="13"/>
      <c r="O1379" s="13"/>
      <c r="P1379" s="13"/>
      <c r="Q1379" s="13"/>
      <c r="R1379" s="113"/>
    </row>
    <row r="1380" spans="1:18">
      <c r="A1380" s="277"/>
      <c r="B1380" s="303"/>
      <c r="C1380" s="304"/>
      <c r="D1380" s="304"/>
      <c r="E1380" s="304"/>
      <c r="F1380" s="304"/>
      <c r="G1380" s="304"/>
      <c r="H1380" s="305"/>
      <c r="I1380" s="304"/>
      <c r="J1380" s="304"/>
      <c r="K1380" s="304"/>
      <c r="L1380" s="304"/>
      <c r="M1380" s="305"/>
      <c r="N1380" s="304"/>
      <c r="O1380" s="304"/>
      <c r="P1380" s="304"/>
      <c r="Q1380" s="304"/>
      <c r="R1380" s="305"/>
    </row>
  </sheetData>
  <autoFilter ref="A221:F277" xr:uid="{00000000-0001-0000-0600-000000000000}"/>
  <mergeCells count="3">
    <mergeCell ref="B9:H10"/>
    <mergeCell ref="I9:M10"/>
    <mergeCell ref="N9:R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>
    <tabColor rgb="FF002060"/>
    <outlinePr summaryBelow="0"/>
    <pageSetUpPr fitToPage="1"/>
  </sheetPr>
  <dimension ref="A1:J1053"/>
  <sheetViews>
    <sheetView zoomScale="80" zoomScaleNormal="80" workbookViewId="0">
      <selection activeCell="A71" sqref="A71"/>
    </sheetView>
  </sheetViews>
  <sheetFormatPr defaultColWidth="9.14453125" defaultRowHeight="15" outlineLevelRow="1"/>
  <cols>
    <col min="1" max="1" width="41.296875" style="157" customWidth="1"/>
    <col min="2" max="2" width="64.5703125" style="157" bestFit="1" customWidth="1"/>
    <col min="3" max="3" width="9.55078125" style="157" customWidth="1"/>
    <col min="4" max="4" width="10.89453125" style="157" customWidth="1"/>
    <col min="5" max="5" width="5.91796875" style="123" customWidth="1"/>
    <col min="6" max="6" width="5.51171875" style="123" bestFit="1" customWidth="1"/>
    <col min="7" max="7" width="40.7578125" style="123" customWidth="1"/>
    <col min="8" max="9" width="15.19921875" style="123" bestFit="1" customWidth="1"/>
    <col min="10" max="16384" width="9.14453125" style="123"/>
  </cols>
  <sheetData>
    <row r="1" spans="1:10" ht="34.5">
      <c r="A1" s="792" t="s">
        <v>3135</v>
      </c>
      <c r="B1" s="792" t="s">
        <v>3136</v>
      </c>
      <c r="C1" s="793" t="s">
        <v>3142</v>
      </c>
      <c r="D1" s="799" t="s">
        <v>3143</v>
      </c>
      <c r="E1" s="795"/>
      <c r="G1" s="594" t="s">
        <v>2001</v>
      </c>
      <c r="H1" s="793" t="s">
        <v>3137</v>
      </c>
      <c r="I1" s="800" t="s">
        <v>3143</v>
      </c>
    </row>
    <row r="2" spans="1:10">
      <c r="A2" s="796"/>
      <c r="B2" s="796"/>
      <c r="C2" s="797">
        <f>SUBTOTAL(9,C3:C5568)</f>
        <v>263</v>
      </c>
      <c r="D2" s="797">
        <f>SUBTOTAL(9,D3:D2568)</f>
        <v>0</v>
      </c>
      <c r="E2" s="798"/>
      <c r="F2" s="815">
        <f>C2-Avaliação!U2</f>
        <v>0</v>
      </c>
      <c r="G2" s="595" t="s">
        <v>1790</v>
      </c>
      <c r="H2" s="596">
        <f>SUBTOTAL(9,H3:H17)</f>
        <v>233</v>
      </c>
      <c r="I2" s="596">
        <f>SUBTOTAL(9,I3:I17)</f>
        <v>0</v>
      </c>
      <c r="J2" s="123">
        <f>C2-H2</f>
        <v>30</v>
      </c>
    </row>
    <row r="3" spans="1:10" outlineLevel="1">
      <c r="A3" s="157" t="s">
        <v>3193</v>
      </c>
      <c r="B3" s="195" t="s">
        <v>3194</v>
      </c>
      <c r="C3" s="775">
        <f>(SUMIF(Avaliação!$K:$K,A3,Avaliação!$J:$J))+(SUMIF(Avaliação!$O:$O,A3,Avaliação!$N:$N))+(SUMIF(Avaliação!$S:$S,A3,Avaliação!$R:$R))</f>
        <v>0</v>
      </c>
      <c r="D3" s="775">
        <f>(SUMIF(Avaliação!$AA:$AA,A3,Avaliação!$Z:$Z))+(SUMIF(Avaliação!$AD:$AD,A3,Avaliação!$AC:$AC))+(SUMIF(Avaliação!$AG:$AG,A3,Avaliação!$AF:$AF))</f>
        <v>0</v>
      </c>
      <c r="F3" s="801">
        <v>3481</v>
      </c>
      <c r="G3" s="802" t="s">
        <v>2002</v>
      </c>
      <c r="H3" s="803">
        <f>SUMIF(Avaliação!$B:$B,F3,Avaliação!$I:$I)</f>
        <v>36</v>
      </c>
      <c r="I3" s="804">
        <f>SUMIF(Avaliação!$B:$B,F3,Avaliação!$Z:$Z)+SUMIF(Avaliação!$B:$B,F3,Avaliação!$AC:$AC)+SUMIF(Avaliação!$B:$B,F3,Avaliação!$AF:$AF)</f>
        <v>0</v>
      </c>
    </row>
    <row r="4" spans="1:10" outlineLevel="1">
      <c r="A4" s="157" t="s">
        <v>3195</v>
      </c>
      <c r="B4" s="195" t="s">
        <v>3196</v>
      </c>
      <c r="C4" s="775">
        <f>(SUMIF(Avaliação!$K:$K,A4,Avaliação!$J:$J))+(SUMIF(Avaliação!$O:$O,A4,Avaliação!$N:$N))+(SUMIF(Avaliação!$S:$S,A4,Avaliação!$R:$R))</f>
        <v>0</v>
      </c>
      <c r="D4" s="775">
        <f>(SUMIF(Avaliação!$AA:$AA,A4,Avaliação!$Z:$Z))+(SUMIF(Avaliação!$AD:$AD,A4,Avaliação!$AC:$AC))+(SUMIF(Avaliação!$AG:$AG,A4,Avaliação!$AF:$AF))</f>
        <v>0</v>
      </c>
      <c r="F4" s="805">
        <v>3491</v>
      </c>
      <c r="G4" s="806" t="s">
        <v>2003</v>
      </c>
      <c r="H4" s="807">
        <f>SUMIF(Avaliação!$B:$B,F4,Avaliação!$I:$I)</f>
        <v>13</v>
      </c>
      <c r="I4" s="808">
        <f>SUMIF(Avaliação!$B:$B,F4,Avaliação!$Z:$Z)+SUMIF(Avaliação!$B:$B,F4,Avaliação!$AC:$AC)+SUMIF(Avaliação!$B:$B,F4,Avaliação!$AF:$AF)</f>
        <v>0</v>
      </c>
    </row>
    <row r="5" spans="1:10" outlineLevel="1">
      <c r="A5" s="157" t="s">
        <v>3197</v>
      </c>
      <c r="B5" s="195" t="s">
        <v>3198</v>
      </c>
      <c r="C5" s="775">
        <f>(SUMIF(Avaliação!$K:$K,A5,Avaliação!$J:$J))+(SUMIF(Avaliação!$O:$O,A5,Avaliação!$N:$N))+(SUMIF(Avaliação!$S:$S,A5,Avaliação!$R:$R))</f>
        <v>0</v>
      </c>
      <c r="D5" s="775">
        <f>(SUMIF(Avaliação!$AA:$AA,A5,Avaliação!$Z:$Z))+(SUMIF(Avaliação!$AD:$AD,A5,Avaliação!$AC:$AC))+(SUMIF(Avaliação!$AG:$AG,A5,Avaliação!$AF:$AF))</f>
        <v>0</v>
      </c>
      <c r="F5" s="805">
        <v>3482</v>
      </c>
      <c r="G5" s="806" t="s">
        <v>2004</v>
      </c>
      <c r="H5" s="807">
        <f>SUMIF(Avaliação!$B:$B,F5,Avaliação!$I:$I)</f>
        <v>61</v>
      </c>
      <c r="I5" s="808">
        <f>SUMIF(Avaliação!$B:$B,F5,Avaliação!$Z:$Z)+SUMIF(Avaliação!$B:$B,F5,Avaliação!$AC:$AC)+SUMIF(Avaliação!$B:$B,F5,Avaliação!$AF:$AF)</f>
        <v>0</v>
      </c>
    </row>
    <row r="6" spans="1:10" outlineLevel="1">
      <c r="A6" s="157" t="s">
        <v>3199</v>
      </c>
      <c r="B6" s="195" t="s">
        <v>3200</v>
      </c>
      <c r="C6" s="775">
        <f>(SUMIF(Avaliação!$K:$K,A6,Avaliação!$J:$J))+(SUMIF(Avaliação!$O:$O,A6,Avaliação!$N:$N))+(SUMIF(Avaliação!$S:$S,A6,Avaliação!$R:$R))</f>
        <v>0</v>
      </c>
      <c r="D6" s="775">
        <f>(SUMIF(Avaliação!$AA:$AA,A6,Avaliação!$Z:$Z))+(SUMIF(Avaliação!$AD:$AD,A6,Avaliação!$AC:$AC))+(SUMIF(Avaliação!$AG:$AG,A6,Avaliação!$AF:$AF))</f>
        <v>0</v>
      </c>
      <c r="F6" s="805">
        <v>3488</v>
      </c>
      <c r="G6" s="806" t="s">
        <v>2005</v>
      </c>
      <c r="H6" s="807">
        <f>SUMIF(Avaliação!$B:$B,F6,Avaliação!$I:$I)</f>
        <v>0</v>
      </c>
      <c r="I6" s="808">
        <f>SUMIF(Avaliação!$B:$B,F6,Avaliação!$Z:$Z)+SUMIF(Avaliação!$B:$B,F6,Avaliação!$AC:$AC)+SUMIF(Avaliação!$B:$B,F6,Avaliação!$AF:$AF)</f>
        <v>0</v>
      </c>
    </row>
    <row r="7" spans="1:10" outlineLevel="1">
      <c r="A7" s="157" t="s">
        <v>3201</v>
      </c>
      <c r="B7" s="195" t="s">
        <v>3202</v>
      </c>
      <c r="C7" s="775">
        <f>(SUMIF(Avaliação!$K:$K,A7,Avaliação!$J:$J))+(SUMIF(Avaliação!$O:$O,A7,Avaliação!$N:$N))+(SUMIF(Avaliação!$S:$S,A7,Avaliação!$R:$R))</f>
        <v>0</v>
      </c>
      <c r="D7" s="775">
        <f>(SUMIF(Avaliação!$AA:$AA,A7,Avaliação!$Z:$Z))+(SUMIF(Avaliação!$AD:$AD,A7,Avaliação!$AC:$AC))+(SUMIF(Avaliação!$AG:$AG,A7,Avaliação!$AF:$AF))</f>
        <v>0</v>
      </c>
      <c r="F7" s="805">
        <v>3453</v>
      </c>
      <c r="G7" s="806" t="s">
        <v>2006</v>
      </c>
      <c r="H7" s="807">
        <f>SUMIF(Avaliação!$B:$B,F7,Avaliação!$I:$I)</f>
        <v>0</v>
      </c>
      <c r="I7" s="808">
        <f>SUMIF(Avaliação!$B:$B,F7,Avaliação!$Z:$Z)+SUMIF(Avaliação!$B:$B,F7,Avaliação!$AC:$AC)+SUMIF(Avaliação!$B:$B,F7,Avaliação!$AF:$AF)</f>
        <v>0</v>
      </c>
    </row>
    <row r="8" spans="1:10" outlineLevel="1">
      <c r="A8" s="157" t="s">
        <v>3203</v>
      </c>
      <c r="B8" s="195" t="s">
        <v>3204</v>
      </c>
      <c r="C8" s="775">
        <f>(SUMIF(Avaliação!$K:$K,A8,Avaliação!$J:$J))+(SUMIF(Avaliação!$O:$O,A8,Avaliação!$N:$N))+(SUMIF(Avaliação!$S:$S,A8,Avaliação!$R:$R))</f>
        <v>0</v>
      </c>
      <c r="D8" s="775">
        <f>(SUMIF(Avaliação!$AA:$AA,A8,Avaliação!$Z:$Z))+(SUMIF(Avaliação!$AD:$AD,A8,Avaliação!$AC:$AC))+(SUMIF(Avaliação!$AG:$AG,A8,Avaliação!$AF:$AF))</f>
        <v>0</v>
      </c>
      <c r="F8" s="805">
        <v>3451</v>
      </c>
      <c r="G8" s="806" t="s">
        <v>2007</v>
      </c>
      <c r="H8" s="807">
        <f>SUMIF(Avaliação!$B:$B,F8,Avaliação!$I:$I)</f>
        <v>47</v>
      </c>
      <c r="I8" s="808">
        <f>SUMIF(Avaliação!$B:$B,F8,Avaliação!$Z:$Z)+SUMIF(Avaliação!$B:$B,F8,Avaliação!$AC:$AC)+SUMIF(Avaliação!$B:$B,F8,Avaliação!$AF:$AF)</f>
        <v>0</v>
      </c>
    </row>
    <row r="9" spans="1:10" outlineLevel="1">
      <c r="A9" s="157" t="s">
        <v>3205</v>
      </c>
      <c r="B9" s="195" t="s">
        <v>3206</v>
      </c>
      <c r="C9" s="775">
        <f>(SUMIF(Avaliação!$K:$K,A9,Avaliação!$J:$J))+(SUMIF(Avaliação!$O:$O,A9,Avaliação!$N:$N))+(SUMIF(Avaliação!$S:$S,A9,Avaliação!$R:$R))</f>
        <v>0</v>
      </c>
      <c r="D9" s="775">
        <f>(SUMIF(Avaliação!$AA:$AA,A9,Avaliação!$Z:$Z))+(SUMIF(Avaliação!$AD:$AD,A9,Avaliação!$AC:$AC))+(SUMIF(Avaliação!$AG:$AG,A9,Avaliação!$AF:$AF))</f>
        <v>0</v>
      </c>
      <c r="F9" s="805">
        <v>3450</v>
      </c>
      <c r="G9" s="806" t="s">
        <v>2008</v>
      </c>
      <c r="H9" s="807">
        <f>SUMIF(Avaliação!$B:$B,F9,Avaliação!$I:$I)</f>
        <v>13</v>
      </c>
      <c r="I9" s="808">
        <f>SUMIF(Avaliação!$B:$B,F9,Avaliação!$Z:$Z)+SUMIF(Avaliação!$B:$B,F9,Avaliação!$AC:$AC)+SUMIF(Avaliação!$B:$B,F9,Avaliação!$AF:$AF)</f>
        <v>0</v>
      </c>
    </row>
    <row r="10" spans="1:10" outlineLevel="1">
      <c r="A10" s="157" t="s">
        <v>3207</v>
      </c>
      <c r="B10" s="195" t="s">
        <v>3208</v>
      </c>
      <c r="C10" s="775">
        <f>(SUMIF(Avaliação!$K:$K,A10,Avaliação!$J:$J))+(SUMIF(Avaliação!$O:$O,A10,Avaliação!$N:$N))+(SUMIF(Avaliação!$S:$S,A10,Avaliação!$R:$R))</f>
        <v>0</v>
      </c>
      <c r="D10" s="775">
        <f>(SUMIF(Avaliação!$AA:$AA,A10,Avaliação!$Z:$Z))+(SUMIF(Avaliação!$AD:$AD,A10,Avaliação!$AC:$AC))+(SUMIF(Avaliação!$AG:$AG,A10,Avaliação!$AF:$AF))</f>
        <v>0</v>
      </c>
      <c r="F10" s="805">
        <v>3452</v>
      </c>
      <c r="G10" s="806" t="s">
        <v>2009</v>
      </c>
      <c r="H10" s="807">
        <f>SUMIF(Avaliação!$B:$B,F10,Avaliação!$I:$I)</f>
        <v>12</v>
      </c>
      <c r="I10" s="808">
        <f>SUMIF(Avaliação!$B:$B,F10,Avaliação!$Z:$Z)+SUMIF(Avaliação!$B:$B,F10,Avaliação!$AC:$AC)+SUMIF(Avaliação!$B:$B,F10,Avaliação!$AF:$AF)</f>
        <v>0</v>
      </c>
    </row>
    <row r="11" spans="1:10" outlineLevel="1">
      <c r="A11" s="157" t="s">
        <v>3209</v>
      </c>
      <c r="B11" s="195" t="s">
        <v>3210</v>
      </c>
      <c r="C11" s="775">
        <f>(SUMIF(Avaliação!$K:$K,A11,Avaliação!$J:$J))+(SUMIF(Avaliação!$O:$O,A11,Avaliação!$N:$N))+(SUMIF(Avaliação!$S:$S,A11,Avaliação!$R:$R))</f>
        <v>0</v>
      </c>
      <c r="D11" s="775">
        <f>(SUMIF(Avaliação!$AA:$AA,A11,Avaliação!$Z:$Z))+(SUMIF(Avaliação!$AD:$AD,A11,Avaliação!$AC:$AC))+(SUMIF(Avaliação!$AG:$AG,A11,Avaliação!$AF:$AF))</f>
        <v>0</v>
      </c>
      <c r="F11" s="805">
        <v>3486</v>
      </c>
      <c r="G11" s="806" t="s">
        <v>2010</v>
      </c>
      <c r="H11" s="807">
        <f>SUMIF(Avaliação!$B:$B,F11,Avaliação!$I:$I)</f>
        <v>4</v>
      </c>
      <c r="I11" s="808">
        <f>SUMIF(Avaliação!$B:$B,F11,Avaliação!$Z:$Z)+SUMIF(Avaliação!$B:$B,F11,Avaliação!$AC:$AC)+SUMIF(Avaliação!$B:$B,F11,Avaliação!$AF:$AF)</f>
        <v>0</v>
      </c>
    </row>
    <row r="12" spans="1:10" outlineLevel="1">
      <c r="A12" s="157" t="s">
        <v>3211</v>
      </c>
      <c r="B12" s="195" t="s">
        <v>3212</v>
      </c>
      <c r="C12" s="775">
        <f>(SUMIF(Avaliação!$K:$K,A12,Avaliação!$J:$J))+(SUMIF(Avaliação!$O:$O,A12,Avaliação!$N:$N))+(SUMIF(Avaliação!$S:$S,A12,Avaliação!$R:$R))</f>
        <v>0</v>
      </c>
      <c r="D12" s="775">
        <f>(SUMIF(Avaliação!$AA:$AA,A12,Avaliação!$Z:$Z))+(SUMIF(Avaliação!$AD:$AD,A12,Avaliação!$AC:$AC))+(SUMIF(Avaliação!$AG:$AG,A12,Avaliação!$AF:$AF))</f>
        <v>0</v>
      </c>
      <c r="F12" s="805">
        <v>3473</v>
      </c>
      <c r="G12" s="806" t="s">
        <v>2011</v>
      </c>
      <c r="H12" s="807">
        <f>SUMIF(Avaliação!$B:$B,F12,Avaliação!$I:$I)</f>
        <v>4</v>
      </c>
      <c r="I12" s="808">
        <f>SUMIF(Avaliação!$B:$B,F12,Avaliação!$Z:$Z)+SUMIF(Avaliação!$B:$B,F12,Avaliação!$AC:$AC)+SUMIF(Avaliação!$B:$B,F12,Avaliação!$AF:$AF)</f>
        <v>0</v>
      </c>
    </row>
    <row r="13" spans="1:10" outlineLevel="1">
      <c r="A13" s="157" t="s">
        <v>3213</v>
      </c>
      <c r="B13" s="195" t="s">
        <v>3214</v>
      </c>
      <c r="C13" s="775">
        <f>(SUMIF(Avaliação!$K:$K,A13,Avaliação!$J:$J))+(SUMIF(Avaliação!$O:$O,A13,Avaliação!$N:$N))+(SUMIF(Avaliação!$S:$S,A13,Avaliação!$R:$R))</f>
        <v>0</v>
      </c>
      <c r="D13" s="775">
        <f>(SUMIF(Avaliação!$AA:$AA,A13,Avaliação!$Z:$Z))+(SUMIF(Avaliação!$AD:$AD,A13,Avaliação!$AC:$AC))+(SUMIF(Avaliação!$AG:$AG,A13,Avaliação!$AF:$AF))</f>
        <v>0</v>
      </c>
      <c r="F13" s="805">
        <v>3483</v>
      </c>
      <c r="G13" s="806" t="s">
        <v>2012</v>
      </c>
      <c r="H13" s="807">
        <f>SUMIF(Avaliação!$B:$B,F13,Avaliação!$I:$I)</f>
        <v>27</v>
      </c>
      <c r="I13" s="808">
        <f>SUMIF(Avaliação!$B:$B,F13,Avaliação!$Z:$Z)+SUMIF(Avaliação!$B:$B,F13,Avaliação!$AC:$AC)+SUMIF(Avaliação!$B:$B,F13,Avaliação!$AF:$AF)</f>
        <v>0</v>
      </c>
    </row>
    <row r="14" spans="1:10" outlineLevel="1">
      <c r="A14" s="157" t="s">
        <v>3215</v>
      </c>
      <c r="B14" s="195" t="s">
        <v>3216</v>
      </c>
      <c r="C14" s="775">
        <f>(SUMIF(Avaliação!$K:$K,A14,Avaliação!$J:$J))+(SUMIF(Avaliação!$O:$O,A14,Avaliação!$N:$N))+(SUMIF(Avaliação!$S:$S,A14,Avaliação!$R:$R))</f>
        <v>0</v>
      </c>
      <c r="D14" s="775">
        <f>(SUMIF(Avaliação!$AA:$AA,A14,Avaliação!$Z:$Z))+(SUMIF(Avaliação!$AD:$AD,A14,Avaliação!$AC:$AC))+(SUMIF(Avaliação!$AG:$AG,A14,Avaliação!$AF:$AF))</f>
        <v>0</v>
      </c>
      <c r="F14" s="805">
        <v>3104</v>
      </c>
      <c r="G14" s="806" t="s">
        <v>2013</v>
      </c>
      <c r="H14" s="807">
        <f>SUMIF(Avaliação!$B:$B,F14,Avaliação!$I:$I)</f>
        <v>0</v>
      </c>
      <c r="I14" s="808">
        <f>SUMIF(Avaliação!$B:$B,F14,Avaliação!$Z:$Z)+SUMIF(Avaliação!$B:$B,F14,Avaliação!$AC:$AC)+SUMIF(Avaliação!$B:$B,F14,Avaliação!$AF:$AF)</f>
        <v>0</v>
      </c>
    </row>
    <row r="15" spans="1:10" outlineLevel="1">
      <c r="A15" s="157" t="s">
        <v>3217</v>
      </c>
      <c r="B15" s="195" t="s">
        <v>3218</v>
      </c>
      <c r="C15" s="775">
        <f>(SUMIF(Avaliação!$K:$K,A15,Avaliação!$J:$J))+(SUMIF(Avaliação!$O:$O,A15,Avaliação!$N:$N))+(SUMIF(Avaliação!$S:$S,A15,Avaliação!$R:$R))</f>
        <v>0</v>
      </c>
      <c r="D15" s="775">
        <f>(SUMIF(Avaliação!$AA:$AA,A15,Avaliação!$Z:$Z))+(SUMIF(Avaliação!$AD:$AD,A15,Avaliação!$AC:$AC))+(SUMIF(Avaliação!$AG:$AG,A15,Avaliação!$AF:$AF))</f>
        <v>0</v>
      </c>
      <c r="F15" s="805">
        <v>3485</v>
      </c>
      <c r="G15" s="806" t="s">
        <v>2014</v>
      </c>
      <c r="H15" s="807">
        <f>SUMIF(Avaliação!$B:$B,F15,Avaliação!$I:$I)</f>
        <v>5</v>
      </c>
      <c r="I15" s="808">
        <f>SUMIF(Avaliação!$B:$B,F15,Avaliação!$Z:$Z)+SUMIF(Avaliação!$B:$B,F15,Avaliação!$AC:$AC)+SUMIF(Avaliação!$B:$B,F15,Avaliação!$AF:$AF)</f>
        <v>0</v>
      </c>
    </row>
    <row r="16" spans="1:10" outlineLevel="1">
      <c r="A16" s="157" t="s">
        <v>3219</v>
      </c>
      <c r="B16" s="195" t="s">
        <v>3220</v>
      </c>
      <c r="C16" s="775">
        <f>(SUMIF(Avaliação!$K:$K,A16,Avaliação!$J:$J))+(SUMIF(Avaliação!$O:$O,A16,Avaliação!$N:$N))+(SUMIF(Avaliação!$S:$S,A16,Avaliação!$R:$R))</f>
        <v>0</v>
      </c>
      <c r="D16" s="775">
        <f>(SUMIF(Avaliação!$AA:$AA,A16,Avaliação!$Z:$Z))+(SUMIF(Avaliação!$AD:$AD,A16,Avaliação!$AC:$AC))+(SUMIF(Avaliação!$AG:$AG,A16,Avaliação!$AF:$AF))</f>
        <v>0</v>
      </c>
      <c r="F16" s="805">
        <v>3487</v>
      </c>
      <c r="G16" s="806" t="s">
        <v>2015</v>
      </c>
      <c r="H16" s="807">
        <f>SUMIF(Avaliação!$B:$B,F16,Avaliação!$I:$I)</f>
        <v>2</v>
      </c>
      <c r="I16" s="808">
        <f>SUMIF(Avaliação!$B:$B,F16,Avaliação!$Z:$Z)+SUMIF(Avaliação!$B:$B,F16,Avaliação!$AC:$AC)+SUMIF(Avaliação!$B:$B,F16,Avaliação!$AF:$AF)</f>
        <v>0</v>
      </c>
    </row>
    <row r="17" spans="1:9" outlineLevel="1">
      <c r="A17" s="157" t="s">
        <v>3221</v>
      </c>
      <c r="B17" s="195" t="s">
        <v>3222</v>
      </c>
      <c r="C17" s="775">
        <f>(SUMIF(Avaliação!$K:$K,A17,Avaliação!$J:$J))+(SUMIF(Avaliação!$O:$O,A17,Avaliação!$N:$N))+(SUMIF(Avaliação!$S:$S,A17,Avaliação!$R:$R))</f>
        <v>0</v>
      </c>
      <c r="D17" s="775">
        <f>(SUMIF(Avaliação!$AA:$AA,A17,Avaliação!$Z:$Z))+(SUMIF(Avaliação!$AD:$AD,A17,Avaliação!$AC:$AC))+(SUMIF(Avaliação!$AG:$AG,A17,Avaliação!$AF:$AF))</f>
        <v>0</v>
      </c>
      <c r="F17" s="805">
        <v>3031</v>
      </c>
      <c r="G17" s="806" t="s">
        <v>3155</v>
      </c>
      <c r="H17" s="807">
        <f>SUMIF(Avaliação!$B:$B,F17,Avaliação!$I:$I)</f>
        <v>9</v>
      </c>
      <c r="I17" s="808">
        <f>SUMIF(Avaliação!$B:$B,F17,Avaliação!$Z:$Z)+SUMIF(Avaliação!$B:$B,F17,Avaliação!$AC:$AC)+SUMIF(Avaliação!$B:$B,F17,Avaliação!$AF:$AF)</f>
        <v>0</v>
      </c>
    </row>
    <row r="18" spans="1:9">
      <c r="A18" s="157" t="s">
        <v>3223</v>
      </c>
      <c r="B18" s="195" t="s">
        <v>3224</v>
      </c>
      <c r="C18" s="775">
        <f>(SUMIF(Avaliação!$K:$K,A18,Avaliação!$J:$J))+(SUMIF(Avaliação!$O:$O,A18,Avaliação!$N:$N))+(SUMIF(Avaliação!$S:$S,A18,Avaliação!$R:$R))</f>
        <v>0</v>
      </c>
      <c r="D18" s="775">
        <f>(SUMIF(Avaliação!$AA:$AA,A18,Avaliação!$Z:$Z))+(SUMIF(Avaliação!$AD:$AD,A18,Avaliação!$AC:$AC))+(SUMIF(Avaliação!$AG:$AG,A18,Avaliação!$AF:$AF))</f>
        <v>0</v>
      </c>
      <c r="F18" s="809">
        <v>3035</v>
      </c>
      <c r="G18" s="810" t="s">
        <v>3156</v>
      </c>
      <c r="H18" s="811">
        <f>SUMIF(Avaliação!$B:$B,F18,Avaliação!$I:$I)</f>
        <v>10</v>
      </c>
      <c r="I18" s="812">
        <f>SUMIF(Avaliação!$B:$B,F18,Avaliação!$Z:$Z)+SUMIF(Avaliação!$B:$B,F18,Avaliação!$AC:$AC)+SUMIF(Avaliação!$B:$B,F18,Avaliação!$AF:$AF)</f>
        <v>0</v>
      </c>
    </row>
    <row r="19" spans="1:9">
      <c r="A19" s="157" t="s">
        <v>3225</v>
      </c>
      <c r="B19" s="195" t="s">
        <v>3226</v>
      </c>
      <c r="C19" s="775">
        <f>(SUMIF(Avaliação!$K:$K,A19,Avaliação!$J:$J))+(SUMIF(Avaliação!$O:$O,A19,Avaliação!$N:$N))+(SUMIF(Avaliação!$S:$S,A19,Avaliação!$R:$R))</f>
        <v>0</v>
      </c>
      <c r="D19" s="775">
        <f>(SUMIF(Avaliação!$AA:$AA,A19,Avaliação!$Z:$Z))+(SUMIF(Avaliação!$AD:$AD,A19,Avaliação!$AC:$AC))+(SUMIF(Avaliação!$AG:$AG,A19,Avaliação!$AF:$AF))</f>
        <v>0</v>
      </c>
    </row>
    <row r="20" spans="1:9">
      <c r="A20" s="157" t="s">
        <v>3227</v>
      </c>
      <c r="B20" s="195" t="s">
        <v>3228</v>
      </c>
      <c r="C20" s="775">
        <f>(SUMIF(Avaliação!$K:$K,A20,Avaliação!$J:$J))+(SUMIF(Avaliação!$O:$O,A20,Avaliação!$N:$N))+(SUMIF(Avaliação!$S:$S,A20,Avaliação!$R:$R))</f>
        <v>0</v>
      </c>
      <c r="D20" s="775">
        <f>(SUMIF(Avaliação!$AA:$AA,A20,Avaliação!$Z:$Z))+(SUMIF(Avaliação!$AD:$AD,A20,Avaliação!$AC:$AC))+(SUMIF(Avaliação!$AG:$AG,A20,Avaliação!$AF:$AF))</f>
        <v>0</v>
      </c>
    </row>
    <row r="21" spans="1:9">
      <c r="A21" s="157" t="s">
        <v>3229</v>
      </c>
      <c r="B21" s="195" t="s">
        <v>3230</v>
      </c>
      <c r="C21" s="775">
        <f>(SUMIF(Avaliação!$K:$K,A21,Avaliação!$J:$J))+(SUMIF(Avaliação!$O:$O,A21,Avaliação!$N:$N))+(SUMIF(Avaliação!$S:$S,A21,Avaliação!$R:$R))</f>
        <v>0</v>
      </c>
      <c r="D21" s="775">
        <f>(SUMIF(Avaliação!$AA:$AA,A21,Avaliação!$Z:$Z))+(SUMIF(Avaliação!$AD:$AD,A21,Avaliação!$AC:$AC))+(SUMIF(Avaliação!$AG:$AG,A21,Avaliação!$AF:$AF))</f>
        <v>0</v>
      </c>
    </row>
    <row r="22" spans="1:9">
      <c r="A22" s="157" t="s">
        <v>3231</v>
      </c>
      <c r="B22" s="195" t="s">
        <v>3232</v>
      </c>
      <c r="C22" s="775">
        <f>(SUMIF(Avaliação!$K:$K,A22,Avaliação!$J:$J))+(SUMIF(Avaliação!$O:$O,A22,Avaliação!$N:$N))+(SUMIF(Avaliação!$S:$S,A22,Avaliação!$R:$R))</f>
        <v>0</v>
      </c>
      <c r="D22" s="775">
        <f>(SUMIF(Avaliação!$AA:$AA,A22,Avaliação!$Z:$Z))+(SUMIF(Avaliação!$AD:$AD,A22,Avaliação!$AC:$AC))+(SUMIF(Avaliação!$AG:$AG,A22,Avaliação!$AF:$AF))</f>
        <v>0</v>
      </c>
    </row>
    <row r="23" spans="1:9">
      <c r="A23" s="157" t="s">
        <v>3233</v>
      </c>
      <c r="B23" s="195" t="s">
        <v>3234</v>
      </c>
      <c r="C23" s="775">
        <f>(SUMIF(Avaliação!$K:$K,A23,Avaliação!$J:$J))+(SUMIF(Avaliação!$O:$O,A23,Avaliação!$N:$N))+(SUMIF(Avaliação!$S:$S,A23,Avaliação!$R:$R))</f>
        <v>0</v>
      </c>
      <c r="D23" s="775">
        <f>(SUMIF(Avaliação!$AA:$AA,A23,Avaliação!$Z:$Z))+(SUMIF(Avaliação!$AD:$AD,A23,Avaliação!$AC:$AC))+(SUMIF(Avaliação!$AG:$AG,A23,Avaliação!$AF:$AF))</f>
        <v>0</v>
      </c>
    </row>
    <row r="24" spans="1:9">
      <c r="A24" s="157" t="s">
        <v>3235</v>
      </c>
      <c r="B24" s="195" t="s">
        <v>3236</v>
      </c>
      <c r="C24" s="775">
        <f>(SUMIF(Avaliação!$K:$K,A24,Avaliação!$J:$J))+(SUMIF(Avaliação!$O:$O,A24,Avaliação!$N:$N))+(SUMIF(Avaliação!$S:$S,A24,Avaliação!$R:$R))</f>
        <v>0</v>
      </c>
      <c r="D24" s="775">
        <f>(SUMIF(Avaliação!$AA:$AA,A24,Avaliação!$Z:$Z))+(SUMIF(Avaliação!$AD:$AD,A24,Avaliação!$AC:$AC))+(SUMIF(Avaliação!$AG:$AG,A24,Avaliação!$AF:$AF))</f>
        <v>0</v>
      </c>
    </row>
    <row r="25" spans="1:9">
      <c r="A25" s="157" t="s">
        <v>3237</v>
      </c>
      <c r="B25" s="195" t="s">
        <v>3238</v>
      </c>
      <c r="C25" s="775">
        <f>(SUMIF(Avaliação!$K:$K,A25,Avaliação!$J:$J))+(SUMIF(Avaliação!$O:$O,A25,Avaliação!$N:$N))+(SUMIF(Avaliação!$S:$S,A25,Avaliação!$R:$R))</f>
        <v>0</v>
      </c>
      <c r="D25" s="775">
        <f>(SUMIF(Avaliação!$AA:$AA,A25,Avaliação!$Z:$Z))+(SUMIF(Avaliação!$AD:$AD,A25,Avaliação!$AC:$AC))+(SUMIF(Avaliação!$AG:$AG,A25,Avaliação!$AF:$AF))</f>
        <v>0</v>
      </c>
    </row>
    <row r="26" spans="1:9">
      <c r="A26" s="157" t="s">
        <v>3239</v>
      </c>
      <c r="B26" s="195" t="s">
        <v>3240</v>
      </c>
      <c r="C26" s="775">
        <f>(SUMIF(Avaliação!$K:$K,A26,Avaliação!$J:$J))+(SUMIF(Avaliação!$O:$O,A26,Avaliação!$N:$N))+(SUMIF(Avaliação!$S:$S,A26,Avaliação!$R:$R))</f>
        <v>0</v>
      </c>
      <c r="D26" s="775">
        <f>(SUMIF(Avaliação!$AA:$AA,A26,Avaliação!$Z:$Z))+(SUMIF(Avaliação!$AD:$AD,A26,Avaliação!$AC:$AC))+(SUMIF(Avaliação!$AG:$AG,A26,Avaliação!$AF:$AF))</f>
        <v>0</v>
      </c>
    </row>
    <row r="27" spans="1:9">
      <c r="A27" s="157" t="s">
        <v>3241</v>
      </c>
      <c r="B27" s="195" t="s">
        <v>3242</v>
      </c>
      <c r="C27" s="775">
        <f>(SUMIF(Avaliação!$K:$K,A27,Avaliação!$J:$J))+(SUMIF(Avaliação!$O:$O,A27,Avaliação!$N:$N))+(SUMIF(Avaliação!$S:$S,A27,Avaliação!$R:$R))</f>
        <v>0</v>
      </c>
      <c r="D27" s="775">
        <f>(SUMIF(Avaliação!$AA:$AA,A27,Avaliação!$Z:$Z))+(SUMIF(Avaliação!$AD:$AD,A27,Avaliação!$AC:$AC))+(SUMIF(Avaliação!$AG:$AG,A27,Avaliação!$AF:$AF))</f>
        <v>0</v>
      </c>
    </row>
    <row r="28" spans="1:9">
      <c r="A28" s="157" t="s">
        <v>3243</v>
      </c>
      <c r="B28" s="195" t="s">
        <v>3244</v>
      </c>
      <c r="C28" s="775">
        <f>(SUMIF(Avaliação!$K:$K,A28,Avaliação!$J:$J))+(SUMIF(Avaliação!$O:$O,A28,Avaliação!$N:$N))+(SUMIF(Avaliação!$S:$S,A28,Avaliação!$R:$R))</f>
        <v>0</v>
      </c>
      <c r="D28" s="775">
        <f>(SUMIF(Avaliação!$AA:$AA,A28,Avaliação!$Z:$Z))+(SUMIF(Avaliação!$AD:$AD,A28,Avaliação!$AC:$AC))+(SUMIF(Avaliação!$AG:$AG,A28,Avaliação!$AF:$AF))</f>
        <v>0</v>
      </c>
    </row>
    <row r="29" spans="1:9">
      <c r="A29" s="157" t="s">
        <v>3245</v>
      </c>
      <c r="B29" s="195" t="s">
        <v>3246</v>
      </c>
      <c r="C29" s="775">
        <f>(SUMIF(Avaliação!$K:$K,A29,Avaliação!$J:$J))+(SUMIF(Avaliação!$O:$O,A29,Avaliação!$N:$N))+(SUMIF(Avaliação!$S:$S,A29,Avaliação!$R:$R))</f>
        <v>0</v>
      </c>
      <c r="D29" s="775">
        <f>(SUMIF(Avaliação!$AA:$AA,A29,Avaliação!$Z:$Z))+(SUMIF(Avaliação!$AD:$AD,A29,Avaliação!$AC:$AC))+(SUMIF(Avaliação!$AG:$AG,A29,Avaliação!$AF:$AF))</f>
        <v>0</v>
      </c>
    </row>
    <row r="30" spans="1:9">
      <c r="A30" s="157" t="s">
        <v>3247</v>
      </c>
      <c r="B30" s="195" t="s">
        <v>3248</v>
      </c>
      <c r="C30" s="775">
        <f>(SUMIF(Avaliação!$K:$K,A30,Avaliação!$J:$J))+(SUMIF(Avaliação!$O:$O,A30,Avaliação!$N:$N))+(SUMIF(Avaliação!$S:$S,A30,Avaliação!$R:$R))</f>
        <v>0</v>
      </c>
      <c r="D30" s="775">
        <f>(SUMIF(Avaliação!$AA:$AA,A30,Avaliação!$Z:$Z))+(SUMIF(Avaliação!$AD:$AD,A30,Avaliação!$AC:$AC))+(SUMIF(Avaliação!$AG:$AG,A30,Avaliação!$AF:$AF))</f>
        <v>0</v>
      </c>
    </row>
    <row r="31" spans="1:9">
      <c r="A31" s="157" t="s">
        <v>3249</v>
      </c>
      <c r="B31" s="195" t="s">
        <v>3250</v>
      </c>
      <c r="C31" s="775">
        <f>(SUMIF(Avaliação!$K:$K,A31,Avaliação!$J:$J))+(SUMIF(Avaliação!$O:$O,A31,Avaliação!$N:$N))+(SUMIF(Avaliação!$S:$S,A31,Avaliação!$R:$R))</f>
        <v>0</v>
      </c>
      <c r="D31" s="775">
        <f>(SUMIF(Avaliação!$AA:$AA,A31,Avaliação!$Z:$Z))+(SUMIF(Avaliação!$AD:$AD,A31,Avaliação!$AC:$AC))+(SUMIF(Avaliação!$AG:$AG,A31,Avaliação!$AF:$AF))</f>
        <v>0</v>
      </c>
    </row>
    <row r="32" spans="1:9">
      <c r="A32" s="157" t="s">
        <v>3251</v>
      </c>
      <c r="B32" s="195" t="s">
        <v>3252</v>
      </c>
      <c r="C32" s="775">
        <f>(SUMIF(Avaliação!$K:$K,A32,Avaliação!$J:$J))+(SUMIF(Avaliação!$O:$O,A32,Avaliação!$N:$N))+(SUMIF(Avaliação!$S:$S,A32,Avaliação!$R:$R))</f>
        <v>0</v>
      </c>
      <c r="D32" s="775">
        <f>(SUMIF(Avaliação!$AA:$AA,A32,Avaliação!$Z:$Z))+(SUMIF(Avaliação!$AD:$AD,A32,Avaliação!$AC:$AC))+(SUMIF(Avaliação!$AG:$AG,A32,Avaliação!$AF:$AF))</f>
        <v>0</v>
      </c>
    </row>
    <row r="33" spans="1:4">
      <c r="A33" s="157" t="s">
        <v>3253</v>
      </c>
      <c r="B33" s="195" t="s">
        <v>3254</v>
      </c>
      <c r="C33" s="775">
        <f>(SUMIF(Avaliação!$K:$K,A33,Avaliação!$J:$J))+(SUMIF(Avaliação!$O:$O,A33,Avaliação!$N:$N))+(SUMIF(Avaliação!$S:$S,A33,Avaliação!$R:$R))</f>
        <v>0</v>
      </c>
      <c r="D33" s="775">
        <f>(SUMIF(Avaliação!$AA:$AA,A33,Avaliação!$Z:$Z))+(SUMIF(Avaliação!$AD:$AD,A33,Avaliação!$AC:$AC))+(SUMIF(Avaliação!$AG:$AG,A33,Avaliação!$AF:$AF))</f>
        <v>0</v>
      </c>
    </row>
    <row r="34" spans="1:4">
      <c r="A34" s="157" t="s">
        <v>3255</v>
      </c>
      <c r="B34" s="195" t="s">
        <v>3256</v>
      </c>
      <c r="C34" s="775">
        <f>(SUMIF(Avaliação!$K:$K,A34,Avaliação!$J:$J))+(SUMIF(Avaliação!$O:$O,A34,Avaliação!$N:$N))+(SUMIF(Avaliação!$S:$S,A34,Avaliação!$R:$R))</f>
        <v>0</v>
      </c>
      <c r="D34" s="775">
        <f>(SUMIF(Avaliação!$AA:$AA,A34,Avaliação!$Z:$Z))+(SUMIF(Avaliação!$AD:$AD,A34,Avaliação!$AC:$AC))+(SUMIF(Avaliação!$AG:$AG,A34,Avaliação!$AF:$AF))</f>
        <v>0</v>
      </c>
    </row>
    <row r="35" spans="1:4">
      <c r="A35" s="157" t="s">
        <v>3257</v>
      </c>
      <c r="B35" s="195" t="s">
        <v>3258</v>
      </c>
      <c r="C35" s="775">
        <f>(SUMIF(Avaliação!$K:$K,A35,Avaliação!$J:$J))+(SUMIF(Avaliação!$O:$O,A35,Avaliação!$N:$N))+(SUMIF(Avaliação!$S:$S,A35,Avaliação!$R:$R))</f>
        <v>0</v>
      </c>
      <c r="D35" s="775">
        <f>(SUMIF(Avaliação!$AA:$AA,A35,Avaliação!$Z:$Z))+(SUMIF(Avaliação!$AD:$AD,A35,Avaliação!$AC:$AC))+(SUMIF(Avaliação!$AG:$AG,A35,Avaliação!$AF:$AF))</f>
        <v>0</v>
      </c>
    </row>
    <row r="36" spans="1:4">
      <c r="A36" s="157" t="s">
        <v>3259</v>
      </c>
      <c r="B36" s="195" t="s">
        <v>3260</v>
      </c>
      <c r="C36" s="775">
        <f>(SUMIF(Avaliação!$K:$K,A36,Avaliação!$J:$J))+(SUMIF(Avaliação!$O:$O,A36,Avaliação!$N:$N))+(SUMIF(Avaliação!$S:$S,A36,Avaliação!$R:$R))</f>
        <v>0</v>
      </c>
      <c r="D36" s="775">
        <f>(SUMIF(Avaliação!$AA:$AA,A36,Avaliação!$Z:$Z))+(SUMIF(Avaliação!$AD:$AD,A36,Avaliação!$AC:$AC))+(SUMIF(Avaliação!$AG:$AG,A36,Avaliação!$AF:$AF))</f>
        <v>0</v>
      </c>
    </row>
    <row r="37" spans="1:4">
      <c r="A37" s="157" t="s">
        <v>3261</v>
      </c>
      <c r="B37" s="195" t="s">
        <v>3262</v>
      </c>
      <c r="C37" s="775">
        <f>(SUMIF(Avaliação!$K:$K,A37,Avaliação!$J:$J))+(SUMIF(Avaliação!$O:$O,A37,Avaliação!$N:$N))+(SUMIF(Avaliação!$S:$S,A37,Avaliação!$R:$R))</f>
        <v>0</v>
      </c>
      <c r="D37" s="775">
        <f>(SUMIF(Avaliação!$AA:$AA,A37,Avaliação!$Z:$Z))+(SUMIF(Avaliação!$AD:$AD,A37,Avaliação!$AC:$AC))+(SUMIF(Avaliação!$AG:$AG,A37,Avaliação!$AF:$AF))</f>
        <v>0</v>
      </c>
    </row>
    <row r="38" spans="1:4">
      <c r="A38" s="157" t="s">
        <v>3263</v>
      </c>
      <c r="B38" s="195" t="s">
        <v>3264</v>
      </c>
      <c r="C38" s="775">
        <f>(SUMIF(Avaliação!$K:$K,A38,Avaliação!$J:$J))+(SUMIF(Avaliação!$O:$O,A38,Avaliação!$N:$N))+(SUMIF(Avaliação!$S:$S,A38,Avaliação!$R:$R))</f>
        <v>0</v>
      </c>
      <c r="D38" s="775">
        <f>(SUMIF(Avaliação!$AA:$AA,A38,Avaliação!$Z:$Z))+(SUMIF(Avaliação!$AD:$AD,A38,Avaliação!$AC:$AC))+(SUMIF(Avaliação!$AG:$AG,A38,Avaliação!$AF:$AF))</f>
        <v>0</v>
      </c>
    </row>
    <row r="39" spans="1:4">
      <c r="A39" s="157" t="s">
        <v>3265</v>
      </c>
      <c r="B39" s="195" t="s">
        <v>3266</v>
      </c>
      <c r="C39" s="775">
        <f>(SUMIF(Avaliação!$K:$K,A39,Avaliação!$J:$J))+(SUMIF(Avaliação!$O:$O,A39,Avaliação!$N:$N))+(SUMIF(Avaliação!$S:$S,A39,Avaliação!$R:$R))</f>
        <v>0</v>
      </c>
      <c r="D39" s="775">
        <f>(SUMIF(Avaliação!$AA:$AA,A39,Avaliação!$Z:$Z))+(SUMIF(Avaliação!$AD:$AD,A39,Avaliação!$AC:$AC))+(SUMIF(Avaliação!$AG:$AG,A39,Avaliação!$AF:$AF))</f>
        <v>0</v>
      </c>
    </row>
    <row r="40" spans="1:4">
      <c r="A40" s="157" t="s">
        <v>3267</v>
      </c>
      <c r="B40" s="195" t="s">
        <v>3268</v>
      </c>
      <c r="C40" s="775">
        <f>(SUMIF(Avaliação!$K:$K,A40,Avaliação!$J:$J))+(SUMIF(Avaliação!$O:$O,A40,Avaliação!$N:$N))+(SUMIF(Avaliação!$S:$S,A40,Avaliação!$R:$R))</f>
        <v>0</v>
      </c>
      <c r="D40" s="775">
        <f>(SUMIF(Avaliação!$AA:$AA,A40,Avaliação!$Z:$Z))+(SUMIF(Avaliação!$AD:$AD,A40,Avaliação!$AC:$AC))+(SUMIF(Avaliação!$AG:$AG,A40,Avaliação!$AF:$AF))</f>
        <v>0</v>
      </c>
    </row>
    <row r="41" spans="1:4">
      <c r="A41" s="157" t="s">
        <v>3269</v>
      </c>
      <c r="B41" s="195" t="s">
        <v>3270</v>
      </c>
      <c r="C41" s="775">
        <f>(SUMIF(Avaliação!$K:$K,A41,Avaliação!$J:$J))+(SUMIF(Avaliação!$O:$O,A41,Avaliação!$N:$N))+(SUMIF(Avaliação!$S:$S,A41,Avaliação!$R:$R))</f>
        <v>0</v>
      </c>
      <c r="D41" s="775">
        <f>(SUMIF(Avaliação!$AA:$AA,A41,Avaliação!$Z:$Z))+(SUMIF(Avaliação!$AD:$AD,A41,Avaliação!$AC:$AC))+(SUMIF(Avaliação!$AG:$AG,A41,Avaliação!$AF:$AF))</f>
        <v>0</v>
      </c>
    </row>
    <row r="42" spans="1:4">
      <c r="A42" s="157" t="s">
        <v>3271</v>
      </c>
      <c r="B42" s="195" t="s">
        <v>3272</v>
      </c>
      <c r="C42" s="775">
        <f>(SUMIF(Avaliação!$K:$K,A42,Avaliação!$J:$J))+(SUMIF(Avaliação!$O:$O,A42,Avaliação!$N:$N))+(SUMIF(Avaliação!$S:$S,A42,Avaliação!$R:$R))</f>
        <v>0</v>
      </c>
      <c r="D42" s="775">
        <f>(SUMIF(Avaliação!$AA:$AA,A42,Avaliação!$Z:$Z))+(SUMIF(Avaliação!$AD:$AD,A42,Avaliação!$AC:$AC))+(SUMIF(Avaliação!$AG:$AG,A42,Avaliação!$AF:$AF))</f>
        <v>0</v>
      </c>
    </row>
    <row r="43" spans="1:4">
      <c r="A43" s="157" t="s">
        <v>3273</v>
      </c>
      <c r="B43" s="195" t="s">
        <v>3274</v>
      </c>
      <c r="C43" s="775">
        <f>(SUMIF(Avaliação!$K:$K,A43,Avaliação!$J:$J))+(SUMIF(Avaliação!$O:$O,A43,Avaliação!$N:$N))+(SUMIF(Avaliação!$S:$S,A43,Avaliação!$R:$R))</f>
        <v>0</v>
      </c>
      <c r="D43" s="775">
        <f>(SUMIF(Avaliação!$AA:$AA,A43,Avaliação!$Z:$Z))+(SUMIF(Avaliação!$AD:$AD,A43,Avaliação!$AC:$AC))+(SUMIF(Avaliação!$AG:$AG,A43,Avaliação!$AF:$AF))</f>
        <v>0</v>
      </c>
    </row>
    <row r="44" spans="1:4">
      <c r="A44" s="157" t="s">
        <v>3275</v>
      </c>
      <c r="B44" s="195" t="s">
        <v>3276</v>
      </c>
      <c r="C44" s="775">
        <f>(SUMIF(Avaliação!$K:$K,A44,Avaliação!$J:$J))+(SUMIF(Avaliação!$O:$O,A44,Avaliação!$N:$N))+(SUMIF(Avaliação!$S:$S,A44,Avaliação!$R:$R))</f>
        <v>0</v>
      </c>
      <c r="D44" s="775">
        <f>(SUMIF(Avaliação!$AA:$AA,A44,Avaliação!$Z:$Z))+(SUMIF(Avaliação!$AD:$AD,A44,Avaliação!$AC:$AC))+(SUMIF(Avaliação!$AG:$AG,A44,Avaliação!$AF:$AF))</f>
        <v>0</v>
      </c>
    </row>
    <row r="45" spans="1:4">
      <c r="A45" s="839" t="s">
        <v>3277</v>
      </c>
      <c r="B45" s="840" t="s">
        <v>3278</v>
      </c>
      <c r="C45" s="775">
        <f>(SUMIF(Avaliação!$K:$K,A45,Avaliação!$J:$J))+(SUMIF(Avaliação!$O:$O,A45,Avaliação!$N:$N))+(SUMIF(Avaliação!$S:$S,A45,Avaliação!$R:$R))</f>
        <v>2</v>
      </c>
      <c r="D45" s="841">
        <f>(SUMIF(Avaliação!$AA:$AA,A45,Avaliação!$Z:$Z))+(SUMIF(Avaliação!$AD:$AD,A45,Avaliação!$AC:$AC))+(SUMIF(Avaliação!$AG:$AG,A45,Avaliação!$AF:$AF))</f>
        <v>0</v>
      </c>
    </row>
    <row r="46" spans="1:4">
      <c r="A46" s="157" t="s">
        <v>3279</v>
      </c>
      <c r="B46" s="195" t="s">
        <v>3280</v>
      </c>
      <c r="C46" s="775">
        <f>(SUMIF(Avaliação!$K:$K,A46,Avaliação!$J:$J))+(SUMIF(Avaliação!$O:$O,A46,Avaliação!$N:$N))+(SUMIF(Avaliação!$S:$S,A46,Avaliação!$R:$R))</f>
        <v>0</v>
      </c>
      <c r="D46" s="775">
        <f>(SUMIF(Avaliação!$AA:$AA,A46,Avaliação!$Z:$Z))+(SUMIF(Avaliação!$AD:$AD,A46,Avaliação!$AC:$AC))+(SUMIF(Avaliação!$AG:$AG,A46,Avaliação!$AF:$AF))</f>
        <v>0</v>
      </c>
    </row>
    <row r="47" spans="1:4">
      <c r="A47" s="157" t="s">
        <v>3281</v>
      </c>
      <c r="B47" s="195" t="s">
        <v>3282</v>
      </c>
      <c r="C47" s="775">
        <f>(SUMIF(Avaliação!$K:$K,A47,Avaliação!$J:$J))+(SUMIF(Avaliação!$O:$O,A47,Avaliação!$N:$N))+(SUMIF(Avaliação!$S:$S,A47,Avaliação!$R:$R))</f>
        <v>0</v>
      </c>
      <c r="D47" s="775">
        <f>(SUMIF(Avaliação!$AA:$AA,A47,Avaliação!$Z:$Z))+(SUMIF(Avaliação!$AD:$AD,A47,Avaliação!$AC:$AC))+(SUMIF(Avaliação!$AG:$AG,A47,Avaliação!$AF:$AF))</f>
        <v>0</v>
      </c>
    </row>
    <row r="48" spans="1:4">
      <c r="A48" s="839" t="s">
        <v>3283</v>
      </c>
      <c r="B48" s="840" t="s">
        <v>3284</v>
      </c>
      <c r="C48" s="775">
        <f>(SUMIF(Avaliação!$K:$K,A48,Avaliação!$J:$J))+(SUMIF(Avaliação!$O:$O,A48,Avaliação!$N:$N))+(SUMIF(Avaliação!$S:$S,A48,Avaliação!$R:$R))</f>
        <v>0</v>
      </c>
      <c r="D48" s="841">
        <f>(SUMIF(Avaliação!$AA:$AA,A48,Avaliação!$Z:$Z))+(SUMIF(Avaliação!$AD:$AD,A48,Avaliação!$AC:$AC))+(SUMIF(Avaliação!$AG:$AG,A48,Avaliação!$AF:$AF))</f>
        <v>0</v>
      </c>
    </row>
    <row r="49" spans="1:4">
      <c r="A49" s="157" t="s">
        <v>3285</v>
      </c>
      <c r="B49" s="195" t="s">
        <v>3286</v>
      </c>
      <c r="C49" s="775">
        <f>(SUMIF(Avaliação!$K:$K,A49,Avaliação!$J:$J))+(SUMIF(Avaliação!$O:$O,A49,Avaliação!$N:$N))+(SUMIF(Avaliação!$S:$S,A49,Avaliação!$R:$R))</f>
        <v>0</v>
      </c>
      <c r="D49" s="775">
        <f>(SUMIF(Avaliação!$AA:$AA,A49,Avaliação!$Z:$Z))+(SUMIF(Avaliação!$AD:$AD,A49,Avaliação!$AC:$AC))+(SUMIF(Avaliação!$AG:$AG,A49,Avaliação!$AF:$AF))</f>
        <v>0</v>
      </c>
    </row>
    <row r="50" spans="1:4">
      <c r="A50" s="157" t="s">
        <v>3287</v>
      </c>
      <c r="B50" s="195" t="s">
        <v>3288</v>
      </c>
      <c r="C50" s="775">
        <f>(SUMIF(Avaliação!$K:$K,A50,Avaliação!$J:$J))+(SUMIF(Avaliação!$O:$O,A50,Avaliação!$N:$N))+(SUMIF(Avaliação!$S:$S,A50,Avaliação!$R:$R))</f>
        <v>0</v>
      </c>
      <c r="D50" s="775">
        <f>(SUMIF(Avaliação!$AA:$AA,A50,Avaliação!$Z:$Z))+(SUMIF(Avaliação!$AD:$AD,A50,Avaliação!$AC:$AC))+(SUMIF(Avaliação!$AG:$AG,A50,Avaliação!$AF:$AF))</f>
        <v>0</v>
      </c>
    </row>
    <row r="51" spans="1:4">
      <c r="A51" s="157" t="s">
        <v>3289</v>
      </c>
      <c r="B51" s="195" t="s">
        <v>3290</v>
      </c>
      <c r="C51" s="775">
        <f>(SUMIF(Avaliação!$K:$K,A51,Avaliação!$J:$J))+(SUMIF(Avaliação!$O:$O,A51,Avaliação!$N:$N))+(SUMIF(Avaliação!$S:$S,A51,Avaliação!$R:$R))</f>
        <v>0</v>
      </c>
      <c r="D51" s="775">
        <f>(SUMIF(Avaliação!$AA:$AA,A51,Avaliação!$Z:$Z))+(SUMIF(Avaliação!$AD:$AD,A51,Avaliação!$AC:$AC))+(SUMIF(Avaliação!$AG:$AG,A51,Avaliação!$AF:$AF))</f>
        <v>0</v>
      </c>
    </row>
    <row r="52" spans="1:4">
      <c r="A52" s="157" t="s">
        <v>3291</v>
      </c>
      <c r="B52" s="195" t="s">
        <v>3292</v>
      </c>
      <c r="C52" s="775">
        <f>(SUMIF(Avaliação!$K:$K,A52,Avaliação!$J:$J))+(SUMIF(Avaliação!$O:$O,A52,Avaliação!$N:$N))+(SUMIF(Avaliação!$S:$S,A52,Avaliação!$R:$R))</f>
        <v>0</v>
      </c>
      <c r="D52" s="775">
        <f>(SUMIF(Avaliação!$AA:$AA,A52,Avaliação!$Z:$Z))+(SUMIF(Avaliação!$AD:$AD,A52,Avaliação!$AC:$AC))+(SUMIF(Avaliação!$AG:$AG,A52,Avaliação!$AF:$AF))</f>
        <v>0</v>
      </c>
    </row>
    <row r="53" spans="1:4">
      <c r="A53" s="157" t="s">
        <v>3293</v>
      </c>
      <c r="B53" s="195" t="s">
        <v>3294</v>
      </c>
      <c r="C53" s="775">
        <f>(SUMIF(Avaliação!$K:$K,A53,Avaliação!$J:$J))+(SUMIF(Avaliação!$O:$O,A53,Avaliação!$N:$N))+(SUMIF(Avaliação!$S:$S,A53,Avaliação!$R:$R))</f>
        <v>0</v>
      </c>
      <c r="D53" s="775">
        <f>(SUMIF(Avaliação!$AA:$AA,A53,Avaliação!$Z:$Z))+(SUMIF(Avaliação!$AD:$AD,A53,Avaliação!$AC:$AC))+(SUMIF(Avaliação!$AG:$AG,A53,Avaliação!$AF:$AF))</f>
        <v>0</v>
      </c>
    </row>
    <row r="54" spans="1:4">
      <c r="A54" s="839" t="s">
        <v>3295</v>
      </c>
      <c r="B54" s="840" t="s">
        <v>3296</v>
      </c>
      <c r="C54" s="775">
        <f>(SUMIF(Avaliação!$K:$K,A54,Avaliação!$J:$J))+(SUMIF(Avaliação!$O:$O,A54,Avaliação!$N:$N))+(SUMIF(Avaliação!$S:$S,A54,Avaliação!$R:$R))</f>
        <v>6</v>
      </c>
      <c r="D54" s="841">
        <f>(SUMIF(Avaliação!$AA:$AA,A54,Avaliação!$Z:$Z))+(SUMIF(Avaliação!$AD:$AD,A54,Avaliação!$AC:$AC))+(SUMIF(Avaliação!$AG:$AG,A54,Avaliação!$AF:$AF))</f>
        <v>0</v>
      </c>
    </row>
    <row r="55" spans="1:4">
      <c r="A55" s="157" t="s">
        <v>3297</v>
      </c>
      <c r="B55" s="195" t="s">
        <v>3298</v>
      </c>
      <c r="C55" s="775">
        <f>(SUMIF(Avaliação!$K:$K,A55,Avaliação!$J:$J))+(SUMIF(Avaliação!$O:$O,A55,Avaliação!$N:$N))+(SUMIF(Avaliação!$S:$S,A55,Avaliação!$R:$R))</f>
        <v>0</v>
      </c>
      <c r="D55" s="775">
        <f>(SUMIF(Avaliação!$AA:$AA,A55,Avaliação!$Z:$Z))+(SUMIF(Avaliação!$AD:$AD,A55,Avaliação!$AC:$AC))+(SUMIF(Avaliação!$AG:$AG,A55,Avaliação!$AF:$AF))</f>
        <v>0</v>
      </c>
    </row>
    <row r="56" spans="1:4">
      <c r="A56" s="157" t="s">
        <v>3299</v>
      </c>
      <c r="B56" s="195" t="s">
        <v>3300</v>
      </c>
      <c r="C56" s="775">
        <f>(SUMIF(Avaliação!$K:$K,A56,Avaliação!$J:$J))+(SUMIF(Avaliação!$O:$O,A56,Avaliação!$N:$N))+(SUMIF(Avaliação!$S:$S,A56,Avaliação!$R:$R))</f>
        <v>0</v>
      </c>
      <c r="D56" s="775">
        <f>(SUMIF(Avaliação!$AA:$AA,A56,Avaliação!$Z:$Z))+(SUMIF(Avaliação!$AD:$AD,A56,Avaliação!$AC:$AC))+(SUMIF(Avaliação!$AG:$AG,A56,Avaliação!$AF:$AF))</f>
        <v>0</v>
      </c>
    </row>
    <row r="57" spans="1:4">
      <c r="A57" s="157" t="s">
        <v>3301</v>
      </c>
      <c r="B57" s="195" t="s">
        <v>3302</v>
      </c>
      <c r="C57" s="775">
        <f>(SUMIF(Avaliação!$K:$K,A57,Avaliação!$J:$J))+(SUMIF(Avaliação!$O:$O,A57,Avaliação!$N:$N))+(SUMIF(Avaliação!$S:$S,A57,Avaliação!$R:$R))</f>
        <v>0</v>
      </c>
      <c r="D57" s="775">
        <f>(SUMIF(Avaliação!$AA:$AA,A57,Avaliação!$Z:$Z))+(SUMIF(Avaliação!$AD:$AD,A57,Avaliação!$AC:$AC))+(SUMIF(Avaliação!$AG:$AG,A57,Avaliação!$AF:$AF))</f>
        <v>0</v>
      </c>
    </row>
    <row r="58" spans="1:4">
      <c r="A58" s="157" t="s">
        <v>3303</v>
      </c>
      <c r="B58" s="195" t="s">
        <v>3304</v>
      </c>
      <c r="C58" s="775">
        <f>(SUMIF(Avaliação!$K:$K,A58,Avaliação!$J:$J))+(SUMIF(Avaliação!$O:$O,A58,Avaliação!$N:$N))+(SUMIF(Avaliação!$S:$S,A58,Avaliação!$R:$R))</f>
        <v>0</v>
      </c>
      <c r="D58" s="775">
        <f>(SUMIF(Avaliação!$AA:$AA,A58,Avaliação!$Z:$Z))+(SUMIF(Avaliação!$AD:$AD,A58,Avaliação!$AC:$AC))+(SUMIF(Avaliação!$AG:$AG,A58,Avaliação!$AF:$AF))</f>
        <v>0</v>
      </c>
    </row>
    <row r="59" spans="1:4">
      <c r="A59" s="157" t="s">
        <v>3305</v>
      </c>
      <c r="B59" s="195" t="s">
        <v>3306</v>
      </c>
      <c r="C59" s="775">
        <f>(SUMIF(Avaliação!$K:$K,A59,Avaliação!$J:$J))+(SUMIF(Avaliação!$O:$O,A59,Avaliação!$N:$N))+(SUMIF(Avaliação!$S:$S,A59,Avaliação!$R:$R))</f>
        <v>0</v>
      </c>
      <c r="D59" s="775">
        <f>(SUMIF(Avaliação!$AA:$AA,A59,Avaliação!$Z:$Z))+(SUMIF(Avaliação!$AD:$AD,A59,Avaliação!$AC:$AC))+(SUMIF(Avaliação!$AG:$AG,A59,Avaliação!$AF:$AF))</f>
        <v>0</v>
      </c>
    </row>
    <row r="60" spans="1:4">
      <c r="A60" s="839" t="s">
        <v>3307</v>
      </c>
      <c r="B60" s="840" t="s">
        <v>3308</v>
      </c>
      <c r="C60" s="775">
        <f>(SUMIF(Avaliação!$K:$K,A60,Avaliação!$J:$J))+(SUMIF(Avaliação!$O:$O,A60,Avaliação!$N:$N))+(SUMIF(Avaliação!$S:$S,A60,Avaliação!$R:$R))</f>
        <v>3</v>
      </c>
      <c r="D60" s="841">
        <f>(SUMIF(Avaliação!$AA:$AA,A60,Avaliação!$Z:$Z))+(SUMIF(Avaliação!$AD:$AD,A60,Avaliação!$AC:$AC))+(SUMIF(Avaliação!$AG:$AG,A60,Avaliação!$AF:$AF))</f>
        <v>0</v>
      </c>
    </row>
    <row r="61" spans="1:4">
      <c r="A61" s="157" t="s">
        <v>3309</v>
      </c>
      <c r="B61" s="195" t="s">
        <v>3310</v>
      </c>
      <c r="C61" s="775">
        <f>(SUMIF(Avaliação!$K:$K,A61,Avaliação!$J:$J))+(SUMIF(Avaliação!$O:$O,A61,Avaliação!$N:$N))+(SUMIF(Avaliação!$S:$S,A61,Avaliação!$R:$R))</f>
        <v>0</v>
      </c>
      <c r="D61" s="775">
        <f>(SUMIF(Avaliação!$AA:$AA,A61,Avaliação!$Z:$Z))+(SUMIF(Avaliação!$AD:$AD,A61,Avaliação!$AC:$AC))+(SUMIF(Avaliação!$AG:$AG,A61,Avaliação!$AF:$AF))</f>
        <v>0</v>
      </c>
    </row>
    <row r="62" spans="1:4">
      <c r="A62" s="157" t="s">
        <v>3311</v>
      </c>
      <c r="B62" s="195" t="s">
        <v>3312</v>
      </c>
      <c r="C62" s="775">
        <f>(SUMIF(Avaliação!$K:$K,A62,Avaliação!$J:$J))+(SUMIF(Avaliação!$O:$O,A62,Avaliação!$N:$N))+(SUMIF(Avaliação!$S:$S,A62,Avaliação!$R:$R))</f>
        <v>0</v>
      </c>
      <c r="D62" s="775">
        <f>(SUMIF(Avaliação!$AA:$AA,A62,Avaliação!$Z:$Z))+(SUMIF(Avaliação!$AD:$AD,A62,Avaliação!$AC:$AC))+(SUMIF(Avaliação!$AG:$AG,A62,Avaliação!$AF:$AF))</f>
        <v>0</v>
      </c>
    </row>
    <row r="63" spans="1:4">
      <c r="A63" s="157" t="s">
        <v>3313</v>
      </c>
      <c r="B63" s="195" t="s">
        <v>3314</v>
      </c>
      <c r="C63" s="775">
        <f>(SUMIF(Avaliação!$K:$K,A63,Avaliação!$J:$J))+(SUMIF(Avaliação!$O:$O,A63,Avaliação!$N:$N))+(SUMIF(Avaliação!$S:$S,A63,Avaliação!$R:$R))</f>
        <v>0</v>
      </c>
      <c r="D63" s="775">
        <f>(SUMIF(Avaliação!$AA:$AA,A63,Avaliação!$Z:$Z))+(SUMIF(Avaliação!$AD:$AD,A63,Avaliação!$AC:$AC))+(SUMIF(Avaliação!$AG:$AG,A63,Avaliação!$AF:$AF))</f>
        <v>0</v>
      </c>
    </row>
    <row r="64" spans="1:4">
      <c r="A64" s="157" t="s">
        <v>3315</v>
      </c>
      <c r="B64" s="195" t="s">
        <v>3316</v>
      </c>
      <c r="C64" s="775">
        <f>(SUMIF(Avaliação!$K:$K,A64,Avaliação!$J:$J))+(SUMIF(Avaliação!$O:$O,A64,Avaliação!$N:$N))+(SUMIF(Avaliação!$S:$S,A64,Avaliação!$R:$R))</f>
        <v>0</v>
      </c>
      <c r="D64" s="775">
        <f>(SUMIF(Avaliação!$AA:$AA,A64,Avaliação!$Z:$Z))+(SUMIF(Avaliação!$AD:$AD,A64,Avaliação!$AC:$AC))+(SUMIF(Avaliação!$AG:$AG,A64,Avaliação!$AF:$AF))</f>
        <v>0</v>
      </c>
    </row>
    <row r="65" spans="1:4">
      <c r="A65" s="157" t="s">
        <v>3317</v>
      </c>
      <c r="B65" s="195" t="s">
        <v>3318</v>
      </c>
      <c r="C65" s="775">
        <f>(SUMIF(Avaliação!$K:$K,A65,Avaliação!$J:$J))+(SUMIF(Avaliação!$O:$O,A65,Avaliação!$N:$N))+(SUMIF(Avaliação!$S:$S,A65,Avaliação!$R:$R))</f>
        <v>0</v>
      </c>
      <c r="D65" s="775">
        <f>(SUMIF(Avaliação!$AA:$AA,A65,Avaliação!$Z:$Z))+(SUMIF(Avaliação!$AD:$AD,A65,Avaliação!$AC:$AC))+(SUMIF(Avaliação!$AG:$AG,A65,Avaliação!$AF:$AF))</f>
        <v>0</v>
      </c>
    </row>
    <row r="66" spans="1:4">
      <c r="A66" s="157" t="s">
        <v>3319</v>
      </c>
      <c r="B66" s="195" t="s">
        <v>3320</v>
      </c>
      <c r="C66" s="775">
        <f>(SUMIF(Avaliação!$K:$K,A66,Avaliação!$J:$J))+(SUMIF(Avaliação!$O:$O,A66,Avaliação!$N:$N))+(SUMIF(Avaliação!$S:$S,A66,Avaliação!$R:$R))</f>
        <v>0</v>
      </c>
      <c r="D66" s="775">
        <f>(SUMIF(Avaliação!$AA:$AA,A66,Avaliação!$Z:$Z))+(SUMIF(Avaliação!$AD:$AD,A66,Avaliação!$AC:$AC))+(SUMIF(Avaliação!$AG:$AG,A66,Avaliação!$AF:$AF))</f>
        <v>0</v>
      </c>
    </row>
    <row r="67" spans="1:4">
      <c r="A67" s="157" t="s">
        <v>3321</v>
      </c>
      <c r="B67" s="195" t="s">
        <v>3322</v>
      </c>
      <c r="C67" s="775">
        <f>(SUMIF(Avaliação!$K:$K,A67,Avaliação!$J:$J))+(SUMIF(Avaliação!$O:$O,A67,Avaliação!$N:$N))+(SUMIF(Avaliação!$S:$S,A67,Avaliação!$R:$R))</f>
        <v>0</v>
      </c>
      <c r="D67" s="775">
        <f>(SUMIF(Avaliação!$AA:$AA,A67,Avaliação!$Z:$Z))+(SUMIF(Avaliação!$AD:$AD,A67,Avaliação!$AC:$AC))+(SUMIF(Avaliação!$AG:$AG,A67,Avaliação!$AF:$AF))</f>
        <v>0</v>
      </c>
    </row>
    <row r="68" spans="1:4">
      <c r="A68" s="157" t="s">
        <v>3323</v>
      </c>
      <c r="B68" s="195" t="s">
        <v>3324</v>
      </c>
      <c r="C68" s="775">
        <f>(SUMIF(Avaliação!$K:$K,A68,Avaliação!$J:$J))+(SUMIF(Avaliação!$O:$O,A68,Avaliação!$N:$N))+(SUMIF(Avaliação!$S:$S,A68,Avaliação!$R:$R))</f>
        <v>0</v>
      </c>
      <c r="D68" s="775">
        <f>(SUMIF(Avaliação!$AA:$AA,A68,Avaliação!$Z:$Z))+(SUMIF(Avaliação!$AD:$AD,A68,Avaliação!$AC:$AC))+(SUMIF(Avaliação!$AG:$AG,A68,Avaliação!$AF:$AF))</f>
        <v>0</v>
      </c>
    </row>
    <row r="69" spans="1:4">
      <c r="A69" s="157" t="s">
        <v>3325</v>
      </c>
      <c r="B69" s="195" t="s">
        <v>3326</v>
      </c>
      <c r="C69" s="775">
        <f>(SUMIF(Avaliação!$K:$K,A69,Avaliação!$J:$J))+(SUMIF(Avaliação!$O:$O,A69,Avaliação!$N:$N))+(SUMIF(Avaliação!$S:$S,A69,Avaliação!$R:$R))</f>
        <v>0</v>
      </c>
      <c r="D69" s="775">
        <f>(SUMIF(Avaliação!$AA:$AA,A69,Avaliação!$Z:$Z))+(SUMIF(Avaliação!$AD:$AD,A69,Avaliação!$AC:$AC))+(SUMIF(Avaliação!$AG:$AG,A69,Avaliação!$AF:$AF))</f>
        <v>0</v>
      </c>
    </row>
    <row r="70" spans="1:4">
      <c r="A70" s="157" t="s">
        <v>3327</v>
      </c>
      <c r="B70" s="195" t="s">
        <v>3328</v>
      </c>
      <c r="C70" s="775">
        <f>(SUMIF(Avaliação!$K:$K,A70,Avaliação!$J:$J))+(SUMIF(Avaliação!$O:$O,A70,Avaliação!$N:$N))+(SUMIF(Avaliação!$S:$S,A70,Avaliação!$R:$R))</f>
        <v>0</v>
      </c>
      <c r="D70" s="775">
        <f>(SUMIF(Avaliação!$AA:$AA,A70,Avaliação!$Z:$Z))+(SUMIF(Avaliação!$AD:$AD,A70,Avaliação!$AC:$AC))+(SUMIF(Avaliação!$AG:$AG,A70,Avaliação!$AF:$AF))</f>
        <v>0</v>
      </c>
    </row>
    <row r="71" spans="1:4">
      <c r="A71" s="839" t="s">
        <v>3329</v>
      </c>
      <c r="B71" s="840" t="s">
        <v>3330</v>
      </c>
      <c r="C71" s="775">
        <f>(SUMIF(Avaliação!$K:$K,A71,Avaliação!$J:$J))+(SUMIF(Avaliação!$O:$O,A71,Avaliação!$N:$N))+(SUMIF(Avaliação!$S:$S,A71,Avaliação!$R:$R))</f>
        <v>1</v>
      </c>
      <c r="D71" s="841">
        <f>(SUMIF(Avaliação!$AA:$AA,A71,Avaliação!$Z:$Z))+(SUMIF(Avaliação!$AD:$AD,A71,Avaliação!$AC:$AC))+(SUMIF(Avaliação!$AG:$AG,A71,Avaliação!$AF:$AF))</f>
        <v>0</v>
      </c>
    </row>
    <row r="72" spans="1:4">
      <c r="A72" s="157" t="s">
        <v>3331</v>
      </c>
      <c r="B72" s="195" t="s">
        <v>3332</v>
      </c>
      <c r="C72" s="775">
        <f>(SUMIF(Avaliação!$K:$K,A72,Avaliação!$J:$J))+(SUMIF(Avaliação!$O:$O,A72,Avaliação!$N:$N))+(SUMIF(Avaliação!$S:$S,A72,Avaliação!$R:$R))</f>
        <v>0</v>
      </c>
      <c r="D72" s="775">
        <f>(SUMIF(Avaliação!$AA:$AA,A72,Avaliação!$Z:$Z))+(SUMIF(Avaliação!$AD:$AD,A72,Avaliação!$AC:$AC))+(SUMIF(Avaliação!$AG:$AG,A72,Avaliação!$AF:$AF))</f>
        <v>0</v>
      </c>
    </row>
    <row r="73" spans="1:4">
      <c r="A73" s="157" t="s">
        <v>3333</v>
      </c>
      <c r="B73" s="195" t="s">
        <v>3334</v>
      </c>
      <c r="C73" s="775">
        <f>(SUMIF(Avaliação!$K:$K,A73,Avaliação!$J:$J))+(SUMIF(Avaliação!$O:$O,A73,Avaliação!$N:$N))+(SUMIF(Avaliação!$S:$S,A73,Avaliação!$R:$R))</f>
        <v>0</v>
      </c>
      <c r="D73" s="775">
        <f>(SUMIF(Avaliação!$AA:$AA,A73,Avaliação!$Z:$Z))+(SUMIF(Avaliação!$AD:$AD,A73,Avaliação!$AC:$AC))+(SUMIF(Avaliação!$AG:$AG,A73,Avaliação!$AF:$AF))</f>
        <v>0</v>
      </c>
    </row>
    <row r="74" spans="1:4">
      <c r="A74" s="157" t="s">
        <v>3335</v>
      </c>
      <c r="B74" s="195" t="s">
        <v>3336</v>
      </c>
      <c r="C74" s="775">
        <f>(SUMIF(Avaliação!$K:$K,A74,Avaliação!$J:$J))+(SUMIF(Avaliação!$O:$O,A74,Avaliação!$N:$N))+(SUMIF(Avaliação!$S:$S,A74,Avaliação!$R:$R))</f>
        <v>0</v>
      </c>
      <c r="D74" s="775">
        <f>(SUMIF(Avaliação!$AA:$AA,A74,Avaliação!$Z:$Z))+(SUMIF(Avaliação!$AD:$AD,A74,Avaliação!$AC:$AC))+(SUMIF(Avaliação!$AG:$AG,A74,Avaliação!$AF:$AF))</f>
        <v>0</v>
      </c>
    </row>
    <row r="75" spans="1:4">
      <c r="A75" s="157" t="s">
        <v>3337</v>
      </c>
      <c r="B75" s="195" t="s">
        <v>3338</v>
      </c>
      <c r="C75" s="775">
        <f>(SUMIF(Avaliação!$K:$K,A75,Avaliação!$J:$J))+(SUMIF(Avaliação!$O:$O,A75,Avaliação!$N:$N))+(SUMIF(Avaliação!$S:$S,A75,Avaliação!$R:$R))</f>
        <v>0</v>
      </c>
      <c r="D75" s="775">
        <f>(SUMIF(Avaliação!$AA:$AA,A75,Avaliação!$Z:$Z))+(SUMIF(Avaliação!$AD:$AD,A75,Avaliação!$AC:$AC))+(SUMIF(Avaliação!$AG:$AG,A75,Avaliação!$AF:$AF))</f>
        <v>0</v>
      </c>
    </row>
    <row r="76" spans="1:4">
      <c r="A76" s="157" t="s">
        <v>3339</v>
      </c>
      <c r="B76" s="195" t="s">
        <v>3340</v>
      </c>
      <c r="C76" s="775">
        <f>(SUMIF(Avaliação!$K:$K,A76,Avaliação!$J:$J))+(SUMIF(Avaliação!$O:$O,A76,Avaliação!$N:$N))+(SUMIF(Avaliação!$S:$S,A76,Avaliação!$R:$R))</f>
        <v>0</v>
      </c>
      <c r="D76" s="775">
        <f>(SUMIF(Avaliação!$AA:$AA,A76,Avaliação!$Z:$Z))+(SUMIF(Avaliação!$AD:$AD,A76,Avaliação!$AC:$AC))+(SUMIF(Avaliação!$AG:$AG,A76,Avaliação!$AF:$AF))</f>
        <v>0</v>
      </c>
    </row>
    <row r="77" spans="1:4">
      <c r="A77" s="157" t="s">
        <v>3341</v>
      </c>
      <c r="B77" s="195" t="s">
        <v>3342</v>
      </c>
      <c r="C77" s="775">
        <f>(SUMIF(Avaliação!$K:$K,A77,Avaliação!$J:$J))+(SUMIF(Avaliação!$O:$O,A77,Avaliação!$N:$N))+(SUMIF(Avaliação!$S:$S,A77,Avaliação!$R:$R))</f>
        <v>0</v>
      </c>
      <c r="D77" s="775">
        <f>(SUMIF(Avaliação!$AA:$AA,A77,Avaliação!$Z:$Z))+(SUMIF(Avaliação!$AD:$AD,A77,Avaliação!$AC:$AC))+(SUMIF(Avaliação!$AG:$AG,A77,Avaliação!$AF:$AF))</f>
        <v>0</v>
      </c>
    </row>
    <row r="78" spans="1:4">
      <c r="A78" s="157" t="s">
        <v>3343</v>
      </c>
      <c r="B78" s="195" t="s">
        <v>3344</v>
      </c>
      <c r="C78" s="775">
        <f>(SUMIF(Avaliação!$K:$K,A78,Avaliação!$J:$J))+(SUMIF(Avaliação!$O:$O,A78,Avaliação!$N:$N))+(SUMIF(Avaliação!$S:$S,A78,Avaliação!$R:$R))</f>
        <v>0</v>
      </c>
      <c r="D78" s="775">
        <f>(SUMIF(Avaliação!$AA:$AA,A78,Avaliação!$Z:$Z))+(SUMIF(Avaliação!$AD:$AD,A78,Avaliação!$AC:$AC))+(SUMIF(Avaliação!$AG:$AG,A78,Avaliação!$AF:$AF))</f>
        <v>0</v>
      </c>
    </row>
    <row r="79" spans="1:4">
      <c r="A79" s="157" t="s">
        <v>3345</v>
      </c>
      <c r="B79" s="195" t="s">
        <v>3346</v>
      </c>
      <c r="C79" s="775">
        <f>(SUMIF(Avaliação!$K:$K,A79,Avaliação!$J:$J))+(SUMIF(Avaliação!$O:$O,A79,Avaliação!$N:$N))+(SUMIF(Avaliação!$S:$S,A79,Avaliação!$R:$R))</f>
        <v>0</v>
      </c>
      <c r="D79" s="775">
        <f>(SUMIF(Avaliação!$AA:$AA,A79,Avaliação!$Z:$Z))+(SUMIF(Avaliação!$AD:$AD,A79,Avaliação!$AC:$AC))+(SUMIF(Avaliação!$AG:$AG,A79,Avaliação!$AF:$AF))</f>
        <v>0</v>
      </c>
    </row>
    <row r="80" spans="1:4">
      <c r="A80" s="157" t="s">
        <v>3347</v>
      </c>
      <c r="B80" s="195" t="s">
        <v>3348</v>
      </c>
      <c r="C80" s="775">
        <f>(SUMIF(Avaliação!$K:$K,A80,Avaliação!$J:$J))+(SUMIF(Avaliação!$O:$O,A80,Avaliação!$N:$N))+(SUMIF(Avaliação!$S:$S,A80,Avaliação!$R:$R))</f>
        <v>0</v>
      </c>
      <c r="D80" s="775">
        <f>(SUMIF(Avaliação!$AA:$AA,A80,Avaliação!$Z:$Z))+(SUMIF(Avaliação!$AD:$AD,A80,Avaliação!$AC:$AC))+(SUMIF(Avaliação!$AG:$AG,A80,Avaliação!$AF:$AF))</f>
        <v>0</v>
      </c>
    </row>
    <row r="81" spans="1:5">
      <c r="A81" s="157" t="s">
        <v>3349</v>
      </c>
      <c r="B81" s="195" t="s">
        <v>3350</v>
      </c>
      <c r="C81" s="775">
        <f>(SUMIF(Avaliação!$K:$K,A81,Avaliação!$J:$J))+(SUMIF(Avaliação!$O:$O,A81,Avaliação!$N:$N))+(SUMIF(Avaliação!$S:$S,A81,Avaliação!$R:$R))</f>
        <v>0</v>
      </c>
      <c r="D81" s="775">
        <f>(SUMIF(Avaliação!$AA:$AA,A81,Avaliação!$Z:$Z))+(SUMIF(Avaliação!$AD:$AD,A81,Avaliação!$AC:$AC))+(SUMIF(Avaliação!$AG:$AG,A81,Avaliação!$AF:$AF))</f>
        <v>0</v>
      </c>
    </row>
    <row r="82" spans="1:5">
      <c r="A82" s="157" t="s">
        <v>3351</v>
      </c>
      <c r="B82" s="195" t="s">
        <v>3352</v>
      </c>
      <c r="C82" s="775">
        <f>(SUMIF(Avaliação!$K:$K,A82,Avaliação!$J:$J))+(SUMIF(Avaliação!$O:$O,A82,Avaliação!$N:$N))+(SUMIF(Avaliação!$S:$S,A82,Avaliação!$R:$R))</f>
        <v>0</v>
      </c>
      <c r="D82" s="775">
        <f>(SUMIF(Avaliação!$AA:$AA,A82,Avaliação!$Z:$Z))+(SUMIF(Avaliação!$AD:$AD,A82,Avaliação!$AC:$AC))+(SUMIF(Avaliação!$AG:$AG,A82,Avaliação!$AF:$AF))</f>
        <v>0</v>
      </c>
    </row>
    <row r="83" spans="1:5">
      <c r="A83" s="157" t="s">
        <v>3353</v>
      </c>
      <c r="B83" s="195" t="s">
        <v>3354</v>
      </c>
      <c r="C83" s="775">
        <f>(SUMIF(Avaliação!$K:$K,A83,Avaliação!$J:$J))+(SUMIF(Avaliação!$O:$O,A83,Avaliação!$N:$N))+(SUMIF(Avaliação!$S:$S,A83,Avaliação!$R:$R))</f>
        <v>0</v>
      </c>
      <c r="D83" s="775">
        <f>(SUMIF(Avaliação!$AA:$AA,A83,Avaliação!$Z:$Z))+(SUMIF(Avaliação!$AD:$AD,A83,Avaliação!$AC:$AC))+(SUMIF(Avaliação!$AG:$AG,A83,Avaliação!$AF:$AF))</f>
        <v>0</v>
      </c>
    </row>
    <row r="84" spans="1:5">
      <c r="A84" s="157" t="s">
        <v>3355</v>
      </c>
      <c r="B84" s="195" t="s">
        <v>3356</v>
      </c>
      <c r="C84" s="775">
        <f>(SUMIF(Avaliação!$K:$K,A84,Avaliação!$J:$J))+(SUMIF(Avaliação!$O:$O,A84,Avaliação!$N:$N))+(SUMIF(Avaliação!$S:$S,A84,Avaliação!$R:$R))</f>
        <v>0</v>
      </c>
      <c r="D84" s="775">
        <f>(SUMIF(Avaliação!$AA:$AA,A84,Avaliação!$Z:$Z))+(SUMIF(Avaliação!$AD:$AD,A84,Avaliação!$AC:$AC))+(SUMIF(Avaliação!$AG:$AG,A84,Avaliação!$AF:$AF))</f>
        <v>0</v>
      </c>
    </row>
    <row r="85" spans="1:5">
      <c r="A85" s="157" t="s">
        <v>3357</v>
      </c>
      <c r="B85" s="195" t="s">
        <v>3358</v>
      </c>
      <c r="C85" s="775">
        <f>(SUMIF(Avaliação!$K:$K,A85,Avaliação!$J:$J))+(SUMIF(Avaliação!$O:$O,A85,Avaliação!$N:$N))+(SUMIF(Avaliação!$S:$S,A85,Avaliação!$R:$R))</f>
        <v>0</v>
      </c>
      <c r="D85" s="775">
        <f>(SUMIF(Avaliação!$AA:$AA,A85,Avaliação!$Z:$Z))+(SUMIF(Avaliação!$AD:$AD,A85,Avaliação!$AC:$AC))+(SUMIF(Avaliação!$AG:$AG,A85,Avaliação!$AF:$AF))</f>
        <v>0</v>
      </c>
    </row>
    <row r="86" spans="1:5">
      <c r="A86" s="157" t="s">
        <v>3359</v>
      </c>
      <c r="B86" s="195" t="s">
        <v>3360</v>
      </c>
      <c r="C86" s="775">
        <f>(SUMIF(Avaliação!$K:$K,A86,Avaliação!$J:$J))+(SUMIF(Avaliação!$O:$O,A86,Avaliação!$N:$N))+(SUMIF(Avaliação!$S:$S,A86,Avaliação!$R:$R))</f>
        <v>0</v>
      </c>
      <c r="D86" s="775">
        <f>(SUMIF(Avaliação!$AA:$AA,A86,Avaliação!$Z:$Z))+(SUMIF(Avaliação!$AD:$AD,A86,Avaliação!$AC:$AC))+(SUMIF(Avaliação!$AG:$AG,A86,Avaliação!$AF:$AF))</f>
        <v>0</v>
      </c>
    </row>
    <row r="87" spans="1:5">
      <c r="A87" s="157" t="s">
        <v>3361</v>
      </c>
      <c r="B87" s="195" t="s">
        <v>3362</v>
      </c>
      <c r="C87" s="775">
        <f>(SUMIF(Avaliação!$K:$K,A87,Avaliação!$J:$J))+(SUMIF(Avaliação!$O:$O,A87,Avaliação!$N:$N))+(SUMIF(Avaliação!$S:$S,A87,Avaliação!$R:$R))</f>
        <v>0</v>
      </c>
      <c r="D87" s="775">
        <f>(SUMIF(Avaliação!$AA:$AA,A87,Avaliação!$Z:$Z))+(SUMIF(Avaliação!$AD:$AD,A87,Avaliação!$AC:$AC))+(SUMIF(Avaliação!$AG:$AG,A87,Avaliação!$AF:$AF))</f>
        <v>0</v>
      </c>
    </row>
    <row r="88" spans="1:5">
      <c r="A88" s="157" t="s">
        <v>3363</v>
      </c>
      <c r="B88" s="195" t="s">
        <v>3364</v>
      </c>
      <c r="C88" s="775">
        <f>(SUMIF(Avaliação!$K:$K,A88,Avaliação!$J:$J))+(SUMIF(Avaliação!$O:$O,A88,Avaliação!$N:$N))+(SUMIF(Avaliação!$S:$S,A88,Avaliação!$R:$R))</f>
        <v>0</v>
      </c>
      <c r="D88" s="775">
        <f>(SUMIF(Avaliação!$AA:$AA,A88,Avaliação!$Z:$Z))+(SUMIF(Avaliação!$AD:$AD,A88,Avaliação!$AC:$AC))+(SUMIF(Avaliação!$AG:$AG,A88,Avaliação!$AF:$AF))</f>
        <v>0</v>
      </c>
    </row>
    <row r="89" spans="1:5">
      <c r="A89" s="836" t="s">
        <v>3365</v>
      </c>
      <c r="B89" s="837" t="s">
        <v>3366</v>
      </c>
      <c r="C89" s="775">
        <f>(SUMIF(Avaliação!$K:$K,A89,Avaliação!$J:$J))+(SUMIF(Avaliação!$O:$O,A89,Avaliação!$N:$N))+(SUMIF(Avaliação!$S:$S,A89,Avaliação!$R:$R))</f>
        <v>0</v>
      </c>
      <c r="D89" s="838">
        <f>(SUMIF(Avaliação!$AA:$AA,A89,Avaliação!$Z:$Z))+(SUMIF(Avaliação!$AD:$AD,A89,Avaliação!$AC:$AC))+(SUMIF(Avaliação!$AG:$AG,A89,Avaliação!$AF:$AF))</f>
        <v>0</v>
      </c>
      <c r="E89" s="123">
        <v>2</v>
      </c>
    </row>
    <row r="90" spans="1:5">
      <c r="A90" s="157" t="s">
        <v>3367</v>
      </c>
      <c r="B90" s="195" t="s">
        <v>3368</v>
      </c>
      <c r="C90" s="775">
        <f>(SUMIF(Avaliação!$K:$K,A90,Avaliação!$J:$J))+(SUMIF(Avaliação!$O:$O,A90,Avaliação!$N:$N))+(SUMIF(Avaliação!$S:$S,A90,Avaliação!$R:$R))</f>
        <v>0</v>
      </c>
      <c r="D90" s="775">
        <f>(SUMIF(Avaliação!$AA:$AA,A90,Avaliação!$Z:$Z))+(SUMIF(Avaliação!$AD:$AD,A90,Avaliação!$AC:$AC))+(SUMIF(Avaliação!$AG:$AG,A90,Avaliação!$AF:$AF))</f>
        <v>0</v>
      </c>
    </row>
    <row r="91" spans="1:5">
      <c r="A91" s="157" t="s">
        <v>3369</v>
      </c>
      <c r="B91" s="195" t="s">
        <v>3370</v>
      </c>
      <c r="C91" s="775">
        <f>(SUMIF(Avaliação!$K:$K,A91,Avaliação!$J:$J))+(SUMIF(Avaliação!$O:$O,A91,Avaliação!$N:$N))+(SUMIF(Avaliação!$S:$S,A91,Avaliação!$R:$R))</f>
        <v>0</v>
      </c>
      <c r="D91" s="775">
        <f>(SUMIF(Avaliação!$AA:$AA,A91,Avaliação!$Z:$Z))+(SUMIF(Avaliação!$AD:$AD,A91,Avaliação!$AC:$AC))+(SUMIF(Avaliação!$AG:$AG,A91,Avaliação!$AF:$AF))</f>
        <v>0</v>
      </c>
    </row>
    <row r="92" spans="1:5">
      <c r="A92" s="157" t="s">
        <v>3371</v>
      </c>
      <c r="B92" s="195" t="s">
        <v>3372</v>
      </c>
      <c r="C92" s="775">
        <f>(SUMIF(Avaliação!$K:$K,A92,Avaliação!$J:$J))+(SUMIF(Avaliação!$O:$O,A92,Avaliação!$N:$N))+(SUMIF(Avaliação!$S:$S,A92,Avaliação!$R:$R))</f>
        <v>0</v>
      </c>
      <c r="D92" s="775">
        <f>(SUMIF(Avaliação!$AA:$AA,A92,Avaliação!$Z:$Z))+(SUMIF(Avaliação!$AD:$AD,A92,Avaliação!$AC:$AC))+(SUMIF(Avaliação!$AG:$AG,A92,Avaliação!$AF:$AF))</f>
        <v>0</v>
      </c>
    </row>
    <row r="93" spans="1:5">
      <c r="A93" s="157" t="s">
        <v>3373</v>
      </c>
      <c r="B93" s="195" t="s">
        <v>3374</v>
      </c>
      <c r="C93" s="775">
        <f>(SUMIF(Avaliação!$K:$K,A93,Avaliação!$J:$J))+(SUMIF(Avaliação!$O:$O,A93,Avaliação!$N:$N))+(SUMIF(Avaliação!$S:$S,A93,Avaliação!$R:$R))</f>
        <v>0</v>
      </c>
      <c r="D93" s="775">
        <f>(SUMIF(Avaliação!$AA:$AA,A93,Avaliação!$Z:$Z))+(SUMIF(Avaliação!$AD:$AD,A93,Avaliação!$AC:$AC))+(SUMIF(Avaliação!$AG:$AG,A93,Avaliação!$AF:$AF))</f>
        <v>0</v>
      </c>
    </row>
    <row r="94" spans="1:5">
      <c r="A94" s="157" t="s">
        <v>3375</v>
      </c>
      <c r="B94" s="195" t="s">
        <v>3376</v>
      </c>
      <c r="C94" s="775">
        <f>(SUMIF(Avaliação!$K:$K,A94,Avaliação!$J:$J))+(SUMIF(Avaliação!$O:$O,A94,Avaliação!$N:$N))+(SUMIF(Avaliação!$S:$S,A94,Avaliação!$R:$R))</f>
        <v>0</v>
      </c>
      <c r="D94" s="775">
        <f>(SUMIF(Avaliação!$AA:$AA,A94,Avaliação!$Z:$Z))+(SUMIF(Avaliação!$AD:$AD,A94,Avaliação!$AC:$AC))+(SUMIF(Avaliação!$AG:$AG,A94,Avaliação!$AF:$AF))</f>
        <v>0</v>
      </c>
    </row>
    <row r="95" spans="1:5">
      <c r="A95" s="836" t="s">
        <v>3377</v>
      </c>
      <c r="B95" s="837" t="s">
        <v>3378</v>
      </c>
      <c r="C95" s="775">
        <f>(SUMIF(Avaliação!$K:$K,A95,Avaliação!$J:$J))+(SUMIF(Avaliação!$O:$O,A95,Avaliação!$N:$N))+(SUMIF(Avaliação!$S:$S,A95,Avaliação!$R:$R))</f>
        <v>1</v>
      </c>
      <c r="D95" s="838">
        <f>(SUMIF(Avaliação!$AA:$AA,A95,Avaliação!$Z:$Z))+(SUMIF(Avaliação!$AD:$AD,A95,Avaliação!$AC:$AC))+(SUMIF(Avaliação!$AG:$AG,A95,Avaliação!$AF:$AF))</f>
        <v>0</v>
      </c>
    </row>
    <row r="96" spans="1:5">
      <c r="A96" s="157" t="s">
        <v>3379</v>
      </c>
      <c r="B96" s="195" t="s">
        <v>3380</v>
      </c>
      <c r="C96" s="775">
        <f>(SUMIF(Avaliação!$K:$K,A96,Avaliação!$J:$J))+(SUMIF(Avaliação!$O:$O,A96,Avaliação!$N:$N))+(SUMIF(Avaliação!$S:$S,A96,Avaliação!$R:$R))</f>
        <v>0</v>
      </c>
      <c r="D96" s="775">
        <f>(SUMIF(Avaliação!$AA:$AA,A96,Avaliação!$Z:$Z))+(SUMIF(Avaliação!$AD:$AD,A96,Avaliação!$AC:$AC))+(SUMIF(Avaliação!$AG:$AG,A96,Avaliação!$AF:$AF))</f>
        <v>0</v>
      </c>
    </row>
    <row r="97" spans="1:4">
      <c r="A97" s="157" t="s">
        <v>3381</v>
      </c>
      <c r="B97" s="195" t="s">
        <v>3382</v>
      </c>
      <c r="C97" s="775">
        <f>(SUMIF(Avaliação!$K:$K,A97,Avaliação!$J:$J))+(SUMIF(Avaliação!$O:$O,A97,Avaliação!$N:$N))+(SUMIF(Avaliação!$S:$S,A97,Avaliação!$R:$R))</f>
        <v>0</v>
      </c>
      <c r="D97" s="775">
        <f>(SUMIF(Avaliação!$AA:$AA,A97,Avaliação!$Z:$Z))+(SUMIF(Avaliação!$AD:$AD,A97,Avaliação!$AC:$AC))+(SUMIF(Avaliação!$AG:$AG,A97,Avaliação!$AF:$AF))</f>
        <v>0</v>
      </c>
    </row>
    <row r="98" spans="1:4">
      <c r="A98" s="157" t="s">
        <v>3383</v>
      </c>
      <c r="B98" s="195" t="s">
        <v>3384</v>
      </c>
      <c r="C98" s="775">
        <f>(SUMIF(Avaliação!$K:$K,A98,Avaliação!$J:$J))+(SUMIF(Avaliação!$O:$O,A98,Avaliação!$N:$N))+(SUMIF(Avaliação!$S:$S,A98,Avaliação!$R:$R))</f>
        <v>0</v>
      </c>
      <c r="D98" s="775">
        <f>(SUMIF(Avaliação!$AA:$AA,A98,Avaliação!$Z:$Z))+(SUMIF(Avaliação!$AD:$AD,A98,Avaliação!$AC:$AC))+(SUMIF(Avaliação!$AG:$AG,A98,Avaliação!$AF:$AF))</f>
        <v>0</v>
      </c>
    </row>
    <row r="99" spans="1:4">
      <c r="A99" s="157" t="s">
        <v>3385</v>
      </c>
      <c r="B99" s="195" t="s">
        <v>3386</v>
      </c>
      <c r="C99" s="775">
        <f>(SUMIF(Avaliação!$K:$K,A99,Avaliação!$J:$J))+(SUMIF(Avaliação!$O:$O,A99,Avaliação!$N:$N))+(SUMIF(Avaliação!$S:$S,A99,Avaliação!$R:$R))</f>
        <v>0</v>
      </c>
      <c r="D99" s="775">
        <f>(SUMIF(Avaliação!$AA:$AA,A99,Avaliação!$Z:$Z))+(SUMIF(Avaliação!$AD:$AD,A99,Avaliação!$AC:$AC))+(SUMIF(Avaliação!$AG:$AG,A99,Avaliação!$AF:$AF))</f>
        <v>0</v>
      </c>
    </row>
    <row r="100" spans="1:4">
      <c r="A100" s="157" t="s">
        <v>3387</v>
      </c>
      <c r="B100" s="195" t="s">
        <v>3388</v>
      </c>
      <c r="C100" s="775">
        <f>(SUMIF(Avaliação!$K:$K,A100,Avaliação!$J:$J))+(SUMIF(Avaliação!$O:$O,A100,Avaliação!$N:$N))+(SUMIF(Avaliação!$S:$S,A100,Avaliação!$R:$R))</f>
        <v>0</v>
      </c>
      <c r="D100" s="775">
        <f>(SUMIF(Avaliação!$AA:$AA,A100,Avaliação!$Z:$Z))+(SUMIF(Avaliação!$AD:$AD,A100,Avaliação!$AC:$AC))+(SUMIF(Avaliação!$AG:$AG,A100,Avaliação!$AF:$AF))</f>
        <v>0</v>
      </c>
    </row>
    <row r="101" spans="1:4">
      <c r="A101" s="157" t="s">
        <v>3389</v>
      </c>
      <c r="B101" s="195" t="s">
        <v>3390</v>
      </c>
      <c r="C101" s="775">
        <f>(SUMIF(Avaliação!$K:$K,A101,Avaliação!$J:$J))+(SUMIF(Avaliação!$O:$O,A101,Avaliação!$N:$N))+(SUMIF(Avaliação!$S:$S,A101,Avaliação!$R:$R))</f>
        <v>0</v>
      </c>
      <c r="D101" s="775">
        <f>(SUMIF(Avaliação!$AA:$AA,A101,Avaliação!$Z:$Z))+(SUMIF(Avaliação!$AD:$AD,A101,Avaliação!$AC:$AC))+(SUMIF(Avaliação!$AG:$AG,A101,Avaliação!$AF:$AF))</f>
        <v>0</v>
      </c>
    </row>
    <row r="102" spans="1:4">
      <c r="A102" s="157" t="s">
        <v>3391</v>
      </c>
      <c r="B102" s="195" t="s">
        <v>3392</v>
      </c>
      <c r="C102" s="775">
        <f>(SUMIF(Avaliação!$K:$K,A102,Avaliação!$J:$J))+(SUMIF(Avaliação!$O:$O,A102,Avaliação!$N:$N))+(SUMIF(Avaliação!$S:$S,A102,Avaliação!$R:$R))</f>
        <v>0</v>
      </c>
      <c r="D102" s="775">
        <f>(SUMIF(Avaliação!$AA:$AA,A102,Avaliação!$Z:$Z))+(SUMIF(Avaliação!$AD:$AD,A102,Avaliação!$AC:$AC))+(SUMIF(Avaliação!$AG:$AG,A102,Avaliação!$AF:$AF))</f>
        <v>0</v>
      </c>
    </row>
    <row r="103" spans="1:4">
      <c r="A103" s="157" t="s">
        <v>3393</v>
      </c>
      <c r="B103" s="195" t="s">
        <v>3394</v>
      </c>
      <c r="C103" s="775">
        <f>(SUMIF(Avaliação!$K:$K,A103,Avaliação!$J:$J))+(SUMIF(Avaliação!$O:$O,A103,Avaliação!$N:$N))+(SUMIF(Avaliação!$S:$S,A103,Avaliação!$R:$R))</f>
        <v>0</v>
      </c>
      <c r="D103" s="775">
        <f>(SUMIF(Avaliação!$AA:$AA,A103,Avaliação!$Z:$Z))+(SUMIF(Avaliação!$AD:$AD,A103,Avaliação!$AC:$AC))+(SUMIF(Avaliação!$AG:$AG,A103,Avaliação!$AF:$AF))</f>
        <v>0</v>
      </c>
    </row>
    <row r="104" spans="1:4">
      <c r="A104" s="157" t="s">
        <v>3395</v>
      </c>
      <c r="B104" s="195" t="s">
        <v>3396</v>
      </c>
      <c r="C104" s="775">
        <f>(SUMIF(Avaliação!$K:$K,A104,Avaliação!$J:$J))+(SUMIF(Avaliação!$O:$O,A104,Avaliação!$N:$N))+(SUMIF(Avaliação!$S:$S,A104,Avaliação!$R:$R))</f>
        <v>0</v>
      </c>
      <c r="D104" s="775">
        <f>(SUMIF(Avaliação!$AA:$AA,A104,Avaliação!$Z:$Z))+(SUMIF(Avaliação!$AD:$AD,A104,Avaliação!$AC:$AC))+(SUMIF(Avaliação!$AG:$AG,A104,Avaliação!$AF:$AF))</f>
        <v>0</v>
      </c>
    </row>
    <row r="105" spans="1:4">
      <c r="A105" s="157" t="s">
        <v>3397</v>
      </c>
      <c r="B105" s="195" t="s">
        <v>3398</v>
      </c>
      <c r="C105" s="775">
        <f>(SUMIF(Avaliação!$K:$K,A105,Avaliação!$J:$J))+(SUMIF(Avaliação!$O:$O,A105,Avaliação!$N:$N))+(SUMIF(Avaliação!$S:$S,A105,Avaliação!$R:$R))</f>
        <v>0</v>
      </c>
      <c r="D105" s="775">
        <f>(SUMIF(Avaliação!$AA:$AA,A105,Avaliação!$Z:$Z))+(SUMIF(Avaliação!$AD:$AD,A105,Avaliação!$AC:$AC))+(SUMIF(Avaliação!$AG:$AG,A105,Avaliação!$AF:$AF))</f>
        <v>0</v>
      </c>
    </row>
    <row r="106" spans="1:4">
      <c r="A106" s="157" t="s">
        <v>3399</v>
      </c>
      <c r="B106" s="195" t="s">
        <v>3400</v>
      </c>
      <c r="C106" s="775">
        <f>(SUMIF(Avaliação!$K:$K,A106,Avaliação!$J:$J))+(SUMIF(Avaliação!$O:$O,A106,Avaliação!$N:$N))+(SUMIF(Avaliação!$S:$S,A106,Avaliação!$R:$R))</f>
        <v>0</v>
      </c>
      <c r="D106" s="775">
        <f>(SUMIF(Avaliação!$AA:$AA,A106,Avaliação!$Z:$Z))+(SUMIF(Avaliação!$AD:$AD,A106,Avaliação!$AC:$AC))+(SUMIF(Avaliação!$AG:$AG,A106,Avaliação!$AF:$AF))</f>
        <v>0</v>
      </c>
    </row>
    <row r="107" spans="1:4">
      <c r="A107" s="157" t="s">
        <v>3401</v>
      </c>
      <c r="B107" s="195" t="s">
        <v>3402</v>
      </c>
      <c r="C107" s="775">
        <f>(SUMIF(Avaliação!$K:$K,A107,Avaliação!$J:$J))+(SUMIF(Avaliação!$O:$O,A107,Avaliação!$N:$N))+(SUMIF(Avaliação!$S:$S,A107,Avaliação!$R:$R))</f>
        <v>0</v>
      </c>
      <c r="D107" s="775">
        <f>(SUMIF(Avaliação!$AA:$AA,A107,Avaliação!$Z:$Z))+(SUMIF(Avaliação!$AD:$AD,A107,Avaliação!$AC:$AC))+(SUMIF(Avaliação!$AG:$AG,A107,Avaliação!$AF:$AF))</f>
        <v>0</v>
      </c>
    </row>
    <row r="108" spans="1:4">
      <c r="A108" s="157" t="s">
        <v>3403</v>
      </c>
      <c r="B108" s="195" t="s">
        <v>3404</v>
      </c>
      <c r="C108" s="775">
        <f>(SUMIF(Avaliação!$K:$K,A108,Avaliação!$J:$J))+(SUMIF(Avaliação!$O:$O,A108,Avaliação!$N:$N))+(SUMIF(Avaliação!$S:$S,A108,Avaliação!$R:$R))</f>
        <v>0</v>
      </c>
      <c r="D108" s="775">
        <f>(SUMIF(Avaliação!$AA:$AA,A108,Avaliação!$Z:$Z))+(SUMIF(Avaliação!$AD:$AD,A108,Avaliação!$AC:$AC))+(SUMIF(Avaliação!$AG:$AG,A108,Avaliação!$AF:$AF))</f>
        <v>0</v>
      </c>
    </row>
    <row r="109" spans="1:4">
      <c r="A109" s="157" t="s">
        <v>3405</v>
      </c>
      <c r="B109" s="195" t="s">
        <v>3406</v>
      </c>
      <c r="C109" s="775">
        <f>(SUMIF(Avaliação!$K:$K,A109,Avaliação!$J:$J))+(SUMIF(Avaliação!$O:$O,A109,Avaliação!$N:$N))+(SUMIF(Avaliação!$S:$S,A109,Avaliação!$R:$R))</f>
        <v>0</v>
      </c>
      <c r="D109" s="775">
        <f>(SUMIF(Avaliação!$AA:$AA,A109,Avaliação!$Z:$Z))+(SUMIF(Avaliação!$AD:$AD,A109,Avaliação!$AC:$AC))+(SUMIF(Avaliação!$AG:$AG,A109,Avaliação!$AF:$AF))</f>
        <v>0</v>
      </c>
    </row>
    <row r="110" spans="1:4">
      <c r="A110" s="157" t="s">
        <v>3407</v>
      </c>
      <c r="B110" s="195" t="s">
        <v>3408</v>
      </c>
      <c r="C110" s="775">
        <f>(SUMIF(Avaliação!$K:$K,A110,Avaliação!$J:$J))+(SUMIF(Avaliação!$O:$O,A110,Avaliação!$N:$N))+(SUMIF(Avaliação!$S:$S,A110,Avaliação!$R:$R))</f>
        <v>0</v>
      </c>
      <c r="D110" s="775">
        <f>(SUMIF(Avaliação!$AA:$AA,A110,Avaliação!$Z:$Z))+(SUMIF(Avaliação!$AD:$AD,A110,Avaliação!$AC:$AC))+(SUMIF(Avaliação!$AG:$AG,A110,Avaliação!$AF:$AF))</f>
        <v>0</v>
      </c>
    </row>
    <row r="111" spans="1:4">
      <c r="A111" s="157" t="s">
        <v>3409</v>
      </c>
      <c r="B111" s="195" t="s">
        <v>3410</v>
      </c>
      <c r="C111" s="775">
        <f>(SUMIF(Avaliação!$K:$K,A111,Avaliação!$J:$J))+(SUMIF(Avaliação!$O:$O,A111,Avaliação!$N:$N))+(SUMIF(Avaliação!$S:$S,A111,Avaliação!$R:$R))</f>
        <v>0</v>
      </c>
      <c r="D111" s="775">
        <f>(SUMIF(Avaliação!$AA:$AA,A111,Avaliação!$Z:$Z))+(SUMIF(Avaliação!$AD:$AD,A111,Avaliação!$AC:$AC))+(SUMIF(Avaliação!$AG:$AG,A111,Avaliação!$AF:$AF))</f>
        <v>0</v>
      </c>
    </row>
    <row r="112" spans="1:4">
      <c r="A112" s="157" t="s">
        <v>3411</v>
      </c>
      <c r="B112" s="195" t="s">
        <v>3412</v>
      </c>
      <c r="C112" s="775">
        <f>(SUMIF(Avaliação!$K:$K,A112,Avaliação!$J:$J))+(SUMIF(Avaliação!$O:$O,A112,Avaliação!$N:$N))+(SUMIF(Avaliação!$S:$S,A112,Avaliação!$R:$R))</f>
        <v>0</v>
      </c>
      <c r="D112" s="775">
        <f>(SUMIF(Avaliação!$AA:$AA,A112,Avaliação!$Z:$Z))+(SUMIF(Avaliação!$AD:$AD,A112,Avaliação!$AC:$AC))+(SUMIF(Avaliação!$AG:$AG,A112,Avaliação!$AF:$AF))</f>
        <v>0</v>
      </c>
    </row>
    <row r="113" spans="1:4">
      <c r="A113" s="157" t="s">
        <v>3413</v>
      </c>
      <c r="B113" s="195" t="s">
        <v>3414</v>
      </c>
      <c r="C113" s="775">
        <f>(SUMIF(Avaliação!$K:$K,A113,Avaliação!$J:$J))+(SUMIF(Avaliação!$O:$O,A113,Avaliação!$N:$N))+(SUMIF(Avaliação!$S:$S,A113,Avaliação!$R:$R))</f>
        <v>0</v>
      </c>
      <c r="D113" s="775">
        <f>(SUMIF(Avaliação!$AA:$AA,A113,Avaliação!$Z:$Z))+(SUMIF(Avaliação!$AD:$AD,A113,Avaliação!$AC:$AC))+(SUMIF(Avaliação!$AG:$AG,A113,Avaliação!$AF:$AF))</f>
        <v>0</v>
      </c>
    </row>
    <row r="114" spans="1:4">
      <c r="A114" s="157" t="s">
        <v>3415</v>
      </c>
      <c r="B114" s="195" t="s">
        <v>3416</v>
      </c>
      <c r="C114" s="775">
        <f>(SUMIF(Avaliação!$K:$K,A114,Avaliação!$J:$J))+(SUMIF(Avaliação!$O:$O,A114,Avaliação!$N:$N))+(SUMIF(Avaliação!$S:$S,A114,Avaliação!$R:$R))</f>
        <v>0</v>
      </c>
      <c r="D114" s="775">
        <f>(SUMIF(Avaliação!$AA:$AA,A114,Avaliação!$Z:$Z))+(SUMIF(Avaliação!$AD:$AD,A114,Avaliação!$AC:$AC))+(SUMIF(Avaliação!$AG:$AG,A114,Avaliação!$AF:$AF))</f>
        <v>0</v>
      </c>
    </row>
    <row r="115" spans="1:4">
      <c r="A115" s="157" t="s">
        <v>3417</v>
      </c>
      <c r="B115" s="195" t="s">
        <v>3418</v>
      </c>
      <c r="C115" s="775">
        <f>(SUMIF(Avaliação!$K:$K,A115,Avaliação!$J:$J))+(SUMIF(Avaliação!$O:$O,A115,Avaliação!$N:$N))+(SUMIF(Avaliação!$S:$S,A115,Avaliação!$R:$R))</f>
        <v>0</v>
      </c>
      <c r="D115" s="775">
        <f>(SUMIF(Avaliação!$AA:$AA,A115,Avaliação!$Z:$Z))+(SUMIF(Avaliação!$AD:$AD,A115,Avaliação!$AC:$AC))+(SUMIF(Avaliação!$AG:$AG,A115,Avaliação!$AF:$AF))</f>
        <v>0</v>
      </c>
    </row>
    <row r="116" spans="1:4">
      <c r="A116" s="157" t="s">
        <v>3419</v>
      </c>
      <c r="B116" s="195" t="s">
        <v>3420</v>
      </c>
      <c r="C116" s="775">
        <f>(SUMIF(Avaliação!$K:$K,A116,Avaliação!$J:$J))+(SUMIF(Avaliação!$O:$O,A116,Avaliação!$N:$N))+(SUMIF(Avaliação!$S:$S,A116,Avaliação!$R:$R))</f>
        <v>0</v>
      </c>
      <c r="D116" s="775">
        <f>(SUMIF(Avaliação!$AA:$AA,A116,Avaliação!$Z:$Z))+(SUMIF(Avaliação!$AD:$AD,A116,Avaliação!$AC:$AC))+(SUMIF(Avaliação!$AG:$AG,A116,Avaliação!$AF:$AF))</f>
        <v>0</v>
      </c>
    </row>
    <row r="117" spans="1:4">
      <c r="A117" s="157" t="s">
        <v>3421</v>
      </c>
      <c r="B117" s="195" t="s">
        <v>3422</v>
      </c>
      <c r="C117" s="775">
        <f>(SUMIF(Avaliação!$K:$K,A117,Avaliação!$J:$J))+(SUMIF(Avaliação!$O:$O,A117,Avaliação!$N:$N))+(SUMIF(Avaliação!$S:$S,A117,Avaliação!$R:$R))</f>
        <v>0</v>
      </c>
      <c r="D117" s="775">
        <f>(SUMIF(Avaliação!$AA:$AA,A117,Avaliação!$Z:$Z))+(SUMIF(Avaliação!$AD:$AD,A117,Avaliação!$AC:$AC))+(SUMIF(Avaliação!$AG:$AG,A117,Avaliação!$AF:$AF))</f>
        <v>0</v>
      </c>
    </row>
    <row r="118" spans="1:4">
      <c r="A118" s="157" t="s">
        <v>3423</v>
      </c>
      <c r="B118" s="195" t="s">
        <v>3424</v>
      </c>
      <c r="C118" s="775">
        <f>(SUMIF(Avaliação!$K:$K,A118,Avaliação!$J:$J))+(SUMIF(Avaliação!$O:$O,A118,Avaliação!$N:$N))+(SUMIF(Avaliação!$S:$S,A118,Avaliação!$R:$R))</f>
        <v>0</v>
      </c>
      <c r="D118" s="775">
        <f>(SUMIF(Avaliação!$AA:$AA,A118,Avaliação!$Z:$Z))+(SUMIF(Avaliação!$AD:$AD,A118,Avaliação!$AC:$AC))+(SUMIF(Avaliação!$AG:$AG,A118,Avaliação!$AF:$AF))</f>
        <v>0</v>
      </c>
    </row>
    <row r="119" spans="1:4">
      <c r="A119" s="830" t="s">
        <v>3425</v>
      </c>
      <c r="B119" s="831" t="s">
        <v>3426</v>
      </c>
      <c r="C119" s="775">
        <f>(SUMIF(Avaliação!$K:$K,A119,Avaliação!$J:$J))+(SUMIF(Avaliação!$O:$O,A119,Avaliação!$N:$N))+(SUMIF(Avaliação!$S:$S,A119,Avaliação!$R:$R))</f>
        <v>1</v>
      </c>
      <c r="D119" s="832">
        <f>(SUMIF(Avaliação!$AA:$AA,A119,Avaliação!$Z:$Z))+(SUMIF(Avaliação!$AD:$AD,A119,Avaliação!$AC:$AC))+(SUMIF(Avaliação!$AG:$AG,A119,Avaliação!$AF:$AF))</f>
        <v>0</v>
      </c>
    </row>
    <row r="120" spans="1:4">
      <c r="A120" s="157" t="s">
        <v>3427</v>
      </c>
      <c r="B120" s="195" t="s">
        <v>3428</v>
      </c>
      <c r="C120" s="775">
        <f>(SUMIF(Avaliação!$K:$K,A120,Avaliação!$J:$J))+(SUMIF(Avaliação!$O:$O,A120,Avaliação!$N:$N))+(SUMIF(Avaliação!$S:$S,A120,Avaliação!$R:$R))</f>
        <v>0</v>
      </c>
      <c r="D120" s="775">
        <f>(SUMIF(Avaliação!$AA:$AA,A120,Avaliação!$Z:$Z))+(SUMIF(Avaliação!$AD:$AD,A120,Avaliação!$AC:$AC))+(SUMIF(Avaliação!$AG:$AG,A120,Avaliação!$AF:$AF))</f>
        <v>0</v>
      </c>
    </row>
    <row r="121" spans="1:4">
      <c r="A121" s="157" t="s">
        <v>3429</v>
      </c>
      <c r="B121" s="195" t="s">
        <v>3430</v>
      </c>
      <c r="C121" s="775">
        <f>(SUMIF(Avaliação!$K:$K,A121,Avaliação!$J:$J))+(SUMIF(Avaliação!$O:$O,A121,Avaliação!$N:$N))+(SUMIF(Avaliação!$S:$S,A121,Avaliação!$R:$R))</f>
        <v>0</v>
      </c>
      <c r="D121" s="775">
        <f>(SUMIF(Avaliação!$AA:$AA,A121,Avaliação!$Z:$Z))+(SUMIF(Avaliação!$AD:$AD,A121,Avaliação!$AC:$AC))+(SUMIF(Avaliação!$AG:$AG,A121,Avaliação!$AF:$AF))</f>
        <v>0</v>
      </c>
    </row>
    <row r="122" spans="1:4">
      <c r="A122" s="157" t="s">
        <v>3431</v>
      </c>
      <c r="B122" s="195" t="s">
        <v>3432</v>
      </c>
      <c r="C122" s="775">
        <f>(SUMIF(Avaliação!$K:$K,A122,Avaliação!$J:$J))+(SUMIF(Avaliação!$O:$O,A122,Avaliação!$N:$N))+(SUMIF(Avaliação!$S:$S,A122,Avaliação!$R:$R))</f>
        <v>0</v>
      </c>
      <c r="D122" s="775">
        <f>(SUMIF(Avaliação!$AA:$AA,A122,Avaliação!$Z:$Z))+(SUMIF(Avaliação!$AD:$AD,A122,Avaliação!$AC:$AC))+(SUMIF(Avaliação!$AG:$AG,A122,Avaliação!$AF:$AF))</f>
        <v>0</v>
      </c>
    </row>
    <row r="123" spans="1:4">
      <c r="A123" s="830" t="s">
        <v>3433</v>
      </c>
      <c r="B123" s="831" t="s">
        <v>3434</v>
      </c>
      <c r="C123" s="775">
        <f>(SUMIF(Avaliação!$K:$K,A123,Avaliação!$J:$J))+(SUMIF(Avaliação!$O:$O,A123,Avaliação!$N:$N))+(SUMIF(Avaliação!$S:$S,A123,Avaliação!$R:$R))</f>
        <v>1</v>
      </c>
      <c r="D123" s="832">
        <f>(SUMIF(Avaliação!$AA:$AA,A123,Avaliação!$Z:$Z))+(SUMIF(Avaliação!$AD:$AD,A123,Avaliação!$AC:$AC))+(SUMIF(Avaliação!$AG:$AG,A123,Avaliação!$AF:$AF))</f>
        <v>0</v>
      </c>
    </row>
    <row r="124" spans="1:4">
      <c r="A124" s="157" t="s">
        <v>3435</v>
      </c>
      <c r="B124" s="195" t="s">
        <v>3436</v>
      </c>
      <c r="C124" s="775">
        <f>(SUMIF(Avaliação!$K:$K,A124,Avaliação!$J:$J))+(SUMIF(Avaliação!$O:$O,A124,Avaliação!$N:$N))+(SUMIF(Avaliação!$S:$S,A124,Avaliação!$R:$R))</f>
        <v>0</v>
      </c>
      <c r="D124" s="775">
        <f>(SUMIF(Avaliação!$AA:$AA,A124,Avaliação!$Z:$Z))+(SUMIF(Avaliação!$AD:$AD,A124,Avaliação!$AC:$AC))+(SUMIF(Avaliação!$AG:$AG,A124,Avaliação!$AF:$AF))</f>
        <v>0</v>
      </c>
    </row>
    <row r="125" spans="1:4">
      <c r="A125" s="830" t="s">
        <v>3437</v>
      </c>
      <c r="B125" s="831" t="s">
        <v>3438</v>
      </c>
      <c r="C125" s="775">
        <f>(SUMIF(Avaliação!$K:$K,A125,Avaliação!$J:$J))+(SUMIF(Avaliação!$O:$O,A125,Avaliação!$N:$N))+(SUMIF(Avaliação!$S:$S,A125,Avaliação!$R:$R))</f>
        <v>4</v>
      </c>
      <c r="D125" s="832">
        <f>(SUMIF(Avaliação!$AA:$AA,A125,Avaliação!$Z:$Z))+(SUMIF(Avaliação!$AD:$AD,A125,Avaliação!$AC:$AC))+(SUMIF(Avaliação!$AG:$AG,A125,Avaliação!$AF:$AF))</f>
        <v>0</v>
      </c>
    </row>
    <row r="126" spans="1:4">
      <c r="A126" s="157" t="s">
        <v>3439</v>
      </c>
      <c r="B126" s="195" t="s">
        <v>3440</v>
      </c>
      <c r="C126" s="775">
        <f>(SUMIF(Avaliação!$K:$K,A126,Avaliação!$J:$J))+(SUMIF(Avaliação!$O:$O,A126,Avaliação!$N:$N))+(SUMIF(Avaliação!$S:$S,A126,Avaliação!$R:$R))</f>
        <v>0</v>
      </c>
      <c r="D126" s="775">
        <f>(SUMIF(Avaliação!$AA:$AA,A126,Avaliação!$Z:$Z))+(SUMIF(Avaliação!$AD:$AD,A126,Avaliação!$AC:$AC))+(SUMIF(Avaliação!$AG:$AG,A126,Avaliação!$AF:$AF))</f>
        <v>0</v>
      </c>
    </row>
    <row r="127" spans="1:4">
      <c r="A127" s="157" t="s">
        <v>3441</v>
      </c>
      <c r="B127" s="195" t="s">
        <v>3442</v>
      </c>
      <c r="C127" s="775">
        <f>(SUMIF(Avaliação!$K:$K,A127,Avaliação!$J:$J))+(SUMIF(Avaliação!$O:$O,A127,Avaliação!$N:$N))+(SUMIF(Avaliação!$S:$S,A127,Avaliação!$R:$R))</f>
        <v>0</v>
      </c>
      <c r="D127" s="775">
        <f>(SUMIF(Avaliação!$AA:$AA,A127,Avaliação!$Z:$Z))+(SUMIF(Avaliação!$AD:$AD,A127,Avaliação!$AC:$AC))+(SUMIF(Avaliação!$AG:$AG,A127,Avaliação!$AF:$AF))</f>
        <v>0</v>
      </c>
    </row>
    <row r="128" spans="1:4">
      <c r="A128" s="157" t="s">
        <v>3443</v>
      </c>
      <c r="B128" s="195" t="s">
        <v>3444</v>
      </c>
      <c r="C128" s="775">
        <f>(SUMIF(Avaliação!$K:$K,A128,Avaliação!$J:$J))+(SUMIF(Avaliação!$O:$O,A128,Avaliação!$N:$N))+(SUMIF(Avaliação!$S:$S,A128,Avaliação!$R:$R))</f>
        <v>0</v>
      </c>
      <c r="D128" s="775">
        <f>(SUMIF(Avaliação!$AA:$AA,A128,Avaliação!$Z:$Z))+(SUMIF(Avaliação!$AD:$AD,A128,Avaliação!$AC:$AC))+(SUMIF(Avaliação!$AG:$AG,A128,Avaliação!$AF:$AF))</f>
        <v>0</v>
      </c>
    </row>
    <row r="129" spans="1:4">
      <c r="A129" s="157" t="s">
        <v>3445</v>
      </c>
      <c r="B129" s="195" t="s">
        <v>3446</v>
      </c>
      <c r="C129" s="775">
        <f>(SUMIF(Avaliação!$K:$K,A129,Avaliação!$J:$J))+(SUMIF(Avaliação!$O:$O,A129,Avaliação!$N:$N))+(SUMIF(Avaliação!$S:$S,A129,Avaliação!$R:$R))</f>
        <v>0</v>
      </c>
      <c r="D129" s="775">
        <f>(SUMIF(Avaliação!$AA:$AA,A129,Avaliação!$Z:$Z))+(SUMIF(Avaliação!$AD:$AD,A129,Avaliação!$AC:$AC))+(SUMIF(Avaliação!$AG:$AG,A129,Avaliação!$AF:$AF))</f>
        <v>0</v>
      </c>
    </row>
    <row r="130" spans="1:4">
      <c r="A130" s="157" t="s">
        <v>3447</v>
      </c>
      <c r="B130" s="195" t="s">
        <v>3448</v>
      </c>
      <c r="C130" s="775">
        <f>(SUMIF(Avaliação!$K:$K,A130,Avaliação!$J:$J))+(SUMIF(Avaliação!$O:$O,A130,Avaliação!$N:$N))+(SUMIF(Avaliação!$S:$S,A130,Avaliação!$R:$R))</f>
        <v>0</v>
      </c>
      <c r="D130" s="775">
        <f>(SUMIF(Avaliação!$AA:$AA,A130,Avaliação!$Z:$Z))+(SUMIF(Avaliação!$AD:$AD,A130,Avaliação!$AC:$AC))+(SUMIF(Avaliação!$AG:$AG,A130,Avaliação!$AF:$AF))</f>
        <v>0</v>
      </c>
    </row>
    <row r="131" spans="1:4">
      <c r="A131" s="157" t="s">
        <v>3449</v>
      </c>
      <c r="B131" s="195" t="s">
        <v>3450</v>
      </c>
      <c r="C131" s="775">
        <f>(SUMIF(Avaliação!$K:$K,A131,Avaliação!$J:$J))+(SUMIF(Avaliação!$O:$O,A131,Avaliação!$N:$N))+(SUMIF(Avaliação!$S:$S,A131,Avaliação!$R:$R))</f>
        <v>0</v>
      </c>
      <c r="D131" s="775">
        <f>(SUMIF(Avaliação!$AA:$AA,A131,Avaliação!$Z:$Z))+(SUMIF(Avaliação!$AD:$AD,A131,Avaliação!$AC:$AC))+(SUMIF(Avaliação!$AG:$AG,A131,Avaliação!$AF:$AF))</f>
        <v>0</v>
      </c>
    </row>
    <row r="132" spans="1:4">
      <c r="A132" s="157" t="s">
        <v>3451</v>
      </c>
      <c r="B132" s="195" t="s">
        <v>3452</v>
      </c>
      <c r="C132" s="775">
        <f>(SUMIF(Avaliação!$K:$K,A132,Avaliação!$J:$J))+(SUMIF(Avaliação!$O:$O,A132,Avaliação!$N:$N))+(SUMIF(Avaliação!$S:$S,A132,Avaliação!$R:$R))</f>
        <v>0</v>
      </c>
      <c r="D132" s="775">
        <f>(SUMIF(Avaliação!$AA:$AA,A132,Avaliação!$Z:$Z))+(SUMIF(Avaliação!$AD:$AD,A132,Avaliação!$AC:$AC))+(SUMIF(Avaliação!$AG:$AG,A132,Avaliação!$AF:$AF))</f>
        <v>0</v>
      </c>
    </row>
    <row r="133" spans="1:4">
      <c r="A133" s="157" t="s">
        <v>3453</v>
      </c>
      <c r="B133" s="195" t="s">
        <v>3454</v>
      </c>
      <c r="C133" s="775">
        <f>(SUMIF(Avaliação!$K:$K,A133,Avaliação!$J:$J))+(SUMIF(Avaliação!$O:$O,A133,Avaliação!$N:$N))+(SUMIF(Avaliação!$S:$S,A133,Avaliação!$R:$R))</f>
        <v>0</v>
      </c>
      <c r="D133" s="775">
        <f>(SUMIF(Avaliação!$AA:$AA,A133,Avaliação!$Z:$Z))+(SUMIF(Avaliação!$AD:$AD,A133,Avaliação!$AC:$AC))+(SUMIF(Avaliação!$AG:$AG,A133,Avaliação!$AF:$AF))</f>
        <v>0</v>
      </c>
    </row>
    <row r="134" spans="1:4">
      <c r="A134" s="157" t="s">
        <v>3455</v>
      </c>
      <c r="B134" s="195" t="s">
        <v>3456</v>
      </c>
      <c r="C134" s="775">
        <f>(SUMIF(Avaliação!$K:$K,A134,Avaliação!$J:$J))+(SUMIF(Avaliação!$O:$O,A134,Avaliação!$N:$N))+(SUMIF(Avaliação!$S:$S,A134,Avaliação!$R:$R))</f>
        <v>0</v>
      </c>
      <c r="D134" s="775">
        <f>(SUMIF(Avaliação!$AA:$AA,A134,Avaliação!$Z:$Z))+(SUMIF(Avaliação!$AD:$AD,A134,Avaliação!$AC:$AC))+(SUMIF(Avaliação!$AG:$AG,A134,Avaliação!$AF:$AF))</f>
        <v>0</v>
      </c>
    </row>
    <row r="135" spans="1:4">
      <c r="A135" s="157" t="s">
        <v>3457</v>
      </c>
      <c r="B135" s="195" t="s">
        <v>3458</v>
      </c>
      <c r="C135" s="775">
        <f>(SUMIF(Avaliação!$K:$K,A135,Avaliação!$J:$J))+(SUMIF(Avaliação!$O:$O,A135,Avaliação!$N:$N))+(SUMIF(Avaliação!$S:$S,A135,Avaliação!$R:$R))</f>
        <v>0</v>
      </c>
      <c r="D135" s="775">
        <f>(SUMIF(Avaliação!$AA:$AA,A135,Avaliação!$Z:$Z))+(SUMIF(Avaliação!$AD:$AD,A135,Avaliação!$AC:$AC))+(SUMIF(Avaliação!$AG:$AG,A135,Avaliação!$AF:$AF))</f>
        <v>0</v>
      </c>
    </row>
    <row r="136" spans="1:4">
      <c r="A136" s="157" t="s">
        <v>3459</v>
      </c>
      <c r="B136" s="195" t="s">
        <v>3460</v>
      </c>
      <c r="C136" s="775">
        <f>(SUMIF(Avaliação!$K:$K,A136,Avaliação!$J:$J))+(SUMIF(Avaliação!$O:$O,A136,Avaliação!$N:$N))+(SUMIF(Avaliação!$S:$S,A136,Avaliação!$R:$R))</f>
        <v>0</v>
      </c>
      <c r="D136" s="775">
        <f>(SUMIF(Avaliação!$AA:$AA,A136,Avaliação!$Z:$Z))+(SUMIF(Avaliação!$AD:$AD,A136,Avaliação!$AC:$AC))+(SUMIF(Avaliação!$AG:$AG,A136,Avaliação!$AF:$AF))</f>
        <v>0</v>
      </c>
    </row>
    <row r="137" spans="1:4">
      <c r="A137" s="157" t="s">
        <v>3461</v>
      </c>
      <c r="B137" s="195" t="s">
        <v>3462</v>
      </c>
      <c r="C137" s="775">
        <f>(SUMIF(Avaliação!$K:$K,A137,Avaliação!$J:$J))+(SUMIF(Avaliação!$O:$O,A137,Avaliação!$N:$N))+(SUMIF(Avaliação!$S:$S,A137,Avaliação!$R:$R))</f>
        <v>0</v>
      </c>
      <c r="D137" s="775">
        <f>(SUMIF(Avaliação!$AA:$AA,A137,Avaliação!$Z:$Z))+(SUMIF(Avaliação!$AD:$AD,A137,Avaliação!$AC:$AC))+(SUMIF(Avaliação!$AG:$AG,A137,Avaliação!$AF:$AF))</f>
        <v>0</v>
      </c>
    </row>
    <row r="138" spans="1:4">
      <c r="A138" s="157" t="s">
        <v>3463</v>
      </c>
      <c r="B138" s="195" t="s">
        <v>3464</v>
      </c>
      <c r="C138" s="775">
        <f>(SUMIF(Avaliação!$K:$K,A138,Avaliação!$J:$J))+(SUMIF(Avaliação!$O:$O,A138,Avaliação!$N:$N))+(SUMIF(Avaliação!$S:$S,A138,Avaliação!$R:$R))</f>
        <v>0</v>
      </c>
      <c r="D138" s="775">
        <f>(SUMIF(Avaliação!$AA:$AA,A138,Avaliação!$Z:$Z))+(SUMIF(Avaliação!$AD:$AD,A138,Avaliação!$AC:$AC))+(SUMIF(Avaliação!$AG:$AG,A138,Avaliação!$AF:$AF))</f>
        <v>0</v>
      </c>
    </row>
    <row r="139" spans="1:4">
      <c r="A139" s="157" t="s">
        <v>3465</v>
      </c>
      <c r="B139" s="195" t="s">
        <v>3466</v>
      </c>
      <c r="C139" s="775">
        <f>(SUMIF(Avaliação!$K:$K,A139,Avaliação!$J:$J))+(SUMIF(Avaliação!$O:$O,A139,Avaliação!$N:$N))+(SUMIF(Avaliação!$S:$S,A139,Avaliação!$R:$R))</f>
        <v>0</v>
      </c>
      <c r="D139" s="775">
        <f>(SUMIF(Avaliação!$AA:$AA,A139,Avaliação!$Z:$Z))+(SUMIF(Avaliação!$AD:$AD,A139,Avaliação!$AC:$AC))+(SUMIF(Avaliação!$AG:$AG,A139,Avaliação!$AF:$AF))</f>
        <v>0</v>
      </c>
    </row>
    <row r="140" spans="1:4">
      <c r="A140" s="157" t="s">
        <v>3467</v>
      </c>
      <c r="B140" s="195" t="s">
        <v>3468</v>
      </c>
      <c r="C140" s="775">
        <f>(SUMIF(Avaliação!$K:$K,A140,Avaliação!$J:$J))+(SUMIF(Avaliação!$O:$O,A140,Avaliação!$N:$N))+(SUMIF(Avaliação!$S:$S,A140,Avaliação!$R:$R))</f>
        <v>0</v>
      </c>
      <c r="D140" s="775">
        <f>(SUMIF(Avaliação!$AA:$AA,A140,Avaliação!$Z:$Z))+(SUMIF(Avaliação!$AD:$AD,A140,Avaliação!$AC:$AC))+(SUMIF(Avaliação!$AG:$AG,A140,Avaliação!$AF:$AF))</f>
        <v>0</v>
      </c>
    </row>
    <row r="141" spans="1:4">
      <c r="A141" s="157" t="s">
        <v>3469</v>
      </c>
      <c r="B141" s="195" t="s">
        <v>3470</v>
      </c>
      <c r="C141" s="775">
        <f>(SUMIF(Avaliação!$K:$K,A141,Avaliação!$J:$J))+(SUMIF(Avaliação!$O:$O,A141,Avaliação!$N:$N))+(SUMIF(Avaliação!$S:$S,A141,Avaliação!$R:$R))</f>
        <v>0</v>
      </c>
      <c r="D141" s="775">
        <f>(SUMIF(Avaliação!$AA:$AA,A141,Avaliação!$Z:$Z))+(SUMIF(Avaliação!$AD:$AD,A141,Avaliação!$AC:$AC))+(SUMIF(Avaliação!$AG:$AG,A141,Avaliação!$AF:$AF))</f>
        <v>0</v>
      </c>
    </row>
    <row r="142" spans="1:4">
      <c r="A142" s="157" t="s">
        <v>3471</v>
      </c>
      <c r="B142" s="195" t="s">
        <v>3472</v>
      </c>
      <c r="C142" s="775">
        <f>(SUMIF(Avaliação!$K:$K,A142,Avaliação!$J:$J))+(SUMIF(Avaliação!$O:$O,A142,Avaliação!$N:$N))+(SUMIF(Avaliação!$S:$S,A142,Avaliação!$R:$R))</f>
        <v>0</v>
      </c>
      <c r="D142" s="775">
        <f>(SUMIF(Avaliação!$AA:$AA,A142,Avaliação!$Z:$Z))+(SUMIF(Avaliação!$AD:$AD,A142,Avaliação!$AC:$AC))+(SUMIF(Avaliação!$AG:$AG,A142,Avaliação!$AF:$AF))</f>
        <v>0</v>
      </c>
    </row>
    <row r="143" spans="1:4">
      <c r="A143" s="851" t="s">
        <v>3473</v>
      </c>
      <c r="B143" s="852" t="s">
        <v>3474</v>
      </c>
      <c r="C143" s="775">
        <f>(SUMIF(Avaliação!$K:$K,A143,Avaliação!$J:$J))+(SUMIF(Avaliação!$O:$O,A143,Avaliação!$N:$N))+(SUMIF(Avaliação!$S:$S,A143,Avaliação!$R:$R))</f>
        <v>3</v>
      </c>
      <c r="D143" s="853">
        <f>(SUMIF(Avaliação!$AA:$AA,A143,Avaliação!$Z:$Z))+(SUMIF(Avaliação!$AD:$AD,A143,Avaliação!$AC:$AC))+(SUMIF(Avaliação!$AG:$AG,A143,Avaliação!$AF:$AF))</f>
        <v>0</v>
      </c>
    </row>
    <row r="144" spans="1:4">
      <c r="A144" s="851" t="s">
        <v>3475</v>
      </c>
      <c r="B144" s="852" t="s">
        <v>3476</v>
      </c>
      <c r="C144" s="775">
        <f>(SUMIF(Avaliação!$K:$K,A144,Avaliação!$J:$J))+(SUMIF(Avaliação!$O:$O,A144,Avaliação!$N:$N))+(SUMIF(Avaliação!$S:$S,A144,Avaliação!$R:$R))</f>
        <v>1</v>
      </c>
      <c r="D144" s="853">
        <f>(SUMIF(Avaliação!$AA:$AA,A144,Avaliação!$Z:$Z))+(SUMIF(Avaliação!$AD:$AD,A144,Avaliação!$AC:$AC))+(SUMIF(Avaliação!$AG:$AG,A144,Avaliação!$AF:$AF))</f>
        <v>0</v>
      </c>
    </row>
    <row r="145" spans="1:4">
      <c r="A145" s="157" t="s">
        <v>3477</v>
      </c>
      <c r="B145" s="195" t="s">
        <v>3478</v>
      </c>
      <c r="C145" s="775">
        <f>(SUMIF(Avaliação!$K:$K,A145,Avaliação!$J:$J))+(SUMIF(Avaliação!$O:$O,A145,Avaliação!$N:$N))+(SUMIF(Avaliação!$S:$S,A145,Avaliação!$R:$R))</f>
        <v>0</v>
      </c>
      <c r="D145" s="775">
        <f>(SUMIF(Avaliação!$AA:$AA,A145,Avaliação!$Z:$Z))+(SUMIF(Avaliação!$AD:$AD,A145,Avaliação!$AC:$AC))+(SUMIF(Avaliação!$AG:$AG,A145,Avaliação!$AF:$AF))</f>
        <v>0</v>
      </c>
    </row>
    <row r="146" spans="1:4">
      <c r="A146" s="157" t="s">
        <v>3479</v>
      </c>
      <c r="B146" s="195" t="s">
        <v>3480</v>
      </c>
      <c r="C146" s="775">
        <f>(SUMIF(Avaliação!$K:$K,A146,Avaliação!$J:$J))+(SUMIF(Avaliação!$O:$O,A146,Avaliação!$N:$N))+(SUMIF(Avaliação!$S:$S,A146,Avaliação!$R:$R))</f>
        <v>0</v>
      </c>
      <c r="D146" s="775">
        <f>(SUMIF(Avaliação!$AA:$AA,A146,Avaliação!$Z:$Z))+(SUMIF(Avaliação!$AD:$AD,A146,Avaliação!$AC:$AC))+(SUMIF(Avaliação!$AG:$AG,A146,Avaliação!$AF:$AF))</f>
        <v>0</v>
      </c>
    </row>
    <row r="147" spans="1:4">
      <c r="A147" s="157" t="s">
        <v>3481</v>
      </c>
      <c r="B147" s="195" t="s">
        <v>3482</v>
      </c>
      <c r="C147" s="775">
        <f>(SUMIF(Avaliação!$K:$K,A147,Avaliação!$J:$J))+(SUMIF(Avaliação!$O:$O,A147,Avaliação!$N:$N))+(SUMIF(Avaliação!$S:$S,A147,Avaliação!$R:$R))</f>
        <v>0</v>
      </c>
      <c r="D147" s="775">
        <f>(SUMIF(Avaliação!$AA:$AA,A147,Avaliação!$Z:$Z))+(SUMIF(Avaliação!$AD:$AD,A147,Avaliação!$AC:$AC))+(SUMIF(Avaliação!$AG:$AG,A147,Avaliação!$AF:$AF))</f>
        <v>0</v>
      </c>
    </row>
    <row r="148" spans="1:4">
      <c r="A148" s="157" t="s">
        <v>3483</v>
      </c>
      <c r="B148" s="195" t="s">
        <v>3484</v>
      </c>
      <c r="C148" s="775">
        <f>(SUMIF(Avaliação!$K:$K,A148,Avaliação!$J:$J))+(SUMIF(Avaliação!$O:$O,A148,Avaliação!$N:$N))+(SUMIF(Avaliação!$S:$S,A148,Avaliação!$R:$R))</f>
        <v>0</v>
      </c>
      <c r="D148" s="775">
        <f>(SUMIF(Avaliação!$AA:$AA,A148,Avaliação!$Z:$Z))+(SUMIF(Avaliação!$AD:$AD,A148,Avaliação!$AC:$AC))+(SUMIF(Avaliação!$AG:$AG,A148,Avaliação!$AF:$AF))</f>
        <v>0</v>
      </c>
    </row>
    <row r="149" spans="1:4">
      <c r="A149" s="157" t="s">
        <v>3485</v>
      </c>
      <c r="B149" s="195" t="s">
        <v>3486</v>
      </c>
      <c r="C149" s="775">
        <f>(SUMIF(Avaliação!$K:$K,A149,Avaliação!$J:$J))+(SUMIF(Avaliação!$O:$O,A149,Avaliação!$N:$N))+(SUMIF(Avaliação!$S:$S,A149,Avaliação!$R:$R))</f>
        <v>0</v>
      </c>
      <c r="D149" s="775">
        <f>(SUMIF(Avaliação!$AA:$AA,A149,Avaliação!$Z:$Z))+(SUMIF(Avaliação!$AD:$AD,A149,Avaliação!$AC:$AC))+(SUMIF(Avaliação!$AG:$AG,A149,Avaliação!$AF:$AF))</f>
        <v>0</v>
      </c>
    </row>
    <row r="150" spans="1:4">
      <c r="A150" s="157" t="s">
        <v>3487</v>
      </c>
      <c r="B150" s="195" t="s">
        <v>3488</v>
      </c>
      <c r="C150" s="775">
        <f>(SUMIF(Avaliação!$K:$K,A150,Avaliação!$J:$J))+(SUMIF(Avaliação!$O:$O,A150,Avaliação!$N:$N))+(SUMIF(Avaliação!$S:$S,A150,Avaliação!$R:$R))</f>
        <v>0</v>
      </c>
      <c r="D150" s="775">
        <f>(SUMIF(Avaliação!$AA:$AA,A150,Avaliação!$Z:$Z))+(SUMIF(Avaliação!$AD:$AD,A150,Avaliação!$AC:$AC))+(SUMIF(Avaliação!$AG:$AG,A150,Avaliação!$AF:$AF))</f>
        <v>0</v>
      </c>
    </row>
    <row r="151" spans="1:4">
      <c r="A151" s="157" t="s">
        <v>3489</v>
      </c>
      <c r="B151" s="195" t="s">
        <v>3490</v>
      </c>
      <c r="C151" s="775">
        <f>(SUMIF(Avaliação!$K:$K,A151,Avaliação!$J:$J))+(SUMIF(Avaliação!$O:$O,A151,Avaliação!$N:$N))+(SUMIF(Avaliação!$S:$S,A151,Avaliação!$R:$R))</f>
        <v>0</v>
      </c>
      <c r="D151" s="775">
        <f>(SUMIF(Avaliação!$AA:$AA,A151,Avaliação!$Z:$Z))+(SUMIF(Avaliação!$AD:$AD,A151,Avaliação!$AC:$AC))+(SUMIF(Avaliação!$AG:$AG,A151,Avaliação!$AF:$AF))</f>
        <v>0</v>
      </c>
    </row>
    <row r="152" spans="1:4">
      <c r="A152" s="157" t="s">
        <v>3491</v>
      </c>
      <c r="B152" s="195" t="s">
        <v>3492</v>
      </c>
      <c r="C152" s="775">
        <f>(SUMIF(Avaliação!$K:$K,A152,Avaliação!$J:$J))+(SUMIF(Avaliação!$O:$O,A152,Avaliação!$N:$N))+(SUMIF(Avaliação!$S:$S,A152,Avaliação!$R:$R))</f>
        <v>0</v>
      </c>
      <c r="D152" s="775">
        <f>(SUMIF(Avaliação!$AA:$AA,A152,Avaliação!$Z:$Z))+(SUMIF(Avaliação!$AD:$AD,A152,Avaliação!$AC:$AC))+(SUMIF(Avaliação!$AG:$AG,A152,Avaliação!$AF:$AF))</f>
        <v>0</v>
      </c>
    </row>
    <row r="153" spans="1:4">
      <c r="A153" s="157" t="s">
        <v>3493</v>
      </c>
      <c r="B153" s="195" t="s">
        <v>3494</v>
      </c>
      <c r="C153" s="775">
        <f>(SUMIF(Avaliação!$K:$K,A153,Avaliação!$J:$J))+(SUMIF(Avaliação!$O:$O,A153,Avaliação!$N:$N))+(SUMIF(Avaliação!$S:$S,A153,Avaliação!$R:$R))</f>
        <v>0</v>
      </c>
      <c r="D153" s="775">
        <f>(SUMIF(Avaliação!$AA:$AA,A153,Avaliação!$Z:$Z))+(SUMIF(Avaliação!$AD:$AD,A153,Avaliação!$AC:$AC))+(SUMIF(Avaliação!$AG:$AG,A153,Avaliação!$AF:$AF))</f>
        <v>0</v>
      </c>
    </row>
    <row r="154" spans="1:4">
      <c r="A154" s="157" t="s">
        <v>3495</v>
      </c>
      <c r="B154" s="195" t="s">
        <v>3496</v>
      </c>
      <c r="C154" s="775">
        <f>(SUMIF(Avaliação!$K:$K,A154,Avaliação!$J:$J))+(SUMIF(Avaliação!$O:$O,A154,Avaliação!$N:$N))+(SUMIF(Avaliação!$S:$S,A154,Avaliação!$R:$R))</f>
        <v>0</v>
      </c>
      <c r="D154" s="775">
        <f>(SUMIF(Avaliação!$AA:$AA,A154,Avaliação!$Z:$Z))+(SUMIF(Avaliação!$AD:$AD,A154,Avaliação!$AC:$AC))+(SUMIF(Avaliação!$AG:$AG,A154,Avaliação!$AF:$AF))</f>
        <v>0</v>
      </c>
    </row>
    <row r="155" spans="1:4">
      <c r="A155" s="157" t="s">
        <v>3497</v>
      </c>
      <c r="B155" s="195" t="s">
        <v>3498</v>
      </c>
      <c r="C155" s="775">
        <f>(SUMIF(Avaliação!$K:$K,A155,Avaliação!$J:$J))+(SUMIF(Avaliação!$O:$O,A155,Avaliação!$N:$N))+(SUMIF(Avaliação!$S:$S,A155,Avaliação!$R:$R))</f>
        <v>0</v>
      </c>
      <c r="D155" s="775">
        <f>(SUMIF(Avaliação!$AA:$AA,A155,Avaliação!$Z:$Z))+(SUMIF(Avaliação!$AD:$AD,A155,Avaliação!$AC:$AC))+(SUMIF(Avaliação!$AG:$AG,A155,Avaliação!$AF:$AF))</f>
        <v>0</v>
      </c>
    </row>
    <row r="156" spans="1:4">
      <c r="A156" s="157" t="s">
        <v>3499</v>
      </c>
      <c r="B156" s="195" t="s">
        <v>3500</v>
      </c>
      <c r="C156" s="775">
        <f>(SUMIF(Avaliação!$K:$K,A156,Avaliação!$J:$J))+(SUMIF(Avaliação!$O:$O,A156,Avaliação!$N:$N))+(SUMIF(Avaliação!$S:$S,A156,Avaliação!$R:$R))</f>
        <v>0</v>
      </c>
      <c r="D156" s="775">
        <f>(SUMIF(Avaliação!$AA:$AA,A156,Avaliação!$Z:$Z))+(SUMIF(Avaliação!$AD:$AD,A156,Avaliação!$AC:$AC))+(SUMIF(Avaliação!$AG:$AG,A156,Avaliação!$AF:$AF))</f>
        <v>0</v>
      </c>
    </row>
    <row r="157" spans="1:4">
      <c r="A157" s="157" t="s">
        <v>3501</v>
      </c>
      <c r="B157" s="195" t="s">
        <v>3502</v>
      </c>
      <c r="C157" s="775">
        <f>(SUMIF(Avaliação!$K:$K,A157,Avaliação!$J:$J))+(SUMIF(Avaliação!$O:$O,A157,Avaliação!$N:$N))+(SUMIF(Avaliação!$S:$S,A157,Avaliação!$R:$R))</f>
        <v>0</v>
      </c>
      <c r="D157" s="775">
        <f>(SUMIF(Avaliação!$AA:$AA,A157,Avaliação!$Z:$Z))+(SUMIF(Avaliação!$AD:$AD,A157,Avaliação!$AC:$AC))+(SUMIF(Avaliação!$AG:$AG,A157,Avaliação!$AF:$AF))</f>
        <v>0</v>
      </c>
    </row>
    <row r="158" spans="1:4">
      <c r="A158" s="157" t="s">
        <v>3503</v>
      </c>
      <c r="B158" s="195" t="s">
        <v>3504</v>
      </c>
      <c r="C158" s="775">
        <f>(SUMIF(Avaliação!$K:$K,A158,Avaliação!$J:$J))+(SUMIF(Avaliação!$O:$O,A158,Avaliação!$N:$N))+(SUMIF(Avaliação!$S:$S,A158,Avaliação!$R:$R))</f>
        <v>0</v>
      </c>
      <c r="D158" s="775">
        <f>(SUMIF(Avaliação!$AA:$AA,A158,Avaliação!$Z:$Z))+(SUMIF(Avaliação!$AD:$AD,A158,Avaliação!$AC:$AC))+(SUMIF(Avaliação!$AG:$AG,A158,Avaliação!$AF:$AF))</f>
        <v>0</v>
      </c>
    </row>
    <row r="159" spans="1:4">
      <c r="A159" s="157" t="s">
        <v>3505</v>
      </c>
      <c r="B159" s="195" t="s">
        <v>3506</v>
      </c>
      <c r="C159" s="775">
        <f>(SUMIF(Avaliação!$K:$K,A159,Avaliação!$J:$J))+(SUMIF(Avaliação!$O:$O,A159,Avaliação!$N:$N))+(SUMIF(Avaliação!$S:$S,A159,Avaliação!$R:$R))</f>
        <v>0</v>
      </c>
      <c r="D159" s="775">
        <f>(SUMIF(Avaliação!$AA:$AA,A159,Avaliação!$Z:$Z))+(SUMIF(Avaliação!$AD:$AD,A159,Avaliação!$AC:$AC))+(SUMIF(Avaliação!$AG:$AG,A159,Avaliação!$AF:$AF))</f>
        <v>0</v>
      </c>
    </row>
    <row r="160" spans="1:4">
      <c r="A160" s="157" t="s">
        <v>3507</v>
      </c>
      <c r="B160" s="195" t="s">
        <v>3508</v>
      </c>
      <c r="C160" s="775">
        <f>(SUMIF(Avaliação!$K:$K,A160,Avaliação!$J:$J))+(SUMIF(Avaliação!$O:$O,A160,Avaliação!$N:$N))+(SUMIF(Avaliação!$S:$S,A160,Avaliação!$R:$R))</f>
        <v>0</v>
      </c>
      <c r="D160" s="775">
        <f>(SUMIF(Avaliação!$AA:$AA,A160,Avaliação!$Z:$Z))+(SUMIF(Avaliação!$AD:$AD,A160,Avaliação!$AC:$AC))+(SUMIF(Avaliação!$AG:$AG,A160,Avaliação!$AF:$AF))</f>
        <v>0</v>
      </c>
    </row>
    <row r="161" spans="1:4">
      <c r="A161" s="157" t="s">
        <v>3509</v>
      </c>
      <c r="B161" s="195" t="s">
        <v>3510</v>
      </c>
      <c r="C161" s="775">
        <f>(SUMIF(Avaliação!$K:$K,A161,Avaliação!$J:$J))+(SUMIF(Avaliação!$O:$O,A161,Avaliação!$N:$N))+(SUMIF(Avaliação!$S:$S,A161,Avaliação!$R:$R))</f>
        <v>0</v>
      </c>
      <c r="D161" s="775">
        <f>(SUMIF(Avaliação!$AA:$AA,A161,Avaliação!$Z:$Z))+(SUMIF(Avaliação!$AD:$AD,A161,Avaliação!$AC:$AC))+(SUMIF(Avaliação!$AG:$AG,A161,Avaliação!$AF:$AF))</f>
        <v>0</v>
      </c>
    </row>
    <row r="162" spans="1:4">
      <c r="A162" s="157" t="s">
        <v>3511</v>
      </c>
      <c r="B162" s="195" t="s">
        <v>3512</v>
      </c>
      <c r="C162" s="775">
        <f>(SUMIF(Avaliação!$K:$K,A162,Avaliação!$J:$J))+(SUMIF(Avaliação!$O:$O,A162,Avaliação!$N:$N))+(SUMIF(Avaliação!$S:$S,A162,Avaliação!$R:$R))</f>
        <v>0</v>
      </c>
      <c r="D162" s="775">
        <f>(SUMIF(Avaliação!$AA:$AA,A162,Avaliação!$Z:$Z))+(SUMIF(Avaliação!$AD:$AD,A162,Avaliação!$AC:$AC))+(SUMIF(Avaliação!$AG:$AG,A162,Avaliação!$AF:$AF))</f>
        <v>0</v>
      </c>
    </row>
    <row r="163" spans="1:4">
      <c r="A163" s="157" t="s">
        <v>3513</v>
      </c>
      <c r="B163" s="195" t="s">
        <v>3514</v>
      </c>
      <c r="C163" s="775">
        <f>(SUMIF(Avaliação!$K:$K,A163,Avaliação!$J:$J))+(SUMIF(Avaliação!$O:$O,A163,Avaliação!$N:$N))+(SUMIF(Avaliação!$S:$S,A163,Avaliação!$R:$R))</f>
        <v>0</v>
      </c>
      <c r="D163" s="775">
        <f>(SUMIF(Avaliação!$AA:$AA,A163,Avaliação!$Z:$Z))+(SUMIF(Avaliação!$AD:$AD,A163,Avaliação!$AC:$AC))+(SUMIF(Avaliação!$AG:$AG,A163,Avaliação!$AF:$AF))</f>
        <v>0</v>
      </c>
    </row>
    <row r="164" spans="1:4">
      <c r="A164" s="157" t="s">
        <v>3515</v>
      </c>
      <c r="B164" s="195" t="s">
        <v>3516</v>
      </c>
      <c r="C164" s="775">
        <f>(SUMIF(Avaliação!$K:$K,A164,Avaliação!$J:$J))+(SUMIF(Avaliação!$O:$O,A164,Avaliação!$N:$N))+(SUMIF(Avaliação!$S:$S,A164,Avaliação!$R:$R))</f>
        <v>0</v>
      </c>
      <c r="D164" s="775">
        <f>(SUMIF(Avaliação!$AA:$AA,A164,Avaliação!$Z:$Z))+(SUMIF(Avaliação!$AD:$AD,A164,Avaliação!$AC:$AC))+(SUMIF(Avaliação!$AG:$AG,A164,Avaliação!$AF:$AF))</f>
        <v>0</v>
      </c>
    </row>
    <row r="165" spans="1:4">
      <c r="A165" s="157" t="s">
        <v>3517</v>
      </c>
      <c r="B165" s="195" t="s">
        <v>3518</v>
      </c>
      <c r="C165" s="775">
        <f>(SUMIF(Avaliação!$K:$K,A165,Avaliação!$J:$J))+(SUMIF(Avaliação!$O:$O,A165,Avaliação!$N:$N))+(SUMIF(Avaliação!$S:$S,A165,Avaliação!$R:$R))</f>
        <v>0</v>
      </c>
      <c r="D165" s="775">
        <f>(SUMIF(Avaliação!$AA:$AA,A165,Avaliação!$Z:$Z))+(SUMIF(Avaliação!$AD:$AD,A165,Avaliação!$AC:$AC))+(SUMIF(Avaliação!$AG:$AG,A165,Avaliação!$AF:$AF))</f>
        <v>0</v>
      </c>
    </row>
    <row r="166" spans="1:4">
      <c r="A166" s="157" t="s">
        <v>3519</v>
      </c>
      <c r="B166" s="195" t="s">
        <v>3520</v>
      </c>
      <c r="C166" s="775">
        <f>(SUMIF(Avaliação!$K:$K,A166,Avaliação!$J:$J))+(SUMIF(Avaliação!$O:$O,A166,Avaliação!$N:$N))+(SUMIF(Avaliação!$S:$S,A166,Avaliação!$R:$R))</f>
        <v>0</v>
      </c>
      <c r="D166" s="775">
        <f>(SUMIF(Avaliação!$AA:$AA,A166,Avaliação!$Z:$Z))+(SUMIF(Avaliação!$AD:$AD,A166,Avaliação!$AC:$AC))+(SUMIF(Avaliação!$AG:$AG,A166,Avaliação!$AF:$AF))</f>
        <v>0</v>
      </c>
    </row>
    <row r="167" spans="1:4">
      <c r="A167" s="157" t="s">
        <v>3521</v>
      </c>
      <c r="B167" s="195" t="s">
        <v>3522</v>
      </c>
      <c r="C167" s="775">
        <f>(SUMIF(Avaliação!$K:$K,A167,Avaliação!$J:$J))+(SUMIF(Avaliação!$O:$O,A167,Avaliação!$N:$N))+(SUMIF(Avaliação!$S:$S,A167,Avaliação!$R:$R))</f>
        <v>0</v>
      </c>
      <c r="D167" s="775">
        <f>(SUMIF(Avaliação!$AA:$AA,A167,Avaliação!$Z:$Z))+(SUMIF(Avaliação!$AD:$AD,A167,Avaliação!$AC:$AC))+(SUMIF(Avaliação!$AG:$AG,A167,Avaliação!$AF:$AF))</f>
        <v>0</v>
      </c>
    </row>
    <row r="168" spans="1:4">
      <c r="A168" s="157" t="s">
        <v>3523</v>
      </c>
      <c r="B168" s="195" t="s">
        <v>3524</v>
      </c>
      <c r="C168" s="775">
        <f>(SUMIF(Avaliação!$K:$K,A168,Avaliação!$J:$J))+(SUMIF(Avaliação!$O:$O,A168,Avaliação!$N:$N))+(SUMIF(Avaliação!$S:$S,A168,Avaliação!$R:$R))</f>
        <v>0</v>
      </c>
      <c r="D168" s="775">
        <f>(SUMIF(Avaliação!$AA:$AA,A168,Avaliação!$Z:$Z))+(SUMIF(Avaliação!$AD:$AD,A168,Avaliação!$AC:$AC))+(SUMIF(Avaliação!$AG:$AG,A168,Avaliação!$AF:$AF))</f>
        <v>0</v>
      </c>
    </row>
    <row r="169" spans="1:4">
      <c r="A169" s="157" t="s">
        <v>3525</v>
      </c>
      <c r="B169" s="195" t="s">
        <v>3526</v>
      </c>
      <c r="C169" s="775">
        <f>(SUMIF(Avaliação!$K:$K,A169,Avaliação!$J:$J))+(SUMIF(Avaliação!$O:$O,A169,Avaliação!$N:$N))+(SUMIF(Avaliação!$S:$S,A169,Avaliação!$R:$R))</f>
        <v>0</v>
      </c>
      <c r="D169" s="775">
        <f>(SUMIF(Avaliação!$AA:$AA,A169,Avaliação!$Z:$Z))+(SUMIF(Avaliação!$AD:$AD,A169,Avaliação!$AC:$AC))+(SUMIF(Avaliação!$AG:$AG,A169,Avaliação!$AF:$AF))</f>
        <v>0</v>
      </c>
    </row>
    <row r="170" spans="1:4">
      <c r="A170" s="157" t="s">
        <v>3527</v>
      </c>
      <c r="B170" s="195" t="s">
        <v>3528</v>
      </c>
      <c r="C170" s="775">
        <f>(SUMIF(Avaliação!$K:$K,A170,Avaliação!$J:$J))+(SUMIF(Avaliação!$O:$O,A170,Avaliação!$N:$N))+(SUMIF(Avaliação!$S:$S,A170,Avaliação!$R:$R))</f>
        <v>0</v>
      </c>
      <c r="D170" s="775">
        <f>(SUMIF(Avaliação!$AA:$AA,A170,Avaliação!$Z:$Z))+(SUMIF(Avaliação!$AD:$AD,A170,Avaliação!$AC:$AC))+(SUMIF(Avaliação!$AG:$AG,A170,Avaliação!$AF:$AF))</f>
        <v>0</v>
      </c>
    </row>
    <row r="171" spans="1:4">
      <c r="A171" s="848" t="s">
        <v>3529</v>
      </c>
      <c r="B171" s="849" t="s">
        <v>3530</v>
      </c>
      <c r="C171" s="775">
        <f>(SUMIF(Avaliação!$K:$K,A171,Avaliação!$J:$J))+(SUMIF(Avaliação!$O:$O,A171,Avaliação!$N:$N))+(SUMIF(Avaliação!$S:$S,A171,Avaliação!$R:$R))</f>
        <v>55</v>
      </c>
      <c r="D171" s="850">
        <f>(SUMIF(Avaliação!$AA:$AA,A171,Avaliação!$Z:$Z))+(SUMIF(Avaliação!$AD:$AD,A171,Avaliação!$AC:$AC))+(SUMIF(Avaliação!$AG:$AG,A171,Avaliação!$AF:$AF))</f>
        <v>0</v>
      </c>
    </row>
    <row r="172" spans="1:4">
      <c r="A172" s="157" t="s">
        <v>3531</v>
      </c>
      <c r="B172" s="195" t="s">
        <v>3532</v>
      </c>
      <c r="C172" s="775">
        <f>(SUMIF(Avaliação!$K:$K,A172,Avaliação!$J:$J))+(SUMIF(Avaliação!$O:$O,A172,Avaliação!$N:$N))+(SUMIF(Avaliação!$S:$S,A172,Avaliação!$R:$R))</f>
        <v>0</v>
      </c>
      <c r="D172" s="775">
        <f>(SUMIF(Avaliação!$AA:$AA,A172,Avaliação!$Z:$Z))+(SUMIF(Avaliação!$AD:$AD,A172,Avaliação!$AC:$AC))+(SUMIF(Avaliação!$AG:$AG,A172,Avaliação!$AF:$AF))</f>
        <v>0</v>
      </c>
    </row>
    <row r="173" spans="1:4">
      <c r="A173" s="157" t="s">
        <v>3533</v>
      </c>
      <c r="B173" s="195" t="s">
        <v>3534</v>
      </c>
      <c r="C173" s="775">
        <f>(SUMIF(Avaliação!$K:$K,A173,Avaliação!$J:$J))+(SUMIF(Avaliação!$O:$O,A173,Avaliação!$N:$N))+(SUMIF(Avaliação!$S:$S,A173,Avaliação!$R:$R))</f>
        <v>0</v>
      </c>
      <c r="D173" s="775">
        <f>(SUMIF(Avaliação!$AA:$AA,A173,Avaliação!$Z:$Z))+(SUMIF(Avaliação!$AD:$AD,A173,Avaliação!$AC:$AC))+(SUMIF(Avaliação!$AG:$AG,A173,Avaliação!$AF:$AF))</f>
        <v>0</v>
      </c>
    </row>
    <row r="174" spans="1:4">
      <c r="A174" s="157" t="s">
        <v>3535</v>
      </c>
      <c r="B174" s="195" t="s">
        <v>3536</v>
      </c>
      <c r="C174" s="775">
        <f>(SUMIF(Avaliação!$K:$K,A174,Avaliação!$J:$J))+(SUMIF(Avaliação!$O:$O,A174,Avaliação!$N:$N))+(SUMIF(Avaliação!$S:$S,A174,Avaliação!$R:$R))</f>
        <v>0</v>
      </c>
      <c r="D174" s="775">
        <f>(SUMIF(Avaliação!$AA:$AA,A174,Avaliação!$Z:$Z))+(SUMIF(Avaliação!$AD:$AD,A174,Avaliação!$AC:$AC))+(SUMIF(Avaliação!$AG:$AG,A174,Avaliação!$AF:$AF))</f>
        <v>0</v>
      </c>
    </row>
    <row r="175" spans="1:4">
      <c r="A175" s="157" t="s">
        <v>3537</v>
      </c>
      <c r="B175" s="195" t="s">
        <v>3538</v>
      </c>
      <c r="C175" s="775">
        <f>(SUMIF(Avaliação!$K:$K,A175,Avaliação!$J:$J))+(SUMIF(Avaliação!$O:$O,A175,Avaliação!$N:$N))+(SUMIF(Avaliação!$S:$S,A175,Avaliação!$R:$R))</f>
        <v>0</v>
      </c>
      <c r="D175" s="775">
        <f>(SUMIF(Avaliação!$AA:$AA,A175,Avaliação!$Z:$Z))+(SUMIF(Avaliação!$AD:$AD,A175,Avaliação!$AC:$AC))+(SUMIF(Avaliação!$AG:$AG,A175,Avaliação!$AF:$AF))</f>
        <v>0</v>
      </c>
    </row>
    <row r="176" spans="1:4">
      <c r="A176" s="157" t="s">
        <v>3539</v>
      </c>
      <c r="B176" s="195" t="s">
        <v>3540</v>
      </c>
      <c r="C176" s="775">
        <f>(SUMIF(Avaliação!$K:$K,A176,Avaliação!$J:$J))+(SUMIF(Avaliação!$O:$O,A176,Avaliação!$N:$N))+(SUMIF(Avaliação!$S:$S,A176,Avaliação!$R:$R))</f>
        <v>0</v>
      </c>
      <c r="D176" s="775">
        <f>(SUMIF(Avaliação!$AA:$AA,A176,Avaliação!$Z:$Z))+(SUMIF(Avaliação!$AD:$AD,A176,Avaliação!$AC:$AC))+(SUMIF(Avaliação!$AG:$AG,A176,Avaliação!$AF:$AF))</f>
        <v>0</v>
      </c>
    </row>
    <row r="177" spans="1:4">
      <c r="A177" s="157" t="s">
        <v>3541</v>
      </c>
      <c r="B177" s="195" t="s">
        <v>3542</v>
      </c>
      <c r="C177" s="775">
        <f>(SUMIF(Avaliação!$K:$K,A177,Avaliação!$J:$J))+(SUMIF(Avaliação!$O:$O,A177,Avaliação!$N:$N))+(SUMIF(Avaliação!$S:$S,A177,Avaliação!$R:$R))</f>
        <v>0</v>
      </c>
      <c r="D177" s="775">
        <f>(SUMIF(Avaliação!$AA:$AA,A177,Avaliação!$Z:$Z))+(SUMIF(Avaliação!$AD:$AD,A177,Avaliação!$AC:$AC))+(SUMIF(Avaliação!$AG:$AG,A177,Avaliação!$AF:$AF))</f>
        <v>0</v>
      </c>
    </row>
    <row r="178" spans="1:4">
      <c r="A178" s="157" t="s">
        <v>3543</v>
      </c>
      <c r="B178" s="195" t="s">
        <v>3544</v>
      </c>
      <c r="C178" s="775">
        <f>(SUMIF(Avaliação!$K:$K,A178,Avaliação!$J:$J))+(SUMIF(Avaliação!$O:$O,A178,Avaliação!$N:$N))+(SUMIF(Avaliação!$S:$S,A178,Avaliação!$R:$R))</f>
        <v>0</v>
      </c>
      <c r="D178" s="775">
        <f>(SUMIF(Avaliação!$AA:$AA,A178,Avaliação!$Z:$Z))+(SUMIF(Avaliação!$AD:$AD,A178,Avaliação!$AC:$AC))+(SUMIF(Avaliação!$AG:$AG,A178,Avaliação!$AF:$AF))</f>
        <v>0</v>
      </c>
    </row>
    <row r="179" spans="1:4">
      <c r="A179" s="157" t="s">
        <v>3545</v>
      </c>
      <c r="B179" s="195" t="s">
        <v>3546</v>
      </c>
      <c r="C179" s="775">
        <f>(SUMIF(Avaliação!$K:$K,A179,Avaliação!$J:$J))+(SUMIF(Avaliação!$O:$O,A179,Avaliação!$N:$N))+(SUMIF(Avaliação!$S:$S,A179,Avaliação!$R:$R))</f>
        <v>0</v>
      </c>
      <c r="D179" s="775">
        <f>(SUMIF(Avaliação!$AA:$AA,A179,Avaliação!$Z:$Z))+(SUMIF(Avaliação!$AD:$AD,A179,Avaliação!$AC:$AC))+(SUMIF(Avaliação!$AG:$AG,A179,Avaliação!$AF:$AF))</f>
        <v>0</v>
      </c>
    </row>
    <row r="180" spans="1:4">
      <c r="A180" s="157" t="s">
        <v>3547</v>
      </c>
      <c r="B180" s="195" t="s">
        <v>3548</v>
      </c>
      <c r="C180" s="775">
        <f>(SUMIF(Avaliação!$K:$K,A180,Avaliação!$J:$J))+(SUMIF(Avaliação!$O:$O,A180,Avaliação!$N:$N))+(SUMIF(Avaliação!$S:$S,A180,Avaliação!$R:$R))</f>
        <v>0</v>
      </c>
      <c r="D180" s="775">
        <f>(SUMIF(Avaliação!$AA:$AA,A180,Avaliação!$Z:$Z))+(SUMIF(Avaliação!$AD:$AD,A180,Avaliação!$AC:$AC))+(SUMIF(Avaliação!$AG:$AG,A180,Avaliação!$AF:$AF))</f>
        <v>0</v>
      </c>
    </row>
    <row r="181" spans="1:4">
      <c r="A181" s="157" t="s">
        <v>3549</v>
      </c>
      <c r="B181" s="195" t="s">
        <v>3550</v>
      </c>
      <c r="C181" s="775">
        <f>(SUMIF(Avaliação!$K:$K,A181,Avaliação!$J:$J))+(SUMIF(Avaliação!$O:$O,A181,Avaliação!$N:$N))+(SUMIF(Avaliação!$S:$S,A181,Avaliação!$R:$R))</f>
        <v>0</v>
      </c>
      <c r="D181" s="775">
        <f>(SUMIF(Avaliação!$AA:$AA,A181,Avaliação!$Z:$Z))+(SUMIF(Avaliação!$AD:$AD,A181,Avaliação!$AC:$AC))+(SUMIF(Avaliação!$AG:$AG,A181,Avaliação!$AF:$AF))</f>
        <v>0</v>
      </c>
    </row>
    <row r="182" spans="1:4">
      <c r="A182" s="157" t="s">
        <v>3551</v>
      </c>
      <c r="B182" s="195" t="s">
        <v>3552</v>
      </c>
      <c r="C182" s="775">
        <f>(SUMIF(Avaliação!$K:$K,A182,Avaliação!$J:$J))+(SUMIF(Avaliação!$O:$O,A182,Avaliação!$N:$N))+(SUMIF(Avaliação!$S:$S,A182,Avaliação!$R:$R))</f>
        <v>0</v>
      </c>
      <c r="D182" s="775">
        <f>(SUMIF(Avaliação!$AA:$AA,A182,Avaliação!$Z:$Z))+(SUMIF(Avaliação!$AD:$AD,A182,Avaliação!$AC:$AC))+(SUMIF(Avaliação!$AG:$AG,A182,Avaliação!$AF:$AF))</f>
        <v>0</v>
      </c>
    </row>
    <row r="183" spans="1:4">
      <c r="A183" s="157" t="s">
        <v>3553</v>
      </c>
      <c r="B183" s="195" t="s">
        <v>3554</v>
      </c>
      <c r="C183" s="775">
        <f>(SUMIF(Avaliação!$K:$K,A183,Avaliação!$J:$J))+(SUMIF(Avaliação!$O:$O,A183,Avaliação!$N:$N))+(SUMIF(Avaliação!$S:$S,A183,Avaliação!$R:$R))</f>
        <v>0</v>
      </c>
      <c r="D183" s="775">
        <f>(SUMIF(Avaliação!$AA:$AA,A183,Avaliação!$Z:$Z))+(SUMIF(Avaliação!$AD:$AD,A183,Avaliação!$AC:$AC))+(SUMIF(Avaliação!$AG:$AG,A183,Avaliação!$AF:$AF))</f>
        <v>0</v>
      </c>
    </row>
    <row r="184" spans="1:4">
      <c r="A184" s="157" t="s">
        <v>3555</v>
      </c>
      <c r="B184" s="195" t="s">
        <v>3556</v>
      </c>
      <c r="C184" s="775">
        <f>(SUMIF(Avaliação!$K:$K,A184,Avaliação!$J:$J))+(SUMIF(Avaliação!$O:$O,A184,Avaliação!$N:$N))+(SUMIF(Avaliação!$S:$S,A184,Avaliação!$R:$R))</f>
        <v>0</v>
      </c>
      <c r="D184" s="775">
        <f>(SUMIF(Avaliação!$AA:$AA,A184,Avaliação!$Z:$Z))+(SUMIF(Avaliação!$AD:$AD,A184,Avaliação!$AC:$AC))+(SUMIF(Avaliação!$AG:$AG,A184,Avaliação!$AF:$AF))</f>
        <v>0</v>
      </c>
    </row>
    <row r="185" spans="1:4">
      <c r="A185" s="157" t="s">
        <v>3557</v>
      </c>
      <c r="B185" s="195" t="s">
        <v>3558</v>
      </c>
      <c r="C185" s="775">
        <f>(SUMIF(Avaliação!$K:$K,A185,Avaliação!$J:$J))+(SUMIF(Avaliação!$O:$O,A185,Avaliação!$N:$N))+(SUMIF(Avaliação!$S:$S,A185,Avaliação!$R:$R))</f>
        <v>0</v>
      </c>
      <c r="D185" s="775">
        <f>(SUMIF(Avaliação!$AA:$AA,A185,Avaliação!$Z:$Z))+(SUMIF(Avaliação!$AD:$AD,A185,Avaliação!$AC:$AC))+(SUMIF(Avaliação!$AG:$AG,A185,Avaliação!$AF:$AF))</f>
        <v>0</v>
      </c>
    </row>
    <row r="186" spans="1:4">
      <c r="A186" s="157" t="s">
        <v>3559</v>
      </c>
      <c r="B186" s="195" t="s">
        <v>3560</v>
      </c>
      <c r="C186" s="775">
        <f>(SUMIF(Avaliação!$K:$K,A186,Avaliação!$J:$J))+(SUMIF(Avaliação!$O:$O,A186,Avaliação!$N:$N))+(SUMIF(Avaliação!$S:$S,A186,Avaliação!$R:$R))</f>
        <v>0</v>
      </c>
      <c r="D186" s="775">
        <f>(SUMIF(Avaliação!$AA:$AA,A186,Avaliação!$Z:$Z))+(SUMIF(Avaliação!$AD:$AD,A186,Avaliação!$AC:$AC))+(SUMIF(Avaliação!$AG:$AG,A186,Avaliação!$AF:$AF))</f>
        <v>0</v>
      </c>
    </row>
    <row r="187" spans="1:4">
      <c r="A187" s="848" t="s">
        <v>3561</v>
      </c>
      <c r="B187" s="849" t="s">
        <v>3562</v>
      </c>
      <c r="C187" s="775">
        <f>(SUMIF(Avaliação!$K:$K,A187,Avaliação!$J:$J))+(SUMIF(Avaliação!$O:$O,A187,Avaliação!$N:$N))+(SUMIF(Avaliação!$S:$S,A187,Avaliação!$R:$R))</f>
        <v>1</v>
      </c>
      <c r="D187" s="850">
        <f>(SUMIF(Avaliação!$AA:$AA,A187,Avaliação!$Z:$Z))+(SUMIF(Avaliação!$AD:$AD,A187,Avaliação!$AC:$AC))+(SUMIF(Avaliação!$AG:$AG,A187,Avaliação!$AF:$AF))</f>
        <v>0</v>
      </c>
    </row>
    <row r="188" spans="1:4">
      <c r="A188" s="157" t="s">
        <v>3563</v>
      </c>
      <c r="B188" s="195" t="s">
        <v>3564</v>
      </c>
      <c r="C188" s="775">
        <f>(SUMIF(Avaliação!$K:$K,A188,Avaliação!$J:$J))+(SUMIF(Avaliação!$O:$O,A188,Avaliação!$N:$N))+(SUMIF(Avaliação!$S:$S,A188,Avaliação!$R:$R))</f>
        <v>0</v>
      </c>
      <c r="D188" s="775">
        <f>(SUMIF(Avaliação!$AA:$AA,A188,Avaliação!$Z:$Z))+(SUMIF(Avaliação!$AD:$AD,A188,Avaliação!$AC:$AC))+(SUMIF(Avaliação!$AG:$AG,A188,Avaliação!$AF:$AF))</f>
        <v>0</v>
      </c>
    </row>
    <row r="189" spans="1:4">
      <c r="A189" s="848" t="s">
        <v>3565</v>
      </c>
      <c r="B189" s="849" t="s">
        <v>3566</v>
      </c>
      <c r="C189" s="775">
        <f>(SUMIF(Avaliação!$K:$K,A189,Avaliação!$J:$J))+(SUMIF(Avaliação!$O:$O,A189,Avaliação!$N:$N))+(SUMIF(Avaliação!$S:$S,A189,Avaliação!$R:$R))</f>
        <v>1</v>
      </c>
      <c r="D189" s="850">
        <f>(SUMIF(Avaliação!$AA:$AA,A189,Avaliação!$Z:$Z))+(SUMIF(Avaliação!$AD:$AD,A189,Avaliação!$AC:$AC))+(SUMIF(Avaliação!$AG:$AG,A189,Avaliação!$AF:$AF))</f>
        <v>0</v>
      </c>
    </row>
    <row r="190" spans="1:4">
      <c r="A190" s="157" t="s">
        <v>3567</v>
      </c>
      <c r="B190" s="195" t="s">
        <v>3568</v>
      </c>
      <c r="C190" s="775">
        <f>(SUMIF(Avaliação!$K:$K,A190,Avaliação!$J:$J))+(SUMIF(Avaliação!$O:$O,A190,Avaliação!$N:$N))+(SUMIF(Avaliação!$S:$S,A190,Avaliação!$R:$R))</f>
        <v>0</v>
      </c>
      <c r="D190" s="775">
        <f>(SUMIF(Avaliação!$AA:$AA,A190,Avaliação!$Z:$Z))+(SUMIF(Avaliação!$AD:$AD,A190,Avaliação!$AC:$AC))+(SUMIF(Avaliação!$AG:$AG,A190,Avaliação!$AF:$AF))</f>
        <v>0</v>
      </c>
    </row>
    <row r="191" spans="1:4">
      <c r="A191" s="848" t="s">
        <v>3569</v>
      </c>
      <c r="B191" s="849" t="s">
        <v>3570</v>
      </c>
      <c r="C191" s="775">
        <f>(SUMIF(Avaliação!$K:$K,A191,Avaliação!$J:$J))+(SUMIF(Avaliação!$O:$O,A191,Avaliação!$N:$N))+(SUMIF(Avaliação!$S:$S,A191,Avaliação!$R:$R))</f>
        <v>1</v>
      </c>
      <c r="D191" s="850">
        <f>(SUMIF(Avaliação!$AA:$AA,A191,Avaliação!$Z:$Z))+(SUMIF(Avaliação!$AD:$AD,A191,Avaliação!$AC:$AC))+(SUMIF(Avaliação!$AG:$AG,A191,Avaliação!$AF:$AF))</f>
        <v>0</v>
      </c>
    </row>
    <row r="192" spans="1:4">
      <c r="A192" s="157" t="s">
        <v>3571</v>
      </c>
      <c r="B192" s="195" t="s">
        <v>3572</v>
      </c>
      <c r="C192" s="775">
        <f>(SUMIF(Avaliação!$K:$K,A192,Avaliação!$J:$J))+(SUMIF(Avaliação!$O:$O,A192,Avaliação!$N:$N))+(SUMIF(Avaliação!$S:$S,A192,Avaliação!$R:$R))</f>
        <v>0</v>
      </c>
      <c r="D192" s="775">
        <f>(SUMIF(Avaliação!$AA:$AA,A192,Avaliação!$Z:$Z))+(SUMIF(Avaliação!$AD:$AD,A192,Avaliação!$AC:$AC))+(SUMIF(Avaliação!$AG:$AG,A192,Avaliação!$AF:$AF))</f>
        <v>0</v>
      </c>
    </row>
    <row r="193" spans="1:4">
      <c r="A193" s="157" t="s">
        <v>3573</v>
      </c>
      <c r="B193" s="195" t="s">
        <v>3574</v>
      </c>
      <c r="C193" s="775">
        <f>(SUMIF(Avaliação!$K:$K,A193,Avaliação!$J:$J))+(SUMIF(Avaliação!$O:$O,A193,Avaliação!$N:$N))+(SUMIF(Avaliação!$S:$S,A193,Avaliação!$R:$R))</f>
        <v>0</v>
      </c>
      <c r="D193" s="775">
        <f>(SUMIF(Avaliação!$AA:$AA,A193,Avaliação!$Z:$Z))+(SUMIF(Avaliação!$AD:$AD,A193,Avaliação!$AC:$AC))+(SUMIF(Avaliação!$AG:$AG,A193,Avaliação!$AF:$AF))</f>
        <v>0</v>
      </c>
    </row>
    <row r="194" spans="1:4">
      <c r="A194" s="157" t="s">
        <v>3575</v>
      </c>
      <c r="B194" s="195" t="s">
        <v>3576</v>
      </c>
      <c r="C194" s="775">
        <f>(SUMIF(Avaliação!$K:$K,A194,Avaliação!$J:$J))+(SUMIF(Avaliação!$O:$O,A194,Avaliação!$N:$N))+(SUMIF(Avaliação!$S:$S,A194,Avaliação!$R:$R))</f>
        <v>0</v>
      </c>
      <c r="D194" s="775">
        <f>(SUMIF(Avaliação!$AA:$AA,A194,Avaliação!$Z:$Z))+(SUMIF(Avaliação!$AD:$AD,A194,Avaliação!$AC:$AC))+(SUMIF(Avaliação!$AG:$AG,A194,Avaliação!$AF:$AF))</f>
        <v>0</v>
      </c>
    </row>
    <row r="195" spans="1:4">
      <c r="A195" s="157" t="s">
        <v>3577</v>
      </c>
      <c r="B195" s="195" t="s">
        <v>3578</v>
      </c>
      <c r="C195" s="775">
        <f>(SUMIF(Avaliação!$K:$K,A195,Avaliação!$J:$J))+(SUMIF(Avaliação!$O:$O,A195,Avaliação!$N:$N))+(SUMIF(Avaliação!$S:$S,A195,Avaliação!$R:$R))</f>
        <v>0</v>
      </c>
      <c r="D195" s="775">
        <f>(SUMIF(Avaliação!$AA:$AA,A195,Avaliação!$Z:$Z))+(SUMIF(Avaliação!$AD:$AD,A195,Avaliação!$AC:$AC))+(SUMIF(Avaliação!$AG:$AG,A195,Avaliação!$AF:$AF))</f>
        <v>0</v>
      </c>
    </row>
    <row r="196" spans="1:4">
      <c r="A196" s="157" t="s">
        <v>3579</v>
      </c>
      <c r="B196" s="195" t="s">
        <v>3580</v>
      </c>
      <c r="C196" s="775">
        <f>(SUMIF(Avaliação!$K:$K,A196,Avaliação!$J:$J))+(SUMIF(Avaliação!$O:$O,A196,Avaliação!$N:$N))+(SUMIF(Avaliação!$S:$S,A196,Avaliação!$R:$R))</f>
        <v>0</v>
      </c>
      <c r="D196" s="775">
        <f>(SUMIF(Avaliação!$AA:$AA,A196,Avaliação!$Z:$Z))+(SUMIF(Avaliação!$AD:$AD,A196,Avaliação!$AC:$AC))+(SUMIF(Avaliação!$AG:$AG,A196,Avaliação!$AF:$AF))</f>
        <v>0</v>
      </c>
    </row>
    <row r="197" spans="1:4">
      <c r="A197" s="157" t="s">
        <v>3581</v>
      </c>
      <c r="B197" s="195" t="s">
        <v>3582</v>
      </c>
      <c r="C197" s="775">
        <f>(SUMIF(Avaliação!$K:$K,A197,Avaliação!$J:$J))+(SUMIF(Avaliação!$O:$O,A197,Avaliação!$N:$N))+(SUMIF(Avaliação!$S:$S,A197,Avaliação!$R:$R))</f>
        <v>0</v>
      </c>
      <c r="D197" s="775">
        <f>(SUMIF(Avaliação!$AA:$AA,A197,Avaliação!$Z:$Z))+(SUMIF(Avaliação!$AD:$AD,A197,Avaliação!$AC:$AC))+(SUMIF(Avaliação!$AG:$AG,A197,Avaliação!$AF:$AF))</f>
        <v>0</v>
      </c>
    </row>
    <row r="198" spans="1:4">
      <c r="A198" s="157" t="s">
        <v>3583</v>
      </c>
      <c r="B198" s="195" t="s">
        <v>3584</v>
      </c>
      <c r="C198" s="775">
        <f>(SUMIF(Avaliação!$K:$K,A198,Avaliação!$J:$J))+(SUMIF(Avaliação!$O:$O,A198,Avaliação!$N:$N))+(SUMIF(Avaliação!$S:$S,A198,Avaliação!$R:$R))</f>
        <v>0</v>
      </c>
      <c r="D198" s="775">
        <f>(SUMIF(Avaliação!$AA:$AA,A198,Avaliação!$Z:$Z))+(SUMIF(Avaliação!$AD:$AD,A198,Avaliação!$AC:$AC))+(SUMIF(Avaliação!$AG:$AG,A198,Avaliação!$AF:$AF))</f>
        <v>0</v>
      </c>
    </row>
    <row r="199" spans="1:4">
      <c r="A199" s="157" t="s">
        <v>3585</v>
      </c>
      <c r="B199" s="195" t="s">
        <v>3586</v>
      </c>
      <c r="C199" s="775">
        <f>(SUMIF(Avaliação!$K:$K,A199,Avaliação!$J:$J))+(SUMIF(Avaliação!$O:$O,A199,Avaliação!$N:$N))+(SUMIF(Avaliação!$S:$S,A199,Avaliação!$R:$R))</f>
        <v>0</v>
      </c>
      <c r="D199" s="775">
        <f>(SUMIF(Avaliação!$AA:$AA,A199,Avaliação!$Z:$Z))+(SUMIF(Avaliação!$AD:$AD,A199,Avaliação!$AC:$AC))+(SUMIF(Avaliação!$AG:$AG,A199,Avaliação!$AF:$AF))</f>
        <v>0</v>
      </c>
    </row>
    <row r="200" spans="1:4">
      <c r="A200" s="848" t="s">
        <v>3587</v>
      </c>
      <c r="B200" s="849" t="s">
        <v>3588</v>
      </c>
      <c r="C200" s="775">
        <f>(SUMIF(Avaliação!$K:$K,A200,Avaliação!$J:$J))+(SUMIF(Avaliação!$O:$O,A200,Avaliação!$N:$N))+(SUMIF(Avaliação!$S:$S,A200,Avaliação!$R:$R))</f>
        <v>4</v>
      </c>
      <c r="D200" s="850">
        <f>(SUMIF(Avaliação!$AA:$AA,A200,Avaliação!$Z:$Z))+(SUMIF(Avaliação!$AD:$AD,A200,Avaliação!$AC:$AC))+(SUMIF(Avaliação!$AG:$AG,A200,Avaliação!$AF:$AF))</f>
        <v>0</v>
      </c>
    </row>
    <row r="201" spans="1:4">
      <c r="A201" s="157" t="s">
        <v>3589</v>
      </c>
      <c r="B201" s="195" t="s">
        <v>3590</v>
      </c>
      <c r="C201" s="775">
        <f>(SUMIF(Avaliação!$K:$K,A201,Avaliação!$J:$J))+(SUMIF(Avaliação!$O:$O,A201,Avaliação!$N:$N))+(SUMIF(Avaliação!$S:$S,A201,Avaliação!$R:$R))</f>
        <v>0</v>
      </c>
      <c r="D201" s="775">
        <f>(SUMIF(Avaliação!$AA:$AA,A201,Avaliação!$Z:$Z))+(SUMIF(Avaliação!$AD:$AD,A201,Avaliação!$AC:$AC))+(SUMIF(Avaliação!$AG:$AG,A201,Avaliação!$AF:$AF))</f>
        <v>0</v>
      </c>
    </row>
    <row r="202" spans="1:4">
      <c r="A202" s="157" t="s">
        <v>3591</v>
      </c>
      <c r="B202" s="195" t="s">
        <v>3592</v>
      </c>
      <c r="C202" s="775">
        <f>(SUMIF(Avaliação!$K:$K,A202,Avaliação!$J:$J))+(SUMIF(Avaliação!$O:$O,A202,Avaliação!$N:$N))+(SUMIF(Avaliação!$S:$S,A202,Avaliação!$R:$R))</f>
        <v>0</v>
      </c>
      <c r="D202" s="775">
        <f>(SUMIF(Avaliação!$AA:$AA,A202,Avaliação!$Z:$Z))+(SUMIF(Avaliação!$AD:$AD,A202,Avaliação!$AC:$AC))+(SUMIF(Avaliação!$AG:$AG,A202,Avaliação!$AF:$AF))</f>
        <v>0</v>
      </c>
    </row>
    <row r="203" spans="1:4">
      <c r="A203" s="157" t="s">
        <v>3593</v>
      </c>
      <c r="B203" s="195" t="s">
        <v>3594</v>
      </c>
      <c r="C203" s="775">
        <f>(SUMIF(Avaliação!$K:$K,A203,Avaliação!$J:$J))+(SUMIF(Avaliação!$O:$O,A203,Avaliação!$N:$N))+(SUMIF(Avaliação!$S:$S,A203,Avaliação!$R:$R))</f>
        <v>0</v>
      </c>
      <c r="D203" s="775">
        <f>(SUMIF(Avaliação!$AA:$AA,A203,Avaliação!$Z:$Z))+(SUMIF(Avaliação!$AD:$AD,A203,Avaliação!$AC:$AC))+(SUMIF(Avaliação!$AG:$AG,A203,Avaliação!$AF:$AF))</f>
        <v>0</v>
      </c>
    </row>
    <row r="204" spans="1:4">
      <c r="A204" s="157" t="s">
        <v>3595</v>
      </c>
      <c r="B204" s="195" t="s">
        <v>3596</v>
      </c>
      <c r="C204" s="775">
        <f>(SUMIF(Avaliação!$K:$K,A204,Avaliação!$J:$J))+(SUMIF(Avaliação!$O:$O,A204,Avaliação!$N:$N))+(SUMIF(Avaliação!$S:$S,A204,Avaliação!$R:$R))</f>
        <v>0</v>
      </c>
      <c r="D204" s="775">
        <f>(SUMIF(Avaliação!$AA:$AA,A204,Avaliação!$Z:$Z))+(SUMIF(Avaliação!$AD:$AD,A204,Avaliação!$AC:$AC))+(SUMIF(Avaliação!$AG:$AG,A204,Avaliação!$AF:$AF))</f>
        <v>0</v>
      </c>
    </row>
    <row r="205" spans="1:4">
      <c r="A205" s="157" t="s">
        <v>3597</v>
      </c>
      <c r="B205" s="195" t="s">
        <v>3598</v>
      </c>
      <c r="C205" s="775">
        <f>(SUMIF(Avaliação!$K:$K,A205,Avaliação!$J:$J))+(SUMIF(Avaliação!$O:$O,A205,Avaliação!$N:$N))+(SUMIF(Avaliação!$S:$S,A205,Avaliação!$R:$R))</f>
        <v>0</v>
      </c>
      <c r="D205" s="775">
        <f>(SUMIF(Avaliação!$AA:$AA,A205,Avaliação!$Z:$Z))+(SUMIF(Avaliação!$AD:$AD,A205,Avaliação!$AC:$AC))+(SUMIF(Avaliação!$AG:$AG,A205,Avaliação!$AF:$AF))</f>
        <v>0</v>
      </c>
    </row>
    <row r="206" spans="1:4">
      <c r="A206" s="157" t="s">
        <v>3599</v>
      </c>
      <c r="B206" s="195" t="s">
        <v>3600</v>
      </c>
      <c r="C206" s="775">
        <f>(SUMIF(Avaliação!$K:$K,A206,Avaliação!$J:$J))+(SUMIF(Avaliação!$O:$O,A206,Avaliação!$N:$N))+(SUMIF(Avaliação!$S:$S,A206,Avaliação!$R:$R))</f>
        <v>0</v>
      </c>
      <c r="D206" s="775">
        <f>(SUMIF(Avaliação!$AA:$AA,A206,Avaliação!$Z:$Z))+(SUMIF(Avaliação!$AD:$AD,A206,Avaliação!$AC:$AC))+(SUMIF(Avaliação!$AG:$AG,A206,Avaliação!$AF:$AF))</f>
        <v>0</v>
      </c>
    </row>
    <row r="207" spans="1:4">
      <c r="A207" s="157" t="s">
        <v>3601</v>
      </c>
      <c r="B207" s="195" t="s">
        <v>3602</v>
      </c>
      <c r="C207" s="775">
        <f>(SUMIF(Avaliação!$K:$K,A207,Avaliação!$J:$J))+(SUMIF(Avaliação!$O:$O,A207,Avaliação!$N:$N))+(SUMIF(Avaliação!$S:$S,A207,Avaliação!$R:$R))</f>
        <v>0</v>
      </c>
      <c r="D207" s="775">
        <f>(SUMIF(Avaliação!$AA:$AA,A207,Avaliação!$Z:$Z))+(SUMIF(Avaliação!$AD:$AD,A207,Avaliação!$AC:$AC))+(SUMIF(Avaliação!$AG:$AG,A207,Avaliação!$AF:$AF))</f>
        <v>0</v>
      </c>
    </row>
    <row r="208" spans="1:4">
      <c r="A208" s="157" t="s">
        <v>3603</v>
      </c>
      <c r="B208" s="195" t="s">
        <v>3604</v>
      </c>
      <c r="C208" s="775">
        <f>(SUMIF(Avaliação!$K:$K,A208,Avaliação!$J:$J))+(SUMIF(Avaliação!$O:$O,A208,Avaliação!$N:$N))+(SUMIF(Avaliação!$S:$S,A208,Avaliação!$R:$R))</f>
        <v>0</v>
      </c>
      <c r="D208" s="775">
        <f>(SUMIF(Avaliação!$AA:$AA,A208,Avaliação!$Z:$Z))+(SUMIF(Avaliação!$AD:$AD,A208,Avaliação!$AC:$AC))+(SUMIF(Avaliação!$AG:$AG,A208,Avaliação!$AF:$AF))</f>
        <v>0</v>
      </c>
    </row>
    <row r="209" spans="1:4">
      <c r="A209" s="157" t="s">
        <v>3605</v>
      </c>
      <c r="B209" s="195" t="s">
        <v>3606</v>
      </c>
      <c r="C209" s="775">
        <f>(SUMIF(Avaliação!$K:$K,A209,Avaliação!$J:$J))+(SUMIF(Avaliação!$O:$O,A209,Avaliação!$N:$N))+(SUMIF(Avaliação!$S:$S,A209,Avaliação!$R:$R))</f>
        <v>0</v>
      </c>
      <c r="D209" s="775">
        <f>(SUMIF(Avaliação!$AA:$AA,A209,Avaliação!$Z:$Z))+(SUMIF(Avaliação!$AD:$AD,A209,Avaliação!$AC:$AC))+(SUMIF(Avaliação!$AG:$AG,A209,Avaliação!$AF:$AF))</f>
        <v>0</v>
      </c>
    </row>
    <row r="210" spans="1:4">
      <c r="A210" s="157" t="s">
        <v>3607</v>
      </c>
      <c r="B210" s="195" t="s">
        <v>3608</v>
      </c>
      <c r="C210" s="775">
        <f>(SUMIF(Avaliação!$K:$K,A210,Avaliação!$J:$J))+(SUMIF(Avaliação!$O:$O,A210,Avaliação!$N:$N))+(SUMIF(Avaliação!$S:$S,A210,Avaliação!$R:$R))</f>
        <v>0</v>
      </c>
      <c r="D210" s="775">
        <f>(SUMIF(Avaliação!$AA:$AA,A210,Avaliação!$Z:$Z))+(SUMIF(Avaliação!$AD:$AD,A210,Avaliação!$AC:$AC))+(SUMIF(Avaliação!$AG:$AG,A210,Avaliação!$AF:$AF))</f>
        <v>0</v>
      </c>
    </row>
    <row r="211" spans="1:4">
      <c r="A211" s="157" t="s">
        <v>3609</v>
      </c>
      <c r="B211" s="195" t="s">
        <v>3610</v>
      </c>
      <c r="C211" s="775">
        <f>(SUMIF(Avaliação!$K:$K,A211,Avaliação!$J:$J))+(SUMIF(Avaliação!$O:$O,A211,Avaliação!$N:$N))+(SUMIF(Avaliação!$S:$S,A211,Avaliação!$R:$R))</f>
        <v>0</v>
      </c>
      <c r="D211" s="775">
        <f>(SUMIF(Avaliação!$AA:$AA,A211,Avaliação!$Z:$Z))+(SUMIF(Avaliação!$AD:$AD,A211,Avaliação!$AC:$AC))+(SUMIF(Avaliação!$AG:$AG,A211,Avaliação!$AF:$AF))</f>
        <v>0</v>
      </c>
    </row>
    <row r="212" spans="1:4">
      <c r="A212" s="157" t="s">
        <v>3611</v>
      </c>
      <c r="B212" s="195" t="s">
        <v>3612</v>
      </c>
      <c r="C212" s="775">
        <f>(SUMIF(Avaliação!$K:$K,A212,Avaliação!$J:$J))+(SUMIF(Avaliação!$O:$O,A212,Avaliação!$N:$N))+(SUMIF(Avaliação!$S:$S,A212,Avaliação!$R:$R))</f>
        <v>0</v>
      </c>
      <c r="D212" s="775">
        <f>(SUMIF(Avaliação!$AA:$AA,A212,Avaliação!$Z:$Z))+(SUMIF(Avaliação!$AD:$AD,A212,Avaliação!$AC:$AC))+(SUMIF(Avaliação!$AG:$AG,A212,Avaliação!$AF:$AF))</f>
        <v>0</v>
      </c>
    </row>
    <row r="213" spans="1:4">
      <c r="A213" s="157" t="s">
        <v>3613</v>
      </c>
      <c r="B213" s="195" t="s">
        <v>3614</v>
      </c>
      <c r="C213" s="775">
        <f>(SUMIF(Avaliação!$K:$K,A213,Avaliação!$J:$J))+(SUMIF(Avaliação!$O:$O,A213,Avaliação!$N:$N))+(SUMIF(Avaliação!$S:$S,A213,Avaliação!$R:$R))</f>
        <v>0</v>
      </c>
      <c r="D213" s="775">
        <f>(SUMIF(Avaliação!$AA:$AA,A213,Avaliação!$Z:$Z))+(SUMIF(Avaliação!$AD:$AD,A213,Avaliação!$AC:$AC))+(SUMIF(Avaliação!$AG:$AG,A213,Avaliação!$AF:$AF))</f>
        <v>0</v>
      </c>
    </row>
    <row r="214" spans="1:4">
      <c r="A214" s="157" t="s">
        <v>3615</v>
      </c>
      <c r="B214" s="195" t="s">
        <v>3616</v>
      </c>
      <c r="C214" s="775">
        <f>(SUMIF(Avaliação!$K:$K,A214,Avaliação!$J:$J))+(SUMIF(Avaliação!$O:$O,A214,Avaliação!$N:$N))+(SUMIF(Avaliação!$S:$S,A214,Avaliação!$R:$R))</f>
        <v>0</v>
      </c>
      <c r="D214" s="775">
        <f>(SUMIF(Avaliação!$AA:$AA,A214,Avaliação!$Z:$Z))+(SUMIF(Avaliação!$AD:$AD,A214,Avaliação!$AC:$AC))+(SUMIF(Avaliação!$AG:$AG,A214,Avaliação!$AF:$AF))</f>
        <v>0</v>
      </c>
    </row>
    <row r="215" spans="1:4">
      <c r="A215" s="157" t="s">
        <v>3617</v>
      </c>
      <c r="B215" s="195" t="s">
        <v>3618</v>
      </c>
      <c r="C215" s="775">
        <f>(SUMIF(Avaliação!$K:$K,A215,Avaliação!$J:$J))+(SUMIF(Avaliação!$O:$O,A215,Avaliação!$N:$N))+(SUMIF(Avaliação!$S:$S,A215,Avaliação!$R:$R))</f>
        <v>0</v>
      </c>
      <c r="D215" s="775">
        <f>(SUMIF(Avaliação!$AA:$AA,A215,Avaliação!$Z:$Z))+(SUMIF(Avaliação!$AD:$AD,A215,Avaliação!$AC:$AC))+(SUMIF(Avaliação!$AG:$AG,A215,Avaliação!$AF:$AF))</f>
        <v>0</v>
      </c>
    </row>
    <row r="216" spans="1:4">
      <c r="A216" s="157" t="s">
        <v>3619</v>
      </c>
      <c r="B216" s="195" t="s">
        <v>3620</v>
      </c>
      <c r="C216" s="775">
        <f>(SUMIF(Avaliação!$K:$K,A216,Avaliação!$J:$J))+(SUMIF(Avaliação!$O:$O,A216,Avaliação!$N:$N))+(SUMIF(Avaliação!$S:$S,A216,Avaliação!$R:$R))</f>
        <v>0</v>
      </c>
      <c r="D216" s="775">
        <f>(SUMIF(Avaliação!$AA:$AA,A216,Avaliação!$Z:$Z))+(SUMIF(Avaliação!$AD:$AD,A216,Avaliação!$AC:$AC))+(SUMIF(Avaliação!$AG:$AG,A216,Avaliação!$AF:$AF))</f>
        <v>0</v>
      </c>
    </row>
    <row r="217" spans="1:4">
      <c r="A217" s="157" t="s">
        <v>3621</v>
      </c>
      <c r="B217" s="195" t="s">
        <v>3622</v>
      </c>
      <c r="C217" s="775">
        <f>(SUMIF(Avaliação!$K:$K,A217,Avaliação!$J:$J))+(SUMIF(Avaliação!$O:$O,A217,Avaliação!$N:$N))+(SUMIF(Avaliação!$S:$S,A217,Avaliação!$R:$R))</f>
        <v>0</v>
      </c>
      <c r="D217" s="775">
        <f>(SUMIF(Avaliação!$AA:$AA,A217,Avaliação!$Z:$Z))+(SUMIF(Avaliação!$AD:$AD,A217,Avaliação!$AC:$AC))+(SUMIF(Avaliação!$AG:$AG,A217,Avaliação!$AF:$AF))</f>
        <v>0</v>
      </c>
    </row>
    <row r="218" spans="1:4">
      <c r="A218" s="157" t="s">
        <v>3623</v>
      </c>
      <c r="B218" s="195" t="s">
        <v>3624</v>
      </c>
      <c r="C218" s="775">
        <f>(SUMIF(Avaliação!$K:$K,A218,Avaliação!$J:$J))+(SUMIF(Avaliação!$O:$O,A218,Avaliação!$N:$N))+(SUMIF(Avaliação!$S:$S,A218,Avaliação!$R:$R))</f>
        <v>0</v>
      </c>
      <c r="D218" s="775">
        <f>(SUMIF(Avaliação!$AA:$AA,A218,Avaliação!$Z:$Z))+(SUMIF(Avaliação!$AD:$AD,A218,Avaliação!$AC:$AC))+(SUMIF(Avaliação!$AG:$AG,A218,Avaliação!$AF:$AF))</f>
        <v>0</v>
      </c>
    </row>
    <row r="219" spans="1:4">
      <c r="A219" s="157" t="s">
        <v>3625</v>
      </c>
      <c r="B219" s="195" t="s">
        <v>3626</v>
      </c>
      <c r="C219" s="775">
        <f>(SUMIF(Avaliação!$K:$K,A219,Avaliação!$J:$J))+(SUMIF(Avaliação!$O:$O,A219,Avaliação!$N:$N))+(SUMIF(Avaliação!$S:$S,A219,Avaliação!$R:$R))</f>
        <v>0</v>
      </c>
      <c r="D219" s="775">
        <f>(SUMIF(Avaliação!$AA:$AA,A219,Avaliação!$Z:$Z))+(SUMIF(Avaliação!$AD:$AD,A219,Avaliação!$AC:$AC))+(SUMIF(Avaliação!$AG:$AG,A219,Avaliação!$AF:$AF))</f>
        <v>0</v>
      </c>
    </row>
    <row r="220" spans="1:4">
      <c r="A220" s="157" t="s">
        <v>3627</v>
      </c>
      <c r="B220" s="195" t="s">
        <v>3628</v>
      </c>
      <c r="C220" s="775">
        <f>(SUMIF(Avaliação!$K:$K,A220,Avaliação!$J:$J))+(SUMIF(Avaliação!$O:$O,A220,Avaliação!$N:$N))+(SUMIF(Avaliação!$S:$S,A220,Avaliação!$R:$R))</f>
        <v>0</v>
      </c>
      <c r="D220" s="775">
        <f>(SUMIF(Avaliação!$AA:$AA,A220,Avaliação!$Z:$Z))+(SUMIF(Avaliação!$AD:$AD,A220,Avaliação!$AC:$AC))+(SUMIF(Avaliação!$AG:$AG,A220,Avaliação!$AF:$AF))</f>
        <v>0</v>
      </c>
    </row>
    <row r="221" spans="1:4">
      <c r="A221" s="157" t="s">
        <v>3629</v>
      </c>
      <c r="B221" s="195" t="s">
        <v>3630</v>
      </c>
      <c r="C221" s="775">
        <f>(SUMIF(Avaliação!$K:$K,A221,Avaliação!$J:$J))+(SUMIF(Avaliação!$O:$O,A221,Avaliação!$N:$N))+(SUMIF(Avaliação!$S:$S,A221,Avaliação!$R:$R))</f>
        <v>0</v>
      </c>
      <c r="D221" s="775">
        <f>(SUMIF(Avaliação!$AA:$AA,A221,Avaliação!$Z:$Z))+(SUMIF(Avaliação!$AD:$AD,A221,Avaliação!$AC:$AC))+(SUMIF(Avaliação!$AG:$AG,A221,Avaliação!$AF:$AF))</f>
        <v>0</v>
      </c>
    </row>
    <row r="222" spans="1:4">
      <c r="A222" s="157" t="s">
        <v>3631</v>
      </c>
      <c r="B222" s="195" t="s">
        <v>3632</v>
      </c>
      <c r="C222" s="775">
        <f>(SUMIF(Avaliação!$K:$K,A222,Avaliação!$J:$J))+(SUMIF(Avaliação!$O:$O,A222,Avaliação!$N:$N))+(SUMIF(Avaliação!$S:$S,A222,Avaliação!$R:$R))</f>
        <v>0</v>
      </c>
      <c r="D222" s="775">
        <f>(SUMIF(Avaliação!$AA:$AA,A222,Avaliação!$Z:$Z))+(SUMIF(Avaliação!$AD:$AD,A222,Avaliação!$AC:$AC))+(SUMIF(Avaliação!$AG:$AG,A222,Avaliação!$AF:$AF))</f>
        <v>0</v>
      </c>
    </row>
    <row r="223" spans="1:4">
      <c r="A223" s="157" t="s">
        <v>3633</v>
      </c>
      <c r="B223" s="195" t="s">
        <v>3634</v>
      </c>
      <c r="C223" s="775">
        <f>(SUMIF(Avaliação!$K:$K,A223,Avaliação!$J:$J))+(SUMIF(Avaliação!$O:$O,A223,Avaliação!$N:$N))+(SUMIF(Avaliação!$S:$S,A223,Avaliação!$R:$R))</f>
        <v>0</v>
      </c>
      <c r="D223" s="775">
        <f>(SUMIF(Avaliação!$AA:$AA,A223,Avaliação!$Z:$Z))+(SUMIF(Avaliação!$AD:$AD,A223,Avaliação!$AC:$AC))+(SUMIF(Avaliação!$AG:$AG,A223,Avaliação!$AF:$AF))</f>
        <v>0</v>
      </c>
    </row>
    <row r="224" spans="1:4">
      <c r="A224" s="157" t="s">
        <v>3635</v>
      </c>
      <c r="B224" s="195" t="s">
        <v>3636</v>
      </c>
      <c r="C224" s="775">
        <f>(SUMIF(Avaliação!$K:$K,A224,Avaliação!$J:$J))+(SUMIF(Avaliação!$O:$O,A224,Avaliação!$N:$N))+(SUMIF(Avaliação!$S:$S,A224,Avaliação!$R:$R))</f>
        <v>0</v>
      </c>
      <c r="D224" s="775">
        <f>(SUMIF(Avaliação!$AA:$AA,A224,Avaliação!$Z:$Z))+(SUMIF(Avaliação!$AD:$AD,A224,Avaliação!$AC:$AC))+(SUMIF(Avaliação!$AG:$AG,A224,Avaliação!$AF:$AF))</f>
        <v>0</v>
      </c>
    </row>
    <row r="225" spans="1:4">
      <c r="A225" s="157" t="s">
        <v>3637</v>
      </c>
      <c r="B225" s="195" t="s">
        <v>3638</v>
      </c>
      <c r="C225" s="775">
        <f>(SUMIF(Avaliação!$K:$K,A225,Avaliação!$J:$J))+(SUMIF(Avaliação!$O:$O,A225,Avaliação!$N:$N))+(SUMIF(Avaliação!$S:$S,A225,Avaliação!$R:$R))</f>
        <v>0</v>
      </c>
      <c r="D225" s="775">
        <f>(SUMIF(Avaliação!$AA:$AA,A225,Avaliação!$Z:$Z))+(SUMIF(Avaliação!$AD:$AD,A225,Avaliação!$AC:$AC))+(SUMIF(Avaliação!$AG:$AG,A225,Avaliação!$AF:$AF))</f>
        <v>0</v>
      </c>
    </row>
    <row r="226" spans="1:4">
      <c r="A226" s="157" t="s">
        <v>3639</v>
      </c>
      <c r="B226" s="195" t="s">
        <v>3640</v>
      </c>
      <c r="C226" s="775">
        <f>(SUMIF(Avaliação!$K:$K,A226,Avaliação!$J:$J))+(SUMIF(Avaliação!$O:$O,A226,Avaliação!$N:$N))+(SUMIF(Avaliação!$S:$S,A226,Avaliação!$R:$R))</f>
        <v>0</v>
      </c>
      <c r="D226" s="775">
        <f>(SUMIF(Avaliação!$AA:$AA,A226,Avaliação!$Z:$Z))+(SUMIF(Avaliação!$AD:$AD,A226,Avaliação!$AC:$AC))+(SUMIF(Avaliação!$AG:$AG,A226,Avaliação!$AF:$AF))</f>
        <v>0</v>
      </c>
    </row>
    <row r="227" spans="1:4">
      <c r="A227" s="157" t="s">
        <v>3641</v>
      </c>
      <c r="B227" s="195" t="s">
        <v>3642</v>
      </c>
      <c r="C227" s="775">
        <f>(SUMIF(Avaliação!$K:$K,A227,Avaliação!$J:$J))+(SUMIF(Avaliação!$O:$O,A227,Avaliação!$N:$N))+(SUMIF(Avaliação!$S:$S,A227,Avaliação!$R:$R))</f>
        <v>0</v>
      </c>
      <c r="D227" s="775">
        <f>(SUMIF(Avaliação!$AA:$AA,A227,Avaliação!$Z:$Z))+(SUMIF(Avaliação!$AD:$AD,A227,Avaliação!$AC:$AC))+(SUMIF(Avaliação!$AG:$AG,A227,Avaliação!$AF:$AF))</f>
        <v>0</v>
      </c>
    </row>
    <row r="228" spans="1:4">
      <c r="A228" s="157" t="s">
        <v>3643</v>
      </c>
      <c r="B228" s="195" t="s">
        <v>3644</v>
      </c>
      <c r="C228" s="775">
        <f>(SUMIF(Avaliação!$K:$K,A228,Avaliação!$J:$J))+(SUMIF(Avaliação!$O:$O,A228,Avaliação!$N:$N))+(SUMIF(Avaliação!$S:$S,A228,Avaliação!$R:$R))</f>
        <v>0</v>
      </c>
      <c r="D228" s="775">
        <f>(SUMIF(Avaliação!$AA:$AA,A228,Avaliação!$Z:$Z))+(SUMIF(Avaliação!$AD:$AD,A228,Avaliação!$AC:$AC))+(SUMIF(Avaliação!$AG:$AG,A228,Avaliação!$AF:$AF))</f>
        <v>0</v>
      </c>
    </row>
    <row r="229" spans="1:4">
      <c r="A229" s="157" t="s">
        <v>3645</v>
      </c>
      <c r="B229" s="195" t="s">
        <v>3646</v>
      </c>
      <c r="C229" s="775">
        <f>(SUMIF(Avaliação!$K:$K,A229,Avaliação!$J:$J))+(SUMIF(Avaliação!$O:$O,A229,Avaliação!$N:$N))+(SUMIF(Avaliação!$S:$S,A229,Avaliação!$R:$R))</f>
        <v>0</v>
      </c>
      <c r="D229" s="775">
        <f>(SUMIF(Avaliação!$AA:$AA,A229,Avaliação!$Z:$Z))+(SUMIF(Avaliação!$AD:$AD,A229,Avaliação!$AC:$AC))+(SUMIF(Avaliação!$AG:$AG,A229,Avaliação!$AF:$AF))</f>
        <v>0</v>
      </c>
    </row>
    <row r="230" spans="1:4">
      <c r="A230" s="157" t="s">
        <v>3647</v>
      </c>
      <c r="B230" s="195" t="s">
        <v>3648</v>
      </c>
      <c r="C230" s="775">
        <f>(SUMIF(Avaliação!$K:$K,A230,Avaliação!$J:$J))+(SUMIF(Avaliação!$O:$O,A230,Avaliação!$N:$N))+(SUMIF(Avaliação!$S:$S,A230,Avaliação!$R:$R))</f>
        <v>0</v>
      </c>
      <c r="D230" s="775">
        <f>(SUMIF(Avaliação!$AA:$AA,A230,Avaliação!$Z:$Z))+(SUMIF(Avaliação!$AD:$AD,A230,Avaliação!$AC:$AC))+(SUMIF(Avaliação!$AG:$AG,A230,Avaliação!$AF:$AF))</f>
        <v>0</v>
      </c>
    </row>
    <row r="231" spans="1:4">
      <c r="A231" s="157" t="s">
        <v>3649</v>
      </c>
      <c r="B231" s="195" t="s">
        <v>3650</v>
      </c>
      <c r="C231" s="775">
        <f>(SUMIF(Avaliação!$K:$K,A231,Avaliação!$J:$J))+(SUMIF(Avaliação!$O:$O,A231,Avaliação!$N:$N))+(SUMIF(Avaliação!$S:$S,A231,Avaliação!$R:$R))</f>
        <v>0</v>
      </c>
      <c r="D231" s="775">
        <f>(SUMIF(Avaliação!$AA:$AA,A231,Avaliação!$Z:$Z))+(SUMIF(Avaliação!$AD:$AD,A231,Avaliação!$AC:$AC))+(SUMIF(Avaliação!$AG:$AG,A231,Avaliação!$AF:$AF))</f>
        <v>0</v>
      </c>
    </row>
    <row r="232" spans="1:4">
      <c r="A232" s="157" t="s">
        <v>3651</v>
      </c>
      <c r="B232" s="195" t="s">
        <v>3652</v>
      </c>
      <c r="C232" s="775">
        <f>(SUMIF(Avaliação!$K:$K,A232,Avaliação!$J:$J))+(SUMIF(Avaliação!$O:$O,A232,Avaliação!$N:$N))+(SUMIF(Avaliação!$S:$S,A232,Avaliação!$R:$R))</f>
        <v>0</v>
      </c>
      <c r="D232" s="775">
        <f>(SUMIF(Avaliação!$AA:$AA,A232,Avaliação!$Z:$Z))+(SUMIF(Avaliação!$AD:$AD,A232,Avaliação!$AC:$AC))+(SUMIF(Avaliação!$AG:$AG,A232,Avaliação!$AF:$AF))</f>
        <v>0</v>
      </c>
    </row>
    <row r="233" spans="1:4">
      <c r="A233" s="157" t="s">
        <v>3653</v>
      </c>
      <c r="B233" s="195" t="s">
        <v>3654</v>
      </c>
      <c r="C233" s="775">
        <f>(SUMIF(Avaliação!$K:$K,A233,Avaliação!$J:$J))+(SUMIF(Avaliação!$O:$O,A233,Avaliação!$N:$N))+(SUMIF(Avaliação!$S:$S,A233,Avaliação!$R:$R))</f>
        <v>0</v>
      </c>
      <c r="D233" s="775">
        <f>(SUMIF(Avaliação!$AA:$AA,A233,Avaliação!$Z:$Z))+(SUMIF(Avaliação!$AD:$AD,A233,Avaliação!$AC:$AC))+(SUMIF(Avaliação!$AG:$AG,A233,Avaliação!$AF:$AF))</f>
        <v>0</v>
      </c>
    </row>
    <row r="234" spans="1:4">
      <c r="A234" s="157" t="s">
        <v>3655</v>
      </c>
      <c r="B234" s="195" t="s">
        <v>3656</v>
      </c>
      <c r="C234" s="775">
        <f>(SUMIF(Avaliação!$K:$K,A234,Avaliação!$J:$J))+(SUMIF(Avaliação!$O:$O,A234,Avaliação!$N:$N))+(SUMIF(Avaliação!$S:$S,A234,Avaliação!$R:$R))</f>
        <v>0</v>
      </c>
      <c r="D234" s="775">
        <f>(SUMIF(Avaliação!$AA:$AA,A234,Avaliação!$Z:$Z))+(SUMIF(Avaliação!$AD:$AD,A234,Avaliação!$AC:$AC))+(SUMIF(Avaliação!$AG:$AG,A234,Avaliação!$AF:$AF))</f>
        <v>0</v>
      </c>
    </row>
    <row r="235" spans="1:4">
      <c r="A235" s="157" t="s">
        <v>3657</v>
      </c>
      <c r="B235" s="195" t="s">
        <v>3658</v>
      </c>
      <c r="C235" s="775">
        <f>(SUMIF(Avaliação!$K:$K,A235,Avaliação!$J:$J))+(SUMIF(Avaliação!$O:$O,A235,Avaliação!$N:$N))+(SUMIF(Avaliação!$S:$S,A235,Avaliação!$R:$R))</f>
        <v>0</v>
      </c>
      <c r="D235" s="775">
        <f>(SUMIF(Avaliação!$AA:$AA,A235,Avaliação!$Z:$Z))+(SUMIF(Avaliação!$AD:$AD,A235,Avaliação!$AC:$AC))+(SUMIF(Avaliação!$AG:$AG,A235,Avaliação!$AF:$AF))</f>
        <v>0</v>
      </c>
    </row>
    <row r="236" spans="1:4">
      <c r="A236" s="157" t="s">
        <v>3659</v>
      </c>
      <c r="B236" s="195" t="s">
        <v>3660</v>
      </c>
      <c r="C236" s="775">
        <f>(SUMIF(Avaliação!$K:$K,A236,Avaliação!$J:$J))+(SUMIF(Avaliação!$O:$O,A236,Avaliação!$N:$N))+(SUMIF(Avaliação!$S:$S,A236,Avaliação!$R:$R))</f>
        <v>0</v>
      </c>
      <c r="D236" s="775">
        <f>(SUMIF(Avaliação!$AA:$AA,A236,Avaliação!$Z:$Z))+(SUMIF(Avaliação!$AD:$AD,A236,Avaliação!$AC:$AC))+(SUMIF(Avaliação!$AG:$AG,A236,Avaliação!$AF:$AF))</f>
        <v>0</v>
      </c>
    </row>
    <row r="237" spans="1:4">
      <c r="A237" s="157" t="s">
        <v>3661</v>
      </c>
      <c r="B237" s="195" t="s">
        <v>3662</v>
      </c>
      <c r="C237" s="775">
        <f>(SUMIF(Avaliação!$K:$K,A237,Avaliação!$J:$J))+(SUMIF(Avaliação!$O:$O,A237,Avaliação!$N:$N))+(SUMIF(Avaliação!$S:$S,A237,Avaliação!$R:$R))</f>
        <v>0</v>
      </c>
      <c r="D237" s="775">
        <f>(SUMIF(Avaliação!$AA:$AA,A237,Avaliação!$Z:$Z))+(SUMIF(Avaliação!$AD:$AD,A237,Avaliação!$AC:$AC))+(SUMIF(Avaliação!$AG:$AG,A237,Avaliação!$AF:$AF))</f>
        <v>0</v>
      </c>
    </row>
    <row r="238" spans="1:4">
      <c r="A238" s="157" t="s">
        <v>3663</v>
      </c>
      <c r="B238" s="195" t="s">
        <v>3664</v>
      </c>
      <c r="C238" s="775">
        <f>(SUMIF(Avaliação!$K:$K,A238,Avaliação!$J:$J))+(SUMIF(Avaliação!$O:$O,A238,Avaliação!$N:$N))+(SUMIF(Avaliação!$S:$S,A238,Avaliação!$R:$R))</f>
        <v>0</v>
      </c>
      <c r="D238" s="775">
        <f>(SUMIF(Avaliação!$AA:$AA,A238,Avaliação!$Z:$Z))+(SUMIF(Avaliação!$AD:$AD,A238,Avaliação!$AC:$AC))+(SUMIF(Avaliação!$AG:$AG,A238,Avaliação!$AF:$AF))</f>
        <v>0</v>
      </c>
    </row>
    <row r="239" spans="1:4">
      <c r="A239" s="157" t="s">
        <v>3665</v>
      </c>
      <c r="B239" s="195" t="s">
        <v>3666</v>
      </c>
      <c r="C239" s="775">
        <f>(SUMIF(Avaliação!$K:$K,A239,Avaliação!$J:$J))+(SUMIF(Avaliação!$O:$O,A239,Avaliação!$N:$N))+(SUMIF(Avaliação!$S:$S,A239,Avaliação!$R:$R))</f>
        <v>0</v>
      </c>
      <c r="D239" s="775">
        <f>(SUMIF(Avaliação!$AA:$AA,A239,Avaliação!$Z:$Z))+(SUMIF(Avaliação!$AD:$AD,A239,Avaliação!$AC:$AC))+(SUMIF(Avaliação!$AG:$AG,A239,Avaliação!$AF:$AF))</f>
        <v>0</v>
      </c>
    </row>
    <row r="240" spans="1:4">
      <c r="A240" s="857" t="s">
        <v>3667</v>
      </c>
      <c r="B240" s="858" t="s">
        <v>3668</v>
      </c>
      <c r="C240" s="775">
        <f>(SUMIF(Avaliação!$K:$K,A240,Avaliação!$J:$J))+(SUMIF(Avaliação!$O:$O,A240,Avaliação!$N:$N))+(SUMIF(Avaliação!$S:$S,A240,Avaliação!$R:$R))</f>
        <v>2</v>
      </c>
      <c r="D240" s="859">
        <f>(SUMIF(Avaliação!$AA:$AA,A240,Avaliação!$Z:$Z))+(SUMIF(Avaliação!$AD:$AD,A240,Avaliação!$AC:$AC))+(SUMIF(Avaliação!$AG:$AG,A240,Avaliação!$AF:$AF))</f>
        <v>0</v>
      </c>
    </row>
    <row r="241" spans="1:4">
      <c r="A241" s="157" t="s">
        <v>3669</v>
      </c>
      <c r="B241" s="195" t="s">
        <v>3670</v>
      </c>
      <c r="C241" s="775">
        <f>(SUMIF(Avaliação!$K:$K,A241,Avaliação!$J:$J))+(SUMIF(Avaliação!$O:$O,A241,Avaliação!$N:$N))+(SUMIF(Avaliação!$S:$S,A241,Avaliação!$R:$R))</f>
        <v>0</v>
      </c>
      <c r="D241" s="775">
        <f>(SUMIF(Avaliação!$AA:$AA,A241,Avaliação!$Z:$Z))+(SUMIF(Avaliação!$AD:$AD,A241,Avaliação!$AC:$AC))+(SUMIF(Avaliação!$AG:$AG,A241,Avaliação!$AF:$AF))</f>
        <v>0</v>
      </c>
    </row>
    <row r="242" spans="1:4">
      <c r="A242" s="157" t="s">
        <v>3671</v>
      </c>
      <c r="B242" s="195" t="s">
        <v>3672</v>
      </c>
      <c r="C242" s="775">
        <f>(SUMIF(Avaliação!$K:$K,A242,Avaliação!$J:$J))+(SUMIF(Avaliação!$O:$O,A242,Avaliação!$N:$N))+(SUMIF(Avaliação!$S:$S,A242,Avaliação!$R:$R))</f>
        <v>0</v>
      </c>
      <c r="D242" s="775">
        <f>(SUMIF(Avaliação!$AA:$AA,A242,Avaliação!$Z:$Z))+(SUMIF(Avaliação!$AD:$AD,A242,Avaliação!$AC:$AC))+(SUMIF(Avaliação!$AG:$AG,A242,Avaliação!$AF:$AF))</f>
        <v>0</v>
      </c>
    </row>
    <row r="243" spans="1:4">
      <c r="A243" s="857" t="s">
        <v>3673</v>
      </c>
      <c r="B243" s="858" t="s">
        <v>3674</v>
      </c>
      <c r="C243" s="775">
        <f>(SUMIF(Avaliação!$K:$K,A243,Avaliação!$J:$J))+(SUMIF(Avaliação!$O:$O,A243,Avaliação!$N:$N))+(SUMIF(Avaliação!$S:$S,A243,Avaliação!$R:$R))</f>
        <v>0</v>
      </c>
      <c r="D243" s="859">
        <f>(SUMIF(Avaliação!$AA:$AA,A243,Avaliação!$Z:$Z))+(SUMIF(Avaliação!$AD:$AD,A243,Avaliação!$AC:$AC))+(SUMIF(Avaliação!$AG:$AG,A243,Avaliação!$AF:$AF))</f>
        <v>0</v>
      </c>
    </row>
    <row r="244" spans="1:4">
      <c r="A244" s="157" t="s">
        <v>3675</v>
      </c>
      <c r="B244" s="195" t="s">
        <v>3676</v>
      </c>
      <c r="C244" s="775">
        <f>(SUMIF(Avaliação!$K:$K,A244,Avaliação!$J:$J))+(SUMIF(Avaliação!$O:$O,A244,Avaliação!$N:$N))+(SUMIF(Avaliação!$S:$S,A244,Avaliação!$R:$R))</f>
        <v>0</v>
      </c>
      <c r="D244" s="775">
        <f>(SUMIF(Avaliação!$AA:$AA,A244,Avaliação!$Z:$Z))+(SUMIF(Avaliação!$AD:$AD,A244,Avaliação!$AC:$AC))+(SUMIF(Avaliação!$AG:$AG,A244,Avaliação!$AF:$AF))</f>
        <v>0</v>
      </c>
    </row>
    <row r="245" spans="1:4">
      <c r="A245" s="157" t="s">
        <v>3677</v>
      </c>
      <c r="B245" s="195" t="s">
        <v>3678</v>
      </c>
      <c r="C245" s="775">
        <f>(SUMIF(Avaliação!$K:$K,A245,Avaliação!$J:$J))+(SUMIF(Avaliação!$O:$O,A245,Avaliação!$N:$N))+(SUMIF(Avaliação!$S:$S,A245,Avaliação!$R:$R))</f>
        <v>0</v>
      </c>
      <c r="D245" s="775">
        <f>(SUMIF(Avaliação!$AA:$AA,A245,Avaliação!$Z:$Z))+(SUMIF(Avaliação!$AD:$AD,A245,Avaliação!$AC:$AC))+(SUMIF(Avaliação!$AG:$AG,A245,Avaliação!$AF:$AF))</f>
        <v>0</v>
      </c>
    </row>
    <row r="246" spans="1:4">
      <c r="A246" s="857" t="s">
        <v>3679</v>
      </c>
      <c r="B246" s="858" t="s">
        <v>3680</v>
      </c>
      <c r="C246" s="775">
        <f>(SUMIF(Avaliação!$K:$K,A246,Avaliação!$J:$J))+(SUMIF(Avaliação!$O:$O,A246,Avaliação!$N:$N))+(SUMIF(Avaliação!$S:$S,A246,Avaliação!$R:$R))</f>
        <v>11</v>
      </c>
      <c r="D246" s="859">
        <f>(SUMIF(Avaliação!$AA:$AA,A246,Avaliação!$Z:$Z))+(SUMIF(Avaliação!$AD:$AD,A246,Avaliação!$AC:$AC))+(SUMIF(Avaliação!$AG:$AG,A246,Avaliação!$AF:$AF))</f>
        <v>0</v>
      </c>
    </row>
    <row r="247" spans="1:4">
      <c r="A247" s="157" t="s">
        <v>3681</v>
      </c>
      <c r="B247" s="195" t="s">
        <v>3682</v>
      </c>
      <c r="C247" s="775">
        <f>(SUMIF(Avaliação!$K:$K,A247,Avaliação!$J:$J))+(SUMIF(Avaliação!$O:$O,A247,Avaliação!$N:$N))+(SUMIF(Avaliação!$S:$S,A247,Avaliação!$R:$R))</f>
        <v>0</v>
      </c>
      <c r="D247" s="775">
        <f>(SUMIF(Avaliação!$AA:$AA,A247,Avaliação!$Z:$Z))+(SUMIF(Avaliação!$AD:$AD,A247,Avaliação!$AC:$AC))+(SUMIF(Avaliação!$AG:$AG,A247,Avaliação!$AF:$AF))</f>
        <v>0</v>
      </c>
    </row>
    <row r="248" spans="1:4">
      <c r="A248" s="157" t="s">
        <v>3683</v>
      </c>
      <c r="B248" s="195" t="s">
        <v>3684</v>
      </c>
      <c r="C248" s="775">
        <f>(SUMIF(Avaliação!$K:$K,A248,Avaliação!$J:$J))+(SUMIF(Avaliação!$O:$O,A248,Avaliação!$N:$N))+(SUMIF(Avaliação!$S:$S,A248,Avaliação!$R:$R))</f>
        <v>0</v>
      </c>
      <c r="D248" s="775">
        <f>(SUMIF(Avaliação!$AA:$AA,A248,Avaliação!$Z:$Z))+(SUMIF(Avaliação!$AD:$AD,A248,Avaliação!$AC:$AC))+(SUMIF(Avaliação!$AG:$AG,A248,Avaliação!$AF:$AF))</f>
        <v>0</v>
      </c>
    </row>
    <row r="249" spans="1:4">
      <c r="A249" s="157" t="s">
        <v>3685</v>
      </c>
      <c r="B249" s="195" t="s">
        <v>3686</v>
      </c>
      <c r="C249" s="775">
        <f>(SUMIF(Avaliação!$K:$K,A249,Avaliação!$J:$J))+(SUMIF(Avaliação!$O:$O,A249,Avaliação!$N:$N))+(SUMIF(Avaliação!$S:$S,A249,Avaliação!$R:$R))</f>
        <v>0</v>
      </c>
      <c r="D249" s="775">
        <f>(SUMIF(Avaliação!$AA:$AA,A249,Avaliação!$Z:$Z))+(SUMIF(Avaliação!$AD:$AD,A249,Avaliação!$AC:$AC))+(SUMIF(Avaliação!$AG:$AG,A249,Avaliação!$AF:$AF))</f>
        <v>0</v>
      </c>
    </row>
    <row r="250" spans="1:4">
      <c r="A250" s="157" t="s">
        <v>3687</v>
      </c>
      <c r="B250" s="195" t="s">
        <v>3688</v>
      </c>
      <c r="C250" s="775">
        <f>(SUMIF(Avaliação!$K:$K,A250,Avaliação!$J:$J))+(SUMIF(Avaliação!$O:$O,A250,Avaliação!$N:$N))+(SUMIF(Avaliação!$S:$S,A250,Avaliação!$R:$R))</f>
        <v>0</v>
      </c>
      <c r="D250" s="775">
        <f>(SUMIF(Avaliação!$AA:$AA,A250,Avaliação!$Z:$Z))+(SUMIF(Avaliação!$AD:$AD,A250,Avaliação!$AC:$AC))+(SUMIF(Avaliação!$AG:$AG,A250,Avaliação!$AF:$AF))</f>
        <v>0</v>
      </c>
    </row>
    <row r="251" spans="1:4">
      <c r="A251" s="157" t="s">
        <v>3689</v>
      </c>
      <c r="B251" s="195" t="s">
        <v>3690</v>
      </c>
      <c r="C251" s="775">
        <f>(SUMIF(Avaliação!$K:$K,A251,Avaliação!$J:$J))+(SUMIF(Avaliação!$O:$O,A251,Avaliação!$N:$N))+(SUMIF(Avaliação!$S:$S,A251,Avaliação!$R:$R))</f>
        <v>0</v>
      </c>
      <c r="D251" s="775">
        <f>(SUMIF(Avaliação!$AA:$AA,A251,Avaliação!$Z:$Z))+(SUMIF(Avaliação!$AD:$AD,A251,Avaliação!$AC:$AC))+(SUMIF(Avaliação!$AG:$AG,A251,Avaliação!$AF:$AF))</f>
        <v>0</v>
      </c>
    </row>
    <row r="252" spans="1:4">
      <c r="A252" s="157" t="s">
        <v>3691</v>
      </c>
      <c r="B252" s="195" t="s">
        <v>3692</v>
      </c>
      <c r="C252" s="775">
        <f>(SUMIF(Avaliação!$K:$K,A252,Avaliação!$J:$J))+(SUMIF(Avaliação!$O:$O,A252,Avaliação!$N:$N))+(SUMIF(Avaliação!$S:$S,A252,Avaliação!$R:$R))</f>
        <v>0</v>
      </c>
      <c r="D252" s="775">
        <f>(SUMIF(Avaliação!$AA:$AA,A252,Avaliação!$Z:$Z))+(SUMIF(Avaliação!$AD:$AD,A252,Avaliação!$AC:$AC))+(SUMIF(Avaliação!$AG:$AG,A252,Avaliação!$AF:$AF))</f>
        <v>0</v>
      </c>
    </row>
    <row r="253" spans="1:4">
      <c r="A253" s="857" t="s">
        <v>3693</v>
      </c>
      <c r="B253" s="858" t="s">
        <v>3694</v>
      </c>
      <c r="C253" s="775">
        <f>(SUMIF(Avaliação!$K:$K,A253,Avaliação!$J:$J))+(SUMIF(Avaliação!$O:$O,A253,Avaliação!$N:$N))+(SUMIF(Avaliação!$S:$S,A253,Avaliação!$R:$R))</f>
        <v>2</v>
      </c>
      <c r="D253" s="859">
        <f>(SUMIF(Avaliação!$AA:$AA,A253,Avaliação!$Z:$Z))+(SUMIF(Avaliação!$AD:$AD,A253,Avaliação!$AC:$AC))+(SUMIF(Avaliação!$AG:$AG,A253,Avaliação!$AF:$AF))</f>
        <v>0</v>
      </c>
    </row>
    <row r="254" spans="1:4">
      <c r="A254" s="157" t="s">
        <v>3695</v>
      </c>
      <c r="B254" s="195" t="s">
        <v>3696</v>
      </c>
      <c r="C254" s="775">
        <f>(SUMIF(Avaliação!$K:$K,A254,Avaliação!$J:$J))+(SUMIF(Avaliação!$O:$O,A254,Avaliação!$N:$N))+(SUMIF(Avaliação!$S:$S,A254,Avaliação!$R:$R))</f>
        <v>0</v>
      </c>
      <c r="D254" s="775">
        <f>(SUMIF(Avaliação!$AA:$AA,A254,Avaliação!$Z:$Z))+(SUMIF(Avaliação!$AD:$AD,A254,Avaliação!$AC:$AC))+(SUMIF(Avaliação!$AG:$AG,A254,Avaliação!$AF:$AF))</f>
        <v>0</v>
      </c>
    </row>
    <row r="255" spans="1:4">
      <c r="A255" s="857" t="s">
        <v>3697</v>
      </c>
      <c r="B255" s="858" t="s">
        <v>3698</v>
      </c>
      <c r="C255" s="775">
        <f>(SUMIF(Avaliação!$K:$K,A255,Avaliação!$J:$J))+(SUMIF(Avaliação!$O:$O,A255,Avaliação!$N:$N))+(SUMIF(Avaliação!$S:$S,A255,Avaliação!$R:$R))</f>
        <v>2</v>
      </c>
      <c r="D255" s="859">
        <f>(SUMIF(Avaliação!$AA:$AA,A255,Avaliação!$Z:$Z))+(SUMIF(Avaliação!$AD:$AD,A255,Avaliação!$AC:$AC))+(SUMIF(Avaliação!$AG:$AG,A255,Avaliação!$AF:$AF))</f>
        <v>0</v>
      </c>
    </row>
    <row r="256" spans="1:4">
      <c r="A256" s="157" t="s">
        <v>3699</v>
      </c>
      <c r="B256" s="195" t="s">
        <v>3700</v>
      </c>
      <c r="C256" s="775">
        <f>(SUMIF(Avaliação!$K:$K,A256,Avaliação!$J:$J))+(SUMIF(Avaliação!$O:$O,A256,Avaliação!$N:$N))+(SUMIF(Avaliação!$S:$S,A256,Avaliação!$R:$R))</f>
        <v>0</v>
      </c>
      <c r="D256" s="775">
        <f>(SUMIF(Avaliação!$AA:$AA,A256,Avaliação!$Z:$Z))+(SUMIF(Avaliação!$AD:$AD,A256,Avaliação!$AC:$AC))+(SUMIF(Avaliação!$AG:$AG,A256,Avaliação!$AF:$AF))</f>
        <v>0</v>
      </c>
    </row>
    <row r="257" spans="1:4">
      <c r="A257" s="157" t="s">
        <v>3701</v>
      </c>
      <c r="B257" s="195" t="s">
        <v>3702</v>
      </c>
      <c r="C257" s="775">
        <f>(SUMIF(Avaliação!$K:$K,A257,Avaliação!$J:$J))+(SUMIF(Avaliação!$O:$O,A257,Avaliação!$N:$N))+(SUMIF(Avaliação!$S:$S,A257,Avaliação!$R:$R))</f>
        <v>0</v>
      </c>
      <c r="D257" s="775">
        <f>(SUMIF(Avaliação!$AA:$AA,A257,Avaliação!$Z:$Z))+(SUMIF(Avaliação!$AD:$AD,A257,Avaliação!$AC:$AC))+(SUMIF(Avaliação!$AG:$AG,A257,Avaliação!$AF:$AF))</f>
        <v>0</v>
      </c>
    </row>
    <row r="258" spans="1:4">
      <c r="A258" s="157" t="s">
        <v>3703</v>
      </c>
      <c r="B258" s="195" t="s">
        <v>3704</v>
      </c>
      <c r="C258" s="775">
        <f>(SUMIF(Avaliação!$K:$K,A258,Avaliação!$J:$J))+(SUMIF(Avaliação!$O:$O,A258,Avaliação!$N:$N))+(SUMIF(Avaliação!$S:$S,A258,Avaliação!$R:$R))</f>
        <v>0</v>
      </c>
      <c r="D258" s="775">
        <f>(SUMIF(Avaliação!$AA:$AA,A258,Avaliação!$Z:$Z))+(SUMIF(Avaliação!$AD:$AD,A258,Avaliação!$AC:$AC))+(SUMIF(Avaliação!$AG:$AG,A258,Avaliação!$AF:$AF))</f>
        <v>0</v>
      </c>
    </row>
    <row r="259" spans="1:4">
      <c r="A259" s="157" t="s">
        <v>3705</v>
      </c>
      <c r="B259" s="195" t="s">
        <v>3706</v>
      </c>
      <c r="C259" s="775">
        <f>(SUMIF(Avaliação!$K:$K,A259,Avaliação!$J:$J))+(SUMIF(Avaliação!$O:$O,A259,Avaliação!$N:$N))+(SUMIF(Avaliação!$S:$S,A259,Avaliação!$R:$R))</f>
        <v>0</v>
      </c>
      <c r="D259" s="775">
        <f>(SUMIF(Avaliação!$AA:$AA,A259,Avaliação!$Z:$Z))+(SUMIF(Avaliação!$AD:$AD,A259,Avaliação!$AC:$AC))+(SUMIF(Avaliação!$AG:$AG,A259,Avaliação!$AF:$AF))</f>
        <v>0</v>
      </c>
    </row>
    <row r="260" spans="1:4">
      <c r="A260" s="857" t="s">
        <v>3707</v>
      </c>
      <c r="B260" s="858" t="s">
        <v>3708</v>
      </c>
      <c r="C260" s="775">
        <f>(SUMIF(Avaliação!$K:$K,A260,Avaliação!$J:$J))+(SUMIF(Avaliação!$O:$O,A260,Avaliação!$N:$N))+(SUMIF(Avaliação!$S:$S,A260,Avaliação!$R:$R))</f>
        <v>1</v>
      </c>
      <c r="D260" s="859">
        <f>(SUMIF(Avaliação!$AA:$AA,A260,Avaliação!$Z:$Z))+(SUMIF(Avaliação!$AD:$AD,A260,Avaliação!$AC:$AC))+(SUMIF(Avaliação!$AG:$AG,A260,Avaliação!$AF:$AF))</f>
        <v>0</v>
      </c>
    </row>
    <row r="261" spans="1:4">
      <c r="A261" s="157" t="s">
        <v>3709</v>
      </c>
      <c r="B261" s="195" t="s">
        <v>3710</v>
      </c>
      <c r="C261" s="775">
        <f>(SUMIF(Avaliação!$K:$K,A261,Avaliação!$J:$J))+(SUMIF(Avaliação!$O:$O,A261,Avaliação!$N:$N))+(SUMIF(Avaliação!$S:$S,A261,Avaliação!$R:$R))</f>
        <v>0</v>
      </c>
      <c r="D261" s="775">
        <f>(SUMIF(Avaliação!$AA:$AA,A261,Avaliação!$Z:$Z))+(SUMIF(Avaliação!$AD:$AD,A261,Avaliação!$AC:$AC))+(SUMIF(Avaliação!$AG:$AG,A261,Avaliação!$AF:$AF))</f>
        <v>0</v>
      </c>
    </row>
    <row r="262" spans="1:4">
      <c r="A262" s="157" t="s">
        <v>3711</v>
      </c>
      <c r="B262" s="195" t="s">
        <v>3712</v>
      </c>
      <c r="C262" s="775">
        <f>(SUMIF(Avaliação!$K:$K,A262,Avaliação!$J:$J))+(SUMIF(Avaliação!$O:$O,A262,Avaliação!$N:$N))+(SUMIF(Avaliação!$S:$S,A262,Avaliação!$R:$R))</f>
        <v>0</v>
      </c>
      <c r="D262" s="775">
        <f>(SUMIF(Avaliação!$AA:$AA,A262,Avaliação!$Z:$Z))+(SUMIF(Avaliação!$AD:$AD,A262,Avaliação!$AC:$AC))+(SUMIF(Avaliação!$AG:$AG,A262,Avaliação!$AF:$AF))</f>
        <v>0</v>
      </c>
    </row>
    <row r="263" spans="1:4">
      <c r="A263" s="857" t="s">
        <v>3713</v>
      </c>
      <c r="B263" s="858" t="s">
        <v>3714</v>
      </c>
      <c r="C263" s="775">
        <f>(SUMIF(Avaliação!$K:$K,A263,Avaliação!$J:$J))+(SUMIF(Avaliação!$O:$O,A263,Avaliação!$N:$N))+(SUMIF(Avaliação!$S:$S,A263,Avaliação!$R:$R))</f>
        <v>3</v>
      </c>
      <c r="D263" s="859">
        <f>(SUMIF(Avaliação!$AA:$AA,A263,Avaliação!$Z:$Z))+(SUMIF(Avaliação!$AD:$AD,A263,Avaliação!$AC:$AC))+(SUMIF(Avaliação!$AG:$AG,A263,Avaliação!$AF:$AF))</f>
        <v>0</v>
      </c>
    </row>
    <row r="264" spans="1:4">
      <c r="A264" s="157" t="s">
        <v>3715</v>
      </c>
      <c r="B264" s="195" t="s">
        <v>3716</v>
      </c>
      <c r="C264" s="775">
        <f>(SUMIF(Avaliação!$K:$K,A264,Avaliação!$J:$J))+(SUMIF(Avaliação!$O:$O,A264,Avaliação!$N:$N))+(SUMIF(Avaliação!$S:$S,A264,Avaliação!$R:$R))</f>
        <v>0</v>
      </c>
      <c r="D264" s="775">
        <f>(SUMIF(Avaliação!$AA:$AA,A264,Avaliação!$Z:$Z))+(SUMIF(Avaliação!$AD:$AD,A264,Avaliação!$AC:$AC))+(SUMIF(Avaliação!$AG:$AG,A264,Avaliação!$AF:$AF))</f>
        <v>0</v>
      </c>
    </row>
    <row r="265" spans="1:4">
      <c r="A265" s="157" t="s">
        <v>3717</v>
      </c>
      <c r="B265" s="195" t="s">
        <v>3718</v>
      </c>
      <c r="C265" s="775">
        <f>(SUMIF(Avaliação!$K:$K,A265,Avaliação!$J:$J))+(SUMIF(Avaliação!$O:$O,A265,Avaliação!$N:$N))+(SUMIF(Avaliação!$S:$S,A265,Avaliação!$R:$R))</f>
        <v>0</v>
      </c>
      <c r="D265" s="775">
        <f>(SUMIF(Avaliação!$AA:$AA,A265,Avaliação!$Z:$Z))+(SUMIF(Avaliação!$AD:$AD,A265,Avaliação!$AC:$AC))+(SUMIF(Avaliação!$AG:$AG,A265,Avaliação!$AF:$AF))</f>
        <v>0</v>
      </c>
    </row>
    <row r="266" spans="1:4">
      <c r="A266" s="157" t="s">
        <v>3719</v>
      </c>
      <c r="B266" s="195" t="s">
        <v>3720</v>
      </c>
      <c r="C266" s="775">
        <f>(SUMIF(Avaliação!$K:$K,A266,Avaliação!$J:$J))+(SUMIF(Avaliação!$O:$O,A266,Avaliação!$N:$N))+(SUMIF(Avaliação!$S:$S,A266,Avaliação!$R:$R))</f>
        <v>0</v>
      </c>
      <c r="D266" s="775">
        <f>(SUMIF(Avaliação!$AA:$AA,A266,Avaliação!$Z:$Z))+(SUMIF(Avaliação!$AD:$AD,A266,Avaliação!$AC:$AC))+(SUMIF(Avaliação!$AG:$AG,A266,Avaliação!$AF:$AF))</f>
        <v>0</v>
      </c>
    </row>
    <row r="267" spans="1:4">
      <c r="A267" s="157" t="s">
        <v>3721</v>
      </c>
      <c r="B267" s="195" t="s">
        <v>3722</v>
      </c>
      <c r="C267" s="775">
        <f>(SUMIF(Avaliação!$K:$K,A267,Avaliação!$J:$J))+(SUMIF(Avaliação!$O:$O,A267,Avaliação!$N:$N))+(SUMIF(Avaliação!$S:$S,A267,Avaliação!$R:$R))</f>
        <v>0</v>
      </c>
      <c r="D267" s="775">
        <f>(SUMIF(Avaliação!$AA:$AA,A267,Avaliação!$Z:$Z))+(SUMIF(Avaliação!$AD:$AD,A267,Avaliação!$AC:$AC))+(SUMIF(Avaliação!$AG:$AG,A267,Avaliação!$AF:$AF))</f>
        <v>0</v>
      </c>
    </row>
    <row r="268" spans="1:4">
      <c r="A268" s="157" t="s">
        <v>3723</v>
      </c>
      <c r="B268" s="195" t="s">
        <v>3724</v>
      </c>
      <c r="C268" s="775">
        <f>(SUMIF(Avaliação!$K:$K,A268,Avaliação!$J:$J))+(SUMIF(Avaliação!$O:$O,A268,Avaliação!$N:$N))+(SUMIF(Avaliação!$S:$S,A268,Avaliação!$R:$R))</f>
        <v>0</v>
      </c>
      <c r="D268" s="775">
        <f>(SUMIF(Avaliação!$AA:$AA,A268,Avaliação!$Z:$Z))+(SUMIF(Avaliação!$AD:$AD,A268,Avaliação!$AC:$AC))+(SUMIF(Avaliação!$AG:$AG,A268,Avaliação!$AF:$AF))</f>
        <v>0</v>
      </c>
    </row>
    <row r="269" spans="1:4">
      <c r="A269" s="157" t="s">
        <v>3725</v>
      </c>
      <c r="B269" s="195" t="s">
        <v>3726</v>
      </c>
      <c r="C269" s="775">
        <f>(SUMIF(Avaliação!$K:$K,A269,Avaliação!$J:$J))+(SUMIF(Avaliação!$O:$O,A269,Avaliação!$N:$N))+(SUMIF(Avaliação!$S:$S,A269,Avaliação!$R:$R))</f>
        <v>0</v>
      </c>
      <c r="D269" s="775">
        <f>(SUMIF(Avaliação!$AA:$AA,A269,Avaliação!$Z:$Z))+(SUMIF(Avaliação!$AD:$AD,A269,Avaliação!$AC:$AC))+(SUMIF(Avaliação!$AG:$AG,A269,Avaliação!$AF:$AF))</f>
        <v>0</v>
      </c>
    </row>
    <row r="270" spans="1:4">
      <c r="A270" s="157" t="s">
        <v>3727</v>
      </c>
      <c r="B270" s="195" t="s">
        <v>3728</v>
      </c>
      <c r="C270" s="775">
        <f>(SUMIF(Avaliação!$K:$K,A270,Avaliação!$J:$J))+(SUMIF(Avaliação!$O:$O,A270,Avaliação!$N:$N))+(SUMIF(Avaliação!$S:$S,A270,Avaliação!$R:$R))</f>
        <v>0</v>
      </c>
      <c r="D270" s="775">
        <f>(SUMIF(Avaliação!$AA:$AA,A270,Avaliação!$Z:$Z))+(SUMIF(Avaliação!$AD:$AD,A270,Avaliação!$AC:$AC))+(SUMIF(Avaliação!$AG:$AG,A270,Avaliação!$AF:$AF))</f>
        <v>0</v>
      </c>
    </row>
    <row r="271" spans="1:4">
      <c r="A271" s="157" t="s">
        <v>3729</v>
      </c>
      <c r="B271" s="195" t="s">
        <v>3730</v>
      </c>
      <c r="C271" s="775">
        <f>(SUMIF(Avaliação!$K:$K,A271,Avaliação!$J:$J))+(SUMIF(Avaliação!$O:$O,A271,Avaliação!$N:$N))+(SUMIF(Avaliação!$S:$S,A271,Avaliação!$R:$R))</f>
        <v>0</v>
      </c>
      <c r="D271" s="775">
        <f>(SUMIF(Avaliação!$AA:$AA,A271,Avaliação!$Z:$Z))+(SUMIF(Avaliação!$AD:$AD,A271,Avaliação!$AC:$AC))+(SUMIF(Avaliação!$AG:$AG,A271,Avaliação!$AF:$AF))</f>
        <v>0</v>
      </c>
    </row>
    <row r="272" spans="1:4">
      <c r="A272" s="157" t="s">
        <v>3731</v>
      </c>
      <c r="B272" s="195" t="s">
        <v>3732</v>
      </c>
      <c r="C272" s="775">
        <f>(SUMIF(Avaliação!$K:$K,A272,Avaliação!$J:$J))+(SUMIF(Avaliação!$O:$O,A272,Avaliação!$N:$N))+(SUMIF(Avaliação!$S:$S,A272,Avaliação!$R:$R))</f>
        <v>0</v>
      </c>
      <c r="D272" s="775">
        <f>(SUMIF(Avaliação!$AA:$AA,A272,Avaliação!$Z:$Z))+(SUMIF(Avaliação!$AD:$AD,A272,Avaliação!$AC:$AC))+(SUMIF(Avaliação!$AG:$AG,A272,Avaliação!$AF:$AF))</f>
        <v>0</v>
      </c>
    </row>
    <row r="273" spans="1:4">
      <c r="A273" s="157" t="s">
        <v>3733</v>
      </c>
      <c r="B273" s="195" t="s">
        <v>3734</v>
      </c>
      <c r="C273" s="775">
        <f>(SUMIF(Avaliação!$K:$K,A273,Avaliação!$J:$J))+(SUMIF(Avaliação!$O:$O,A273,Avaliação!$N:$N))+(SUMIF(Avaliação!$S:$S,A273,Avaliação!$R:$R))</f>
        <v>0</v>
      </c>
      <c r="D273" s="775">
        <f>(SUMIF(Avaliação!$AA:$AA,A273,Avaliação!$Z:$Z))+(SUMIF(Avaliação!$AD:$AD,A273,Avaliação!$AC:$AC))+(SUMIF(Avaliação!$AG:$AG,A273,Avaliação!$AF:$AF))</f>
        <v>0</v>
      </c>
    </row>
    <row r="274" spans="1:4">
      <c r="A274" s="157" t="s">
        <v>3735</v>
      </c>
      <c r="B274" s="195" t="s">
        <v>3736</v>
      </c>
      <c r="C274" s="775">
        <f>(SUMIF(Avaliação!$K:$K,A274,Avaliação!$J:$J))+(SUMIF(Avaliação!$O:$O,A274,Avaliação!$N:$N))+(SUMIF(Avaliação!$S:$S,A274,Avaliação!$R:$R))</f>
        <v>0</v>
      </c>
      <c r="D274" s="775">
        <f>(SUMIF(Avaliação!$AA:$AA,A274,Avaliação!$Z:$Z))+(SUMIF(Avaliação!$AD:$AD,A274,Avaliação!$AC:$AC))+(SUMIF(Avaliação!$AG:$AG,A274,Avaliação!$AF:$AF))</f>
        <v>0</v>
      </c>
    </row>
    <row r="275" spans="1:4">
      <c r="A275" s="157" t="s">
        <v>3737</v>
      </c>
      <c r="B275" s="195" t="s">
        <v>3738</v>
      </c>
      <c r="C275" s="775">
        <f>(SUMIF(Avaliação!$K:$K,A275,Avaliação!$J:$J))+(SUMIF(Avaliação!$O:$O,A275,Avaliação!$N:$N))+(SUMIF(Avaliação!$S:$S,A275,Avaliação!$R:$R))</f>
        <v>0</v>
      </c>
      <c r="D275" s="775">
        <f>(SUMIF(Avaliação!$AA:$AA,A275,Avaliação!$Z:$Z))+(SUMIF(Avaliação!$AD:$AD,A275,Avaliação!$AC:$AC))+(SUMIF(Avaliação!$AG:$AG,A275,Avaliação!$AF:$AF))</f>
        <v>0</v>
      </c>
    </row>
    <row r="276" spans="1:4">
      <c r="A276" s="157" t="s">
        <v>3739</v>
      </c>
      <c r="B276" s="195" t="s">
        <v>3740</v>
      </c>
      <c r="C276" s="775">
        <f>(SUMIF(Avaliação!$K:$K,A276,Avaliação!$J:$J))+(SUMIF(Avaliação!$O:$O,A276,Avaliação!$N:$N))+(SUMIF(Avaliação!$S:$S,A276,Avaliação!$R:$R))</f>
        <v>0</v>
      </c>
      <c r="D276" s="775">
        <f>(SUMIF(Avaliação!$AA:$AA,A276,Avaliação!$Z:$Z))+(SUMIF(Avaliação!$AD:$AD,A276,Avaliação!$AC:$AC))+(SUMIF(Avaliação!$AG:$AG,A276,Avaliação!$AF:$AF))</f>
        <v>0</v>
      </c>
    </row>
    <row r="277" spans="1:4">
      <c r="A277" s="157" t="s">
        <v>3741</v>
      </c>
      <c r="B277" s="195" t="s">
        <v>3742</v>
      </c>
      <c r="C277" s="775">
        <f>(SUMIF(Avaliação!$K:$K,A277,Avaliação!$J:$J))+(SUMIF(Avaliação!$O:$O,A277,Avaliação!$N:$N))+(SUMIF(Avaliação!$S:$S,A277,Avaliação!$R:$R))</f>
        <v>0</v>
      </c>
      <c r="D277" s="775">
        <f>(SUMIF(Avaliação!$AA:$AA,A277,Avaliação!$Z:$Z))+(SUMIF(Avaliação!$AD:$AD,A277,Avaliação!$AC:$AC))+(SUMIF(Avaliação!$AG:$AG,A277,Avaliação!$AF:$AF))</f>
        <v>0</v>
      </c>
    </row>
    <row r="278" spans="1:4">
      <c r="A278" s="157" t="s">
        <v>3743</v>
      </c>
      <c r="B278" s="195" t="s">
        <v>3744</v>
      </c>
      <c r="C278" s="775">
        <f>(SUMIF(Avaliação!$K:$K,A278,Avaliação!$J:$J))+(SUMIF(Avaliação!$O:$O,A278,Avaliação!$N:$N))+(SUMIF(Avaliação!$S:$S,A278,Avaliação!$R:$R))</f>
        <v>0</v>
      </c>
      <c r="D278" s="775">
        <f>(SUMIF(Avaliação!$AA:$AA,A278,Avaliação!$Z:$Z))+(SUMIF(Avaliação!$AD:$AD,A278,Avaliação!$AC:$AC))+(SUMIF(Avaliação!$AG:$AG,A278,Avaliação!$AF:$AF))</f>
        <v>0</v>
      </c>
    </row>
    <row r="279" spans="1:4">
      <c r="A279" s="157" t="s">
        <v>3745</v>
      </c>
      <c r="B279" s="195" t="s">
        <v>3746</v>
      </c>
      <c r="C279" s="775">
        <f>(SUMIF(Avaliação!$K:$K,A279,Avaliação!$J:$J))+(SUMIF(Avaliação!$O:$O,A279,Avaliação!$N:$N))+(SUMIF(Avaliação!$S:$S,A279,Avaliação!$R:$R))</f>
        <v>0</v>
      </c>
      <c r="D279" s="775">
        <f>(SUMIF(Avaliação!$AA:$AA,A279,Avaliação!$Z:$Z))+(SUMIF(Avaliação!$AD:$AD,A279,Avaliação!$AC:$AC))+(SUMIF(Avaliação!$AG:$AG,A279,Avaliação!$AF:$AF))</f>
        <v>0</v>
      </c>
    </row>
    <row r="280" spans="1:4">
      <c r="A280" s="857" t="s">
        <v>3747</v>
      </c>
      <c r="B280" s="858" t="s">
        <v>3748</v>
      </c>
      <c r="C280" s="775">
        <f>(SUMIF(Avaliação!$K:$K,A280,Avaliação!$J:$J))+(SUMIF(Avaliação!$O:$O,A280,Avaliação!$N:$N))+(SUMIF(Avaliação!$S:$S,A280,Avaliação!$R:$R))</f>
        <v>1</v>
      </c>
      <c r="D280" s="859">
        <f>(SUMIF(Avaliação!$AA:$AA,A280,Avaliação!$Z:$Z))+(SUMIF(Avaliação!$AD:$AD,A280,Avaliação!$AC:$AC))+(SUMIF(Avaliação!$AG:$AG,A280,Avaliação!$AF:$AF))</f>
        <v>0</v>
      </c>
    </row>
    <row r="281" spans="1:4">
      <c r="A281" s="157" t="s">
        <v>3749</v>
      </c>
      <c r="B281" s="195" t="s">
        <v>3750</v>
      </c>
      <c r="C281" s="775">
        <f>(SUMIF(Avaliação!$K:$K,A281,Avaliação!$J:$J))+(SUMIF(Avaliação!$O:$O,A281,Avaliação!$N:$N))+(SUMIF(Avaliação!$S:$S,A281,Avaliação!$R:$R))</f>
        <v>0</v>
      </c>
      <c r="D281" s="775">
        <f>(SUMIF(Avaliação!$AA:$AA,A281,Avaliação!$Z:$Z))+(SUMIF(Avaliação!$AD:$AD,A281,Avaliação!$AC:$AC))+(SUMIF(Avaliação!$AG:$AG,A281,Avaliação!$AF:$AF))</f>
        <v>0</v>
      </c>
    </row>
    <row r="282" spans="1:4">
      <c r="A282" s="157" t="s">
        <v>3751</v>
      </c>
      <c r="B282" s="195" t="s">
        <v>3752</v>
      </c>
      <c r="C282" s="775">
        <f>(SUMIF(Avaliação!$K:$K,A282,Avaliação!$J:$J))+(SUMIF(Avaliação!$O:$O,A282,Avaliação!$N:$N))+(SUMIF(Avaliação!$S:$S,A282,Avaliação!$R:$R))</f>
        <v>0</v>
      </c>
      <c r="D282" s="775">
        <f>(SUMIF(Avaliação!$AA:$AA,A282,Avaliação!$Z:$Z))+(SUMIF(Avaliação!$AD:$AD,A282,Avaliação!$AC:$AC))+(SUMIF(Avaliação!$AG:$AG,A282,Avaliação!$AF:$AF))</f>
        <v>0</v>
      </c>
    </row>
    <row r="283" spans="1:4">
      <c r="A283" s="157" t="s">
        <v>3753</v>
      </c>
      <c r="B283" s="195" t="s">
        <v>3754</v>
      </c>
      <c r="C283" s="775">
        <f>(SUMIF(Avaliação!$K:$K,A283,Avaliação!$J:$J))+(SUMIF(Avaliação!$O:$O,A283,Avaliação!$N:$N))+(SUMIF(Avaliação!$S:$S,A283,Avaliação!$R:$R))</f>
        <v>0</v>
      </c>
      <c r="D283" s="775">
        <f>(SUMIF(Avaliação!$AA:$AA,A283,Avaliação!$Z:$Z))+(SUMIF(Avaliação!$AD:$AD,A283,Avaliação!$AC:$AC))+(SUMIF(Avaliação!$AG:$AG,A283,Avaliação!$AF:$AF))</f>
        <v>0</v>
      </c>
    </row>
    <row r="284" spans="1:4">
      <c r="A284" s="157" t="s">
        <v>3755</v>
      </c>
      <c r="B284" s="195" t="s">
        <v>3756</v>
      </c>
      <c r="C284" s="775">
        <f>(SUMIF(Avaliação!$K:$K,A284,Avaliação!$J:$J))+(SUMIF(Avaliação!$O:$O,A284,Avaliação!$N:$N))+(SUMIF(Avaliação!$S:$S,A284,Avaliação!$R:$R))</f>
        <v>0</v>
      </c>
      <c r="D284" s="775">
        <f>(SUMIF(Avaliação!$AA:$AA,A284,Avaliação!$Z:$Z))+(SUMIF(Avaliação!$AD:$AD,A284,Avaliação!$AC:$AC))+(SUMIF(Avaliação!$AG:$AG,A284,Avaliação!$AF:$AF))</f>
        <v>0</v>
      </c>
    </row>
    <row r="285" spans="1:4">
      <c r="A285" s="157" t="s">
        <v>3757</v>
      </c>
      <c r="B285" s="195" t="s">
        <v>3758</v>
      </c>
      <c r="C285" s="775">
        <f>(SUMIF(Avaliação!$K:$K,A285,Avaliação!$J:$J))+(SUMIF(Avaliação!$O:$O,A285,Avaliação!$N:$N))+(SUMIF(Avaliação!$S:$S,A285,Avaliação!$R:$R))</f>
        <v>0</v>
      </c>
      <c r="D285" s="775">
        <f>(SUMIF(Avaliação!$AA:$AA,A285,Avaliação!$Z:$Z))+(SUMIF(Avaliação!$AD:$AD,A285,Avaliação!$AC:$AC))+(SUMIF(Avaliação!$AG:$AG,A285,Avaliação!$AF:$AF))</f>
        <v>0</v>
      </c>
    </row>
    <row r="286" spans="1:4">
      <c r="A286" s="157" t="s">
        <v>3759</v>
      </c>
      <c r="B286" s="195" t="s">
        <v>3760</v>
      </c>
      <c r="C286" s="775">
        <f>(SUMIF(Avaliação!$K:$K,A286,Avaliação!$J:$J))+(SUMIF(Avaliação!$O:$O,A286,Avaliação!$N:$N))+(SUMIF(Avaliação!$S:$S,A286,Avaliação!$R:$R))</f>
        <v>0</v>
      </c>
      <c r="D286" s="775">
        <f>(SUMIF(Avaliação!$AA:$AA,A286,Avaliação!$Z:$Z))+(SUMIF(Avaliação!$AD:$AD,A286,Avaliação!$AC:$AC))+(SUMIF(Avaliação!$AG:$AG,A286,Avaliação!$AF:$AF))</f>
        <v>0</v>
      </c>
    </row>
    <row r="287" spans="1:4">
      <c r="A287" s="157" t="s">
        <v>3761</v>
      </c>
      <c r="B287" s="195" t="s">
        <v>3762</v>
      </c>
      <c r="C287" s="775">
        <f>(SUMIF(Avaliação!$K:$K,A287,Avaliação!$J:$J))+(SUMIF(Avaliação!$O:$O,A287,Avaliação!$N:$N))+(SUMIF(Avaliação!$S:$S,A287,Avaliação!$R:$R))</f>
        <v>0</v>
      </c>
      <c r="D287" s="775">
        <f>(SUMIF(Avaliação!$AA:$AA,A287,Avaliação!$Z:$Z))+(SUMIF(Avaliação!$AD:$AD,A287,Avaliação!$AC:$AC))+(SUMIF(Avaliação!$AG:$AG,A287,Avaliação!$AF:$AF))</f>
        <v>0</v>
      </c>
    </row>
    <row r="288" spans="1:4">
      <c r="A288" s="157" t="s">
        <v>3763</v>
      </c>
      <c r="B288" s="195" t="s">
        <v>3764</v>
      </c>
      <c r="C288" s="775">
        <f>(SUMIF(Avaliação!$K:$K,A288,Avaliação!$J:$J))+(SUMIF(Avaliação!$O:$O,A288,Avaliação!$N:$N))+(SUMIF(Avaliação!$S:$S,A288,Avaliação!$R:$R))</f>
        <v>0</v>
      </c>
      <c r="D288" s="775">
        <f>(SUMIF(Avaliação!$AA:$AA,A288,Avaliação!$Z:$Z))+(SUMIF(Avaliação!$AD:$AD,A288,Avaliação!$AC:$AC))+(SUMIF(Avaliação!$AG:$AG,A288,Avaliação!$AF:$AF))</f>
        <v>0</v>
      </c>
    </row>
    <row r="289" spans="1:4">
      <c r="A289" s="157" t="s">
        <v>3765</v>
      </c>
      <c r="B289" s="195" t="s">
        <v>3766</v>
      </c>
      <c r="C289" s="775">
        <f>(SUMIF(Avaliação!$K:$K,A289,Avaliação!$J:$J))+(SUMIF(Avaliação!$O:$O,A289,Avaliação!$N:$N))+(SUMIF(Avaliação!$S:$S,A289,Avaliação!$R:$R))</f>
        <v>0</v>
      </c>
      <c r="D289" s="775">
        <f>(SUMIF(Avaliação!$AA:$AA,A289,Avaliação!$Z:$Z))+(SUMIF(Avaliação!$AD:$AD,A289,Avaliação!$AC:$AC))+(SUMIF(Avaliação!$AG:$AG,A289,Avaliação!$AF:$AF))</f>
        <v>0</v>
      </c>
    </row>
    <row r="290" spans="1:4">
      <c r="A290" s="157" t="s">
        <v>3767</v>
      </c>
      <c r="B290" s="195" t="s">
        <v>3768</v>
      </c>
      <c r="C290" s="775">
        <f>(SUMIF(Avaliação!$K:$K,A290,Avaliação!$J:$J))+(SUMIF(Avaliação!$O:$O,A290,Avaliação!$N:$N))+(SUMIF(Avaliação!$S:$S,A290,Avaliação!$R:$R))</f>
        <v>0</v>
      </c>
      <c r="D290" s="775">
        <f>(SUMIF(Avaliação!$AA:$AA,A290,Avaliação!$Z:$Z))+(SUMIF(Avaliação!$AD:$AD,A290,Avaliação!$AC:$AC))+(SUMIF(Avaliação!$AG:$AG,A290,Avaliação!$AF:$AF))</f>
        <v>0</v>
      </c>
    </row>
    <row r="291" spans="1:4">
      <c r="A291" s="157" t="s">
        <v>3769</v>
      </c>
      <c r="B291" s="195" t="s">
        <v>3770</v>
      </c>
      <c r="C291" s="775">
        <f>(SUMIF(Avaliação!$K:$K,A291,Avaliação!$J:$J))+(SUMIF(Avaliação!$O:$O,A291,Avaliação!$N:$N))+(SUMIF(Avaliação!$S:$S,A291,Avaliação!$R:$R))</f>
        <v>0</v>
      </c>
      <c r="D291" s="775">
        <f>(SUMIF(Avaliação!$AA:$AA,A291,Avaliação!$Z:$Z))+(SUMIF(Avaliação!$AD:$AD,A291,Avaliação!$AC:$AC))+(SUMIF(Avaliação!$AG:$AG,A291,Avaliação!$AF:$AF))</f>
        <v>0</v>
      </c>
    </row>
    <row r="292" spans="1:4">
      <c r="A292" s="157" t="s">
        <v>3771</v>
      </c>
      <c r="B292" s="195" t="s">
        <v>3772</v>
      </c>
      <c r="C292" s="775">
        <f>(SUMIF(Avaliação!$K:$K,A292,Avaliação!$J:$J))+(SUMIF(Avaliação!$O:$O,A292,Avaliação!$N:$N))+(SUMIF(Avaliação!$S:$S,A292,Avaliação!$R:$R))</f>
        <v>0</v>
      </c>
      <c r="D292" s="775">
        <f>(SUMIF(Avaliação!$AA:$AA,A292,Avaliação!$Z:$Z))+(SUMIF(Avaliação!$AD:$AD,A292,Avaliação!$AC:$AC))+(SUMIF(Avaliação!$AG:$AG,A292,Avaliação!$AF:$AF))</f>
        <v>0</v>
      </c>
    </row>
    <row r="293" spans="1:4">
      <c r="A293" s="157" t="s">
        <v>3773</v>
      </c>
      <c r="B293" s="195" t="s">
        <v>3774</v>
      </c>
      <c r="C293" s="775">
        <f>(SUMIF(Avaliação!$K:$K,A293,Avaliação!$J:$J))+(SUMIF(Avaliação!$O:$O,A293,Avaliação!$N:$N))+(SUMIF(Avaliação!$S:$S,A293,Avaliação!$R:$R))</f>
        <v>0</v>
      </c>
      <c r="D293" s="775">
        <f>(SUMIF(Avaliação!$AA:$AA,A293,Avaliação!$Z:$Z))+(SUMIF(Avaliação!$AD:$AD,A293,Avaliação!$AC:$AC))+(SUMIF(Avaliação!$AG:$AG,A293,Avaliação!$AF:$AF))</f>
        <v>0</v>
      </c>
    </row>
    <row r="294" spans="1:4">
      <c r="A294" s="857" t="s">
        <v>3775</v>
      </c>
      <c r="B294" s="858" t="s">
        <v>3776</v>
      </c>
      <c r="C294" s="775">
        <f>(SUMIF(Avaliação!$K:$K,A294,Avaliação!$J:$J))+(SUMIF(Avaliação!$O:$O,A294,Avaliação!$N:$N))+(SUMIF(Avaliação!$S:$S,A294,Avaliação!$R:$R))</f>
        <v>0</v>
      </c>
      <c r="D294" s="859">
        <f>(SUMIF(Avaliação!$AA:$AA,A294,Avaliação!$Z:$Z))+(SUMIF(Avaliação!$AD:$AD,A294,Avaliação!$AC:$AC))+(SUMIF(Avaliação!$AG:$AG,A294,Avaliação!$AF:$AF))</f>
        <v>0</v>
      </c>
    </row>
    <row r="295" spans="1:4">
      <c r="A295" s="157" t="s">
        <v>3777</v>
      </c>
      <c r="B295" s="195" t="s">
        <v>3778</v>
      </c>
      <c r="C295" s="775">
        <f>(SUMIF(Avaliação!$K:$K,A295,Avaliação!$J:$J))+(SUMIF(Avaliação!$O:$O,A295,Avaliação!$N:$N))+(SUMIF(Avaliação!$S:$S,A295,Avaliação!$R:$R))</f>
        <v>0</v>
      </c>
      <c r="D295" s="775">
        <f>(SUMIF(Avaliação!$AA:$AA,A295,Avaliação!$Z:$Z))+(SUMIF(Avaliação!$AD:$AD,A295,Avaliação!$AC:$AC))+(SUMIF(Avaliação!$AG:$AG,A295,Avaliação!$AF:$AF))</f>
        <v>0</v>
      </c>
    </row>
    <row r="296" spans="1:4">
      <c r="A296" s="157" t="s">
        <v>3779</v>
      </c>
      <c r="B296" s="195" t="s">
        <v>3780</v>
      </c>
      <c r="C296" s="775">
        <f>(SUMIF(Avaliação!$K:$K,A296,Avaliação!$J:$J))+(SUMIF(Avaliação!$O:$O,A296,Avaliação!$N:$N))+(SUMIF(Avaliação!$S:$S,A296,Avaliação!$R:$R))</f>
        <v>0</v>
      </c>
      <c r="D296" s="775">
        <f>(SUMIF(Avaliação!$AA:$AA,A296,Avaliação!$Z:$Z))+(SUMIF(Avaliação!$AD:$AD,A296,Avaliação!$AC:$AC))+(SUMIF(Avaliação!$AG:$AG,A296,Avaliação!$AF:$AF))</f>
        <v>0</v>
      </c>
    </row>
    <row r="297" spans="1:4">
      <c r="A297" s="157" t="s">
        <v>3781</v>
      </c>
      <c r="B297" s="195" t="s">
        <v>3782</v>
      </c>
      <c r="C297" s="775">
        <f>(SUMIF(Avaliação!$K:$K,A297,Avaliação!$J:$J))+(SUMIF(Avaliação!$O:$O,A297,Avaliação!$N:$N))+(SUMIF(Avaliação!$S:$S,A297,Avaliação!$R:$R))</f>
        <v>0</v>
      </c>
      <c r="D297" s="775">
        <f>(SUMIF(Avaliação!$AA:$AA,A297,Avaliação!$Z:$Z))+(SUMIF(Avaliação!$AD:$AD,A297,Avaliação!$AC:$AC))+(SUMIF(Avaliação!$AG:$AG,A297,Avaliação!$AF:$AF))</f>
        <v>0</v>
      </c>
    </row>
    <row r="298" spans="1:4">
      <c r="A298" s="157" t="s">
        <v>3783</v>
      </c>
      <c r="B298" s="195" t="s">
        <v>3784</v>
      </c>
      <c r="C298" s="775">
        <f>(SUMIF(Avaliação!$K:$K,A298,Avaliação!$J:$J))+(SUMIF(Avaliação!$O:$O,A298,Avaliação!$N:$N))+(SUMIF(Avaliação!$S:$S,A298,Avaliação!$R:$R))</f>
        <v>0</v>
      </c>
      <c r="D298" s="775">
        <f>(SUMIF(Avaliação!$AA:$AA,A298,Avaliação!$Z:$Z))+(SUMIF(Avaliação!$AD:$AD,A298,Avaliação!$AC:$AC))+(SUMIF(Avaliação!$AG:$AG,A298,Avaliação!$AF:$AF))</f>
        <v>0</v>
      </c>
    </row>
    <row r="299" spans="1:4">
      <c r="A299" s="157" t="s">
        <v>3785</v>
      </c>
      <c r="B299" s="195" t="s">
        <v>3786</v>
      </c>
      <c r="C299" s="775">
        <f>(SUMIF(Avaliação!$K:$K,A299,Avaliação!$J:$J))+(SUMIF(Avaliação!$O:$O,A299,Avaliação!$N:$N))+(SUMIF(Avaliação!$S:$S,A299,Avaliação!$R:$R))</f>
        <v>0</v>
      </c>
      <c r="D299" s="775">
        <f>(SUMIF(Avaliação!$AA:$AA,A299,Avaliação!$Z:$Z))+(SUMIF(Avaliação!$AD:$AD,A299,Avaliação!$AC:$AC))+(SUMIF(Avaliação!$AG:$AG,A299,Avaliação!$AF:$AF))</f>
        <v>0</v>
      </c>
    </row>
    <row r="300" spans="1:4">
      <c r="A300" s="157" t="s">
        <v>3787</v>
      </c>
      <c r="B300" s="195" t="s">
        <v>3788</v>
      </c>
      <c r="C300" s="775">
        <f>(SUMIF(Avaliação!$K:$K,A300,Avaliação!$J:$J))+(SUMIF(Avaliação!$O:$O,A300,Avaliação!$N:$N))+(SUMIF(Avaliação!$S:$S,A300,Avaliação!$R:$R))</f>
        <v>0</v>
      </c>
      <c r="D300" s="775">
        <f>(SUMIF(Avaliação!$AA:$AA,A300,Avaliação!$Z:$Z))+(SUMIF(Avaliação!$AD:$AD,A300,Avaliação!$AC:$AC))+(SUMIF(Avaliação!$AG:$AG,A300,Avaliação!$AF:$AF))</f>
        <v>0</v>
      </c>
    </row>
    <row r="301" spans="1:4">
      <c r="A301" s="157" t="s">
        <v>3789</v>
      </c>
      <c r="B301" s="195" t="s">
        <v>3790</v>
      </c>
      <c r="C301" s="775">
        <f>(SUMIF(Avaliação!$K:$K,A301,Avaliação!$J:$J))+(SUMIF(Avaliação!$O:$O,A301,Avaliação!$N:$N))+(SUMIF(Avaliação!$S:$S,A301,Avaliação!$R:$R))</f>
        <v>0</v>
      </c>
      <c r="D301" s="775">
        <f>(SUMIF(Avaliação!$AA:$AA,A301,Avaliação!$Z:$Z))+(SUMIF(Avaliação!$AD:$AD,A301,Avaliação!$AC:$AC))+(SUMIF(Avaliação!$AG:$AG,A301,Avaliação!$AF:$AF))</f>
        <v>0</v>
      </c>
    </row>
    <row r="302" spans="1:4">
      <c r="A302" s="157" t="s">
        <v>3791</v>
      </c>
      <c r="B302" s="195" t="s">
        <v>3792</v>
      </c>
      <c r="C302" s="775">
        <f>(SUMIF(Avaliação!$K:$K,A302,Avaliação!$J:$J))+(SUMIF(Avaliação!$O:$O,A302,Avaliação!$N:$N))+(SUMIF(Avaliação!$S:$S,A302,Avaliação!$R:$R))</f>
        <v>0</v>
      </c>
      <c r="D302" s="775">
        <f>(SUMIF(Avaliação!$AA:$AA,A302,Avaliação!$Z:$Z))+(SUMIF(Avaliação!$AD:$AD,A302,Avaliação!$AC:$AC))+(SUMIF(Avaliação!$AG:$AG,A302,Avaliação!$AF:$AF))</f>
        <v>0</v>
      </c>
    </row>
    <row r="303" spans="1:4">
      <c r="A303" s="157" t="s">
        <v>3793</v>
      </c>
      <c r="B303" s="195" t="s">
        <v>3794</v>
      </c>
      <c r="C303" s="775">
        <f>(SUMIF(Avaliação!$K:$K,A303,Avaliação!$J:$J))+(SUMIF(Avaliação!$O:$O,A303,Avaliação!$N:$N))+(SUMIF(Avaliação!$S:$S,A303,Avaliação!$R:$R))</f>
        <v>0</v>
      </c>
      <c r="D303" s="775">
        <f>(SUMIF(Avaliação!$AA:$AA,A303,Avaliação!$Z:$Z))+(SUMIF(Avaliação!$AD:$AD,A303,Avaliação!$AC:$AC))+(SUMIF(Avaliação!$AG:$AG,A303,Avaliação!$AF:$AF))</f>
        <v>0</v>
      </c>
    </row>
    <row r="304" spans="1:4">
      <c r="A304" s="157" t="s">
        <v>3795</v>
      </c>
      <c r="B304" s="195" t="s">
        <v>3796</v>
      </c>
      <c r="C304" s="775">
        <f>(SUMIF(Avaliação!$K:$K,A304,Avaliação!$J:$J))+(SUMIF(Avaliação!$O:$O,A304,Avaliação!$N:$N))+(SUMIF(Avaliação!$S:$S,A304,Avaliação!$R:$R))</f>
        <v>0</v>
      </c>
      <c r="D304" s="775">
        <f>(SUMIF(Avaliação!$AA:$AA,A304,Avaliação!$Z:$Z))+(SUMIF(Avaliação!$AD:$AD,A304,Avaliação!$AC:$AC))+(SUMIF(Avaliação!$AG:$AG,A304,Avaliação!$AF:$AF))</f>
        <v>0</v>
      </c>
    </row>
    <row r="305" spans="1:4">
      <c r="A305" s="157" t="s">
        <v>3797</v>
      </c>
      <c r="B305" s="195" t="s">
        <v>3798</v>
      </c>
      <c r="C305" s="775">
        <f>(SUMIF(Avaliação!$K:$K,A305,Avaliação!$J:$J))+(SUMIF(Avaliação!$O:$O,A305,Avaliação!$N:$N))+(SUMIF(Avaliação!$S:$S,A305,Avaliação!$R:$R))</f>
        <v>0</v>
      </c>
      <c r="D305" s="775">
        <f>(SUMIF(Avaliação!$AA:$AA,A305,Avaliação!$Z:$Z))+(SUMIF(Avaliação!$AD:$AD,A305,Avaliação!$AC:$AC))+(SUMIF(Avaliação!$AG:$AG,A305,Avaliação!$AF:$AF))</f>
        <v>0</v>
      </c>
    </row>
    <row r="306" spans="1:4">
      <c r="A306" s="157" t="s">
        <v>3799</v>
      </c>
      <c r="B306" s="195" t="s">
        <v>3800</v>
      </c>
      <c r="C306" s="775">
        <f>(SUMIF(Avaliação!$K:$K,A306,Avaliação!$J:$J))+(SUMIF(Avaliação!$O:$O,A306,Avaliação!$N:$N))+(SUMIF(Avaliação!$S:$S,A306,Avaliação!$R:$R))</f>
        <v>0</v>
      </c>
      <c r="D306" s="775">
        <f>(SUMIF(Avaliação!$AA:$AA,A306,Avaliação!$Z:$Z))+(SUMIF(Avaliação!$AD:$AD,A306,Avaliação!$AC:$AC))+(SUMIF(Avaliação!$AG:$AG,A306,Avaliação!$AF:$AF))</f>
        <v>0</v>
      </c>
    </row>
    <row r="307" spans="1:4">
      <c r="A307" s="157" t="s">
        <v>3801</v>
      </c>
      <c r="B307" s="195" t="s">
        <v>3802</v>
      </c>
      <c r="C307" s="775">
        <f>(SUMIF(Avaliação!$K:$K,A307,Avaliação!$J:$J))+(SUMIF(Avaliação!$O:$O,A307,Avaliação!$N:$N))+(SUMIF(Avaliação!$S:$S,A307,Avaliação!$R:$R))</f>
        <v>0</v>
      </c>
      <c r="D307" s="775">
        <f>(SUMIF(Avaliação!$AA:$AA,A307,Avaliação!$Z:$Z))+(SUMIF(Avaliação!$AD:$AD,A307,Avaliação!$AC:$AC))+(SUMIF(Avaliação!$AG:$AG,A307,Avaliação!$AF:$AF))</f>
        <v>0</v>
      </c>
    </row>
    <row r="308" spans="1:4">
      <c r="A308" s="157" t="s">
        <v>3803</v>
      </c>
      <c r="B308" s="195" t="s">
        <v>3804</v>
      </c>
      <c r="C308" s="775">
        <f>(SUMIF(Avaliação!$K:$K,A308,Avaliação!$J:$J))+(SUMIF(Avaliação!$O:$O,A308,Avaliação!$N:$N))+(SUMIF(Avaliação!$S:$S,A308,Avaliação!$R:$R))</f>
        <v>0</v>
      </c>
      <c r="D308" s="775">
        <f>(SUMIF(Avaliação!$AA:$AA,A308,Avaliação!$Z:$Z))+(SUMIF(Avaliação!$AD:$AD,A308,Avaliação!$AC:$AC))+(SUMIF(Avaliação!$AG:$AG,A308,Avaliação!$AF:$AF))</f>
        <v>0</v>
      </c>
    </row>
    <row r="309" spans="1:4">
      <c r="A309" s="157" t="s">
        <v>3805</v>
      </c>
      <c r="B309" s="195" t="s">
        <v>3806</v>
      </c>
      <c r="C309" s="775">
        <f>(SUMIF(Avaliação!$K:$K,A309,Avaliação!$J:$J))+(SUMIF(Avaliação!$O:$O,A309,Avaliação!$N:$N))+(SUMIF(Avaliação!$S:$S,A309,Avaliação!$R:$R))</f>
        <v>0</v>
      </c>
      <c r="D309" s="775">
        <f>(SUMIF(Avaliação!$AA:$AA,A309,Avaliação!$Z:$Z))+(SUMIF(Avaliação!$AD:$AD,A309,Avaliação!$AC:$AC))+(SUMIF(Avaliação!$AG:$AG,A309,Avaliação!$AF:$AF))</f>
        <v>0</v>
      </c>
    </row>
    <row r="310" spans="1:4">
      <c r="A310" s="157" t="s">
        <v>3807</v>
      </c>
      <c r="B310" s="195" t="s">
        <v>3808</v>
      </c>
      <c r="C310" s="775">
        <f>(SUMIF(Avaliação!$K:$K,A310,Avaliação!$J:$J))+(SUMIF(Avaliação!$O:$O,A310,Avaliação!$N:$N))+(SUMIF(Avaliação!$S:$S,A310,Avaliação!$R:$R))</f>
        <v>0</v>
      </c>
      <c r="D310" s="775">
        <f>(SUMIF(Avaliação!$AA:$AA,A310,Avaliação!$Z:$Z))+(SUMIF(Avaliação!$AD:$AD,A310,Avaliação!$AC:$AC))+(SUMIF(Avaliação!$AG:$AG,A310,Avaliação!$AF:$AF))</f>
        <v>0</v>
      </c>
    </row>
    <row r="311" spans="1:4">
      <c r="A311" s="157" t="s">
        <v>3809</v>
      </c>
      <c r="B311" s="195" t="s">
        <v>3810</v>
      </c>
      <c r="C311" s="775">
        <f>(SUMIF(Avaliação!$K:$K,A311,Avaliação!$J:$J))+(SUMIF(Avaliação!$O:$O,A311,Avaliação!$N:$N))+(SUMIF(Avaliação!$S:$S,A311,Avaliação!$R:$R))</f>
        <v>0</v>
      </c>
      <c r="D311" s="775">
        <f>(SUMIF(Avaliação!$AA:$AA,A311,Avaliação!$Z:$Z))+(SUMIF(Avaliação!$AD:$AD,A311,Avaliação!$AC:$AC))+(SUMIF(Avaliação!$AG:$AG,A311,Avaliação!$AF:$AF))</f>
        <v>0</v>
      </c>
    </row>
    <row r="312" spans="1:4">
      <c r="A312" s="157" t="s">
        <v>3811</v>
      </c>
      <c r="B312" s="195" t="s">
        <v>3812</v>
      </c>
      <c r="C312" s="775">
        <f>(SUMIF(Avaliação!$K:$K,A312,Avaliação!$J:$J))+(SUMIF(Avaliação!$O:$O,A312,Avaliação!$N:$N))+(SUMIF(Avaliação!$S:$S,A312,Avaliação!$R:$R))</f>
        <v>0</v>
      </c>
      <c r="D312" s="775">
        <f>(SUMIF(Avaliação!$AA:$AA,A312,Avaliação!$Z:$Z))+(SUMIF(Avaliação!$AD:$AD,A312,Avaliação!$AC:$AC))+(SUMIF(Avaliação!$AG:$AG,A312,Avaliação!$AF:$AF))</f>
        <v>0</v>
      </c>
    </row>
    <row r="313" spans="1:4">
      <c r="A313" s="157" t="s">
        <v>3813</v>
      </c>
      <c r="B313" s="195" t="s">
        <v>3814</v>
      </c>
      <c r="C313" s="775">
        <f>(SUMIF(Avaliação!$K:$K,A313,Avaliação!$J:$J))+(SUMIF(Avaliação!$O:$O,A313,Avaliação!$N:$N))+(SUMIF(Avaliação!$S:$S,A313,Avaliação!$R:$R))</f>
        <v>0</v>
      </c>
      <c r="D313" s="775">
        <f>(SUMIF(Avaliação!$AA:$AA,A313,Avaliação!$Z:$Z))+(SUMIF(Avaliação!$AD:$AD,A313,Avaliação!$AC:$AC))+(SUMIF(Avaliação!$AG:$AG,A313,Avaliação!$AF:$AF))</f>
        <v>0</v>
      </c>
    </row>
    <row r="314" spans="1:4">
      <c r="A314" s="157" t="s">
        <v>3815</v>
      </c>
      <c r="B314" s="195" t="s">
        <v>3816</v>
      </c>
      <c r="C314" s="775">
        <f>(SUMIF(Avaliação!$K:$K,A314,Avaliação!$J:$J))+(SUMIF(Avaliação!$O:$O,A314,Avaliação!$N:$N))+(SUMIF(Avaliação!$S:$S,A314,Avaliação!$R:$R))</f>
        <v>0</v>
      </c>
      <c r="D314" s="775">
        <f>(SUMIF(Avaliação!$AA:$AA,A314,Avaliação!$Z:$Z))+(SUMIF(Avaliação!$AD:$AD,A314,Avaliação!$AC:$AC))+(SUMIF(Avaliação!$AG:$AG,A314,Avaliação!$AF:$AF))</f>
        <v>0</v>
      </c>
    </row>
    <row r="315" spans="1:4">
      <c r="A315" s="157" t="s">
        <v>3817</v>
      </c>
      <c r="B315" s="195" t="s">
        <v>3818</v>
      </c>
      <c r="C315" s="775">
        <f>(SUMIF(Avaliação!$K:$K,A315,Avaliação!$J:$J))+(SUMIF(Avaliação!$O:$O,A315,Avaliação!$N:$N))+(SUMIF(Avaliação!$S:$S,A315,Avaliação!$R:$R))</f>
        <v>0</v>
      </c>
      <c r="D315" s="775">
        <f>(SUMIF(Avaliação!$AA:$AA,A315,Avaliação!$Z:$Z))+(SUMIF(Avaliação!$AD:$AD,A315,Avaliação!$AC:$AC))+(SUMIF(Avaliação!$AG:$AG,A315,Avaliação!$AF:$AF))</f>
        <v>0</v>
      </c>
    </row>
    <row r="316" spans="1:4">
      <c r="A316" s="157" t="s">
        <v>3819</v>
      </c>
      <c r="B316" s="195" t="s">
        <v>3820</v>
      </c>
      <c r="C316" s="775">
        <f>(SUMIF(Avaliação!$K:$K,A316,Avaliação!$J:$J))+(SUMIF(Avaliação!$O:$O,A316,Avaliação!$N:$N))+(SUMIF(Avaliação!$S:$S,A316,Avaliação!$R:$R))</f>
        <v>0</v>
      </c>
      <c r="D316" s="775">
        <f>(SUMIF(Avaliação!$AA:$AA,A316,Avaliação!$Z:$Z))+(SUMIF(Avaliação!$AD:$AD,A316,Avaliação!$AC:$AC))+(SUMIF(Avaliação!$AG:$AG,A316,Avaliação!$AF:$AF))</f>
        <v>0</v>
      </c>
    </row>
    <row r="317" spans="1:4">
      <c r="A317" s="157" t="s">
        <v>3821</v>
      </c>
      <c r="B317" s="195" t="s">
        <v>3822</v>
      </c>
      <c r="C317" s="775">
        <f>(SUMIF(Avaliação!$K:$K,A317,Avaliação!$J:$J))+(SUMIF(Avaliação!$O:$O,A317,Avaliação!$N:$N))+(SUMIF(Avaliação!$S:$S,A317,Avaliação!$R:$R))</f>
        <v>0</v>
      </c>
      <c r="D317" s="775">
        <f>(SUMIF(Avaliação!$AA:$AA,A317,Avaliação!$Z:$Z))+(SUMIF(Avaliação!$AD:$AD,A317,Avaliação!$AC:$AC))+(SUMIF(Avaliação!$AG:$AG,A317,Avaliação!$AF:$AF))</f>
        <v>0</v>
      </c>
    </row>
    <row r="318" spans="1:4">
      <c r="A318" s="157" t="s">
        <v>3823</v>
      </c>
      <c r="B318" s="195" t="s">
        <v>3824</v>
      </c>
      <c r="C318" s="775">
        <f>(SUMIF(Avaliação!$K:$K,A318,Avaliação!$J:$J))+(SUMIF(Avaliação!$O:$O,A318,Avaliação!$N:$N))+(SUMIF(Avaliação!$S:$S,A318,Avaliação!$R:$R))</f>
        <v>0</v>
      </c>
      <c r="D318" s="775">
        <f>(SUMIF(Avaliação!$AA:$AA,A318,Avaliação!$Z:$Z))+(SUMIF(Avaliação!$AD:$AD,A318,Avaliação!$AC:$AC))+(SUMIF(Avaliação!$AG:$AG,A318,Avaliação!$AF:$AF))</f>
        <v>0</v>
      </c>
    </row>
    <row r="319" spans="1:4">
      <c r="A319" s="157" t="s">
        <v>3825</v>
      </c>
      <c r="B319" s="195" t="s">
        <v>3826</v>
      </c>
      <c r="C319" s="775">
        <f>(SUMIF(Avaliação!$K:$K,A319,Avaliação!$J:$J))+(SUMIF(Avaliação!$O:$O,A319,Avaliação!$N:$N))+(SUMIF(Avaliação!$S:$S,A319,Avaliação!$R:$R))</f>
        <v>0</v>
      </c>
      <c r="D319" s="775">
        <f>(SUMIF(Avaliação!$AA:$AA,A319,Avaliação!$Z:$Z))+(SUMIF(Avaliação!$AD:$AD,A319,Avaliação!$AC:$AC))+(SUMIF(Avaliação!$AG:$AG,A319,Avaliação!$AF:$AF))</f>
        <v>0</v>
      </c>
    </row>
    <row r="320" spans="1:4">
      <c r="A320" s="157" t="s">
        <v>3827</v>
      </c>
      <c r="B320" s="195" t="s">
        <v>3828</v>
      </c>
      <c r="C320" s="775">
        <f>(SUMIF(Avaliação!$K:$K,A320,Avaliação!$J:$J))+(SUMIF(Avaliação!$O:$O,A320,Avaliação!$N:$N))+(SUMIF(Avaliação!$S:$S,A320,Avaliação!$R:$R))</f>
        <v>0</v>
      </c>
      <c r="D320" s="775">
        <f>(SUMIF(Avaliação!$AA:$AA,A320,Avaliação!$Z:$Z))+(SUMIF(Avaliação!$AD:$AD,A320,Avaliação!$AC:$AC))+(SUMIF(Avaliação!$AG:$AG,A320,Avaliação!$AF:$AF))</f>
        <v>0</v>
      </c>
    </row>
    <row r="321" spans="1:4">
      <c r="A321" s="157" t="s">
        <v>3829</v>
      </c>
      <c r="B321" s="195" t="s">
        <v>3830</v>
      </c>
      <c r="C321" s="775">
        <f>(SUMIF(Avaliação!$K:$K,A321,Avaliação!$J:$J))+(SUMIF(Avaliação!$O:$O,A321,Avaliação!$N:$N))+(SUMIF(Avaliação!$S:$S,A321,Avaliação!$R:$R))</f>
        <v>0</v>
      </c>
      <c r="D321" s="775">
        <f>(SUMIF(Avaliação!$AA:$AA,A321,Avaliação!$Z:$Z))+(SUMIF(Avaliação!$AD:$AD,A321,Avaliação!$AC:$AC))+(SUMIF(Avaliação!$AG:$AG,A321,Avaliação!$AF:$AF))</f>
        <v>0</v>
      </c>
    </row>
    <row r="322" spans="1:4">
      <c r="A322" s="157" t="s">
        <v>3831</v>
      </c>
      <c r="B322" s="195" t="s">
        <v>3832</v>
      </c>
      <c r="C322" s="775">
        <f>(SUMIF(Avaliação!$K:$K,A322,Avaliação!$J:$J))+(SUMIF(Avaliação!$O:$O,A322,Avaliação!$N:$N))+(SUMIF(Avaliação!$S:$S,A322,Avaliação!$R:$R))</f>
        <v>0</v>
      </c>
      <c r="D322" s="775">
        <f>(SUMIF(Avaliação!$AA:$AA,A322,Avaliação!$Z:$Z))+(SUMIF(Avaliação!$AD:$AD,A322,Avaliação!$AC:$AC))+(SUMIF(Avaliação!$AG:$AG,A322,Avaliação!$AF:$AF))</f>
        <v>0</v>
      </c>
    </row>
    <row r="323" spans="1:4">
      <c r="A323" s="157" t="s">
        <v>3833</v>
      </c>
      <c r="B323" s="195" t="s">
        <v>3834</v>
      </c>
      <c r="C323" s="775">
        <f>(SUMIF(Avaliação!$K:$K,A323,Avaliação!$J:$J))+(SUMIF(Avaliação!$O:$O,A323,Avaliação!$N:$N))+(SUMIF(Avaliação!$S:$S,A323,Avaliação!$R:$R))</f>
        <v>0</v>
      </c>
      <c r="D323" s="775">
        <f>(SUMIF(Avaliação!$AA:$AA,A323,Avaliação!$Z:$Z))+(SUMIF(Avaliação!$AD:$AD,A323,Avaliação!$AC:$AC))+(SUMIF(Avaliação!$AG:$AG,A323,Avaliação!$AF:$AF))</f>
        <v>0</v>
      </c>
    </row>
    <row r="324" spans="1:4">
      <c r="A324" s="157" t="s">
        <v>3835</v>
      </c>
      <c r="B324" s="195" t="s">
        <v>3836</v>
      </c>
      <c r="C324" s="775">
        <f>(SUMIF(Avaliação!$K:$K,A324,Avaliação!$J:$J))+(SUMIF(Avaliação!$O:$O,A324,Avaliação!$N:$N))+(SUMIF(Avaliação!$S:$S,A324,Avaliação!$R:$R))</f>
        <v>0</v>
      </c>
      <c r="D324" s="775">
        <f>(SUMIF(Avaliação!$AA:$AA,A324,Avaliação!$Z:$Z))+(SUMIF(Avaliação!$AD:$AD,A324,Avaliação!$AC:$AC))+(SUMIF(Avaliação!$AG:$AG,A324,Avaliação!$AF:$AF))</f>
        <v>0</v>
      </c>
    </row>
    <row r="325" spans="1:4">
      <c r="A325" s="157" t="s">
        <v>3837</v>
      </c>
      <c r="B325" s="195" t="s">
        <v>3838</v>
      </c>
      <c r="C325" s="775">
        <f>(SUMIF(Avaliação!$K:$K,A325,Avaliação!$J:$J))+(SUMIF(Avaliação!$O:$O,A325,Avaliação!$N:$N))+(SUMIF(Avaliação!$S:$S,A325,Avaliação!$R:$R))</f>
        <v>0</v>
      </c>
      <c r="D325" s="775">
        <f>(SUMIF(Avaliação!$AA:$AA,A325,Avaliação!$Z:$Z))+(SUMIF(Avaliação!$AD:$AD,A325,Avaliação!$AC:$AC))+(SUMIF(Avaliação!$AG:$AG,A325,Avaliação!$AF:$AF))</f>
        <v>0</v>
      </c>
    </row>
    <row r="326" spans="1:4">
      <c r="A326" s="157" t="s">
        <v>3839</v>
      </c>
      <c r="B326" s="195" t="s">
        <v>3840</v>
      </c>
      <c r="C326" s="775">
        <f>(SUMIF(Avaliação!$K:$K,A326,Avaliação!$J:$J))+(SUMIF(Avaliação!$O:$O,A326,Avaliação!$N:$N))+(SUMIF(Avaliação!$S:$S,A326,Avaliação!$R:$R))</f>
        <v>0</v>
      </c>
      <c r="D326" s="775">
        <f>(SUMIF(Avaliação!$AA:$AA,A326,Avaliação!$Z:$Z))+(SUMIF(Avaliação!$AD:$AD,A326,Avaliação!$AC:$AC))+(SUMIF(Avaliação!$AG:$AG,A326,Avaliação!$AF:$AF))</f>
        <v>0</v>
      </c>
    </row>
    <row r="327" spans="1:4">
      <c r="A327" s="157" t="s">
        <v>3841</v>
      </c>
      <c r="B327" s="195" t="s">
        <v>3842</v>
      </c>
      <c r="C327" s="775">
        <f>(SUMIF(Avaliação!$K:$K,A327,Avaliação!$J:$J))+(SUMIF(Avaliação!$O:$O,A327,Avaliação!$N:$N))+(SUMIF(Avaliação!$S:$S,A327,Avaliação!$R:$R))</f>
        <v>0</v>
      </c>
      <c r="D327" s="775">
        <f>(SUMIF(Avaliação!$AA:$AA,A327,Avaliação!$Z:$Z))+(SUMIF(Avaliação!$AD:$AD,A327,Avaliação!$AC:$AC))+(SUMIF(Avaliação!$AG:$AG,A327,Avaliação!$AF:$AF))</f>
        <v>0</v>
      </c>
    </row>
    <row r="328" spans="1:4">
      <c r="A328" s="157" t="s">
        <v>3843</v>
      </c>
      <c r="B328" s="195" t="s">
        <v>3844</v>
      </c>
      <c r="C328" s="775">
        <f>(SUMIF(Avaliação!$K:$K,A328,Avaliação!$J:$J))+(SUMIF(Avaliação!$O:$O,A328,Avaliação!$N:$N))+(SUMIF(Avaliação!$S:$S,A328,Avaliação!$R:$R))</f>
        <v>0</v>
      </c>
      <c r="D328" s="775">
        <f>(SUMIF(Avaliação!$AA:$AA,A328,Avaliação!$Z:$Z))+(SUMIF(Avaliação!$AD:$AD,A328,Avaliação!$AC:$AC))+(SUMIF(Avaliação!$AG:$AG,A328,Avaliação!$AF:$AF))</f>
        <v>0</v>
      </c>
    </row>
    <row r="329" spans="1:4">
      <c r="A329" s="157" t="s">
        <v>3845</v>
      </c>
      <c r="B329" s="195" t="s">
        <v>3846</v>
      </c>
      <c r="C329" s="775">
        <f>(SUMIF(Avaliação!$K:$K,A329,Avaliação!$J:$J))+(SUMIF(Avaliação!$O:$O,A329,Avaliação!$N:$N))+(SUMIF(Avaliação!$S:$S,A329,Avaliação!$R:$R))</f>
        <v>0</v>
      </c>
      <c r="D329" s="775">
        <f>(SUMIF(Avaliação!$AA:$AA,A329,Avaliação!$Z:$Z))+(SUMIF(Avaliação!$AD:$AD,A329,Avaliação!$AC:$AC))+(SUMIF(Avaliação!$AG:$AG,A329,Avaliação!$AF:$AF))</f>
        <v>0</v>
      </c>
    </row>
    <row r="330" spans="1:4">
      <c r="A330" s="157" t="s">
        <v>3847</v>
      </c>
      <c r="B330" s="195" t="s">
        <v>3848</v>
      </c>
      <c r="C330" s="775">
        <f>(SUMIF(Avaliação!$K:$K,A330,Avaliação!$J:$J))+(SUMIF(Avaliação!$O:$O,A330,Avaliação!$N:$N))+(SUMIF(Avaliação!$S:$S,A330,Avaliação!$R:$R))</f>
        <v>0</v>
      </c>
      <c r="D330" s="775">
        <f>(SUMIF(Avaliação!$AA:$AA,A330,Avaliação!$Z:$Z))+(SUMIF(Avaliação!$AD:$AD,A330,Avaliação!$AC:$AC))+(SUMIF(Avaliação!$AG:$AG,A330,Avaliação!$AF:$AF))</f>
        <v>0</v>
      </c>
    </row>
    <row r="331" spans="1:4">
      <c r="A331" s="157" t="s">
        <v>3849</v>
      </c>
      <c r="B331" s="195" t="s">
        <v>3850</v>
      </c>
      <c r="C331" s="775">
        <f>(SUMIF(Avaliação!$K:$K,A331,Avaliação!$J:$J))+(SUMIF(Avaliação!$O:$O,A331,Avaliação!$N:$N))+(SUMIF(Avaliação!$S:$S,A331,Avaliação!$R:$R))</f>
        <v>0</v>
      </c>
      <c r="D331" s="775">
        <f>(SUMIF(Avaliação!$AA:$AA,A331,Avaliação!$Z:$Z))+(SUMIF(Avaliação!$AD:$AD,A331,Avaliação!$AC:$AC))+(SUMIF(Avaliação!$AG:$AG,A331,Avaliação!$AF:$AF))</f>
        <v>0</v>
      </c>
    </row>
    <row r="332" spans="1:4">
      <c r="A332" s="157" t="s">
        <v>3851</v>
      </c>
      <c r="B332" s="195" t="s">
        <v>3852</v>
      </c>
      <c r="C332" s="775">
        <f>(SUMIF(Avaliação!$K:$K,A332,Avaliação!$J:$J))+(SUMIF(Avaliação!$O:$O,A332,Avaliação!$N:$N))+(SUMIF(Avaliação!$S:$S,A332,Avaliação!$R:$R))</f>
        <v>0</v>
      </c>
      <c r="D332" s="775">
        <f>(SUMIF(Avaliação!$AA:$AA,A332,Avaliação!$Z:$Z))+(SUMIF(Avaliação!$AD:$AD,A332,Avaliação!$AC:$AC))+(SUMIF(Avaliação!$AG:$AG,A332,Avaliação!$AF:$AF))</f>
        <v>0</v>
      </c>
    </row>
    <row r="333" spans="1:4">
      <c r="A333" s="157" t="s">
        <v>3853</v>
      </c>
      <c r="B333" s="195" t="s">
        <v>3854</v>
      </c>
      <c r="C333" s="775">
        <f>(SUMIF(Avaliação!$K:$K,A333,Avaliação!$J:$J))+(SUMIF(Avaliação!$O:$O,A333,Avaliação!$N:$N))+(SUMIF(Avaliação!$S:$S,A333,Avaliação!$R:$R))</f>
        <v>0</v>
      </c>
      <c r="D333" s="775">
        <f>(SUMIF(Avaliação!$AA:$AA,A333,Avaliação!$Z:$Z))+(SUMIF(Avaliação!$AD:$AD,A333,Avaliação!$AC:$AC))+(SUMIF(Avaliação!$AG:$AG,A333,Avaliação!$AF:$AF))</f>
        <v>0</v>
      </c>
    </row>
    <row r="334" spans="1:4">
      <c r="A334" s="157" t="s">
        <v>3855</v>
      </c>
      <c r="B334" s="195" t="s">
        <v>3856</v>
      </c>
      <c r="C334" s="775">
        <f>(SUMIF(Avaliação!$K:$K,A334,Avaliação!$J:$J))+(SUMIF(Avaliação!$O:$O,A334,Avaliação!$N:$N))+(SUMIF(Avaliação!$S:$S,A334,Avaliação!$R:$R))</f>
        <v>0</v>
      </c>
      <c r="D334" s="775">
        <f>(SUMIF(Avaliação!$AA:$AA,A334,Avaliação!$Z:$Z))+(SUMIF(Avaliação!$AD:$AD,A334,Avaliação!$AC:$AC))+(SUMIF(Avaliação!$AG:$AG,A334,Avaliação!$AF:$AF))</f>
        <v>0</v>
      </c>
    </row>
    <row r="335" spans="1:4">
      <c r="A335" s="157" t="s">
        <v>3857</v>
      </c>
      <c r="B335" s="195" t="s">
        <v>3858</v>
      </c>
      <c r="C335" s="775">
        <f>(SUMIF(Avaliação!$K:$K,A335,Avaliação!$J:$J))+(SUMIF(Avaliação!$O:$O,A335,Avaliação!$N:$N))+(SUMIF(Avaliação!$S:$S,A335,Avaliação!$R:$R))</f>
        <v>0</v>
      </c>
      <c r="D335" s="775">
        <f>(SUMIF(Avaliação!$AA:$AA,A335,Avaliação!$Z:$Z))+(SUMIF(Avaliação!$AD:$AD,A335,Avaliação!$AC:$AC))+(SUMIF(Avaliação!$AG:$AG,A335,Avaliação!$AF:$AF))</f>
        <v>0</v>
      </c>
    </row>
    <row r="336" spans="1:4">
      <c r="A336" s="157" t="s">
        <v>3859</v>
      </c>
      <c r="B336" s="195" t="s">
        <v>3860</v>
      </c>
      <c r="C336" s="775">
        <f>(SUMIF(Avaliação!$K:$K,A336,Avaliação!$J:$J))+(SUMIF(Avaliação!$O:$O,A336,Avaliação!$N:$N))+(SUMIF(Avaliação!$S:$S,A336,Avaliação!$R:$R))</f>
        <v>0</v>
      </c>
      <c r="D336" s="775">
        <f>(SUMIF(Avaliação!$AA:$AA,A336,Avaliação!$Z:$Z))+(SUMIF(Avaliação!$AD:$AD,A336,Avaliação!$AC:$AC))+(SUMIF(Avaliação!$AG:$AG,A336,Avaliação!$AF:$AF))</f>
        <v>0</v>
      </c>
    </row>
    <row r="337" spans="1:4">
      <c r="A337" s="157" t="s">
        <v>3861</v>
      </c>
      <c r="B337" s="195" t="s">
        <v>3862</v>
      </c>
      <c r="C337" s="775">
        <f>(SUMIF(Avaliação!$K:$K,A337,Avaliação!$J:$J))+(SUMIF(Avaliação!$O:$O,A337,Avaliação!$N:$N))+(SUMIF(Avaliação!$S:$S,A337,Avaliação!$R:$R))</f>
        <v>0</v>
      </c>
      <c r="D337" s="775">
        <f>(SUMIF(Avaliação!$AA:$AA,A337,Avaliação!$Z:$Z))+(SUMIF(Avaliação!$AD:$AD,A337,Avaliação!$AC:$AC))+(SUMIF(Avaliação!$AG:$AG,A337,Avaliação!$AF:$AF))</f>
        <v>0</v>
      </c>
    </row>
    <row r="338" spans="1:4">
      <c r="A338" s="157" t="s">
        <v>3863</v>
      </c>
      <c r="B338" s="195" t="s">
        <v>3864</v>
      </c>
      <c r="C338" s="775">
        <f>(SUMIF(Avaliação!$K:$K,A338,Avaliação!$J:$J))+(SUMIF(Avaliação!$O:$O,A338,Avaliação!$N:$N))+(SUMIF(Avaliação!$S:$S,A338,Avaliação!$R:$R))</f>
        <v>0</v>
      </c>
      <c r="D338" s="775">
        <f>(SUMIF(Avaliação!$AA:$AA,A338,Avaliação!$Z:$Z))+(SUMIF(Avaliação!$AD:$AD,A338,Avaliação!$AC:$AC))+(SUMIF(Avaliação!$AG:$AG,A338,Avaliação!$AF:$AF))</f>
        <v>0</v>
      </c>
    </row>
    <row r="339" spans="1:4">
      <c r="A339" s="157" t="s">
        <v>3865</v>
      </c>
      <c r="B339" s="195" t="s">
        <v>3866</v>
      </c>
      <c r="C339" s="775">
        <f>(SUMIF(Avaliação!$K:$K,A339,Avaliação!$J:$J))+(SUMIF(Avaliação!$O:$O,A339,Avaliação!$N:$N))+(SUMIF(Avaliação!$S:$S,A339,Avaliação!$R:$R))</f>
        <v>0</v>
      </c>
      <c r="D339" s="775">
        <f>(SUMIF(Avaliação!$AA:$AA,A339,Avaliação!$Z:$Z))+(SUMIF(Avaliação!$AD:$AD,A339,Avaliação!$AC:$AC))+(SUMIF(Avaliação!$AG:$AG,A339,Avaliação!$AF:$AF))</f>
        <v>0</v>
      </c>
    </row>
    <row r="340" spans="1:4">
      <c r="A340" s="157" t="s">
        <v>3867</v>
      </c>
      <c r="B340" s="195" t="s">
        <v>3868</v>
      </c>
      <c r="C340" s="775">
        <f>(SUMIF(Avaliação!$K:$K,A340,Avaliação!$J:$J))+(SUMIF(Avaliação!$O:$O,A340,Avaliação!$N:$N))+(SUMIF(Avaliação!$S:$S,A340,Avaliação!$R:$R))</f>
        <v>0</v>
      </c>
      <c r="D340" s="775">
        <f>(SUMIF(Avaliação!$AA:$AA,A340,Avaliação!$Z:$Z))+(SUMIF(Avaliação!$AD:$AD,A340,Avaliação!$AC:$AC))+(SUMIF(Avaliação!$AG:$AG,A340,Avaliação!$AF:$AF))</f>
        <v>0</v>
      </c>
    </row>
    <row r="341" spans="1:4">
      <c r="A341" s="157" t="s">
        <v>3869</v>
      </c>
      <c r="B341" s="195" t="s">
        <v>3870</v>
      </c>
      <c r="C341" s="775">
        <f>(SUMIF(Avaliação!$K:$K,A341,Avaliação!$J:$J))+(SUMIF(Avaliação!$O:$O,A341,Avaliação!$N:$N))+(SUMIF(Avaliação!$S:$S,A341,Avaliação!$R:$R))</f>
        <v>0</v>
      </c>
      <c r="D341" s="775">
        <f>(SUMIF(Avaliação!$AA:$AA,A341,Avaliação!$Z:$Z))+(SUMIF(Avaliação!$AD:$AD,A341,Avaliação!$AC:$AC))+(SUMIF(Avaliação!$AG:$AG,A341,Avaliação!$AF:$AF))</f>
        <v>0</v>
      </c>
    </row>
    <row r="342" spans="1:4">
      <c r="A342" s="157" t="s">
        <v>3871</v>
      </c>
      <c r="B342" s="195" t="s">
        <v>3872</v>
      </c>
      <c r="C342" s="775">
        <f>(SUMIF(Avaliação!$K:$K,A342,Avaliação!$J:$J))+(SUMIF(Avaliação!$O:$O,A342,Avaliação!$N:$N))+(SUMIF(Avaliação!$S:$S,A342,Avaliação!$R:$R))</f>
        <v>0</v>
      </c>
      <c r="D342" s="775">
        <f>(SUMIF(Avaliação!$AA:$AA,A342,Avaliação!$Z:$Z))+(SUMIF(Avaliação!$AD:$AD,A342,Avaliação!$AC:$AC))+(SUMIF(Avaliação!$AG:$AG,A342,Avaliação!$AF:$AF))</f>
        <v>0</v>
      </c>
    </row>
    <row r="343" spans="1:4">
      <c r="A343" s="157" t="s">
        <v>3873</v>
      </c>
      <c r="B343" s="195" t="s">
        <v>3874</v>
      </c>
      <c r="C343" s="775">
        <f>(SUMIF(Avaliação!$K:$K,A343,Avaliação!$J:$J))+(SUMIF(Avaliação!$O:$O,A343,Avaliação!$N:$N))+(SUMIF(Avaliação!$S:$S,A343,Avaliação!$R:$R))</f>
        <v>0</v>
      </c>
      <c r="D343" s="775">
        <f>(SUMIF(Avaliação!$AA:$AA,A343,Avaliação!$Z:$Z))+(SUMIF(Avaliação!$AD:$AD,A343,Avaliação!$AC:$AC))+(SUMIF(Avaliação!$AG:$AG,A343,Avaliação!$AF:$AF))</f>
        <v>0</v>
      </c>
    </row>
    <row r="344" spans="1:4">
      <c r="A344" s="157" t="s">
        <v>3875</v>
      </c>
      <c r="B344" s="195" t="s">
        <v>3876</v>
      </c>
      <c r="C344" s="775">
        <f>(SUMIF(Avaliação!$K:$K,A344,Avaliação!$J:$J))+(SUMIF(Avaliação!$O:$O,A344,Avaliação!$N:$N))+(SUMIF(Avaliação!$S:$S,A344,Avaliação!$R:$R))</f>
        <v>0</v>
      </c>
      <c r="D344" s="775">
        <f>(SUMIF(Avaliação!$AA:$AA,A344,Avaliação!$Z:$Z))+(SUMIF(Avaliação!$AD:$AD,A344,Avaliação!$AC:$AC))+(SUMIF(Avaliação!$AG:$AG,A344,Avaliação!$AF:$AF))</f>
        <v>0</v>
      </c>
    </row>
    <row r="345" spans="1:4">
      <c r="A345" s="157" t="s">
        <v>3877</v>
      </c>
      <c r="B345" s="195" t="s">
        <v>3878</v>
      </c>
      <c r="C345" s="775">
        <f>(SUMIF(Avaliação!$K:$K,A345,Avaliação!$J:$J))+(SUMIF(Avaliação!$O:$O,A345,Avaliação!$N:$N))+(SUMIF(Avaliação!$S:$S,A345,Avaliação!$R:$R))</f>
        <v>0</v>
      </c>
      <c r="D345" s="775">
        <f>(SUMIF(Avaliação!$AA:$AA,A345,Avaliação!$Z:$Z))+(SUMIF(Avaliação!$AD:$AD,A345,Avaliação!$AC:$AC))+(SUMIF(Avaliação!$AG:$AG,A345,Avaliação!$AF:$AF))</f>
        <v>0</v>
      </c>
    </row>
    <row r="346" spans="1:4">
      <c r="A346" s="157" t="s">
        <v>3879</v>
      </c>
      <c r="B346" s="195" t="s">
        <v>3880</v>
      </c>
      <c r="C346" s="775">
        <f>(SUMIF(Avaliação!$K:$K,A346,Avaliação!$J:$J))+(SUMIF(Avaliação!$O:$O,A346,Avaliação!$N:$N))+(SUMIF(Avaliação!$S:$S,A346,Avaliação!$R:$R))</f>
        <v>0</v>
      </c>
      <c r="D346" s="775">
        <f>(SUMIF(Avaliação!$AA:$AA,A346,Avaliação!$Z:$Z))+(SUMIF(Avaliação!$AD:$AD,A346,Avaliação!$AC:$AC))+(SUMIF(Avaliação!$AG:$AG,A346,Avaliação!$AF:$AF))</f>
        <v>0</v>
      </c>
    </row>
    <row r="347" spans="1:4">
      <c r="A347" s="157" t="s">
        <v>3881</v>
      </c>
      <c r="B347" s="195" t="s">
        <v>3882</v>
      </c>
      <c r="C347" s="775">
        <f>(SUMIF(Avaliação!$K:$K,A347,Avaliação!$J:$J))+(SUMIF(Avaliação!$O:$O,A347,Avaliação!$N:$N))+(SUMIF(Avaliação!$S:$S,A347,Avaliação!$R:$R))</f>
        <v>0</v>
      </c>
      <c r="D347" s="775">
        <f>(SUMIF(Avaliação!$AA:$AA,A347,Avaliação!$Z:$Z))+(SUMIF(Avaliação!$AD:$AD,A347,Avaliação!$AC:$AC))+(SUMIF(Avaliação!$AG:$AG,A347,Avaliação!$AF:$AF))</f>
        <v>0</v>
      </c>
    </row>
    <row r="348" spans="1:4">
      <c r="A348" s="157" t="s">
        <v>3883</v>
      </c>
      <c r="B348" s="195" t="s">
        <v>3884</v>
      </c>
      <c r="C348" s="775">
        <f>(SUMIF(Avaliação!$K:$K,A348,Avaliação!$J:$J))+(SUMIF(Avaliação!$O:$O,A348,Avaliação!$N:$N))+(SUMIF(Avaliação!$S:$S,A348,Avaliação!$R:$R))</f>
        <v>0</v>
      </c>
      <c r="D348" s="775">
        <f>(SUMIF(Avaliação!$AA:$AA,A348,Avaliação!$Z:$Z))+(SUMIF(Avaliação!$AD:$AD,A348,Avaliação!$AC:$AC))+(SUMIF(Avaliação!$AG:$AG,A348,Avaliação!$AF:$AF))</f>
        <v>0</v>
      </c>
    </row>
    <row r="349" spans="1:4">
      <c r="A349" s="157" t="s">
        <v>3885</v>
      </c>
      <c r="B349" s="195" t="s">
        <v>3886</v>
      </c>
      <c r="C349" s="775">
        <f>(SUMIF(Avaliação!$K:$K,A349,Avaliação!$J:$J))+(SUMIF(Avaliação!$O:$O,A349,Avaliação!$N:$N))+(SUMIF(Avaliação!$S:$S,A349,Avaliação!$R:$R))</f>
        <v>0</v>
      </c>
      <c r="D349" s="775">
        <f>(SUMIF(Avaliação!$AA:$AA,A349,Avaliação!$Z:$Z))+(SUMIF(Avaliação!$AD:$AD,A349,Avaliação!$AC:$AC))+(SUMIF(Avaliação!$AG:$AG,A349,Avaliação!$AF:$AF))</f>
        <v>0</v>
      </c>
    </row>
    <row r="350" spans="1:4">
      <c r="A350" s="157" t="s">
        <v>3887</v>
      </c>
      <c r="B350" s="195" t="s">
        <v>3888</v>
      </c>
      <c r="C350" s="775">
        <f>(SUMIF(Avaliação!$K:$K,A350,Avaliação!$J:$J))+(SUMIF(Avaliação!$O:$O,A350,Avaliação!$N:$N))+(SUMIF(Avaliação!$S:$S,A350,Avaliação!$R:$R))</f>
        <v>0</v>
      </c>
      <c r="D350" s="775">
        <f>(SUMIF(Avaliação!$AA:$AA,A350,Avaliação!$Z:$Z))+(SUMIF(Avaliação!$AD:$AD,A350,Avaliação!$AC:$AC))+(SUMIF(Avaliação!$AG:$AG,A350,Avaliação!$AF:$AF))</f>
        <v>0</v>
      </c>
    </row>
    <row r="351" spans="1:4">
      <c r="A351" s="157" t="s">
        <v>3889</v>
      </c>
      <c r="B351" s="195" t="s">
        <v>3890</v>
      </c>
      <c r="C351" s="775">
        <f>(SUMIF(Avaliação!$K:$K,A351,Avaliação!$J:$J))+(SUMIF(Avaliação!$O:$O,A351,Avaliação!$N:$N))+(SUMIF(Avaliação!$S:$S,A351,Avaliação!$R:$R))</f>
        <v>0</v>
      </c>
      <c r="D351" s="775">
        <f>(SUMIF(Avaliação!$AA:$AA,A351,Avaliação!$Z:$Z))+(SUMIF(Avaliação!$AD:$AD,A351,Avaliação!$AC:$AC))+(SUMIF(Avaliação!$AG:$AG,A351,Avaliação!$AF:$AF))</f>
        <v>0</v>
      </c>
    </row>
    <row r="352" spans="1:4">
      <c r="A352" s="157" t="s">
        <v>3891</v>
      </c>
      <c r="B352" s="195" t="s">
        <v>3892</v>
      </c>
      <c r="C352" s="775">
        <f>(SUMIF(Avaliação!$K:$K,A352,Avaliação!$J:$J))+(SUMIF(Avaliação!$O:$O,A352,Avaliação!$N:$N))+(SUMIF(Avaliação!$S:$S,A352,Avaliação!$R:$R))</f>
        <v>0</v>
      </c>
      <c r="D352" s="775">
        <f>(SUMIF(Avaliação!$AA:$AA,A352,Avaliação!$Z:$Z))+(SUMIF(Avaliação!$AD:$AD,A352,Avaliação!$AC:$AC))+(SUMIF(Avaliação!$AG:$AG,A352,Avaliação!$AF:$AF))</f>
        <v>0</v>
      </c>
    </row>
    <row r="353" spans="1:4">
      <c r="A353" s="157" t="s">
        <v>3893</v>
      </c>
      <c r="B353" s="195" t="s">
        <v>3894</v>
      </c>
      <c r="C353" s="775">
        <f>(SUMIF(Avaliação!$K:$K,A353,Avaliação!$J:$J))+(SUMIF(Avaliação!$O:$O,A353,Avaliação!$N:$N))+(SUMIF(Avaliação!$S:$S,A353,Avaliação!$R:$R))</f>
        <v>0</v>
      </c>
      <c r="D353" s="775">
        <f>(SUMIF(Avaliação!$AA:$AA,A353,Avaliação!$Z:$Z))+(SUMIF(Avaliação!$AD:$AD,A353,Avaliação!$AC:$AC))+(SUMIF(Avaliação!$AG:$AG,A353,Avaliação!$AF:$AF))</f>
        <v>0</v>
      </c>
    </row>
    <row r="354" spans="1:4">
      <c r="A354" s="157" t="s">
        <v>3895</v>
      </c>
      <c r="B354" s="195" t="s">
        <v>3896</v>
      </c>
      <c r="C354" s="775">
        <f>(SUMIF(Avaliação!$K:$K,A354,Avaliação!$J:$J))+(SUMIF(Avaliação!$O:$O,A354,Avaliação!$N:$N))+(SUMIF(Avaliação!$S:$S,A354,Avaliação!$R:$R))</f>
        <v>0</v>
      </c>
      <c r="D354" s="775">
        <f>(SUMIF(Avaliação!$AA:$AA,A354,Avaliação!$Z:$Z))+(SUMIF(Avaliação!$AD:$AD,A354,Avaliação!$AC:$AC))+(SUMIF(Avaliação!$AG:$AG,A354,Avaliação!$AF:$AF))</f>
        <v>0</v>
      </c>
    </row>
    <row r="355" spans="1:4">
      <c r="A355" s="157" t="s">
        <v>3897</v>
      </c>
      <c r="B355" s="195" t="s">
        <v>3898</v>
      </c>
      <c r="C355" s="775">
        <f>(SUMIF(Avaliação!$K:$K,A355,Avaliação!$J:$J))+(SUMIF(Avaliação!$O:$O,A355,Avaliação!$N:$N))+(SUMIF(Avaliação!$S:$S,A355,Avaliação!$R:$R))</f>
        <v>0</v>
      </c>
      <c r="D355" s="775">
        <f>(SUMIF(Avaliação!$AA:$AA,A355,Avaliação!$Z:$Z))+(SUMIF(Avaliação!$AD:$AD,A355,Avaliação!$AC:$AC))+(SUMIF(Avaliação!$AG:$AG,A355,Avaliação!$AF:$AF))</f>
        <v>0</v>
      </c>
    </row>
    <row r="356" spans="1:4">
      <c r="A356" s="157" t="s">
        <v>3899</v>
      </c>
      <c r="B356" s="195" t="s">
        <v>3900</v>
      </c>
      <c r="C356" s="775">
        <f>(SUMIF(Avaliação!$K:$K,A356,Avaliação!$J:$J))+(SUMIF(Avaliação!$O:$O,A356,Avaliação!$N:$N))+(SUMIF(Avaliação!$S:$S,A356,Avaliação!$R:$R))</f>
        <v>0</v>
      </c>
      <c r="D356" s="775">
        <f>(SUMIF(Avaliação!$AA:$AA,A356,Avaliação!$Z:$Z))+(SUMIF(Avaliação!$AD:$AD,A356,Avaliação!$AC:$AC))+(SUMIF(Avaliação!$AG:$AG,A356,Avaliação!$AF:$AF))</f>
        <v>0</v>
      </c>
    </row>
    <row r="357" spans="1:4">
      <c r="A357" s="157" t="s">
        <v>3901</v>
      </c>
      <c r="B357" s="195" t="s">
        <v>3902</v>
      </c>
      <c r="C357" s="775">
        <f>(SUMIF(Avaliação!$K:$K,A357,Avaliação!$J:$J))+(SUMIF(Avaliação!$O:$O,A357,Avaliação!$N:$N))+(SUMIF(Avaliação!$S:$S,A357,Avaliação!$R:$R))</f>
        <v>0</v>
      </c>
      <c r="D357" s="775">
        <f>(SUMIF(Avaliação!$AA:$AA,A357,Avaliação!$Z:$Z))+(SUMIF(Avaliação!$AD:$AD,A357,Avaliação!$AC:$AC))+(SUMIF(Avaliação!$AG:$AG,A357,Avaliação!$AF:$AF))</f>
        <v>0</v>
      </c>
    </row>
    <row r="358" spans="1:4">
      <c r="A358" s="157" t="s">
        <v>3903</v>
      </c>
      <c r="B358" s="195" t="s">
        <v>3904</v>
      </c>
      <c r="C358" s="775">
        <f>(SUMIF(Avaliação!$K:$K,A358,Avaliação!$J:$J))+(SUMIF(Avaliação!$O:$O,A358,Avaliação!$N:$N))+(SUMIF(Avaliação!$S:$S,A358,Avaliação!$R:$R))</f>
        <v>0</v>
      </c>
      <c r="D358" s="775">
        <f>(SUMIF(Avaliação!$AA:$AA,A358,Avaliação!$Z:$Z))+(SUMIF(Avaliação!$AD:$AD,A358,Avaliação!$AC:$AC))+(SUMIF(Avaliação!$AG:$AG,A358,Avaliação!$AF:$AF))</f>
        <v>0</v>
      </c>
    </row>
    <row r="359" spans="1:4">
      <c r="A359" s="157" t="s">
        <v>3905</v>
      </c>
      <c r="B359" s="195" t="s">
        <v>3906</v>
      </c>
      <c r="C359" s="775">
        <f>(SUMIF(Avaliação!$K:$K,A359,Avaliação!$J:$J))+(SUMIF(Avaliação!$O:$O,A359,Avaliação!$N:$N))+(SUMIF(Avaliação!$S:$S,A359,Avaliação!$R:$R))</f>
        <v>0</v>
      </c>
      <c r="D359" s="775">
        <f>(SUMIF(Avaliação!$AA:$AA,A359,Avaliação!$Z:$Z))+(SUMIF(Avaliação!$AD:$AD,A359,Avaliação!$AC:$AC))+(SUMIF(Avaliação!$AG:$AG,A359,Avaliação!$AF:$AF))</f>
        <v>0</v>
      </c>
    </row>
    <row r="360" spans="1:4">
      <c r="A360" s="157" t="s">
        <v>3907</v>
      </c>
      <c r="B360" s="195" t="s">
        <v>3908</v>
      </c>
      <c r="C360" s="775">
        <f>(SUMIF(Avaliação!$K:$K,A360,Avaliação!$J:$J))+(SUMIF(Avaliação!$O:$O,A360,Avaliação!$N:$N))+(SUMIF(Avaliação!$S:$S,A360,Avaliação!$R:$R))</f>
        <v>0</v>
      </c>
      <c r="D360" s="775">
        <f>(SUMIF(Avaliação!$AA:$AA,A360,Avaliação!$Z:$Z))+(SUMIF(Avaliação!$AD:$AD,A360,Avaliação!$AC:$AC))+(SUMIF(Avaliação!$AG:$AG,A360,Avaliação!$AF:$AF))</f>
        <v>0</v>
      </c>
    </row>
    <row r="361" spans="1:4">
      <c r="A361" s="157" t="s">
        <v>3909</v>
      </c>
      <c r="B361" s="195" t="s">
        <v>3910</v>
      </c>
      <c r="C361" s="775">
        <f>(SUMIF(Avaliação!$K:$K,A361,Avaliação!$J:$J))+(SUMIF(Avaliação!$O:$O,A361,Avaliação!$N:$N))+(SUMIF(Avaliação!$S:$S,A361,Avaliação!$R:$R))</f>
        <v>0</v>
      </c>
      <c r="D361" s="775">
        <f>(SUMIF(Avaliação!$AA:$AA,A361,Avaliação!$Z:$Z))+(SUMIF(Avaliação!$AD:$AD,A361,Avaliação!$AC:$AC))+(SUMIF(Avaliação!$AG:$AG,A361,Avaliação!$AF:$AF))</f>
        <v>0</v>
      </c>
    </row>
    <row r="362" spans="1:4">
      <c r="A362" s="157" t="s">
        <v>3911</v>
      </c>
      <c r="B362" s="195" t="s">
        <v>3912</v>
      </c>
      <c r="C362" s="775">
        <f>(SUMIF(Avaliação!$K:$K,A362,Avaliação!$J:$J))+(SUMIF(Avaliação!$O:$O,A362,Avaliação!$N:$N))+(SUMIF(Avaliação!$S:$S,A362,Avaliação!$R:$R))</f>
        <v>0</v>
      </c>
      <c r="D362" s="775">
        <f>(SUMIF(Avaliação!$AA:$AA,A362,Avaliação!$Z:$Z))+(SUMIF(Avaliação!$AD:$AD,A362,Avaliação!$AC:$AC))+(SUMIF(Avaliação!$AG:$AG,A362,Avaliação!$AF:$AF))</f>
        <v>0</v>
      </c>
    </row>
    <row r="363" spans="1:4">
      <c r="A363" s="157" t="s">
        <v>3913</v>
      </c>
      <c r="B363" s="195" t="s">
        <v>3914</v>
      </c>
      <c r="C363" s="775">
        <f>(SUMIF(Avaliação!$K:$K,A363,Avaliação!$J:$J))+(SUMIF(Avaliação!$O:$O,A363,Avaliação!$N:$N))+(SUMIF(Avaliação!$S:$S,A363,Avaliação!$R:$R))</f>
        <v>0</v>
      </c>
      <c r="D363" s="775">
        <f>(SUMIF(Avaliação!$AA:$AA,A363,Avaliação!$Z:$Z))+(SUMIF(Avaliação!$AD:$AD,A363,Avaliação!$AC:$AC))+(SUMIF(Avaliação!$AG:$AG,A363,Avaliação!$AF:$AF))</f>
        <v>0</v>
      </c>
    </row>
    <row r="364" spans="1:4">
      <c r="A364" s="157" t="s">
        <v>3915</v>
      </c>
      <c r="B364" s="195" t="s">
        <v>3916</v>
      </c>
      <c r="C364" s="775">
        <f>(SUMIF(Avaliação!$K:$K,A364,Avaliação!$J:$J))+(SUMIF(Avaliação!$O:$O,A364,Avaliação!$N:$N))+(SUMIF(Avaliação!$S:$S,A364,Avaliação!$R:$R))</f>
        <v>0</v>
      </c>
      <c r="D364" s="775">
        <f>(SUMIF(Avaliação!$AA:$AA,A364,Avaliação!$Z:$Z))+(SUMIF(Avaliação!$AD:$AD,A364,Avaliação!$AC:$AC))+(SUMIF(Avaliação!$AG:$AG,A364,Avaliação!$AF:$AF))</f>
        <v>0</v>
      </c>
    </row>
    <row r="365" spans="1:4">
      <c r="A365" s="157" t="s">
        <v>3917</v>
      </c>
      <c r="B365" s="195" t="s">
        <v>3918</v>
      </c>
      <c r="C365" s="775">
        <f>(SUMIF(Avaliação!$K:$K,A365,Avaliação!$J:$J))+(SUMIF(Avaliação!$O:$O,A365,Avaliação!$N:$N))+(SUMIF(Avaliação!$S:$S,A365,Avaliação!$R:$R))</f>
        <v>0</v>
      </c>
      <c r="D365" s="775">
        <f>(SUMIF(Avaliação!$AA:$AA,A365,Avaliação!$Z:$Z))+(SUMIF(Avaliação!$AD:$AD,A365,Avaliação!$AC:$AC))+(SUMIF(Avaliação!$AG:$AG,A365,Avaliação!$AF:$AF))</f>
        <v>0</v>
      </c>
    </row>
    <row r="366" spans="1:4">
      <c r="A366" s="157" t="s">
        <v>3919</v>
      </c>
      <c r="B366" s="195" t="s">
        <v>3920</v>
      </c>
      <c r="C366" s="775">
        <f>(SUMIF(Avaliação!$K:$K,A366,Avaliação!$J:$J))+(SUMIF(Avaliação!$O:$O,A366,Avaliação!$N:$N))+(SUMIF(Avaliação!$S:$S,A366,Avaliação!$R:$R))</f>
        <v>0</v>
      </c>
      <c r="D366" s="775">
        <f>(SUMIF(Avaliação!$AA:$AA,A366,Avaliação!$Z:$Z))+(SUMIF(Avaliação!$AD:$AD,A366,Avaliação!$AC:$AC))+(SUMIF(Avaliação!$AG:$AG,A366,Avaliação!$AF:$AF))</f>
        <v>0</v>
      </c>
    </row>
    <row r="367" spans="1:4">
      <c r="A367" s="157" t="s">
        <v>3921</v>
      </c>
      <c r="B367" s="195" t="s">
        <v>3922</v>
      </c>
      <c r="C367" s="775">
        <f>(SUMIF(Avaliação!$K:$K,A367,Avaliação!$J:$J))+(SUMIF(Avaliação!$O:$O,A367,Avaliação!$N:$N))+(SUMIF(Avaliação!$S:$S,A367,Avaliação!$R:$R))</f>
        <v>0</v>
      </c>
      <c r="D367" s="775">
        <f>(SUMIF(Avaliação!$AA:$AA,A367,Avaliação!$Z:$Z))+(SUMIF(Avaliação!$AD:$AD,A367,Avaliação!$AC:$AC))+(SUMIF(Avaliação!$AG:$AG,A367,Avaliação!$AF:$AF))</f>
        <v>0</v>
      </c>
    </row>
    <row r="368" spans="1:4">
      <c r="A368" s="157" t="s">
        <v>3923</v>
      </c>
      <c r="B368" s="195" t="s">
        <v>3924</v>
      </c>
      <c r="C368" s="775">
        <f>(SUMIF(Avaliação!$K:$K,A368,Avaliação!$J:$J))+(SUMIF(Avaliação!$O:$O,A368,Avaliação!$N:$N))+(SUMIF(Avaliação!$S:$S,A368,Avaliação!$R:$R))</f>
        <v>0</v>
      </c>
      <c r="D368" s="775">
        <f>(SUMIF(Avaliação!$AA:$AA,A368,Avaliação!$Z:$Z))+(SUMIF(Avaliação!$AD:$AD,A368,Avaliação!$AC:$AC))+(SUMIF(Avaliação!$AG:$AG,A368,Avaliação!$AF:$AF))</f>
        <v>0</v>
      </c>
    </row>
    <row r="369" spans="1:4">
      <c r="A369" s="157" t="s">
        <v>3925</v>
      </c>
      <c r="B369" s="195" t="s">
        <v>3926</v>
      </c>
      <c r="C369" s="775">
        <f>(SUMIF(Avaliação!$K:$K,A369,Avaliação!$J:$J))+(SUMIF(Avaliação!$O:$O,A369,Avaliação!$N:$N))+(SUMIF(Avaliação!$S:$S,A369,Avaliação!$R:$R))</f>
        <v>0</v>
      </c>
      <c r="D369" s="775">
        <f>(SUMIF(Avaliação!$AA:$AA,A369,Avaliação!$Z:$Z))+(SUMIF(Avaliação!$AD:$AD,A369,Avaliação!$AC:$AC))+(SUMIF(Avaliação!$AG:$AG,A369,Avaliação!$AF:$AF))</f>
        <v>0</v>
      </c>
    </row>
    <row r="370" spans="1:4">
      <c r="A370" s="157" t="s">
        <v>3927</v>
      </c>
      <c r="B370" s="195" t="s">
        <v>3928</v>
      </c>
      <c r="C370" s="775">
        <f>(SUMIF(Avaliação!$K:$K,A370,Avaliação!$J:$J))+(SUMIF(Avaliação!$O:$O,A370,Avaliação!$N:$N))+(SUMIF(Avaliação!$S:$S,A370,Avaliação!$R:$R))</f>
        <v>0</v>
      </c>
      <c r="D370" s="775">
        <f>(SUMIF(Avaliação!$AA:$AA,A370,Avaliação!$Z:$Z))+(SUMIF(Avaliação!$AD:$AD,A370,Avaliação!$AC:$AC))+(SUMIF(Avaliação!$AG:$AG,A370,Avaliação!$AF:$AF))</f>
        <v>0</v>
      </c>
    </row>
    <row r="371" spans="1:4">
      <c r="A371" s="157" t="s">
        <v>3929</v>
      </c>
      <c r="B371" s="195" t="s">
        <v>3930</v>
      </c>
      <c r="C371" s="775">
        <f>(SUMIF(Avaliação!$K:$K,A371,Avaliação!$J:$J))+(SUMIF(Avaliação!$O:$O,A371,Avaliação!$N:$N))+(SUMIF(Avaliação!$S:$S,A371,Avaliação!$R:$R))</f>
        <v>0</v>
      </c>
      <c r="D371" s="775">
        <f>(SUMIF(Avaliação!$AA:$AA,A371,Avaliação!$Z:$Z))+(SUMIF(Avaliação!$AD:$AD,A371,Avaliação!$AC:$AC))+(SUMIF(Avaliação!$AG:$AG,A371,Avaliação!$AF:$AF))</f>
        <v>0</v>
      </c>
    </row>
    <row r="372" spans="1:4">
      <c r="A372" s="157" t="s">
        <v>3931</v>
      </c>
      <c r="B372" s="195" t="s">
        <v>3932</v>
      </c>
      <c r="C372" s="775">
        <f>(SUMIF(Avaliação!$K:$K,A372,Avaliação!$J:$J))+(SUMIF(Avaliação!$O:$O,A372,Avaliação!$N:$N))+(SUMIF(Avaliação!$S:$S,A372,Avaliação!$R:$R))</f>
        <v>0</v>
      </c>
      <c r="D372" s="775">
        <f>(SUMIF(Avaliação!$AA:$AA,A372,Avaliação!$Z:$Z))+(SUMIF(Avaliação!$AD:$AD,A372,Avaliação!$AC:$AC))+(SUMIF(Avaliação!$AG:$AG,A372,Avaliação!$AF:$AF))</f>
        <v>0</v>
      </c>
    </row>
    <row r="373" spans="1:4">
      <c r="A373" s="157" t="s">
        <v>3933</v>
      </c>
      <c r="B373" s="195" t="s">
        <v>3934</v>
      </c>
      <c r="C373" s="775">
        <f>(SUMIF(Avaliação!$K:$K,A373,Avaliação!$J:$J))+(SUMIF(Avaliação!$O:$O,A373,Avaliação!$N:$N))+(SUMIF(Avaliação!$S:$S,A373,Avaliação!$R:$R))</f>
        <v>0</v>
      </c>
      <c r="D373" s="775">
        <f>(SUMIF(Avaliação!$AA:$AA,A373,Avaliação!$Z:$Z))+(SUMIF(Avaliação!$AD:$AD,A373,Avaliação!$AC:$AC))+(SUMIF(Avaliação!$AG:$AG,A373,Avaliação!$AF:$AF))</f>
        <v>0</v>
      </c>
    </row>
    <row r="374" spans="1:4">
      <c r="A374" s="157" t="s">
        <v>3935</v>
      </c>
      <c r="B374" s="195" t="s">
        <v>3936</v>
      </c>
      <c r="C374" s="775">
        <f>(SUMIF(Avaliação!$K:$K,A374,Avaliação!$J:$J))+(SUMIF(Avaliação!$O:$O,A374,Avaliação!$N:$N))+(SUMIF(Avaliação!$S:$S,A374,Avaliação!$R:$R))</f>
        <v>0</v>
      </c>
      <c r="D374" s="775">
        <f>(SUMIF(Avaliação!$AA:$AA,A374,Avaliação!$Z:$Z))+(SUMIF(Avaliação!$AD:$AD,A374,Avaliação!$AC:$AC))+(SUMIF(Avaliação!$AG:$AG,A374,Avaliação!$AF:$AF))</f>
        <v>0</v>
      </c>
    </row>
    <row r="375" spans="1:4">
      <c r="A375" s="157" t="s">
        <v>3937</v>
      </c>
      <c r="B375" s="195" t="s">
        <v>3938</v>
      </c>
      <c r="C375" s="775">
        <f>(SUMIF(Avaliação!$K:$K,A375,Avaliação!$J:$J))+(SUMIF(Avaliação!$O:$O,A375,Avaliação!$N:$N))+(SUMIF(Avaliação!$S:$S,A375,Avaliação!$R:$R))</f>
        <v>0</v>
      </c>
      <c r="D375" s="775">
        <f>(SUMIF(Avaliação!$AA:$AA,A375,Avaliação!$Z:$Z))+(SUMIF(Avaliação!$AD:$AD,A375,Avaliação!$AC:$AC))+(SUMIF(Avaliação!$AG:$AG,A375,Avaliação!$AF:$AF))</f>
        <v>0</v>
      </c>
    </row>
    <row r="376" spans="1:4">
      <c r="A376" s="157" t="s">
        <v>3939</v>
      </c>
      <c r="B376" s="195" t="s">
        <v>3940</v>
      </c>
      <c r="C376" s="775">
        <f>(SUMIF(Avaliação!$K:$K,A376,Avaliação!$J:$J))+(SUMIF(Avaliação!$O:$O,A376,Avaliação!$N:$N))+(SUMIF(Avaliação!$S:$S,A376,Avaliação!$R:$R))</f>
        <v>0</v>
      </c>
      <c r="D376" s="775">
        <f>(SUMIF(Avaliação!$AA:$AA,A376,Avaliação!$Z:$Z))+(SUMIF(Avaliação!$AD:$AD,A376,Avaliação!$AC:$AC))+(SUMIF(Avaliação!$AG:$AG,A376,Avaliação!$AF:$AF))</f>
        <v>0</v>
      </c>
    </row>
    <row r="377" spans="1:4">
      <c r="A377" s="157" t="s">
        <v>3941</v>
      </c>
      <c r="B377" s="195" t="s">
        <v>3942</v>
      </c>
      <c r="C377" s="775">
        <f>(SUMIF(Avaliação!$K:$K,A377,Avaliação!$J:$J))+(SUMIF(Avaliação!$O:$O,A377,Avaliação!$N:$N))+(SUMIF(Avaliação!$S:$S,A377,Avaliação!$R:$R))</f>
        <v>0</v>
      </c>
      <c r="D377" s="775">
        <f>(SUMIF(Avaliação!$AA:$AA,A377,Avaliação!$Z:$Z))+(SUMIF(Avaliação!$AD:$AD,A377,Avaliação!$AC:$AC))+(SUMIF(Avaliação!$AG:$AG,A377,Avaliação!$AF:$AF))</f>
        <v>0</v>
      </c>
    </row>
    <row r="378" spans="1:4">
      <c r="A378" s="157" t="s">
        <v>3943</v>
      </c>
      <c r="B378" s="195" t="s">
        <v>3944</v>
      </c>
      <c r="C378" s="775">
        <f>(SUMIF(Avaliação!$K:$K,A378,Avaliação!$J:$J))+(SUMIF(Avaliação!$O:$O,A378,Avaliação!$N:$N))+(SUMIF(Avaliação!$S:$S,A378,Avaliação!$R:$R))</f>
        <v>0</v>
      </c>
      <c r="D378" s="775">
        <f>(SUMIF(Avaliação!$AA:$AA,A378,Avaliação!$Z:$Z))+(SUMIF(Avaliação!$AD:$AD,A378,Avaliação!$AC:$AC))+(SUMIF(Avaliação!$AG:$AG,A378,Avaliação!$AF:$AF))</f>
        <v>0</v>
      </c>
    </row>
    <row r="379" spans="1:4">
      <c r="A379" s="157" t="s">
        <v>3945</v>
      </c>
      <c r="B379" s="195" t="s">
        <v>3946</v>
      </c>
      <c r="C379" s="775">
        <f>(SUMIF(Avaliação!$K:$K,A379,Avaliação!$J:$J))+(SUMIF(Avaliação!$O:$O,A379,Avaliação!$N:$N))+(SUMIF(Avaliação!$S:$S,A379,Avaliação!$R:$R))</f>
        <v>0</v>
      </c>
      <c r="D379" s="775">
        <f>(SUMIF(Avaliação!$AA:$AA,A379,Avaliação!$Z:$Z))+(SUMIF(Avaliação!$AD:$AD,A379,Avaliação!$AC:$AC))+(SUMIF(Avaliação!$AG:$AG,A379,Avaliação!$AF:$AF))</f>
        <v>0</v>
      </c>
    </row>
    <row r="380" spans="1:4">
      <c r="A380" s="157" t="s">
        <v>3947</v>
      </c>
      <c r="B380" s="195" t="s">
        <v>3948</v>
      </c>
      <c r="C380" s="775">
        <f>(SUMIF(Avaliação!$K:$K,A380,Avaliação!$J:$J))+(SUMIF(Avaliação!$O:$O,A380,Avaliação!$N:$N))+(SUMIF(Avaliação!$S:$S,A380,Avaliação!$R:$R))</f>
        <v>0</v>
      </c>
      <c r="D380" s="775">
        <f>(SUMIF(Avaliação!$AA:$AA,A380,Avaliação!$Z:$Z))+(SUMIF(Avaliação!$AD:$AD,A380,Avaliação!$AC:$AC))+(SUMIF(Avaliação!$AG:$AG,A380,Avaliação!$AF:$AF))</f>
        <v>0</v>
      </c>
    </row>
    <row r="381" spans="1:4">
      <c r="A381" s="157" t="s">
        <v>3949</v>
      </c>
      <c r="B381" s="195" t="s">
        <v>3950</v>
      </c>
      <c r="C381" s="775">
        <f>(SUMIF(Avaliação!$K:$K,A381,Avaliação!$J:$J))+(SUMIF(Avaliação!$O:$O,A381,Avaliação!$N:$N))+(SUMIF(Avaliação!$S:$S,A381,Avaliação!$R:$R))</f>
        <v>0</v>
      </c>
      <c r="D381" s="775">
        <f>(SUMIF(Avaliação!$AA:$AA,A381,Avaliação!$Z:$Z))+(SUMIF(Avaliação!$AD:$AD,A381,Avaliação!$AC:$AC))+(SUMIF(Avaliação!$AG:$AG,A381,Avaliação!$AF:$AF))</f>
        <v>0</v>
      </c>
    </row>
    <row r="382" spans="1:4">
      <c r="A382" s="157" t="s">
        <v>3951</v>
      </c>
      <c r="B382" s="195" t="s">
        <v>3952</v>
      </c>
      <c r="C382" s="775">
        <f>(SUMIF(Avaliação!$K:$K,A382,Avaliação!$J:$J))+(SUMIF(Avaliação!$O:$O,A382,Avaliação!$N:$N))+(SUMIF(Avaliação!$S:$S,A382,Avaliação!$R:$R))</f>
        <v>0</v>
      </c>
      <c r="D382" s="775">
        <f>(SUMIF(Avaliação!$AA:$AA,A382,Avaliação!$Z:$Z))+(SUMIF(Avaliação!$AD:$AD,A382,Avaliação!$AC:$AC))+(SUMIF(Avaliação!$AG:$AG,A382,Avaliação!$AF:$AF))</f>
        <v>0</v>
      </c>
    </row>
    <row r="383" spans="1:4">
      <c r="A383" s="157" t="s">
        <v>3953</v>
      </c>
      <c r="B383" s="195" t="s">
        <v>3954</v>
      </c>
      <c r="C383" s="775">
        <f>(SUMIF(Avaliação!$K:$K,A383,Avaliação!$J:$J))+(SUMIF(Avaliação!$O:$O,A383,Avaliação!$N:$N))+(SUMIF(Avaliação!$S:$S,A383,Avaliação!$R:$R))</f>
        <v>0</v>
      </c>
      <c r="D383" s="775">
        <f>(SUMIF(Avaliação!$AA:$AA,A383,Avaliação!$Z:$Z))+(SUMIF(Avaliação!$AD:$AD,A383,Avaliação!$AC:$AC))+(SUMIF(Avaliação!$AG:$AG,A383,Avaliação!$AF:$AF))</f>
        <v>0</v>
      </c>
    </row>
    <row r="384" spans="1:4">
      <c r="A384" s="157" t="s">
        <v>3955</v>
      </c>
      <c r="B384" s="195" t="s">
        <v>3956</v>
      </c>
      <c r="C384" s="775">
        <f>(SUMIF(Avaliação!$K:$K,A384,Avaliação!$J:$J))+(SUMIF(Avaliação!$O:$O,A384,Avaliação!$N:$N))+(SUMIF(Avaliação!$S:$S,A384,Avaliação!$R:$R))</f>
        <v>0</v>
      </c>
      <c r="D384" s="775">
        <f>(SUMIF(Avaliação!$AA:$AA,A384,Avaliação!$Z:$Z))+(SUMIF(Avaliação!$AD:$AD,A384,Avaliação!$AC:$AC))+(SUMIF(Avaliação!$AG:$AG,A384,Avaliação!$AF:$AF))</f>
        <v>0</v>
      </c>
    </row>
    <row r="385" spans="1:4">
      <c r="A385" s="157" t="s">
        <v>3957</v>
      </c>
      <c r="B385" s="195" t="s">
        <v>3958</v>
      </c>
      <c r="C385" s="775">
        <f>(SUMIF(Avaliação!$K:$K,A385,Avaliação!$J:$J))+(SUMIF(Avaliação!$O:$O,A385,Avaliação!$N:$N))+(SUMIF(Avaliação!$S:$S,A385,Avaliação!$R:$R))</f>
        <v>0</v>
      </c>
      <c r="D385" s="775">
        <f>(SUMIF(Avaliação!$AA:$AA,A385,Avaliação!$Z:$Z))+(SUMIF(Avaliação!$AD:$AD,A385,Avaliação!$AC:$AC))+(SUMIF(Avaliação!$AG:$AG,A385,Avaliação!$AF:$AF))</f>
        <v>0</v>
      </c>
    </row>
    <row r="386" spans="1:4">
      <c r="A386" s="157" t="s">
        <v>3959</v>
      </c>
      <c r="B386" s="195" t="s">
        <v>3960</v>
      </c>
      <c r="C386" s="775">
        <f>(SUMIF(Avaliação!$K:$K,A386,Avaliação!$J:$J))+(SUMIF(Avaliação!$O:$O,A386,Avaliação!$N:$N))+(SUMIF(Avaliação!$S:$S,A386,Avaliação!$R:$R))</f>
        <v>0</v>
      </c>
      <c r="D386" s="775">
        <f>(SUMIF(Avaliação!$AA:$AA,A386,Avaliação!$Z:$Z))+(SUMIF(Avaliação!$AD:$AD,A386,Avaliação!$AC:$AC))+(SUMIF(Avaliação!$AG:$AG,A386,Avaliação!$AF:$AF))</f>
        <v>0</v>
      </c>
    </row>
    <row r="387" spans="1:4">
      <c r="A387" s="157" t="s">
        <v>3961</v>
      </c>
      <c r="B387" s="195" t="s">
        <v>3962</v>
      </c>
      <c r="C387" s="775">
        <f>(SUMIF(Avaliação!$K:$K,A387,Avaliação!$J:$J))+(SUMIF(Avaliação!$O:$O,A387,Avaliação!$N:$N))+(SUMIF(Avaliação!$S:$S,A387,Avaliação!$R:$R))</f>
        <v>0</v>
      </c>
      <c r="D387" s="775">
        <f>(SUMIF(Avaliação!$AA:$AA,A387,Avaliação!$Z:$Z))+(SUMIF(Avaliação!$AD:$AD,A387,Avaliação!$AC:$AC))+(SUMIF(Avaliação!$AG:$AG,A387,Avaliação!$AF:$AF))</f>
        <v>0</v>
      </c>
    </row>
    <row r="388" spans="1:4">
      <c r="A388" s="157" t="s">
        <v>3963</v>
      </c>
      <c r="B388" s="195" t="s">
        <v>3964</v>
      </c>
      <c r="C388" s="775">
        <f>(SUMIF(Avaliação!$K:$K,A388,Avaliação!$J:$J))+(SUMIF(Avaliação!$O:$O,A388,Avaliação!$N:$N))+(SUMIF(Avaliação!$S:$S,A388,Avaliação!$R:$R))</f>
        <v>0</v>
      </c>
      <c r="D388" s="775">
        <f>(SUMIF(Avaliação!$AA:$AA,A388,Avaliação!$Z:$Z))+(SUMIF(Avaliação!$AD:$AD,A388,Avaliação!$AC:$AC))+(SUMIF(Avaliação!$AG:$AG,A388,Avaliação!$AF:$AF))</f>
        <v>0</v>
      </c>
    </row>
    <row r="389" spans="1:4">
      <c r="A389" s="157" t="s">
        <v>3965</v>
      </c>
      <c r="B389" s="195" t="s">
        <v>3966</v>
      </c>
      <c r="C389" s="775">
        <f>(SUMIF(Avaliação!$K:$K,A389,Avaliação!$J:$J))+(SUMIF(Avaliação!$O:$O,A389,Avaliação!$N:$N))+(SUMIF(Avaliação!$S:$S,A389,Avaliação!$R:$R))</f>
        <v>0</v>
      </c>
      <c r="D389" s="775">
        <f>(SUMIF(Avaliação!$AA:$AA,A389,Avaliação!$Z:$Z))+(SUMIF(Avaliação!$AD:$AD,A389,Avaliação!$AC:$AC))+(SUMIF(Avaliação!$AG:$AG,A389,Avaliação!$AF:$AF))</f>
        <v>0</v>
      </c>
    </row>
    <row r="390" spans="1:4">
      <c r="A390" s="157" t="s">
        <v>3967</v>
      </c>
      <c r="B390" s="195" t="s">
        <v>3968</v>
      </c>
      <c r="C390" s="775">
        <f>(SUMIF(Avaliação!$K:$K,A390,Avaliação!$J:$J))+(SUMIF(Avaliação!$O:$O,A390,Avaliação!$N:$N))+(SUMIF(Avaliação!$S:$S,A390,Avaliação!$R:$R))</f>
        <v>0</v>
      </c>
      <c r="D390" s="775">
        <f>(SUMIF(Avaliação!$AA:$AA,A390,Avaliação!$Z:$Z))+(SUMIF(Avaliação!$AD:$AD,A390,Avaliação!$AC:$AC))+(SUMIF(Avaliação!$AG:$AG,A390,Avaliação!$AF:$AF))</f>
        <v>0</v>
      </c>
    </row>
    <row r="391" spans="1:4">
      <c r="A391" s="157" t="s">
        <v>3969</v>
      </c>
      <c r="B391" s="195" t="s">
        <v>3970</v>
      </c>
      <c r="C391" s="775">
        <f>(SUMIF(Avaliação!$K:$K,A391,Avaliação!$J:$J))+(SUMIF(Avaliação!$O:$O,A391,Avaliação!$N:$N))+(SUMIF(Avaliação!$S:$S,A391,Avaliação!$R:$R))</f>
        <v>0</v>
      </c>
      <c r="D391" s="775">
        <f>(SUMIF(Avaliação!$AA:$AA,A391,Avaliação!$Z:$Z))+(SUMIF(Avaliação!$AD:$AD,A391,Avaliação!$AC:$AC))+(SUMIF(Avaliação!$AG:$AG,A391,Avaliação!$AF:$AF))</f>
        <v>0</v>
      </c>
    </row>
    <row r="392" spans="1:4">
      <c r="A392" s="157" t="s">
        <v>3971</v>
      </c>
      <c r="B392" s="195" t="s">
        <v>3972</v>
      </c>
      <c r="C392" s="775">
        <f>(SUMIF(Avaliação!$K:$K,A392,Avaliação!$J:$J))+(SUMIF(Avaliação!$O:$O,A392,Avaliação!$N:$N))+(SUMIF(Avaliação!$S:$S,A392,Avaliação!$R:$R))</f>
        <v>0</v>
      </c>
      <c r="D392" s="775">
        <f>(SUMIF(Avaliação!$AA:$AA,A392,Avaliação!$Z:$Z))+(SUMIF(Avaliação!$AD:$AD,A392,Avaliação!$AC:$AC))+(SUMIF(Avaliação!$AG:$AG,A392,Avaliação!$AF:$AF))</f>
        <v>0</v>
      </c>
    </row>
    <row r="393" spans="1:4">
      <c r="A393" s="157" t="s">
        <v>3973</v>
      </c>
      <c r="B393" s="195" t="s">
        <v>3974</v>
      </c>
      <c r="C393" s="775">
        <f>(SUMIF(Avaliação!$K:$K,A393,Avaliação!$J:$J))+(SUMIF(Avaliação!$O:$O,A393,Avaliação!$N:$N))+(SUMIF(Avaliação!$S:$S,A393,Avaliação!$R:$R))</f>
        <v>0</v>
      </c>
      <c r="D393" s="775">
        <f>(SUMIF(Avaliação!$AA:$AA,A393,Avaliação!$Z:$Z))+(SUMIF(Avaliação!$AD:$AD,A393,Avaliação!$AC:$AC))+(SUMIF(Avaliação!$AG:$AG,A393,Avaliação!$AF:$AF))</f>
        <v>0</v>
      </c>
    </row>
    <row r="394" spans="1:4">
      <c r="A394" s="157" t="s">
        <v>3975</v>
      </c>
      <c r="B394" s="195" t="s">
        <v>3976</v>
      </c>
      <c r="C394" s="775">
        <f>(SUMIF(Avaliação!$K:$K,A394,Avaliação!$J:$J))+(SUMIF(Avaliação!$O:$O,A394,Avaliação!$N:$N))+(SUMIF(Avaliação!$S:$S,A394,Avaliação!$R:$R))</f>
        <v>0</v>
      </c>
      <c r="D394" s="775">
        <f>(SUMIF(Avaliação!$AA:$AA,A394,Avaliação!$Z:$Z))+(SUMIF(Avaliação!$AD:$AD,A394,Avaliação!$AC:$AC))+(SUMIF(Avaliação!$AG:$AG,A394,Avaliação!$AF:$AF))</f>
        <v>0</v>
      </c>
    </row>
    <row r="395" spans="1:4">
      <c r="A395" s="157" t="s">
        <v>3977</v>
      </c>
      <c r="B395" s="195" t="s">
        <v>3978</v>
      </c>
      <c r="C395" s="775">
        <f>(SUMIF(Avaliação!$K:$K,A395,Avaliação!$J:$J))+(SUMIF(Avaliação!$O:$O,A395,Avaliação!$N:$N))+(SUMIF(Avaliação!$S:$S,A395,Avaliação!$R:$R))</f>
        <v>0</v>
      </c>
      <c r="D395" s="775">
        <f>(SUMIF(Avaliação!$AA:$AA,A395,Avaliação!$Z:$Z))+(SUMIF(Avaliação!$AD:$AD,A395,Avaliação!$AC:$AC))+(SUMIF(Avaliação!$AG:$AG,A395,Avaliação!$AF:$AF))</f>
        <v>0</v>
      </c>
    </row>
    <row r="396" spans="1:4">
      <c r="A396" s="157" t="s">
        <v>3979</v>
      </c>
      <c r="B396" s="195" t="s">
        <v>3980</v>
      </c>
      <c r="C396" s="775">
        <f>(SUMIF(Avaliação!$K:$K,A396,Avaliação!$J:$J))+(SUMIF(Avaliação!$O:$O,A396,Avaliação!$N:$N))+(SUMIF(Avaliação!$S:$S,A396,Avaliação!$R:$R))</f>
        <v>0</v>
      </c>
      <c r="D396" s="775">
        <f>(SUMIF(Avaliação!$AA:$AA,A396,Avaliação!$Z:$Z))+(SUMIF(Avaliação!$AD:$AD,A396,Avaliação!$AC:$AC))+(SUMIF(Avaliação!$AG:$AG,A396,Avaliação!$AF:$AF))</f>
        <v>0</v>
      </c>
    </row>
    <row r="397" spans="1:4">
      <c r="A397" s="157" t="s">
        <v>3981</v>
      </c>
      <c r="B397" s="195" t="s">
        <v>3982</v>
      </c>
      <c r="C397" s="775">
        <f>(SUMIF(Avaliação!$K:$K,A397,Avaliação!$J:$J))+(SUMIF(Avaliação!$O:$O,A397,Avaliação!$N:$N))+(SUMIF(Avaliação!$S:$S,A397,Avaliação!$R:$R))</f>
        <v>0</v>
      </c>
      <c r="D397" s="775">
        <f>(SUMIF(Avaliação!$AA:$AA,A397,Avaliação!$Z:$Z))+(SUMIF(Avaliação!$AD:$AD,A397,Avaliação!$AC:$AC))+(SUMIF(Avaliação!$AG:$AG,A397,Avaliação!$AF:$AF))</f>
        <v>0</v>
      </c>
    </row>
    <row r="398" spans="1:4">
      <c r="A398" s="157" t="s">
        <v>3983</v>
      </c>
      <c r="B398" s="195" t="s">
        <v>3984</v>
      </c>
      <c r="C398" s="775">
        <f>(SUMIF(Avaliação!$K:$K,A398,Avaliação!$J:$J))+(SUMIF(Avaliação!$O:$O,A398,Avaliação!$N:$N))+(SUMIF(Avaliação!$S:$S,A398,Avaliação!$R:$R))</f>
        <v>0</v>
      </c>
      <c r="D398" s="775">
        <f>(SUMIF(Avaliação!$AA:$AA,A398,Avaliação!$Z:$Z))+(SUMIF(Avaliação!$AD:$AD,A398,Avaliação!$AC:$AC))+(SUMIF(Avaliação!$AG:$AG,A398,Avaliação!$AF:$AF))</f>
        <v>0</v>
      </c>
    </row>
    <row r="399" spans="1:4">
      <c r="A399" s="157" t="s">
        <v>3985</v>
      </c>
      <c r="B399" s="195" t="s">
        <v>3986</v>
      </c>
      <c r="C399" s="775">
        <f>(SUMIF(Avaliação!$K:$K,A399,Avaliação!$J:$J))+(SUMIF(Avaliação!$O:$O,A399,Avaliação!$N:$N))+(SUMIF(Avaliação!$S:$S,A399,Avaliação!$R:$R))</f>
        <v>0</v>
      </c>
      <c r="D399" s="775">
        <f>(SUMIF(Avaliação!$AA:$AA,A399,Avaliação!$Z:$Z))+(SUMIF(Avaliação!$AD:$AD,A399,Avaliação!$AC:$AC))+(SUMIF(Avaliação!$AG:$AG,A399,Avaliação!$AF:$AF))</f>
        <v>0</v>
      </c>
    </row>
    <row r="400" spans="1:4">
      <c r="A400" s="157" t="s">
        <v>3987</v>
      </c>
      <c r="B400" s="195" t="s">
        <v>3988</v>
      </c>
      <c r="C400" s="775">
        <f>(SUMIF(Avaliação!$K:$K,A400,Avaliação!$J:$J))+(SUMIF(Avaliação!$O:$O,A400,Avaliação!$N:$N))+(SUMIF(Avaliação!$S:$S,A400,Avaliação!$R:$R))</f>
        <v>0</v>
      </c>
      <c r="D400" s="775">
        <f>(SUMIF(Avaliação!$AA:$AA,A400,Avaliação!$Z:$Z))+(SUMIF(Avaliação!$AD:$AD,A400,Avaliação!$AC:$AC))+(SUMIF(Avaliação!$AG:$AG,A400,Avaliação!$AF:$AF))</f>
        <v>0</v>
      </c>
    </row>
    <row r="401" spans="1:4">
      <c r="A401" s="157" t="s">
        <v>3989</v>
      </c>
      <c r="B401" s="195" t="s">
        <v>3990</v>
      </c>
      <c r="C401" s="775">
        <f>(SUMIF(Avaliação!$K:$K,A401,Avaliação!$J:$J))+(SUMIF(Avaliação!$O:$O,A401,Avaliação!$N:$N))+(SUMIF(Avaliação!$S:$S,A401,Avaliação!$R:$R))</f>
        <v>0</v>
      </c>
      <c r="D401" s="775">
        <f>(SUMIF(Avaliação!$AA:$AA,A401,Avaliação!$Z:$Z))+(SUMIF(Avaliação!$AD:$AD,A401,Avaliação!$AC:$AC))+(SUMIF(Avaliação!$AG:$AG,A401,Avaliação!$AF:$AF))</f>
        <v>0</v>
      </c>
    </row>
    <row r="402" spans="1:4">
      <c r="A402" s="157" t="s">
        <v>3991</v>
      </c>
      <c r="B402" s="195" t="s">
        <v>3992</v>
      </c>
      <c r="C402" s="775">
        <f>(SUMIF(Avaliação!$K:$K,A402,Avaliação!$J:$J))+(SUMIF(Avaliação!$O:$O,A402,Avaliação!$N:$N))+(SUMIF(Avaliação!$S:$S,A402,Avaliação!$R:$R))</f>
        <v>0</v>
      </c>
      <c r="D402" s="775">
        <f>(SUMIF(Avaliação!$AA:$AA,A402,Avaliação!$Z:$Z))+(SUMIF(Avaliação!$AD:$AD,A402,Avaliação!$AC:$AC))+(SUMIF(Avaliação!$AG:$AG,A402,Avaliação!$AF:$AF))</f>
        <v>0</v>
      </c>
    </row>
    <row r="403" spans="1:4">
      <c r="A403" s="157" t="s">
        <v>3993</v>
      </c>
      <c r="B403" s="195" t="s">
        <v>3994</v>
      </c>
      <c r="C403" s="775">
        <f>(SUMIF(Avaliação!$K:$K,A403,Avaliação!$J:$J))+(SUMIF(Avaliação!$O:$O,A403,Avaliação!$N:$N))+(SUMIF(Avaliação!$S:$S,A403,Avaliação!$R:$R))</f>
        <v>0</v>
      </c>
      <c r="D403" s="775">
        <f>(SUMIF(Avaliação!$AA:$AA,A403,Avaliação!$Z:$Z))+(SUMIF(Avaliação!$AD:$AD,A403,Avaliação!$AC:$AC))+(SUMIF(Avaliação!$AG:$AG,A403,Avaliação!$AF:$AF))</f>
        <v>0</v>
      </c>
    </row>
    <row r="404" spans="1:4">
      <c r="A404" s="157" t="s">
        <v>3995</v>
      </c>
      <c r="B404" s="195" t="s">
        <v>3996</v>
      </c>
      <c r="C404" s="775">
        <f>(SUMIF(Avaliação!$K:$K,A404,Avaliação!$J:$J))+(SUMIF(Avaliação!$O:$O,A404,Avaliação!$N:$N))+(SUMIF(Avaliação!$S:$S,A404,Avaliação!$R:$R))</f>
        <v>0</v>
      </c>
      <c r="D404" s="775">
        <f>(SUMIF(Avaliação!$AA:$AA,A404,Avaliação!$Z:$Z))+(SUMIF(Avaliação!$AD:$AD,A404,Avaliação!$AC:$AC))+(SUMIF(Avaliação!$AG:$AG,A404,Avaliação!$AF:$AF))</f>
        <v>0</v>
      </c>
    </row>
    <row r="405" spans="1:4">
      <c r="A405" s="157" t="s">
        <v>3997</v>
      </c>
      <c r="B405" s="195" t="s">
        <v>3998</v>
      </c>
      <c r="C405" s="775">
        <f>(SUMIF(Avaliação!$K:$K,A405,Avaliação!$J:$J))+(SUMIF(Avaliação!$O:$O,A405,Avaliação!$N:$N))+(SUMIF(Avaliação!$S:$S,A405,Avaliação!$R:$R))</f>
        <v>0</v>
      </c>
      <c r="D405" s="775">
        <f>(SUMIF(Avaliação!$AA:$AA,A405,Avaliação!$Z:$Z))+(SUMIF(Avaliação!$AD:$AD,A405,Avaliação!$AC:$AC))+(SUMIF(Avaliação!$AG:$AG,A405,Avaliação!$AF:$AF))</f>
        <v>0</v>
      </c>
    </row>
    <row r="406" spans="1:4">
      <c r="A406" s="157" t="s">
        <v>3999</v>
      </c>
      <c r="B406" s="195" t="s">
        <v>4000</v>
      </c>
      <c r="C406" s="775">
        <f>(SUMIF(Avaliação!$K:$K,A406,Avaliação!$J:$J))+(SUMIF(Avaliação!$O:$O,A406,Avaliação!$N:$N))+(SUMIF(Avaliação!$S:$S,A406,Avaliação!$R:$R))</f>
        <v>0</v>
      </c>
      <c r="D406" s="775">
        <f>(SUMIF(Avaliação!$AA:$AA,A406,Avaliação!$Z:$Z))+(SUMIF(Avaliação!$AD:$AD,A406,Avaliação!$AC:$AC))+(SUMIF(Avaliação!$AG:$AG,A406,Avaliação!$AF:$AF))</f>
        <v>0</v>
      </c>
    </row>
    <row r="407" spans="1:4">
      <c r="A407" s="157" t="s">
        <v>4001</v>
      </c>
      <c r="B407" s="195" t="s">
        <v>4002</v>
      </c>
      <c r="C407" s="775">
        <f>(SUMIF(Avaliação!$K:$K,A407,Avaliação!$J:$J))+(SUMIF(Avaliação!$O:$O,A407,Avaliação!$N:$N))+(SUMIF(Avaliação!$S:$S,A407,Avaliação!$R:$R))</f>
        <v>0</v>
      </c>
      <c r="D407" s="775">
        <f>(SUMIF(Avaliação!$AA:$AA,A407,Avaliação!$Z:$Z))+(SUMIF(Avaliação!$AD:$AD,A407,Avaliação!$AC:$AC))+(SUMIF(Avaliação!$AG:$AG,A407,Avaliação!$AF:$AF))</f>
        <v>0</v>
      </c>
    </row>
    <row r="408" spans="1:4">
      <c r="A408" s="157" t="s">
        <v>4003</v>
      </c>
      <c r="B408" s="195" t="s">
        <v>4004</v>
      </c>
      <c r="C408" s="775">
        <f>(SUMIF(Avaliação!$K:$K,A408,Avaliação!$J:$J))+(SUMIF(Avaliação!$O:$O,A408,Avaliação!$N:$N))+(SUMIF(Avaliação!$S:$S,A408,Avaliação!$R:$R))</f>
        <v>0</v>
      </c>
      <c r="D408" s="775">
        <f>(SUMIF(Avaliação!$AA:$AA,A408,Avaliação!$Z:$Z))+(SUMIF(Avaliação!$AD:$AD,A408,Avaliação!$AC:$AC))+(SUMIF(Avaliação!$AG:$AG,A408,Avaliação!$AF:$AF))</f>
        <v>0</v>
      </c>
    </row>
    <row r="409" spans="1:4">
      <c r="A409" s="157" t="s">
        <v>4005</v>
      </c>
      <c r="B409" s="195" t="s">
        <v>4006</v>
      </c>
      <c r="C409" s="775">
        <f>(SUMIF(Avaliação!$K:$K,A409,Avaliação!$J:$J))+(SUMIF(Avaliação!$O:$O,A409,Avaliação!$N:$N))+(SUMIF(Avaliação!$S:$S,A409,Avaliação!$R:$R))</f>
        <v>0</v>
      </c>
      <c r="D409" s="775">
        <f>(SUMIF(Avaliação!$AA:$AA,A409,Avaliação!$Z:$Z))+(SUMIF(Avaliação!$AD:$AD,A409,Avaliação!$AC:$AC))+(SUMIF(Avaliação!$AG:$AG,A409,Avaliação!$AF:$AF))</f>
        <v>0</v>
      </c>
    </row>
    <row r="410" spans="1:4">
      <c r="A410" s="157" t="s">
        <v>4007</v>
      </c>
      <c r="B410" s="195" t="s">
        <v>4008</v>
      </c>
      <c r="C410" s="775">
        <f>(SUMIF(Avaliação!$K:$K,A410,Avaliação!$J:$J))+(SUMIF(Avaliação!$O:$O,A410,Avaliação!$N:$N))+(SUMIF(Avaliação!$S:$S,A410,Avaliação!$R:$R))</f>
        <v>0</v>
      </c>
      <c r="D410" s="775">
        <f>(SUMIF(Avaliação!$AA:$AA,A410,Avaliação!$Z:$Z))+(SUMIF(Avaliação!$AD:$AD,A410,Avaliação!$AC:$AC))+(SUMIF(Avaliação!$AG:$AG,A410,Avaliação!$AF:$AF))</f>
        <v>0</v>
      </c>
    </row>
    <row r="411" spans="1:4">
      <c r="A411" s="851" t="s">
        <v>4009</v>
      </c>
      <c r="B411" s="852" t="s">
        <v>4010</v>
      </c>
      <c r="C411" s="775">
        <f>(SUMIF(Avaliação!$K:$K,A411,Avaliação!$J:$J))+(SUMIF(Avaliação!$O:$O,A411,Avaliação!$N:$N))+(SUMIF(Avaliação!$S:$S,A411,Avaliação!$R:$R))</f>
        <v>10</v>
      </c>
      <c r="D411" s="853">
        <f>(SUMIF(Avaliação!$AA:$AA,A411,Avaliação!$Z:$Z))+(SUMIF(Avaliação!$AD:$AD,A411,Avaliação!$AC:$AC))+(SUMIF(Avaliação!$AG:$AG,A411,Avaliação!$AF:$AF))</f>
        <v>0</v>
      </c>
    </row>
    <row r="412" spans="1:4">
      <c r="A412" s="157" t="s">
        <v>4011</v>
      </c>
      <c r="B412" s="195" t="s">
        <v>4012</v>
      </c>
      <c r="C412" s="775">
        <f>(SUMIF(Avaliação!$K:$K,A412,Avaliação!$J:$J))+(SUMIF(Avaliação!$O:$O,A412,Avaliação!$N:$N))+(SUMIF(Avaliação!$S:$S,A412,Avaliação!$R:$R))</f>
        <v>0</v>
      </c>
      <c r="D412" s="775">
        <f>(SUMIF(Avaliação!$AA:$AA,A412,Avaliação!$Z:$Z))+(SUMIF(Avaliação!$AD:$AD,A412,Avaliação!$AC:$AC))+(SUMIF(Avaliação!$AG:$AG,A412,Avaliação!$AF:$AF))</f>
        <v>0</v>
      </c>
    </row>
    <row r="413" spans="1:4">
      <c r="A413" s="157" t="s">
        <v>4013</v>
      </c>
      <c r="B413" s="195" t="s">
        <v>4014</v>
      </c>
      <c r="C413" s="775">
        <f>(SUMIF(Avaliação!$K:$K,A413,Avaliação!$J:$J))+(SUMIF(Avaliação!$O:$O,A413,Avaliação!$N:$N))+(SUMIF(Avaliação!$S:$S,A413,Avaliação!$R:$R))</f>
        <v>0</v>
      </c>
      <c r="D413" s="775">
        <f>(SUMIF(Avaliação!$AA:$AA,A413,Avaliação!$Z:$Z))+(SUMIF(Avaliação!$AD:$AD,A413,Avaliação!$AC:$AC))+(SUMIF(Avaliação!$AG:$AG,A413,Avaliação!$AF:$AF))</f>
        <v>0</v>
      </c>
    </row>
    <row r="414" spans="1:4">
      <c r="A414" s="157" t="s">
        <v>4015</v>
      </c>
      <c r="B414" s="195" t="s">
        <v>4016</v>
      </c>
      <c r="C414" s="775">
        <f>(SUMIF(Avaliação!$K:$K,A414,Avaliação!$J:$J))+(SUMIF(Avaliação!$O:$O,A414,Avaliação!$N:$N))+(SUMIF(Avaliação!$S:$S,A414,Avaliação!$R:$R))</f>
        <v>0</v>
      </c>
      <c r="D414" s="775">
        <f>(SUMIF(Avaliação!$AA:$AA,A414,Avaliação!$Z:$Z))+(SUMIF(Avaliação!$AD:$AD,A414,Avaliação!$AC:$AC))+(SUMIF(Avaliação!$AG:$AG,A414,Avaliação!$AF:$AF))</f>
        <v>0</v>
      </c>
    </row>
    <row r="415" spans="1:4">
      <c r="A415" s="157" t="s">
        <v>4017</v>
      </c>
      <c r="B415" s="195" t="s">
        <v>4018</v>
      </c>
      <c r="C415" s="775">
        <f>(SUMIF(Avaliação!$K:$K,A415,Avaliação!$J:$J))+(SUMIF(Avaliação!$O:$O,A415,Avaliação!$N:$N))+(SUMIF(Avaliação!$S:$S,A415,Avaliação!$R:$R))</f>
        <v>0</v>
      </c>
      <c r="D415" s="775">
        <f>(SUMIF(Avaliação!$AA:$AA,A415,Avaliação!$Z:$Z))+(SUMIF(Avaliação!$AD:$AD,A415,Avaliação!$AC:$AC))+(SUMIF(Avaliação!$AG:$AG,A415,Avaliação!$AF:$AF))</f>
        <v>0</v>
      </c>
    </row>
    <row r="416" spans="1:4">
      <c r="A416" s="157" t="s">
        <v>4019</v>
      </c>
      <c r="B416" s="195" t="s">
        <v>4020</v>
      </c>
      <c r="C416" s="775">
        <f>(SUMIF(Avaliação!$K:$K,A416,Avaliação!$J:$J))+(SUMIF(Avaliação!$O:$O,A416,Avaliação!$N:$N))+(SUMIF(Avaliação!$S:$S,A416,Avaliação!$R:$R))</f>
        <v>0</v>
      </c>
      <c r="D416" s="775">
        <f>(SUMIF(Avaliação!$AA:$AA,A416,Avaliação!$Z:$Z))+(SUMIF(Avaliação!$AD:$AD,A416,Avaliação!$AC:$AC))+(SUMIF(Avaliação!$AG:$AG,A416,Avaliação!$AF:$AF))</f>
        <v>0</v>
      </c>
    </row>
    <row r="417" spans="1:4">
      <c r="A417" s="157" t="s">
        <v>4021</v>
      </c>
      <c r="B417" s="195" t="s">
        <v>4022</v>
      </c>
      <c r="C417" s="775">
        <f>(SUMIF(Avaliação!$K:$K,A417,Avaliação!$J:$J))+(SUMIF(Avaliação!$O:$O,A417,Avaliação!$N:$N))+(SUMIF(Avaliação!$S:$S,A417,Avaliação!$R:$R))</f>
        <v>0</v>
      </c>
      <c r="D417" s="775">
        <f>(SUMIF(Avaliação!$AA:$AA,A417,Avaliação!$Z:$Z))+(SUMIF(Avaliação!$AD:$AD,A417,Avaliação!$AC:$AC))+(SUMIF(Avaliação!$AG:$AG,A417,Avaliação!$AF:$AF))</f>
        <v>0</v>
      </c>
    </row>
    <row r="418" spans="1:4">
      <c r="A418" s="157" t="s">
        <v>4023</v>
      </c>
      <c r="B418" s="195" t="s">
        <v>4024</v>
      </c>
      <c r="C418" s="775">
        <f>(SUMIF(Avaliação!$K:$K,A418,Avaliação!$J:$J))+(SUMIF(Avaliação!$O:$O,A418,Avaliação!$N:$N))+(SUMIF(Avaliação!$S:$S,A418,Avaliação!$R:$R))</f>
        <v>0</v>
      </c>
      <c r="D418" s="775">
        <f>(SUMIF(Avaliação!$AA:$AA,A418,Avaliação!$Z:$Z))+(SUMIF(Avaliação!$AD:$AD,A418,Avaliação!$AC:$AC))+(SUMIF(Avaliação!$AG:$AG,A418,Avaliação!$AF:$AF))</f>
        <v>0</v>
      </c>
    </row>
    <row r="419" spans="1:4">
      <c r="A419" s="157" t="s">
        <v>4025</v>
      </c>
      <c r="B419" s="195" t="s">
        <v>4026</v>
      </c>
      <c r="C419" s="775">
        <f>(SUMIF(Avaliação!$K:$K,A419,Avaliação!$J:$J))+(SUMIF(Avaliação!$O:$O,A419,Avaliação!$N:$N))+(SUMIF(Avaliação!$S:$S,A419,Avaliação!$R:$R))</f>
        <v>0</v>
      </c>
      <c r="D419" s="775">
        <f>(SUMIF(Avaliação!$AA:$AA,A419,Avaliação!$Z:$Z))+(SUMIF(Avaliação!$AD:$AD,A419,Avaliação!$AC:$AC))+(SUMIF(Avaliação!$AG:$AG,A419,Avaliação!$AF:$AF))</f>
        <v>0</v>
      </c>
    </row>
    <row r="420" spans="1:4">
      <c r="A420" s="157" t="s">
        <v>4027</v>
      </c>
      <c r="B420" s="195" t="s">
        <v>4028</v>
      </c>
      <c r="C420" s="775">
        <f>(SUMIF(Avaliação!$K:$K,A420,Avaliação!$J:$J))+(SUMIF(Avaliação!$O:$O,A420,Avaliação!$N:$N))+(SUMIF(Avaliação!$S:$S,A420,Avaliação!$R:$R))</f>
        <v>0</v>
      </c>
      <c r="D420" s="775">
        <f>(SUMIF(Avaliação!$AA:$AA,A420,Avaliação!$Z:$Z))+(SUMIF(Avaliação!$AD:$AD,A420,Avaliação!$AC:$AC))+(SUMIF(Avaliação!$AG:$AG,A420,Avaliação!$AF:$AF))</f>
        <v>0</v>
      </c>
    </row>
    <row r="421" spans="1:4">
      <c r="A421" s="157" t="s">
        <v>4029</v>
      </c>
      <c r="B421" s="195" t="s">
        <v>4030</v>
      </c>
      <c r="C421" s="775">
        <f>(SUMIF(Avaliação!$K:$K,A421,Avaliação!$J:$J))+(SUMIF(Avaliação!$O:$O,A421,Avaliação!$N:$N))+(SUMIF(Avaliação!$S:$S,A421,Avaliação!$R:$R))</f>
        <v>0</v>
      </c>
      <c r="D421" s="775">
        <f>(SUMIF(Avaliação!$AA:$AA,A421,Avaliação!$Z:$Z))+(SUMIF(Avaliação!$AD:$AD,A421,Avaliação!$AC:$AC))+(SUMIF(Avaliação!$AG:$AG,A421,Avaliação!$AF:$AF))</f>
        <v>0</v>
      </c>
    </row>
    <row r="422" spans="1:4">
      <c r="A422" s="157" t="s">
        <v>4031</v>
      </c>
      <c r="B422" s="195" t="s">
        <v>4032</v>
      </c>
      <c r="C422" s="775">
        <f>(SUMIF(Avaliação!$K:$K,A422,Avaliação!$J:$J))+(SUMIF(Avaliação!$O:$O,A422,Avaliação!$N:$N))+(SUMIF(Avaliação!$S:$S,A422,Avaliação!$R:$R))</f>
        <v>0</v>
      </c>
      <c r="D422" s="775">
        <f>(SUMIF(Avaliação!$AA:$AA,A422,Avaliação!$Z:$Z))+(SUMIF(Avaliação!$AD:$AD,A422,Avaliação!$AC:$AC))+(SUMIF(Avaliação!$AG:$AG,A422,Avaliação!$AF:$AF))</f>
        <v>0</v>
      </c>
    </row>
    <row r="423" spans="1:4">
      <c r="A423" s="157" t="s">
        <v>4033</v>
      </c>
      <c r="B423" s="195" t="s">
        <v>4034</v>
      </c>
      <c r="C423" s="775">
        <f>(SUMIF(Avaliação!$K:$K,A423,Avaliação!$J:$J))+(SUMIF(Avaliação!$O:$O,A423,Avaliação!$N:$N))+(SUMIF(Avaliação!$S:$S,A423,Avaliação!$R:$R))</f>
        <v>0</v>
      </c>
      <c r="D423" s="775">
        <f>(SUMIF(Avaliação!$AA:$AA,A423,Avaliação!$Z:$Z))+(SUMIF(Avaliação!$AD:$AD,A423,Avaliação!$AC:$AC))+(SUMIF(Avaliação!$AG:$AG,A423,Avaliação!$AF:$AF))</f>
        <v>0</v>
      </c>
    </row>
    <row r="424" spans="1:4">
      <c r="A424" s="157" t="s">
        <v>4035</v>
      </c>
      <c r="B424" s="195" t="s">
        <v>4036</v>
      </c>
      <c r="C424" s="775">
        <f>(SUMIF(Avaliação!$K:$K,A424,Avaliação!$J:$J))+(SUMIF(Avaliação!$O:$O,A424,Avaliação!$N:$N))+(SUMIF(Avaliação!$S:$S,A424,Avaliação!$R:$R))</f>
        <v>0</v>
      </c>
      <c r="D424" s="775">
        <f>(SUMIF(Avaliação!$AA:$AA,A424,Avaliação!$Z:$Z))+(SUMIF(Avaliação!$AD:$AD,A424,Avaliação!$AC:$AC))+(SUMIF(Avaliação!$AG:$AG,A424,Avaliação!$AF:$AF))</f>
        <v>0</v>
      </c>
    </row>
    <row r="425" spans="1:4">
      <c r="A425" s="157" t="s">
        <v>4037</v>
      </c>
      <c r="B425" s="195" t="s">
        <v>4038</v>
      </c>
      <c r="C425" s="775">
        <f>(SUMIF(Avaliação!$K:$K,A425,Avaliação!$J:$J))+(SUMIF(Avaliação!$O:$O,A425,Avaliação!$N:$N))+(SUMIF(Avaliação!$S:$S,A425,Avaliação!$R:$R))</f>
        <v>0</v>
      </c>
      <c r="D425" s="775">
        <f>(SUMIF(Avaliação!$AA:$AA,A425,Avaliação!$Z:$Z))+(SUMIF(Avaliação!$AD:$AD,A425,Avaliação!$AC:$AC))+(SUMIF(Avaliação!$AG:$AG,A425,Avaliação!$AF:$AF))</f>
        <v>0</v>
      </c>
    </row>
    <row r="426" spans="1:4">
      <c r="A426" s="157" t="s">
        <v>4039</v>
      </c>
      <c r="B426" s="195" t="s">
        <v>4040</v>
      </c>
      <c r="C426" s="775">
        <f>(SUMIF(Avaliação!$K:$K,A426,Avaliação!$J:$J))+(SUMIF(Avaliação!$O:$O,A426,Avaliação!$N:$N))+(SUMIF(Avaliação!$S:$S,A426,Avaliação!$R:$R))</f>
        <v>0</v>
      </c>
      <c r="D426" s="775">
        <f>(SUMIF(Avaliação!$AA:$AA,A426,Avaliação!$Z:$Z))+(SUMIF(Avaliação!$AD:$AD,A426,Avaliação!$AC:$AC))+(SUMIF(Avaliação!$AG:$AG,A426,Avaliação!$AF:$AF))</f>
        <v>0</v>
      </c>
    </row>
    <row r="427" spans="1:4">
      <c r="A427" s="157" t="s">
        <v>4041</v>
      </c>
      <c r="B427" s="195" t="s">
        <v>4042</v>
      </c>
      <c r="C427" s="775">
        <f>(SUMIF(Avaliação!$K:$K,A427,Avaliação!$J:$J))+(SUMIF(Avaliação!$O:$O,A427,Avaliação!$N:$N))+(SUMIF(Avaliação!$S:$S,A427,Avaliação!$R:$R))</f>
        <v>0</v>
      </c>
      <c r="D427" s="775">
        <f>(SUMIF(Avaliação!$AA:$AA,A427,Avaliação!$Z:$Z))+(SUMIF(Avaliação!$AD:$AD,A427,Avaliação!$AC:$AC))+(SUMIF(Avaliação!$AG:$AG,A427,Avaliação!$AF:$AF))</f>
        <v>0</v>
      </c>
    </row>
    <row r="428" spans="1:4">
      <c r="A428" s="157" t="s">
        <v>4043</v>
      </c>
      <c r="B428" s="195" t="s">
        <v>4044</v>
      </c>
      <c r="C428" s="775">
        <f>(SUMIF(Avaliação!$K:$K,A428,Avaliação!$J:$J))+(SUMIF(Avaliação!$O:$O,A428,Avaliação!$N:$N))+(SUMIF(Avaliação!$S:$S,A428,Avaliação!$R:$R))</f>
        <v>0</v>
      </c>
      <c r="D428" s="775">
        <f>(SUMIF(Avaliação!$AA:$AA,A428,Avaliação!$Z:$Z))+(SUMIF(Avaliação!$AD:$AD,A428,Avaliação!$AC:$AC))+(SUMIF(Avaliação!$AG:$AG,A428,Avaliação!$AF:$AF))</f>
        <v>0</v>
      </c>
    </row>
    <row r="429" spans="1:4">
      <c r="A429" s="157" t="s">
        <v>5111</v>
      </c>
      <c r="B429" s="195" t="s">
        <v>5249</v>
      </c>
      <c r="C429" s="775">
        <f>(SUMIF(Avaliação!$K:$K,A429,Avaliação!$J:$J))+(SUMIF(Avaliação!$O:$O,A429,Avaliação!$N:$N))+(SUMIF(Avaliação!$S:$S,A429,Avaliação!$R:$R))</f>
        <v>0</v>
      </c>
      <c r="D429" s="775">
        <f>(SUMIF(Avaliação!$AA:$AA,A429,Avaliação!$Z:$Z))+(SUMIF(Avaliação!$AD:$AD,A429,Avaliação!$AC:$AC))+(SUMIF(Avaliação!$AG:$AG,A429,Avaliação!$AF:$AF))</f>
        <v>0</v>
      </c>
    </row>
    <row r="430" spans="1:4">
      <c r="A430" s="157" t="s">
        <v>5112</v>
      </c>
      <c r="B430" s="195" t="s">
        <v>5249</v>
      </c>
      <c r="C430" s="775">
        <f>(SUMIF(Avaliação!$K:$K,A430,Avaliação!$J:$J))+(SUMIF(Avaliação!$O:$O,A430,Avaliação!$N:$N))+(SUMIF(Avaliação!$S:$S,A430,Avaliação!$R:$R))</f>
        <v>0</v>
      </c>
      <c r="D430" s="775">
        <f>(SUMIF(Avaliação!$AA:$AA,A430,Avaliação!$Z:$Z))+(SUMIF(Avaliação!$AD:$AD,A430,Avaliação!$AC:$AC))+(SUMIF(Avaliação!$AG:$AG,A430,Avaliação!$AF:$AF))</f>
        <v>0</v>
      </c>
    </row>
    <row r="431" spans="1:4">
      <c r="A431" s="157" t="s">
        <v>5113</v>
      </c>
      <c r="B431" s="195" t="s">
        <v>5249</v>
      </c>
      <c r="C431" s="775">
        <f>(SUMIF(Avaliação!$K:$K,A431,Avaliação!$J:$J))+(SUMIF(Avaliação!$O:$O,A431,Avaliação!$N:$N))+(SUMIF(Avaliação!$S:$S,A431,Avaliação!$R:$R))</f>
        <v>0</v>
      </c>
      <c r="D431" s="775">
        <f>(SUMIF(Avaliação!$AA:$AA,A431,Avaliação!$Z:$Z))+(SUMIF(Avaliação!$AD:$AD,A431,Avaliação!$AC:$AC))+(SUMIF(Avaliação!$AG:$AG,A431,Avaliação!$AF:$AF))</f>
        <v>0</v>
      </c>
    </row>
    <row r="432" spans="1:4">
      <c r="A432" s="157" t="s">
        <v>4045</v>
      </c>
      <c r="B432" s="195" t="s">
        <v>4046</v>
      </c>
      <c r="C432" s="775">
        <f>(SUMIF(Avaliação!$K:$K,A432,Avaliação!$J:$J))+(SUMIF(Avaliação!$O:$O,A432,Avaliação!$N:$N))+(SUMIF(Avaliação!$S:$S,A432,Avaliação!$R:$R))</f>
        <v>0</v>
      </c>
      <c r="D432" s="775">
        <f>(SUMIF(Avaliação!$AA:$AA,A432,Avaliação!$Z:$Z))+(SUMIF(Avaliação!$AD:$AD,A432,Avaliação!$AC:$AC))+(SUMIF(Avaliação!$AG:$AG,A432,Avaliação!$AF:$AF))</f>
        <v>0</v>
      </c>
    </row>
    <row r="433" spans="1:4">
      <c r="A433" s="157" t="s">
        <v>4047</v>
      </c>
      <c r="B433" s="195" t="s">
        <v>4048</v>
      </c>
      <c r="C433" s="775">
        <f>(SUMIF(Avaliação!$K:$K,A433,Avaliação!$J:$J))+(SUMIF(Avaliação!$O:$O,A433,Avaliação!$N:$N))+(SUMIF(Avaliação!$S:$S,A433,Avaliação!$R:$R))</f>
        <v>0</v>
      </c>
      <c r="D433" s="775">
        <f>(SUMIF(Avaliação!$AA:$AA,A433,Avaliação!$Z:$Z))+(SUMIF(Avaliação!$AD:$AD,A433,Avaliação!$AC:$AC))+(SUMIF(Avaliação!$AG:$AG,A433,Avaliação!$AF:$AF))</f>
        <v>0</v>
      </c>
    </row>
    <row r="434" spans="1:4">
      <c r="A434" s="157" t="s">
        <v>4049</v>
      </c>
      <c r="B434" s="195" t="s">
        <v>4050</v>
      </c>
      <c r="C434" s="775">
        <f>(SUMIF(Avaliação!$K:$K,A434,Avaliação!$J:$J))+(SUMIF(Avaliação!$O:$O,A434,Avaliação!$N:$N))+(SUMIF(Avaliação!$S:$S,A434,Avaliação!$R:$R))</f>
        <v>0</v>
      </c>
      <c r="D434" s="775">
        <f>(SUMIF(Avaliação!$AA:$AA,A434,Avaliação!$Z:$Z))+(SUMIF(Avaliação!$AD:$AD,A434,Avaliação!$AC:$AC))+(SUMIF(Avaliação!$AG:$AG,A434,Avaliação!$AF:$AF))</f>
        <v>0</v>
      </c>
    </row>
    <row r="435" spans="1:4">
      <c r="A435" s="157" t="s">
        <v>4051</v>
      </c>
      <c r="B435" s="195" t="s">
        <v>4052</v>
      </c>
      <c r="C435" s="775">
        <f>(SUMIF(Avaliação!$K:$K,A435,Avaliação!$J:$J))+(SUMIF(Avaliação!$O:$O,A435,Avaliação!$N:$N))+(SUMIF(Avaliação!$S:$S,A435,Avaliação!$R:$R))</f>
        <v>0</v>
      </c>
      <c r="D435" s="775">
        <f>(SUMIF(Avaliação!$AA:$AA,A435,Avaliação!$Z:$Z))+(SUMIF(Avaliação!$AD:$AD,A435,Avaliação!$AC:$AC))+(SUMIF(Avaliação!$AG:$AG,A435,Avaliação!$AF:$AF))</f>
        <v>0</v>
      </c>
    </row>
    <row r="436" spans="1:4">
      <c r="A436" s="157" t="s">
        <v>4053</v>
      </c>
      <c r="B436" s="195" t="s">
        <v>4054</v>
      </c>
      <c r="C436" s="775">
        <f>(SUMIF(Avaliação!$K:$K,A436,Avaliação!$J:$J))+(SUMIF(Avaliação!$O:$O,A436,Avaliação!$N:$N))+(SUMIF(Avaliação!$S:$S,A436,Avaliação!$R:$R))</f>
        <v>0</v>
      </c>
      <c r="D436" s="775">
        <f>(SUMIF(Avaliação!$AA:$AA,A436,Avaliação!$Z:$Z))+(SUMIF(Avaliação!$AD:$AD,A436,Avaliação!$AC:$AC))+(SUMIF(Avaliação!$AG:$AG,A436,Avaliação!$AF:$AF))</f>
        <v>0</v>
      </c>
    </row>
    <row r="437" spans="1:4">
      <c r="A437" s="157" t="s">
        <v>4055</v>
      </c>
      <c r="B437" s="195" t="s">
        <v>4056</v>
      </c>
      <c r="C437" s="775">
        <f>(SUMIF(Avaliação!$K:$K,A437,Avaliação!$J:$J))+(SUMIF(Avaliação!$O:$O,A437,Avaliação!$N:$N))+(SUMIF(Avaliação!$S:$S,A437,Avaliação!$R:$R))</f>
        <v>0</v>
      </c>
      <c r="D437" s="775">
        <f>(SUMIF(Avaliação!$AA:$AA,A437,Avaliação!$Z:$Z))+(SUMIF(Avaliação!$AD:$AD,A437,Avaliação!$AC:$AC))+(SUMIF(Avaliação!$AG:$AG,A437,Avaliação!$AF:$AF))</f>
        <v>0</v>
      </c>
    </row>
    <row r="438" spans="1:4">
      <c r="A438" s="157" t="s">
        <v>4057</v>
      </c>
      <c r="B438" s="195" t="s">
        <v>4058</v>
      </c>
      <c r="C438" s="775">
        <f>(SUMIF(Avaliação!$K:$K,A438,Avaliação!$J:$J))+(SUMIF(Avaliação!$O:$O,A438,Avaliação!$N:$N))+(SUMIF(Avaliação!$S:$S,A438,Avaliação!$R:$R))</f>
        <v>0</v>
      </c>
      <c r="D438" s="775">
        <f>(SUMIF(Avaliação!$AA:$AA,A438,Avaliação!$Z:$Z))+(SUMIF(Avaliação!$AD:$AD,A438,Avaliação!$AC:$AC))+(SUMIF(Avaliação!$AG:$AG,A438,Avaliação!$AF:$AF))</f>
        <v>0</v>
      </c>
    </row>
    <row r="439" spans="1:4">
      <c r="A439" s="157" t="s">
        <v>4059</v>
      </c>
      <c r="B439" s="195" t="s">
        <v>4060</v>
      </c>
      <c r="C439" s="775">
        <f>(SUMIF(Avaliação!$K:$K,A439,Avaliação!$J:$J))+(SUMIF(Avaliação!$O:$O,A439,Avaliação!$N:$N))+(SUMIF(Avaliação!$S:$S,A439,Avaliação!$R:$R))</f>
        <v>0</v>
      </c>
      <c r="D439" s="775">
        <f>(SUMIF(Avaliação!$AA:$AA,A439,Avaliação!$Z:$Z))+(SUMIF(Avaliação!$AD:$AD,A439,Avaliação!$AC:$AC))+(SUMIF(Avaliação!$AG:$AG,A439,Avaliação!$AF:$AF))</f>
        <v>0</v>
      </c>
    </row>
    <row r="440" spans="1:4">
      <c r="A440" s="157" t="s">
        <v>4061</v>
      </c>
      <c r="B440" s="195" t="s">
        <v>4062</v>
      </c>
      <c r="C440" s="775">
        <f>(SUMIF(Avaliação!$K:$K,A440,Avaliação!$J:$J))+(SUMIF(Avaliação!$O:$O,A440,Avaliação!$N:$N))+(SUMIF(Avaliação!$S:$S,A440,Avaliação!$R:$R))</f>
        <v>0</v>
      </c>
      <c r="D440" s="775">
        <f>(SUMIF(Avaliação!$AA:$AA,A440,Avaliação!$Z:$Z))+(SUMIF(Avaliação!$AD:$AD,A440,Avaliação!$AC:$AC))+(SUMIF(Avaliação!$AG:$AG,A440,Avaliação!$AF:$AF))</f>
        <v>0</v>
      </c>
    </row>
    <row r="441" spans="1:4">
      <c r="A441" s="157" t="s">
        <v>4063</v>
      </c>
      <c r="B441" s="195" t="s">
        <v>4064</v>
      </c>
      <c r="C441" s="775">
        <f>(SUMIF(Avaliação!$K:$K,A441,Avaliação!$J:$J))+(SUMIF(Avaliação!$O:$O,A441,Avaliação!$N:$N))+(SUMIF(Avaliação!$S:$S,A441,Avaliação!$R:$R))</f>
        <v>0</v>
      </c>
      <c r="D441" s="775">
        <f>(SUMIF(Avaliação!$AA:$AA,A441,Avaliação!$Z:$Z))+(SUMIF(Avaliação!$AD:$AD,A441,Avaliação!$AC:$AC))+(SUMIF(Avaliação!$AG:$AG,A441,Avaliação!$AF:$AF))</f>
        <v>0</v>
      </c>
    </row>
    <row r="442" spans="1:4">
      <c r="A442" s="157" t="s">
        <v>4065</v>
      </c>
      <c r="B442" s="195" t="s">
        <v>4066</v>
      </c>
      <c r="C442" s="775">
        <f>(SUMIF(Avaliação!$K:$K,A442,Avaliação!$J:$J))+(SUMIF(Avaliação!$O:$O,A442,Avaliação!$N:$N))+(SUMIF(Avaliação!$S:$S,A442,Avaliação!$R:$R))</f>
        <v>0</v>
      </c>
      <c r="D442" s="775">
        <f>(SUMIF(Avaliação!$AA:$AA,A442,Avaliação!$Z:$Z))+(SUMIF(Avaliação!$AD:$AD,A442,Avaliação!$AC:$AC))+(SUMIF(Avaliação!$AG:$AG,A442,Avaliação!$AF:$AF))</f>
        <v>0</v>
      </c>
    </row>
    <row r="443" spans="1:4">
      <c r="A443" s="157" t="s">
        <v>4067</v>
      </c>
      <c r="B443" s="195" t="s">
        <v>4068</v>
      </c>
      <c r="C443" s="775">
        <f>(SUMIF(Avaliação!$K:$K,A443,Avaliação!$J:$J))+(SUMIF(Avaliação!$O:$O,A443,Avaliação!$N:$N))+(SUMIF(Avaliação!$S:$S,A443,Avaliação!$R:$R))</f>
        <v>0</v>
      </c>
      <c r="D443" s="775">
        <f>(SUMIF(Avaliação!$AA:$AA,A443,Avaliação!$Z:$Z))+(SUMIF(Avaliação!$AD:$AD,A443,Avaliação!$AC:$AC))+(SUMIF(Avaliação!$AG:$AG,A443,Avaliação!$AF:$AF))</f>
        <v>0</v>
      </c>
    </row>
    <row r="444" spans="1:4">
      <c r="A444" s="157" t="s">
        <v>4069</v>
      </c>
      <c r="B444" s="195" t="s">
        <v>4070</v>
      </c>
      <c r="C444" s="775">
        <f>(SUMIF(Avaliação!$K:$K,A444,Avaliação!$J:$J))+(SUMIF(Avaliação!$O:$O,A444,Avaliação!$N:$N))+(SUMIF(Avaliação!$S:$S,A444,Avaliação!$R:$R))</f>
        <v>0</v>
      </c>
      <c r="D444" s="775">
        <f>(SUMIF(Avaliação!$AA:$AA,A444,Avaliação!$Z:$Z))+(SUMIF(Avaliação!$AD:$AD,A444,Avaliação!$AC:$AC))+(SUMIF(Avaliação!$AG:$AG,A444,Avaliação!$AF:$AF))</f>
        <v>0</v>
      </c>
    </row>
    <row r="445" spans="1:4">
      <c r="A445" s="157" t="s">
        <v>4071</v>
      </c>
      <c r="B445" s="195" t="s">
        <v>4072</v>
      </c>
      <c r="C445" s="775">
        <f>(SUMIF(Avaliação!$K:$K,A445,Avaliação!$J:$J))+(SUMIF(Avaliação!$O:$O,A445,Avaliação!$N:$N))+(SUMIF(Avaliação!$S:$S,A445,Avaliação!$R:$R))</f>
        <v>0</v>
      </c>
      <c r="D445" s="775">
        <f>(SUMIF(Avaliação!$AA:$AA,A445,Avaliação!$Z:$Z))+(SUMIF(Avaliação!$AD:$AD,A445,Avaliação!$AC:$AC))+(SUMIF(Avaliação!$AG:$AG,A445,Avaliação!$AF:$AF))</f>
        <v>0</v>
      </c>
    </row>
    <row r="446" spans="1:4">
      <c r="A446" s="157" t="s">
        <v>4073</v>
      </c>
      <c r="B446" s="195" t="s">
        <v>4074</v>
      </c>
      <c r="C446" s="775">
        <f>(SUMIF(Avaliação!$K:$K,A446,Avaliação!$J:$J))+(SUMIF(Avaliação!$O:$O,A446,Avaliação!$N:$N))+(SUMIF(Avaliação!$S:$S,A446,Avaliação!$R:$R))</f>
        <v>0</v>
      </c>
      <c r="D446" s="775">
        <f>(SUMIF(Avaliação!$AA:$AA,A446,Avaliação!$Z:$Z))+(SUMIF(Avaliação!$AD:$AD,A446,Avaliação!$AC:$AC))+(SUMIF(Avaliação!$AG:$AG,A446,Avaliação!$AF:$AF))</f>
        <v>0</v>
      </c>
    </row>
    <row r="447" spans="1:4">
      <c r="A447" s="854" t="s">
        <v>4075</v>
      </c>
      <c r="B447" s="855" t="s">
        <v>4076</v>
      </c>
      <c r="C447" s="775">
        <f>(SUMIF(Avaliação!$K:$K,A447,Avaliação!$J:$J))+(SUMIF(Avaliação!$O:$O,A447,Avaliação!$N:$N))+(SUMIF(Avaliação!$S:$S,A447,Avaliação!$R:$R))</f>
        <v>11</v>
      </c>
      <c r="D447" s="856">
        <f>(SUMIF(Avaliação!$AA:$AA,A447,Avaliação!$Z:$Z))+(SUMIF(Avaliação!$AD:$AD,A447,Avaliação!$AC:$AC))+(SUMIF(Avaliação!$AG:$AG,A447,Avaliação!$AF:$AF))</f>
        <v>0</v>
      </c>
    </row>
    <row r="448" spans="1:4">
      <c r="A448" s="157" t="s">
        <v>4077</v>
      </c>
      <c r="B448" s="195" t="s">
        <v>4078</v>
      </c>
      <c r="C448" s="775">
        <f>(SUMIF(Avaliação!$K:$K,A448,Avaliação!$J:$J))+(SUMIF(Avaliação!$O:$O,A448,Avaliação!$N:$N))+(SUMIF(Avaliação!$S:$S,A448,Avaliação!$R:$R))</f>
        <v>0</v>
      </c>
      <c r="D448" s="775">
        <f>(SUMIF(Avaliação!$AA:$AA,A448,Avaliação!$Z:$Z))+(SUMIF(Avaliação!$AD:$AD,A448,Avaliação!$AC:$AC))+(SUMIF(Avaliação!$AG:$AG,A448,Avaliação!$AF:$AF))</f>
        <v>0</v>
      </c>
    </row>
    <row r="449" spans="1:4">
      <c r="A449" s="157" t="s">
        <v>4079</v>
      </c>
      <c r="B449" s="195" t="s">
        <v>4080</v>
      </c>
      <c r="C449" s="775">
        <f>(SUMIF(Avaliação!$K:$K,A449,Avaliação!$J:$J))+(SUMIF(Avaliação!$O:$O,A449,Avaliação!$N:$N))+(SUMIF(Avaliação!$S:$S,A449,Avaliação!$R:$R))</f>
        <v>0</v>
      </c>
      <c r="D449" s="775">
        <f>(SUMIF(Avaliação!$AA:$AA,A449,Avaliação!$Z:$Z))+(SUMIF(Avaliação!$AD:$AD,A449,Avaliação!$AC:$AC))+(SUMIF(Avaliação!$AG:$AG,A449,Avaliação!$AF:$AF))</f>
        <v>0</v>
      </c>
    </row>
    <row r="450" spans="1:4">
      <c r="A450" s="157" t="s">
        <v>4081</v>
      </c>
      <c r="B450" s="195" t="s">
        <v>4082</v>
      </c>
      <c r="C450" s="775">
        <f>(SUMIF(Avaliação!$K:$K,A450,Avaliação!$J:$J))+(SUMIF(Avaliação!$O:$O,A450,Avaliação!$N:$N))+(SUMIF(Avaliação!$S:$S,A450,Avaliação!$R:$R))</f>
        <v>0</v>
      </c>
      <c r="D450" s="775">
        <f>(SUMIF(Avaliação!$AA:$AA,A450,Avaliação!$Z:$Z))+(SUMIF(Avaliação!$AD:$AD,A450,Avaliação!$AC:$AC))+(SUMIF(Avaliação!$AG:$AG,A450,Avaliação!$AF:$AF))</f>
        <v>0</v>
      </c>
    </row>
    <row r="451" spans="1:4">
      <c r="A451" s="157" t="s">
        <v>4083</v>
      </c>
      <c r="B451" s="195" t="s">
        <v>4084</v>
      </c>
      <c r="C451" s="775">
        <f>(SUMIF(Avaliação!$K:$K,A451,Avaliação!$J:$J))+(SUMIF(Avaliação!$O:$O,A451,Avaliação!$N:$N))+(SUMIF(Avaliação!$S:$S,A451,Avaliação!$R:$R))</f>
        <v>0</v>
      </c>
      <c r="D451" s="775">
        <f>(SUMIF(Avaliação!$AA:$AA,A451,Avaliação!$Z:$Z))+(SUMIF(Avaliação!$AD:$AD,A451,Avaliação!$AC:$AC))+(SUMIF(Avaliação!$AG:$AG,A451,Avaliação!$AF:$AF))</f>
        <v>0</v>
      </c>
    </row>
    <row r="452" spans="1:4">
      <c r="A452" s="157" t="s">
        <v>4085</v>
      </c>
      <c r="B452" s="195" t="s">
        <v>4086</v>
      </c>
      <c r="C452" s="775">
        <f>(SUMIF(Avaliação!$K:$K,A452,Avaliação!$J:$J))+(SUMIF(Avaliação!$O:$O,A452,Avaliação!$N:$N))+(SUMIF(Avaliação!$S:$S,A452,Avaliação!$R:$R))</f>
        <v>0</v>
      </c>
      <c r="D452" s="775">
        <f>(SUMIF(Avaliação!$AA:$AA,A452,Avaliação!$Z:$Z))+(SUMIF(Avaliação!$AD:$AD,A452,Avaliação!$AC:$AC))+(SUMIF(Avaliação!$AG:$AG,A452,Avaliação!$AF:$AF))</f>
        <v>0</v>
      </c>
    </row>
    <row r="453" spans="1:4">
      <c r="A453" s="157" t="s">
        <v>4087</v>
      </c>
      <c r="B453" s="195" t="s">
        <v>4088</v>
      </c>
      <c r="C453" s="775">
        <f>(SUMIF(Avaliação!$K:$K,A453,Avaliação!$J:$J))+(SUMIF(Avaliação!$O:$O,A453,Avaliação!$N:$N))+(SUMIF(Avaliação!$S:$S,A453,Avaliação!$R:$R))</f>
        <v>0</v>
      </c>
      <c r="D453" s="775">
        <f>(SUMIF(Avaliação!$AA:$AA,A453,Avaliação!$Z:$Z))+(SUMIF(Avaliação!$AD:$AD,A453,Avaliação!$AC:$AC))+(SUMIF(Avaliação!$AG:$AG,A453,Avaliação!$AF:$AF))</f>
        <v>0</v>
      </c>
    </row>
    <row r="454" spans="1:4">
      <c r="A454" s="157" t="s">
        <v>4089</v>
      </c>
      <c r="B454" s="195" t="s">
        <v>4090</v>
      </c>
      <c r="C454" s="775">
        <f>(SUMIF(Avaliação!$K:$K,A454,Avaliação!$J:$J))+(SUMIF(Avaliação!$O:$O,A454,Avaliação!$N:$N))+(SUMIF(Avaliação!$S:$S,A454,Avaliação!$R:$R))</f>
        <v>0</v>
      </c>
      <c r="D454" s="775">
        <f>(SUMIF(Avaliação!$AA:$AA,A454,Avaliação!$Z:$Z))+(SUMIF(Avaliação!$AD:$AD,A454,Avaliação!$AC:$AC))+(SUMIF(Avaliação!$AG:$AG,A454,Avaliação!$AF:$AF))</f>
        <v>0</v>
      </c>
    </row>
    <row r="455" spans="1:4">
      <c r="A455" s="157" t="s">
        <v>4091</v>
      </c>
      <c r="B455" s="195" t="s">
        <v>4092</v>
      </c>
      <c r="C455" s="775">
        <f>(SUMIF(Avaliação!$K:$K,A455,Avaliação!$J:$J))+(SUMIF(Avaliação!$O:$O,A455,Avaliação!$N:$N))+(SUMIF(Avaliação!$S:$S,A455,Avaliação!$R:$R))</f>
        <v>0</v>
      </c>
      <c r="D455" s="775">
        <f>(SUMIF(Avaliação!$AA:$AA,A455,Avaliação!$Z:$Z))+(SUMIF(Avaliação!$AD:$AD,A455,Avaliação!$AC:$AC))+(SUMIF(Avaliação!$AG:$AG,A455,Avaliação!$AF:$AF))</f>
        <v>0</v>
      </c>
    </row>
    <row r="456" spans="1:4">
      <c r="A456" s="157" t="s">
        <v>4093</v>
      </c>
      <c r="B456" s="195" t="s">
        <v>4094</v>
      </c>
      <c r="C456" s="775">
        <f>(SUMIF(Avaliação!$K:$K,A456,Avaliação!$J:$J))+(SUMIF(Avaliação!$O:$O,A456,Avaliação!$N:$N))+(SUMIF(Avaliação!$S:$S,A456,Avaliação!$R:$R))</f>
        <v>0</v>
      </c>
      <c r="D456" s="775">
        <f>(SUMIF(Avaliação!$AA:$AA,A456,Avaliação!$Z:$Z))+(SUMIF(Avaliação!$AD:$AD,A456,Avaliação!$AC:$AC))+(SUMIF(Avaliação!$AG:$AG,A456,Avaliação!$AF:$AF))</f>
        <v>0</v>
      </c>
    </row>
    <row r="457" spans="1:4">
      <c r="A457" s="157" t="s">
        <v>4095</v>
      </c>
      <c r="B457" s="195" t="s">
        <v>4096</v>
      </c>
      <c r="C457" s="775">
        <f>(SUMIF(Avaliação!$K:$K,A457,Avaliação!$J:$J))+(SUMIF(Avaliação!$O:$O,A457,Avaliação!$N:$N))+(SUMIF(Avaliação!$S:$S,A457,Avaliação!$R:$R))</f>
        <v>0</v>
      </c>
      <c r="D457" s="775">
        <f>(SUMIF(Avaliação!$AA:$AA,A457,Avaliação!$Z:$Z))+(SUMIF(Avaliação!$AD:$AD,A457,Avaliação!$AC:$AC))+(SUMIF(Avaliação!$AG:$AG,A457,Avaliação!$AF:$AF))</f>
        <v>0</v>
      </c>
    </row>
    <row r="458" spans="1:4">
      <c r="A458" s="157" t="s">
        <v>4097</v>
      </c>
      <c r="B458" s="195" t="s">
        <v>4098</v>
      </c>
      <c r="C458" s="775">
        <f>(SUMIF(Avaliação!$K:$K,A458,Avaliação!$J:$J))+(SUMIF(Avaliação!$O:$O,A458,Avaliação!$N:$N))+(SUMIF(Avaliação!$S:$S,A458,Avaliação!$R:$R))</f>
        <v>0</v>
      </c>
      <c r="D458" s="775">
        <f>(SUMIF(Avaliação!$AA:$AA,A458,Avaliação!$Z:$Z))+(SUMIF(Avaliação!$AD:$AD,A458,Avaliação!$AC:$AC))+(SUMIF(Avaliação!$AG:$AG,A458,Avaliação!$AF:$AF))</f>
        <v>0</v>
      </c>
    </row>
    <row r="459" spans="1:4">
      <c r="A459" s="157" t="s">
        <v>4099</v>
      </c>
      <c r="B459" s="195" t="s">
        <v>4100</v>
      </c>
      <c r="C459" s="775">
        <f>(SUMIF(Avaliação!$K:$K,A459,Avaliação!$J:$J))+(SUMIF(Avaliação!$O:$O,A459,Avaliação!$N:$N))+(SUMIF(Avaliação!$S:$S,A459,Avaliação!$R:$R))</f>
        <v>0</v>
      </c>
      <c r="D459" s="775">
        <f>(SUMIF(Avaliação!$AA:$AA,A459,Avaliação!$Z:$Z))+(SUMIF(Avaliação!$AD:$AD,A459,Avaliação!$AC:$AC))+(SUMIF(Avaliação!$AG:$AG,A459,Avaliação!$AF:$AF))</f>
        <v>0</v>
      </c>
    </row>
    <row r="460" spans="1:4">
      <c r="A460" s="157" t="s">
        <v>4101</v>
      </c>
      <c r="B460" s="195" t="s">
        <v>4102</v>
      </c>
      <c r="C460" s="775">
        <f>(SUMIF(Avaliação!$K:$K,A460,Avaliação!$J:$J))+(SUMIF(Avaliação!$O:$O,A460,Avaliação!$N:$N))+(SUMIF(Avaliação!$S:$S,A460,Avaliação!$R:$R))</f>
        <v>0</v>
      </c>
      <c r="D460" s="775">
        <f>(SUMIF(Avaliação!$AA:$AA,A460,Avaliação!$Z:$Z))+(SUMIF(Avaliação!$AD:$AD,A460,Avaliação!$AC:$AC))+(SUMIF(Avaliação!$AG:$AG,A460,Avaliação!$AF:$AF))</f>
        <v>0</v>
      </c>
    </row>
    <row r="461" spans="1:4">
      <c r="A461" s="157" t="s">
        <v>4103</v>
      </c>
      <c r="B461" s="195" t="s">
        <v>4104</v>
      </c>
      <c r="C461" s="775">
        <f>(SUMIF(Avaliação!$K:$K,A461,Avaliação!$J:$J))+(SUMIF(Avaliação!$O:$O,A461,Avaliação!$N:$N))+(SUMIF(Avaliação!$S:$S,A461,Avaliação!$R:$R))</f>
        <v>0</v>
      </c>
      <c r="D461" s="775">
        <f>(SUMIF(Avaliação!$AA:$AA,A461,Avaliação!$Z:$Z))+(SUMIF(Avaliação!$AD:$AD,A461,Avaliação!$AC:$AC))+(SUMIF(Avaliação!$AG:$AG,A461,Avaliação!$AF:$AF))</f>
        <v>0</v>
      </c>
    </row>
    <row r="462" spans="1:4">
      <c r="A462" s="157" t="s">
        <v>4105</v>
      </c>
      <c r="B462" s="195" t="s">
        <v>4106</v>
      </c>
      <c r="C462" s="775">
        <f>(SUMIF(Avaliação!$K:$K,A462,Avaliação!$J:$J))+(SUMIF(Avaliação!$O:$O,A462,Avaliação!$N:$N))+(SUMIF(Avaliação!$S:$S,A462,Avaliação!$R:$R))</f>
        <v>0</v>
      </c>
      <c r="D462" s="775">
        <f>(SUMIF(Avaliação!$AA:$AA,A462,Avaliação!$Z:$Z))+(SUMIF(Avaliação!$AD:$AD,A462,Avaliação!$AC:$AC))+(SUMIF(Avaliação!$AG:$AG,A462,Avaliação!$AF:$AF))</f>
        <v>0</v>
      </c>
    </row>
    <row r="463" spans="1:4">
      <c r="A463" s="157" t="s">
        <v>4107</v>
      </c>
      <c r="B463" s="195" t="s">
        <v>4108</v>
      </c>
      <c r="C463" s="775">
        <f>(SUMIF(Avaliação!$K:$K,A463,Avaliação!$J:$J))+(SUMIF(Avaliação!$O:$O,A463,Avaliação!$N:$N))+(SUMIF(Avaliação!$S:$S,A463,Avaliação!$R:$R))</f>
        <v>0</v>
      </c>
      <c r="D463" s="775">
        <f>(SUMIF(Avaliação!$AA:$AA,A463,Avaliação!$Z:$Z))+(SUMIF(Avaliação!$AD:$AD,A463,Avaliação!$AC:$AC))+(SUMIF(Avaliação!$AG:$AG,A463,Avaliação!$AF:$AF))</f>
        <v>0</v>
      </c>
    </row>
    <row r="464" spans="1:4">
      <c r="A464" s="157" t="s">
        <v>4109</v>
      </c>
      <c r="B464" s="195" t="s">
        <v>4110</v>
      </c>
      <c r="C464" s="775">
        <f>(SUMIF(Avaliação!$K:$K,A464,Avaliação!$J:$J))+(SUMIF(Avaliação!$O:$O,A464,Avaliação!$N:$N))+(SUMIF(Avaliação!$S:$S,A464,Avaliação!$R:$R))</f>
        <v>0</v>
      </c>
      <c r="D464" s="775">
        <f>(SUMIF(Avaliação!$AA:$AA,A464,Avaliação!$Z:$Z))+(SUMIF(Avaliação!$AD:$AD,A464,Avaliação!$AC:$AC))+(SUMIF(Avaliação!$AG:$AG,A464,Avaliação!$AF:$AF))</f>
        <v>0</v>
      </c>
    </row>
    <row r="465" spans="1:4">
      <c r="A465" s="157" t="s">
        <v>4111</v>
      </c>
      <c r="B465" s="195" t="s">
        <v>4112</v>
      </c>
      <c r="C465" s="775">
        <f>(SUMIF(Avaliação!$K:$K,A465,Avaliação!$J:$J))+(SUMIF(Avaliação!$O:$O,A465,Avaliação!$N:$N))+(SUMIF(Avaliação!$S:$S,A465,Avaliação!$R:$R))</f>
        <v>0</v>
      </c>
      <c r="D465" s="775">
        <f>(SUMIF(Avaliação!$AA:$AA,A465,Avaliação!$Z:$Z))+(SUMIF(Avaliação!$AD:$AD,A465,Avaliação!$AC:$AC))+(SUMIF(Avaliação!$AG:$AG,A465,Avaliação!$AF:$AF))</f>
        <v>0</v>
      </c>
    </row>
    <row r="466" spans="1:4">
      <c r="A466" s="157" t="s">
        <v>4113</v>
      </c>
      <c r="B466" s="195" t="s">
        <v>4114</v>
      </c>
      <c r="C466" s="775">
        <f>(SUMIF(Avaliação!$K:$K,A466,Avaliação!$J:$J))+(SUMIF(Avaliação!$O:$O,A466,Avaliação!$N:$N))+(SUMIF(Avaliação!$S:$S,A466,Avaliação!$R:$R))</f>
        <v>0</v>
      </c>
      <c r="D466" s="775">
        <f>(SUMIF(Avaliação!$AA:$AA,A466,Avaliação!$Z:$Z))+(SUMIF(Avaliação!$AD:$AD,A466,Avaliação!$AC:$AC))+(SUMIF(Avaliação!$AG:$AG,A466,Avaliação!$AF:$AF))</f>
        <v>0</v>
      </c>
    </row>
    <row r="467" spans="1:4">
      <c r="A467" s="157" t="s">
        <v>4115</v>
      </c>
      <c r="B467" s="195" t="s">
        <v>4116</v>
      </c>
      <c r="C467" s="775">
        <f>(SUMIF(Avaliação!$K:$K,A467,Avaliação!$J:$J))+(SUMIF(Avaliação!$O:$O,A467,Avaliação!$N:$N))+(SUMIF(Avaliação!$S:$S,A467,Avaliação!$R:$R))</f>
        <v>0</v>
      </c>
      <c r="D467" s="775">
        <f>(SUMIF(Avaliação!$AA:$AA,A467,Avaliação!$Z:$Z))+(SUMIF(Avaliação!$AD:$AD,A467,Avaliação!$AC:$AC))+(SUMIF(Avaliação!$AG:$AG,A467,Avaliação!$AF:$AF))</f>
        <v>0</v>
      </c>
    </row>
    <row r="468" spans="1:4">
      <c r="A468" s="854" t="s">
        <v>4117</v>
      </c>
      <c r="B468" s="855" t="s">
        <v>4118</v>
      </c>
      <c r="C468" s="775">
        <f>(SUMIF(Avaliação!$K:$K,A468,Avaliação!$J:$J))+(SUMIF(Avaliação!$O:$O,A468,Avaliação!$N:$N))+(SUMIF(Avaliação!$S:$S,A468,Avaliação!$R:$R))</f>
        <v>0</v>
      </c>
      <c r="D468" s="856">
        <f>(SUMIF(Avaliação!$AA:$AA,A468,Avaliação!$Z:$Z))+(SUMIF(Avaliação!$AD:$AD,A468,Avaliação!$AC:$AC))+(SUMIF(Avaliação!$AG:$AG,A468,Avaliação!$AF:$AF))</f>
        <v>0</v>
      </c>
    </row>
    <row r="469" spans="1:4">
      <c r="A469" s="157" t="s">
        <v>4119</v>
      </c>
      <c r="B469" s="195" t="s">
        <v>4120</v>
      </c>
      <c r="C469" s="775">
        <f>(SUMIF(Avaliação!$K:$K,A469,Avaliação!$J:$J))+(SUMIF(Avaliação!$O:$O,A469,Avaliação!$N:$N))+(SUMIF(Avaliação!$S:$S,A469,Avaliação!$R:$R))</f>
        <v>0</v>
      </c>
      <c r="D469" s="775">
        <f>(SUMIF(Avaliação!$AA:$AA,A469,Avaliação!$Z:$Z))+(SUMIF(Avaliação!$AD:$AD,A469,Avaliação!$AC:$AC))+(SUMIF(Avaliação!$AG:$AG,A469,Avaliação!$AF:$AF))</f>
        <v>0</v>
      </c>
    </row>
    <row r="470" spans="1:4">
      <c r="A470" s="157" t="s">
        <v>4121</v>
      </c>
      <c r="B470" s="195" t="s">
        <v>4122</v>
      </c>
      <c r="C470" s="775">
        <f>(SUMIF(Avaliação!$K:$K,A470,Avaliação!$J:$J))+(SUMIF(Avaliação!$O:$O,A470,Avaliação!$N:$N))+(SUMIF(Avaliação!$S:$S,A470,Avaliação!$R:$R))</f>
        <v>0</v>
      </c>
      <c r="D470" s="775">
        <f>(SUMIF(Avaliação!$AA:$AA,A470,Avaliação!$Z:$Z))+(SUMIF(Avaliação!$AD:$AD,A470,Avaliação!$AC:$AC))+(SUMIF(Avaliação!$AG:$AG,A470,Avaliação!$AF:$AF))</f>
        <v>0</v>
      </c>
    </row>
    <row r="471" spans="1:4">
      <c r="A471" s="157" t="s">
        <v>4123</v>
      </c>
      <c r="B471" s="195" t="s">
        <v>4124</v>
      </c>
      <c r="C471" s="775">
        <f>(SUMIF(Avaliação!$K:$K,A471,Avaliação!$J:$J))+(SUMIF(Avaliação!$O:$O,A471,Avaliação!$N:$N))+(SUMIF(Avaliação!$S:$S,A471,Avaliação!$R:$R))</f>
        <v>0</v>
      </c>
      <c r="D471" s="775">
        <f>(SUMIF(Avaliação!$AA:$AA,A471,Avaliação!$Z:$Z))+(SUMIF(Avaliação!$AD:$AD,A471,Avaliação!$AC:$AC))+(SUMIF(Avaliação!$AG:$AG,A471,Avaliação!$AF:$AF))</f>
        <v>0</v>
      </c>
    </row>
    <row r="472" spans="1:4">
      <c r="A472" s="854" t="s">
        <v>4125</v>
      </c>
      <c r="B472" s="855" t="s">
        <v>4126</v>
      </c>
      <c r="C472" s="775">
        <f>(SUMIF(Avaliação!$K:$K,A472,Avaliação!$J:$J))+(SUMIF(Avaliação!$O:$O,A472,Avaliação!$N:$N))+(SUMIF(Avaliação!$S:$S,A472,Avaliação!$R:$R))</f>
        <v>1</v>
      </c>
      <c r="D472" s="856">
        <f>(SUMIF(Avaliação!$AA:$AA,A472,Avaliação!$Z:$Z))+(SUMIF(Avaliação!$AD:$AD,A472,Avaliação!$AC:$AC))+(SUMIF(Avaliação!$AG:$AG,A472,Avaliação!$AF:$AF))</f>
        <v>0</v>
      </c>
    </row>
    <row r="473" spans="1:4">
      <c r="A473" s="157" t="s">
        <v>4127</v>
      </c>
      <c r="B473" s="195" t="s">
        <v>4128</v>
      </c>
      <c r="C473" s="775">
        <f>(SUMIF(Avaliação!$K:$K,A473,Avaliação!$J:$J))+(SUMIF(Avaliação!$O:$O,A473,Avaliação!$N:$N))+(SUMIF(Avaliação!$S:$S,A473,Avaliação!$R:$R))</f>
        <v>0</v>
      </c>
      <c r="D473" s="775">
        <f>(SUMIF(Avaliação!$AA:$AA,A473,Avaliação!$Z:$Z))+(SUMIF(Avaliação!$AD:$AD,A473,Avaliação!$AC:$AC))+(SUMIF(Avaliação!$AG:$AG,A473,Avaliação!$AF:$AF))</f>
        <v>0</v>
      </c>
    </row>
    <row r="474" spans="1:4">
      <c r="A474" s="157" t="s">
        <v>4129</v>
      </c>
      <c r="B474" s="195" t="s">
        <v>4130</v>
      </c>
      <c r="C474" s="775">
        <f>(SUMIF(Avaliação!$K:$K,A474,Avaliação!$J:$J))+(SUMIF(Avaliação!$O:$O,A474,Avaliação!$N:$N))+(SUMIF(Avaliação!$S:$S,A474,Avaliação!$R:$R))</f>
        <v>0</v>
      </c>
      <c r="D474" s="775">
        <f>(SUMIF(Avaliação!$AA:$AA,A474,Avaliação!$Z:$Z))+(SUMIF(Avaliação!$AD:$AD,A474,Avaliação!$AC:$AC))+(SUMIF(Avaliação!$AG:$AG,A474,Avaliação!$AF:$AF))</f>
        <v>0</v>
      </c>
    </row>
    <row r="475" spans="1:4">
      <c r="A475" s="157" t="s">
        <v>4131</v>
      </c>
      <c r="B475" s="195" t="s">
        <v>4132</v>
      </c>
      <c r="C475" s="775">
        <f>(SUMIF(Avaliação!$K:$K,A475,Avaliação!$J:$J))+(SUMIF(Avaliação!$O:$O,A475,Avaliação!$N:$N))+(SUMIF(Avaliação!$S:$S,A475,Avaliação!$R:$R))</f>
        <v>0</v>
      </c>
      <c r="D475" s="775">
        <f>(SUMIF(Avaliação!$AA:$AA,A475,Avaliação!$Z:$Z))+(SUMIF(Avaliação!$AD:$AD,A475,Avaliação!$AC:$AC))+(SUMIF(Avaliação!$AG:$AG,A475,Avaliação!$AF:$AF))</f>
        <v>0</v>
      </c>
    </row>
    <row r="476" spans="1:4">
      <c r="A476" s="157" t="s">
        <v>4133</v>
      </c>
      <c r="B476" s="195" t="s">
        <v>4134</v>
      </c>
      <c r="C476" s="775">
        <f>(SUMIF(Avaliação!$K:$K,A476,Avaliação!$J:$J))+(SUMIF(Avaliação!$O:$O,A476,Avaliação!$N:$N))+(SUMIF(Avaliação!$S:$S,A476,Avaliação!$R:$R))</f>
        <v>0</v>
      </c>
      <c r="D476" s="775">
        <f>(SUMIF(Avaliação!$AA:$AA,A476,Avaliação!$Z:$Z))+(SUMIF(Avaliação!$AD:$AD,A476,Avaliação!$AC:$AC))+(SUMIF(Avaliação!$AG:$AG,A476,Avaliação!$AF:$AF))</f>
        <v>0</v>
      </c>
    </row>
    <row r="477" spans="1:4">
      <c r="A477" s="157" t="s">
        <v>4135</v>
      </c>
      <c r="B477" s="195" t="s">
        <v>4136</v>
      </c>
      <c r="C477" s="775">
        <f>(SUMIF(Avaliação!$K:$K,A477,Avaliação!$J:$J))+(SUMIF(Avaliação!$O:$O,A477,Avaliação!$N:$N))+(SUMIF(Avaliação!$S:$S,A477,Avaliação!$R:$R))</f>
        <v>0</v>
      </c>
      <c r="D477" s="775">
        <f>(SUMIF(Avaliação!$AA:$AA,A477,Avaliação!$Z:$Z))+(SUMIF(Avaliação!$AD:$AD,A477,Avaliação!$AC:$AC))+(SUMIF(Avaliação!$AG:$AG,A477,Avaliação!$AF:$AF))</f>
        <v>0</v>
      </c>
    </row>
    <row r="478" spans="1:4">
      <c r="A478" s="157" t="s">
        <v>4137</v>
      </c>
      <c r="B478" s="195" t="s">
        <v>4138</v>
      </c>
      <c r="C478" s="775">
        <f>(SUMIF(Avaliação!$K:$K,A478,Avaliação!$J:$J))+(SUMIF(Avaliação!$O:$O,A478,Avaliação!$N:$N))+(SUMIF(Avaliação!$S:$S,A478,Avaliação!$R:$R))</f>
        <v>0</v>
      </c>
      <c r="D478" s="775">
        <f>(SUMIF(Avaliação!$AA:$AA,A478,Avaliação!$Z:$Z))+(SUMIF(Avaliação!$AD:$AD,A478,Avaliação!$AC:$AC))+(SUMIF(Avaliação!$AG:$AG,A478,Avaliação!$AF:$AF))</f>
        <v>0</v>
      </c>
    </row>
    <row r="479" spans="1:4">
      <c r="A479" s="157" t="s">
        <v>4139</v>
      </c>
      <c r="B479" s="195" t="s">
        <v>4140</v>
      </c>
      <c r="C479" s="775">
        <f>(SUMIF(Avaliação!$K:$K,A479,Avaliação!$J:$J))+(SUMIF(Avaliação!$O:$O,A479,Avaliação!$N:$N))+(SUMIF(Avaliação!$S:$S,A479,Avaliação!$R:$R))</f>
        <v>0</v>
      </c>
      <c r="D479" s="775">
        <f>(SUMIF(Avaliação!$AA:$AA,A479,Avaliação!$Z:$Z))+(SUMIF(Avaliação!$AD:$AD,A479,Avaliação!$AC:$AC))+(SUMIF(Avaliação!$AG:$AG,A479,Avaliação!$AF:$AF))</f>
        <v>0</v>
      </c>
    </row>
    <row r="480" spans="1:4">
      <c r="A480" s="854" t="s">
        <v>4141</v>
      </c>
      <c r="B480" s="855" t="s">
        <v>4142</v>
      </c>
      <c r="C480" s="775">
        <f>(SUMIF(Avaliação!$K:$K,A480,Avaliação!$J:$J))+(SUMIF(Avaliação!$O:$O,A480,Avaliação!$N:$N))+(SUMIF(Avaliação!$S:$S,A480,Avaliação!$R:$R))</f>
        <v>1</v>
      </c>
      <c r="D480" s="856">
        <f>(SUMIF(Avaliação!$AA:$AA,A480,Avaliação!$Z:$Z))+(SUMIF(Avaliação!$AD:$AD,A480,Avaliação!$AC:$AC))+(SUMIF(Avaliação!$AG:$AG,A480,Avaliação!$AF:$AF))</f>
        <v>0</v>
      </c>
    </row>
    <row r="481" spans="1:4">
      <c r="A481" s="157" t="s">
        <v>4143</v>
      </c>
      <c r="B481" s="195" t="s">
        <v>4144</v>
      </c>
      <c r="C481" s="775">
        <f>(SUMIF(Avaliação!$K:$K,A481,Avaliação!$J:$J))+(SUMIF(Avaliação!$O:$O,A481,Avaliação!$N:$N))+(SUMIF(Avaliação!$S:$S,A481,Avaliação!$R:$R))</f>
        <v>0</v>
      </c>
      <c r="D481" s="775">
        <f>(SUMIF(Avaliação!$AA:$AA,A481,Avaliação!$Z:$Z))+(SUMIF(Avaliação!$AD:$AD,A481,Avaliação!$AC:$AC))+(SUMIF(Avaliação!$AG:$AG,A481,Avaliação!$AF:$AF))</f>
        <v>0</v>
      </c>
    </row>
    <row r="482" spans="1:4">
      <c r="A482" s="157" t="s">
        <v>4145</v>
      </c>
      <c r="B482" s="195" t="s">
        <v>4146</v>
      </c>
      <c r="C482" s="775">
        <f>(SUMIF(Avaliação!$K:$K,A482,Avaliação!$J:$J))+(SUMIF(Avaliação!$O:$O,A482,Avaliação!$N:$N))+(SUMIF(Avaliação!$S:$S,A482,Avaliação!$R:$R))</f>
        <v>0</v>
      </c>
      <c r="D482" s="775">
        <f>(SUMIF(Avaliação!$AA:$AA,A482,Avaliação!$Z:$Z))+(SUMIF(Avaliação!$AD:$AD,A482,Avaliação!$AC:$AC))+(SUMIF(Avaliação!$AG:$AG,A482,Avaliação!$AF:$AF))</f>
        <v>0</v>
      </c>
    </row>
    <row r="483" spans="1:4">
      <c r="A483" s="157" t="s">
        <v>4147</v>
      </c>
      <c r="B483" s="195" t="s">
        <v>4148</v>
      </c>
      <c r="C483" s="775">
        <f>(SUMIF(Avaliação!$K:$K,A483,Avaliação!$J:$J))+(SUMIF(Avaliação!$O:$O,A483,Avaliação!$N:$N))+(SUMIF(Avaliação!$S:$S,A483,Avaliação!$R:$R))</f>
        <v>0</v>
      </c>
      <c r="D483" s="775">
        <f>(SUMIF(Avaliação!$AA:$AA,A483,Avaliação!$Z:$Z))+(SUMIF(Avaliação!$AD:$AD,A483,Avaliação!$AC:$AC))+(SUMIF(Avaliação!$AG:$AG,A483,Avaliação!$AF:$AF))</f>
        <v>0</v>
      </c>
    </row>
    <row r="484" spans="1:4">
      <c r="A484" s="157" t="s">
        <v>4149</v>
      </c>
      <c r="B484" s="195" t="s">
        <v>4150</v>
      </c>
      <c r="C484" s="775">
        <f>(SUMIF(Avaliação!$K:$K,A484,Avaliação!$J:$J))+(SUMIF(Avaliação!$O:$O,A484,Avaliação!$N:$N))+(SUMIF(Avaliação!$S:$S,A484,Avaliação!$R:$R))</f>
        <v>0</v>
      </c>
      <c r="D484" s="775">
        <f>(SUMIF(Avaliação!$AA:$AA,A484,Avaliação!$Z:$Z))+(SUMIF(Avaliação!$AD:$AD,A484,Avaliação!$AC:$AC))+(SUMIF(Avaliação!$AG:$AG,A484,Avaliação!$AF:$AF))</f>
        <v>0</v>
      </c>
    </row>
    <row r="485" spans="1:4">
      <c r="A485" s="157" t="s">
        <v>4151</v>
      </c>
      <c r="B485" s="195" t="s">
        <v>4152</v>
      </c>
      <c r="C485" s="775">
        <f>(SUMIF(Avaliação!$K:$K,A485,Avaliação!$J:$J))+(SUMIF(Avaliação!$O:$O,A485,Avaliação!$N:$N))+(SUMIF(Avaliação!$S:$S,A485,Avaliação!$R:$R))</f>
        <v>0</v>
      </c>
      <c r="D485" s="775">
        <f>(SUMIF(Avaliação!$AA:$AA,A485,Avaliação!$Z:$Z))+(SUMIF(Avaliação!$AD:$AD,A485,Avaliação!$AC:$AC))+(SUMIF(Avaliação!$AG:$AG,A485,Avaliação!$AF:$AF))</f>
        <v>0</v>
      </c>
    </row>
    <row r="486" spans="1:4">
      <c r="A486" s="157" t="s">
        <v>4153</v>
      </c>
      <c r="B486" s="195" t="s">
        <v>4154</v>
      </c>
      <c r="C486" s="775">
        <f>(SUMIF(Avaliação!$K:$K,A486,Avaliação!$J:$J))+(SUMIF(Avaliação!$O:$O,A486,Avaliação!$N:$N))+(SUMIF(Avaliação!$S:$S,A486,Avaliação!$R:$R))</f>
        <v>0</v>
      </c>
      <c r="D486" s="775">
        <f>(SUMIF(Avaliação!$AA:$AA,A486,Avaliação!$Z:$Z))+(SUMIF(Avaliação!$AD:$AD,A486,Avaliação!$AC:$AC))+(SUMIF(Avaliação!$AG:$AG,A486,Avaliação!$AF:$AF))</f>
        <v>0</v>
      </c>
    </row>
    <row r="487" spans="1:4">
      <c r="A487" s="157" t="s">
        <v>4155</v>
      </c>
      <c r="B487" s="195" t="s">
        <v>4156</v>
      </c>
      <c r="C487" s="775">
        <f>(SUMIF(Avaliação!$K:$K,A487,Avaliação!$J:$J))+(SUMIF(Avaliação!$O:$O,A487,Avaliação!$N:$N))+(SUMIF(Avaliação!$S:$S,A487,Avaliação!$R:$R))</f>
        <v>0</v>
      </c>
      <c r="D487" s="775">
        <f>(SUMIF(Avaliação!$AA:$AA,A487,Avaliação!$Z:$Z))+(SUMIF(Avaliação!$AD:$AD,A487,Avaliação!$AC:$AC))+(SUMIF(Avaliação!$AG:$AG,A487,Avaliação!$AF:$AF))</f>
        <v>0</v>
      </c>
    </row>
    <row r="488" spans="1:4">
      <c r="A488" s="157" t="s">
        <v>4157</v>
      </c>
      <c r="B488" s="195" t="s">
        <v>4158</v>
      </c>
      <c r="C488" s="775">
        <f>(SUMIF(Avaliação!$K:$K,A488,Avaliação!$J:$J))+(SUMIF(Avaliação!$O:$O,A488,Avaliação!$N:$N))+(SUMIF(Avaliação!$S:$S,A488,Avaliação!$R:$R))</f>
        <v>0</v>
      </c>
      <c r="D488" s="775">
        <f>(SUMIF(Avaliação!$AA:$AA,A488,Avaliação!$Z:$Z))+(SUMIF(Avaliação!$AD:$AD,A488,Avaliação!$AC:$AC))+(SUMIF(Avaliação!$AG:$AG,A488,Avaliação!$AF:$AF))</f>
        <v>0</v>
      </c>
    </row>
    <row r="489" spans="1:4">
      <c r="A489" s="157" t="s">
        <v>4159</v>
      </c>
      <c r="B489" s="195" t="s">
        <v>4160</v>
      </c>
      <c r="C489" s="775">
        <f>(SUMIF(Avaliação!$K:$K,A489,Avaliação!$J:$J))+(SUMIF(Avaliação!$O:$O,A489,Avaliação!$N:$N))+(SUMIF(Avaliação!$S:$S,A489,Avaliação!$R:$R))</f>
        <v>0</v>
      </c>
      <c r="D489" s="775">
        <f>(SUMIF(Avaliação!$AA:$AA,A489,Avaliação!$Z:$Z))+(SUMIF(Avaliação!$AD:$AD,A489,Avaliação!$AC:$AC))+(SUMIF(Avaliação!$AG:$AG,A489,Avaliação!$AF:$AF))</f>
        <v>0</v>
      </c>
    </row>
    <row r="490" spans="1:4">
      <c r="A490" s="157" t="s">
        <v>4161</v>
      </c>
      <c r="B490" s="195" t="s">
        <v>4162</v>
      </c>
      <c r="C490" s="775">
        <f>(SUMIF(Avaliação!$K:$K,A490,Avaliação!$J:$J))+(SUMIF(Avaliação!$O:$O,A490,Avaliação!$N:$N))+(SUMIF(Avaliação!$S:$S,A490,Avaliação!$R:$R))</f>
        <v>0</v>
      </c>
      <c r="D490" s="775">
        <f>(SUMIF(Avaliação!$AA:$AA,A490,Avaliação!$Z:$Z))+(SUMIF(Avaliação!$AD:$AD,A490,Avaliação!$AC:$AC))+(SUMIF(Avaliação!$AG:$AG,A490,Avaliação!$AF:$AF))</f>
        <v>0</v>
      </c>
    </row>
    <row r="491" spans="1:4">
      <c r="A491" s="157" t="s">
        <v>4163</v>
      </c>
      <c r="B491" s="195" t="s">
        <v>4164</v>
      </c>
      <c r="C491" s="775">
        <f>(SUMIF(Avaliação!$K:$K,A491,Avaliação!$J:$J))+(SUMIF(Avaliação!$O:$O,A491,Avaliação!$N:$N))+(SUMIF(Avaliação!$S:$S,A491,Avaliação!$R:$R))</f>
        <v>0</v>
      </c>
      <c r="D491" s="775">
        <f>(SUMIF(Avaliação!$AA:$AA,A491,Avaliação!$Z:$Z))+(SUMIF(Avaliação!$AD:$AD,A491,Avaliação!$AC:$AC))+(SUMIF(Avaliação!$AG:$AG,A491,Avaliação!$AF:$AF))</f>
        <v>0</v>
      </c>
    </row>
    <row r="492" spans="1:4">
      <c r="A492" s="157" t="s">
        <v>4165</v>
      </c>
      <c r="B492" s="195" t="s">
        <v>4166</v>
      </c>
      <c r="C492" s="775">
        <f>(SUMIF(Avaliação!$K:$K,A492,Avaliação!$J:$J))+(SUMIF(Avaliação!$O:$O,A492,Avaliação!$N:$N))+(SUMIF(Avaliação!$S:$S,A492,Avaliação!$R:$R))</f>
        <v>0</v>
      </c>
      <c r="D492" s="775">
        <f>(SUMIF(Avaliação!$AA:$AA,A492,Avaliação!$Z:$Z))+(SUMIF(Avaliação!$AD:$AD,A492,Avaliação!$AC:$AC))+(SUMIF(Avaliação!$AG:$AG,A492,Avaliação!$AF:$AF))</f>
        <v>0</v>
      </c>
    </row>
    <row r="493" spans="1:4">
      <c r="A493" s="157" t="s">
        <v>4167</v>
      </c>
      <c r="B493" s="195" t="s">
        <v>4168</v>
      </c>
      <c r="C493" s="775">
        <f>(SUMIF(Avaliação!$K:$K,A493,Avaliação!$J:$J))+(SUMIF(Avaliação!$O:$O,A493,Avaliação!$N:$N))+(SUMIF(Avaliação!$S:$S,A493,Avaliação!$R:$R))</f>
        <v>0</v>
      </c>
      <c r="D493" s="775">
        <f>(SUMIF(Avaliação!$AA:$AA,A493,Avaliação!$Z:$Z))+(SUMIF(Avaliação!$AD:$AD,A493,Avaliação!$AC:$AC))+(SUMIF(Avaliação!$AG:$AG,A493,Avaliação!$AF:$AF))</f>
        <v>0</v>
      </c>
    </row>
    <row r="494" spans="1:4">
      <c r="A494" s="157" t="s">
        <v>4169</v>
      </c>
      <c r="B494" s="195" t="s">
        <v>4170</v>
      </c>
      <c r="C494" s="775">
        <f>(SUMIF(Avaliação!$K:$K,A494,Avaliação!$J:$J))+(SUMIF(Avaliação!$O:$O,A494,Avaliação!$N:$N))+(SUMIF(Avaliação!$S:$S,A494,Avaliação!$R:$R))</f>
        <v>0</v>
      </c>
      <c r="D494" s="775">
        <f>(SUMIF(Avaliação!$AA:$AA,A494,Avaliação!$Z:$Z))+(SUMIF(Avaliação!$AD:$AD,A494,Avaliação!$AC:$AC))+(SUMIF(Avaliação!$AG:$AG,A494,Avaliação!$AF:$AF))</f>
        <v>0</v>
      </c>
    </row>
    <row r="495" spans="1:4">
      <c r="A495" s="157" t="s">
        <v>4171</v>
      </c>
      <c r="B495" s="195" t="s">
        <v>4172</v>
      </c>
      <c r="C495" s="775">
        <f>(SUMIF(Avaliação!$K:$K,A495,Avaliação!$J:$J))+(SUMIF(Avaliação!$O:$O,A495,Avaliação!$N:$N))+(SUMIF(Avaliação!$S:$S,A495,Avaliação!$R:$R))</f>
        <v>0</v>
      </c>
      <c r="D495" s="775">
        <f>(SUMIF(Avaliação!$AA:$AA,A495,Avaliação!$Z:$Z))+(SUMIF(Avaliação!$AD:$AD,A495,Avaliação!$AC:$AC))+(SUMIF(Avaliação!$AG:$AG,A495,Avaliação!$AF:$AF))</f>
        <v>0</v>
      </c>
    </row>
    <row r="496" spans="1:4">
      <c r="A496" s="157" t="s">
        <v>4173</v>
      </c>
      <c r="B496" s="195" t="s">
        <v>4174</v>
      </c>
      <c r="C496" s="775">
        <f>(SUMIF(Avaliação!$K:$K,A496,Avaliação!$J:$J))+(SUMIF(Avaliação!$O:$O,A496,Avaliação!$N:$N))+(SUMIF(Avaliação!$S:$S,A496,Avaliação!$R:$R))</f>
        <v>0</v>
      </c>
      <c r="D496" s="775">
        <f>(SUMIF(Avaliação!$AA:$AA,A496,Avaliação!$Z:$Z))+(SUMIF(Avaliação!$AD:$AD,A496,Avaliação!$AC:$AC))+(SUMIF(Avaliação!$AG:$AG,A496,Avaliação!$AF:$AF))</f>
        <v>0</v>
      </c>
    </row>
    <row r="497" spans="1:4">
      <c r="A497" s="157" t="s">
        <v>4175</v>
      </c>
      <c r="B497" s="195" t="s">
        <v>4176</v>
      </c>
      <c r="C497" s="775">
        <f>(SUMIF(Avaliação!$K:$K,A497,Avaliação!$J:$J))+(SUMIF(Avaliação!$O:$O,A497,Avaliação!$N:$N))+(SUMIF(Avaliação!$S:$S,A497,Avaliação!$R:$R))</f>
        <v>0</v>
      </c>
      <c r="D497" s="775">
        <f>(SUMIF(Avaliação!$AA:$AA,A497,Avaliação!$Z:$Z))+(SUMIF(Avaliação!$AD:$AD,A497,Avaliação!$AC:$AC))+(SUMIF(Avaliação!$AG:$AG,A497,Avaliação!$AF:$AF))</f>
        <v>0</v>
      </c>
    </row>
    <row r="498" spans="1:4">
      <c r="A498" s="157" t="s">
        <v>4177</v>
      </c>
      <c r="B498" s="195" t="s">
        <v>4178</v>
      </c>
      <c r="C498" s="775">
        <f>(SUMIF(Avaliação!$K:$K,A498,Avaliação!$J:$J))+(SUMIF(Avaliação!$O:$O,A498,Avaliação!$N:$N))+(SUMIF(Avaliação!$S:$S,A498,Avaliação!$R:$R))</f>
        <v>0</v>
      </c>
      <c r="D498" s="775">
        <f>(SUMIF(Avaliação!$AA:$AA,A498,Avaliação!$Z:$Z))+(SUMIF(Avaliação!$AD:$AD,A498,Avaliação!$AC:$AC))+(SUMIF(Avaliação!$AG:$AG,A498,Avaliação!$AF:$AF))</f>
        <v>0</v>
      </c>
    </row>
    <row r="499" spans="1:4">
      <c r="A499" s="157" t="s">
        <v>4179</v>
      </c>
      <c r="B499" s="195" t="s">
        <v>4180</v>
      </c>
      <c r="C499" s="775">
        <f>(SUMIF(Avaliação!$K:$K,A499,Avaliação!$J:$J))+(SUMIF(Avaliação!$O:$O,A499,Avaliação!$N:$N))+(SUMIF(Avaliação!$S:$S,A499,Avaliação!$R:$R))</f>
        <v>0</v>
      </c>
      <c r="D499" s="775">
        <f>(SUMIF(Avaliação!$AA:$AA,A499,Avaliação!$Z:$Z))+(SUMIF(Avaliação!$AD:$AD,A499,Avaliação!$AC:$AC))+(SUMIF(Avaliação!$AG:$AG,A499,Avaliação!$AF:$AF))</f>
        <v>0</v>
      </c>
    </row>
    <row r="500" spans="1:4">
      <c r="A500" s="157" t="s">
        <v>4181</v>
      </c>
      <c r="B500" s="195" t="s">
        <v>4182</v>
      </c>
      <c r="C500" s="775">
        <f>(SUMIF(Avaliação!$K:$K,A500,Avaliação!$J:$J))+(SUMIF(Avaliação!$O:$O,A500,Avaliação!$N:$N))+(SUMIF(Avaliação!$S:$S,A500,Avaliação!$R:$R))</f>
        <v>0</v>
      </c>
      <c r="D500" s="775">
        <f>(SUMIF(Avaliação!$AA:$AA,A500,Avaliação!$Z:$Z))+(SUMIF(Avaliação!$AD:$AD,A500,Avaliação!$AC:$AC))+(SUMIF(Avaliação!$AG:$AG,A500,Avaliação!$AF:$AF))</f>
        <v>0</v>
      </c>
    </row>
    <row r="501" spans="1:4">
      <c r="A501" s="157" t="s">
        <v>4183</v>
      </c>
      <c r="B501" s="195" t="s">
        <v>4184</v>
      </c>
      <c r="C501" s="775">
        <f>(SUMIF(Avaliação!$K:$K,A501,Avaliação!$J:$J))+(SUMIF(Avaliação!$O:$O,A501,Avaliação!$N:$N))+(SUMIF(Avaliação!$S:$S,A501,Avaliação!$R:$R))</f>
        <v>0</v>
      </c>
      <c r="D501" s="775">
        <f>(SUMIF(Avaliação!$AA:$AA,A501,Avaliação!$Z:$Z))+(SUMIF(Avaliação!$AD:$AD,A501,Avaliação!$AC:$AC))+(SUMIF(Avaliação!$AG:$AG,A501,Avaliação!$AF:$AF))</f>
        <v>0</v>
      </c>
    </row>
    <row r="502" spans="1:4">
      <c r="A502" s="157" t="s">
        <v>4185</v>
      </c>
      <c r="B502" s="195" t="s">
        <v>4186</v>
      </c>
      <c r="C502" s="775">
        <f>(SUMIF(Avaliação!$K:$K,A502,Avaliação!$J:$J))+(SUMIF(Avaliação!$O:$O,A502,Avaliação!$N:$N))+(SUMIF(Avaliação!$S:$S,A502,Avaliação!$R:$R))</f>
        <v>0</v>
      </c>
      <c r="D502" s="775">
        <f>(SUMIF(Avaliação!$AA:$AA,A502,Avaliação!$Z:$Z))+(SUMIF(Avaliação!$AD:$AD,A502,Avaliação!$AC:$AC))+(SUMIF(Avaliação!$AG:$AG,A502,Avaliação!$AF:$AF))</f>
        <v>0</v>
      </c>
    </row>
    <row r="503" spans="1:4">
      <c r="A503" s="157" t="s">
        <v>4187</v>
      </c>
      <c r="B503" s="195" t="s">
        <v>4188</v>
      </c>
      <c r="C503" s="775">
        <f>(SUMIF(Avaliação!$K:$K,A503,Avaliação!$J:$J))+(SUMIF(Avaliação!$O:$O,A503,Avaliação!$N:$N))+(SUMIF(Avaliação!$S:$S,A503,Avaliação!$R:$R))</f>
        <v>0</v>
      </c>
      <c r="D503" s="775">
        <f>(SUMIF(Avaliação!$AA:$AA,A503,Avaliação!$Z:$Z))+(SUMIF(Avaliação!$AD:$AD,A503,Avaliação!$AC:$AC))+(SUMIF(Avaliação!$AG:$AG,A503,Avaliação!$AF:$AF))</f>
        <v>0</v>
      </c>
    </row>
    <row r="504" spans="1:4">
      <c r="A504" s="157" t="s">
        <v>4189</v>
      </c>
      <c r="B504" s="195" t="s">
        <v>4190</v>
      </c>
      <c r="C504" s="775">
        <f>(SUMIF(Avaliação!$K:$K,A504,Avaliação!$J:$J))+(SUMIF(Avaliação!$O:$O,A504,Avaliação!$N:$N))+(SUMIF(Avaliação!$S:$S,A504,Avaliação!$R:$R))</f>
        <v>0</v>
      </c>
      <c r="D504" s="775">
        <f>(SUMIF(Avaliação!$AA:$AA,A504,Avaliação!$Z:$Z))+(SUMIF(Avaliação!$AD:$AD,A504,Avaliação!$AC:$AC))+(SUMIF(Avaliação!$AG:$AG,A504,Avaliação!$AF:$AF))</f>
        <v>0</v>
      </c>
    </row>
    <row r="505" spans="1:4">
      <c r="A505" s="157" t="s">
        <v>4191</v>
      </c>
      <c r="B505" s="195" t="s">
        <v>4192</v>
      </c>
      <c r="C505" s="775">
        <f>(SUMIF(Avaliação!$K:$K,A505,Avaliação!$J:$J))+(SUMIF(Avaliação!$O:$O,A505,Avaliação!$N:$N))+(SUMIF(Avaliação!$S:$S,A505,Avaliação!$R:$R))</f>
        <v>0</v>
      </c>
      <c r="D505" s="775">
        <f>(SUMIF(Avaliação!$AA:$AA,A505,Avaliação!$Z:$Z))+(SUMIF(Avaliação!$AD:$AD,A505,Avaliação!$AC:$AC))+(SUMIF(Avaliação!$AG:$AG,A505,Avaliação!$AF:$AF))</f>
        <v>0</v>
      </c>
    </row>
    <row r="506" spans="1:4">
      <c r="A506" s="157" t="s">
        <v>4193</v>
      </c>
      <c r="B506" s="195" t="s">
        <v>4194</v>
      </c>
      <c r="C506" s="775">
        <f>(SUMIF(Avaliação!$K:$K,A506,Avaliação!$J:$J))+(SUMIF(Avaliação!$O:$O,A506,Avaliação!$N:$N))+(SUMIF(Avaliação!$S:$S,A506,Avaliação!$R:$R))</f>
        <v>0</v>
      </c>
      <c r="D506" s="775">
        <f>(SUMIF(Avaliação!$AA:$AA,A506,Avaliação!$Z:$Z))+(SUMIF(Avaliação!$AD:$AD,A506,Avaliação!$AC:$AC))+(SUMIF(Avaliação!$AG:$AG,A506,Avaliação!$AF:$AF))</f>
        <v>0</v>
      </c>
    </row>
    <row r="507" spans="1:4">
      <c r="A507" s="157" t="s">
        <v>4195</v>
      </c>
      <c r="B507" s="195" t="s">
        <v>4196</v>
      </c>
      <c r="C507" s="775">
        <f>(SUMIF(Avaliação!$K:$K,A507,Avaliação!$J:$J))+(SUMIF(Avaliação!$O:$O,A507,Avaliação!$N:$N))+(SUMIF(Avaliação!$S:$S,A507,Avaliação!$R:$R))</f>
        <v>0</v>
      </c>
      <c r="D507" s="775">
        <f>(SUMIF(Avaliação!$AA:$AA,A507,Avaliação!$Z:$Z))+(SUMIF(Avaliação!$AD:$AD,A507,Avaliação!$AC:$AC))+(SUMIF(Avaliação!$AG:$AG,A507,Avaliação!$AF:$AF))</f>
        <v>0</v>
      </c>
    </row>
    <row r="508" spans="1:4">
      <c r="A508" s="157" t="s">
        <v>4197</v>
      </c>
      <c r="B508" s="195" t="s">
        <v>4198</v>
      </c>
      <c r="C508" s="775">
        <f>(SUMIF(Avaliação!$K:$K,A508,Avaliação!$J:$J))+(SUMIF(Avaliação!$O:$O,A508,Avaliação!$N:$N))+(SUMIF(Avaliação!$S:$S,A508,Avaliação!$R:$R))</f>
        <v>0</v>
      </c>
      <c r="D508" s="775">
        <f>(SUMIF(Avaliação!$AA:$AA,A508,Avaliação!$Z:$Z))+(SUMIF(Avaliação!$AD:$AD,A508,Avaliação!$AC:$AC))+(SUMIF(Avaliação!$AG:$AG,A508,Avaliação!$AF:$AF))</f>
        <v>0</v>
      </c>
    </row>
    <row r="509" spans="1:4">
      <c r="A509" s="157" t="s">
        <v>4199</v>
      </c>
      <c r="B509" s="195" t="s">
        <v>4200</v>
      </c>
      <c r="C509" s="775">
        <f>(SUMIF(Avaliação!$K:$K,A509,Avaliação!$J:$J))+(SUMIF(Avaliação!$O:$O,A509,Avaliação!$N:$N))+(SUMIF(Avaliação!$S:$S,A509,Avaliação!$R:$R))</f>
        <v>0</v>
      </c>
      <c r="D509" s="775">
        <f>(SUMIF(Avaliação!$AA:$AA,A509,Avaliação!$Z:$Z))+(SUMIF(Avaliação!$AD:$AD,A509,Avaliação!$AC:$AC))+(SUMIF(Avaliação!$AG:$AG,A509,Avaliação!$AF:$AF))</f>
        <v>0</v>
      </c>
    </row>
    <row r="510" spans="1:4">
      <c r="A510" s="836" t="s">
        <v>4201</v>
      </c>
      <c r="B510" s="837" t="s">
        <v>4202</v>
      </c>
      <c r="C510" s="775">
        <f>(SUMIF(Avaliação!$K:$K,A510,Avaliação!$J:$J))+(SUMIF(Avaliação!$O:$O,A510,Avaliação!$N:$N))+(SUMIF(Avaliação!$S:$S,A510,Avaliação!$R:$R))</f>
        <v>3</v>
      </c>
      <c r="D510" s="838">
        <f>(SUMIF(Avaliação!$AA:$AA,A510,Avaliação!$Z:$Z))+(SUMIF(Avaliação!$AD:$AD,A510,Avaliação!$AC:$AC))+(SUMIF(Avaliação!$AG:$AG,A510,Avaliação!$AF:$AF))</f>
        <v>0</v>
      </c>
    </row>
    <row r="511" spans="1:4">
      <c r="A511" s="157" t="s">
        <v>4203</v>
      </c>
      <c r="B511" s="195" t="s">
        <v>4204</v>
      </c>
      <c r="C511" s="775">
        <f>(SUMIF(Avaliação!$K:$K,A511,Avaliação!$J:$J))+(SUMIF(Avaliação!$O:$O,A511,Avaliação!$N:$N))+(SUMIF(Avaliação!$S:$S,A511,Avaliação!$R:$R))</f>
        <v>0</v>
      </c>
      <c r="D511" s="775">
        <f>(SUMIF(Avaliação!$AA:$AA,A511,Avaliação!$Z:$Z))+(SUMIF(Avaliação!$AD:$AD,A511,Avaliação!$AC:$AC))+(SUMIF(Avaliação!$AG:$AG,A511,Avaliação!$AF:$AF))</f>
        <v>0</v>
      </c>
    </row>
    <row r="512" spans="1:4">
      <c r="A512" s="157" t="s">
        <v>4205</v>
      </c>
      <c r="B512" s="195" t="s">
        <v>4206</v>
      </c>
      <c r="C512" s="775">
        <f>(SUMIF(Avaliação!$K:$K,A512,Avaliação!$J:$J))+(SUMIF(Avaliação!$O:$O,A512,Avaliação!$N:$N))+(SUMIF(Avaliação!$S:$S,A512,Avaliação!$R:$R))</f>
        <v>0</v>
      </c>
      <c r="D512" s="775">
        <f>(SUMIF(Avaliação!$AA:$AA,A512,Avaliação!$Z:$Z))+(SUMIF(Avaliação!$AD:$AD,A512,Avaliação!$AC:$AC))+(SUMIF(Avaliação!$AG:$AG,A512,Avaliação!$AF:$AF))</f>
        <v>0</v>
      </c>
    </row>
    <row r="513" spans="1:4">
      <c r="A513" s="157" t="s">
        <v>4207</v>
      </c>
      <c r="B513" s="195" t="s">
        <v>4208</v>
      </c>
      <c r="C513" s="775">
        <f>(SUMIF(Avaliação!$K:$K,A513,Avaliação!$J:$J))+(SUMIF(Avaliação!$O:$O,A513,Avaliação!$N:$N))+(SUMIF(Avaliação!$S:$S,A513,Avaliação!$R:$R))</f>
        <v>0</v>
      </c>
      <c r="D513" s="775">
        <f>(SUMIF(Avaliação!$AA:$AA,A513,Avaliação!$Z:$Z))+(SUMIF(Avaliação!$AD:$AD,A513,Avaliação!$AC:$AC))+(SUMIF(Avaliação!$AG:$AG,A513,Avaliação!$AF:$AF))</f>
        <v>0</v>
      </c>
    </row>
    <row r="514" spans="1:4">
      <c r="A514" s="157" t="s">
        <v>4209</v>
      </c>
      <c r="B514" s="195" t="s">
        <v>4210</v>
      </c>
      <c r="C514" s="775">
        <f>(SUMIF(Avaliação!$K:$K,A514,Avaliação!$J:$J))+(SUMIF(Avaliação!$O:$O,A514,Avaliação!$N:$N))+(SUMIF(Avaliação!$S:$S,A514,Avaliação!$R:$R))</f>
        <v>0</v>
      </c>
      <c r="D514" s="775">
        <f>(SUMIF(Avaliação!$AA:$AA,A514,Avaliação!$Z:$Z))+(SUMIF(Avaliação!$AD:$AD,A514,Avaliação!$AC:$AC))+(SUMIF(Avaliação!$AG:$AG,A514,Avaliação!$AF:$AF))</f>
        <v>0</v>
      </c>
    </row>
    <row r="515" spans="1:4">
      <c r="A515" s="157" t="s">
        <v>4211</v>
      </c>
      <c r="B515" s="195" t="s">
        <v>4212</v>
      </c>
      <c r="C515" s="775">
        <f>(SUMIF(Avaliação!$K:$K,A515,Avaliação!$J:$J))+(SUMIF(Avaliação!$O:$O,A515,Avaliação!$N:$N))+(SUMIF(Avaliação!$S:$S,A515,Avaliação!$R:$R))</f>
        <v>0</v>
      </c>
      <c r="D515" s="775">
        <f>(SUMIF(Avaliação!$AA:$AA,A515,Avaliação!$Z:$Z))+(SUMIF(Avaliação!$AD:$AD,A515,Avaliação!$AC:$AC))+(SUMIF(Avaliação!$AG:$AG,A515,Avaliação!$AF:$AF))</f>
        <v>0</v>
      </c>
    </row>
    <row r="516" spans="1:4">
      <c r="A516" s="157" t="s">
        <v>4213</v>
      </c>
      <c r="B516" s="195" t="s">
        <v>4214</v>
      </c>
      <c r="C516" s="775">
        <f>(SUMIF(Avaliação!$K:$K,A516,Avaliação!$J:$J))+(SUMIF(Avaliação!$O:$O,A516,Avaliação!$N:$N))+(SUMIF(Avaliação!$S:$S,A516,Avaliação!$R:$R))</f>
        <v>0</v>
      </c>
      <c r="D516" s="775">
        <f>(SUMIF(Avaliação!$AA:$AA,A516,Avaliação!$Z:$Z))+(SUMIF(Avaliação!$AD:$AD,A516,Avaliação!$AC:$AC))+(SUMIF(Avaliação!$AG:$AG,A516,Avaliação!$AF:$AF))</f>
        <v>0</v>
      </c>
    </row>
    <row r="517" spans="1:4">
      <c r="A517" s="157" t="s">
        <v>4215</v>
      </c>
      <c r="B517" s="195" t="s">
        <v>4216</v>
      </c>
      <c r="C517" s="775">
        <f>(SUMIF(Avaliação!$K:$K,A517,Avaliação!$J:$J))+(SUMIF(Avaliação!$O:$O,A517,Avaliação!$N:$N))+(SUMIF(Avaliação!$S:$S,A517,Avaliação!$R:$R))</f>
        <v>0</v>
      </c>
      <c r="D517" s="775">
        <f>(SUMIF(Avaliação!$AA:$AA,A517,Avaliação!$Z:$Z))+(SUMIF(Avaliação!$AD:$AD,A517,Avaliação!$AC:$AC))+(SUMIF(Avaliação!$AG:$AG,A517,Avaliação!$AF:$AF))</f>
        <v>0</v>
      </c>
    </row>
    <row r="518" spans="1:4">
      <c r="A518" s="157" t="s">
        <v>4217</v>
      </c>
      <c r="B518" s="195" t="s">
        <v>4218</v>
      </c>
      <c r="C518" s="775">
        <f>(SUMIF(Avaliação!$K:$K,A518,Avaliação!$J:$J))+(SUMIF(Avaliação!$O:$O,A518,Avaliação!$N:$N))+(SUMIF(Avaliação!$S:$S,A518,Avaliação!$R:$R))</f>
        <v>0</v>
      </c>
      <c r="D518" s="775">
        <f>(SUMIF(Avaliação!$AA:$AA,A518,Avaliação!$Z:$Z))+(SUMIF(Avaliação!$AD:$AD,A518,Avaliação!$AC:$AC))+(SUMIF(Avaliação!$AG:$AG,A518,Avaliação!$AF:$AF))</f>
        <v>0</v>
      </c>
    </row>
    <row r="519" spans="1:4">
      <c r="A519" s="157" t="s">
        <v>4219</v>
      </c>
      <c r="B519" s="195" t="s">
        <v>4220</v>
      </c>
      <c r="C519" s="775">
        <f>(SUMIF(Avaliação!$K:$K,A519,Avaliação!$J:$J))+(SUMIF(Avaliação!$O:$O,A519,Avaliação!$N:$N))+(SUMIF(Avaliação!$S:$S,A519,Avaliação!$R:$R))</f>
        <v>0</v>
      </c>
      <c r="D519" s="775">
        <f>(SUMIF(Avaliação!$AA:$AA,A519,Avaliação!$Z:$Z))+(SUMIF(Avaliação!$AD:$AD,A519,Avaliação!$AC:$AC))+(SUMIF(Avaliação!$AG:$AG,A519,Avaliação!$AF:$AF))</f>
        <v>0</v>
      </c>
    </row>
    <row r="520" spans="1:4">
      <c r="A520" s="157" t="s">
        <v>4221</v>
      </c>
      <c r="B520" s="195" t="s">
        <v>4222</v>
      </c>
      <c r="C520" s="775">
        <f>(SUMIF(Avaliação!$K:$K,A520,Avaliação!$J:$J))+(SUMIF(Avaliação!$O:$O,A520,Avaliação!$N:$N))+(SUMIF(Avaliação!$S:$S,A520,Avaliação!$R:$R))</f>
        <v>0</v>
      </c>
      <c r="D520" s="775">
        <f>(SUMIF(Avaliação!$AA:$AA,A520,Avaliação!$Z:$Z))+(SUMIF(Avaliação!$AD:$AD,A520,Avaliação!$AC:$AC))+(SUMIF(Avaliação!$AG:$AG,A520,Avaliação!$AF:$AF))</f>
        <v>0</v>
      </c>
    </row>
    <row r="521" spans="1:4">
      <c r="A521" s="157" t="s">
        <v>4223</v>
      </c>
      <c r="B521" s="195" t="s">
        <v>4224</v>
      </c>
      <c r="C521" s="775">
        <f>(SUMIF(Avaliação!$K:$K,A521,Avaliação!$J:$J))+(SUMIF(Avaliação!$O:$O,A521,Avaliação!$N:$N))+(SUMIF(Avaliação!$S:$S,A521,Avaliação!$R:$R))</f>
        <v>0</v>
      </c>
      <c r="D521" s="775">
        <f>(SUMIF(Avaliação!$AA:$AA,A521,Avaliação!$Z:$Z))+(SUMIF(Avaliação!$AD:$AD,A521,Avaliação!$AC:$AC))+(SUMIF(Avaliação!$AG:$AG,A521,Avaliação!$AF:$AF))</f>
        <v>0</v>
      </c>
    </row>
    <row r="522" spans="1:4">
      <c r="A522" s="836" t="s">
        <v>4225</v>
      </c>
      <c r="B522" s="837" t="s">
        <v>4226</v>
      </c>
      <c r="C522" s="775">
        <f>(SUMIF(Avaliação!$K:$K,A522,Avaliação!$J:$J))+(SUMIF(Avaliação!$O:$O,A522,Avaliação!$N:$N))+(SUMIF(Avaliação!$S:$S,A522,Avaliação!$R:$R))</f>
        <v>1</v>
      </c>
      <c r="D522" s="838">
        <f>(SUMIF(Avaliação!$AA:$AA,A522,Avaliação!$Z:$Z))+(SUMIF(Avaliação!$AD:$AD,A522,Avaliação!$AC:$AC))+(SUMIF(Avaliação!$AG:$AG,A522,Avaliação!$AF:$AF))</f>
        <v>0</v>
      </c>
    </row>
    <row r="523" spans="1:4">
      <c r="A523" s="157" t="s">
        <v>4227</v>
      </c>
      <c r="B523" s="195" t="s">
        <v>4228</v>
      </c>
      <c r="C523" s="775">
        <f>(SUMIF(Avaliação!$K:$K,A523,Avaliação!$J:$J))+(SUMIF(Avaliação!$O:$O,A523,Avaliação!$N:$N))+(SUMIF(Avaliação!$S:$S,A523,Avaliação!$R:$R))</f>
        <v>0</v>
      </c>
      <c r="D523" s="775">
        <f>(SUMIF(Avaliação!$AA:$AA,A523,Avaliação!$Z:$Z))+(SUMIF(Avaliação!$AD:$AD,A523,Avaliação!$AC:$AC))+(SUMIF(Avaliação!$AG:$AG,A523,Avaliação!$AF:$AF))</f>
        <v>0</v>
      </c>
    </row>
    <row r="524" spans="1:4">
      <c r="A524" s="157" t="s">
        <v>4229</v>
      </c>
      <c r="B524" s="195" t="s">
        <v>4230</v>
      </c>
      <c r="C524" s="775">
        <f>(SUMIF(Avaliação!$K:$K,A524,Avaliação!$J:$J))+(SUMIF(Avaliação!$O:$O,A524,Avaliação!$N:$N))+(SUMIF(Avaliação!$S:$S,A524,Avaliação!$R:$R))</f>
        <v>0</v>
      </c>
      <c r="D524" s="775">
        <f>(SUMIF(Avaliação!$AA:$AA,A524,Avaliação!$Z:$Z))+(SUMIF(Avaliação!$AD:$AD,A524,Avaliação!$AC:$AC))+(SUMIF(Avaliação!$AG:$AG,A524,Avaliação!$AF:$AF))</f>
        <v>0</v>
      </c>
    </row>
    <row r="525" spans="1:4">
      <c r="A525" s="836" t="s">
        <v>4231</v>
      </c>
      <c r="B525" s="837" t="s">
        <v>4232</v>
      </c>
      <c r="C525" s="775">
        <f>(SUMIF(Avaliação!$K:$K,A525,Avaliação!$J:$J))+(SUMIF(Avaliação!$O:$O,A525,Avaliação!$N:$N))+(SUMIF(Avaliação!$S:$S,A525,Avaliação!$R:$R))</f>
        <v>1</v>
      </c>
      <c r="D525" s="838">
        <f>(SUMIF(Avaliação!$AA:$AA,A525,Avaliação!$Z:$Z))+(SUMIF(Avaliação!$AD:$AD,A525,Avaliação!$AC:$AC))+(SUMIF(Avaliação!$AG:$AG,A525,Avaliação!$AF:$AF))</f>
        <v>0</v>
      </c>
    </row>
    <row r="526" spans="1:4">
      <c r="A526" s="157" t="s">
        <v>4233</v>
      </c>
      <c r="B526" s="195" t="s">
        <v>4234</v>
      </c>
      <c r="C526" s="775">
        <f>(SUMIF(Avaliação!$K:$K,A526,Avaliação!$J:$J))+(SUMIF(Avaliação!$O:$O,A526,Avaliação!$N:$N))+(SUMIF(Avaliação!$S:$S,A526,Avaliação!$R:$R))</f>
        <v>0</v>
      </c>
      <c r="D526" s="775">
        <f>(SUMIF(Avaliação!$AA:$AA,A526,Avaliação!$Z:$Z))+(SUMIF(Avaliação!$AD:$AD,A526,Avaliação!$AC:$AC))+(SUMIF(Avaliação!$AG:$AG,A526,Avaliação!$AF:$AF))</f>
        <v>0</v>
      </c>
    </row>
    <row r="527" spans="1:4">
      <c r="A527" s="157" t="s">
        <v>4235</v>
      </c>
      <c r="B527" s="195" t="s">
        <v>4236</v>
      </c>
      <c r="C527" s="775">
        <f>(SUMIF(Avaliação!$K:$K,A527,Avaliação!$J:$J))+(SUMIF(Avaliação!$O:$O,A527,Avaliação!$N:$N))+(SUMIF(Avaliação!$S:$S,A527,Avaliação!$R:$R))</f>
        <v>0</v>
      </c>
      <c r="D527" s="775">
        <f>(SUMIF(Avaliação!$AA:$AA,A527,Avaliação!$Z:$Z))+(SUMIF(Avaliação!$AD:$AD,A527,Avaliação!$AC:$AC))+(SUMIF(Avaliação!$AG:$AG,A527,Avaliação!$AF:$AF))</f>
        <v>0</v>
      </c>
    </row>
    <row r="528" spans="1:4">
      <c r="A528" s="157" t="s">
        <v>4237</v>
      </c>
      <c r="B528" s="195" t="s">
        <v>4238</v>
      </c>
      <c r="C528" s="775">
        <f>(SUMIF(Avaliação!$K:$K,A528,Avaliação!$J:$J))+(SUMIF(Avaliação!$O:$O,A528,Avaliação!$N:$N))+(SUMIF(Avaliação!$S:$S,A528,Avaliação!$R:$R))</f>
        <v>0</v>
      </c>
      <c r="D528" s="775">
        <f>(SUMIF(Avaliação!$AA:$AA,A528,Avaliação!$Z:$Z))+(SUMIF(Avaliação!$AD:$AD,A528,Avaliação!$AC:$AC))+(SUMIF(Avaliação!$AG:$AG,A528,Avaliação!$AF:$AF))</f>
        <v>0</v>
      </c>
    </row>
    <row r="529" spans="1:4">
      <c r="A529" s="157" t="s">
        <v>4239</v>
      </c>
      <c r="B529" s="195" t="s">
        <v>4240</v>
      </c>
      <c r="C529" s="775">
        <f>(SUMIF(Avaliação!$K:$K,A529,Avaliação!$J:$J))+(SUMIF(Avaliação!$O:$O,A529,Avaliação!$N:$N))+(SUMIF(Avaliação!$S:$S,A529,Avaliação!$R:$R))</f>
        <v>0</v>
      </c>
      <c r="D529" s="775">
        <f>(SUMIF(Avaliação!$AA:$AA,A529,Avaliação!$Z:$Z))+(SUMIF(Avaliação!$AD:$AD,A529,Avaliação!$AC:$AC))+(SUMIF(Avaliação!$AG:$AG,A529,Avaliação!$AF:$AF))</f>
        <v>0</v>
      </c>
    </row>
    <row r="530" spans="1:4">
      <c r="A530" s="157" t="s">
        <v>4241</v>
      </c>
      <c r="B530" s="195" t="s">
        <v>4242</v>
      </c>
      <c r="C530" s="775">
        <f>(SUMIF(Avaliação!$K:$K,A530,Avaliação!$J:$J))+(SUMIF(Avaliação!$O:$O,A530,Avaliação!$N:$N))+(SUMIF(Avaliação!$S:$S,A530,Avaliação!$R:$R))</f>
        <v>0</v>
      </c>
      <c r="D530" s="775">
        <f>(SUMIF(Avaliação!$AA:$AA,A530,Avaliação!$Z:$Z))+(SUMIF(Avaliação!$AD:$AD,A530,Avaliação!$AC:$AC))+(SUMIF(Avaliação!$AG:$AG,A530,Avaliação!$AF:$AF))</f>
        <v>0</v>
      </c>
    </row>
    <row r="531" spans="1:4">
      <c r="A531" s="157" t="s">
        <v>4243</v>
      </c>
      <c r="B531" s="195" t="s">
        <v>4244</v>
      </c>
      <c r="C531" s="775">
        <f>(SUMIF(Avaliação!$K:$K,A531,Avaliação!$J:$J))+(SUMIF(Avaliação!$O:$O,A531,Avaliação!$N:$N))+(SUMIF(Avaliação!$S:$S,A531,Avaliação!$R:$R))</f>
        <v>0</v>
      </c>
      <c r="D531" s="775">
        <f>(SUMIF(Avaliação!$AA:$AA,A531,Avaliação!$Z:$Z))+(SUMIF(Avaliação!$AD:$AD,A531,Avaliação!$AC:$AC))+(SUMIF(Avaliação!$AG:$AG,A531,Avaliação!$AF:$AF))</f>
        <v>0</v>
      </c>
    </row>
    <row r="532" spans="1:4">
      <c r="A532" s="157" t="s">
        <v>4245</v>
      </c>
      <c r="B532" s="195" t="s">
        <v>4246</v>
      </c>
      <c r="C532" s="775">
        <f>(SUMIF(Avaliação!$K:$K,A532,Avaliação!$J:$J))+(SUMIF(Avaliação!$O:$O,A532,Avaliação!$N:$N))+(SUMIF(Avaliação!$S:$S,A532,Avaliação!$R:$R))</f>
        <v>0</v>
      </c>
      <c r="D532" s="775">
        <f>(SUMIF(Avaliação!$AA:$AA,A532,Avaliação!$Z:$Z))+(SUMIF(Avaliação!$AD:$AD,A532,Avaliação!$AC:$AC))+(SUMIF(Avaliação!$AG:$AG,A532,Avaliação!$AF:$AF))</f>
        <v>0</v>
      </c>
    </row>
    <row r="533" spans="1:4">
      <c r="A533" s="157" t="s">
        <v>4247</v>
      </c>
      <c r="B533" s="195" t="s">
        <v>4248</v>
      </c>
      <c r="C533" s="775">
        <f>(SUMIF(Avaliação!$K:$K,A533,Avaliação!$J:$J))+(SUMIF(Avaliação!$O:$O,A533,Avaliação!$N:$N))+(SUMIF(Avaliação!$S:$S,A533,Avaliação!$R:$R))</f>
        <v>0</v>
      </c>
      <c r="D533" s="775">
        <f>(SUMIF(Avaliação!$AA:$AA,A533,Avaliação!$Z:$Z))+(SUMIF(Avaliação!$AD:$AD,A533,Avaliação!$AC:$AC))+(SUMIF(Avaliação!$AG:$AG,A533,Avaliação!$AF:$AF))</f>
        <v>0</v>
      </c>
    </row>
    <row r="534" spans="1:4">
      <c r="A534" s="157" t="s">
        <v>4249</v>
      </c>
      <c r="B534" s="195" t="s">
        <v>4250</v>
      </c>
      <c r="C534" s="775">
        <f>(SUMIF(Avaliação!$K:$K,A534,Avaliação!$J:$J))+(SUMIF(Avaliação!$O:$O,A534,Avaliação!$N:$N))+(SUMIF(Avaliação!$S:$S,A534,Avaliação!$R:$R))</f>
        <v>0</v>
      </c>
      <c r="D534" s="775">
        <f>(SUMIF(Avaliação!$AA:$AA,A534,Avaliação!$Z:$Z))+(SUMIF(Avaliação!$AD:$AD,A534,Avaliação!$AC:$AC))+(SUMIF(Avaliação!$AG:$AG,A534,Avaliação!$AF:$AF))</f>
        <v>0</v>
      </c>
    </row>
    <row r="535" spans="1:4">
      <c r="A535" s="157" t="s">
        <v>4251</v>
      </c>
      <c r="B535" s="195" t="s">
        <v>4252</v>
      </c>
      <c r="C535" s="775">
        <f>(SUMIF(Avaliação!$K:$K,A535,Avaliação!$J:$J))+(SUMIF(Avaliação!$O:$O,A535,Avaliação!$N:$N))+(SUMIF(Avaliação!$S:$S,A535,Avaliação!$R:$R))</f>
        <v>0</v>
      </c>
      <c r="D535" s="775">
        <f>(SUMIF(Avaliação!$AA:$AA,A535,Avaliação!$Z:$Z))+(SUMIF(Avaliação!$AD:$AD,A535,Avaliação!$AC:$AC))+(SUMIF(Avaliação!$AG:$AG,A535,Avaliação!$AF:$AF))</f>
        <v>0</v>
      </c>
    </row>
    <row r="536" spans="1:4">
      <c r="A536" s="157" t="s">
        <v>4253</v>
      </c>
      <c r="B536" s="195" t="s">
        <v>4254</v>
      </c>
      <c r="C536" s="775">
        <f>(SUMIF(Avaliação!$K:$K,A536,Avaliação!$J:$J))+(SUMIF(Avaliação!$O:$O,A536,Avaliação!$N:$N))+(SUMIF(Avaliação!$S:$S,A536,Avaliação!$R:$R))</f>
        <v>0</v>
      </c>
      <c r="D536" s="775">
        <f>(SUMIF(Avaliação!$AA:$AA,A536,Avaliação!$Z:$Z))+(SUMIF(Avaliação!$AD:$AD,A536,Avaliação!$AC:$AC))+(SUMIF(Avaliação!$AG:$AG,A536,Avaliação!$AF:$AF))</f>
        <v>0</v>
      </c>
    </row>
    <row r="537" spans="1:4">
      <c r="A537" s="157" t="s">
        <v>4255</v>
      </c>
      <c r="B537" s="195" t="s">
        <v>4256</v>
      </c>
      <c r="C537" s="775">
        <f>(SUMIF(Avaliação!$K:$K,A537,Avaliação!$J:$J))+(SUMIF(Avaliação!$O:$O,A537,Avaliação!$N:$N))+(SUMIF(Avaliação!$S:$S,A537,Avaliação!$R:$R))</f>
        <v>0</v>
      </c>
      <c r="D537" s="775">
        <f>(SUMIF(Avaliação!$AA:$AA,A537,Avaliação!$Z:$Z))+(SUMIF(Avaliação!$AD:$AD,A537,Avaliação!$AC:$AC))+(SUMIF(Avaliação!$AG:$AG,A537,Avaliação!$AF:$AF))</f>
        <v>0</v>
      </c>
    </row>
    <row r="538" spans="1:4">
      <c r="A538" s="157" t="s">
        <v>4257</v>
      </c>
      <c r="B538" s="195" t="s">
        <v>4258</v>
      </c>
      <c r="C538" s="775">
        <f>(SUMIF(Avaliação!$K:$K,A538,Avaliação!$J:$J))+(SUMIF(Avaliação!$O:$O,A538,Avaliação!$N:$N))+(SUMIF(Avaliação!$S:$S,A538,Avaliação!$R:$R))</f>
        <v>0</v>
      </c>
      <c r="D538" s="775">
        <f>(SUMIF(Avaliação!$AA:$AA,A538,Avaliação!$Z:$Z))+(SUMIF(Avaliação!$AD:$AD,A538,Avaliação!$AC:$AC))+(SUMIF(Avaliação!$AG:$AG,A538,Avaliação!$AF:$AF))</f>
        <v>0</v>
      </c>
    </row>
    <row r="539" spans="1:4">
      <c r="A539" s="157" t="s">
        <v>4259</v>
      </c>
      <c r="B539" s="195" t="s">
        <v>4260</v>
      </c>
      <c r="C539" s="775">
        <f>(SUMIF(Avaliação!$K:$K,A539,Avaliação!$J:$J))+(SUMIF(Avaliação!$O:$O,A539,Avaliação!$N:$N))+(SUMIF(Avaliação!$S:$S,A539,Avaliação!$R:$R))</f>
        <v>0</v>
      </c>
      <c r="D539" s="775">
        <f>(SUMIF(Avaliação!$AA:$AA,A539,Avaliação!$Z:$Z))+(SUMIF(Avaliação!$AD:$AD,A539,Avaliação!$AC:$AC))+(SUMIF(Avaliação!$AG:$AG,A539,Avaliação!$AF:$AF))</f>
        <v>0</v>
      </c>
    </row>
    <row r="540" spans="1:4">
      <c r="A540" s="157" t="s">
        <v>4261</v>
      </c>
      <c r="B540" s="195" t="s">
        <v>4262</v>
      </c>
      <c r="C540" s="775">
        <f>(SUMIF(Avaliação!$K:$K,A540,Avaliação!$J:$J))+(SUMIF(Avaliação!$O:$O,A540,Avaliação!$N:$N))+(SUMIF(Avaliação!$S:$S,A540,Avaliação!$R:$R))</f>
        <v>0</v>
      </c>
      <c r="D540" s="775">
        <f>(SUMIF(Avaliação!$AA:$AA,A540,Avaliação!$Z:$Z))+(SUMIF(Avaliação!$AD:$AD,A540,Avaliação!$AC:$AC))+(SUMIF(Avaliação!$AG:$AG,A540,Avaliação!$AF:$AF))</f>
        <v>0</v>
      </c>
    </row>
    <row r="541" spans="1:4">
      <c r="A541" s="157" t="s">
        <v>4263</v>
      </c>
      <c r="B541" s="195" t="s">
        <v>4264</v>
      </c>
      <c r="C541" s="775">
        <f>(SUMIF(Avaliação!$K:$K,A541,Avaliação!$J:$J))+(SUMIF(Avaliação!$O:$O,A541,Avaliação!$N:$N))+(SUMIF(Avaliação!$S:$S,A541,Avaliação!$R:$R))</f>
        <v>0</v>
      </c>
      <c r="D541" s="775">
        <f>(SUMIF(Avaliação!$AA:$AA,A541,Avaliação!$Z:$Z))+(SUMIF(Avaliação!$AD:$AD,A541,Avaliação!$AC:$AC))+(SUMIF(Avaliação!$AG:$AG,A541,Avaliação!$AF:$AF))</f>
        <v>0</v>
      </c>
    </row>
    <row r="542" spans="1:4">
      <c r="A542" s="157" t="s">
        <v>4265</v>
      </c>
      <c r="B542" s="195" t="s">
        <v>4266</v>
      </c>
      <c r="C542" s="775">
        <f>(SUMIF(Avaliação!$K:$K,A542,Avaliação!$J:$J))+(SUMIF(Avaliação!$O:$O,A542,Avaliação!$N:$N))+(SUMIF(Avaliação!$S:$S,A542,Avaliação!$R:$R))</f>
        <v>0</v>
      </c>
      <c r="D542" s="775">
        <f>(SUMIF(Avaliação!$AA:$AA,A542,Avaliação!$Z:$Z))+(SUMIF(Avaliação!$AD:$AD,A542,Avaliação!$AC:$AC))+(SUMIF(Avaliação!$AG:$AG,A542,Avaliação!$AF:$AF))</f>
        <v>0</v>
      </c>
    </row>
    <row r="543" spans="1:4">
      <c r="A543" s="157" t="s">
        <v>4267</v>
      </c>
      <c r="B543" s="195" t="s">
        <v>4268</v>
      </c>
      <c r="C543" s="775">
        <f>(SUMIF(Avaliação!$K:$K,A543,Avaliação!$J:$J))+(SUMIF(Avaliação!$O:$O,A543,Avaliação!$N:$N))+(SUMIF(Avaliação!$S:$S,A543,Avaliação!$R:$R))</f>
        <v>0</v>
      </c>
      <c r="D543" s="775">
        <f>(SUMIF(Avaliação!$AA:$AA,A543,Avaliação!$Z:$Z))+(SUMIF(Avaliação!$AD:$AD,A543,Avaliação!$AC:$AC))+(SUMIF(Avaliação!$AG:$AG,A543,Avaliação!$AF:$AF))</f>
        <v>0</v>
      </c>
    </row>
    <row r="544" spans="1:4">
      <c r="A544" s="157" t="s">
        <v>4269</v>
      </c>
      <c r="B544" s="195" t="s">
        <v>4270</v>
      </c>
      <c r="C544" s="775">
        <f>(SUMIF(Avaliação!$K:$K,A544,Avaliação!$J:$J))+(SUMIF(Avaliação!$O:$O,A544,Avaliação!$N:$N))+(SUMIF(Avaliação!$S:$S,A544,Avaliação!$R:$R))</f>
        <v>0</v>
      </c>
      <c r="D544" s="775">
        <f>(SUMIF(Avaliação!$AA:$AA,A544,Avaliação!$Z:$Z))+(SUMIF(Avaliação!$AD:$AD,A544,Avaliação!$AC:$AC))+(SUMIF(Avaliação!$AG:$AG,A544,Avaliação!$AF:$AF))</f>
        <v>0</v>
      </c>
    </row>
    <row r="545" spans="1:4">
      <c r="A545" s="157" t="s">
        <v>4271</v>
      </c>
      <c r="B545" s="195" t="s">
        <v>4272</v>
      </c>
      <c r="C545" s="775">
        <f>(SUMIF(Avaliação!$K:$K,A545,Avaliação!$J:$J))+(SUMIF(Avaliação!$O:$O,A545,Avaliação!$N:$N))+(SUMIF(Avaliação!$S:$S,A545,Avaliação!$R:$R))</f>
        <v>0</v>
      </c>
      <c r="D545" s="775">
        <f>(SUMIF(Avaliação!$AA:$AA,A545,Avaliação!$Z:$Z))+(SUMIF(Avaliação!$AD:$AD,A545,Avaliação!$AC:$AC))+(SUMIF(Avaliação!$AG:$AG,A545,Avaliação!$AF:$AF))</f>
        <v>0</v>
      </c>
    </row>
    <row r="546" spans="1:4">
      <c r="A546" s="833" t="s">
        <v>4273</v>
      </c>
      <c r="B546" s="834" t="s">
        <v>4274</v>
      </c>
      <c r="C546" s="775">
        <f>(SUMIF(Avaliação!$K:$K,A546,Avaliação!$J:$J))+(SUMIF(Avaliação!$O:$O,A546,Avaliação!$N:$N))+(SUMIF(Avaliação!$S:$S,A546,Avaliação!$R:$R))</f>
        <v>0</v>
      </c>
      <c r="D546" s="835">
        <f>(SUMIF(Avaliação!$AA:$AA,A546,Avaliação!$Z:$Z))+(SUMIF(Avaliação!$AD:$AD,A546,Avaliação!$AC:$AC))+(SUMIF(Avaliação!$AG:$AG,A546,Avaliação!$AF:$AF))</f>
        <v>0</v>
      </c>
    </row>
    <row r="547" spans="1:4">
      <c r="A547" s="157" t="s">
        <v>4275</v>
      </c>
      <c r="B547" s="195" t="s">
        <v>4276</v>
      </c>
      <c r="C547" s="775">
        <f>(SUMIF(Avaliação!$K:$K,A547,Avaliação!$J:$J))+(SUMIF(Avaliação!$O:$O,A547,Avaliação!$N:$N))+(SUMIF(Avaliação!$S:$S,A547,Avaliação!$R:$R))</f>
        <v>0</v>
      </c>
      <c r="D547" s="775">
        <f>(SUMIF(Avaliação!$AA:$AA,A547,Avaliação!$Z:$Z))+(SUMIF(Avaliação!$AD:$AD,A547,Avaliação!$AC:$AC))+(SUMIF(Avaliação!$AG:$AG,A547,Avaliação!$AF:$AF))</f>
        <v>0</v>
      </c>
    </row>
    <row r="548" spans="1:4">
      <c r="A548" s="157" t="s">
        <v>4277</v>
      </c>
      <c r="B548" s="195" t="s">
        <v>4278</v>
      </c>
      <c r="C548" s="775">
        <f>(SUMIF(Avaliação!$K:$K,A548,Avaliação!$J:$J))+(SUMIF(Avaliação!$O:$O,A548,Avaliação!$N:$N))+(SUMIF(Avaliação!$S:$S,A548,Avaliação!$R:$R))</f>
        <v>0</v>
      </c>
      <c r="D548" s="775">
        <f>(SUMIF(Avaliação!$AA:$AA,A548,Avaliação!$Z:$Z))+(SUMIF(Avaliação!$AD:$AD,A548,Avaliação!$AC:$AC))+(SUMIF(Avaliação!$AG:$AG,A548,Avaliação!$AF:$AF))</f>
        <v>0</v>
      </c>
    </row>
    <row r="549" spans="1:4">
      <c r="A549" s="157" t="s">
        <v>4279</v>
      </c>
      <c r="B549" s="195" t="s">
        <v>4280</v>
      </c>
      <c r="C549" s="775">
        <f>(SUMIF(Avaliação!$K:$K,A549,Avaliação!$J:$J))+(SUMIF(Avaliação!$O:$O,A549,Avaliação!$N:$N))+(SUMIF(Avaliação!$S:$S,A549,Avaliação!$R:$R))</f>
        <v>0</v>
      </c>
      <c r="D549" s="775">
        <f>(SUMIF(Avaliação!$AA:$AA,A549,Avaliação!$Z:$Z))+(SUMIF(Avaliação!$AD:$AD,A549,Avaliação!$AC:$AC))+(SUMIF(Avaliação!$AG:$AG,A549,Avaliação!$AF:$AF))</f>
        <v>0</v>
      </c>
    </row>
    <row r="550" spans="1:4">
      <c r="A550" s="157" t="s">
        <v>4281</v>
      </c>
      <c r="B550" s="195" t="s">
        <v>4282</v>
      </c>
      <c r="C550" s="775">
        <f>(SUMIF(Avaliação!$K:$K,A550,Avaliação!$J:$J))+(SUMIF(Avaliação!$O:$O,A550,Avaliação!$N:$N))+(SUMIF(Avaliação!$S:$S,A550,Avaliação!$R:$R))</f>
        <v>0</v>
      </c>
      <c r="D550" s="775">
        <f>(SUMIF(Avaliação!$AA:$AA,A550,Avaliação!$Z:$Z))+(SUMIF(Avaliação!$AD:$AD,A550,Avaliação!$AC:$AC))+(SUMIF(Avaliação!$AG:$AG,A550,Avaliação!$AF:$AF))</f>
        <v>0</v>
      </c>
    </row>
    <row r="551" spans="1:4">
      <c r="A551" s="157" t="s">
        <v>4283</v>
      </c>
      <c r="B551" s="195" t="s">
        <v>4284</v>
      </c>
      <c r="C551" s="775">
        <f>(SUMIF(Avaliação!$K:$K,A551,Avaliação!$J:$J))+(SUMIF(Avaliação!$O:$O,A551,Avaliação!$N:$N))+(SUMIF(Avaliação!$S:$S,A551,Avaliação!$R:$R))</f>
        <v>0</v>
      </c>
      <c r="D551" s="775">
        <f>(SUMIF(Avaliação!$AA:$AA,A551,Avaliação!$Z:$Z))+(SUMIF(Avaliação!$AD:$AD,A551,Avaliação!$AC:$AC))+(SUMIF(Avaliação!$AG:$AG,A551,Avaliação!$AF:$AF))</f>
        <v>0</v>
      </c>
    </row>
    <row r="552" spans="1:4">
      <c r="A552" s="833" t="s">
        <v>4285</v>
      </c>
      <c r="B552" s="834" t="s">
        <v>4286</v>
      </c>
      <c r="C552" s="775">
        <f>(SUMIF(Avaliação!$K:$K,A552,Avaliação!$J:$J))+(SUMIF(Avaliação!$O:$O,A552,Avaliação!$N:$N))+(SUMIF(Avaliação!$S:$S,A552,Avaliação!$R:$R))</f>
        <v>13</v>
      </c>
      <c r="D552" s="835">
        <f>(SUMIF(Avaliação!$AA:$AA,A552,Avaliação!$Z:$Z))+(SUMIF(Avaliação!$AD:$AD,A552,Avaliação!$AC:$AC))+(SUMIF(Avaliação!$AG:$AG,A552,Avaliação!$AF:$AF))</f>
        <v>0</v>
      </c>
    </row>
    <row r="553" spans="1:4">
      <c r="A553" s="157" t="s">
        <v>4287</v>
      </c>
      <c r="B553" s="195" t="s">
        <v>4288</v>
      </c>
      <c r="C553" s="775">
        <f>(SUMIF(Avaliação!$K:$K,A553,Avaliação!$J:$J))+(SUMIF(Avaliação!$O:$O,A553,Avaliação!$N:$N))+(SUMIF(Avaliação!$S:$S,A553,Avaliação!$R:$R))</f>
        <v>0</v>
      </c>
      <c r="D553" s="775">
        <f>(SUMIF(Avaliação!$AA:$AA,A553,Avaliação!$Z:$Z))+(SUMIF(Avaliação!$AD:$AD,A553,Avaliação!$AC:$AC))+(SUMIF(Avaliação!$AG:$AG,A553,Avaliação!$AF:$AF))</f>
        <v>0</v>
      </c>
    </row>
    <row r="554" spans="1:4">
      <c r="A554" s="157" t="s">
        <v>4289</v>
      </c>
      <c r="B554" s="195" t="s">
        <v>4290</v>
      </c>
      <c r="C554" s="775">
        <f>(SUMIF(Avaliação!$K:$K,A554,Avaliação!$J:$J))+(SUMIF(Avaliação!$O:$O,A554,Avaliação!$N:$N))+(SUMIF(Avaliação!$S:$S,A554,Avaliação!$R:$R))</f>
        <v>0</v>
      </c>
      <c r="D554" s="775">
        <f>(SUMIF(Avaliação!$AA:$AA,A554,Avaliação!$Z:$Z))+(SUMIF(Avaliação!$AD:$AD,A554,Avaliação!$AC:$AC))+(SUMIF(Avaliação!$AG:$AG,A554,Avaliação!$AF:$AF))</f>
        <v>0</v>
      </c>
    </row>
    <row r="555" spans="1:4">
      <c r="A555" s="157" t="s">
        <v>4291</v>
      </c>
      <c r="B555" s="195" t="s">
        <v>4292</v>
      </c>
      <c r="C555" s="775">
        <f>(SUMIF(Avaliação!$K:$K,A555,Avaliação!$J:$J))+(SUMIF(Avaliação!$O:$O,A555,Avaliação!$N:$N))+(SUMIF(Avaliação!$S:$S,A555,Avaliação!$R:$R))</f>
        <v>0</v>
      </c>
      <c r="D555" s="775">
        <f>(SUMIF(Avaliação!$AA:$AA,A555,Avaliação!$Z:$Z))+(SUMIF(Avaliação!$AD:$AD,A555,Avaliação!$AC:$AC))+(SUMIF(Avaliação!$AG:$AG,A555,Avaliação!$AF:$AF))</f>
        <v>0</v>
      </c>
    </row>
    <row r="556" spans="1:4">
      <c r="A556" s="157" t="s">
        <v>4293</v>
      </c>
      <c r="B556" s="195" t="s">
        <v>4294</v>
      </c>
      <c r="C556" s="775">
        <f>(SUMIF(Avaliação!$K:$K,A556,Avaliação!$J:$J))+(SUMIF(Avaliação!$O:$O,A556,Avaliação!$N:$N))+(SUMIF(Avaliação!$S:$S,A556,Avaliação!$R:$R))</f>
        <v>0</v>
      </c>
      <c r="D556" s="775">
        <f>(SUMIF(Avaliação!$AA:$AA,A556,Avaliação!$Z:$Z))+(SUMIF(Avaliação!$AD:$AD,A556,Avaliação!$AC:$AC))+(SUMIF(Avaliação!$AG:$AG,A556,Avaliação!$AF:$AF))</f>
        <v>0</v>
      </c>
    </row>
    <row r="557" spans="1:4">
      <c r="A557" s="157" t="s">
        <v>4295</v>
      </c>
      <c r="B557" s="195" t="s">
        <v>4296</v>
      </c>
      <c r="C557" s="775">
        <f>(SUMIF(Avaliação!$K:$K,A557,Avaliação!$J:$J))+(SUMIF(Avaliação!$O:$O,A557,Avaliação!$N:$N))+(SUMIF(Avaliação!$S:$S,A557,Avaliação!$R:$R))</f>
        <v>0</v>
      </c>
      <c r="D557" s="775">
        <f>(SUMIF(Avaliação!$AA:$AA,A557,Avaliação!$Z:$Z))+(SUMIF(Avaliação!$AD:$AD,A557,Avaliação!$AC:$AC))+(SUMIF(Avaliação!$AG:$AG,A557,Avaliação!$AF:$AF))</f>
        <v>0</v>
      </c>
    </row>
    <row r="558" spans="1:4">
      <c r="A558" s="157" t="s">
        <v>4297</v>
      </c>
      <c r="B558" s="195" t="s">
        <v>4298</v>
      </c>
      <c r="C558" s="775">
        <f>(SUMIF(Avaliação!$K:$K,A558,Avaliação!$J:$J))+(SUMIF(Avaliação!$O:$O,A558,Avaliação!$N:$N))+(SUMIF(Avaliação!$S:$S,A558,Avaliação!$R:$R))</f>
        <v>0</v>
      </c>
      <c r="D558" s="775">
        <f>(SUMIF(Avaliação!$AA:$AA,A558,Avaliação!$Z:$Z))+(SUMIF(Avaliação!$AD:$AD,A558,Avaliação!$AC:$AC))+(SUMIF(Avaliação!$AG:$AG,A558,Avaliação!$AF:$AF))</f>
        <v>0</v>
      </c>
    </row>
    <row r="559" spans="1:4">
      <c r="A559" s="157" t="s">
        <v>4299</v>
      </c>
      <c r="B559" s="195" t="s">
        <v>4300</v>
      </c>
      <c r="C559" s="775">
        <f>(SUMIF(Avaliação!$K:$K,A559,Avaliação!$J:$J))+(SUMIF(Avaliação!$O:$O,A559,Avaliação!$N:$N))+(SUMIF(Avaliação!$S:$S,A559,Avaliação!$R:$R))</f>
        <v>0</v>
      </c>
      <c r="D559" s="775">
        <f>(SUMIF(Avaliação!$AA:$AA,A559,Avaliação!$Z:$Z))+(SUMIF(Avaliação!$AD:$AD,A559,Avaliação!$AC:$AC))+(SUMIF(Avaliação!$AG:$AG,A559,Avaliação!$AF:$AF))</f>
        <v>0</v>
      </c>
    </row>
    <row r="560" spans="1:4">
      <c r="A560" s="157" t="s">
        <v>4301</v>
      </c>
      <c r="B560" s="195" t="s">
        <v>4302</v>
      </c>
      <c r="C560" s="775">
        <f>(SUMIF(Avaliação!$K:$K,A560,Avaliação!$J:$J))+(SUMIF(Avaliação!$O:$O,A560,Avaliação!$N:$N))+(SUMIF(Avaliação!$S:$S,A560,Avaliação!$R:$R))</f>
        <v>0</v>
      </c>
      <c r="D560" s="775">
        <f>(SUMIF(Avaliação!$AA:$AA,A560,Avaliação!$Z:$Z))+(SUMIF(Avaliação!$AD:$AD,A560,Avaliação!$AC:$AC))+(SUMIF(Avaliação!$AG:$AG,A560,Avaliação!$AF:$AF))</f>
        <v>0</v>
      </c>
    </row>
    <row r="561" spans="1:4">
      <c r="A561" s="157" t="s">
        <v>4303</v>
      </c>
      <c r="B561" s="195" t="s">
        <v>4304</v>
      </c>
      <c r="C561" s="775">
        <f>(SUMIF(Avaliação!$K:$K,A561,Avaliação!$J:$J))+(SUMIF(Avaliação!$O:$O,A561,Avaliação!$N:$N))+(SUMIF(Avaliação!$S:$S,A561,Avaliação!$R:$R))</f>
        <v>0</v>
      </c>
      <c r="D561" s="775">
        <f>(SUMIF(Avaliação!$AA:$AA,A561,Avaliação!$Z:$Z))+(SUMIF(Avaliação!$AD:$AD,A561,Avaliação!$AC:$AC))+(SUMIF(Avaliação!$AG:$AG,A561,Avaliação!$AF:$AF))</f>
        <v>0</v>
      </c>
    </row>
    <row r="562" spans="1:4">
      <c r="A562" s="157" t="s">
        <v>4305</v>
      </c>
      <c r="B562" s="195" t="s">
        <v>4306</v>
      </c>
      <c r="C562" s="775">
        <f>(SUMIF(Avaliação!$K:$K,A562,Avaliação!$J:$J))+(SUMIF(Avaliação!$O:$O,A562,Avaliação!$N:$N))+(SUMIF(Avaliação!$S:$S,A562,Avaliação!$R:$R))</f>
        <v>0</v>
      </c>
      <c r="D562" s="775">
        <f>(SUMIF(Avaliação!$AA:$AA,A562,Avaliação!$Z:$Z))+(SUMIF(Avaliação!$AD:$AD,A562,Avaliação!$AC:$AC))+(SUMIF(Avaliação!$AG:$AG,A562,Avaliação!$AF:$AF))</f>
        <v>0</v>
      </c>
    </row>
    <row r="563" spans="1:4">
      <c r="A563" s="157" t="s">
        <v>4307</v>
      </c>
      <c r="B563" s="195" t="s">
        <v>4308</v>
      </c>
      <c r="C563" s="775">
        <f>(SUMIF(Avaliação!$K:$K,A563,Avaliação!$J:$J))+(SUMIF(Avaliação!$O:$O,A563,Avaliação!$N:$N))+(SUMIF(Avaliação!$S:$S,A563,Avaliação!$R:$R))</f>
        <v>0</v>
      </c>
      <c r="D563" s="775">
        <f>(SUMIF(Avaliação!$AA:$AA,A563,Avaliação!$Z:$Z))+(SUMIF(Avaliação!$AD:$AD,A563,Avaliação!$AC:$AC))+(SUMIF(Avaliação!$AG:$AG,A563,Avaliação!$AF:$AF))</f>
        <v>0</v>
      </c>
    </row>
    <row r="564" spans="1:4">
      <c r="A564" s="157" t="s">
        <v>4309</v>
      </c>
      <c r="B564" s="195" t="s">
        <v>4310</v>
      </c>
      <c r="C564" s="775">
        <f>(SUMIF(Avaliação!$K:$K,A564,Avaliação!$J:$J))+(SUMIF(Avaliação!$O:$O,A564,Avaliação!$N:$N))+(SUMIF(Avaliação!$S:$S,A564,Avaliação!$R:$R))</f>
        <v>0</v>
      </c>
      <c r="D564" s="775">
        <f>(SUMIF(Avaliação!$AA:$AA,A564,Avaliação!$Z:$Z))+(SUMIF(Avaliação!$AD:$AD,A564,Avaliação!$AC:$AC))+(SUMIF(Avaliação!$AG:$AG,A564,Avaliação!$AF:$AF))</f>
        <v>0</v>
      </c>
    </row>
    <row r="565" spans="1:4">
      <c r="A565" s="157" t="s">
        <v>4311</v>
      </c>
      <c r="B565" s="195" t="s">
        <v>4312</v>
      </c>
      <c r="C565" s="775">
        <f>(SUMIF(Avaliação!$K:$K,A565,Avaliação!$J:$J))+(SUMIF(Avaliação!$O:$O,A565,Avaliação!$N:$N))+(SUMIF(Avaliação!$S:$S,A565,Avaliação!$R:$R))</f>
        <v>0</v>
      </c>
      <c r="D565" s="775">
        <f>(SUMIF(Avaliação!$AA:$AA,A565,Avaliação!$Z:$Z))+(SUMIF(Avaliação!$AD:$AD,A565,Avaliação!$AC:$AC))+(SUMIF(Avaliação!$AG:$AG,A565,Avaliação!$AF:$AF))</f>
        <v>0</v>
      </c>
    </row>
    <row r="566" spans="1:4">
      <c r="A566" s="157" t="s">
        <v>4313</v>
      </c>
      <c r="B566" s="195" t="s">
        <v>4314</v>
      </c>
      <c r="C566" s="775">
        <f>(SUMIF(Avaliação!$K:$K,A566,Avaliação!$J:$J))+(SUMIF(Avaliação!$O:$O,A566,Avaliação!$N:$N))+(SUMIF(Avaliação!$S:$S,A566,Avaliação!$R:$R))</f>
        <v>0</v>
      </c>
      <c r="D566" s="775">
        <f>(SUMIF(Avaliação!$AA:$AA,A566,Avaliação!$Z:$Z))+(SUMIF(Avaliação!$AD:$AD,A566,Avaliação!$AC:$AC))+(SUMIF(Avaliação!$AG:$AG,A566,Avaliação!$AF:$AF))</f>
        <v>0</v>
      </c>
    </row>
    <row r="567" spans="1:4">
      <c r="A567" s="157" t="s">
        <v>4315</v>
      </c>
      <c r="B567" s="195" t="s">
        <v>4316</v>
      </c>
      <c r="C567" s="775">
        <f>(SUMIF(Avaliação!$K:$K,A567,Avaliação!$J:$J))+(SUMIF(Avaliação!$O:$O,A567,Avaliação!$N:$N))+(SUMIF(Avaliação!$S:$S,A567,Avaliação!$R:$R))</f>
        <v>0</v>
      </c>
      <c r="D567" s="775">
        <f>(SUMIF(Avaliação!$AA:$AA,A567,Avaliação!$Z:$Z))+(SUMIF(Avaliação!$AD:$AD,A567,Avaliação!$AC:$AC))+(SUMIF(Avaliação!$AG:$AG,A567,Avaliação!$AF:$AF))</f>
        <v>0</v>
      </c>
    </row>
    <row r="568" spans="1:4">
      <c r="A568" s="157" t="s">
        <v>4317</v>
      </c>
      <c r="B568" s="195" t="s">
        <v>4318</v>
      </c>
      <c r="C568" s="775">
        <f>(SUMIF(Avaliação!$K:$K,A568,Avaliação!$J:$J))+(SUMIF(Avaliação!$O:$O,A568,Avaliação!$N:$N))+(SUMIF(Avaliação!$S:$S,A568,Avaliação!$R:$R))</f>
        <v>0</v>
      </c>
      <c r="D568" s="775">
        <f>(SUMIF(Avaliação!$AA:$AA,A568,Avaliação!$Z:$Z))+(SUMIF(Avaliação!$AD:$AD,A568,Avaliação!$AC:$AC))+(SUMIF(Avaliação!$AG:$AG,A568,Avaliação!$AF:$AF))</f>
        <v>0</v>
      </c>
    </row>
    <row r="569" spans="1:4">
      <c r="A569" s="157" t="s">
        <v>4319</v>
      </c>
      <c r="B569" s="195" t="s">
        <v>4320</v>
      </c>
      <c r="C569" s="775">
        <f>(SUMIF(Avaliação!$K:$K,A569,Avaliação!$J:$J))+(SUMIF(Avaliação!$O:$O,A569,Avaliação!$N:$N))+(SUMIF(Avaliação!$S:$S,A569,Avaliação!$R:$R))</f>
        <v>0</v>
      </c>
      <c r="D569" s="775">
        <f>(SUMIF(Avaliação!$AA:$AA,A569,Avaliação!$Z:$Z))+(SUMIF(Avaliação!$AD:$AD,A569,Avaliação!$AC:$AC))+(SUMIF(Avaliação!$AG:$AG,A569,Avaliação!$AF:$AF))</f>
        <v>0</v>
      </c>
    </row>
    <row r="570" spans="1:4">
      <c r="A570" s="157" t="s">
        <v>4321</v>
      </c>
      <c r="B570" s="195" t="s">
        <v>4322</v>
      </c>
      <c r="C570" s="775">
        <f>(SUMIF(Avaliação!$K:$K,A570,Avaliação!$J:$J))+(SUMIF(Avaliação!$O:$O,A570,Avaliação!$N:$N))+(SUMIF(Avaliação!$S:$S,A570,Avaliação!$R:$R))</f>
        <v>0</v>
      </c>
      <c r="D570" s="775">
        <f>(SUMIF(Avaliação!$AA:$AA,A570,Avaliação!$Z:$Z))+(SUMIF(Avaliação!$AD:$AD,A570,Avaliação!$AC:$AC))+(SUMIF(Avaliação!$AG:$AG,A570,Avaliação!$AF:$AF))</f>
        <v>0</v>
      </c>
    </row>
    <row r="571" spans="1:4">
      <c r="A571" s="157" t="s">
        <v>4323</v>
      </c>
      <c r="B571" s="195" t="s">
        <v>4324</v>
      </c>
      <c r="C571" s="775">
        <f>(SUMIF(Avaliação!$K:$K,A571,Avaliação!$J:$J))+(SUMIF(Avaliação!$O:$O,A571,Avaliação!$N:$N))+(SUMIF(Avaliação!$S:$S,A571,Avaliação!$R:$R))</f>
        <v>0</v>
      </c>
      <c r="D571" s="775">
        <f>(SUMIF(Avaliação!$AA:$AA,A571,Avaliação!$Z:$Z))+(SUMIF(Avaliação!$AD:$AD,A571,Avaliação!$AC:$AC))+(SUMIF(Avaliação!$AG:$AG,A571,Avaliação!$AF:$AF))</f>
        <v>0</v>
      </c>
    </row>
    <row r="572" spans="1:4">
      <c r="A572" s="157" t="s">
        <v>4325</v>
      </c>
      <c r="B572" s="195" t="s">
        <v>4326</v>
      </c>
      <c r="C572" s="775">
        <f>(SUMIF(Avaliação!$K:$K,A572,Avaliação!$J:$J))+(SUMIF(Avaliação!$O:$O,A572,Avaliação!$N:$N))+(SUMIF(Avaliação!$S:$S,A572,Avaliação!$R:$R))</f>
        <v>0</v>
      </c>
      <c r="D572" s="775">
        <f>(SUMIF(Avaliação!$AA:$AA,A572,Avaliação!$Z:$Z))+(SUMIF(Avaliação!$AD:$AD,A572,Avaliação!$AC:$AC))+(SUMIF(Avaliação!$AG:$AG,A572,Avaliação!$AF:$AF))</f>
        <v>0</v>
      </c>
    </row>
    <row r="573" spans="1:4">
      <c r="A573" s="157" t="s">
        <v>4327</v>
      </c>
      <c r="B573" s="195" t="s">
        <v>4328</v>
      </c>
      <c r="C573" s="775">
        <f>(SUMIF(Avaliação!$K:$K,A573,Avaliação!$J:$J))+(SUMIF(Avaliação!$O:$O,A573,Avaliação!$N:$N))+(SUMIF(Avaliação!$S:$S,A573,Avaliação!$R:$R))</f>
        <v>0</v>
      </c>
      <c r="D573" s="775">
        <f>(SUMIF(Avaliação!$AA:$AA,A573,Avaliação!$Z:$Z))+(SUMIF(Avaliação!$AD:$AD,A573,Avaliação!$AC:$AC))+(SUMIF(Avaliação!$AG:$AG,A573,Avaliação!$AF:$AF))</f>
        <v>0</v>
      </c>
    </row>
    <row r="574" spans="1:4">
      <c r="A574" s="157" t="s">
        <v>4329</v>
      </c>
      <c r="B574" s="195" t="s">
        <v>4330</v>
      </c>
      <c r="C574" s="775">
        <f>(SUMIF(Avaliação!$K:$K,A574,Avaliação!$J:$J))+(SUMIF(Avaliação!$O:$O,A574,Avaliação!$N:$N))+(SUMIF(Avaliação!$S:$S,A574,Avaliação!$R:$R))</f>
        <v>0</v>
      </c>
      <c r="D574" s="775">
        <f>(SUMIF(Avaliação!$AA:$AA,A574,Avaliação!$Z:$Z))+(SUMIF(Avaliação!$AD:$AD,A574,Avaliação!$AC:$AC))+(SUMIF(Avaliação!$AG:$AG,A574,Avaliação!$AF:$AF))</f>
        <v>0</v>
      </c>
    </row>
    <row r="575" spans="1:4">
      <c r="A575" s="157" t="s">
        <v>4331</v>
      </c>
      <c r="B575" s="195" t="s">
        <v>4332</v>
      </c>
      <c r="C575" s="775">
        <f>(SUMIF(Avaliação!$K:$K,A575,Avaliação!$J:$J))+(SUMIF(Avaliação!$O:$O,A575,Avaliação!$N:$N))+(SUMIF(Avaliação!$S:$S,A575,Avaliação!$R:$R))</f>
        <v>0</v>
      </c>
      <c r="D575" s="775">
        <f>(SUMIF(Avaliação!$AA:$AA,A575,Avaliação!$Z:$Z))+(SUMIF(Avaliação!$AD:$AD,A575,Avaliação!$AC:$AC))+(SUMIF(Avaliação!$AG:$AG,A575,Avaliação!$AF:$AF))</f>
        <v>0</v>
      </c>
    </row>
    <row r="576" spans="1:4">
      <c r="A576" s="157" t="s">
        <v>4333</v>
      </c>
      <c r="B576" s="195" t="s">
        <v>4334</v>
      </c>
      <c r="C576" s="775">
        <f>(SUMIF(Avaliação!$K:$K,A576,Avaliação!$J:$J))+(SUMIF(Avaliação!$O:$O,A576,Avaliação!$N:$N))+(SUMIF(Avaliação!$S:$S,A576,Avaliação!$R:$R))</f>
        <v>0</v>
      </c>
      <c r="D576" s="775">
        <f>(SUMIF(Avaliação!$AA:$AA,A576,Avaliação!$Z:$Z))+(SUMIF(Avaliação!$AD:$AD,A576,Avaliação!$AC:$AC))+(SUMIF(Avaliação!$AG:$AG,A576,Avaliação!$AF:$AF))</f>
        <v>0</v>
      </c>
    </row>
    <row r="577" spans="1:4">
      <c r="A577" s="157" t="s">
        <v>4335</v>
      </c>
      <c r="B577" s="195" t="s">
        <v>4336</v>
      </c>
      <c r="C577" s="775">
        <f>(SUMIF(Avaliação!$K:$K,A577,Avaliação!$J:$J))+(SUMIF(Avaliação!$O:$O,A577,Avaliação!$N:$N))+(SUMIF(Avaliação!$S:$S,A577,Avaliação!$R:$R))</f>
        <v>0</v>
      </c>
      <c r="D577" s="775">
        <f>(SUMIF(Avaliação!$AA:$AA,A577,Avaliação!$Z:$Z))+(SUMIF(Avaliação!$AD:$AD,A577,Avaliação!$AC:$AC))+(SUMIF(Avaliação!$AG:$AG,A577,Avaliação!$AF:$AF))</f>
        <v>0</v>
      </c>
    </row>
    <row r="578" spans="1:4">
      <c r="A578" s="157" t="s">
        <v>4337</v>
      </c>
      <c r="B578" s="195" t="s">
        <v>4338</v>
      </c>
      <c r="C578" s="775">
        <f>(SUMIF(Avaliação!$K:$K,A578,Avaliação!$J:$J))+(SUMIF(Avaliação!$O:$O,A578,Avaliação!$N:$N))+(SUMIF(Avaliação!$S:$S,A578,Avaliação!$R:$R))</f>
        <v>0</v>
      </c>
      <c r="D578" s="775">
        <f>(SUMIF(Avaliação!$AA:$AA,A578,Avaliação!$Z:$Z))+(SUMIF(Avaliação!$AD:$AD,A578,Avaliação!$AC:$AC))+(SUMIF(Avaliação!$AG:$AG,A578,Avaliação!$AF:$AF))</f>
        <v>0</v>
      </c>
    </row>
    <row r="579" spans="1:4">
      <c r="A579" s="157" t="s">
        <v>4339</v>
      </c>
      <c r="B579" s="195" t="s">
        <v>4340</v>
      </c>
      <c r="C579" s="775">
        <f>(SUMIF(Avaliação!$K:$K,A579,Avaliação!$J:$J))+(SUMIF(Avaliação!$O:$O,A579,Avaliação!$N:$N))+(SUMIF(Avaliação!$S:$S,A579,Avaliação!$R:$R))</f>
        <v>0</v>
      </c>
      <c r="D579" s="775">
        <f>(SUMIF(Avaliação!$AA:$AA,A579,Avaliação!$Z:$Z))+(SUMIF(Avaliação!$AD:$AD,A579,Avaliação!$AC:$AC))+(SUMIF(Avaliação!$AG:$AG,A579,Avaliação!$AF:$AF))</f>
        <v>0</v>
      </c>
    </row>
    <row r="580" spans="1:4">
      <c r="A580" s="157" t="s">
        <v>4341</v>
      </c>
      <c r="B580" s="195" t="s">
        <v>4342</v>
      </c>
      <c r="C580" s="775">
        <f>(SUMIF(Avaliação!$K:$K,A580,Avaliação!$J:$J))+(SUMIF(Avaliação!$O:$O,A580,Avaliação!$N:$N))+(SUMIF(Avaliação!$S:$S,A580,Avaliação!$R:$R))</f>
        <v>0</v>
      </c>
      <c r="D580" s="775">
        <f>(SUMIF(Avaliação!$AA:$AA,A580,Avaliação!$Z:$Z))+(SUMIF(Avaliação!$AD:$AD,A580,Avaliação!$AC:$AC))+(SUMIF(Avaliação!$AG:$AG,A580,Avaliação!$AF:$AF))</f>
        <v>0</v>
      </c>
    </row>
    <row r="581" spans="1:4">
      <c r="A581" s="157" t="s">
        <v>4343</v>
      </c>
      <c r="B581" s="195" t="s">
        <v>4344</v>
      </c>
      <c r="C581" s="775">
        <f>(SUMIF(Avaliação!$K:$K,A581,Avaliação!$J:$J))+(SUMIF(Avaliação!$O:$O,A581,Avaliação!$N:$N))+(SUMIF(Avaliação!$S:$S,A581,Avaliação!$R:$R))</f>
        <v>0</v>
      </c>
      <c r="D581" s="775">
        <f>(SUMIF(Avaliação!$AA:$AA,A581,Avaliação!$Z:$Z))+(SUMIF(Avaliação!$AD:$AD,A581,Avaliação!$AC:$AC))+(SUMIF(Avaliação!$AG:$AG,A581,Avaliação!$AF:$AF))</f>
        <v>0</v>
      </c>
    </row>
    <row r="582" spans="1:4">
      <c r="A582" s="157" t="s">
        <v>4345</v>
      </c>
      <c r="B582" s="195" t="s">
        <v>4346</v>
      </c>
      <c r="C582" s="775">
        <f>(SUMIF(Avaliação!$K:$K,A582,Avaliação!$J:$J))+(SUMIF(Avaliação!$O:$O,A582,Avaliação!$N:$N))+(SUMIF(Avaliação!$S:$S,A582,Avaliação!$R:$R))</f>
        <v>0</v>
      </c>
      <c r="D582" s="775">
        <f>(SUMIF(Avaliação!$AA:$AA,A582,Avaliação!$Z:$Z))+(SUMIF(Avaliação!$AD:$AD,A582,Avaliação!$AC:$AC))+(SUMIF(Avaliação!$AG:$AG,A582,Avaliação!$AF:$AF))</f>
        <v>0</v>
      </c>
    </row>
    <row r="583" spans="1:4">
      <c r="A583" s="157" t="s">
        <v>4347</v>
      </c>
      <c r="B583" s="195" t="s">
        <v>4348</v>
      </c>
      <c r="C583" s="775">
        <f>(SUMIF(Avaliação!$K:$K,A583,Avaliação!$J:$J))+(SUMIF(Avaliação!$O:$O,A583,Avaliação!$N:$N))+(SUMIF(Avaliação!$S:$S,A583,Avaliação!$R:$R))</f>
        <v>0</v>
      </c>
      <c r="D583" s="775">
        <f>(SUMIF(Avaliação!$AA:$AA,A583,Avaliação!$Z:$Z))+(SUMIF(Avaliação!$AD:$AD,A583,Avaliação!$AC:$AC))+(SUMIF(Avaliação!$AG:$AG,A583,Avaliação!$AF:$AF))</f>
        <v>0</v>
      </c>
    </row>
    <row r="584" spans="1:4">
      <c r="A584" s="157" t="s">
        <v>4349</v>
      </c>
      <c r="B584" s="195" t="s">
        <v>4350</v>
      </c>
      <c r="C584" s="775">
        <f>(SUMIF(Avaliação!$K:$K,A584,Avaliação!$J:$J))+(SUMIF(Avaliação!$O:$O,A584,Avaliação!$N:$N))+(SUMIF(Avaliação!$S:$S,A584,Avaliação!$R:$R))</f>
        <v>0</v>
      </c>
      <c r="D584" s="775">
        <f>(SUMIF(Avaliação!$AA:$AA,A584,Avaliação!$Z:$Z))+(SUMIF(Avaliação!$AD:$AD,A584,Avaliação!$AC:$AC))+(SUMIF(Avaliação!$AG:$AG,A584,Avaliação!$AF:$AF))</f>
        <v>0</v>
      </c>
    </row>
    <row r="585" spans="1:4">
      <c r="A585" s="157" t="s">
        <v>4351</v>
      </c>
      <c r="B585" s="195" t="s">
        <v>4352</v>
      </c>
      <c r="C585" s="775">
        <f>(SUMIF(Avaliação!$K:$K,A585,Avaliação!$J:$J))+(SUMIF(Avaliação!$O:$O,A585,Avaliação!$N:$N))+(SUMIF(Avaliação!$S:$S,A585,Avaliação!$R:$R))</f>
        <v>0</v>
      </c>
      <c r="D585" s="775">
        <f>(SUMIF(Avaliação!$AA:$AA,A585,Avaliação!$Z:$Z))+(SUMIF(Avaliação!$AD:$AD,A585,Avaliação!$AC:$AC))+(SUMIF(Avaliação!$AG:$AG,A585,Avaliação!$AF:$AF))</f>
        <v>0</v>
      </c>
    </row>
    <row r="586" spans="1:4">
      <c r="A586" s="157" t="s">
        <v>4353</v>
      </c>
      <c r="B586" s="195" t="s">
        <v>4354</v>
      </c>
      <c r="C586" s="775">
        <f>(SUMIF(Avaliação!$K:$K,A586,Avaliação!$J:$J))+(SUMIF(Avaliação!$O:$O,A586,Avaliação!$N:$N))+(SUMIF(Avaliação!$S:$S,A586,Avaliação!$R:$R))</f>
        <v>0</v>
      </c>
      <c r="D586" s="775">
        <f>(SUMIF(Avaliação!$AA:$AA,A586,Avaliação!$Z:$Z))+(SUMIF(Avaliação!$AD:$AD,A586,Avaliação!$AC:$AC))+(SUMIF(Avaliação!$AG:$AG,A586,Avaliação!$AF:$AF))</f>
        <v>0</v>
      </c>
    </row>
    <row r="587" spans="1:4">
      <c r="A587" s="830" t="s">
        <v>4355</v>
      </c>
      <c r="B587" s="831" t="s">
        <v>4356</v>
      </c>
      <c r="C587" s="775">
        <f>(SUMIF(Avaliação!$K:$K,A587,Avaliação!$J:$J))+(SUMIF(Avaliação!$O:$O,A587,Avaliação!$N:$N))+(SUMIF(Avaliação!$S:$S,A587,Avaliação!$R:$R))</f>
        <v>1</v>
      </c>
      <c r="D587" s="832">
        <f>(SUMIF(Avaliação!$AA:$AA,A587,Avaliação!$Z:$Z))+(SUMIF(Avaliação!$AD:$AD,A587,Avaliação!$AC:$AC))+(SUMIF(Avaliação!$AG:$AG,A587,Avaliação!$AF:$AF))</f>
        <v>0</v>
      </c>
    </row>
    <row r="588" spans="1:4">
      <c r="A588" s="157" t="s">
        <v>4357</v>
      </c>
      <c r="B588" s="195" t="s">
        <v>4358</v>
      </c>
      <c r="C588" s="775">
        <f>(SUMIF(Avaliação!$K:$K,A588,Avaliação!$J:$J))+(SUMIF(Avaliação!$O:$O,A588,Avaliação!$N:$N))+(SUMIF(Avaliação!$S:$S,A588,Avaliação!$R:$R))</f>
        <v>0</v>
      </c>
      <c r="D588" s="775">
        <f>(SUMIF(Avaliação!$AA:$AA,A588,Avaliação!$Z:$Z))+(SUMIF(Avaliação!$AD:$AD,A588,Avaliação!$AC:$AC))+(SUMIF(Avaliação!$AG:$AG,A588,Avaliação!$AF:$AF))</f>
        <v>0</v>
      </c>
    </row>
    <row r="589" spans="1:4">
      <c r="A589" s="157" t="s">
        <v>4359</v>
      </c>
      <c r="B589" s="195" t="s">
        <v>4360</v>
      </c>
      <c r="C589" s="775">
        <f>(SUMIF(Avaliação!$K:$K,A589,Avaliação!$J:$J))+(SUMIF(Avaliação!$O:$O,A589,Avaliação!$N:$N))+(SUMIF(Avaliação!$S:$S,A589,Avaliação!$R:$R))</f>
        <v>0</v>
      </c>
      <c r="D589" s="775">
        <f>(SUMIF(Avaliação!$AA:$AA,A589,Avaliação!$Z:$Z))+(SUMIF(Avaliação!$AD:$AD,A589,Avaliação!$AC:$AC))+(SUMIF(Avaliação!$AG:$AG,A589,Avaliação!$AF:$AF))</f>
        <v>0</v>
      </c>
    </row>
    <row r="590" spans="1:4">
      <c r="A590" s="830" t="s">
        <v>4361</v>
      </c>
      <c r="B590" s="831" t="s">
        <v>4362</v>
      </c>
      <c r="C590" s="775">
        <f>(SUMIF(Avaliação!$K:$K,A590,Avaliação!$J:$J))+(SUMIF(Avaliação!$O:$O,A590,Avaliação!$N:$N))+(SUMIF(Avaliação!$S:$S,A590,Avaliação!$R:$R))</f>
        <v>1</v>
      </c>
      <c r="D590" s="832">
        <f>(SUMIF(Avaliação!$AA:$AA,A590,Avaliação!$Z:$Z))+(SUMIF(Avaliação!$AD:$AD,A590,Avaliação!$AC:$AC))+(SUMIF(Avaliação!$AG:$AG,A590,Avaliação!$AF:$AF))</f>
        <v>0</v>
      </c>
    </row>
    <row r="591" spans="1:4">
      <c r="A591" s="157" t="s">
        <v>4363</v>
      </c>
      <c r="B591" s="195" t="s">
        <v>4364</v>
      </c>
      <c r="C591" s="775">
        <f>(SUMIF(Avaliação!$K:$K,A591,Avaliação!$J:$J))+(SUMIF(Avaliação!$O:$O,A591,Avaliação!$N:$N))+(SUMIF(Avaliação!$S:$S,A591,Avaliação!$R:$R))</f>
        <v>0</v>
      </c>
      <c r="D591" s="775">
        <f>(SUMIF(Avaliação!$AA:$AA,A591,Avaliação!$Z:$Z))+(SUMIF(Avaliação!$AD:$AD,A591,Avaliação!$AC:$AC))+(SUMIF(Avaliação!$AG:$AG,A591,Avaliação!$AF:$AF))</f>
        <v>0</v>
      </c>
    </row>
    <row r="592" spans="1:4">
      <c r="A592" s="830" t="s">
        <v>4365</v>
      </c>
      <c r="B592" s="831" t="s">
        <v>4366</v>
      </c>
      <c r="C592" s="775">
        <f>(SUMIF(Avaliação!$K:$K,A592,Avaliação!$J:$J))+(SUMIF(Avaliação!$O:$O,A592,Avaliação!$N:$N))+(SUMIF(Avaliação!$S:$S,A592,Avaliação!$R:$R))</f>
        <v>2</v>
      </c>
      <c r="D592" s="832">
        <f>(SUMIF(Avaliação!$AA:$AA,A592,Avaliação!$Z:$Z))+(SUMIF(Avaliação!$AD:$AD,A592,Avaliação!$AC:$AC))+(SUMIF(Avaliação!$AG:$AG,A592,Avaliação!$AF:$AF))</f>
        <v>0</v>
      </c>
    </row>
    <row r="593" spans="1:4">
      <c r="A593" s="157" t="s">
        <v>4367</v>
      </c>
      <c r="B593" s="195" t="s">
        <v>4368</v>
      </c>
      <c r="C593" s="775">
        <f>(SUMIF(Avaliação!$K:$K,A593,Avaliação!$J:$J))+(SUMIF(Avaliação!$O:$O,A593,Avaliação!$N:$N))+(SUMIF(Avaliação!$S:$S,A593,Avaliação!$R:$R))</f>
        <v>0</v>
      </c>
      <c r="D593" s="775">
        <f>(SUMIF(Avaliação!$AA:$AA,A593,Avaliação!$Z:$Z))+(SUMIF(Avaliação!$AD:$AD,A593,Avaliação!$AC:$AC))+(SUMIF(Avaliação!$AG:$AG,A593,Avaliação!$AF:$AF))</f>
        <v>0</v>
      </c>
    </row>
    <row r="594" spans="1:4">
      <c r="A594" s="830" t="s">
        <v>4369</v>
      </c>
      <c r="B594" s="831" t="s">
        <v>4370</v>
      </c>
      <c r="C594" s="775">
        <f>(SUMIF(Avaliação!$K:$K,A594,Avaliação!$J:$J))+(SUMIF(Avaliação!$O:$O,A594,Avaliação!$N:$N))+(SUMIF(Avaliação!$S:$S,A594,Avaliação!$R:$R))</f>
        <v>3</v>
      </c>
      <c r="D594" s="832">
        <f>(SUMIF(Avaliação!$AA:$AA,A594,Avaliação!$Z:$Z))+(SUMIF(Avaliação!$AD:$AD,A594,Avaliação!$AC:$AC))+(SUMIF(Avaliação!$AG:$AG,A594,Avaliação!$AF:$AF))</f>
        <v>0</v>
      </c>
    </row>
    <row r="595" spans="1:4">
      <c r="A595" s="157" t="s">
        <v>4371</v>
      </c>
      <c r="B595" s="195" t="s">
        <v>4372</v>
      </c>
      <c r="C595" s="775">
        <f>(SUMIF(Avaliação!$K:$K,A595,Avaliação!$J:$J))+(SUMIF(Avaliação!$O:$O,A595,Avaliação!$N:$N))+(SUMIF(Avaliação!$S:$S,A595,Avaliação!$R:$R))</f>
        <v>0</v>
      </c>
      <c r="D595" s="775">
        <f>(SUMIF(Avaliação!$AA:$AA,A595,Avaliação!$Z:$Z))+(SUMIF(Avaliação!$AD:$AD,A595,Avaliação!$AC:$AC))+(SUMIF(Avaliação!$AG:$AG,A595,Avaliação!$AF:$AF))</f>
        <v>0</v>
      </c>
    </row>
    <row r="596" spans="1:4">
      <c r="A596" s="830" t="s">
        <v>4373</v>
      </c>
      <c r="B596" s="831" t="s">
        <v>4374</v>
      </c>
      <c r="C596" s="775">
        <f>(SUMIF(Avaliação!$K:$K,A596,Avaliação!$J:$J))+(SUMIF(Avaliação!$O:$O,A596,Avaliação!$N:$N))+(SUMIF(Avaliação!$S:$S,A596,Avaliação!$R:$R))</f>
        <v>8</v>
      </c>
      <c r="D596" s="832">
        <f>(SUMIF(Avaliação!$AA:$AA,A596,Avaliação!$Z:$Z))+(SUMIF(Avaliação!$AD:$AD,A596,Avaliação!$AC:$AC))+(SUMIF(Avaliação!$AG:$AG,A596,Avaliação!$AF:$AF))</f>
        <v>0</v>
      </c>
    </row>
    <row r="597" spans="1:4">
      <c r="A597" s="157" t="s">
        <v>4375</v>
      </c>
      <c r="B597" s="195" t="s">
        <v>4376</v>
      </c>
      <c r="C597" s="775">
        <f>(SUMIF(Avaliação!$K:$K,A597,Avaliação!$J:$J))+(SUMIF(Avaliação!$O:$O,A597,Avaliação!$N:$N))+(SUMIF(Avaliação!$S:$S,A597,Avaliação!$R:$R))</f>
        <v>0</v>
      </c>
      <c r="D597" s="775">
        <f>(SUMIF(Avaliação!$AA:$AA,A597,Avaliação!$Z:$Z))+(SUMIF(Avaliação!$AD:$AD,A597,Avaliação!$AC:$AC))+(SUMIF(Avaliação!$AG:$AG,A597,Avaliação!$AF:$AF))</f>
        <v>0</v>
      </c>
    </row>
    <row r="598" spans="1:4">
      <c r="A598" s="157" t="s">
        <v>4377</v>
      </c>
      <c r="B598" s="195" t="s">
        <v>4378</v>
      </c>
      <c r="C598" s="775">
        <f>(SUMIF(Avaliação!$K:$K,A598,Avaliação!$J:$J))+(SUMIF(Avaliação!$O:$O,A598,Avaliação!$N:$N))+(SUMIF(Avaliação!$S:$S,A598,Avaliação!$R:$R))</f>
        <v>0</v>
      </c>
      <c r="D598" s="775">
        <f>(SUMIF(Avaliação!$AA:$AA,A598,Avaliação!$Z:$Z))+(SUMIF(Avaliação!$AD:$AD,A598,Avaliação!$AC:$AC))+(SUMIF(Avaliação!$AG:$AG,A598,Avaliação!$AF:$AF))</f>
        <v>0</v>
      </c>
    </row>
    <row r="599" spans="1:4">
      <c r="A599" s="157" t="s">
        <v>4379</v>
      </c>
      <c r="B599" s="195" t="s">
        <v>4380</v>
      </c>
      <c r="C599" s="775">
        <f>(SUMIF(Avaliação!$K:$K,A599,Avaliação!$J:$J))+(SUMIF(Avaliação!$O:$O,A599,Avaliação!$N:$N))+(SUMIF(Avaliação!$S:$S,A599,Avaliação!$R:$R))</f>
        <v>0</v>
      </c>
      <c r="D599" s="775">
        <f>(SUMIF(Avaliação!$AA:$AA,A599,Avaliação!$Z:$Z))+(SUMIF(Avaliação!$AD:$AD,A599,Avaliação!$AC:$AC))+(SUMIF(Avaliação!$AG:$AG,A599,Avaliação!$AF:$AF))</f>
        <v>0</v>
      </c>
    </row>
    <row r="600" spans="1:4">
      <c r="A600" s="157" t="s">
        <v>4381</v>
      </c>
      <c r="B600" s="195" t="s">
        <v>4382</v>
      </c>
      <c r="C600" s="775">
        <f>(SUMIF(Avaliação!$K:$K,A600,Avaliação!$J:$J))+(SUMIF(Avaliação!$O:$O,A600,Avaliação!$N:$N))+(SUMIF(Avaliação!$S:$S,A600,Avaliação!$R:$R))</f>
        <v>0</v>
      </c>
      <c r="D600" s="775">
        <f>(SUMIF(Avaliação!$AA:$AA,A600,Avaliação!$Z:$Z))+(SUMIF(Avaliação!$AD:$AD,A600,Avaliação!$AC:$AC))+(SUMIF(Avaliação!$AG:$AG,A600,Avaliação!$AF:$AF))</f>
        <v>0</v>
      </c>
    </row>
    <row r="601" spans="1:4">
      <c r="A601" s="157" t="s">
        <v>4383</v>
      </c>
      <c r="B601" s="195" t="s">
        <v>4384</v>
      </c>
      <c r="C601" s="775">
        <f>(SUMIF(Avaliação!$K:$K,A601,Avaliação!$J:$J))+(SUMIF(Avaliação!$O:$O,A601,Avaliação!$N:$N))+(SUMIF(Avaliação!$S:$S,A601,Avaliação!$R:$R))</f>
        <v>0</v>
      </c>
      <c r="D601" s="775">
        <f>(SUMIF(Avaliação!$AA:$AA,A601,Avaliação!$Z:$Z))+(SUMIF(Avaliação!$AD:$AD,A601,Avaliação!$AC:$AC))+(SUMIF(Avaliação!$AG:$AG,A601,Avaliação!$AF:$AF))</f>
        <v>0</v>
      </c>
    </row>
    <row r="602" spans="1:4">
      <c r="A602" s="157" t="s">
        <v>4385</v>
      </c>
      <c r="B602" s="195" t="s">
        <v>4386</v>
      </c>
      <c r="C602" s="775">
        <f>(SUMIF(Avaliação!$K:$K,A602,Avaliação!$J:$J))+(SUMIF(Avaliação!$O:$O,A602,Avaliação!$N:$N))+(SUMIF(Avaliação!$S:$S,A602,Avaliação!$R:$R))</f>
        <v>0</v>
      </c>
      <c r="D602" s="775">
        <f>(SUMIF(Avaliação!$AA:$AA,A602,Avaliação!$Z:$Z))+(SUMIF(Avaliação!$AD:$AD,A602,Avaliação!$AC:$AC))+(SUMIF(Avaliação!$AG:$AG,A602,Avaliação!$AF:$AF))</f>
        <v>0</v>
      </c>
    </row>
    <row r="603" spans="1:4">
      <c r="A603" s="157" t="s">
        <v>4387</v>
      </c>
      <c r="B603" s="195" t="s">
        <v>4388</v>
      </c>
      <c r="C603" s="775">
        <f>(SUMIF(Avaliação!$K:$K,A603,Avaliação!$J:$J))+(SUMIF(Avaliação!$O:$O,A603,Avaliação!$N:$N))+(SUMIF(Avaliação!$S:$S,A603,Avaliação!$R:$R))</f>
        <v>0</v>
      </c>
      <c r="D603" s="775">
        <f>(SUMIF(Avaliação!$AA:$AA,A603,Avaliação!$Z:$Z))+(SUMIF(Avaliação!$AD:$AD,A603,Avaliação!$AC:$AC))+(SUMIF(Avaliação!$AG:$AG,A603,Avaliação!$AF:$AF))</f>
        <v>0</v>
      </c>
    </row>
    <row r="604" spans="1:4">
      <c r="A604" s="157" t="s">
        <v>4389</v>
      </c>
      <c r="B604" s="195" t="s">
        <v>4390</v>
      </c>
      <c r="C604" s="775">
        <f>(SUMIF(Avaliação!$K:$K,A604,Avaliação!$J:$J))+(SUMIF(Avaliação!$O:$O,A604,Avaliação!$N:$N))+(SUMIF(Avaliação!$S:$S,A604,Avaliação!$R:$R))</f>
        <v>0</v>
      </c>
      <c r="D604" s="775">
        <f>(SUMIF(Avaliação!$AA:$AA,A604,Avaliação!$Z:$Z))+(SUMIF(Avaliação!$AD:$AD,A604,Avaliação!$AC:$AC))+(SUMIF(Avaliação!$AG:$AG,A604,Avaliação!$AF:$AF))</f>
        <v>0</v>
      </c>
    </row>
    <row r="605" spans="1:4">
      <c r="A605" s="157" t="s">
        <v>4391</v>
      </c>
      <c r="B605" s="195" t="s">
        <v>4392</v>
      </c>
      <c r="C605" s="775">
        <f>(SUMIF(Avaliação!$K:$K,A605,Avaliação!$J:$J))+(SUMIF(Avaliação!$O:$O,A605,Avaliação!$N:$N))+(SUMIF(Avaliação!$S:$S,A605,Avaliação!$R:$R))</f>
        <v>0</v>
      </c>
      <c r="D605" s="775">
        <f>(SUMIF(Avaliação!$AA:$AA,A605,Avaliação!$Z:$Z))+(SUMIF(Avaliação!$AD:$AD,A605,Avaliação!$AC:$AC))+(SUMIF(Avaliação!$AG:$AG,A605,Avaliação!$AF:$AF))</f>
        <v>0</v>
      </c>
    </row>
    <row r="606" spans="1:4">
      <c r="A606" s="157" t="s">
        <v>4393</v>
      </c>
      <c r="B606" s="195" t="s">
        <v>4394</v>
      </c>
      <c r="C606" s="775">
        <f>(SUMIF(Avaliação!$K:$K,A606,Avaliação!$J:$J))+(SUMIF(Avaliação!$O:$O,A606,Avaliação!$N:$N))+(SUMIF(Avaliação!$S:$S,A606,Avaliação!$R:$R))</f>
        <v>0</v>
      </c>
      <c r="D606" s="775">
        <f>(SUMIF(Avaliação!$AA:$AA,A606,Avaliação!$Z:$Z))+(SUMIF(Avaliação!$AD:$AD,A606,Avaliação!$AC:$AC))+(SUMIF(Avaliação!$AG:$AG,A606,Avaliação!$AF:$AF))</f>
        <v>0</v>
      </c>
    </row>
    <row r="607" spans="1:4">
      <c r="A607" s="157" t="s">
        <v>4395</v>
      </c>
      <c r="B607" s="195" t="s">
        <v>4396</v>
      </c>
      <c r="C607" s="775">
        <f>(SUMIF(Avaliação!$K:$K,A607,Avaliação!$J:$J))+(SUMIF(Avaliação!$O:$O,A607,Avaliação!$N:$N))+(SUMIF(Avaliação!$S:$S,A607,Avaliação!$R:$R))</f>
        <v>0</v>
      </c>
      <c r="D607" s="775">
        <f>(SUMIF(Avaliação!$AA:$AA,A607,Avaliação!$Z:$Z))+(SUMIF(Avaliação!$AD:$AD,A607,Avaliação!$AC:$AC))+(SUMIF(Avaliação!$AG:$AG,A607,Avaliação!$AF:$AF))</f>
        <v>0</v>
      </c>
    </row>
    <row r="608" spans="1:4">
      <c r="A608" s="157" t="s">
        <v>4397</v>
      </c>
      <c r="B608" s="195" t="s">
        <v>4398</v>
      </c>
      <c r="C608" s="775">
        <f>(SUMIF(Avaliação!$K:$K,A608,Avaliação!$J:$J))+(SUMIF(Avaliação!$O:$O,A608,Avaliação!$N:$N))+(SUMIF(Avaliação!$S:$S,A608,Avaliação!$R:$R))</f>
        <v>0</v>
      </c>
      <c r="D608" s="775">
        <f>(SUMIF(Avaliação!$AA:$AA,A608,Avaliação!$Z:$Z))+(SUMIF(Avaliação!$AD:$AD,A608,Avaliação!$AC:$AC))+(SUMIF(Avaliação!$AG:$AG,A608,Avaliação!$AF:$AF))</f>
        <v>0</v>
      </c>
    </row>
    <row r="609" spans="1:4">
      <c r="A609" s="157" t="s">
        <v>4399</v>
      </c>
      <c r="B609" s="195" t="s">
        <v>4400</v>
      </c>
      <c r="C609" s="775">
        <f>(SUMIF(Avaliação!$K:$K,A609,Avaliação!$J:$J))+(SUMIF(Avaliação!$O:$O,A609,Avaliação!$N:$N))+(SUMIF(Avaliação!$S:$S,A609,Avaliação!$R:$R))</f>
        <v>0</v>
      </c>
      <c r="D609" s="775">
        <f>(SUMIF(Avaliação!$AA:$AA,A609,Avaliação!$Z:$Z))+(SUMIF(Avaliação!$AD:$AD,A609,Avaliação!$AC:$AC))+(SUMIF(Avaliação!$AG:$AG,A609,Avaliação!$AF:$AF))</f>
        <v>0</v>
      </c>
    </row>
    <row r="610" spans="1:4">
      <c r="A610" s="157" t="s">
        <v>4401</v>
      </c>
      <c r="B610" s="195" t="s">
        <v>4402</v>
      </c>
      <c r="C610" s="775">
        <f>(SUMIF(Avaliação!$K:$K,A610,Avaliação!$J:$J))+(SUMIF(Avaliação!$O:$O,A610,Avaliação!$N:$N))+(SUMIF(Avaliação!$S:$S,A610,Avaliação!$R:$R))</f>
        <v>0</v>
      </c>
      <c r="D610" s="775">
        <f>(SUMIF(Avaliação!$AA:$AA,A610,Avaliação!$Z:$Z))+(SUMIF(Avaliação!$AD:$AD,A610,Avaliação!$AC:$AC))+(SUMIF(Avaliação!$AG:$AG,A610,Avaliação!$AF:$AF))</f>
        <v>0</v>
      </c>
    </row>
    <row r="611" spans="1:4">
      <c r="A611" s="157" t="s">
        <v>4403</v>
      </c>
      <c r="B611" s="195" t="s">
        <v>4404</v>
      </c>
      <c r="C611" s="775">
        <f>(SUMIF(Avaliação!$K:$K,A611,Avaliação!$J:$J))+(SUMIF(Avaliação!$O:$O,A611,Avaliação!$N:$N))+(SUMIF(Avaliação!$S:$S,A611,Avaliação!$R:$R))</f>
        <v>0</v>
      </c>
      <c r="D611" s="775">
        <f>(SUMIF(Avaliação!$AA:$AA,A611,Avaliação!$Z:$Z))+(SUMIF(Avaliação!$AD:$AD,A611,Avaliação!$AC:$AC))+(SUMIF(Avaliação!$AG:$AG,A611,Avaliação!$AF:$AF))</f>
        <v>0</v>
      </c>
    </row>
    <row r="612" spans="1:4">
      <c r="A612" s="157" t="s">
        <v>4405</v>
      </c>
      <c r="B612" s="195" t="s">
        <v>4406</v>
      </c>
      <c r="C612" s="775">
        <f>(SUMIF(Avaliação!$K:$K,A612,Avaliação!$J:$J))+(SUMIF(Avaliação!$O:$O,A612,Avaliação!$N:$N))+(SUMIF(Avaliação!$S:$S,A612,Avaliação!$R:$R))</f>
        <v>0</v>
      </c>
      <c r="D612" s="775">
        <f>(SUMIF(Avaliação!$AA:$AA,A612,Avaliação!$Z:$Z))+(SUMIF(Avaliação!$AD:$AD,A612,Avaliação!$AC:$AC))+(SUMIF(Avaliação!$AG:$AG,A612,Avaliação!$AF:$AF))</f>
        <v>0</v>
      </c>
    </row>
    <row r="613" spans="1:4">
      <c r="A613" s="157" t="s">
        <v>4407</v>
      </c>
      <c r="B613" s="195" t="s">
        <v>4408</v>
      </c>
      <c r="C613" s="775">
        <f>(SUMIF(Avaliação!$K:$K,A613,Avaliação!$J:$J))+(SUMIF(Avaliação!$O:$O,A613,Avaliação!$N:$N))+(SUMIF(Avaliação!$S:$S,A613,Avaliação!$R:$R))</f>
        <v>0</v>
      </c>
      <c r="D613" s="775">
        <f>(SUMIF(Avaliação!$AA:$AA,A613,Avaliação!$Z:$Z))+(SUMIF(Avaliação!$AD:$AD,A613,Avaliação!$AC:$AC))+(SUMIF(Avaliação!$AG:$AG,A613,Avaliação!$AF:$AF))</f>
        <v>0</v>
      </c>
    </row>
    <row r="614" spans="1:4">
      <c r="A614" s="157" t="s">
        <v>4409</v>
      </c>
      <c r="B614" s="195" t="s">
        <v>4410</v>
      </c>
      <c r="C614" s="775">
        <f>(SUMIF(Avaliação!$K:$K,A614,Avaliação!$J:$J))+(SUMIF(Avaliação!$O:$O,A614,Avaliação!$N:$N))+(SUMIF(Avaliação!$S:$S,A614,Avaliação!$R:$R))</f>
        <v>0</v>
      </c>
      <c r="D614" s="775">
        <f>(SUMIF(Avaliação!$AA:$AA,A614,Avaliação!$Z:$Z))+(SUMIF(Avaliação!$AD:$AD,A614,Avaliação!$AC:$AC))+(SUMIF(Avaliação!$AG:$AG,A614,Avaliação!$AF:$AF))</f>
        <v>0</v>
      </c>
    </row>
    <row r="615" spans="1:4">
      <c r="A615" s="157" t="s">
        <v>4411</v>
      </c>
      <c r="B615" s="195" t="s">
        <v>4412</v>
      </c>
      <c r="C615" s="775">
        <f>(SUMIF(Avaliação!$K:$K,A615,Avaliação!$J:$J))+(SUMIF(Avaliação!$O:$O,A615,Avaliação!$N:$N))+(SUMIF(Avaliação!$S:$S,A615,Avaliação!$R:$R))</f>
        <v>0</v>
      </c>
      <c r="D615" s="775">
        <f>(SUMIF(Avaliação!$AA:$AA,A615,Avaliação!$Z:$Z))+(SUMIF(Avaliação!$AD:$AD,A615,Avaliação!$AC:$AC))+(SUMIF(Avaliação!$AG:$AG,A615,Avaliação!$AF:$AF))</f>
        <v>0</v>
      </c>
    </row>
    <row r="616" spans="1:4">
      <c r="A616" s="157" t="s">
        <v>4413</v>
      </c>
      <c r="B616" s="195" t="s">
        <v>4414</v>
      </c>
      <c r="C616" s="775">
        <f>(SUMIF(Avaliação!$K:$K,A616,Avaliação!$J:$J))+(SUMIF(Avaliação!$O:$O,A616,Avaliação!$N:$N))+(SUMIF(Avaliação!$S:$S,A616,Avaliação!$R:$R))</f>
        <v>0</v>
      </c>
      <c r="D616" s="775">
        <f>(SUMIF(Avaliação!$AA:$AA,A616,Avaliação!$Z:$Z))+(SUMIF(Avaliação!$AD:$AD,A616,Avaliação!$AC:$AC))+(SUMIF(Avaliação!$AG:$AG,A616,Avaliação!$AF:$AF))</f>
        <v>0</v>
      </c>
    </row>
    <row r="617" spans="1:4">
      <c r="A617" s="157" t="s">
        <v>4415</v>
      </c>
      <c r="B617" s="195" t="s">
        <v>4416</v>
      </c>
      <c r="C617" s="775">
        <f>(SUMIF(Avaliação!$K:$K,A617,Avaliação!$J:$J))+(SUMIF(Avaliação!$O:$O,A617,Avaliação!$N:$N))+(SUMIF(Avaliação!$S:$S,A617,Avaliação!$R:$R))</f>
        <v>0</v>
      </c>
      <c r="D617" s="775">
        <f>(SUMIF(Avaliação!$AA:$AA,A617,Avaliação!$Z:$Z))+(SUMIF(Avaliação!$AD:$AD,A617,Avaliação!$AC:$AC))+(SUMIF(Avaliação!$AG:$AG,A617,Avaliação!$AF:$AF))</f>
        <v>0</v>
      </c>
    </row>
    <row r="618" spans="1:4">
      <c r="A618" s="157" t="s">
        <v>4417</v>
      </c>
      <c r="B618" s="195" t="s">
        <v>4418</v>
      </c>
      <c r="C618" s="775">
        <f>(SUMIF(Avaliação!$K:$K,A618,Avaliação!$J:$J))+(SUMIF(Avaliação!$O:$O,A618,Avaliação!$N:$N))+(SUMIF(Avaliação!$S:$S,A618,Avaliação!$R:$R))</f>
        <v>0</v>
      </c>
      <c r="D618" s="775">
        <f>(SUMIF(Avaliação!$AA:$AA,A618,Avaliação!$Z:$Z))+(SUMIF(Avaliação!$AD:$AD,A618,Avaliação!$AC:$AC))+(SUMIF(Avaliação!$AG:$AG,A618,Avaliação!$AF:$AF))</f>
        <v>0</v>
      </c>
    </row>
    <row r="619" spans="1:4">
      <c r="A619" s="157" t="s">
        <v>4419</v>
      </c>
      <c r="B619" s="195" t="s">
        <v>4420</v>
      </c>
      <c r="C619" s="775">
        <f>(SUMIF(Avaliação!$K:$K,A619,Avaliação!$J:$J))+(SUMIF(Avaliação!$O:$O,A619,Avaliação!$N:$N))+(SUMIF(Avaliação!$S:$S,A619,Avaliação!$R:$R))</f>
        <v>0</v>
      </c>
      <c r="D619" s="775">
        <f>(SUMIF(Avaliação!$AA:$AA,A619,Avaliação!$Z:$Z))+(SUMIF(Avaliação!$AD:$AD,A619,Avaliação!$AC:$AC))+(SUMIF(Avaliação!$AG:$AG,A619,Avaliação!$AF:$AF))</f>
        <v>0</v>
      </c>
    </row>
    <row r="620" spans="1:4">
      <c r="A620" s="157" t="s">
        <v>4421</v>
      </c>
      <c r="B620" s="195" t="s">
        <v>4422</v>
      </c>
      <c r="C620" s="775">
        <f>(SUMIF(Avaliação!$K:$K,A620,Avaliação!$J:$J))+(SUMIF(Avaliação!$O:$O,A620,Avaliação!$N:$N))+(SUMIF(Avaliação!$S:$S,A620,Avaliação!$R:$R))</f>
        <v>0</v>
      </c>
      <c r="D620" s="775">
        <f>(SUMIF(Avaliação!$AA:$AA,A620,Avaliação!$Z:$Z))+(SUMIF(Avaliação!$AD:$AD,A620,Avaliação!$AC:$AC))+(SUMIF(Avaliação!$AG:$AG,A620,Avaliação!$AF:$AF))</f>
        <v>0</v>
      </c>
    </row>
    <row r="621" spans="1:4">
      <c r="A621" s="157" t="s">
        <v>4423</v>
      </c>
      <c r="B621" s="195" t="s">
        <v>4424</v>
      </c>
      <c r="C621" s="775">
        <f>(SUMIF(Avaliação!$K:$K,A621,Avaliação!$J:$J))+(SUMIF(Avaliação!$O:$O,A621,Avaliação!$N:$N))+(SUMIF(Avaliação!$S:$S,A621,Avaliação!$R:$R))</f>
        <v>0</v>
      </c>
      <c r="D621" s="775">
        <f>(SUMIF(Avaliação!$AA:$AA,A621,Avaliação!$Z:$Z))+(SUMIF(Avaliação!$AD:$AD,A621,Avaliação!$AC:$AC))+(SUMIF(Avaliação!$AG:$AG,A621,Avaliação!$AF:$AF))</f>
        <v>0</v>
      </c>
    </row>
    <row r="622" spans="1:4">
      <c r="A622" s="157" t="s">
        <v>4425</v>
      </c>
      <c r="B622" s="195" t="s">
        <v>4426</v>
      </c>
      <c r="C622" s="775">
        <f>(SUMIF(Avaliação!$K:$K,A622,Avaliação!$J:$J))+(SUMIF(Avaliação!$O:$O,A622,Avaliação!$N:$N))+(SUMIF(Avaliação!$S:$S,A622,Avaliação!$R:$R))</f>
        <v>0</v>
      </c>
      <c r="D622" s="775">
        <f>(SUMIF(Avaliação!$AA:$AA,A622,Avaliação!$Z:$Z))+(SUMIF(Avaliação!$AD:$AD,A622,Avaliação!$AC:$AC))+(SUMIF(Avaliação!$AG:$AG,A622,Avaliação!$AF:$AF))</f>
        <v>0</v>
      </c>
    </row>
    <row r="623" spans="1:4">
      <c r="A623" s="157" t="s">
        <v>4427</v>
      </c>
      <c r="B623" s="195" t="s">
        <v>4428</v>
      </c>
      <c r="C623" s="775">
        <f>(SUMIF(Avaliação!$K:$K,A623,Avaliação!$J:$J))+(SUMIF(Avaliação!$O:$O,A623,Avaliação!$N:$N))+(SUMIF(Avaliação!$S:$S,A623,Avaliação!$R:$R))</f>
        <v>0</v>
      </c>
      <c r="D623" s="775">
        <f>(SUMIF(Avaliação!$AA:$AA,A623,Avaliação!$Z:$Z))+(SUMIF(Avaliação!$AD:$AD,A623,Avaliação!$AC:$AC))+(SUMIF(Avaliação!$AG:$AG,A623,Avaliação!$AF:$AF))</f>
        <v>0</v>
      </c>
    </row>
    <row r="624" spans="1:4">
      <c r="A624" s="157" t="s">
        <v>4429</v>
      </c>
      <c r="B624" s="195" t="s">
        <v>4430</v>
      </c>
      <c r="C624" s="775">
        <f>(SUMIF(Avaliação!$K:$K,A624,Avaliação!$J:$J))+(SUMIF(Avaliação!$O:$O,A624,Avaliação!$N:$N))+(SUMIF(Avaliação!$S:$S,A624,Avaliação!$R:$R))</f>
        <v>0</v>
      </c>
      <c r="D624" s="775">
        <f>(SUMIF(Avaliação!$AA:$AA,A624,Avaliação!$Z:$Z))+(SUMIF(Avaliação!$AD:$AD,A624,Avaliação!$AC:$AC))+(SUMIF(Avaliação!$AG:$AG,A624,Avaliação!$AF:$AF))</f>
        <v>0</v>
      </c>
    </row>
    <row r="625" spans="1:4">
      <c r="A625" s="157" t="s">
        <v>4431</v>
      </c>
      <c r="B625" s="195" t="s">
        <v>4432</v>
      </c>
      <c r="C625" s="775">
        <f>(SUMIF(Avaliação!$K:$K,A625,Avaliação!$J:$J))+(SUMIF(Avaliação!$O:$O,A625,Avaliação!$N:$N))+(SUMIF(Avaliação!$S:$S,A625,Avaliação!$R:$R))</f>
        <v>0</v>
      </c>
      <c r="D625" s="775">
        <f>(SUMIF(Avaliação!$AA:$AA,A625,Avaliação!$Z:$Z))+(SUMIF(Avaliação!$AD:$AD,A625,Avaliação!$AC:$AC))+(SUMIF(Avaliação!$AG:$AG,A625,Avaliação!$AF:$AF))</f>
        <v>0</v>
      </c>
    </row>
    <row r="626" spans="1:4">
      <c r="A626" s="157" t="s">
        <v>4433</v>
      </c>
      <c r="B626" s="195" t="s">
        <v>4434</v>
      </c>
      <c r="C626" s="775">
        <f>(SUMIF(Avaliação!$K:$K,A626,Avaliação!$J:$J))+(SUMIF(Avaliação!$O:$O,A626,Avaliação!$N:$N))+(SUMIF(Avaliação!$S:$S,A626,Avaliação!$R:$R))</f>
        <v>0</v>
      </c>
      <c r="D626" s="775">
        <f>(SUMIF(Avaliação!$AA:$AA,A626,Avaliação!$Z:$Z))+(SUMIF(Avaliação!$AD:$AD,A626,Avaliação!$AC:$AC))+(SUMIF(Avaliação!$AG:$AG,A626,Avaliação!$AF:$AF))</f>
        <v>0</v>
      </c>
    </row>
    <row r="627" spans="1:4">
      <c r="A627" s="157" t="s">
        <v>4435</v>
      </c>
      <c r="B627" s="195" t="s">
        <v>4436</v>
      </c>
      <c r="C627" s="775">
        <f>(SUMIF(Avaliação!$K:$K,A627,Avaliação!$J:$J))+(SUMIF(Avaliação!$O:$O,A627,Avaliação!$N:$N))+(SUMIF(Avaliação!$S:$S,A627,Avaliação!$R:$R))</f>
        <v>0</v>
      </c>
      <c r="D627" s="775">
        <f>(SUMIF(Avaliação!$AA:$AA,A627,Avaliação!$Z:$Z))+(SUMIF(Avaliação!$AD:$AD,A627,Avaliação!$AC:$AC))+(SUMIF(Avaliação!$AG:$AG,A627,Avaliação!$AF:$AF))</f>
        <v>0</v>
      </c>
    </row>
    <row r="628" spans="1:4">
      <c r="A628" s="845" t="s">
        <v>4437</v>
      </c>
      <c r="B628" s="846" t="s">
        <v>4438</v>
      </c>
      <c r="C628" s="775">
        <f>(SUMIF(Avaliação!$K:$K,A628,Avaliação!$J:$J))+(SUMIF(Avaliação!$O:$O,A628,Avaliação!$N:$N))+(SUMIF(Avaliação!$S:$S,A628,Avaliação!$R:$R))</f>
        <v>3</v>
      </c>
      <c r="D628" s="847">
        <f>(SUMIF(Avaliação!$AA:$AA,A628,Avaliação!$Z:$Z))+(SUMIF(Avaliação!$AD:$AD,A628,Avaliação!$AC:$AC))+(SUMIF(Avaliação!$AG:$AG,A628,Avaliação!$AF:$AF))</f>
        <v>0</v>
      </c>
    </row>
    <row r="629" spans="1:4">
      <c r="A629" s="157" t="s">
        <v>4439</v>
      </c>
      <c r="B629" s="195" t="s">
        <v>4440</v>
      </c>
      <c r="C629" s="775">
        <f>(SUMIF(Avaliação!$K:$K,A629,Avaliação!$J:$J))+(SUMIF(Avaliação!$O:$O,A629,Avaliação!$N:$N))+(SUMIF(Avaliação!$S:$S,A629,Avaliação!$R:$R))</f>
        <v>0</v>
      </c>
      <c r="D629" s="775">
        <f>(SUMIF(Avaliação!$AA:$AA,A629,Avaliação!$Z:$Z))+(SUMIF(Avaliação!$AD:$AD,A629,Avaliação!$AC:$AC))+(SUMIF(Avaliação!$AG:$AG,A629,Avaliação!$AF:$AF))</f>
        <v>0</v>
      </c>
    </row>
    <row r="630" spans="1:4">
      <c r="A630" s="157" t="s">
        <v>4441</v>
      </c>
      <c r="B630" s="195" t="s">
        <v>4442</v>
      </c>
      <c r="C630" s="775">
        <f>(SUMIF(Avaliação!$K:$K,A630,Avaliação!$J:$J))+(SUMIF(Avaliação!$O:$O,A630,Avaliação!$N:$N))+(SUMIF(Avaliação!$S:$S,A630,Avaliação!$R:$R))</f>
        <v>0</v>
      </c>
      <c r="D630" s="775">
        <f>(SUMIF(Avaliação!$AA:$AA,A630,Avaliação!$Z:$Z))+(SUMIF(Avaliação!$AD:$AD,A630,Avaliação!$AC:$AC))+(SUMIF(Avaliação!$AG:$AG,A630,Avaliação!$AF:$AF))</f>
        <v>0</v>
      </c>
    </row>
    <row r="631" spans="1:4">
      <c r="A631" s="848" t="s">
        <v>4443</v>
      </c>
      <c r="B631" s="849" t="s">
        <v>4444</v>
      </c>
      <c r="C631" s="775">
        <f>(SUMIF(Avaliação!$K:$K,A631,Avaliação!$J:$J))+(SUMIF(Avaliação!$O:$O,A631,Avaliação!$N:$N))+(SUMIF(Avaliação!$S:$S,A631,Avaliação!$R:$R))</f>
        <v>1</v>
      </c>
      <c r="D631" s="850">
        <f>(SUMIF(Avaliação!$AA:$AA,A631,Avaliação!$Z:$Z))+(SUMIF(Avaliação!$AD:$AD,A631,Avaliação!$AC:$AC))+(SUMIF(Avaliação!$AG:$AG,A631,Avaliação!$AF:$AF))</f>
        <v>0</v>
      </c>
    </row>
    <row r="632" spans="1:4">
      <c r="A632" s="157" t="s">
        <v>4445</v>
      </c>
      <c r="B632" s="195" t="s">
        <v>4446</v>
      </c>
      <c r="C632" s="775">
        <f>(SUMIF(Avaliação!$K:$K,A632,Avaliação!$J:$J))+(SUMIF(Avaliação!$O:$O,A632,Avaliação!$N:$N))+(SUMIF(Avaliação!$S:$S,A632,Avaliação!$R:$R))</f>
        <v>0</v>
      </c>
      <c r="D632" s="775">
        <f>(SUMIF(Avaliação!$AA:$AA,A632,Avaliação!$Z:$Z))+(SUMIF(Avaliação!$AD:$AD,A632,Avaliação!$AC:$AC))+(SUMIF(Avaliação!$AG:$AG,A632,Avaliação!$AF:$AF))</f>
        <v>0</v>
      </c>
    </row>
    <row r="633" spans="1:4">
      <c r="A633" s="157" t="s">
        <v>4447</v>
      </c>
      <c r="B633" s="195" t="s">
        <v>4448</v>
      </c>
      <c r="C633" s="775">
        <f>(SUMIF(Avaliação!$K:$K,A633,Avaliação!$J:$J))+(SUMIF(Avaliação!$O:$O,A633,Avaliação!$N:$N))+(SUMIF(Avaliação!$S:$S,A633,Avaliação!$R:$R))</f>
        <v>0</v>
      </c>
      <c r="D633" s="775">
        <f>(SUMIF(Avaliação!$AA:$AA,A633,Avaliação!$Z:$Z))+(SUMIF(Avaliação!$AD:$AD,A633,Avaliação!$AC:$AC))+(SUMIF(Avaliação!$AG:$AG,A633,Avaliação!$AF:$AF))</f>
        <v>0</v>
      </c>
    </row>
    <row r="634" spans="1:4">
      <c r="A634" s="157" t="s">
        <v>4449</v>
      </c>
      <c r="B634" s="195" t="s">
        <v>4450</v>
      </c>
      <c r="C634" s="775">
        <f>(SUMIF(Avaliação!$K:$K,A634,Avaliação!$J:$J))+(SUMIF(Avaliação!$O:$O,A634,Avaliação!$N:$N))+(SUMIF(Avaliação!$S:$S,A634,Avaliação!$R:$R))</f>
        <v>0</v>
      </c>
      <c r="D634" s="775">
        <f>(SUMIF(Avaliação!$AA:$AA,A634,Avaliação!$Z:$Z))+(SUMIF(Avaliação!$AD:$AD,A634,Avaliação!$AC:$AC))+(SUMIF(Avaliação!$AG:$AG,A634,Avaliação!$AF:$AF))</f>
        <v>0</v>
      </c>
    </row>
    <row r="635" spans="1:4">
      <c r="A635" s="157" t="s">
        <v>4451</v>
      </c>
      <c r="B635" s="195" t="s">
        <v>4452</v>
      </c>
      <c r="C635" s="775">
        <f>(SUMIF(Avaliação!$K:$K,A635,Avaliação!$J:$J))+(SUMIF(Avaliação!$O:$O,A635,Avaliação!$N:$N))+(SUMIF(Avaliação!$S:$S,A635,Avaliação!$R:$R))</f>
        <v>0</v>
      </c>
      <c r="D635" s="775">
        <f>(SUMIF(Avaliação!$AA:$AA,A635,Avaliação!$Z:$Z))+(SUMIF(Avaliação!$AD:$AD,A635,Avaliação!$AC:$AC))+(SUMIF(Avaliação!$AG:$AG,A635,Avaliação!$AF:$AF))</f>
        <v>0</v>
      </c>
    </row>
    <row r="636" spans="1:4">
      <c r="A636" s="157" t="s">
        <v>4453</v>
      </c>
      <c r="B636" s="195" t="s">
        <v>4454</v>
      </c>
      <c r="C636" s="775">
        <f>(SUMIF(Avaliação!$K:$K,A636,Avaliação!$J:$J))+(SUMIF(Avaliação!$O:$O,A636,Avaliação!$N:$N))+(SUMIF(Avaliação!$S:$S,A636,Avaliação!$R:$R))</f>
        <v>0</v>
      </c>
      <c r="D636" s="775">
        <f>(SUMIF(Avaliação!$AA:$AA,A636,Avaliação!$Z:$Z))+(SUMIF(Avaliação!$AD:$AD,A636,Avaliação!$AC:$AC))+(SUMIF(Avaliação!$AG:$AG,A636,Avaliação!$AF:$AF))</f>
        <v>0</v>
      </c>
    </row>
    <row r="637" spans="1:4">
      <c r="A637" s="157" t="s">
        <v>4455</v>
      </c>
      <c r="B637" s="195" t="s">
        <v>4456</v>
      </c>
      <c r="C637" s="775">
        <f>(SUMIF(Avaliação!$K:$K,A637,Avaliação!$J:$J))+(SUMIF(Avaliação!$O:$O,A637,Avaliação!$N:$N))+(SUMIF(Avaliação!$S:$S,A637,Avaliação!$R:$R))</f>
        <v>0</v>
      </c>
      <c r="D637" s="775">
        <f>(SUMIF(Avaliação!$AA:$AA,A637,Avaliação!$Z:$Z))+(SUMIF(Avaliação!$AD:$AD,A637,Avaliação!$AC:$AC))+(SUMIF(Avaliação!$AG:$AG,A637,Avaliação!$AF:$AF))</f>
        <v>0</v>
      </c>
    </row>
    <row r="638" spans="1:4">
      <c r="A638" s="157" t="s">
        <v>4457</v>
      </c>
      <c r="B638" s="195" t="s">
        <v>4458</v>
      </c>
      <c r="C638" s="775">
        <f>(SUMIF(Avaliação!$K:$K,A638,Avaliação!$J:$J))+(SUMIF(Avaliação!$O:$O,A638,Avaliação!$N:$N))+(SUMIF(Avaliação!$S:$S,A638,Avaliação!$R:$R))</f>
        <v>0</v>
      </c>
      <c r="D638" s="775">
        <f>(SUMIF(Avaliação!$AA:$AA,A638,Avaliação!$Z:$Z))+(SUMIF(Avaliação!$AD:$AD,A638,Avaliação!$AC:$AC))+(SUMIF(Avaliação!$AG:$AG,A638,Avaliação!$AF:$AF))</f>
        <v>0</v>
      </c>
    </row>
    <row r="639" spans="1:4">
      <c r="A639" s="157" t="s">
        <v>4459</v>
      </c>
      <c r="B639" s="195" t="s">
        <v>4460</v>
      </c>
      <c r="C639" s="775">
        <f>(SUMIF(Avaliação!$K:$K,A639,Avaliação!$J:$J))+(SUMIF(Avaliação!$O:$O,A639,Avaliação!$N:$N))+(SUMIF(Avaliação!$S:$S,A639,Avaliação!$R:$R))</f>
        <v>0</v>
      </c>
      <c r="D639" s="775">
        <f>(SUMIF(Avaliação!$AA:$AA,A639,Avaliação!$Z:$Z))+(SUMIF(Avaliação!$AD:$AD,A639,Avaliação!$AC:$AC))+(SUMIF(Avaliação!$AG:$AG,A639,Avaliação!$AF:$AF))</f>
        <v>0</v>
      </c>
    </row>
    <row r="640" spans="1:4">
      <c r="A640" s="157" t="s">
        <v>4461</v>
      </c>
      <c r="B640" s="195" t="s">
        <v>4462</v>
      </c>
      <c r="C640" s="775">
        <f>(SUMIF(Avaliação!$K:$K,A640,Avaliação!$J:$J))+(SUMIF(Avaliação!$O:$O,A640,Avaliação!$N:$N))+(SUMIF(Avaliação!$S:$S,A640,Avaliação!$R:$R))</f>
        <v>0</v>
      </c>
      <c r="D640" s="775">
        <f>(SUMIF(Avaliação!$AA:$AA,A640,Avaliação!$Z:$Z))+(SUMIF(Avaliação!$AD:$AD,A640,Avaliação!$AC:$AC))+(SUMIF(Avaliação!$AG:$AG,A640,Avaliação!$AF:$AF))</f>
        <v>0</v>
      </c>
    </row>
    <row r="641" spans="1:4">
      <c r="A641" s="157" t="s">
        <v>4463</v>
      </c>
      <c r="B641" s="195" t="s">
        <v>4464</v>
      </c>
      <c r="C641" s="775">
        <f>(SUMIF(Avaliação!$K:$K,A641,Avaliação!$J:$J))+(SUMIF(Avaliação!$O:$O,A641,Avaliação!$N:$N))+(SUMIF(Avaliação!$S:$S,A641,Avaliação!$R:$R))</f>
        <v>0</v>
      </c>
      <c r="D641" s="775">
        <f>(SUMIF(Avaliação!$AA:$AA,A641,Avaliação!$Z:$Z))+(SUMIF(Avaliação!$AD:$AD,A641,Avaliação!$AC:$AC))+(SUMIF(Avaliação!$AG:$AG,A641,Avaliação!$AF:$AF))</f>
        <v>0</v>
      </c>
    </row>
    <row r="642" spans="1:4">
      <c r="A642" s="157" t="s">
        <v>4465</v>
      </c>
      <c r="B642" s="195" t="s">
        <v>4466</v>
      </c>
      <c r="C642" s="775">
        <f>(SUMIF(Avaliação!$K:$K,A642,Avaliação!$J:$J))+(SUMIF(Avaliação!$O:$O,A642,Avaliação!$N:$N))+(SUMIF(Avaliação!$S:$S,A642,Avaliação!$R:$R))</f>
        <v>0</v>
      </c>
      <c r="D642" s="775">
        <f>(SUMIF(Avaliação!$AA:$AA,A642,Avaliação!$Z:$Z))+(SUMIF(Avaliação!$AD:$AD,A642,Avaliação!$AC:$AC))+(SUMIF(Avaliação!$AG:$AG,A642,Avaliação!$AF:$AF))</f>
        <v>0</v>
      </c>
    </row>
    <row r="643" spans="1:4">
      <c r="A643" s="157" t="s">
        <v>4467</v>
      </c>
      <c r="B643" s="195" t="s">
        <v>4468</v>
      </c>
      <c r="C643" s="775">
        <f>(SUMIF(Avaliação!$K:$K,A643,Avaliação!$J:$J))+(SUMIF(Avaliação!$O:$O,A643,Avaliação!$N:$N))+(SUMIF(Avaliação!$S:$S,A643,Avaliação!$R:$R))</f>
        <v>0</v>
      </c>
      <c r="D643" s="775">
        <f>(SUMIF(Avaliação!$AA:$AA,A643,Avaliação!$Z:$Z))+(SUMIF(Avaliação!$AD:$AD,A643,Avaliação!$AC:$AC))+(SUMIF(Avaliação!$AG:$AG,A643,Avaliação!$AF:$AF))</f>
        <v>0</v>
      </c>
    </row>
    <row r="644" spans="1:4">
      <c r="A644" s="157" t="s">
        <v>4469</v>
      </c>
      <c r="B644" s="195" t="s">
        <v>4470</v>
      </c>
      <c r="C644" s="775">
        <f>(SUMIF(Avaliação!$K:$K,A644,Avaliação!$J:$J))+(SUMIF(Avaliação!$O:$O,A644,Avaliação!$N:$N))+(SUMIF(Avaliação!$S:$S,A644,Avaliação!$R:$R))</f>
        <v>0</v>
      </c>
      <c r="D644" s="775">
        <f>(SUMIF(Avaliação!$AA:$AA,A644,Avaliação!$Z:$Z))+(SUMIF(Avaliação!$AD:$AD,A644,Avaliação!$AC:$AC))+(SUMIF(Avaliação!$AG:$AG,A644,Avaliação!$AF:$AF))</f>
        <v>0</v>
      </c>
    </row>
    <row r="645" spans="1:4">
      <c r="A645" s="157" t="s">
        <v>4471</v>
      </c>
      <c r="B645" s="195" t="s">
        <v>4472</v>
      </c>
      <c r="C645" s="775">
        <f>(SUMIF(Avaliação!$K:$K,A645,Avaliação!$J:$J))+(SUMIF(Avaliação!$O:$O,A645,Avaliação!$N:$N))+(SUMIF(Avaliação!$S:$S,A645,Avaliação!$R:$R))</f>
        <v>0</v>
      </c>
      <c r="D645" s="775">
        <f>(SUMIF(Avaliação!$AA:$AA,A645,Avaliação!$Z:$Z))+(SUMIF(Avaliação!$AD:$AD,A645,Avaliação!$AC:$AC))+(SUMIF(Avaliação!$AG:$AG,A645,Avaliação!$AF:$AF))</f>
        <v>0</v>
      </c>
    </row>
    <row r="646" spans="1:4">
      <c r="A646" s="157" t="s">
        <v>4473</v>
      </c>
      <c r="B646" s="195" t="s">
        <v>4474</v>
      </c>
      <c r="C646" s="775">
        <f>(SUMIF(Avaliação!$K:$K,A646,Avaliação!$J:$J))+(SUMIF(Avaliação!$O:$O,A646,Avaliação!$N:$N))+(SUMIF(Avaliação!$S:$S,A646,Avaliação!$R:$R))</f>
        <v>0</v>
      </c>
      <c r="D646" s="775">
        <f>(SUMIF(Avaliação!$AA:$AA,A646,Avaliação!$Z:$Z))+(SUMIF(Avaliação!$AD:$AD,A646,Avaliação!$AC:$AC))+(SUMIF(Avaliação!$AG:$AG,A646,Avaliação!$AF:$AF))</f>
        <v>0</v>
      </c>
    </row>
    <row r="647" spans="1:4">
      <c r="A647" s="157" t="s">
        <v>4475</v>
      </c>
      <c r="B647" s="195" t="s">
        <v>4476</v>
      </c>
      <c r="C647" s="775">
        <f>(SUMIF(Avaliação!$K:$K,A647,Avaliação!$J:$J))+(SUMIF(Avaliação!$O:$O,A647,Avaliação!$N:$N))+(SUMIF(Avaliação!$S:$S,A647,Avaliação!$R:$R))</f>
        <v>0</v>
      </c>
      <c r="D647" s="775">
        <f>(SUMIF(Avaliação!$AA:$AA,A647,Avaliação!$Z:$Z))+(SUMIF(Avaliação!$AD:$AD,A647,Avaliação!$AC:$AC))+(SUMIF(Avaliação!$AG:$AG,A647,Avaliação!$AF:$AF))</f>
        <v>0</v>
      </c>
    </row>
    <row r="648" spans="1:4">
      <c r="A648" s="157" t="s">
        <v>4477</v>
      </c>
      <c r="B648" s="195" t="s">
        <v>4478</v>
      </c>
      <c r="C648" s="775">
        <f>(SUMIF(Avaliação!$K:$K,A648,Avaliação!$J:$J))+(SUMIF(Avaliação!$O:$O,A648,Avaliação!$N:$N))+(SUMIF(Avaliação!$S:$S,A648,Avaliação!$R:$R))</f>
        <v>0</v>
      </c>
      <c r="D648" s="775">
        <f>(SUMIF(Avaliação!$AA:$AA,A648,Avaliação!$Z:$Z))+(SUMIF(Avaliação!$AD:$AD,A648,Avaliação!$AC:$AC))+(SUMIF(Avaliação!$AG:$AG,A648,Avaliação!$AF:$AF))</f>
        <v>0</v>
      </c>
    </row>
    <row r="649" spans="1:4">
      <c r="A649" s="157" t="s">
        <v>4479</v>
      </c>
      <c r="B649" s="195" t="s">
        <v>4480</v>
      </c>
      <c r="C649" s="775">
        <f>(SUMIF(Avaliação!$K:$K,A649,Avaliação!$J:$J))+(SUMIF(Avaliação!$O:$O,A649,Avaliação!$N:$N))+(SUMIF(Avaliação!$S:$S,A649,Avaliação!$R:$R))</f>
        <v>0</v>
      </c>
      <c r="D649" s="775">
        <f>(SUMIF(Avaliação!$AA:$AA,A649,Avaliação!$Z:$Z))+(SUMIF(Avaliação!$AD:$AD,A649,Avaliação!$AC:$AC))+(SUMIF(Avaliação!$AG:$AG,A649,Avaliação!$AF:$AF))</f>
        <v>0</v>
      </c>
    </row>
    <row r="650" spans="1:4">
      <c r="A650" s="157" t="s">
        <v>4481</v>
      </c>
      <c r="B650" s="195" t="s">
        <v>4482</v>
      </c>
      <c r="C650" s="775">
        <f>(SUMIF(Avaliação!$K:$K,A650,Avaliação!$J:$J))+(SUMIF(Avaliação!$O:$O,A650,Avaliação!$N:$N))+(SUMIF(Avaliação!$S:$S,A650,Avaliação!$R:$R))</f>
        <v>0</v>
      </c>
      <c r="D650" s="775">
        <f>(SUMIF(Avaliação!$AA:$AA,A650,Avaliação!$Z:$Z))+(SUMIF(Avaliação!$AD:$AD,A650,Avaliação!$AC:$AC))+(SUMIF(Avaliação!$AG:$AG,A650,Avaliação!$AF:$AF))</f>
        <v>0</v>
      </c>
    </row>
    <row r="651" spans="1:4">
      <c r="A651" s="157" t="s">
        <v>4483</v>
      </c>
      <c r="B651" s="195" t="s">
        <v>4484</v>
      </c>
      <c r="C651" s="775">
        <f>(SUMIF(Avaliação!$K:$K,A651,Avaliação!$J:$J))+(SUMIF(Avaliação!$O:$O,A651,Avaliação!$N:$N))+(SUMIF(Avaliação!$S:$S,A651,Avaliação!$R:$R))</f>
        <v>0</v>
      </c>
      <c r="D651" s="775">
        <f>(SUMIF(Avaliação!$AA:$AA,A651,Avaliação!$Z:$Z))+(SUMIF(Avaliação!$AD:$AD,A651,Avaliação!$AC:$AC))+(SUMIF(Avaliação!$AG:$AG,A651,Avaliação!$AF:$AF))</f>
        <v>0</v>
      </c>
    </row>
    <row r="652" spans="1:4">
      <c r="A652" s="845" t="s">
        <v>4485</v>
      </c>
      <c r="B652" s="846" t="s">
        <v>4486</v>
      </c>
      <c r="C652" s="775">
        <f>(SUMIF(Avaliação!$K:$K,A652,Avaliação!$J:$J))+(SUMIF(Avaliação!$O:$O,A652,Avaliação!$N:$N))+(SUMIF(Avaliação!$S:$S,A652,Avaliação!$R:$R))</f>
        <v>1</v>
      </c>
      <c r="D652" s="847">
        <f>(SUMIF(Avaliação!$AA:$AA,A652,Avaliação!$Z:$Z))+(SUMIF(Avaliação!$AD:$AD,A652,Avaliação!$AC:$AC))+(SUMIF(Avaliação!$AG:$AG,A652,Avaliação!$AF:$AF))</f>
        <v>0</v>
      </c>
    </row>
    <row r="653" spans="1:4">
      <c r="A653" s="157" t="s">
        <v>4487</v>
      </c>
      <c r="B653" s="195" t="s">
        <v>4488</v>
      </c>
      <c r="C653" s="775">
        <f>(SUMIF(Avaliação!$K:$K,A653,Avaliação!$J:$J))+(SUMIF(Avaliação!$O:$O,A653,Avaliação!$N:$N))+(SUMIF(Avaliação!$S:$S,A653,Avaliação!$R:$R))</f>
        <v>0</v>
      </c>
      <c r="D653" s="775">
        <f>(SUMIF(Avaliação!$AA:$AA,A653,Avaliação!$Z:$Z))+(SUMIF(Avaliação!$AD:$AD,A653,Avaliação!$AC:$AC))+(SUMIF(Avaliação!$AG:$AG,A653,Avaliação!$AF:$AF))</f>
        <v>0</v>
      </c>
    </row>
    <row r="654" spans="1:4">
      <c r="A654" s="157" t="s">
        <v>4489</v>
      </c>
      <c r="B654" s="195" t="s">
        <v>4490</v>
      </c>
      <c r="C654" s="775">
        <f>(SUMIF(Avaliação!$K:$K,A654,Avaliação!$J:$J))+(SUMIF(Avaliação!$O:$O,A654,Avaliação!$N:$N))+(SUMIF(Avaliação!$S:$S,A654,Avaliação!$R:$R))</f>
        <v>0</v>
      </c>
      <c r="D654" s="775">
        <f>(SUMIF(Avaliação!$AA:$AA,A654,Avaliação!$Z:$Z))+(SUMIF(Avaliação!$AD:$AD,A654,Avaliação!$AC:$AC))+(SUMIF(Avaliação!$AG:$AG,A654,Avaliação!$AF:$AF))</f>
        <v>0</v>
      </c>
    </row>
    <row r="655" spans="1:4">
      <c r="A655" s="157" t="s">
        <v>4491</v>
      </c>
      <c r="B655" s="195" t="s">
        <v>4492</v>
      </c>
      <c r="C655" s="775">
        <f>(SUMIF(Avaliação!$K:$K,A655,Avaliação!$J:$J))+(SUMIF(Avaliação!$O:$O,A655,Avaliação!$N:$N))+(SUMIF(Avaliação!$S:$S,A655,Avaliação!$R:$R))</f>
        <v>0</v>
      </c>
      <c r="D655" s="775">
        <f>(SUMIF(Avaliação!$AA:$AA,A655,Avaliação!$Z:$Z))+(SUMIF(Avaliação!$AD:$AD,A655,Avaliação!$AC:$AC))+(SUMIF(Avaliação!$AG:$AG,A655,Avaliação!$AF:$AF))</f>
        <v>0</v>
      </c>
    </row>
    <row r="656" spans="1:4">
      <c r="A656" s="157" t="s">
        <v>4493</v>
      </c>
      <c r="B656" s="195" t="s">
        <v>4494</v>
      </c>
      <c r="C656" s="775">
        <f>(SUMIF(Avaliação!$K:$K,A656,Avaliação!$J:$J))+(SUMIF(Avaliação!$O:$O,A656,Avaliação!$N:$N))+(SUMIF(Avaliação!$S:$S,A656,Avaliação!$R:$R))</f>
        <v>0</v>
      </c>
      <c r="D656" s="775">
        <f>(SUMIF(Avaliação!$AA:$AA,A656,Avaliação!$Z:$Z))+(SUMIF(Avaliação!$AD:$AD,A656,Avaliação!$AC:$AC))+(SUMIF(Avaliação!$AG:$AG,A656,Avaliação!$AF:$AF))</f>
        <v>0</v>
      </c>
    </row>
    <row r="657" spans="1:4">
      <c r="A657" s="157" t="s">
        <v>4495</v>
      </c>
      <c r="B657" s="195" t="s">
        <v>4496</v>
      </c>
      <c r="C657" s="775">
        <f>(SUMIF(Avaliação!$K:$K,A657,Avaliação!$J:$J))+(SUMIF(Avaliação!$O:$O,A657,Avaliação!$N:$N))+(SUMIF(Avaliação!$S:$S,A657,Avaliação!$R:$R))</f>
        <v>0</v>
      </c>
      <c r="D657" s="775">
        <f>(SUMIF(Avaliação!$AA:$AA,A657,Avaliação!$Z:$Z))+(SUMIF(Avaliação!$AD:$AD,A657,Avaliação!$AC:$AC))+(SUMIF(Avaliação!$AG:$AG,A657,Avaliação!$AF:$AF))</f>
        <v>0</v>
      </c>
    </row>
    <row r="658" spans="1:4">
      <c r="A658" s="157" t="s">
        <v>4497</v>
      </c>
      <c r="B658" s="195" t="s">
        <v>4498</v>
      </c>
      <c r="C658" s="775">
        <f>(SUMIF(Avaliação!$K:$K,A658,Avaliação!$J:$J))+(SUMIF(Avaliação!$O:$O,A658,Avaliação!$N:$N))+(SUMIF(Avaliação!$S:$S,A658,Avaliação!$R:$R))</f>
        <v>0</v>
      </c>
      <c r="D658" s="775">
        <f>(SUMIF(Avaliação!$AA:$AA,A658,Avaliação!$Z:$Z))+(SUMIF(Avaliação!$AD:$AD,A658,Avaliação!$AC:$AC))+(SUMIF(Avaliação!$AG:$AG,A658,Avaliação!$AF:$AF))</f>
        <v>0</v>
      </c>
    </row>
    <row r="659" spans="1:4">
      <c r="A659" s="157" t="s">
        <v>4499</v>
      </c>
      <c r="B659" s="195" t="s">
        <v>4500</v>
      </c>
      <c r="C659" s="775">
        <f>(SUMIF(Avaliação!$K:$K,A659,Avaliação!$J:$J))+(SUMIF(Avaliação!$O:$O,A659,Avaliação!$N:$N))+(SUMIF(Avaliação!$S:$S,A659,Avaliação!$R:$R))</f>
        <v>0</v>
      </c>
      <c r="D659" s="775">
        <f>(SUMIF(Avaliação!$AA:$AA,A659,Avaliação!$Z:$Z))+(SUMIF(Avaliação!$AD:$AD,A659,Avaliação!$AC:$AC))+(SUMIF(Avaliação!$AG:$AG,A659,Avaliação!$AF:$AF))</f>
        <v>0</v>
      </c>
    </row>
    <row r="660" spans="1:4">
      <c r="A660" s="157" t="s">
        <v>4501</v>
      </c>
      <c r="B660" s="195" t="s">
        <v>4502</v>
      </c>
      <c r="C660" s="775">
        <f>(SUMIF(Avaliação!$K:$K,A660,Avaliação!$J:$J))+(SUMIF(Avaliação!$O:$O,A660,Avaliação!$N:$N))+(SUMIF(Avaliação!$S:$S,A660,Avaliação!$R:$R))</f>
        <v>0</v>
      </c>
      <c r="D660" s="775">
        <f>(SUMIF(Avaliação!$AA:$AA,A660,Avaliação!$Z:$Z))+(SUMIF(Avaliação!$AD:$AD,A660,Avaliação!$AC:$AC))+(SUMIF(Avaliação!$AG:$AG,A660,Avaliação!$AF:$AF))</f>
        <v>0</v>
      </c>
    </row>
    <row r="661" spans="1:4">
      <c r="A661" s="845" t="s">
        <v>4503</v>
      </c>
      <c r="B661" s="846" t="s">
        <v>4504</v>
      </c>
      <c r="C661" s="775">
        <f>(SUMIF(Avaliação!$K:$K,A661,Avaliação!$J:$J))+(SUMIF(Avaliação!$O:$O,A661,Avaliação!$N:$N))+(SUMIF(Avaliação!$S:$S,A661,Avaliação!$R:$R))</f>
        <v>3</v>
      </c>
      <c r="D661" s="847">
        <f>(SUMIF(Avaliação!$AA:$AA,A661,Avaliação!$Z:$Z))+(SUMIF(Avaliação!$AD:$AD,A661,Avaliação!$AC:$AC))+(SUMIF(Avaliação!$AG:$AG,A661,Avaliação!$AF:$AF))</f>
        <v>0</v>
      </c>
    </row>
    <row r="662" spans="1:4">
      <c r="A662" s="157" t="s">
        <v>4505</v>
      </c>
      <c r="B662" s="195" t="s">
        <v>4506</v>
      </c>
      <c r="C662" s="775">
        <f>(SUMIF(Avaliação!$K:$K,A662,Avaliação!$J:$J))+(SUMIF(Avaliação!$O:$O,A662,Avaliação!$N:$N))+(SUMIF(Avaliação!$S:$S,A662,Avaliação!$R:$R))</f>
        <v>0</v>
      </c>
      <c r="D662" s="775">
        <f>(SUMIF(Avaliação!$AA:$AA,A662,Avaliação!$Z:$Z))+(SUMIF(Avaliação!$AD:$AD,A662,Avaliação!$AC:$AC))+(SUMIF(Avaliação!$AG:$AG,A662,Avaliação!$AF:$AF))</f>
        <v>0</v>
      </c>
    </row>
    <row r="663" spans="1:4">
      <c r="A663" s="157" t="s">
        <v>4507</v>
      </c>
      <c r="B663" s="195" t="s">
        <v>4508</v>
      </c>
      <c r="C663" s="775">
        <f>(SUMIF(Avaliação!$K:$K,A663,Avaliação!$J:$J))+(SUMIF(Avaliação!$O:$O,A663,Avaliação!$N:$N))+(SUMIF(Avaliação!$S:$S,A663,Avaliação!$R:$R))</f>
        <v>0</v>
      </c>
      <c r="D663" s="775">
        <f>(SUMIF(Avaliação!$AA:$AA,A663,Avaliação!$Z:$Z))+(SUMIF(Avaliação!$AD:$AD,A663,Avaliação!$AC:$AC))+(SUMIF(Avaliação!$AG:$AG,A663,Avaliação!$AF:$AF))</f>
        <v>0</v>
      </c>
    </row>
    <row r="664" spans="1:4">
      <c r="A664" s="157" t="s">
        <v>4509</v>
      </c>
      <c r="B664" s="195" t="s">
        <v>4510</v>
      </c>
      <c r="C664" s="775">
        <f>(SUMIF(Avaliação!$K:$K,A664,Avaliação!$J:$J))+(SUMIF(Avaliação!$O:$O,A664,Avaliação!$N:$N))+(SUMIF(Avaliação!$S:$S,A664,Avaliação!$R:$R))</f>
        <v>0</v>
      </c>
      <c r="D664" s="775">
        <f>(SUMIF(Avaliação!$AA:$AA,A664,Avaliação!$Z:$Z))+(SUMIF(Avaliação!$AD:$AD,A664,Avaliação!$AC:$AC))+(SUMIF(Avaliação!$AG:$AG,A664,Avaliação!$AF:$AF))</f>
        <v>0</v>
      </c>
    </row>
    <row r="665" spans="1:4">
      <c r="A665" s="157" t="s">
        <v>4511</v>
      </c>
      <c r="B665" s="195" t="s">
        <v>4512</v>
      </c>
      <c r="C665" s="775">
        <f>(SUMIF(Avaliação!$K:$K,A665,Avaliação!$J:$J))+(SUMIF(Avaliação!$O:$O,A665,Avaliação!$N:$N))+(SUMIF(Avaliação!$S:$S,A665,Avaliação!$R:$R))</f>
        <v>0</v>
      </c>
      <c r="D665" s="775">
        <f>(SUMIF(Avaliação!$AA:$AA,A665,Avaliação!$Z:$Z))+(SUMIF(Avaliação!$AD:$AD,A665,Avaliação!$AC:$AC))+(SUMIF(Avaliação!$AG:$AG,A665,Avaliação!$AF:$AF))</f>
        <v>0</v>
      </c>
    </row>
    <row r="666" spans="1:4">
      <c r="A666" s="157" t="s">
        <v>4513</v>
      </c>
      <c r="B666" s="195" t="s">
        <v>4514</v>
      </c>
      <c r="C666" s="775">
        <f>(SUMIF(Avaliação!$K:$K,A666,Avaliação!$J:$J))+(SUMIF(Avaliação!$O:$O,A666,Avaliação!$N:$N))+(SUMIF(Avaliação!$S:$S,A666,Avaliação!$R:$R))</f>
        <v>0</v>
      </c>
      <c r="D666" s="775">
        <f>(SUMIF(Avaliação!$AA:$AA,A666,Avaliação!$Z:$Z))+(SUMIF(Avaliação!$AD:$AD,A666,Avaliação!$AC:$AC))+(SUMIF(Avaliação!$AG:$AG,A666,Avaliação!$AF:$AF))</f>
        <v>0</v>
      </c>
    </row>
    <row r="667" spans="1:4">
      <c r="A667" s="157" t="s">
        <v>4515</v>
      </c>
      <c r="B667" s="195" t="s">
        <v>4516</v>
      </c>
      <c r="C667" s="775">
        <f>(SUMIF(Avaliação!$K:$K,A667,Avaliação!$J:$J))+(SUMIF(Avaliação!$O:$O,A667,Avaliação!$N:$N))+(SUMIF(Avaliação!$S:$S,A667,Avaliação!$R:$R))</f>
        <v>0</v>
      </c>
      <c r="D667" s="775">
        <f>(SUMIF(Avaliação!$AA:$AA,A667,Avaliação!$Z:$Z))+(SUMIF(Avaliação!$AD:$AD,A667,Avaliação!$AC:$AC))+(SUMIF(Avaliação!$AG:$AG,A667,Avaliação!$AF:$AF))</f>
        <v>0</v>
      </c>
    </row>
    <row r="668" spans="1:4">
      <c r="A668" s="157" t="s">
        <v>4517</v>
      </c>
      <c r="B668" s="195" t="s">
        <v>4518</v>
      </c>
      <c r="C668" s="775">
        <f>(SUMIF(Avaliação!$K:$K,A668,Avaliação!$J:$J))+(SUMIF(Avaliação!$O:$O,A668,Avaliação!$N:$N))+(SUMIF(Avaliação!$S:$S,A668,Avaliação!$R:$R))</f>
        <v>0</v>
      </c>
      <c r="D668" s="775">
        <f>(SUMIF(Avaliação!$AA:$AA,A668,Avaliação!$Z:$Z))+(SUMIF(Avaliação!$AD:$AD,A668,Avaliação!$AC:$AC))+(SUMIF(Avaliação!$AG:$AG,A668,Avaliação!$AF:$AF))</f>
        <v>0</v>
      </c>
    </row>
    <row r="669" spans="1:4">
      <c r="A669" s="157" t="s">
        <v>4519</v>
      </c>
      <c r="B669" s="195" t="s">
        <v>4520</v>
      </c>
      <c r="C669" s="775">
        <f>(SUMIF(Avaliação!$K:$K,A669,Avaliação!$J:$J))+(SUMIF(Avaliação!$O:$O,A669,Avaliação!$N:$N))+(SUMIF(Avaliação!$S:$S,A669,Avaliação!$R:$R))</f>
        <v>0</v>
      </c>
      <c r="D669" s="775">
        <f>(SUMIF(Avaliação!$AA:$AA,A669,Avaliação!$Z:$Z))+(SUMIF(Avaliação!$AD:$AD,A669,Avaliação!$AC:$AC))+(SUMIF(Avaliação!$AG:$AG,A669,Avaliação!$AF:$AF))</f>
        <v>0</v>
      </c>
    </row>
    <row r="670" spans="1:4">
      <c r="A670" s="157" t="s">
        <v>4521</v>
      </c>
      <c r="B670" s="195" t="s">
        <v>4522</v>
      </c>
      <c r="C670" s="775">
        <f>(SUMIF(Avaliação!$K:$K,A670,Avaliação!$J:$J))+(SUMIF(Avaliação!$O:$O,A670,Avaliação!$N:$N))+(SUMIF(Avaliação!$S:$S,A670,Avaliação!$R:$R))</f>
        <v>0</v>
      </c>
      <c r="D670" s="775">
        <f>(SUMIF(Avaliação!$AA:$AA,A670,Avaliação!$Z:$Z))+(SUMIF(Avaliação!$AD:$AD,A670,Avaliação!$AC:$AC))+(SUMIF(Avaliação!$AG:$AG,A670,Avaliação!$AF:$AF))</f>
        <v>0</v>
      </c>
    </row>
    <row r="671" spans="1:4">
      <c r="A671" s="157" t="s">
        <v>4523</v>
      </c>
      <c r="B671" s="195" t="s">
        <v>4524</v>
      </c>
      <c r="C671" s="775">
        <f>(SUMIF(Avaliação!$K:$K,A671,Avaliação!$J:$J))+(SUMIF(Avaliação!$O:$O,A671,Avaliação!$N:$N))+(SUMIF(Avaliação!$S:$S,A671,Avaliação!$R:$R))</f>
        <v>0</v>
      </c>
      <c r="D671" s="775">
        <f>(SUMIF(Avaliação!$AA:$AA,A671,Avaliação!$Z:$Z))+(SUMIF(Avaliação!$AD:$AD,A671,Avaliação!$AC:$AC))+(SUMIF(Avaliação!$AG:$AG,A671,Avaliação!$AF:$AF))</f>
        <v>0</v>
      </c>
    </row>
    <row r="672" spans="1:4">
      <c r="A672" s="157" t="s">
        <v>4525</v>
      </c>
      <c r="B672" s="195" t="s">
        <v>4526</v>
      </c>
      <c r="C672" s="775">
        <f>(SUMIF(Avaliação!$K:$K,A672,Avaliação!$J:$J))+(SUMIF(Avaliação!$O:$O,A672,Avaliação!$N:$N))+(SUMIF(Avaliação!$S:$S,A672,Avaliação!$R:$R))</f>
        <v>0</v>
      </c>
      <c r="D672" s="775">
        <f>(SUMIF(Avaliação!$AA:$AA,A672,Avaliação!$Z:$Z))+(SUMIF(Avaliação!$AD:$AD,A672,Avaliação!$AC:$AC))+(SUMIF(Avaliação!$AG:$AG,A672,Avaliação!$AF:$AF))</f>
        <v>0</v>
      </c>
    </row>
    <row r="673" spans="1:4">
      <c r="A673" s="157" t="s">
        <v>4527</v>
      </c>
      <c r="B673" s="195" t="s">
        <v>4528</v>
      </c>
      <c r="C673" s="775">
        <f>(SUMIF(Avaliação!$K:$K,A673,Avaliação!$J:$J))+(SUMIF(Avaliação!$O:$O,A673,Avaliação!$N:$N))+(SUMIF(Avaliação!$S:$S,A673,Avaliação!$R:$R))</f>
        <v>0</v>
      </c>
      <c r="D673" s="775">
        <f>(SUMIF(Avaliação!$AA:$AA,A673,Avaliação!$Z:$Z))+(SUMIF(Avaliação!$AD:$AD,A673,Avaliação!$AC:$AC))+(SUMIF(Avaliação!$AG:$AG,A673,Avaliação!$AF:$AF))</f>
        <v>0</v>
      </c>
    </row>
    <row r="674" spans="1:4">
      <c r="A674" s="157" t="s">
        <v>4529</v>
      </c>
      <c r="B674" s="195" t="s">
        <v>4530</v>
      </c>
      <c r="C674" s="775">
        <f>(SUMIF(Avaliação!$K:$K,A674,Avaliação!$J:$J))+(SUMIF(Avaliação!$O:$O,A674,Avaliação!$N:$N))+(SUMIF(Avaliação!$S:$S,A674,Avaliação!$R:$R))</f>
        <v>0</v>
      </c>
      <c r="D674" s="775">
        <f>(SUMIF(Avaliação!$AA:$AA,A674,Avaliação!$Z:$Z))+(SUMIF(Avaliação!$AD:$AD,A674,Avaliação!$AC:$AC))+(SUMIF(Avaliação!$AG:$AG,A674,Avaliação!$AF:$AF))</f>
        <v>0</v>
      </c>
    </row>
    <row r="675" spans="1:4">
      <c r="A675" s="157" t="s">
        <v>4531</v>
      </c>
      <c r="B675" s="195" t="s">
        <v>4532</v>
      </c>
      <c r="C675" s="775">
        <f>(SUMIF(Avaliação!$K:$K,A675,Avaliação!$J:$J))+(SUMIF(Avaliação!$O:$O,A675,Avaliação!$N:$N))+(SUMIF(Avaliação!$S:$S,A675,Avaliação!$R:$R))</f>
        <v>0</v>
      </c>
      <c r="D675" s="775">
        <f>(SUMIF(Avaliação!$AA:$AA,A675,Avaliação!$Z:$Z))+(SUMIF(Avaliação!$AD:$AD,A675,Avaliação!$AC:$AC))+(SUMIF(Avaliação!$AG:$AG,A675,Avaliação!$AF:$AF))</f>
        <v>0</v>
      </c>
    </row>
    <row r="676" spans="1:4">
      <c r="A676" s="157" t="s">
        <v>4533</v>
      </c>
      <c r="B676" s="195" t="s">
        <v>4534</v>
      </c>
      <c r="C676" s="775">
        <f>(SUMIF(Avaliação!$K:$K,A676,Avaliação!$J:$J))+(SUMIF(Avaliação!$O:$O,A676,Avaliação!$N:$N))+(SUMIF(Avaliação!$S:$S,A676,Avaliação!$R:$R))</f>
        <v>0</v>
      </c>
      <c r="D676" s="775">
        <f>(SUMIF(Avaliação!$AA:$AA,A676,Avaliação!$Z:$Z))+(SUMIF(Avaliação!$AD:$AD,A676,Avaliação!$AC:$AC))+(SUMIF(Avaliação!$AG:$AG,A676,Avaliação!$AF:$AF))</f>
        <v>0</v>
      </c>
    </row>
    <row r="677" spans="1:4">
      <c r="A677" s="157" t="s">
        <v>4535</v>
      </c>
      <c r="B677" s="195" t="s">
        <v>4536</v>
      </c>
      <c r="C677" s="775">
        <f>(SUMIF(Avaliação!$K:$K,A677,Avaliação!$J:$J))+(SUMIF(Avaliação!$O:$O,A677,Avaliação!$N:$N))+(SUMIF(Avaliação!$S:$S,A677,Avaliação!$R:$R))</f>
        <v>0</v>
      </c>
      <c r="D677" s="775">
        <f>(SUMIF(Avaliação!$AA:$AA,A677,Avaliação!$Z:$Z))+(SUMIF(Avaliação!$AD:$AD,A677,Avaliação!$AC:$AC))+(SUMIF(Avaliação!$AG:$AG,A677,Avaliação!$AF:$AF))</f>
        <v>0</v>
      </c>
    </row>
    <row r="678" spans="1:4">
      <c r="A678" s="157" t="s">
        <v>4537</v>
      </c>
      <c r="B678" s="195" t="s">
        <v>4538</v>
      </c>
      <c r="C678" s="775">
        <f>(SUMIF(Avaliação!$K:$K,A678,Avaliação!$J:$J))+(SUMIF(Avaliação!$O:$O,A678,Avaliação!$N:$N))+(SUMIF(Avaliação!$S:$S,A678,Avaliação!$R:$R))</f>
        <v>0</v>
      </c>
      <c r="D678" s="775">
        <f>(SUMIF(Avaliação!$AA:$AA,A678,Avaliação!$Z:$Z))+(SUMIF(Avaliação!$AD:$AD,A678,Avaliação!$AC:$AC))+(SUMIF(Avaliação!$AG:$AG,A678,Avaliação!$AF:$AF))</f>
        <v>0</v>
      </c>
    </row>
    <row r="679" spans="1:4">
      <c r="A679" s="157" t="s">
        <v>4539</v>
      </c>
      <c r="B679" s="195" t="s">
        <v>4540</v>
      </c>
      <c r="C679" s="775">
        <f>(SUMIF(Avaliação!$K:$K,A679,Avaliação!$J:$J))+(SUMIF(Avaliação!$O:$O,A679,Avaliação!$N:$N))+(SUMIF(Avaliação!$S:$S,A679,Avaliação!$R:$R))</f>
        <v>0</v>
      </c>
      <c r="D679" s="775">
        <f>(SUMIF(Avaliação!$AA:$AA,A679,Avaliação!$Z:$Z))+(SUMIF(Avaliação!$AD:$AD,A679,Avaliação!$AC:$AC))+(SUMIF(Avaliação!$AG:$AG,A679,Avaliação!$AF:$AF))</f>
        <v>0</v>
      </c>
    </row>
    <row r="680" spans="1:4">
      <c r="A680" s="157" t="s">
        <v>4541</v>
      </c>
      <c r="B680" s="195" t="s">
        <v>4542</v>
      </c>
      <c r="C680" s="775">
        <f>(SUMIF(Avaliação!$K:$K,A680,Avaliação!$J:$J))+(SUMIF(Avaliação!$O:$O,A680,Avaliação!$N:$N))+(SUMIF(Avaliação!$S:$S,A680,Avaliação!$R:$R))</f>
        <v>0</v>
      </c>
      <c r="D680" s="775">
        <f>(SUMIF(Avaliação!$AA:$AA,A680,Avaliação!$Z:$Z))+(SUMIF(Avaliação!$AD:$AD,A680,Avaliação!$AC:$AC))+(SUMIF(Avaliação!$AG:$AG,A680,Avaliação!$AF:$AF))</f>
        <v>0</v>
      </c>
    </row>
    <row r="681" spans="1:4">
      <c r="A681" s="157" t="s">
        <v>4543</v>
      </c>
      <c r="B681" s="195" t="s">
        <v>4544</v>
      </c>
      <c r="C681" s="775">
        <f>(SUMIF(Avaliação!$K:$K,A681,Avaliação!$J:$J))+(SUMIF(Avaliação!$O:$O,A681,Avaliação!$N:$N))+(SUMIF(Avaliação!$S:$S,A681,Avaliação!$R:$R))</f>
        <v>0</v>
      </c>
      <c r="D681" s="775">
        <f>(SUMIF(Avaliação!$AA:$AA,A681,Avaliação!$Z:$Z))+(SUMIF(Avaliação!$AD:$AD,A681,Avaliação!$AC:$AC))+(SUMIF(Avaliação!$AG:$AG,A681,Avaliação!$AF:$AF))</f>
        <v>0</v>
      </c>
    </row>
    <row r="682" spans="1:4">
      <c r="A682" s="157" t="s">
        <v>4545</v>
      </c>
      <c r="B682" s="195" t="s">
        <v>4546</v>
      </c>
      <c r="C682" s="775">
        <f>(SUMIF(Avaliação!$K:$K,A682,Avaliação!$J:$J))+(SUMIF(Avaliação!$O:$O,A682,Avaliação!$N:$N))+(SUMIF(Avaliação!$S:$S,A682,Avaliação!$R:$R))</f>
        <v>0</v>
      </c>
      <c r="D682" s="775">
        <f>(SUMIF(Avaliação!$AA:$AA,A682,Avaliação!$Z:$Z))+(SUMIF(Avaliação!$AD:$AD,A682,Avaliação!$AC:$AC))+(SUMIF(Avaliação!$AG:$AG,A682,Avaliação!$AF:$AF))</f>
        <v>0</v>
      </c>
    </row>
    <row r="683" spans="1:4">
      <c r="A683" s="157" t="s">
        <v>4547</v>
      </c>
      <c r="B683" s="195" t="s">
        <v>4548</v>
      </c>
      <c r="C683" s="775">
        <f>(SUMIF(Avaliação!$K:$K,A683,Avaliação!$J:$J))+(SUMIF(Avaliação!$O:$O,A683,Avaliação!$N:$N))+(SUMIF(Avaliação!$S:$S,A683,Avaliação!$R:$R))</f>
        <v>0</v>
      </c>
      <c r="D683" s="775">
        <f>(SUMIF(Avaliação!$AA:$AA,A683,Avaliação!$Z:$Z))+(SUMIF(Avaliação!$AD:$AD,A683,Avaliação!$AC:$AC))+(SUMIF(Avaliação!$AG:$AG,A683,Avaliação!$AF:$AF))</f>
        <v>0</v>
      </c>
    </row>
    <row r="684" spans="1:4">
      <c r="A684" s="157" t="s">
        <v>4549</v>
      </c>
      <c r="B684" s="195" t="s">
        <v>4550</v>
      </c>
      <c r="C684" s="775">
        <f>(SUMIF(Avaliação!$K:$K,A684,Avaliação!$J:$J))+(SUMIF(Avaliação!$O:$O,A684,Avaliação!$N:$N))+(SUMIF(Avaliação!$S:$S,A684,Avaliação!$R:$R))</f>
        <v>0</v>
      </c>
      <c r="D684" s="775">
        <f>(SUMIF(Avaliação!$AA:$AA,A684,Avaliação!$Z:$Z))+(SUMIF(Avaliação!$AD:$AD,A684,Avaliação!$AC:$AC))+(SUMIF(Avaliação!$AG:$AG,A684,Avaliação!$AF:$AF))</f>
        <v>0</v>
      </c>
    </row>
    <row r="685" spans="1:4">
      <c r="A685" s="157" t="s">
        <v>4551</v>
      </c>
      <c r="B685" s="195" t="s">
        <v>4552</v>
      </c>
      <c r="C685" s="775">
        <f>(SUMIF(Avaliação!$K:$K,A685,Avaliação!$J:$J))+(SUMIF(Avaliação!$O:$O,A685,Avaliação!$N:$N))+(SUMIF(Avaliação!$S:$S,A685,Avaliação!$R:$R))</f>
        <v>0</v>
      </c>
      <c r="D685" s="775">
        <f>(SUMIF(Avaliação!$AA:$AA,A685,Avaliação!$Z:$Z))+(SUMIF(Avaliação!$AD:$AD,A685,Avaliação!$AC:$AC))+(SUMIF(Avaliação!$AG:$AG,A685,Avaliação!$AF:$AF))</f>
        <v>0</v>
      </c>
    </row>
    <row r="686" spans="1:4">
      <c r="A686" s="157" t="s">
        <v>4553</v>
      </c>
      <c r="B686" s="195" t="s">
        <v>4554</v>
      </c>
      <c r="C686" s="775">
        <f>(SUMIF(Avaliação!$K:$K,A686,Avaliação!$J:$J))+(SUMIF(Avaliação!$O:$O,A686,Avaliação!$N:$N))+(SUMIF(Avaliação!$S:$S,A686,Avaliação!$R:$R))</f>
        <v>0</v>
      </c>
      <c r="D686" s="775">
        <f>(SUMIF(Avaliação!$AA:$AA,A686,Avaliação!$Z:$Z))+(SUMIF(Avaliação!$AD:$AD,A686,Avaliação!$AC:$AC))+(SUMIF(Avaliação!$AG:$AG,A686,Avaliação!$AF:$AF))</f>
        <v>0</v>
      </c>
    </row>
    <row r="687" spans="1:4">
      <c r="A687" s="157" t="s">
        <v>4555</v>
      </c>
      <c r="B687" s="195" t="s">
        <v>4556</v>
      </c>
      <c r="C687" s="775">
        <f>(SUMIF(Avaliação!$K:$K,A687,Avaliação!$J:$J))+(SUMIF(Avaliação!$O:$O,A687,Avaliação!$N:$N))+(SUMIF(Avaliação!$S:$S,A687,Avaliação!$R:$R))</f>
        <v>0</v>
      </c>
      <c r="D687" s="775">
        <f>(SUMIF(Avaliação!$AA:$AA,A687,Avaliação!$Z:$Z))+(SUMIF(Avaliação!$AD:$AD,A687,Avaliação!$AC:$AC))+(SUMIF(Avaliação!$AG:$AG,A687,Avaliação!$AF:$AF))</f>
        <v>0</v>
      </c>
    </row>
    <row r="688" spans="1:4">
      <c r="A688" s="157" t="s">
        <v>4557</v>
      </c>
      <c r="B688" s="195" t="s">
        <v>4558</v>
      </c>
      <c r="C688" s="775">
        <f>(SUMIF(Avaliação!$K:$K,A688,Avaliação!$J:$J))+(SUMIF(Avaliação!$O:$O,A688,Avaliação!$N:$N))+(SUMIF(Avaliação!$S:$S,A688,Avaliação!$R:$R))</f>
        <v>0</v>
      </c>
      <c r="D688" s="775">
        <f>(SUMIF(Avaliação!$AA:$AA,A688,Avaliação!$Z:$Z))+(SUMIF(Avaliação!$AD:$AD,A688,Avaliação!$AC:$AC))+(SUMIF(Avaliação!$AG:$AG,A688,Avaliação!$AF:$AF))</f>
        <v>0</v>
      </c>
    </row>
    <row r="689" spans="1:4">
      <c r="A689" s="157" t="s">
        <v>4559</v>
      </c>
      <c r="B689" s="195" t="s">
        <v>4560</v>
      </c>
      <c r="C689" s="775">
        <f>(SUMIF(Avaliação!$K:$K,A689,Avaliação!$J:$J))+(SUMIF(Avaliação!$O:$O,A689,Avaliação!$N:$N))+(SUMIF(Avaliação!$S:$S,A689,Avaliação!$R:$R))</f>
        <v>0</v>
      </c>
      <c r="D689" s="775">
        <f>(SUMIF(Avaliação!$AA:$AA,A689,Avaliação!$Z:$Z))+(SUMIF(Avaliação!$AD:$AD,A689,Avaliação!$AC:$AC))+(SUMIF(Avaliação!$AG:$AG,A689,Avaliação!$AF:$AF))</f>
        <v>0</v>
      </c>
    </row>
    <row r="690" spans="1:4">
      <c r="A690" s="157" t="s">
        <v>4561</v>
      </c>
      <c r="B690" s="195" t="s">
        <v>4562</v>
      </c>
      <c r="C690" s="775">
        <f>(SUMIF(Avaliação!$K:$K,A690,Avaliação!$J:$J))+(SUMIF(Avaliação!$O:$O,A690,Avaliação!$N:$N))+(SUMIF(Avaliação!$S:$S,A690,Avaliação!$R:$R))</f>
        <v>0</v>
      </c>
      <c r="D690" s="775">
        <f>(SUMIF(Avaliação!$AA:$AA,A690,Avaliação!$Z:$Z))+(SUMIF(Avaliação!$AD:$AD,A690,Avaliação!$AC:$AC))+(SUMIF(Avaliação!$AG:$AG,A690,Avaliação!$AF:$AF))</f>
        <v>0</v>
      </c>
    </row>
    <row r="691" spans="1:4">
      <c r="A691" s="157" t="s">
        <v>4563</v>
      </c>
      <c r="B691" s="195" t="s">
        <v>4564</v>
      </c>
      <c r="C691" s="775">
        <f>(SUMIF(Avaliação!$K:$K,A691,Avaliação!$J:$J))+(SUMIF(Avaliação!$O:$O,A691,Avaliação!$N:$N))+(SUMIF(Avaliação!$S:$S,A691,Avaliação!$R:$R))</f>
        <v>0</v>
      </c>
      <c r="D691" s="775">
        <f>(SUMIF(Avaliação!$AA:$AA,A691,Avaliação!$Z:$Z))+(SUMIF(Avaliação!$AD:$AD,A691,Avaliação!$AC:$AC))+(SUMIF(Avaliação!$AG:$AG,A691,Avaliação!$AF:$AF))</f>
        <v>0</v>
      </c>
    </row>
    <row r="692" spans="1:4">
      <c r="A692" s="157" t="s">
        <v>4565</v>
      </c>
      <c r="B692" s="195" t="s">
        <v>4566</v>
      </c>
      <c r="C692" s="775">
        <f>(SUMIF(Avaliação!$K:$K,A692,Avaliação!$J:$J))+(SUMIF(Avaliação!$O:$O,A692,Avaliação!$N:$N))+(SUMIF(Avaliação!$S:$S,A692,Avaliação!$R:$R))</f>
        <v>0</v>
      </c>
      <c r="D692" s="775">
        <f>(SUMIF(Avaliação!$AA:$AA,A692,Avaliação!$Z:$Z))+(SUMIF(Avaliação!$AD:$AD,A692,Avaliação!$AC:$AC))+(SUMIF(Avaliação!$AG:$AG,A692,Avaliação!$AF:$AF))</f>
        <v>0</v>
      </c>
    </row>
    <row r="693" spans="1:4">
      <c r="A693" s="157" t="s">
        <v>4567</v>
      </c>
      <c r="B693" s="195" t="s">
        <v>4568</v>
      </c>
      <c r="C693" s="775">
        <f>(SUMIF(Avaliação!$K:$K,A693,Avaliação!$J:$J))+(SUMIF(Avaliação!$O:$O,A693,Avaliação!$N:$N))+(SUMIF(Avaliação!$S:$S,A693,Avaliação!$R:$R))</f>
        <v>0</v>
      </c>
      <c r="D693" s="775">
        <f>(SUMIF(Avaliação!$AA:$AA,A693,Avaliação!$Z:$Z))+(SUMIF(Avaliação!$AD:$AD,A693,Avaliação!$AC:$AC))+(SUMIF(Avaliação!$AG:$AG,A693,Avaliação!$AF:$AF))</f>
        <v>0</v>
      </c>
    </row>
    <row r="694" spans="1:4">
      <c r="A694" s="157" t="s">
        <v>4569</v>
      </c>
      <c r="B694" s="195" t="s">
        <v>4570</v>
      </c>
      <c r="C694" s="775">
        <f>(SUMIF(Avaliação!$K:$K,A694,Avaliação!$J:$J))+(SUMIF(Avaliação!$O:$O,A694,Avaliação!$N:$N))+(SUMIF(Avaliação!$S:$S,A694,Avaliação!$R:$R))</f>
        <v>0</v>
      </c>
      <c r="D694" s="775">
        <f>(SUMIF(Avaliação!$AA:$AA,A694,Avaliação!$Z:$Z))+(SUMIF(Avaliação!$AD:$AD,A694,Avaliação!$AC:$AC))+(SUMIF(Avaliação!$AG:$AG,A694,Avaliação!$AF:$AF))</f>
        <v>0</v>
      </c>
    </row>
    <row r="695" spans="1:4">
      <c r="A695" s="845" t="s">
        <v>4571</v>
      </c>
      <c r="B695" s="846" t="s">
        <v>4572</v>
      </c>
      <c r="C695" s="775">
        <f>(SUMIF(Avaliação!$K:$K,A695,Avaliação!$J:$J))+(SUMIF(Avaliação!$O:$O,A695,Avaliação!$N:$N))+(SUMIF(Avaliação!$S:$S,A695,Avaliação!$R:$R))</f>
        <v>11</v>
      </c>
      <c r="D695" s="847">
        <f>(SUMIF(Avaliação!$AA:$AA,A695,Avaliação!$Z:$Z))+(SUMIF(Avaliação!$AD:$AD,A695,Avaliação!$AC:$AC))+(SUMIF(Avaliação!$AG:$AG,A695,Avaliação!$AF:$AF))</f>
        <v>0</v>
      </c>
    </row>
    <row r="696" spans="1:4">
      <c r="A696" s="157" t="s">
        <v>4573</v>
      </c>
      <c r="B696" s="195" t="s">
        <v>4574</v>
      </c>
      <c r="C696" s="775">
        <f>(SUMIF(Avaliação!$K:$K,A696,Avaliação!$J:$J))+(SUMIF(Avaliação!$O:$O,A696,Avaliação!$N:$N))+(SUMIF(Avaliação!$S:$S,A696,Avaliação!$R:$R))</f>
        <v>0</v>
      </c>
      <c r="D696" s="775">
        <f>(SUMIF(Avaliação!$AA:$AA,A696,Avaliação!$Z:$Z))+(SUMIF(Avaliação!$AD:$AD,A696,Avaliação!$AC:$AC))+(SUMIF(Avaliação!$AG:$AG,A696,Avaliação!$AF:$AF))</f>
        <v>0</v>
      </c>
    </row>
    <row r="697" spans="1:4">
      <c r="A697" s="157" t="s">
        <v>4575</v>
      </c>
      <c r="B697" s="195" t="s">
        <v>4576</v>
      </c>
      <c r="C697" s="775">
        <f>(SUMIF(Avaliação!$K:$K,A697,Avaliação!$J:$J))+(SUMIF(Avaliação!$O:$O,A697,Avaliação!$N:$N))+(SUMIF(Avaliação!$S:$S,A697,Avaliação!$R:$R))</f>
        <v>0</v>
      </c>
      <c r="D697" s="775">
        <f>(SUMIF(Avaliação!$AA:$AA,A697,Avaliação!$Z:$Z))+(SUMIF(Avaliação!$AD:$AD,A697,Avaliação!$AC:$AC))+(SUMIF(Avaliação!$AG:$AG,A697,Avaliação!$AF:$AF))</f>
        <v>0</v>
      </c>
    </row>
    <row r="698" spans="1:4">
      <c r="A698" s="157" t="s">
        <v>4577</v>
      </c>
      <c r="B698" s="195" t="s">
        <v>4578</v>
      </c>
      <c r="C698" s="775">
        <f>(SUMIF(Avaliação!$K:$K,A698,Avaliação!$J:$J))+(SUMIF(Avaliação!$O:$O,A698,Avaliação!$N:$N))+(SUMIF(Avaliação!$S:$S,A698,Avaliação!$R:$R))</f>
        <v>0</v>
      </c>
      <c r="D698" s="775">
        <f>(SUMIF(Avaliação!$AA:$AA,A698,Avaliação!$Z:$Z))+(SUMIF(Avaliação!$AD:$AD,A698,Avaliação!$AC:$AC))+(SUMIF(Avaliação!$AG:$AG,A698,Avaliação!$AF:$AF))</f>
        <v>0</v>
      </c>
    </row>
    <row r="699" spans="1:4">
      <c r="A699" s="157" t="s">
        <v>4579</v>
      </c>
      <c r="B699" s="195" t="s">
        <v>4580</v>
      </c>
      <c r="C699" s="775">
        <f>(SUMIF(Avaliação!$K:$K,A699,Avaliação!$J:$J))+(SUMIF(Avaliação!$O:$O,A699,Avaliação!$N:$N))+(SUMIF(Avaliação!$S:$S,A699,Avaliação!$R:$R))</f>
        <v>0</v>
      </c>
      <c r="D699" s="775">
        <f>(SUMIF(Avaliação!$AA:$AA,A699,Avaliação!$Z:$Z))+(SUMIF(Avaliação!$AD:$AD,A699,Avaliação!$AC:$AC))+(SUMIF(Avaliação!$AG:$AG,A699,Avaliação!$AF:$AF))</f>
        <v>0</v>
      </c>
    </row>
    <row r="700" spans="1:4">
      <c r="A700" s="157" t="s">
        <v>4581</v>
      </c>
      <c r="B700" s="195" t="s">
        <v>4582</v>
      </c>
      <c r="C700" s="775">
        <f>(SUMIF(Avaliação!$K:$K,A700,Avaliação!$J:$J))+(SUMIF(Avaliação!$O:$O,A700,Avaliação!$N:$N))+(SUMIF(Avaliação!$S:$S,A700,Avaliação!$R:$R))</f>
        <v>0</v>
      </c>
      <c r="D700" s="775">
        <f>(SUMIF(Avaliação!$AA:$AA,A700,Avaliação!$Z:$Z))+(SUMIF(Avaliação!$AD:$AD,A700,Avaliação!$AC:$AC))+(SUMIF(Avaliação!$AG:$AG,A700,Avaliação!$AF:$AF))</f>
        <v>0</v>
      </c>
    </row>
    <row r="701" spans="1:4">
      <c r="A701" s="845" t="s">
        <v>4583</v>
      </c>
      <c r="B701" s="846" t="s">
        <v>4584</v>
      </c>
      <c r="C701" s="775">
        <f>(SUMIF(Avaliação!$K:$K,A701,Avaliação!$J:$J))+(SUMIF(Avaliação!$O:$O,A701,Avaliação!$N:$N))+(SUMIF(Avaliação!$S:$S,A701,Avaliação!$R:$R))</f>
        <v>0</v>
      </c>
      <c r="D701" s="847">
        <f>(SUMIF(Avaliação!$AA:$AA,A701,Avaliação!$Z:$Z))+(SUMIF(Avaliação!$AD:$AD,A701,Avaliação!$AC:$AC))+(SUMIF(Avaliação!$AG:$AG,A701,Avaliação!$AF:$AF))</f>
        <v>0</v>
      </c>
    </row>
    <row r="702" spans="1:4">
      <c r="A702" s="157" t="s">
        <v>4585</v>
      </c>
      <c r="B702" s="195" t="s">
        <v>4586</v>
      </c>
      <c r="C702" s="775">
        <f>(SUMIF(Avaliação!$K:$K,A702,Avaliação!$J:$J))+(SUMIF(Avaliação!$O:$O,A702,Avaliação!$N:$N))+(SUMIF(Avaliação!$S:$S,A702,Avaliação!$R:$R))</f>
        <v>0</v>
      </c>
      <c r="D702" s="775">
        <f>(SUMIF(Avaliação!$AA:$AA,A702,Avaliação!$Z:$Z))+(SUMIF(Avaliação!$AD:$AD,A702,Avaliação!$AC:$AC))+(SUMIF(Avaliação!$AG:$AG,A702,Avaliação!$AF:$AF))</f>
        <v>0</v>
      </c>
    </row>
    <row r="703" spans="1:4">
      <c r="A703" s="157" t="s">
        <v>4587</v>
      </c>
      <c r="B703" s="195" t="s">
        <v>4588</v>
      </c>
      <c r="C703" s="775">
        <f>(SUMIF(Avaliação!$K:$K,A703,Avaliação!$J:$J))+(SUMIF(Avaliação!$O:$O,A703,Avaliação!$N:$N))+(SUMIF(Avaliação!$S:$S,A703,Avaliação!$R:$R))</f>
        <v>0</v>
      </c>
      <c r="D703" s="775">
        <f>(SUMIF(Avaliação!$AA:$AA,A703,Avaliação!$Z:$Z))+(SUMIF(Avaliação!$AD:$AD,A703,Avaliação!$AC:$AC))+(SUMIF(Avaliação!$AG:$AG,A703,Avaliação!$AF:$AF))</f>
        <v>0</v>
      </c>
    </row>
    <row r="704" spans="1:4">
      <c r="A704" s="157" t="s">
        <v>4589</v>
      </c>
      <c r="B704" s="195" t="s">
        <v>4590</v>
      </c>
      <c r="C704" s="775">
        <f>(SUMIF(Avaliação!$K:$K,A704,Avaliação!$J:$J))+(SUMIF(Avaliação!$O:$O,A704,Avaliação!$N:$N))+(SUMIF(Avaliação!$S:$S,A704,Avaliação!$R:$R))</f>
        <v>0</v>
      </c>
      <c r="D704" s="775">
        <f>(SUMIF(Avaliação!$AA:$AA,A704,Avaliação!$Z:$Z))+(SUMIF(Avaliação!$AD:$AD,A704,Avaliação!$AC:$AC))+(SUMIF(Avaliação!$AG:$AG,A704,Avaliação!$AF:$AF))</f>
        <v>0</v>
      </c>
    </row>
    <row r="705" spans="1:4">
      <c r="A705" s="157" t="s">
        <v>4591</v>
      </c>
      <c r="B705" s="195" t="s">
        <v>4592</v>
      </c>
      <c r="C705" s="775">
        <f>(SUMIF(Avaliação!$K:$K,A705,Avaliação!$J:$J))+(SUMIF(Avaliação!$O:$O,A705,Avaliação!$N:$N))+(SUMIF(Avaliação!$S:$S,A705,Avaliação!$R:$R))</f>
        <v>0</v>
      </c>
      <c r="D705" s="775">
        <f>(SUMIF(Avaliação!$AA:$AA,A705,Avaliação!$Z:$Z))+(SUMIF(Avaliação!$AD:$AD,A705,Avaliação!$AC:$AC))+(SUMIF(Avaliação!$AG:$AG,A705,Avaliação!$AF:$AF))</f>
        <v>0</v>
      </c>
    </row>
    <row r="706" spans="1:4">
      <c r="A706" s="157" t="s">
        <v>4593</v>
      </c>
      <c r="B706" s="195" t="s">
        <v>4594</v>
      </c>
      <c r="C706" s="775">
        <f>(SUMIF(Avaliação!$K:$K,A706,Avaliação!$J:$J))+(SUMIF(Avaliação!$O:$O,A706,Avaliação!$N:$N))+(SUMIF(Avaliação!$S:$S,A706,Avaliação!$R:$R))</f>
        <v>0</v>
      </c>
      <c r="D706" s="775">
        <f>(SUMIF(Avaliação!$AA:$AA,A706,Avaliação!$Z:$Z))+(SUMIF(Avaliação!$AD:$AD,A706,Avaliação!$AC:$AC))+(SUMIF(Avaliação!$AG:$AG,A706,Avaliação!$AF:$AF))</f>
        <v>0</v>
      </c>
    </row>
    <row r="707" spans="1:4">
      <c r="A707" s="157" t="s">
        <v>4595</v>
      </c>
      <c r="B707" s="195" t="s">
        <v>4596</v>
      </c>
      <c r="C707" s="775">
        <f>(SUMIF(Avaliação!$K:$K,A707,Avaliação!$J:$J))+(SUMIF(Avaliação!$O:$O,A707,Avaliação!$N:$N))+(SUMIF(Avaliação!$S:$S,A707,Avaliação!$R:$R))</f>
        <v>0</v>
      </c>
      <c r="D707" s="775">
        <f>(SUMIF(Avaliação!$AA:$AA,A707,Avaliação!$Z:$Z))+(SUMIF(Avaliação!$AD:$AD,A707,Avaliação!$AC:$AC))+(SUMIF(Avaliação!$AG:$AG,A707,Avaliação!$AF:$AF))</f>
        <v>0</v>
      </c>
    </row>
    <row r="708" spans="1:4">
      <c r="A708" s="157" t="s">
        <v>4597</v>
      </c>
      <c r="B708" s="195" t="s">
        <v>4598</v>
      </c>
      <c r="C708" s="775">
        <f>(SUMIF(Avaliação!$K:$K,A708,Avaliação!$J:$J))+(SUMIF(Avaliação!$O:$O,A708,Avaliação!$N:$N))+(SUMIF(Avaliação!$S:$S,A708,Avaliação!$R:$R))</f>
        <v>0</v>
      </c>
      <c r="D708" s="775">
        <f>(SUMIF(Avaliação!$AA:$AA,A708,Avaliação!$Z:$Z))+(SUMIF(Avaliação!$AD:$AD,A708,Avaliação!$AC:$AC))+(SUMIF(Avaliação!$AG:$AG,A708,Avaliação!$AF:$AF))</f>
        <v>0</v>
      </c>
    </row>
    <row r="709" spans="1:4">
      <c r="A709" s="157" t="s">
        <v>4599</v>
      </c>
      <c r="B709" s="195" t="s">
        <v>4600</v>
      </c>
      <c r="C709" s="775">
        <f>(SUMIF(Avaliação!$K:$K,A709,Avaliação!$J:$J))+(SUMIF(Avaliação!$O:$O,A709,Avaliação!$N:$N))+(SUMIF(Avaliação!$S:$S,A709,Avaliação!$R:$R))</f>
        <v>0</v>
      </c>
      <c r="D709" s="775">
        <f>(SUMIF(Avaliação!$AA:$AA,A709,Avaliação!$Z:$Z))+(SUMIF(Avaliação!$AD:$AD,A709,Avaliação!$AC:$AC))+(SUMIF(Avaliação!$AG:$AG,A709,Avaliação!$AF:$AF))</f>
        <v>0</v>
      </c>
    </row>
    <row r="710" spans="1:4">
      <c r="A710" s="157" t="s">
        <v>4601</v>
      </c>
      <c r="B710" s="195" t="s">
        <v>4602</v>
      </c>
      <c r="C710" s="775">
        <f>(SUMIF(Avaliação!$K:$K,A710,Avaliação!$J:$J))+(SUMIF(Avaliação!$O:$O,A710,Avaliação!$N:$N))+(SUMIF(Avaliação!$S:$S,A710,Avaliação!$R:$R))</f>
        <v>0</v>
      </c>
      <c r="D710" s="775">
        <f>(SUMIF(Avaliação!$AA:$AA,A710,Avaliação!$Z:$Z))+(SUMIF(Avaliação!$AD:$AD,A710,Avaliação!$AC:$AC))+(SUMIF(Avaliação!$AG:$AG,A710,Avaliação!$AF:$AF))</f>
        <v>0</v>
      </c>
    </row>
    <row r="711" spans="1:4">
      <c r="A711" s="157" t="s">
        <v>4603</v>
      </c>
      <c r="B711" s="195" t="s">
        <v>4604</v>
      </c>
      <c r="C711" s="775">
        <f>(SUMIF(Avaliação!$K:$K,A711,Avaliação!$J:$J))+(SUMIF(Avaliação!$O:$O,A711,Avaliação!$N:$N))+(SUMIF(Avaliação!$S:$S,A711,Avaliação!$R:$R))</f>
        <v>0</v>
      </c>
      <c r="D711" s="775">
        <f>(SUMIF(Avaliação!$AA:$AA,A711,Avaliação!$Z:$Z))+(SUMIF(Avaliação!$AD:$AD,A711,Avaliação!$AC:$AC))+(SUMIF(Avaliação!$AG:$AG,A711,Avaliação!$AF:$AF))</f>
        <v>0</v>
      </c>
    </row>
    <row r="712" spans="1:4">
      <c r="A712" s="157" t="s">
        <v>4605</v>
      </c>
      <c r="B712" s="195" t="s">
        <v>4606</v>
      </c>
      <c r="C712" s="775">
        <f>(SUMIF(Avaliação!$K:$K,A712,Avaliação!$J:$J))+(SUMIF(Avaliação!$O:$O,A712,Avaliação!$N:$N))+(SUMIF(Avaliação!$S:$S,A712,Avaliação!$R:$R))</f>
        <v>0</v>
      </c>
      <c r="D712" s="775">
        <f>(SUMIF(Avaliação!$AA:$AA,A712,Avaliação!$Z:$Z))+(SUMIF(Avaliação!$AD:$AD,A712,Avaliação!$AC:$AC))+(SUMIF(Avaliação!$AG:$AG,A712,Avaliação!$AF:$AF))</f>
        <v>0</v>
      </c>
    </row>
    <row r="713" spans="1:4">
      <c r="A713" s="848" t="s">
        <v>4607</v>
      </c>
      <c r="B713" s="849" t="s">
        <v>4608</v>
      </c>
      <c r="C713" s="775">
        <f>(SUMIF(Avaliação!$K:$K,A713,Avaliação!$J:$J))+(SUMIF(Avaliação!$O:$O,A713,Avaliação!$N:$N))+(SUMIF(Avaliação!$S:$S,A713,Avaliação!$R:$R))</f>
        <v>2</v>
      </c>
      <c r="D713" s="850">
        <f>(SUMIF(Avaliação!$AA:$AA,A713,Avaliação!$Z:$Z))+(SUMIF(Avaliação!$AD:$AD,A713,Avaliação!$AC:$AC))+(SUMIF(Avaliação!$AG:$AG,A713,Avaliação!$AF:$AF))</f>
        <v>0</v>
      </c>
    </row>
    <row r="714" spans="1:4">
      <c r="A714" s="157" t="s">
        <v>4609</v>
      </c>
      <c r="B714" s="195" t="s">
        <v>4610</v>
      </c>
      <c r="C714" s="775">
        <f>(SUMIF(Avaliação!$K:$K,A714,Avaliação!$J:$J))+(SUMIF(Avaliação!$O:$O,A714,Avaliação!$N:$N))+(SUMIF(Avaliação!$S:$S,A714,Avaliação!$R:$R))</f>
        <v>0</v>
      </c>
      <c r="D714" s="775">
        <f>(SUMIF(Avaliação!$AA:$AA,A714,Avaliação!$Z:$Z))+(SUMIF(Avaliação!$AD:$AD,A714,Avaliação!$AC:$AC))+(SUMIF(Avaliação!$AG:$AG,A714,Avaliação!$AF:$AF))</f>
        <v>0</v>
      </c>
    </row>
    <row r="715" spans="1:4">
      <c r="A715" s="157" t="s">
        <v>4611</v>
      </c>
      <c r="B715" s="195" t="s">
        <v>4612</v>
      </c>
      <c r="C715" s="775">
        <f>(SUMIF(Avaliação!$K:$K,A715,Avaliação!$J:$J))+(SUMIF(Avaliação!$O:$O,A715,Avaliação!$N:$N))+(SUMIF(Avaliação!$S:$S,A715,Avaliação!$R:$R))</f>
        <v>0</v>
      </c>
      <c r="D715" s="775">
        <f>(SUMIF(Avaliação!$AA:$AA,A715,Avaliação!$Z:$Z))+(SUMIF(Avaliação!$AD:$AD,A715,Avaliação!$AC:$AC))+(SUMIF(Avaliação!$AG:$AG,A715,Avaliação!$AF:$AF))</f>
        <v>0</v>
      </c>
    </row>
    <row r="716" spans="1:4">
      <c r="A716" s="157" t="s">
        <v>4613</v>
      </c>
      <c r="B716" s="195" t="s">
        <v>4614</v>
      </c>
      <c r="C716" s="775">
        <f>(SUMIF(Avaliação!$K:$K,A716,Avaliação!$J:$J))+(SUMIF(Avaliação!$O:$O,A716,Avaliação!$N:$N))+(SUMIF(Avaliação!$S:$S,A716,Avaliação!$R:$R))</f>
        <v>0</v>
      </c>
      <c r="D716" s="775">
        <f>(SUMIF(Avaliação!$AA:$AA,A716,Avaliação!$Z:$Z))+(SUMIF(Avaliação!$AD:$AD,A716,Avaliação!$AC:$AC))+(SUMIF(Avaliação!$AG:$AG,A716,Avaliação!$AF:$AF))</f>
        <v>0</v>
      </c>
    </row>
    <row r="717" spans="1:4">
      <c r="A717" s="157" t="s">
        <v>4615</v>
      </c>
      <c r="B717" s="195" t="s">
        <v>4616</v>
      </c>
      <c r="C717" s="775">
        <f>(SUMIF(Avaliação!$K:$K,A717,Avaliação!$J:$J))+(SUMIF(Avaliação!$O:$O,A717,Avaliação!$N:$N))+(SUMIF(Avaliação!$S:$S,A717,Avaliação!$R:$R))</f>
        <v>0</v>
      </c>
      <c r="D717" s="775">
        <f>(SUMIF(Avaliação!$AA:$AA,A717,Avaliação!$Z:$Z))+(SUMIF(Avaliação!$AD:$AD,A717,Avaliação!$AC:$AC))+(SUMIF(Avaliação!$AG:$AG,A717,Avaliação!$AF:$AF))</f>
        <v>0</v>
      </c>
    </row>
    <row r="718" spans="1:4">
      <c r="A718" s="157" t="s">
        <v>4617</v>
      </c>
      <c r="B718" s="195" t="s">
        <v>4618</v>
      </c>
      <c r="C718" s="775">
        <f>(SUMIF(Avaliação!$K:$K,A718,Avaliação!$J:$J))+(SUMIF(Avaliação!$O:$O,A718,Avaliação!$N:$N))+(SUMIF(Avaliação!$S:$S,A718,Avaliação!$R:$R))</f>
        <v>0</v>
      </c>
      <c r="D718" s="775">
        <f>(SUMIF(Avaliação!$AA:$AA,A718,Avaliação!$Z:$Z))+(SUMIF(Avaliação!$AD:$AD,A718,Avaliação!$AC:$AC))+(SUMIF(Avaliação!$AG:$AG,A718,Avaliação!$AF:$AF))</f>
        <v>0</v>
      </c>
    </row>
    <row r="719" spans="1:4">
      <c r="A719" s="157" t="s">
        <v>4619</v>
      </c>
      <c r="B719" s="195" t="s">
        <v>4620</v>
      </c>
      <c r="C719" s="775">
        <f>(SUMIF(Avaliação!$K:$K,A719,Avaliação!$J:$J))+(SUMIF(Avaliação!$O:$O,A719,Avaliação!$N:$N))+(SUMIF(Avaliação!$S:$S,A719,Avaliação!$R:$R))</f>
        <v>0</v>
      </c>
      <c r="D719" s="775">
        <f>(SUMIF(Avaliação!$AA:$AA,A719,Avaliação!$Z:$Z))+(SUMIF(Avaliação!$AD:$AD,A719,Avaliação!$AC:$AC))+(SUMIF(Avaliação!$AG:$AG,A719,Avaliação!$AF:$AF))</f>
        <v>0</v>
      </c>
    </row>
    <row r="720" spans="1:4">
      <c r="A720" s="845" t="s">
        <v>4621</v>
      </c>
      <c r="B720" s="846" t="s">
        <v>4622</v>
      </c>
      <c r="C720" s="775">
        <f>(SUMIF(Avaliação!$K:$K,A720,Avaliação!$J:$J))+(SUMIF(Avaliação!$O:$O,A720,Avaliação!$N:$N))+(SUMIF(Avaliação!$S:$S,A720,Avaliação!$R:$R))</f>
        <v>1</v>
      </c>
      <c r="D720" s="847">
        <f>(SUMIF(Avaliação!$AA:$AA,A720,Avaliação!$Z:$Z))+(SUMIF(Avaliação!$AD:$AD,A720,Avaliação!$AC:$AC))+(SUMIF(Avaliação!$AG:$AG,A720,Avaliação!$AF:$AF))</f>
        <v>0</v>
      </c>
    </row>
    <row r="721" spans="1:4">
      <c r="A721" s="157" t="s">
        <v>4623</v>
      </c>
      <c r="B721" s="195" t="s">
        <v>4624</v>
      </c>
      <c r="C721" s="775">
        <f>(SUMIF(Avaliação!$K:$K,A721,Avaliação!$J:$J))+(SUMIF(Avaliação!$O:$O,A721,Avaliação!$N:$N))+(SUMIF(Avaliação!$S:$S,A721,Avaliação!$R:$R))</f>
        <v>0</v>
      </c>
      <c r="D721" s="775">
        <f>(SUMIF(Avaliação!$AA:$AA,A721,Avaliação!$Z:$Z))+(SUMIF(Avaliação!$AD:$AD,A721,Avaliação!$AC:$AC))+(SUMIF(Avaliação!$AG:$AG,A721,Avaliação!$AF:$AF))</f>
        <v>0</v>
      </c>
    </row>
    <row r="722" spans="1:4">
      <c r="A722" s="845" t="s">
        <v>4625</v>
      </c>
      <c r="B722" s="846" t="s">
        <v>4626</v>
      </c>
      <c r="C722" s="775">
        <f>(SUMIF(Avaliação!$K:$K,A722,Avaliação!$J:$J))+(SUMIF(Avaliação!$O:$O,A722,Avaliação!$N:$N))+(SUMIF(Avaliação!$S:$S,A722,Avaliação!$R:$R))</f>
        <v>1</v>
      </c>
      <c r="D722" s="847">
        <f>(SUMIF(Avaliação!$AA:$AA,A722,Avaliação!$Z:$Z))+(SUMIF(Avaliação!$AD:$AD,A722,Avaliação!$AC:$AC))+(SUMIF(Avaliação!$AG:$AG,A722,Avaliação!$AF:$AF))</f>
        <v>0</v>
      </c>
    </row>
    <row r="723" spans="1:4">
      <c r="A723" s="157" t="s">
        <v>4627</v>
      </c>
      <c r="B723" s="195" t="s">
        <v>4628</v>
      </c>
      <c r="C723" s="775">
        <f>(SUMIF(Avaliação!$K:$K,A723,Avaliação!$J:$J))+(SUMIF(Avaliação!$O:$O,A723,Avaliação!$N:$N))+(SUMIF(Avaliação!$S:$S,A723,Avaliação!$R:$R))</f>
        <v>0</v>
      </c>
      <c r="D723" s="775">
        <f>(SUMIF(Avaliação!$AA:$AA,A723,Avaliação!$Z:$Z))+(SUMIF(Avaliação!$AD:$AD,A723,Avaliação!$AC:$AC))+(SUMIF(Avaliação!$AG:$AG,A723,Avaliação!$AF:$AF))</f>
        <v>0</v>
      </c>
    </row>
    <row r="724" spans="1:4">
      <c r="A724" s="157" t="s">
        <v>4629</v>
      </c>
      <c r="B724" s="195" t="s">
        <v>4630</v>
      </c>
      <c r="C724" s="775">
        <f>(SUMIF(Avaliação!$K:$K,A724,Avaliação!$J:$J))+(SUMIF(Avaliação!$O:$O,A724,Avaliação!$N:$N))+(SUMIF(Avaliação!$S:$S,A724,Avaliação!$R:$R))</f>
        <v>0</v>
      </c>
      <c r="D724" s="775">
        <f>(SUMIF(Avaliação!$AA:$AA,A724,Avaliação!$Z:$Z))+(SUMIF(Avaliação!$AD:$AD,A724,Avaliação!$AC:$AC))+(SUMIF(Avaliação!$AG:$AG,A724,Avaliação!$AF:$AF))</f>
        <v>0</v>
      </c>
    </row>
    <row r="725" spans="1:4">
      <c r="A725" s="157" t="s">
        <v>4631</v>
      </c>
      <c r="B725" s="195" t="s">
        <v>4632</v>
      </c>
      <c r="C725" s="775">
        <f>(SUMIF(Avaliação!$K:$K,A725,Avaliação!$J:$J))+(SUMIF(Avaliação!$O:$O,A725,Avaliação!$N:$N))+(SUMIF(Avaliação!$S:$S,A725,Avaliação!$R:$R))</f>
        <v>0</v>
      </c>
      <c r="D725" s="775">
        <f>(SUMIF(Avaliação!$AA:$AA,A725,Avaliação!$Z:$Z))+(SUMIF(Avaliação!$AD:$AD,A725,Avaliação!$AC:$AC))+(SUMIF(Avaliação!$AG:$AG,A725,Avaliação!$AF:$AF))</f>
        <v>0</v>
      </c>
    </row>
    <row r="726" spans="1:4">
      <c r="A726" s="157" t="s">
        <v>4633</v>
      </c>
      <c r="B726" s="195" t="s">
        <v>4634</v>
      </c>
      <c r="C726" s="775">
        <f>(SUMIF(Avaliação!$K:$K,A726,Avaliação!$J:$J))+(SUMIF(Avaliação!$O:$O,A726,Avaliação!$N:$N))+(SUMIF(Avaliação!$S:$S,A726,Avaliação!$R:$R))</f>
        <v>0</v>
      </c>
      <c r="D726" s="775">
        <f>(SUMIF(Avaliação!$AA:$AA,A726,Avaliação!$Z:$Z))+(SUMIF(Avaliação!$AD:$AD,A726,Avaliação!$AC:$AC))+(SUMIF(Avaliação!$AG:$AG,A726,Avaliação!$AF:$AF))</f>
        <v>0</v>
      </c>
    </row>
    <row r="727" spans="1:4">
      <c r="A727" s="157" t="s">
        <v>4635</v>
      </c>
      <c r="B727" s="195" t="s">
        <v>4636</v>
      </c>
      <c r="C727" s="775">
        <f>(SUMIF(Avaliação!$K:$K,A727,Avaliação!$J:$J))+(SUMIF(Avaliação!$O:$O,A727,Avaliação!$N:$N))+(SUMIF(Avaliação!$S:$S,A727,Avaliação!$R:$R))</f>
        <v>0</v>
      </c>
      <c r="D727" s="775">
        <f>(SUMIF(Avaliação!$AA:$AA,A727,Avaliação!$Z:$Z))+(SUMIF(Avaliação!$AD:$AD,A727,Avaliação!$AC:$AC))+(SUMIF(Avaliação!$AG:$AG,A727,Avaliação!$AF:$AF))</f>
        <v>0</v>
      </c>
    </row>
    <row r="728" spans="1:4">
      <c r="A728" s="157" t="s">
        <v>4637</v>
      </c>
      <c r="B728" s="195" t="s">
        <v>4638</v>
      </c>
      <c r="C728" s="775">
        <f>(SUMIF(Avaliação!$K:$K,A728,Avaliação!$J:$J))+(SUMIF(Avaliação!$O:$O,A728,Avaliação!$N:$N))+(SUMIF(Avaliação!$S:$S,A728,Avaliação!$R:$R))</f>
        <v>0</v>
      </c>
      <c r="D728" s="775">
        <f>(SUMIF(Avaliação!$AA:$AA,A728,Avaliação!$Z:$Z))+(SUMIF(Avaliação!$AD:$AD,A728,Avaliação!$AC:$AC))+(SUMIF(Avaliação!$AG:$AG,A728,Avaliação!$AF:$AF))</f>
        <v>0</v>
      </c>
    </row>
    <row r="729" spans="1:4">
      <c r="A729" s="157" t="s">
        <v>4639</v>
      </c>
      <c r="B729" s="195" t="s">
        <v>4640</v>
      </c>
      <c r="C729" s="775">
        <f>(SUMIF(Avaliação!$K:$K,A729,Avaliação!$J:$J))+(SUMIF(Avaliação!$O:$O,A729,Avaliação!$N:$N))+(SUMIF(Avaliação!$S:$S,A729,Avaliação!$R:$R))</f>
        <v>0</v>
      </c>
      <c r="D729" s="775">
        <f>(SUMIF(Avaliação!$AA:$AA,A729,Avaliação!$Z:$Z))+(SUMIF(Avaliação!$AD:$AD,A729,Avaliação!$AC:$AC))+(SUMIF(Avaliação!$AG:$AG,A729,Avaliação!$AF:$AF))</f>
        <v>0</v>
      </c>
    </row>
    <row r="730" spans="1:4">
      <c r="A730" s="157" t="s">
        <v>4641</v>
      </c>
      <c r="B730" s="195" t="s">
        <v>4642</v>
      </c>
      <c r="C730" s="775">
        <f>(SUMIF(Avaliação!$K:$K,A730,Avaliação!$J:$J))+(SUMIF(Avaliação!$O:$O,A730,Avaliação!$N:$N))+(SUMIF(Avaliação!$S:$S,A730,Avaliação!$R:$R))</f>
        <v>0</v>
      </c>
      <c r="D730" s="775">
        <f>(SUMIF(Avaliação!$AA:$AA,A730,Avaliação!$Z:$Z))+(SUMIF(Avaliação!$AD:$AD,A730,Avaliação!$AC:$AC))+(SUMIF(Avaliação!$AG:$AG,A730,Avaliação!$AF:$AF))</f>
        <v>0</v>
      </c>
    </row>
    <row r="731" spans="1:4">
      <c r="A731" s="157" t="s">
        <v>4643</v>
      </c>
      <c r="B731" s="195" t="s">
        <v>4644</v>
      </c>
      <c r="C731" s="775">
        <f>(SUMIF(Avaliação!$K:$K,A731,Avaliação!$J:$J))+(SUMIF(Avaliação!$O:$O,A731,Avaliação!$N:$N))+(SUMIF(Avaliação!$S:$S,A731,Avaliação!$R:$R))</f>
        <v>0</v>
      </c>
      <c r="D731" s="775">
        <f>(SUMIF(Avaliação!$AA:$AA,A731,Avaliação!$Z:$Z))+(SUMIF(Avaliação!$AD:$AD,A731,Avaliação!$AC:$AC))+(SUMIF(Avaliação!$AG:$AG,A731,Avaliação!$AF:$AF))</f>
        <v>0</v>
      </c>
    </row>
    <row r="732" spans="1:4">
      <c r="A732" s="157" t="s">
        <v>4645</v>
      </c>
      <c r="B732" s="195" t="s">
        <v>4646</v>
      </c>
      <c r="C732" s="775">
        <f>(SUMIF(Avaliação!$K:$K,A732,Avaliação!$J:$J))+(SUMIF(Avaliação!$O:$O,A732,Avaliação!$N:$N))+(SUMIF(Avaliação!$S:$S,A732,Avaliação!$R:$R))</f>
        <v>0</v>
      </c>
      <c r="D732" s="775">
        <f>(SUMIF(Avaliação!$AA:$AA,A732,Avaliação!$Z:$Z))+(SUMIF(Avaliação!$AD:$AD,A732,Avaliação!$AC:$AC))+(SUMIF(Avaliação!$AG:$AG,A732,Avaliação!$AF:$AF))</f>
        <v>0</v>
      </c>
    </row>
    <row r="733" spans="1:4">
      <c r="A733" s="157" t="s">
        <v>4647</v>
      </c>
      <c r="B733" s="195" t="s">
        <v>4648</v>
      </c>
      <c r="C733" s="775">
        <f>(SUMIF(Avaliação!$K:$K,A733,Avaliação!$J:$J))+(SUMIF(Avaliação!$O:$O,A733,Avaliação!$N:$N))+(SUMIF(Avaliação!$S:$S,A733,Avaliação!$R:$R))</f>
        <v>0</v>
      </c>
      <c r="D733" s="775">
        <f>(SUMIF(Avaliação!$AA:$AA,A733,Avaliação!$Z:$Z))+(SUMIF(Avaliação!$AD:$AD,A733,Avaliação!$AC:$AC))+(SUMIF(Avaliação!$AG:$AG,A733,Avaliação!$AF:$AF))</f>
        <v>0</v>
      </c>
    </row>
    <row r="734" spans="1:4">
      <c r="A734" s="157" t="s">
        <v>4649</v>
      </c>
      <c r="B734" s="195" t="s">
        <v>4650</v>
      </c>
      <c r="C734" s="775">
        <f>(SUMIF(Avaliação!$K:$K,A734,Avaliação!$J:$J))+(SUMIF(Avaliação!$O:$O,A734,Avaliação!$N:$N))+(SUMIF(Avaliação!$S:$S,A734,Avaliação!$R:$R))</f>
        <v>0</v>
      </c>
      <c r="D734" s="775">
        <f>(SUMIF(Avaliação!$AA:$AA,A734,Avaliação!$Z:$Z))+(SUMIF(Avaliação!$AD:$AD,A734,Avaliação!$AC:$AC))+(SUMIF(Avaliação!$AG:$AG,A734,Avaliação!$AF:$AF))</f>
        <v>0</v>
      </c>
    </row>
    <row r="735" spans="1:4">
      <c r="A735" s="157" t="s">
        <v>4651</v>
      </c>
      <c r="B735" s="195" t="s">
        <v>4652</v>
      </c>
      <c r="C735" s="775">
        <f>(SUMIF(Avaliação!$K:$K,A735,Avaliação!$J:$J))+(SUMIF(Avaliação!$O:$O,A735,Avaliação!$N:$N))+(SUMIF(Avaliação!$S:$S,A735,Avaliação!$R:$R))</f>
        <v>0</v>
      </c>
      <c r="D735" s="775">
        <f>(SUMIF(Avaliação!$AA:$AA,A735,Avaliação!$Z:$Z))+(SUMIF(Avaliação!$AD:$AD,A735,Avaliação!$AC:$AC))+(SUMIF(Avaliação!$AG:$AG,A735,Avaliação!$AF:$AF))</f>
        <v>0</v>
      </c>
    </row>
    <row r="736" spans="1:4">
      <c r="A736" s="845" t="s">
        <v>4653</v>
      </c>
      <c r="B736" s="846" t="s">
        <v>4654</v>
      </c>
      <c r="C736" s="775">
        <f>(SUMIF(Avaliação!$K:$K,A736,Avaliação!$J:$J))+(SUMIF(Avaliação!$O:$O,A736,Avaliação!$N:$N))+(SUMIF(Avaliação!$S:$S,A736,Avaliação!$R:$R))</f>
        <v>4</v>
      </c>
      <c r="D736" s="847">
        <f>(SUMIF(Avaliação!$AA:$AA,A736,Avaliação!$Z:$Z))+(SUMIF(Avaliação!$AD:$AD,A736,Avaliação!$AC:$AC))+(SUMIF(Avaliação!$AG:$AG,A736,Avaliação!$AF:$AF))</f>
        <v>0</v>
      </c>
    </row>
    <row r="737" spans="1:4">
      <c r="A737" s="157" t="s">
        <v>4655</v>
      </c>
      <c r="B737" s="195" t="s">
        <v>4656</v>
      </c>
      <c r="C737" s="775">
        <f>(SUMIF(Avaliação!$K:$K,A737,Avaliação!$J:$J))+(SUMIF(Avaliação!$O:$O,A737,Avaliação!$N:$N))+(SUMIF(Avaliação!$S:$S,A737,Avaliação!$R:$R))</f>
        <v>0</v>
      </c>
      <c r="D737" s="775">
        <f>(SUMIF(Avaliação!$AA:$AA,A737,Avaliação!$Z:$Z))+(SUMIF(Avaliação!$AD:$AD,A737,Avaliação!$AC:$AC))+(SUMIF(Avaliação!$AG:$AG,A737,Avaliação!$AF:$AF))</f>
        <v>0</v>
      </c>
    </row>
    <row r="738" spans="1:4">
      <c r="A738" s="157" t="s">
        <v>4657</v>
      </c>
      <c r="B738" s="195" t="s">
        <v>4658</v>
      </c>
      <c r="C738" s="775">
        <f>(SUMIF(Avaliação!$K:$K,A738,Avaliação!$J:$J))+(SUMIF(Avaliação!$O:$O,A738,Avaliação!$N:$N))+(SUMIF(Avaliação!$S:$S,A738,Avaliação!$R:$R))</f>
        <v>0</v>
      </c>
      <c r="D738" s="775">
        <f>(SUMIF(Avaliação!$AA:$AA,A738,Avaliação!$Z:$Z))+(SUMIF(Avaliação!$AD:$AD,A738,Avaliação!$AC:$AC))+(SUMIF(Avaliação!$AG:$AG,A738,Avaliação!$AF:$AF))</f>
        <v>0</v>
      </c>
    </row>
    <row r="739" spans="1:4">
      <c r="A739" s="157" t="s">
        <v>4659</v>
      </c>
      <c r="B739" s="195" t="s">
        <v>4660</v>
      </c>
      <c r="C739" s="775">
        <f>(SUMIF(Avaliação!$K:$K,A739,Avaliação!$J:$J))+(SUMIF(Avaliação!$O:$O,A739,Avaliação!$N:$N))+(SUMIF(Avaliação!$S:$S,A739,Avaliação!$R:$R))</f>
        <v>0</v>
      </c>
      <c r="D739" s="775">
        <f>(SUMIF(Avaliação!$AA:$AA,A739,Avaliação!$Z:$Z))+(SUMIF(Avaliação!$AD:$AD,A739,Avaliação!$AC:$AC))+(SUMIF(Avaliação!$AG:$AG,A739,Avaliação!$AF:$AF))</f>
        <v>0</v>
      </c>
    </row>
    <row r="740" spans="1:4">
      <c r="A740" s="157" t="s">
        <v>4661</v>
      </c>
      <c r="B740" s="195" t="s">
        <v>4662</v>
      </c>
      <c r="C740" s="775">
        <f>(SUMIF(Avaliação!$K:$K,A740,Avaliação!$J:$J))+(SUMIF(Avaliação!$O:$O,A740,Avaliação!$N:$N))+(SUMIF(Avaliação!$S:$S,A740,Avaliação!$R:$R))</f>
        <v>0</v>
      </c>
      <c r="D740" s="775">
        <f>(SUMIF(Avaliação!$AA:$AA,A740,Avaliação!$Z:$Z))+(SUMIF(Avaliação!$AD:$AD,A740,Avaliação!$AC:$AC))+(SUMIF(Avaliação!$AG:$AG,A740,Avaliação!$AF:$AF))</f>
        <v>0</v>
      </c>
    </row>
    <row r="741" spans="1:4">
      <c r="A741" s="157" t="s">
        <v>4663</v>
      </c>
      <c r="B741" s="195" t="s">
        <v>4664</v>
      </c>
      <c r="C741" s="775">
        <f>(SUMIF(Avaliação!$K:$K,A741,Avaliação!$J:$J))+(SUMIF(Avaliação!$O:$O,A741,Avaliação!$N:$N))+(SUMIF(Avaliação!$S:$S,A741,Avaliação!$R:$R))</f>
        <v>0</v>
      </c>
      <c r="D741" s="775">
        <f>(SUMIF(Avaliação!$AA:$AA,A741,Avaliação!$Z:$Z))+(SUMIF(Avaliação!$AD:$AD,A741,Avaliação!$AC:$AC))+(SUMIF(Avaliação!$AG:$AG,A741,Avaliação!$AF:$AF))</f>
        <v>0</v>
      </c>
    </row>
    <row r="742" spans="1:4">
      <c r="A742" s="157" t="s">
        <v>4665</v>
      </c>
      <c r="B742" s="195" t="s">
        <v>4666</v>
      </c>
      <c r="C742" s="775">
        <f>(SUMIF(Avaliação!$K:$K,A742,Avaliação!$J:$J))+(SUMIF(Avaliação!$O:$O,A742,Avaliação!$N:$N))+(SUMIF(Avaliação!$S:$S,A742,Avaliação!$R:$R))</f>
        <v>0</v>
      </c>
      <c r="D742" s="775">
        <f>(SUMIF(Avaliação!$AA:$AA,A742,Avaliação!$Z:$Z))+(SUMIF(Avaliação!$AD:$AD,A742,Avaliação!$AC:$AC))+(SUMIF(Avaliação!$AG:$AG,A742,Avaliação!$AF:$AF))</f>
        <v>0</v>
      </c>
    </row>
    <row r="743" spans="1:4">
      <c r="A743" s="157" t="s">
        <v>4667</v>
      </c>
      <c r="B743" s="195" t="s">
        <v>4668</v>
      </c>
      <c r="C743" s="775">
        <f>(SUMIF(Avaliação!$K:$K,A743,Avaliação!$J:$J))+(SUMIF(Avaliação!$O:$O,A743,Avaliação!$N:$N))+(SUMIF(Avaliação!$S:$S,A743,Avaliação!$R:$R))</f>
        <v>0</v>
      </c>
      <c r="D743" s="775">
        <f>(SUMIF(Avaliação!$AA:$AA,A743,Avaliação!$Z:$Z))+(SUMIF(Avaliação!$AD:$AD,A743,Avaliação!$AC:$AC))+(SUMIF(Avaliação!$AG:$AG,A743,Avaliação!$AF:$AF))</f>
        <v>0</v>
      </c>
    </row>
    <row r="744" spans="1:4">
      <c r="A744" s="157" t="s">
        <v>4669</v>
      </c>
      <c r="B744" s="195" t="s">
        <v>4670</v>
      </c>
      <c r="C744" s="775">
        <f>(SUMIF(Avaliação!$K:$K,A744,Avaliação!$J:$J))+(SUMIF(Avaliação!$O:$O,A744,Avaliação!$N:$N))+(SUMIF(Avaliação!$S:$S,A744,Avaliação!$R:$R))</f>
        <v>0</v>
      </c>
      <c r="D744" s="775">
        <f>(SUMIF(Avaliação!$AA:$AA,A744,Avaliação!$Z:$Z))+(SUMIF(Avaliação!$AD:$AD,A744,Avaliação!$AC:$AC))+(SUMIF(Avaliação!$AG:$AG,A744,Avaliação!$AF:$AF))</f>
        <v>0</v>
      </c>
    </row>
    <row r="745" spans="1:4">
      <c r="A745" s="157" t="s">
        <v>4671</v>
      </c>
      <c r="B745" s="195" t="s">
        <v>4672</v>
      </c>
      <c r="C745" s="775">
        <f>(SUMIF(Avaliação!$K:$K,A745,Avaliação!$J:$J))+(SUMIF(Avaliação!$O:$O,A745,Avaliação!$N:$N))+(SUMIF(Avaliação!$S:$S,A745,Avaliação!$R:$R))</f>
        <v>0</v>
      </c>
      <c r="D745" s="775">
        <f>(SUMIF(Avaliação!$AA:$AA,A745,Avaliação!$Z:$Z))+(SUMIF(Avaliação!$AD:$AD,A745,Avaliação!$AC:$AC))+(SUMIF(Avaliação!$AG:$AG,A745,Avaliação!$AF:$AF))</f>
        <v>0</v>
      </c>
    </row>
    <row r="746" spans="1:4">
      <c r="A746" s="157" t="s">
        <v>4673</v>
      </c>
      <c r="B746" s="195" t="s">
        <v>4674</v>
      </c>
      <c r="C746" s="775">
        <f>(SUMIF(Avaliação!$K:$K,A746,Avaliação!$J:$J))+(SUMIF(Avaliação!$O:$O,A746,Avaliação!$N:$N))+(SUMIF(Avaliação!$S:$S,A746,Avaliação!$R:$R))</f>
        <v>0</v>
      </c>
      <c r="D746" s="775">
        <f>(SUMIF(Avaliação!$AA:$AA,A746,Avaliação!$Z:$Z))+(SUMIF(Avaliação!$AD:$AD,A746,Avaliação!$AC:$AC))+(SUMIF(Avaliação!$AG:$AG,A746,Avaliação!$AF:$AF))</f>
        <v>0</v>
      </c>
    </row>
    <row r="747" spans="1:4">
      <c r="A747" s="157" t="s">
        <v>4675</v>
      </c>
      <c r="B747" s="195" t="s">
        <v>4676</v>
      </c>
      <c r="C747" s="775">
        <f>(SUMIF(Avaliação!$K:$K,A747,Avaliação!$J:$J))+(SUMIF(Avaliação!$O:$O,A747,Avaliação!$N:$N))+(SUMIF(Avaliação!$S:$S,A747,Avaliação!$R:$R))</f>
        <v>0</v>
      </c>
      <c r="D747" s="775">
        <f>(SUMIF(Avaliação!$AA:$AA,A747,Avaliação!$Z:$Z))+(SUMIF(Avaliação!$AD:$AD,A747,Avaliação!$AC:$AC))+(SUMIF(Avaliação!$AG:$AG,A747,Avaliação!$AF:$AF))</f>
        <v>0</v>
      </c>
    </row>
    <row r="748" spans="1:4">
      <c r="A748" s="157" t="s">
        <v>4677</v>
      </c>
      <c r="B748" s="195" t="s">
        <v>4678</v>
      </c>
      <c r="C748" s="775">
        <f>(SUMIF(Avaliação!$K:$K,A748,Avaliação!$J:$J))+(SUMIF(Avaliação!$O:$O,A748,Avaliação!$N:$N))+(SUMIF(Avaliação!$S:$S,A748,Avaliação!$R:$R))</f>
        <v>0</v>
      </c>
      <c r="D748" s="775">
        <f>(SUMIF(Avaliação!$AA:$AA,A748,Avaliação!$Z:$Z))+(SUMIF(Avaliação!$AD:$AD,A748,Avaliação!$AC:$AC))+(SUMIF(Avaliação!$AG:$AG,A748,Avaliação!$AF:$AF))</f>
        <v>0</v>
      </c>
    </row>
    <row r="749" spans="1:4">
      <c r="A749" s="157" t="s">
        <v>4679</v>
      </c>
      <c r="B749" s="195" t="s">
        <v>4680</v>
      </c>
      <c r="C749" s="775">
        <f>(SUMIF(Avaliação!$K:$K,A749,Avaliação!$J:$J))+(SUMIF(Avaliação!$O:$O,A749,Avaliação!$N:$N))+(SUMIF(Avaliação!$S:$S,A749,Avaliação!$R:$R))</f>
        <v>0</v>
      </c>
      <c r="D749" s="775">
        <f>(SUMIF(Avaliação!$AA:$AA,A749,Avaliação!$Z:$Z))+(SUMIF(Avaliação!$AD:$AD,A749,Avaliação!$AC:$AC))+(SUMIF(Avaliação!$AG:$AG,A749,Avaliação!$AF:$AF))</f>
        <v>0</v>
      </c>
    </row>
    <row r="750" spans="1:4">
      <c r="A750" s="157" t="s">
        <v>4681</v>
      </c>
      <c r="B750" s="195" t="s">
        <v>4682</v>
      </c>
      <c r="C750" s="775">
        <f>(SUMIF(Avaliação!$K:$K,A750,Avaliação!$J:$J))+(SUMIF(Avaliação!$O:$O,A750,Avaliação!$N:$N))+(SUMIF(Avaliação!$S:$S,A750,Avaliação!$R:$R))</f>
        <v>0</v>
      </c>
      <c r="D750" s="775">
        <f>(SUMIF(Avaliação!$AA:$AA,A750,Avaliação!$Z:$Z))+(SUMIF(Avaliação!$AD:$AD,A750,Avaliação!$AC:$AC))+(SUMIF(Avaliação!$AG:$AG,A750,Avaliação!$AF:$AF))</f>
        <v>0</v>
      </c>
    </row>
    <row r="751" spans="1:4">
      <c r="A751" s="157" t="s">
        <v>4683</v>
      </c>
      <c r="B751" s="195" t="s">
        <v>4684</v>
      </c>
      <c r="C751" s="775">
        <f>(SUMIF(Avaliação!$K:$K,A751,Avaliação!$J:$J))+(SUMIF(Avaliação!$O:$O,A751,Avaliação!$N:$N))+(SUMIF(Avaliação!$S:$S,A751,Avaliação!$R:$R))</f>
        <v>0</v>
      </c>
      <c r="D751" s="775">
        <f>(SUMIF(Avaliação!$AA:$AA,A751,Avaliação!$Z:$Z))+(SUMIF(Avaliação!$AD:$AD,A751,Avaliação!$AC:$AC))+(SUMIF(Avaliação!$AG:$AG,A751,Avaliação!$AF:$AF))</f>
        <v>0</v>
      </c>
    </row>
    <row r="752" spans="1:4">
      <c r="A752" s="157" t="s">
        <v>4685</v>
      </c>
      <c r="B752" s="195" t="s">
        <v>4686</v>
      </c>
      <c r="C752" s="775">
        <f>(SUMIF(Avaliação!$K:$K,A752,Avaliação!$J:$J))+(SUMIF(Avaliação!$O:$O,A752,Avaliação!$N:$N))+(SUMIF(Avaliação!$S:$S,A752,Avaliação!$R:$R))</f>
        <v>0</v>
      </c>
      <c r="D752" s="775">
        <f>(SUMIF(Avaliação!$AA:$AA,A752,Avaliação!$Z:$Z))+(SUMIF(Avaliação!$AD:$AD,A752,Avaliação!$AC:$AC))+(SUMIF(Avaliação!$AG:$AG,A752,Avaliação!$AF:$AF))</f>
        <v>0</v>
      </c>
    </row>
    <row r="753" spans="1:4">
      <c r="A753" s="157" t="s">
        <v>4687</v>
      </c>
      <c r="B753" s="195" t="s">
        <v>4688</v>
      </c>
      <c r="C753" s="775">
        <f>(SUMIF(Avaliação!$K:$K,A753,Avaliação!$J:$J))+(SUMIF(Avaliação!$O:$O,A753,Avaliação!$N:$N))+(SUMIF(Avaliação!$S:$S,A753,Avaliação!$R:$R))</f>
        <v>0</v>
      </c>
      <c r="D753" s="775">
        <f>(SUMIF(Avaliação!$AA:$AA,A753,Avaliação!$Z:$Z))+(SUMIF(Avaliação!$AD:$AD,A753,Avaliação!$AC:$AC))+(SUMIF(Avaliação!$AG:$AG,A753,Avaliação!$AF:$AF))</f>
        <v>0</v>
      </c>
    </row>
    <row r="754" spans="1:4">
      <c r="A754" s="157" t="s">
        <v>4689</v>
      </c>
      <c r="B754" s="195" t="s">
        <v>4690</v>
      </c>
      <c r="C754" s="775">
        <f>(SUMIF(Avaliação!$K:$K,A754,Avaliação!$J:$J))+(SUMIF(Avaliação!$O:$O,A754,Avaliação!$N:$N))+(SUMIF(Avaliação!$S:$S,A754,Avaliação!$R:$R))</f>
        <v>0</v>
      </c>
      <c r="D754" s="775">
        <f>(SUMIF(Avaliação!$AA:$AA,A754,Avaliação!$Z:$Z))+(SUMIF(Avaliação!$AD:$AD,A754,Avaliação!$AC:$AC))+(SUMIF(Avaliação!$AG:$AG,A754,Avaliação!$AF:$AF))</f>
        <v>0</v>
      </c>
    </row>
    <row r="755" spans="1:4">
      <c r="A755" s="157" t="s">
        <v>4691</v>
      </c>
      <c r="B755" s="195" t="s">
        <v>4692</v>
      </c>
      <c r="C755" s="775">
        <f>(SUMIF(Avaliação!$K:$K,A755,Avaliação!$J:$J))+(SUMIF(Avaliação!$O:$O,A755,Avaliação!$N:$N))+(SUMIF(Avaliação!$S:$S,A755,Avaliação!$R:$R))</f>
        <v>0</v>
      </c>
      <c r="D755" s="775">
        <f>(SUMIF(Avaliação!$AA:$AA,A755,Avaliação!$Z:$Z))+(SUMIF(Avaliação!$AD:$AD,A755,Avaliação!$AC:$AC))+(SUMIF(Avaliação!$AG:$AG,A755,Avaliação!$AF:$AF))</f>
        <v>0</v>
      </c>
    </row>
    <row r="756" spans="1:4">
      <c r="A756" s="157" t="s">
        <v>4693</v>
      </c>
      <c r="B756" s="195" t="s">
        <v>4694</v>
      </c>
      <c r="C756" s="775">
        <f>(SUMIF(Avaliação!$K:$K,A756,Avaliação!$J:$J))+(SUMIF(Avaliação!$O:$O,A756,Avaliação!$N:$N))+(SUMIF(Avaliação!$S:$S,A756,Avaliação!$R:$R))</f>
        <v>0</v>
      </c>
      <c r="D756" s="775">
        <f>(SUMIF(Avaliação!$AA:$AA,A756,Avaliação!$Z:$Z))+(SUMIF(Avaliação!$AD:$AD,A756,Avaliação!$AC:$AC))+(SUMIF(Avaliação!$AG:$AG,A756,Avaliação!$AF:$AF))</f>
        <v>0</v>
      </c>
    </row>
    <row r="757" spans="1:4">
      <c r="A757" s="157" t="s">
        <v>4695</v>
      </c>
      <c r="B757" s="195" t="s">
        <v>4696</v>
      </c>
      <c r="C757" s="775">
        <f>(SUMIF(Avaliação!$K:$K,A757,Avaliação!$J:$J))+(SUMIF(Avaliação!$O:$O,A757,Avaliação!$N:$N))+(SUMIF(Avaliação!$S:$S,A757,Avaliação!$R:$R))</f>
        <v>0</v>
      </c>
      <c r="D757" s="775">
        <f>(SUMIF(Avaliação!$AA:$AA,A757,Avaliação!$Z:$Z))+(SUMIF(Avaliação!$AD:$AD,A757,Avaliação!$AC:$AC))+(SUMIF(Avaliação!$AG:$AG,A757,Avaliação!$AF:$AF))</f>
        <v>0</v>
      </c>
    </row>
    <row r="758" spans="1:4">
      <c r="A758" s="157" t="s">
        <v>4697</v>
      </c>
      <c r="B758" s="195" t="s">
        <v>4698</v>
      </c>
      <c r="C758" s="775">
        <f>(SUMIF(Avaliação!$K:$K,A758,Avaliação!$J:$J))+(SUMIF(Avaliação!$O:$O,A758,Avaliação!$N:$N))+(SUMIF(Avaliação!$S:$S,A758,Avaliação!$R:$R))</f>
        <v>0</v>
      </c>
      <c r="D758" s="775">
        <f>(SUMIF(Avaliação!$AA:$AA,A758,Avaliação!$Z:$Z))+(SUMIF(Avaliação!$AD:$AD,A758,Avaliação!$AC:$AC))+(SUMIF(Avaliação!$AG:$AG,A758,Avaliação!$AF:$AF))</f>
        <v>0</v>
      </c>
    </row>
    <row r="759" spans="1:4">
      <c r="A759" s="157" t="s">
        <v>4699</v>
      </c>
      <c r="B759" s="195" t="s">
        <v>4700</v>
      </c>
      <c r="C759" s="775">
        <f>(SUMIF(Avaliação!$K:$K,A759,Avaliação!$J:$J))+(SUMIF(Avaliação!$O:$O,A759,Avaliação!$N:$N))+(SUMIF(Avaliação!$S:$S,A759,Avaliação!$R:$R))</f>
        <v>0</v>
      </c>
      <c r="D759" s="775">
        <f>(SUMIF(Avaliação!$AA:$AA,A759,Avaliação!$Z:$Z))+(SUMIF(Avaliação!$AD:$AD,A759,Avaliação!$AC:$AC))+(SUMIF(Avaliação!$AG:$AG,A759,Avaliação!$AF:$AF))</f>
        <v>0</v>
      </c>
    </row>
    <row r="760" spans="1:4">
      <c r="A760" s="157" t="s">
        <v>4701</v>
      </c>
      <c r="B760" s="195" t="s">
        <v>4702</v>
      </c>
      <c r="C760" s="775">
        <f>(SUMIF(Avaliação!$K:$K,A760,Avaliação!$J:$J))+(SUMIF(Avaliação!$O:$O,A760,Avaliação!$N:$N))+(SUMIF(Avaliação!$S:$S,A760,Avaliação!$R:$R))</f>
        <v>0</v>
      </c>
      <c r="D760" s="775">
        <f>(SUMIF(Avaliação!$AA:$AA,A760,Avaliação!$Z:$Z))+(SUMIF(Avaliação!$AD:$AD,A760,Avaliação!$AC:$AC))+(SUMIF(Avaliação!$AG:$AG,A760,Avaliação!$AF:$AF))</f>
        <v>0</v>
      </c>
    </row>
    <row r="761" spans="1:4">
      <c r="A761" s="157" t="s">
        <v>4703</v>
      </c>
      <c r="B761" s="195" t="s">
        <v>4704</v>
      </c>
      <c r="C761" s="775">
        <f>(SUMIF(Avaliação!$K:$K,A761,Avaliação!$J:$J))+(SUMIF(Avaliação!$O:$O,A761,Avaliação!$N:$N))+(SUMIF(Avaliação!$S:$S,A761,Avaliação!$R:$R))</f>
        <v>0</v>
      </c>
      <c r="D761" s="775">
        <f>(SUMIF(Avaliação!$AA:$AA,A761,Avaliação!$Z:$Z))+(SUMIF(Avaliação!$AD:$AD,A761,Avaliação!$AC:$AC))+(SUMIF(Avaliação!$AG:$AG,A761,Avaliação!$AF:$AF))</f>
        <v>0</v>
      </c>
    </row>
    <row r="762" spans="1:4">
      <c r="A762" s="157" t="s">
        <v>4705</v>
      </c>
      <c r="B762" s="195" t="s">
        <v>4706</v>
      </c>
      <c r="C762" s="775">
        <f>(SUMIF(Avaliação!$K:$K,A762,Avaliação!$J:$J))+(SUMIF(Avaliação!$O:$O,A762,Avaliação!$N:$N))+(SUMIF(Avaliação!$S:$S,A762,Avaliação!$R:$R))</f>
        <v>0</v>
      </c>
      <c r="D762" s="775">
        <f>(SUMIF(Avaliação!$AA:$AA,A762,Avaliação!$Z:$Z))+(SUMIF(Avaliação!$AD:$AD,A762,Avaliação!$AC:$AC))+(SUMIF(Avaliação!$AG:$AG,A762,Avaliação!$AF:$AF))</f>
        <v>0</v>
      </c>
    </row>
    <row r="763" spans="1:4">
      <c r="A763" s="157" t="s">
        <v>4707</v>
      </c>
      <c r="B763" s="195" t="s">
        <v>4708</v>
      </c>
      <c r="C763" s="775">
        <f>(SUMIF(Avaliação!$K:$K,A763,Avaliação!$J:$J))+(SUMIF(Avaliação!$O:$O,A763,Avaliação!$N:$N))+(SUMIF(Avaliação!$S:$S,A763,Avaliação!$R:$R))</f>
        <v>0</v>
      </c>
      <c r="D763" s="775">
        <f>(SUMIF(Avaliação!$AA:$AA,A763,Avaliação!$Z:$Z))+(SUMIF(Avaliação!$AD:$AD,A763,Avaliação!$AC:$AC))+(SUMIF(Avaliação!$AG:$AG,A763,Avaliação!$AF:$AF))</f>
        <v>0</v>
      </c>
    </row>
    <row r="764" spans="1:4">
      <c r="A764" s="157" t="s">
        <v>4709</v>
      </c>
      <c r="B764" s="195" t="s">
        <v>4710</v>
      </c>
      <c r="C764" s="775">
        <f>(SUMIF(Avaliação!$K:$K,A764,Avaliação!$J:$J))+(SUMIF(Avaliação!$O:$O,A764,Avaliação!$N:$N))+(SUMIF(Avaliação!$S:$S,A764,Avaliação!$R:$R))</f>
        <v>0</v>
      </c>
      <c r="D764" s="775">
        <f>(SUMIF(Avaliação!$AA:$AA,A764,Avaliação!$Z:$Z))+(SUMIF(Avaliação!$AD:$AD,A764,Avaliação!$AC:$AC))+(SUMIF(Avaliação!$AG:$AG,A764,Avaliação!$AF:$AF))</f>
        <v>0</v>
      </c>
    </row>
    <row r="765" spans="1:4">
      <c r="A765" s="157" t="s">
        <v>4711</v>
      </c>
      <c r="B765" s="195" t="s">
        <v>4712</v>
      </c>
      <c r="C765" s="775">
        <f>(SUMIF(Avaliação!$K:$K,A765,Avaliação!$J:$J))+(SUMIF(Avaliação!$O:$O,A765,Avaliação!$N:$N))+(SUMIF(Avaliação!$S:$S,A765,Avaliação!$R:$R))</f>
        <v>0</v>
      </c>
      <c r="D765" s="775">
        <f>(SUMIF(Avaliação!$AA:$AA,A765,Avaliação!$Z:$Z))+(SUMIF(Avaliação!$AD:$AD,A765,Avaliação!$AC:$AC))+(SUMIF(Avaliação!$AG:$AG,A765,Avaliação!$AF:$AF))</f>
        <v>0</v>
      </c>
    </row>
    <row r="766" spans="1:4">
      <c r="A766" s="157" t="s">
        <v>4713</v>
      </c>
      <c r="B766" s="195" t="s">
        <v>4714</v>
      </c>
      <c r="C766" s="775">
        <f>(SUMIF(Avaliação!$K:$K,A766,Avaliação!$J:$J))+(SUMIF(Avaliação!$O:$O,A766,Avaliação!$N:$N))+(SUMIF(Avaliação!$S:$S,A766,Avaliação!$R:$R))</f>
        <v>0</v>
      </c>
      <c r="D766" s="775">
        <f>(SUMIF(Avaliação!$AA:$AA,A766,Avaliação!$Z:$Z))+(SUMIF(Avaliação!$AD:$AD,A766,Avaliação!$AC:$AC))+(SUMIF(Avaliação!$AG:$AG,A766,Avaliação!$AF:$AF))</f>
        <v>0</v>
      </c>
    </row>
    <row r="767" spans="1:4">
      <c r="A767" s="157" t="s">
        <v>4715</v>
      </c>
      <c r="B767" s="195" t="s">
        <v>4716</v>
      </c>
      <c r="C767" s="775">
        <f>(SUMIF(Avaliação!$K:$K,A767,Avaliação!$J:$J))+(SUMIF(Avaliação!$O:$O,A767,Avaliação!$N:$N))+(SUMIF(Avaliação!$S:$S,A767,Avaliação!$R:$R))</f>
        <v>0</v>
      </c>
      <c r="D767" s="775">
        <f>(SUMIF(Avaliação!$AA:$AA,A767,Avaliação!$Z:$Z))+(SUMIF(Avaliação!$AD:$AD,A767,Avaliação!$AC:$AC))+(SUMIF(Avaliação!$AG:$AG,A767,Avaliação!$AF:$AF))</f>
        <v>0</v>
      </c>
    </row>
    <row r="768" spans="1:4">
      <c r="A768" s="157" t="s">
        <v>4717</v>
      </c>
      <c r="B768" s="195" t="s">
        <v>4718</v>
      </c>
      <c r="C768" s="775">
        <f>(SUMIF(Avaliação!$K:$K,A768,Avaliação!$J:$J))+(SUMIF(Avaliação!$O:$O,A768,Avaliação!$N:$N))+(SUMIF(Avaliação!$S:$S,A768,Avaliação!$R:$R))</f>
        <v>0</v>
      </c>
      <c r="D768" s="775">
        <f>(SUMIF(Avaliação!$AA:$AA,A768,Avaliação!$Z:$Z))+(SUMIF(Avaliação!$AD:$AD,A768,Avaliação!$AC:$AC))+(SUMIF(Avaliação!$AG:$AG,A768,Avaliação!$AF:$AF))</f>
        <v>0</v>
      </c>
    </row>
    <row r="769" spans="1:4">
      <c r="A769" s="845" t="s">
        <v>4719</v>
      </c>
      <c r="B769" s="846" t="s">
        <v>4720</v>
      </c>
      <c r="C769" s="775">
        <f>(SUMIF(Avaliação!$K:$K,A769,Avaliação!$J:$J))+(SUMIF(Avaliação!$O:$O,A769,Avaliação!$N:$N))+(SUMIF(Avaliação!$S:$S,A769,Avaliação!$R:$R))</f>
        <v>15</v>
      </c>
      <c r="D769" s="847">
        <f>(SUMIF(Avaliação!$AA:$AA,A769,Avaliação!$Z:$Z))+(SUMIF(Avaliação!$AD:$AD,A769,Avaliação!$AC:$AC))+(SUMIF(Avaliação!$AG:$AG,A769,Avaliação!$AF:$AF))</f>
        <v>0</v>
      </c>
    </row>
    <row r="770" spans="1:4">
      <c r="A770" s="157" t="s">
        <v>4721</v>
      </c>
      <c r="B770" s="195" t="s">
        <v>4722</v>
      </c>
      <c r="C770" s="775">
        <f>(SUMIF(Avaliação!$K:$K,A770,Avaliação!$J:$J))+(SUMIF(Avaliação!$O:$O,A770,Avaliação!$N:$N))+(SUMIF(Avaliação!$S:$S,A770,Avaliação!$R:$R))</f>
        <v>0</v>
      </c>
      <c r="D770" s="775">
        <f>(SUMIF(Avaliação!$AA:$AA,A770,Avaliação!$Z:$Z))+(SUMIF(Avaliação!$AD:$AD,A770,Avaliação!$AC:$AC))+(SUMIF(Avaliação!$AG:$AG,A770,Avaliação!$AF:$AF))</f>
        <v>0</v>
      </c>
    </row>
    <row r="771" spans="1:4">
      <c r="A771" s="157" t="s">
        <v>4723</v>
      </c>
      <c r="B771" s="195" t="s">
        <v>4724</v>
      </c>
      <c r="C771" s="775">
        <f>(SUMIF(Avaliação!$K:$K,A771,Avaliação!$J:$J))+(SUMIF(Avaliação!$O:$O,A771,Avaliação!$N:$N))+(SUMIF(Avaliação!$S:$S,A771,Avaliação!$R:$R))</f>
        <v>0</v>
      </c>
      <c r="D771" s="775">
        <f>(SUMIF(Avaliação!$AA:$AA,A771,Avaliação!$Z:$Z))+(SUMIF(Avaliação!$AD:$AD,A771,Avaliação!$AC:$AC))+(SUMIF(Avaliação!$AG:$AG,A771,Avaliação!$AF:$AF))</f>
        <v>0</v>
      </c>
    </row>
    <row r="772" spans="1:4">
      <c r="A772" s="157" t="s">
        <v>4725</v>
      </c>
      <c r="B772" s="195" t="s">
        <v>4726</v>
      </c>
      <c r="C772" s="775">
        <f>(SUMIF(Avaliação!$K:$K,A772,Avaliação!$J:$J))+(SUMIF(Avaliação!$O:$O,A772,Avaliação!$N:$N))+(SUMIF(Avaliação!$S:$S,A772,Avaliação!$R:$R))</f>
        <v>0</v>
      </c>
      <c r="D772" s="775">
        <f>(SUMIF(Avaliação!$AA:$AA,A772,Avaliação!$Z:$Z))+(SUMIF(Avaliação!$AD:$AD,A772,Avaliação!$AC:$AC))+(SUMIF(Avaliação!$AG:$AG,A772,Avaliação!$AF:$AF))</f>
        <v>0</v>
      </c>
    </row>
    <row r="773" spans="1:4">
      <c r="A773" s="157" t="s">
        <v>4727</v>
      </c>
      <c r="B773" s="195" t="s">
        <v>4728</v>
      </c>
      <c r="C773" s="775">
        <f>(SUMIF(Avaliação!$K:$K,A773,Avaliação!$J:$J))+(SUMIF(Avaliação!$O:$O,A773,Avaliação!$N:$N))+(SUMIF(Avaliação!$S:$S,A773,Avaliação!$R:$R))</f>
        <v>0</v>
      </c>
      <c r="D773" s="775">
        <f>(SUMIF(Avaliação!$AA:$AA,A773,Avaliação!$Z:$Z))+(SUMIF(Avaliação!$AD:$AD,A773,Avaliação!$AC:$AC))+(SUMIF(Avaliação!$AG:$AG,A773,Avaliação!$AF:$AF))</f>
        <v>0</v>
      </c>
    </row>
    <row r="774" spans="1:4">
      <c r="A774" s="157" t="s">
        <v>4729</v>
      </c>
      <c r="B774" s="195" t="s">
        <v>4730</v>
      </c>
      <c r="C774" s="775">
        <f>(SUMIF(Avaliação!$K:$K,A774,Avaliação!$J:$J))+(SUMIF(Avaliação!$O:$O,A774,Avaliação!$N:$N))+(SUMIF(Avaliação!$S:$S,A774,Avaliação!$R:$R))</f>
        <v>0</v>
      </c>
      <c r="D774" s="775">
        <f>(SUMIF(Avaliação!$AA:$AA,A774,Avaliação!$Z:$Z))+(SUMIF(Avaliação!$AD:$AD,A774,Avaliação!$AC:$AC))+(SUMIF(Avaliação!$AG:$AG,A774,Avaliação!$AF:$AF))</f>
        <v>0</v>
      </c>
    </row>
    <row r="775" spans="1:4">
      <c r="A775" s="845" t="s">
        <v>4731</v>
      </c>
      <c r="B775" s="846" t="s">
        <v>4732</v>
      </c>
      <c r="C775" s="775">
        <f>(SUMIF(Avaliação!$K:$K,A775,Avaliação!$J:$J))+(SUMIF(Avaliação!$O:$O,A775,Avaliação!$N:$N))+(SUMIF(Avaliação!$S:$S,A775,Avaliação!$R:$R))</f>
        <v>3</v>
      </c>
      <c r="D775" s="847">
        <f>(SUMIF(Avaliação!$AA:$AA,A775,Avaliação!$Z:$Z))+(SUMIF(Avaliação!$AD:$AD,A775,Avaliação!$AC:$AC))+(SUMIF(Avaliação!$AG:$AG,A775,Avaliação!$AF:$AF))</f>
        <v>0</v>
      </c>
    </row>
    <row r="776" spans="1:4">
      <c r="A776" s="157" t="s">
        <v>4733</v>
      </c>
      <c r="B776" s="195" t="s">
        <v>4734</v>
      </c>
      <c r="C776" s="775">
        <f>(SUMIF(Avaliação!$K:$K,A776,Avaliação!$J:$J))+(SUMIF(Avaliação!$O:$O,A776,Avaliação!$N:$N))+(SUMIF(Avaliação!$S:$S,A776,Avaliação!$R:$R))</f>
        <v>0</v>
      </c>
      <c r="D776" s="775">
        <f>(SUMIF(Avaliação!$AA:$AA,A776,Avaliação!$Z:$Z))+(SUMIF(Avaliação!$AD:$AD,A776,Avaliação!$AC:$AC))+(SUMIF(Avaliação!$AG:$AG,A776,Avaliação!$AF:$AF))</f>
        <v>0</v>
      </c>
    </row>
    <row r="777" spans="1:4">
      <c r="A777" s="157" t="s">
        <v>4735</v>
      </c>
      <c r="B777" s="195" t="s">
        <v>4736</v>
      </c>
      <c r="C777" s="775">
        <f>(SUMIF(Avaliação!$K:$K,A777,Avaliação!$J:$J))+(SUMIF(Avaliação!$O:$O,A777,Avaliação!$N:$N))+(SUMIF(Avaliação!$S:$S,A777,Avaliação!$R:$R))</f>
        <v>0</v>
      </c>
      <c r="D777" s="775">
        <f>(SUMIF(Avaliação!$AA:$AA,A777,Avaliação!$Z:$Z))+(SUMIF(Avaliação!$AD:$AD,A777,Avaliação!$AC:$AC))+(SUMIF(Avaliação!$AG:$AG,A777,Avaliação!$AF:$AF))</f>
        <v>0</v>
      </c>
    </row>
    <row r="778" spans="1:4">
      <c r="A778" s="157" t="s">
        <v>4737</v>
      </c>
      <c r="B778" s="195" t="s">
        <v>4738</v>
      </c>
      <c r="C778" s="775">
        <f>(SUMIF(Avaliação!$K:$K,A778,Avaliação!$J:$J))+(SUMIF(Avaliação!$O:$O,A778,Avaliação!$N:$N))+(SUMIF(Avaliação!$S:$S,A778,Avaliação!$R:$R))</f>
        <v>0</v>
      </c>
      <c r="D778" s="775">
        <f>(SUMIF(Avaliação!$AA:$AA,A778,Avaliação!$Z:$Z))+(SUMIF(Avaliação!$AD:$AD,A778,Avaliação!$AC:$AC))+(SUMIF(Avaliação!$AG:$AG,A778,Avaliação!$AF:$AF))</f>
        <v>0</v>
      </c>
    </row>
    <row r="779" spans="1:4">
      <c r="A779" s="157" t="s">
        <v>4739</v>
      </c>
      <c r="B779" s="195" t="s">
        <v>4740</v>
      </c>
      <c r="C779" s="775">
        <f>(SUMIF(Avaliação!$K:$K,A779,Avaliação!$J:$J))+(SUMIF(Avaliação!$O:$O,A779,Avaliação!$N:$N))+(SUMIF(Avaliação!$S:$S,A779,Avaliação!$R:$R))</f>
        <v>0</v>
      </c>
      <c r="D779" s="775">
        <f>(SUMIF(Avaliação!$AA:$AA,A779,Avaliação!$Z:$Z))+(SUMIF(Avaliação!$AD:$AD,A779,Avaliação!$AC:$AC))+(SUMIF(Avaliação!$AG:$AG,A779,Avaliação!$AF:$AF))</f>
        <v>0</v>
      </c>
    </row>
    <row r="780" spans="1:4">
      <c r="A780" s="157" t="s">
        <v>4741</v>
      </c>
      <c r="B780" s="195" t="s">
        <v>4742</v>
      </c>
      <c r="C780" s="775">
        <f>(SUMIF(Avaliação!$K:$K,A780,Avaliação!$J:$J))+(SUMIF(Avaliação!$O:$O,A780,Avaliação!$N:$N))+(SUMIF(Avaliação!$S:$S,A780,Avaliação!$R:$R))</f>
        <v>0</v>
      </c>
      <c r="D780" s="775">
        <f>(SUMIF(Avaliação!$AA:$AA,A780,Avaliação!$Z:$Z))+(SUMIF(Avaliação!$AD:$AD,A780,Avaliação!$AC:$AC))+(SUMIF(Avaliação!$AG:$AG,A780,Avaliação!$AF:$AF))</f>
        <v>0</v>
      </c>
    </row>
    <row r="781" spans="1:4">
      <c r="A781" s="157" t="s">
        <v>4743</v>
      </c>
      <c r="B781" s="195" t="s">
        <v>4744</v>
      </c>
      <c r="C781" s="775">
        <f>(SUMIF(Avaliação!$K:$K,A781,Avaliação!$J:$J))+(SUMIF(Avaliação!$O:$O,A781,Avaliação!$N:$N))+(SUMIF(Avaliação!$S:$S,A781,Avaliação!$R:$R))</f>
        <v>0</v>
      </c>
      <c r="D781" s="775">
        <f>(SUMIF(Avaliação!$AA:$AA,A781,Avaliação!$Z:$Z))+(SUMIF(Avaliação!$AD:$AD,A781,Avaliação!$AC:$AC))+(SUMIF(Avaliação!$AG:$AG,A781,Avaliação!$AF:$AF))</f>
        <v>0</v>
      </c>
    </row>
    <row r="782" spans="1:4">
      <c r="A782" s="157" t="s">
        <v>4745</v>
      </c>
      <c r="B782" s="195" t="s">
        <v>4746</v>
      </c>
      <c r="C782" s="775">
        <f>(SUMIF(Avaliação!$K:$K,A782,Avaliação!$J:$J))+(SUMIF(Avaliação!$O:$O,A782,Avaliação!$N:$N))+(SUMIF(Avaliação!$S:$S,A782,Avaliação!$R:$R))</f>
        <v>0</v>
      </c>
      <c r="D782" s="775">
        <f>(SUMIF(Avaliação!$AA:$AA,A782,Avaliação!$Z:$Z))+(SUMIF(Avaliação!$AD:$AD,A782,Avaliação!$AC:$AC))+(SUMIF(Avaliação!$AG:$AG,A782,Avaliação!$AF:$AF))</f>
        <v>0</v>
      </c>
    </row>
    <row r="783" spans="1:4">
      <c r="A783" s="157" t="s">
        <v>4747</v>
      </c>
      <c r="B783" s="195" t="s">
        <v>4748</v>
      </c>
      <c r="C783" s="775">
        <f>(SUMIF(Avaliação!$K:$K,A783,Avaliação!$J:$J))+(SUMIF(Avaliação!$O:$O,A783,Avaliação!$N:$N))+(SUMIF(Avaliação!$S:$S,A783,Avaliação!$R:$R))</f>
        <v>0</v>
      </c>
      <c r="D783" s="775">
        <f>(SUMIF(Avaliação!$AA:$AA,A783,Avaliação!$Z:$Z))+(SUMIF(Avaliação!$AD:$AD,A783,Avaliação!$AC:$AC))+(SUMIF(Avaliação!$AG:$AG,A783,Avaliação!$AF:$AF))</f>
        <v>0</v>
      </c>
    </row>
    <row r="784" spans="1:4">
      <c r="A784" s="157" t="s">
        <v>4749</v>
      </c>
      <c r="B784" s="195" t="s">
        <v>4750</v>
      </c>
      <c r="C784" s="775">
        <f>(SUMIF(Avaliação!$K:$K,A784,Avaliação!$J:$J))+(SUMIF(Avaliação!$O:$O,A784,Avaliação!$N:$N))+(SUMIF(Avaliação!$S:$S,A784,Avaliação!$R:$R))</f>
        <v>0</v>
      </c>
      <c r="D784" s="775">
        <f>(SUMIF(Avaliação!$AA:$AA,A784,Avaliação!$Z:$Z))+(SUMIF(Avaliação!$AD:$AD,A784,Avaliação!$AC:$AC))+(SUMIF(Avaliação!$AG:$AG,A784,Avaliação!$AF:$AF))</f>
        <v>0</v>
      </c>
    </row>
    <row r="785" spans="1:4">
      <c r="A785" s="157" t="s">
        <v>4751</v>
      </c>
      <c r="B785" s="195" t="s">
        <v>4752</v>
      </c>
      <c r="C785" s="775">
        <f>(SUMIF(Avaliação!$K:$K,A785,Avaliação!$J:$J))+(SUMIF(Avaliação!$O:$O,A785,Avaliação!$N:$N))+(SUMIF(Avaliação!$S:$S,A785,Avaliação!$R:$R))</f>
        <v>0</v>
      </c>
      <c r="D785" s="775">
        <f>(SUMIF(Avaliação!$AA:$AA,A785,Avaliação!$Z:$Z))+(SUMIF(Avaliação!$AD:$AD,A785,Avaliação!$AC:$AC))+(SUMIF(Avaliação!$AG:$AG,A785,Avaliação!$AF:$AF))</f>
        <v>0</v>
      </c>
    </row>
    <row r="786" spans="1:4">
      <c r="A786" s="157" t="s">
        <v>4753</v>
      </c>
      <c r="B786" s="195" t="s">
        <v>4754</v>
      </c>
      <c r="C786" s="775">
        <f>(SUMIF(Avaliação!$K:$K,A786,Avaliação!$J:$J))+(SUMIF(Avaliação!$O:$O,A786,Avaliação!$N:$N))+(SUMIF(Avaliação!$S:$S,A786,Avaliação!$R:$R))</f>
        <v>0</v>
      </c>
      <c r="D786" s="775">
        <f>(SUMIF(Avaliação!$AA:$AA,A786,Avaliação!$Z:$Z))+(SUMIF(Avaliação!$AD:$AD,A786,Avaliação!$AC:$AC))+(SUMIF(Avaliação!$AG:$AG,A786,Avaliação!$AF:$AF))</f>
        <v>0</v>
      </c>
    </row>
    <row r="787" spans="1:4">
      <c r="A787" s="157" t="s">
        <v>4755</v>
      </c>
      <c r="B787" s="195" t="s">
        <v>4756</v>
      </c>
      <c r="C787" s="775">
        <f>(SUMIF(Avaliação!$K:$K,A787,Avaliação!$J:$J))+(SUMIF(Avaliação!$O:$O,A787,Avaliação!$N:$N))+(SUMIF(Avaliação!$S:$S,A787,Avaliação!$R:$R))</f>
        <v>0</v>
      </c>
      <c r="D787" s="775">
        <f>(SUMIF(Avaliação!$AA:$AA,A787,Avaliação!$Z:$Z))+(SUMIF(Avaliação!$AD:$AD,A787,Avaliação!$AC:$AC))+(SUMIF(Avaliação!$AG:$AG,A787,Avaliação!$AF:$AF))</f>
        <v>0</v>
      </c>
    </row>
    <row r="788" spans="1:4">
      <c r="A788" s="157" t="s">
        <v>4757</v>
      </c>
      <c r="B788" s="195" t="s">
        <v>4758</v>
      </c>
      <c r="C788" s="775">
        <f>(SUMIF(Avaliação!$K:$K,A788,Avaliação!$J:$J))+(SUMIF(Avaliação!$O:$O,A788,Avaliação!$N:$N))+(SUMIF(Avaliação!$S:$S,A788,Avaliação!$R:$R))</f>
        <v>0</v>
      </c>
      <c r="D788" s="775">
        <f>(SUMIF(Avaliação!$AA:$AA,A788,Avaliação!$Z:$Z))+(SUMIF(Avaliação!$AD:$AD,A788,Avaliação!$AC:$AC))+(SUMIF(Avaliação!$AG:$AG,A788,Avaliação!$AF:$AF))</f>
        <v>0</v>
      </c>
    </row>
    <row r="789" spans="1:4">
      <c r="A789" s="157" t="s">
        <v>4759</v>
      </c>
      <c r="B789" s="195" t="s">
        <v>4760</v>
      </c>
      <c r="C789" s="775">
        <f>(SUMIF(Avaliação!$K:$K,A789,Avaliação!$J:$J))+(SUMIF(Avaliação!$O:$O,A789,Avaliação!$N:$N))+(SUMIF(Avaliação!$S:$S,A789,Avaliação!$R:$R))</f>
        <v>0</v>
      </c>
      <c r="D789" s="775">
        <f>(SUMIF(Avaliação!$AA:$AA,A789,Avaliação!$Z:$Z))+(SUMIF(Avaliação!$AD:$AD,A789,Avaliação!$AC:$AC))+(SUMIF(Avaliação!$AG:$AG,A789,Avaliação!$AF:$AF))</f>
        <v>0</v>
      </c>
    </row>
    <row r="790" spans="1:4">
      <c r="A790" s="157" t="s">
        <v>4761</v>
      </c>
      <c r="B790" s="195" t="s">
        <v>4762</v>
      </c>
      <c r="C790" s="775">
        <f>(SUMIF(Avaliação!$K:$K,A790,Avaliação!$J:$J))+(SUMIF(Avaliação!$O:$O,A790,Avaliação!$N:$N))+(SUMIF(Avaliação!$S:$S,A790,Avaliação!$R:$R))</f>
        <v>0</v>
      </c>
      <c r="D790" s="775">
        <f>(SUMIF(Avaliação!$AA:$AA,A790,Avaliação!$Z:$Z))+(SUMIF(Avaliação!$AD:$AD,A790,Avaliação!$AC:$AC))+(SUMIF(Avaliação!$AG:$AG,A790,Avaliação!$AF:$AF))</f>
        <v>0</v>
      </c>
    </row>
    <row r="791" spans="1:4">
      <c r="A791" s="157" t="s">
        <v>4763</v>
      </c>
      <c r="B791" s="195" t="s">
        <v>4764</v>
      </c>
      <c r="C791" s="775">
        <f>(SUMIF(Avaliação!$K:$K,A791,Avaliação!$J:$J))+(SUMIF(Avaliação!$O:$O,A791,Avaliação!$N:$N))+(SUMIF(Avaliação!$S:$S,A791,Avaliação!$R:$R))</f>
        <v>0</v>
      </c>
      <c r="D791" s="775">
        <f>(SUMIF(Avaliação!$AA:$AA,A791,Avaliação!$Z:$Z))+(SUMIF(Avaliação!$AD:$AD,A791,Avaliação!$AC:$AC))+(SUMIF(Avaliação!$AG:$AG,A791,Avaliação!$AF:$AF))</f>
        <v>0</v>
      </c>
    </row>
    <row r="792" spans="1:4">
      <c r="A792" s="157" t="s">
        <v>4765</v>
      </c>
      <c r="B792" s="195" t="s">
        <v>4766</v>
      </c>
      <c r="C792" s="775">
        <f>(SUMIF(Avaliação!$K:$K,A792,Avaliação!$J:$J))+(SUMIF(Avaliação!$O:$O,A792,Avaliação!$N:$N))+(SUMIF(Avaliação!$S:$S,A792,Avaliação!$R:$R))</f>
        <v>0</v>
      </c>
      <c r="D792" s="775">
        <f>(SUMIF(Avaliação!$AA:$AA,A792,Avaliação!$Z:$Z))+(SUMIF(Avaliação!$AD:$AD,A792,Avaliação!$AC:$AC))+(SUMIF(Avaliação!$AG:$AG,A792,Avaliação!$AF:$AF))</f>
        <v>0</v>
      </c>
    </row>
    <row r="793" spans="1:4">
      <c r="A793" s="845" t="s">
        <v>4767</v>
      </c>
      <c r="B793" s="846" t="s">
        <v>4768</v>
      </c>
      <c r="C793" s="775">
        <f>(SUMIF(Avaliação!$K:$K,A793,Avaliação!$J:$J))+(SUMIF(Avaliação!$O:$O,A793,Avaliação!$N:$N))+(SUMIF(Avaliação!$S:$S,A793,Avaliação!$R:$R))</f>
        <v>0</v>
      </c>
      <c r="D793" s="847">
        <f>(SUMIF(Avaliação!$AA:$AA,A793,Avaliação!$Z:$Z))+(SUMIF(Avaliação!$AD:$AD,A793,Avaliação!$AC:$AC))+(SUMIF(Avaliação!$AG:$AG,A793,Avaliação!$AF:$AF))</f>
        <v>0</v>
      </c>
    </row>
    <row r="794" spans="1:4">
      <c r="A794" s="157" t="s">
        <v>4769</v>
      </c>
      <c r="B794" s="195" t="s">
        <v>4770</v>
      </c>
      <c r="C794" s="775">
        <f>(SUMIF(Avaliação!$K:$K,A794,Avaliação!$J:$J))+(SUMIF(Avaliação!$O:$O,A794,Avaliação!$N:$N))+(SUMIF(Avaliação!$S:$S,A794,Avaliação!$R:$R))</f>
        <v>0</v>
      </c>
      <c r="D794" s="775">
        <f>(SUMIF(Avaliação!$AA:$AA,A794,Avaliação!$Z:$Z))+(SUMIF(Avaliação!$AD:$AD,A794,Avaliação!$AC:$AC))+(SUMIF(Avaliação!$AG:$AG,A794,Avaliação!$AF:$AF))</f>
        <v>0</v>
      </c>
    </row>
    <row r="795" spans="1:4">
      <c r="A795" s="157" t="s">
        <v>4771</v>
      </c>
      <c r="B795" s="195" t="s">
        <v>4772</v>
      </c>
      <c r="C795" s="775">
        <f>(SUMIF(Avaliação!$K:$K,A795,Avaliação!$J:$J))+(SUMIF(Avaliação!$O:$O,A795,Avaliação!$N:$N))+(SUMIF(Avaliação!$S:$S,A795,Avaliação!$R:$R))</f>
        <v>0</v>
      </c>
      <c r="D795" s="775">
        <f>(SUMIF(Avaliação!$AA:$AA,A795,Avaliação!$Z:$Z))+(SUMIF(Avaliação!$AD:$AD,A795,Avaliação!$AC:$AC))+(SUMIF(Avaliação!$AG:$AG,A795,Avaliação!$AF:$AF))</f>
        <v>0</v>
      </c>
    </row>
    <row r="796" spans="1:4">
      <c r="A796" s="157" t="s">
        <v>4773</v>
      </c>
      <c r="B796" s="195" t="s">
        <v>4774</v>
      </c>
      <c r="C796" s="775">
        <f>(SUMIF(Avaliação!$K:$K,A796,Avaliação!$J:$J))+(SUMIF(Avaliação!$O:$O,A796,Avaliação!$N:$N))+(SUMIF(Avaliação!$S:$S,A796,Avaliação!$R:$R))</f>
        <v>0</v>
      </c>
      <c r="D796" s="775">
        <f>(SUMIF(Avaliação!$AA:$AA,A796,Avaliação!$Z:$Z))+(SUMIF(Avaliação!$AD:$AD,A796,Avaliação!$AC:$AC))+(SUMIF(Avaliação!$AG:$AG,A796,Avaliação!$AF:$AF))</f>
        <v>0</v>
      </c>
    </row>
    <row r="797" spans="1:4">
      <c r="A797" s="157" t="s">
        <v>4775</v>
      </c>
      <c r="B797" s="195" t="s">
        <v>4776</v>
      </c>
      <c r="C797" s="775">
        <f>(SUMIF(Avaliação!$K:$K,A797,Avaliação!$J:$J))+(SUMIF(Avaliação!$O:$O,A797,Avaliação!$N:$N))+(SUMIF(Avaliação!$S:$S,A797,Avaliação!$R:$R))</f>
        <v>0</v>
      </c>
      <c r="D797" s="775">
        <f>(SUMIF(Avaliação!$AA:$AA,A797,Avaliação!$Z:$Z))+(SUMIF(Avaliação!$AD:$AD,A797,Avaliação!$AC:$AC))+(SUMIF(Avaliação!$AG:$AG,A797,Avaliação!$AF:$AF))</f>
        <v>0</v>
      </c>
    </row>
    <row r="798" spans="1:4">
      <c r="A798" s="157" t="s">
        <v>4777</v>
      </c>
      <c r="B798" s="195" t="s">
        <v>4778</v>
      </c>
      <c r="C798" s="775">
        <f>(SUMIF(Avaliação!$K:$K,A798,Avaliação!$J:$J))+(SUMIF(Avaliação!$O:$O,A798,Avaliação!$N:$N))+(SUMIF(Avaliação!$S:$S,A798,Avaliação!$R:$R))</f>
        <v>0</v>
      </c>
      <c r="D798" s="775">
        <f>(SUMIF(Avaliação!$AA:$AA,A798,Avaliação!$Z:$Z))+(SUMIF(Avaliação!$AD:$AD,A798,Avaliação!$AC:$AC))+(SUMIF(Avaliação!$AG:$AG,A798,Avaliação!$AF:$AF))</f>
        <v>0</v>
      </c>
    </row>
    <row r="799" spans="1:4">
      <c r="A799" s="157" t="s">
        <v>4779</v>
      </c>
      <c r="B799" s="195" t="s">
        <v>4780</v>
      </c>
      <c r="C799" s="775">
        <f>(SUMIF(Avaliação!$K:$K,A799,Avaliação!$J:$J))+(SUMIF(Avaliação!$O:$O,A799,Avaliação!$N:$N))+(SUMIF(Avaliação!$S:$S,A799,Avaliação!$R:$R))</f>
        <v>0</v>
      </c>
      <c r="D799" s="775">
        <f>(SUMIF(Avaliação!$AA:$AA,A799,Avaliação!$Z:$Z))+(SUMIF(Avaliação!$AD:$AD,A799,Avaliação!$AC:$AC))+(SUMIF(Avaliação!$AG:$AG,A799,Avaliação!$AF:$AF))</f>
        <v>0</v>
      </c>
    </row>
    <row r="800" spans="1:4">
      <c r="A800" s="157" t="s">
        <v>4781</v>
      </c>
      <c r="B800" s="195" t="s">
        <v>4782</v>
      </c>
      <c r="C800" s="775">
        <f>(SUMIF(Avaliação!$K:$K,A800,Avaliação!$J:$J))+(SUMIF(Avaliação!$O:$O,A800,Avaliação!$N:$N))+(SUMIF(Avaliação!$S:$S,A800,Avaliação!$R:$R))</f>
        <v>0</v>
      </c>
      <c r="D800" s="775">
        <f>(SUMIF(Avaliação!$AA:$AA,A800,Avaliação!$Z:$Z))+(SUMIF(Avaliação!$AD:$AD,A800,Avaliação!$AC:$AC))+(SUMIF(Avaliação!$AG:$AG,A800,Avaliação!$AF:$AF))</f>
        <v>0</v>
      </c>
    </row>
    <row r="801" spans="1:4">
      <c r="A801" s="157" t="s">
        <v>4783</v>
      </c>
      <c r="B801" s="195" t="s">
        <v>4784</v>
      </c>
      <c r="C801" s="775">
        <f>(SUMIF(Avaliação!$K:$K,A801,Avaliação!$J:$J))+(SUMIF(Avaliação!$O:$O,A801,Avaliação!$N:$N))+(SUMIF(Avaliação!$S:$S,A801,Avaliação!$R:$R))</f>
        <v>0</v>
      </c>
      <c r="D801" s="775">
        <f>(SUMIF(Avaliação!$AA:$AA,A801,Avaliação!$Z:$Z))+(SUMIF(Avaliação!$AD:$AD,A801,Avaliação!$AC:$AC))+(SUMIF(Avaliação!$AG:$AG,A801,Avaliação!$AF:$AF))</f>
        <v>0</v>
      </c>
    </row>
    <row r="802" spans="1:4">
      <c r="A802" s="157" t="s">
        <v>4785</v>
      </c>
      <c r="B802" s="195" t="s">
        <v>4786</v>
      </c>
      <c r="C802" s="775">
        <f>(SUMIF(Avaliação!$K:$K,A802,Avaliação!$J:$J))+(SUMIF(Avaliação!$O:$O,A802,Avaliação!$N:$N))+(SUMIF(Avaliação!$S:$S,A802,Avaliação!$R:$R))</f>
        <v>0</v>
      </c>
      <c r="D802" s="775">
        <f>(SUMIF(Avaliação!$AA:$AA,A802,Avaliação!$Z:$Z))+(SUMIF(Avaliação!$AD:$AD,A802,Avaliação!$AC:$AC))+(SUMIF(Avaliação!$AG:$AG,A802,Avaliação!$AF:$AF))</f>
        <v>0</v>
      </c>
    </row>
    <row r="803" spans="1:4">
      <c r="A803" s="157" t="s">
        <v>4787</v>
      </c>
      <c r="B803" s="195" t="s">
        <v>4788</v>
      </c>
      <c r="C803" s="775">
        <f>(SUMIF(Avaliação!$K:$K,A803,Avaliação!$J:$J))+(SUMIF(Avaliação!$O:$O,A803,Avaliação!$N:$N))+(SUMIF(Avaliação!$S:$S,A803,Avaliação!$R:$R))</f>
        <v>0</v>
      </c>
      <c r="D803" s="775">
        <f>(SUMIF(Avaliação!$AA:$AA,A803,Avaliação!$Z:$Z))+(SUMIF(Avaliação!$AD:$AD,A803,Avaliação!$AC:$AC))+(SUMIF(Avaliação!$AG:$AG,A803,Avaliação!$AF:$AF))</f>
        <v>0</v>
      </c>
    </row>
    <row r="804" spans="1:4">
      <c r="A804" s="157" t="s">
        <v>4789</v>
      </c>
      <c r="B804" s="195" t="s">
        <v>4790</v>
      </c>
      <c r="C804" s="775">
        <f>(SUMIF(Avaliação!$K:$K,A804,Avaliação!$J:$J))+(SUMIF(Avaliação!$O:$O,A804,Avaliação!$N:$N))+(SUMIF(Avaliação!$S:$S,A804,Avaliação!$R:$R))</f>
        <v>0</v>
      </c>
      <c r="D804" s="775">
        <f>(SUMIF(Avaliação!$AA:$AA,A804,Avaliação!$Z:$Z))+(SUMIF(Avaliação!$AD:$AD,A804,Avaliação!$AC:$AC))+(SUMIF(Avaliação!$AG:$AG,A804,Avaliação!$AF:$AF))</f>
        <v>0</v>
      </c>
    </row>
    <row r="805" spans="1:4">
      <c r="A805" s="157" t="s">
        <v>4791</v>
      </c>
      <c r="B805" s="195" t="s">
        <v>4792</v>
      </c>
      <c r="C805" s="775">
        <f>(SUMIF(Avaliação!$K:$K,A805,Avaliação!$J:$J))+(SUMIF(Avaliação!$O:$O,A805,Avaliação!$N:$N))+(SUMIF(Avaliação!$S:$S,A805,Avaliação!$R:$R))</f>
        <v>0</v>
      </c>
      <c r="D805" s="775">
        <f>(SUMIF(Avaliação!$AA:$AA,A805,Avaliação!$Z:$Z))+(SUMIF(Avaliação!$AD:$AD,A805,Avaliação!$AC:$AC))+(SUMIF(Avaliação!$AG:$AG,A805,Avaliação!$AF:$AF))</f>
        <v>0</v>
      </c>
    </row>
    <row r="806" spans="1:4">
      <c r="A806" s="157" t="s">
        <v>4793</v>
      </c>
      <c r="B806" s="195" t="s">
        <v>4794</v>
      </c>
      <c r="C806" s="775">
        <f>(SUMIF(Avaliação!$K:$K,A806,Avaliação!$J:$J))+(SUMIF(Avaliação!$O:$O,A806,Avaliação!$N:$N))+(SUMIF(Avaliação!$S:$S,A806,Avaliação!$R:$R))</f>
        <v>0</v>
      </c>
      <c r="D806" s="775">
        <f>(SUMIF(Avaliação!$AA:$AA,A806,Avaliação!$Z:$Z))+(SUMIF(Avaliação!$AD:$AD,A806,Avaliação!$AC:$AC))+(SUMIF(Avaliação!$AG:$AG,A806,Avaliação!$AF:$AF))</f>
        <v>0</v>
      </c>
    </row>
    <row r="807" spans="1:4">
      <c r="A807" s="157" t="s">
        <v>4795</v>
      </c>
      <c r="B807" s="195" t="s">
        <v>4796</v>
      </c>
      <c r="C807" s="775">
        <f>(SUMIF(Avaliação!$K:$K,A807,Avaliação!$J:$J))+(SUMIF(Avaliação!$O:$O,A807,Avaliação!$N:$N))+(SUMIF(Avaliação!$S:$S,A807,Avaliação!$R:$R))</f>
        <v>0</v>
      </c>
      <c r="D807" s="775">
        <f>(SUMIF(Avaliação!$AA:$AA,A807,Avaliação!$Z:$Z))+(SUMIF(Avaliação!$AD:$AD,A807,Avaliação!$AC:$AC))+(SUMIF(Avaliação!$AG:$AG,A807,Avaliação!$AF:$AF))</f>
        <v>0</v>
      </c>
    </row>
    <row r="808" spans="1:4">
      <c r="A808" s="157" t="s">
        <v>4797</v>
      </c>
      <c r="B808" s="195" t="s">
        <v>4798</v>
      </c>
      <c r="C808" s="775">
        <f>(SUMIF(Avaliação!$K:$K,A808,Avaliação!$J:$J))+(SUMIF(Avaliação!$O:$O,A808,Avaliação!$N:$N))+(SUMIF(Avaliação!$S:$S,A808,Avaliação!$R:$R))</f>
        <v>0</v>
      </c>
      <c r="D808" s="775">
        <f>(SUMIF(Avaliação!$AA:$AA,A808,Avaliação!$Z:$Z))+(SUMIF(Avaliação!$AD:$AD,A808,Avaliação!$AC:$AC))+(SUMIF(Avaliação!$AG:$AG,A808,Avaliação!$AF:$AF))</f>
        <v>0</v>
      </c>
    </row>
    <row r="809" spans="1:4">
      <c r="A809" s="157" t="s">
        <v>4799</v>
      </c>
      <c r="B809" s="195" t="s">
        <v>4800</v>
      </c>
      <c r="C809" s="775">
        <f>(SUMIF(Avaliação!$K:$K,A809,Avaliação!$J:$J))+(SUMIF(Avaliação!$O:$O,A809,Avaliação!$N:$N))+(SUMIF(Avaliação!$S:$S,A809,Avaliação!$R:$R))</f>
        <v>0</v>
      </c>
      <c r="D809" s="775">
        <f>(SUMIF(Avaliação!$AA:$AA,A809,Avaliação!$Z:$Z))+(SUMIF(Avaliação!$AD:$AD,A809,Avaliação!$AC:$AC))+(SUMIF(Avaliação!$AG:$AG,A809,Avaliação!$AF:$AF))</f>
        <v>0</v>
      </c>
    </row>
    <row r="810" spans="1:4">
      <c r="A810" s="157" t="s">
        <v>4801</v>
      </c>
      <c r="B810" s="195" t="s">
        <v>4802</v>
      </c>
      <c r="C810" s="775">
        <f>(SUMIF(Avaliação!$K:$K,A810,Avaliação!$J:$J))+(SUMIF(Avaliação!$O:$O,A810,Avaliação!$N:$N))+(SUMIF(Avaliação!$S:$S,A810,Avaliação!$R:$R))</f>
        <v>0</v>
      </c>
      <c r="D810" s="775">
        <f>(SUMIF(Avaliação!$AA:$AA,A810,Avaliação!$Z:$Z))+(SUMIF(Avaliação!$AD:$AD,A810,Avaliação!$AC:$AC))+(SUMIF(Avaliação!$AG:$AG,A810,Avaliação!$AF:$AF))</f>
        <v>0</v>
      </c>
    </row>
    <row r="811" spans="1:4">
      <c r="A811" s="854" t="s">
        <v>4803</v>
      </c>
      <c r="B811" s="855" t="s">
        <v>4804</v>
      </c>
      <c r="C811" s="775">
        <f>(SUMIF(Avaliação!$K:$K,A811,Avaliação!$J:$J))+(SUMIF(Avaliação!$O:$O,A811,Avaliação!$N:$N))+(SUMIF(Avaliação!$S:$S,A811,Avaliação!$R:$R))</f>
        <v>1</v>
      </c>
      <c r="D811" s="856">
        <f>(SUMIF(Avaliação!$AA:$AA,A811,Avaliação!$Z:$Z))+(SUMIF(Avaliação!$AD:$AD,A811,Avaliação!$AC:$AC))+(SUMIF(Avaliação!$AG:$AG,A811,Avaliação!$AF:$AF))</f>
        <v>0</v>
      </c>
    </row>
    <row r="812" spans="1:4">
      <c r="A812" s="157" t="s">
        <v>4805</v>
      </c>
      <c r="B812" s="195" t="s">
        <v>4806</v>
      </c>
      <c r="C812" s="775">
        <f>(SUMIF(Avaliação!$K:$K,A812,Avaliação!$J:$J))+(SUMIF(Avaliação!$O:$O,A812,Avaliação!$N:$N))+(SUMIF(Avaliação!$S:$S,A812,Avaliação!$R:$R))</f>
        <v>0</v>
      </c>
      <c r="D812" s="775">
        <f>(SUMIF(Avaliação!$AA:$AA,A812,Avaliação!$Z:$Z))+(SUMIF(Avaliação!$AD:$AD,A812,Avaliação!$AC:$AC))+(SUMIF(Avaliação!$AG:$AG,A812,Avaliação!$AF:$AF))</f>
        <v>0</v>
      </c>
    </row>
    <row r="813" spans="1:4">
      <c r="A813" s="157" t="s">
        <v>4807</v>
      </c>
      <c r="B813" s="195" t="s">
        <v>4808</v>
      </c>
      <c r="C813" s="775">
        <f>(SUMIF(Avaliação!$K:$K,A813,Avaliação!$J:$J))+(SUMIF(Avaliação!$O:$O,A813,Avaliação!$N:$N))+(SUMIF(Avaliação!$S:$S,A813,Avaliação!$R:$R))</f>
        <v>0</v>
      </c>
      <c r="D813" s="775">
        <f>(SUMIF(Avaliação!$AA:$AA,A813,Avaliação!$Z:$Z))+(SUMIF(Avaliação!$AD:$AD,A813,Avaliação!$AC:$AC))+(SUMIF(Avaliação!$AG:$AG,A813,Avaliação!$AF:$AF))</f>
        <v>0</v>
      </c>
    </row>
    <row r="814" spans="1:4">
      <c r="A814" s="157" t="s">
        <v>4809</v>
      </c>
      <c r="B814" s="195" t="s">
        <v>4810</v>
      </c>
      <c r="C814" s="775">
        <f>(SUMIF(Avaliação!$K:$K,A814,Avaliação!$J:$J))+(SUMIF(Avaliação!$O:$O,A814,Avaliação!$N:$N))+(SUMIF(Avaliação!$S:$S,A814,Avaliação!$R:$R))</f>
        <v>0</v>
      </c>
      <c r="D814" s="775">
        <f>(SUMIF(Avaliação!$AA:$AA,A814,Avaliação!$Z:$Z))+(SUMIF(Avaliação!$AD:$AD,A814,Avaliação!$AC:$AC))+(SUMIF(Avaliação!$AG:$AG,A814,Avaliação!$AF:$AF))</f>
        <v>0</v>
      </c>
    </row>
    <row r="815" spans="1:4">
      <c r="A815" s="157" t="s">
        <v>4811</v>
      </c>
      <c r="B815" s="195" t="s">
        <v>4812</v>
      </c>
      <c r="C815" s="775">
        <f>(SUMIF(Avaliação!$K:$K,A815,Avaliação!$J:$J))+(SUMIF(Avaliação!$O:$O,A815,Avaliação!$N:$N))+(SUMIF(Avaliação!$S:$S,A815,Avaliação!$R:$R))</f>
        <v>0</v>
      </c>
      <c r="D815" s="775">
        <f>(SUMIF(Avaliação!$AA:$AA,A815,Avaliação!$Z:$Z))+(SUMIF(Avaliação!$AD:$AD,A815,Avaliação!$AC:$AC))+(SUMIF(Avaliação!$AG:$AG,A815,Avaliação!$AF:$AF))</f>
        <v>0</v>
      </c>
    </row>
    <row r="816" spans="1:4">
      <c r="A816" s="157" t="s">
        <v>4813</v>
      </c>
      <c r="B816" s="195" t="s">
        <v>4814</v>
      </c>
      <c r="C816" s="775">
        <f>(SUMIF(Avaliação!$K:$K,A816,Avaliação!$J:$J))+(SUMIF(Avaliação!$O:$O,A816,Avaliação!$N:$N))+(SUMIF(Avaliação!$S:$S,A816,Avaliação!$R:$R))</f>
        <v>0</v>
      </c>
      <c r="D816" s="775">
        <f>(SUMIF(Avaliação!$AA:$AA,A816,Avaliação!$Z:$Z))+(SUMIF(Avaliação!$AD:$AD,A816,Avaliação!$AC:$AC))+(SUMIF(Avaliação!$AG:$AG,A816,Avaliação!$AF:$AF))</f>
        <v>0</v>
      </c>
    </row>
    <row r="817" spans="1:4">
      <c r="A817" s="157" t="s">
        <v>4815</v>
      </c>
      <c r="B817" s="195" t="s">
        <v>4816</v>
      </c>
      <c r="C817" s="775">
        <f>(SUMIF(Avaliação!$K:$K,A817,Avaliação!$J:$J))+(SUMIF(Avaliação!$O:$O,A817,Avaliação!$N:$N))+(SUMIF(Avaliação!$S:$S,A817,Avaliação!$R:$R))</f>
        <v>0</v>
      </c>
      <c r="D817" s="775">
        <f>(SUMIF(Avaliação!$AA:$AA,A817,Avaliação!$Z:$Z))+(SUMIF(Avaliação!$AD:$AD,A817,Avaliação!$AC:$AC))+(SUMIF(Avaliação!$AG:$AG,A817,Avaliação!$AF:$AF))</f>
        <v>0</v>
      </c>
    </row>
    <row r="818" spans="1:4">
      <c r="A818" s="854" t="s">
        <v>4817</v>
      </c>
      <c r="B818" s="855" t="s">
        <v>4818</v>
      </c>
      <c r="C818" s="775">
        <f>(SUMIF(Avaliação!$K:$K,A818,Avaliação!$J:$J))+(SUMIF(Avaliação!$O:$O,A818,Avaliação!$N:$N))+(SUMIF(Avaliação!$S:$S,A818,Avaliação!$R:$R))</f>
        <v>12</v>
      </c>
      <c r="D818" s="856">
        <f>(SUMIF(Avaliação!$AA:$AA,A818,Avaliação!$Z:$Z))+(SUMIF(Avaliação!$AD:$AD,A818,Avaliação!$AC:$AC))+(SUMIF(Avaliação!$AG:$AG,A818,Avaliação!$AF:$AF))</f>
        <v>0</v>
      </c>
    </row>
    <row r="819" spans="1:4">
      <c r="A819" s="157" t="s">
        <v>4819</v>
      </c>
      <c r="B819" s="195" t="s">
        <v>4820</v>
      </c>
      <c r="C819" s="775">
        <f>(SUMIF(Avaliação!$K:$K,A819,Avaliação!$J:$J))+(SUMIF(Avaliação!$O:$O,A819,Avaliação!$N:$N))+(SUMIF(Avaliação!$S:$S,A819,Avaliação!$R:$R))</f>
        <v>0</v>
      </c>
      <c r="D819" s="775">
        <f>(SUMIF(Avaliação!$AA:$AA,A819,Avaliação!$Z:$Z))+(SUMIF(Avaliação!$AD:$AD,A819,Avaliação!$AC:$AC))+(SUMIF(Avaliação!$AG:$AG,A819,Avaliação!$AF:$AF))</f>
        <v>0</v>
      </c>
    </row>
    <row r="820" spans="1:4">
      <c r="A820" s="157" t="s">
        <v>4821</v>
      </c>
      <c r="B820" s="195" t="s">
        <v>4822</v>
      </c>
      <c r="C820" s="775">
        <f>(SUMIF(Avaliação!$K:$K,A820,Avaliação!$J:$J))+(SUMIF(Avaliação!$O:$O,A820,Avaliação!$N:$N))+(SUMIF(Avaliação!$S:$S,A820,Avaliação!$R:$R))</f>
        <v>0</v>
      </c>
      <c r="D820" s="775">
        <f>(SUMIF(Avaliação!$AA:$AA,A820,Avaliação!$Z:$Z))+(SUMIF(Avaliação!$AD:$AD,A820,Avaliação!$AC:$AC))+(SUMIF(Avaliação!$AG:$AG,A820,Avaliação!$AF:$AF))</f>
        <v>0</v>
      </c>
    </row>
    <row r="821" spans="1:4">
      <c r="A821" s="157" t="s">
        <v>4823</v>
      </c>
      <c r="B821" s="195" t="s">
        <v>4824</v>
      </c>
      <c r="C821" s="775">
        <f>(SUMIF(Avaliação!$K:$K,A821,Avaliação!$J:$J))+(SUMIF(Avaliação!$O:$O,A821,Avaliação!$N:$N))+(SUMIF(Avaliação!$S:$S,A821,Avaliação!$R:$R))</f>
        <v>0</v>
      </c>
      <c r="D821" s="775">
        <f>(SUMIF(Avaliação!$AA:$AA,A821,Avaliação!$Z:$Z))+(SUMIF(Avaliação!$AD:$AD,A821,Avaliação!$AC:$AC))+(SUMIF(Avaliação!$AG:$AG,A821,Avaliação!$AF:$AF))</f>
        <v>0</v>
      </c>
    </row>
    <row r="822" spans="1:4">
      <c r="A822" s="157" t="s">
        <v>4825</v>
      </c>
      <c r="B822" s="195" t="s">
        <v>4826</v>
      </c>
      <c r="C822" s="775">
        <f>(SUMIF(Avaliação!$K:$K,A822,Avaliação!$J:$J))+(SUMIF(Avaliação!$O:$O,A822,Avaliação!$N:$N))+(SUMIF(Avaliação!$S:$S,A822,Avaliação!$R:$R))</f>
        <v>0</v>
      </c>
      <c r="D822" s="775">
        <f>(SUMIF(Avaliação!$AA:$AA,A822,Avaliação!$Z:$Z))+(SUMIF(Avaliação!$AD:$AD,A822,Avaliação!$AC:$AC))+(SUMIF(Avaliação!$AG:$AG,A822,Avaliação!$AF:$AF))</f>
        <v>0</v>
      </c>
    </row>
    <row r="823" spans="1:4">
      <c r="A823" s="157" t="s">
        <v>4827</v>
      </c>
      <c r="B823" s="195" t="s">
        <v>4828</v>
      </c>
      <c r="C823" s="775">
        <f>(SUMIF(Avaliação!$K:$K,A823,Avaliação!$J:$J))+(SUMIF(Avaliação!$O:$O,A823,Avaliação!$N:$N))+(SUMIF(Avaliação!$S:$S,A823,Avaliação!$R:$R))</f>
        <v>0</v>
      </c>
      <c r="D823" s="775">
        <f>(SUMIF(Avaliação!$AA:$AA,A823,Avaliação!$Z:$Z))+(SUMIF(Avaliação!$AD:$AD,A823,Avaliação!$AC:$AC))+(SUMIF(Avaliação!$AG:$AG,A823,Avaliação!$AF:$AF))</f>
        <v>0</v>
      </c>
    </row>
    <row r="824" spans="1:4">
      <c r="A824" s="854" t="s">
        <v>4829</v>
      </c>
      <c r="B824" s="855" t="s">
        <v>4830</v>
      </c>
      <c r="C824" s="775">
        <f>(SUMIF(Avaliação!$K:$K,A824,Avaliação!$J:$J))+(SUMIF(Avaliação!$O:$O,A824,Avaliação!$N:$N))+(SUMIF(Avaliação!$S:$S,A824,Avaliação!$R:$R))</f>
        <v>1</v>
      </c>
      <c r="D824" s="856">
        <f>(SUMIF(Avaliação!$AA:$AA,A824,Avaliação!$Z:$Z))+(SUMIF(Avaliação!$AD:$AD,A824,Avaliação!$AC:$AC))+(SUMIF(Avaliação!$AG:$AG,A824,Avaliação!$AF:$AF))</f>
        <v>0</v>
      </c>
    </row>
    <row r="825" spans="1:4">
      <c r="A825" s="157" t="s">
        <v>4831</v>
      </c>
      <c r="B825" s="195" t="s">
        <v>4832</v>
      </c>
      <c r="C825" s="775">
        <f>(SUMIF(Avaliação!$K:$K,A825,Avaliação!$J:$J))+(SUMIF(Avaliação!$O:$O,A825,Avaliação!$N:$N))+(SUMIF(Avaliação!$S:$S,A825,Avaliação!$R:$R))</f>
        <v>0</v>
      </c>
      <c r="D825" s="775">
        <f>(SUMIF(Avaliação!$AA:$AA,A825,Avaliação!$Z:$Z))+(SUMIF(Avaliação!$AD:$AD,A825,Avaliação!$AC:$AC))+(SUMIF(Avaliação!$AG:$AG,A825,Avaliação!$AF:$AF))</f>
        <v>0</v>
      </c>
    </row>
    <row r="826" spans="1:4">
      <c r="A826" s="157" t="s">
        <v>4833</v>
      </c>
      <c r="B826" s="195" t="s">
        <v>4834</v>
      </c>
      <c r="C826" s="775">
        <f>(SUMIF(Avaliação!$K:$K,A826,Avaliação!$J:$J))+(SUMIF(Avaliação!$O:$O,A826,Avaliação!$N:$N))+(SUMIF(Avaliação!$S:$S,A826,Avaliação!$R:$R))</f>
        <v>0</v>
      </c>
      <c r="D826" s="775">
        <f>(SUMIF(Avaliação!$AA:$AA,A826,Avaliação!$Z:$Z))+(SUMIF(Avaliação!$AD:$AD,A826,Avaliação!$AC:$AC))+(SUMIF(Avaliação!$AG:$AG,A826,Avaliação!$AF:$AF))</f>
        <v>0</v>
      </c>
    </row>
    <row r="827" spans="1:4">
      <c r="A827" s="157" t="s">
        <v>4835</v>
      </c>
      <c r="B827" s="195" t="s">
        <v>4836</v>
      </c>
      <c r="C827" s="775">
        <f>(SUMIF(Avaliação!$K:$K,A827,Avaliação!$J:$J))+(SUMIF(Avaliação!$O:$O,A827,Avaliação!$N:$N))+(SUMIF(Avaliação!$S:$S,A827,Avaliação!$R:$R))</f>
        <v>0</v>
      </c>
      <c r="D827" s="775">
        <f>(SUMIF(Avaliação!$AA:$AA,A827,Avaliação!$Z:$Z))+(SUMIF(Avaliação!$AD:$AD,A827,Avaliação!$AC:$AC))+(SUMIF(Avaliação!$AG:$AG,A827,Avaliação!$AF:$AF))</f>
        <v>0</v>
      </c>
    </row>
    <row r="828" spans="1:4">
      <c r="A828" s="157" t="s">
        <v>4837</v>
      </c>
      <c r="B828" s="195" t="s">
        <v>4838</v>
      </c>
      <c r="C828" s="775">
        <f>(SUMIF(Avaliação!$K:$K,A828,Avaliação!$J:$J))+(SUMIF(Avaliação!$O:$O,A828,Avaliação!$N:$N))+(SUMIF(Avaliação!$S:$S,A828,Avaliação!$R:$R))</f>
        <v>0</v>
      </c>
      <c r="D828" s="775">
        <f>(SUMIF(Avaliação!$AA:$AA,A828,Avaliação!$Z:$Z))+(SUMIF(Avaliação!$AD:$AD,A828,Avaliação!$AC:$AC))+(SUMIF(Avaliação!$AG:$AG,A828,Avaliação!$AF:$AF))</f>
        <v>0</v>
      </c>
    </row>
    <row r="829" spans="1:4">
      <c r="A829" s="157" t="s">
        <v>4839</v>
      </c>
      <c r="B829" s="195" t="s">
        <v>4840</v>
      </c>
      <c r="C829" s="775">
        <f>(SUMIF(Avaliação!$K:$K,A829,Avaliação!$J:$J))+(SUMIF(Avaliação!$O:$O,A829,Avaliação!$N:$N))+(SUMIF(Avaliação!$S:$S,A829,Avaliação!$R:$R))</f>
        <v>0</v>
      </c>
      <c r="D829" s="775">
        <f>(SUMIF(Avaliação!$AA:$AA,A829,Avaliação!$Z:$Z))+(SUMIF(Avaliação!$AD:$AD,A829,Avaliação!$AC:$AC))+(SUMIF(Avaliação!$AG:$AG,A829,Avaliação!$AF:$AF))</f>
        <v>0</v>
      </c>
    </row>
    <row r="830" spans="1:4">
      <c r="A830" s="157" t="s">
        <v>4841</v>
      </c>
      <c r="B830" s="195" t="s">
        <v>4842</v>
      </c>
      <c r="C830" s="775">
        <f>(SUMIF(Avaliação!$K:$K,A830,Avaliação!$J:$J))+(SUMIF(Avaliação!$O:$O,A830,Avaliação!$N:$N))+(SUMIF(Avaliação!$S:$S,A830,Avaliação!$R:$R))</f>
        <v>0</v>
      </c>
      <c r="D830" s="775">
        <f>(SUMIF(Avaliação!$AA:$AA,A830,Avaliação!$Z:$Z))+(SUMIF(Avaliação!$AD:$AD,A830,Avaliação!$AC:$AC))+(SUMIF(Avaliação!$AG:$AG,A830,Avaliação!$AF:$AF))</f>
        <v>0</v>
      </c>
    </row>
    <row r="831" spans="1:4">
      <c r="A831" s="157" t="s">
        <v>4843</v>
      </c>
      <c r="B831" s="195" t="s">
        <v>4844</v>
      </c>
      <c r="C831" s="775">
        <f>(SUMIF(Avaliação!$K:$K,A831,Avaliação!$J:$J))+(SUMIF(Avaliação!$O:$O,A831,Avaliação!$N:$N))+(SUMIF(Avaliação!$S:$S,A831,Avaliação!$R:$R))</f>
        <v>0</v>
      </c>
      <c r="D831" s="775">
        <f>(SUMIF(Avaliação!$AA:$AA,A831,Avaliação!$Z:$Z))+(SUMIF(Avaliação!$AD:$AD,A831,Avaliação!$AC:$AC))+(SUMIF(Avaliação!$AG:$AG,A831,Avaliação!$AF:$AF))</f>
        <v>0</v>
      </c>
    </row>
    <row r="832" spans="1:4">
      <c r="A832" s="157" t="s">
        <v>4845</v>
      </c>
      <c r="B832" s="195" t="s">
        <v>4846</v>
      </c>
      <c r="C832" s="775">
        <f>(SUMIF(Avaliação!$K:$K,A832,Avaliação!$J:$J))+(SUMIF(Avaliação!$O:$O,A832,Avaliação!$N:$N))+(SUMIF(Avaliação!$S:$S,A832,Avaliação!$R:$R))</f>
        <v>0</v>
      </c>
      <c r="D832" s="775">
        <f>(SUMIF(Avaliação!$AA:$AA,A832,Avaliação!$Z:$Z))+(SUMIF(Avaliação!$AD:$AD,A832,Avaliação!$AC:$AC))+(SUMIF(Avaliação!$AG:$AG,A832,Avaliação!$AF:$AF))</f>
        <v>0</v>
      </c>
    </row>
    <row r="833" spans="1:4">
      <c r="A833" s="157" t="s">
        <v>4847</v>
      </c>
      <c r="B833" s="195" t="s">
        <v>4848</v>
      </c>
      <c r="C833" s="775">
        <f>(SUMIF(Avaliação!$K:$K,A833,Avaliação!$J:$J))+(SUMIF(Avaliação!$O:$O,A833,Avaliação!$N:$N))+(SUMIF(Avaliação!$S:$S,A833,Avaliação!$R:$R))</f>
        <v>0</v>
      </c>
      <c r="D833" s="775">
        <f>(SUMIF(Avaliação!$AA:$AA,A833,Avaliação!$Z:$Z))+(SUMIF(Avaliação!$AD:$AD,A833,Avaliação!$AC:$AC))+(SUMIF(Avaliação!$AG:$AG,A833,Avaliação!$AF:$AF))</f>
        <v>0</v>
      </c>
    </row>
    <row r="834" spans="1:4">
      <c r="A834" s="157" t="s">
        <v>4849</v>
      </c>
      <c r="B834" s="195" t="s">
        <v>4850</v>
      </c>
      <c r="C834" s="775">
        <f>(SUMIF(Avaliação!$K:$K,A834,Avaliação!$J:$J))+(SUMIF(Avaliação!$O:$O,A834,Avaliação!$N:$N))+(SUMIF(Avaliação!$S:$S,A834,Avaliação!$R:$R))</f>
        <v>0</v>
      </c>
      <c r="D834" s="775">
        <f>(SUMIF(Avaliação!$AA:$AA,A834,Avaliação!$Z:$Z))+(SUMIF(Avaliação!$AD:$AD,A834,Avaliação!$AC:$AC))+(SUMIF(Avaliação!$AG:$AG,A834,Avaliação!$AF:$AF))</f>
        <v>0</v>
      </c>
    </row>
    <row r="835" spans="1:4">
      <c r="A835" s="157" t="s">
        <v>4851</v>
      </c>
      <c r="B835" s="195" t="s">
        <v>4852</v>
      </c>
      <c r="C835" s="775">
        <f>(SUMIF(Avaliação!$K:$K,A835,Avaliação!$J:$J))+(SUMIF(Avaliação!$O:$O,A835,Avaliação!$N:$N))+(SUMIF(Avaliação!$S:$S,A835,Avaliação!$R:$R))</f>
        <v>0</v>
      </c>
      <c r="D835" s="775">
        <f>(SUMIF(Avaliação!$AA:$AA,A835,Avaliação!$Z:$Z))+(SUMIF(Avaliação!$AD:$AD,A835,Avaliação!$AC:$AC))+(SUMIF(Avaliação!$AG:$AG,A835,Avaliação!$AF:$AF))</f>
        <v>0</v>
      </c>
    </row>
    <row r="836" spans="1:4">
      <c r="A836" s="157" t="s">
        <v>4853</v>
      </c>
      <c r="B836" s="195" t="s">
        <v>4854</v>
      </c>
      <c r="C836" s="775">
        <f>(SUMIF(Avaliação!$K:$K,A836,Avaliação!$J:$J))+(SUMIF(Avaliação!$O:$O,A836,Avaliação!$N:$N))+(SUMIF(Avaliação!$S:$S,A836,Avaliação!$R:$R))</f>
        <v>0</v>
      </c>
      <c r="D836" s="775">
        <f>(SUMIF(Avaliação!$AA:$AA,A836,Avaliação!$Z:$Z))+(SUMIF(Avaliação!$AD:$AD,A836,Avaliação!$AC:$AC))+(SUMIF(Avaliação!$AG:$AG,A836,Avaliação!$AF:$AF))</f>
        <v>0</v>
      </c>
    </row>
    <row r="837" spans="1:4">
      <c r="A837" s="157" t="s">
        <v>4855</v>
      </c>
      <c r="B837" s="195" t="s">
        <v>4856</v>
      </c>
      <c r="C837" s="775">
        <f>(SUMIF(Avaliação!$K:$K,A837,Avaliação!$J:$J))+(SUMIF(Avaliação!$O:$O,A837,Avaliação!$N:$N))+(SUMIF(Avaliação!$S:$S,A837,Avaliação!$R:$R))</f>
        <v>0</v>
      </c>
      <c r="D837" s="775">
        <f>(SUMIF(Avaliação!$AA:$AA,A837,Avaliação!$Z:$Z))+(SUMIF(Avaliação!$AD:$AD,A837,Avaliação!$AC:$AC))+(SUMIF(Avaliação!$AG:$AG,A837,Avaliação!$AF:$AF))</f>
        <v>0</v>
      </c>
    </row>
    <row r="838" spans="1:4">
      <c r="A838" s="157" t="s">
        <v>4857</v>
      </c>
      <c r="B838" s="195" t="s">
        <v>4858</v>
      </c>
      <c r="C838" s="775">
        <f>(SUMIF(Avaliação!$K:$K,A838,Avaliação!$J:$J))+(SUMIF(Avaliação!$O:$O,A838,Avaliação!$N:$N))+(SUMIF(Avaliação!$S:$S,A838,Avaliação!$R:$R))</f>
        <v>0</v>
      </c>
      <c r="D838" s="775">
        <f>(SUMIF(Avaliação!$AA:$AA,A838,Avaliação!$Z:$Z))+(SUMIF(Avaliação!$AD:$AD,A838,Avaliação!$AC:$AC))+(SUMIF(Avaliação!$AG:$AG,A838,Avaliação!$AF:$AF))</f>
        <v>0</v>
      </c>
    </row>
    <row r="839" spans="1:4">
      <c r="A839" s="157" t="s">
        <v>4859</v>
      </c>
      <c r="B839" s="195" t="s">
        <v>4860</v>
      </c>
      <c r="C839" s="775">
        <f>(SUMIF(Avaliação!$K:$K,A839,Avaliação!$J:$J))+(SUMIF(Avaliação!$O:$O,A839,Avaliação!$N:$N))+(SUMIF(Avaliação!$S:$S,A839,Avaliação!$R:$R))</f>
        <v>0</v>
      </c>
      <c r="D839" s="775">
        <f>(SUMIF(Avaliação!$AA:$AA,A839,Avaliação!$Z:$Z))+(SUMIF(Avaliação!$AD:$AD,A839,Avaliação!$AC:$AC))+(SUMIF(Avaliação!$AG:$AG,A839,Avaliação!$AF:$AF))</f>
        <v>0</v>
      </c>
    </row>
    <row r="840" spans="1:4">
      <c r="A840" s="157" t="s">
        <v>4861</v>
      </c>
      <c r="B840" s="195" t="s">
        <v>4862</v>
      </c>
      <c r="C840" s="775">
        <f>(SUMIF(Avaliação!$K:$K,A840,Avaliação!$J:$J))+(SUMIF(Avaliação!$O:$O,A840,Avaliação!$N:$N))+(SUMIF(Avaliação!$S:$S,A840,Avaliação!$R:$R))</f>
        <v>0</v>
      </c>
      <c r="D840" s="775">
        <f>(SUMIF(Avaliação!$AA:$AA,A840,Avaliação!$Z:$Z))+(SUMIF(Avaliação!$AD:$AD,A840,Avaliação!$AC:$AC))+(SUMIF(Avaliação!$AG:$AG,A840,Avaliação!$AF:$AF))</f>
        <v>0</v>
      </c>
    </row>
    <row r="841" spans="1:4">
      <c r="A841" s="157" t="s">
        <v>4863</v>
      </c>
      <c r="B841" s="195" t="s">
        <v>4864</v>
      </c>
      <c r="C841" s="775">
        <f>(SUMIF(Avaliação!$K:$K,A841,Avaliação!$J:$J))+(SUMIF(Avaliação!$O:$O,A841,Avaliação!$N:$N))+(SUMIF(Avaliação!$S:$S,A841,Avaliação!$R:$R))</f>
        <v>0</v>
      </c>
      <c r="D841" s="775">
        <f>(SUMIF(Avaliação!$AA:$AA,A841,Avaliação!$Z:$Z))+(SUMIF(Avaliação!$AD:$AD,A841,Avaliação!$AC:$AC))+(SUMIF(Avaliação!$AG:$AG,A841,Avaliação!$AF:$AF))</f>
        <v>0</v>
      </c>
    </row>
    <row r="842" spans="1:4">
      <c r="A842" s="157" t="s">
        <v>4865</v>
      </c>
      <c r="B842" s="195" t="s">
        <v>4866</v>
      </c>
      <c r="C842" s="775">
        <f>(SUMIF(Avaliação!$K:$K,A842,Avaliação!$J:$J))+(SUMIF(Avaliação!$O:$O,A842,Avaliação!$N:$N))+(SUMIF(Avaliação!$S:$S,A842,Avaliação!$R:$R))</f>
        <v>0</v>
      </c>
      <c r="D842" s="775">
        <f>(SUMIF(Avaliação!$AA:$AA,A842,Avaliação!$Z:$Z))+(SUMIF(Avaliação!$AD:$AD,A842,Avaliação!$AC:$AC))+(SUMIF(Avaliação!$AG:$AG,A842,Avaliação!$AF:$AF))</f>
        <v>0</v>
      </c>
    </row>
    <row r="843" spans="1:4">
      <c r="A843" s="157" t="s">
        <v>4867</v>
      </c>
      <c r="B843" s="195" t="s">
        <v>4868</v>
      </c>
      <c r="C843" s="775">
        <f>(SUMIF(Avaliação!$K:$K,A843,Avaliação!$J:$J))+(SUMIF(Avaliação!$O:$O,A843,Avaliação!$N:$N))+(SUMIF(Avaliação!$S:$S,A843,Avaliação!$R:$R))</f>
        <v>0</v>
      </c>
      <c r="D843" s="775">
        <f>(SUMIF(Avaliação!$AA:$AA,A843,Avaliação!$Z:$Z))+(SUMIF(Avaliação!$AD:$AD,A843,Avaliação!$AC:$AC))+(SUMIF(Avaliação!$AG:$AG,A843,Avaliação!$AF:$AF))</f>
        <v>0</v>
      </c>
    </row>
    <row r="844" spans="1:4">
      <c r="A844" s="157" t="s">
        <v>4869</v>
      </c>
      <c r="B844" s="195" t="s">
        <v>4870</v>
      </c>
      <c r="C844" s="775">
        <f>(SUMIF(Avaliação!$K:$K,A844,Avaliação!$J:$J))+(SUMIF(Avaliação!$O:$O,A844,Avaliação!$N:$N))+(SUMIF(Avaliação!$S:$S,A844,Avaliação!$R:$R))</f>
        <v>0</v>
      </c>
      <c r="D844" s="775">
        <f>(SUMIF(Avaliação!$AA:$AA,A844,Avaliação!$Z:$Z))+(SUMIF(Avaliação!$AD:$AD,A844,Avaliação!$AC:$AC))+(SUMIF(Avaliação!$AG:$AG,A844,Avaliação!$AF:$AF))</f>
        <v>0</v>
      </c>
    </row>
    <row r="845" spans="1:4">
      <c r="A845" s="157" t="s">
        <v>4871</v>
      </c>
      <c r="B845" s="195" t="s">
        <v>4872</v>
      </c>
      <c r="C845" s="775">
        <f>(SUMIF(Avaliação!$K:$K,A845,Avaliação!$J:$J))+(SUMIF(Avaliação!$O:$O,A845,Avaliação!$N:$N))+(SUMIF(Avaliação!$S:$S,A845,Avaliação!$R:$R))</f>
        <v>0</v>
      </c>
      <c r="D845" s="775">
        <f>(SUMIF(Avaliação!$AA:$AA,A845,Avaliação!$Z:$Z))+(SUMIF(Avaliação!$AD:$AD,A845,Avaliação!$AC:$AC))+(SUMIF(Avaliação!$AG:$AG,A845,Avaliação!$AF:$AF))</f>
        <v>0</v>
      </c>
    </row>
    <row r="846" spans="1:4">
      <c r="A846" s="157" t="s">
        <v>4873</v>
      </c>
      <c r="B846" s="195" t="s">
        <v>4874</v>
      </c>
      <c r="C846" s="775">
        <f>(SUMIF(Avaliação!$K:$K,A846,Avaliação!$J:$J))+(SUMIF(Avaliação!$O:$O,A846,Avaliação!$N:$N))+(SUMIF(Avaliação!$S:$S,A846,Avaliação!$R:$R))</f>
        <v>0</v>
      </c>
      <c r="D846" s="775">
        <f>(SUMIF(Avaliação!$AA:$AA,A846,Avaliação!$Z:$Z))+(SUMIF(Avaliação!$AD:$AD,A846,Avaliação!$AC:$AC))+(SUMIF(Avaliação!$AG:$AG,A846,Avaliação!$AF:$AF))</f>
        <v>0</v>
      </c>
    </row>
    <row r="847" spans="1:4">
      <c r="A847" s="157" t="s">
        <v>4875</v>
      </c>
      <c r="B847" s="195" t="s">
        <v>4876</v>
      </c>
      <c r="C847" s="775">
        <f>(SUMIF(Avaliação!$K:$K,A847,Avaliação!$J:$J))+(SUMIF(Avaliação!$O:$O,A847,Avaliação!$N:$N))+(SUMIF(Avaliação!$S:$S,A847,Avaliação!$R:$R))</f>
        <v>0</v>
      </c>
      <c r="D847" s="775">
        <f>(SUMIF(Avaliação!$AA:$AA,A847,Avaliação!$Z:$Z))+(SUMIF(Avaliação!$AD:$AD,A847,Avaliação!$AC:$AC))+(SUMIF(Avaliação!$AG:$AG,A847,Avaliação!$AF:$AF))</f>
        <v>0</v>
      </c>
    </row>
    <row r="848" spans="1:4">
      <c r="A848" s="157" t="s">
        <v>4877</v>
      </c>
      <c r="B848" s="195" t="s">
        <v>4878</v>
      </c>
      <c r="C848" s="775">
        <f>(SUMIF(Avaliação!$K:$K,A848,Avaliação!$J:$J))+(SUMIF(Avaliação!$O:$O,A848,Avaliação!$N:$N))+(SUMIF(Avaliação!$S:$S,A848,Avaliação!$R:$R))</f>
        <v>0</v>
      </c>
      <c r="D848" s="775">
        <f>(SUMIF(Avaliação!$AA:$AA,A848,Avaliação!$Z:$Z))+(SUMIF(Avaliação!$AD:$AD,A848,Avaliação!$AC:$AC))+(SUMIF(Avaliação!$AG:$AG,A848,Avaliação!$AF:$AF))</f>
        <v>0</v>
      </c>
    </row>
    <row r="849" spans="1:4">
      <c r="A849" s="157" t="s">
        <v>4879</v>
      </c>
      <c r="B849" s="195" t="s">
        <v>4880</v>
      </c>
      <c r="C849" s="775">
        <f>(SUMIF(Avaliação!$K:$K,A849,Avaliação!$J:$J))+(SUMIF(Avaliação!$O:$O,A849,Avaliação!$N:$N))+(SUMIF(Avaliação!$S:$S,A849,Avaliação!$R:$R))</f>
        <v>0</v>
      </c>
      <c r="D849" s="775">
        <f>(SUMIF(Avaliação!$AA:$AA,A849,Avaliação!$Z:$Z))+(SUMIF(Avaliação!$AD:$AD,A849,Avaliação!$AC:$AC))+(SUMIF(Avaliação!$AG:$AG,A849,Avaliação!$AF:$AF))</f>
        <v>0</v>
      </c>
    </row>
    <row r="850" spans="1:4">
      <c r="A850" s="157" t="s">
        <v>4881</v>
      </c>
      <c r="B850" s="195" t="s">
        <v>4882</v>
      </c>
      <c r="C850" s="775">
        <f>(SUMIF(Avaliação!$K:$K,A850,Avaliação!$J:$J))+(SUMIF(Avaliação!$O:$O,A850,Avaliação!$N:$N))+(SUMIF(Avaliação!$S:$S,A850,Avaliação!$R:$R))</f>
        <v>0</v>
      </c>
      <c r="D850" s="775">
        <f>(SUMIF(Avaliação!$AA:$AA,A850,Avaliação!$Z:$Z))+(SUMIF(Avaliação!$AD:$AD,A850,Avaliação!$AC:$AC))+(SUMIF(Avaliação!$AG:$AG,A850,Avaliação!$AF:$AF))</f>
        <v>0</v>
      </c>
    </row>
    <row r="851" spans="1:4">
      <c r="A851" s="157" t="s">
        <v>4883</v>
      </c>
      <c r="B851" s="195" t="s">
        <v>4884</v>
      </c>
      <c r="C851" s="775">
        <f>(SUMIF(Avaliação!$K:$K,A851,Avaliação!$J:$J))+(SUMIF(Avaliação!$O:$O,A851,Avaliação!$N:$N))+(SUMIF(Avaliação!$S:$S,A851,Avaliação!$R:$R))</f>
        <v>0</v>
      </c>
      <c r="D851" s="775">
        <f>(SUMIF(Avaliação!$AA:$AA,A851,Avaliação!$Z:$Z))+(SUMIF(Avaliação!$AD:$AD,A851,Avaliação!$AC:$AC))+(SUMIF(Avaliação!$AG:$AG,A851,Avaliação!$AF:$AF))</f>
        <v>0</v>
      </c>
    </row>
    <row r="852" spans="1:4">
      <c r="A852" s="157" t="s">
        <v>4885</v>
      </c>
      <c r="B852" s="195" t="s">
        <v>4886</v>
      </c>
      <c r="C852" s="775">
        <f>(SUMIF(Avaliação!$K:$K,A852,Avaliação!$J:$J))+(SUMIF(Avaliação!$O:$O,A852,Avaliação!$N:$N))+(SUMIF(Avaliação!$S:$S,A852,Avaliação!$R:$R))</f>
        <v>0</v>
      </c>
      <c r="D852" s="775">
        <f>(SUMIF(Avaliação!$AA:$AA,A852,Avaliação!$Z:$Z))+(SUMIF(Avaliação!$AD:$AD,A852,Avaliação!$AC:$AC))+(SUMIF(Avaliação!$AG:$AG,A852,Avaliação!$AF:$AF))</f>
        <v>0</v>
      </c>
    </row>
    <row r="853" spans="1:4">
      <c r="A853" s="157" t="s">
        <v>4887</v>
      </c>
      <c r="B853" s="195" t="s">
        <v>4888</v>
      </c>
      <c r="C853" s="775">
        <f>(SUMIF(Avaliação!$K:$K,A853,Avaliação!$J:$J))+(SUMIF(Avaliação!$O:$O,A853,Avaliação!$N:$N))+(SUMIF(Avaliação!$S:$S,A853,Avaliação!$R:$R))</f>
        <v>0</v>
      </c>
      <c r="D853" s="775">
        <f>(SUMIF(Avaliação!$AA:$AA,A853,Avaliação!$Z:$Z))+(SUMIF(Avaliação!$AD:$AD,A853,Avaliação!$AC:$AC))+(SUMIF(Avaliação!$AG:$AG,A853,Avaliação!$AF:$AF))</f>
        <v>0</v>
      </c>
    </row>
    <row r="854" spans="1:4">
      <c r="A854" s="157" t="s">
        <v>4889</v>
      </c>
      <c r="B854" s="195" t="s">
        <v>4890</v>
      </c>
      <c r="C854" s="775">
        <f>(SUMIF(Avaliação!$K:$K,A854,Avaliação!$J:$J))+(SUMIF(Avaliação!$O:$O,A854,Avaliação!$N:$N))+(SUMIF(Avaliação!$S:$S,A854,Avaliação!$R:$R))</f>
        <v>0</v>
      </c>
      <c r="D854" s="775">
        <f>(SUMIF(Avaliação!$AA:$AA,A854,Avaliação!$Z:$Z))+(SUMIF(Avaliação!$AD:$AD,A854,Avaliação!$AC:$AC))+(SUMIF(Avaliação!$AG:$AG,A854,Avaliação!$AF:$AF))</f>
        <v>0</v>
      </c>
    </row>
    <row r="855" spans="1:4">
      <c r="A855" s="157" t="s">
        <v>4891</v>
      </c>
      <c r="B855" s="195" t="s">
        <v>4892</v>
      </c>
      <c r="C855" s="775">
        <f>(SUMIF(Avaliação!$K:$K,A855,Avaliação!$J:$J))+(SUMIF(Avaliação!$O:$O,A855,Avaliação!$N:$N))+(SUMIF(Avaliação!$S:$S,A855,Avaliação!$R:$R))</f>
        <v>0</v>
      </c>
      <c r="D855" s="775">
        <f>(SUMIF(Avaliação!$AA:$AA,A855,Avaliação!$Z:$Z))+(SUMIF(Avaliação!$AD:$AD,A855,Avaliação!$AC:$AC))+(SUMIF(Avaliação!$AG:$AG,A855,Avaliação!$AF:$AF))</f>
        <v>0</v>
      </c>
    </row>
    <row r="856" spans="1:4">
      <c r="A856" s="157" t="s">
        <v>4893</v>
      </c>
      <c r="B856" s="195" t="s">
        <v>4894</v>
      </c>
      <c r="C856" s="775">
        <f>(SUMIF(Avaliação!$K:$K,A856,Avaliação!$J:$J))+(SUMIF(Avaliação!$O:$O,A856,Avaliação!$N:$N))+(SUMIF(Avaliação!$S:$S,A856,Avaliação!$R:$R))</f>
        <v>0</v>
      </c>
      <c r="D856" s="775">
        <f>(SUMIF(Avaliação!$AA:$AA,A856,Avaliação!$Z:$Z))+(SUMIF(Avaliação!$AD:$AD,A856,Avaliação!$AC:$AC))+(SUMIF(Avaliação!$AG:$AG,A856,Avaliação!$AF:$AF))</f>
        <v>0</v>
      </c>
    </row>
    <row r="857" spans="1:4">
      <c r="A857" s="157" t="s">
        <v>4895</v>
      </c>
      <c r="B857" s="195" t="s">
        <v>4896</v>
      </c>
      <c r="C857" s="775">
        <f>(SUMIF(Avaliação!$K:$K,A857,Avaliação!$J:$J))+(SUMIF(Avaliação!$O:$O,A857,Avaliação!$N:$N))+(SUMIF(Avaliação!$S:$S,A857,Avaliação!$R:$R))</f>
        <v>0</v>
      </c>
      <c r="D857" s="775">
        <f>(SUMIF(Avaliação!$AA:$AA,A857,Avaliação!$Z:$Z))+(SUMIF(Avaliação!$AD:$AD,A857,Avaliação!$AC:$AC))+(SUMIF(Avaliação!$AG:$AG,A857,Avaliação!$AF:$AF))</f>
        <v>0</v>
      </c>
    </row>
    <row r="858" spans="1:4">
      <c r="A858" s="157" t="s">
        <v>4897</v>
      </c>
      <c r="B858" s="195" t="s">
        <v>4898</v>
      </c>
      <c r="C858" s="775">
        <f>(SUMIF(Avaliação!$K:$K,A858,Avaliação!$J:$J))+(SUMIF(Avaliação!$O:$O,A858,Avaliação!$N:$N))+(SUMIF(Avaliação!$S:$S,A858,Avaliação!$R:$R))</f>
        <v>0</v>
      </c>
      <c r="D858" s="775">
        <f>(SUMIF(Avaliação!$AA:$AA,A858,Avaliação!$Z:$Z))+(SUMIF(Avaliação!$AD:$AD,A858,Avaliação!$AC:$AC))+(SUMIF(Avaliação!$AG:$AG,A858,Avaliação!$AF:$AF))</f>
        <v>0</v>
      </c>
    </row>
    <row r="859" spans="1:4">
      <c r="A859" s="157" t="s">
        <v>4899</v>
      </c>
      <c r="B859" s="195" t="s">
        <v>4900</v>
      </c>
      <c r="C859" s="775">
        <f>(SUMIF(Avaliação!$K:$K,A859,Avaliação!$J:$J))+(SUMIF(Avaliação!$O:$O,A859,Avaliação!$N:$N))+(SUMIF(Avaliação!$S:$S,A859,Avaliação!$R:$R))</f>
        <v>0</v>
      </c>
      <c r="D859" s="775">
        <f>(SUMIF(Avaliação!$AA:$AA,A859,Avaliação!$Z:$Z))+(SUMIF(Avaliação!$AD:$AD,A859,Avaliação!$AC:$AC))+(SUMIF(Avaliação!$AG:$AG,A859,Avaliação!$AF:$AF))</f>
        <v>0</v>
      </c>
    </row>
    <row r="860" spans="1:4">
      <c r="A860" s="157" t="s">
        <v>4901</v>
      </c>
      <c r="B860" s="195" t="s">
        <v>4902</v>
      </c>
      <c r="C860" s="775">
        <f>(SUMIF(Avaliação!$K:$K,A860,Avaliação!$J:$J))+(SUMIF(Avaliação!$O:$O,A860,Avaliação!$N:$N))+(SUMIF(Avaliação!$S:$S,A860,Avaliação!$R:$R))</f>
        <v>0</v>
      </c>
      <c r="D860" s="775">
        <f>(SUMIF(Avaliação!$AA:$AA,A860,Avaliação!$Z:$Z))+(SUMIF(Avaliação!$AD:$AD,A860,Avaliação!$AC:$AC))+(SUMIF(Avaliação!$AG:$AG,A860,Avaliação!$AF:$AF))</f>
        <v>0</v>
      </c>
    </row>
    <row r="861" spans="1:4">
      <c r="A861" s="157" t="s">
        <v>4903</v>
      </c>
      <c r="B861" s="195" t="s">
        <v>4904</v>
      </c>
      <c r="C861" s="775">
        <f>(SUMIF(Avaliação!$K:$K,A861,Avaliação!$J:$J))+(SUMIF(Avaliação!$O:$O,A861,Avaliação!$N:$N))+(SUMIF(Avaliação!$S:$S,A861,Avaliação!$R:$R))</f>
        <v>0</v>
      </c>
      <c r="D861" s="775">
        <f>(SUMIF(Avaliação!$AA:$AA,A861,Avaliação!$Z:$Z))+(SUMIF(Avaliação!$AD:$AD,A861,Avaliação!$AC:$AC))+(SUMIF(Avaliação!$AG:$AG,A861,Avaliação!$AF:$AF))</f>
        <v>0</v>
      </c>
    </row>
    <row r="862" spans="1:4">
      <c r="A862" s="157" t="s">
        <v>4905</v>
      </c>
      <c r="B862" s="195" t="s">
        <v>4906</v>
      </c>
      <c r="C862" s="775">
        <f>(SUMIF(Avaliação!$K:$K,A862,Avaliação!$J:$J))+(SUMIF(Avaliação!$O:$O,A862,Avaliação!$N:$N))+(SUMIF(Avaliação!$S:$S,A862,Avaliação!$R:$R))</f>
        <v>0</v>
      </c>
      <c r="D862" s="775">
        <f>(SUMIF(Avaliação!$AA:$AA,A862,Avaliação!$Z:$Z))+(SUMIF(Avaliação!$AD:$AD,A862,Avaliação!$AC:$AC))+(SUMIF(Avaliação!$AG:$AG,A862,Avaliação!$AF:$AF))</f>
        <v>0</v>
      </c>
    </row>
    <row r="863" spans="1:4">
      <c r="A863" s="157" t="s">
        <v>4907</v>
      </c>
      <c r="B863" s="195" t="s">
        <v>4908</v>
      </c>
      <c r="C863" s="775">
        <f>(SUMIF(Avaliação!$K:$K,A863,Avaliação!$J:$J))+(SUMIF(Avaliação!$O:$O,A863,Avaliação!$N:$N))+(SUMIF(Avaliação!$S:$S,A863,Avaliação!$R:$R))</f>
        <v>0</v>
      </c>
      <c r="D863" s="775">
        <f>(SUMIF(Avaliação!$AA:$AA,A863,Avaliação!$Z:$Z))+(SUMIF(Avaliação!$AD:$AD,A863,Avaliação!$AC:$AC))+(SUMIF(Avaliação!$AG:$AG,A863,Avaliação!$AF:$AF))</f>
        <v>0</v>
      </c>
    </row>
    <row r="864" spans="1:4">
      <c r="A864" s="157" t="s">
        <v>4909</v>
      </c>
      <c r="B864" s="195" t="s">
        <v>4910</v>
      </c>
      <c r="C864" s="775">
        <f>(SUMIF(Avaliação!$K:$K,A864,Avaliação!$J:$J))+(SUMIF(Avaliação!$O:$O,A864,Avaliação!$N:$N))+(SUMIF(Avaliação!$S:$S,A864,Avaliação!$R:$R))</f>
        <v>0</v>
      </c>
      <c r="D864" s="775">
        <f>(SUMIF(Avaliação!$AA:$AA,A864,Avaliação!$Z:$Z))+(SUMIF(Avaliação!$AD:$AD,A864,Avaliação!$AC:$AC))+(SUMIF(Avaliação!$AG:$AG,A864,Avaliação!$AF:$AF))</f>
        <v>0</v>
      </c>
    </row>
    <row r="865" spans="1:4">
      <c r="A865" s="157" t="s">
        <v>4911</v>
      </c>
      <c r="B865" s="195" t="s">
        <v>4912</v>
      </c>
      <c r="C865" s="775">
        <f>(SUMIF(Avaliação!$K:$K,A865,Avaliação!$J:$J))+(SUMIF(Avaliação!$O:$O,A865,Avaliação!$N:$N))+(SUMIF(Avaliação!$S:$S,A865,Avaliação!$R:$R))</f>
        <v>0</v>
      </c>
      <c r="D865" s="775">
        <f>(SUMIF(Avaliação!$AA:$AA,A865,Avaliação!$Z:$Z))+(SUMIF(Avaliação!$AD:$AD,A865,Avaliação!$AC:$AC))+(SUMIF(Avaliação!$AG:$AG,A865,Avaliação!$AF:$AF))</f>
        <v>0</v>
      </c>
    </row>
    <row r="866" spans="1:4">
      <c r="A866" s="157" t="s">
        <v>4913</v>
      </c>
      <c r="B866" s="195" t="s">
        <v>4914</v>
      </c>
      <c r="C866" s="775">
        <f>(SUMIF(Avaliação!$K:$K,A866,Avaliação!$J:$J))+(SUMIF(Avaliação!$O:$O,A866,Avaliação!$N:$N))+(SUMIF(Avaliação!$S:$S,A866,Avaliação!$R:$R))</f>
        <v>0</v>
      </c>
      <c r="D866" s="775">
        <f>(SUMIF(Avaliação!$AA:$AA,A866,Avaliação!$Z:$Z))+(SUMIF(Avaliação!$AD:$AD,A866,Avaliação!$AC:$AC))+(SUMIF(Avaliação!$AG:$AG,A866,Avaliação!$AF:$AF))</f>
        <v>0</v>
      </c>
    </row>
    <row r="867" spans="1:4">
      <c r="A867" s="157" t="s">
        <v>4915</v>
      </c>
      <c r="B867" s="195" t="s">
        <v>4916</v>
      </c>
      <c r="C867" s="775">
        <f>(SUMIF(Avaliação!$K:$K,A867,Avaliação!$J:$J))+(SUMIF(Avaliação!$O:$O,A867,Avaliação!$N:$N))+(SUMIF(Avaliação!$S:$S,A867,Avaliação!$R:$R))</f>
        <v>0</v>
      </c>
      <c r="D867" s="775">
        <f>(SUMIF(Avaliação!$AA:$AA,A867,Avaliação!$Z:$Z))+(SUMIF(Avaliação!$AD:$AD,A867,Avaliação!$AC:$AC))+(SUMIF(Avaliação!$AG:$AG,A867,Avaliação!$AF:$AF))</f>
        <v>0</v>
      </c>
    </row>
    <row r="868" spans="1:4">
      <c r="A868" s="157" t="s">
        <v>4917</v>
      </c>
      <c r="B868" s="195" t="s">
        <v>4918</v>
      </c>
      <c r="C868" s="775">
        <f>(SUMIF(Avaliação!$K:$K,A868,Avaliação!$J:$J))+(SUMIF(Avaliação!$O:$O,A868,Avaliação!$N:$N))+(SUMIF(Avaliação!$S:$S,A868,Avaliação!$R:$R))</f>
        <v>0</v>
      </c>
      <c r="D868" s="775">
        <f>(SUMIF(Avaliação!$AA:$AA,A868,Avaliação!$Z:$Z))+(SUMIF(Avaliação!$AD:$AD,A868,Avaliação!$AC:$AC))+(SUMIF(Avaliação!$AG:$AG,A868,Avaliação!$AF:$AF))</f>
        <v>0</v>
      </c>
    </row>
    <row r="869" spans="1:4">
      <c r="A869" s="157" t="s">
        <v>4919</v>
      </c>
      <c r="B869" s="195" t="s">
        <v>4920</v>
      </c>
      <c r="C869" s="775">
        <f>(SUMIF(Avaliação!$K:$K,A869,Avaliação!$J:$J))+(SUMIF(Avaliação!$O:$O,A869,Avaliação!$N:$N))+(SUMIF(Avaliação!$S:$S,A869,Avaliação!$R:$R))</f>
        <v>0</v>
      </c>
      <c r="D869" s="775">
        <f>(SUMIF(Avaliação!$AA:$AA,A869,Avaliação!$Z:$Z))+(SUMIF(Avaliação!$AD:$AD,A869,Avaliação!$AC:$AC))+(SUMIF(Avaliação!$AG:$AG,A869,Avaliação!$AF:$AF))</f>
        <v>0</v>
      </c>
    </row>
    <row r="870" spans="1:4">
      <c r="A870" s="157" t="s">
        <v>4921</v>
      </c>
      <c r="B870" s="195" t="s">
        <v>4922</v>
      </c>
      <c r="C870" s="775">
        <f>(SUMIF(Avaliação!$K:$K,A870,Avaliação!$J:$J))+(SUMIF(Avaliação!$O:$O,A870,Avaliação!$N:$N))+(SUMIF(Avaliação!$S:$S,A870,Avaliação!$R:$R))</f>
        <v>0</v>
      </c>
      <c r="D870" s="775">
        <f>(SUMIF(Avaliação!$AA:$AA,A870,Avaliação!$Z:$Z))+(SUMIF(Avaliação!$AD:$AD,A870,Avaliação!$AC:$AC))+(SUMIF(Avaliação!$AG:$AG,A870,Avaliação!$AF:$AF))</f>
        <v>0</v>
      </c>
    </row>
    <row r="871" spans="1:4">
      <c r="A871" s="157" t="s">
        <v>4923</v>
      </c>
      <c r="B871" s="195" t="s">
        <v>4924</v>
      </c>
      <c r="C871" s="775">
        <f>(SUMIF(Avaliação!$K:$K,A871,Avaliação!$J:$J))+(SUMIF(Avaliação!$O:$O,A871,Avaliação!$N:$N))+(SUMIF(Avaliação!$S:$S,A871,Avaliação!$R:$R))</f>
        <v>0</v>
      </c>
      <c r="D871" s="775">
        <f>(SUMIF(Avaliação!$AA:$AA,A871,Avaliação!$Z:$Z))+(SUMIF(Avaliação!$AD:$AD,A871,Avaliação!$AC:$AC))+(SUMIF(Avaliação!$AG:$AG,A871,Avaliação!$AF:$AF))</f>
        <v>0</v>
      </c>
    </row>
    <row r="872" spans="1:4">
      <c r="A872" s="157" t="s">
        <v>4925</v>
      </c>
      <c r="B872" s="195" t="s">
        <v>4926</v>
      </c>
      <c r="C872" s="775">
        <f>(SUMIF(Avaliação!$K:$K,A872,Avaliação!$J:$J))+(SUMIF(Avaliação!$O:$O,A872,Avaliação!$N:$N))+(SUMIF(Avaliação!$S:$S,A872,Avaliação!$R:$R))</f>
        <v>0</v>
      </c>
      <c r="D872" s="775">
        <f>(SUMIF(Avaliação!$AA:$AA,A872,Avaliação!$Z:$Z))+(SUMIF(Avaliação!$AD:$AD,A872,Avaliação!$AC:$AC))+(SUMIF(Avaliação!$AG:$AG,A872,Avaliação!$AF:$AF))</f>
        <v>0</v>
      </c>
    </row>
    <row r="873" spans="1:4">
      <c r="A873" s="157" t="s">
        <v>4927</v>
      </c>
      <c r="B873" s="195" t="s">
        <v>4928</v>
      </c>
      <c r="C873" s="775">
        <f>(SUMIF(Avaliação!$K:$K,A873,Avaliação!$J:$J))+(SUMIF(Avaliação!$O:$O,A873,Avaliação!$N:$N))+(SUMIF(Avaliação!$S:$S,A873,Avaliação!$R:$R))</f>
        <v>0</v>
      </c>
      <c r="D873" s="775">
        <f>(SUMIF(Avaliação!$AA:$AA,A873,Avaliação!$Z:$Z))+(SUMIF(Avaliação!$AD:$AD,A873,Avaliação!$AC:$AC))+(SUMIF(Avaliação!$AG:$AG,A873,Avaliação!$AF:$AF))</f>
        <v>0</v>
      </c>
    </row>
    <row r="874" spans="1:4">
      <c r="A874" s="157" t="s">
        <v>4929</v>
      </c>
      <c r="B874" s="195" t="s">
        <v>4930</v>
      </c>
      <c r="C874" s="775">
        <f>(SUMIF(Avaliação!$K:$K,A874,Avaliação!$J:$J))+(SUMIF(Avaliação!$O:$O,A874,Avaliação!$N:$N))+(SUMIF(Avaliação!$S:$S,A874,Avaliação!$R:$R))</f>
        <v>0</v>
      </c>
      <c r="D874" s="775">
        <f>(SUMIF(Avaliação!$AA:$AA,A874,Avaliação!$Z:$Z))+(SUMIF(Avaliação!$AD:$AD,A874,Avaliação!$AC:$AC))+(SUMIF(Avaliação!$AG:$AG,A874,Avaliação!$AF:$AF))</f>
        <v>0</v>
      </c>
    </row>
    <row r="875" spans="1:4">
      <c r="A875" s="157" t="s">
        <v>4931</v>
      </c>
      <c r="B875" s="195" t="s">
        <v>4932</v>
      </c>
      <c r="C875" s="775">
        <f>(SUMIF(Avaliação!$K:$K,A875,Avaliação!$J:$J))+(SUMIF(Avaliação!$O:$O,A875,Avaliação!$N:$N))+(SUMIF(Avaliação!$S:$S,A875,Avaliação!$R:$R))</f>
        <v>0</v>
      </c>
      <c r="D875" s="775">
        <f>(SUMIF(Avaliação!$AA:$AA,A875,Avaliação!$Z:$Z))+(SUMIF(Avaliação!$AD:$AD,A875,Avaliação!$AC:$AC))+(SUMIF(Avaliação!$AG:$AG,A875,Avaliação!$AF:$AF))</f>
        <v>0</v>
      </c>
    </row>
    <row r="876" spans="1:4">
      <c r="A876" s="157" t="s">
        <v>4933</v>
      </c>
      <c r="B876" s="195" t="s">
        <v>4934</v>
      </c>
      <c r="C876" s="775">
        <f>(SUMIF(Avaliação!$K:$K,A876,Avaliação!$J:$J))+(SUMIF(Avaliação!$O:$O,A876,Avaliação!$N:$N))+(SUMIF(Avaliação!$S:$S,A876,Avaliação!$R:$R))</f>
        <v>0</v>
      </c>
      <c r="D876" s="775">
        <f>(SUMIF(Avaliação!$AA:$AA,A876,Avaliação!$Z:$Z))+(SUMIF(Avaliação!$AD:$AD,A876,Avaliação!$AC:$AC))+(SUMIF(Avaliação!$AG:$AG,A876,Avaliação!$AF:$AF))</f>
        <v>0</v>
      </c>
    </row>
    <row r="877" spans="1:4">
      <c r="A877" s="157" t="s">
        <v>4935</v>
      </c>
      <c r="B877" s="195" t="s">
        <v>4936</v>
      </c>
      <c r="C877" s="775">
        <f>(SUMIF(Avaliação!$K:$K,A877,Avaliação!$J:$J))+(SUMIF(Avaliação!$O:$O,A877,Avaliação!$N:$N))+(SUMIF(Avaliação!$S:$S,A877,Avaliação!$R:$R))</f>
        <v>0</v>
      </c>
      <c r="D877" s="775">
        <f>(SUMIF(Avaliação!$AA:$AA,A877,Avaliação!$Z:$Z))+(SUMIF(Avaliação!$AD:$AD,A877,Avaliação!$AC:$AC))+(SUMIF(Avaliação!$AG:$AG,A877,Avaliação!$AF:$AF))</f>
        <v>0</v>
      </c>
    </row>
    <row r="878" spans="1:4">
      <c r="A878" s="157" t="s">
        <v>4937</v>
      </c>
      <c r="B878" s="195" t="s">
        <v>4938</v>
      </c>
      <c r="C878" s="775">
        <f>(SUMIF(Avaliação!$K:$K,A878,Avaliação!$J:$J))+(SUMIF(Avaliação!$O:$O,A878,Avaliação!$N:$N))+(SUMIF(Avaliação!$S:$S,A878,Avaliação!$R:$R))</f>
        <v>0</v>
      </c>
      <c r="D878" s="775">
        <f>(SUMIF(Avaliação!$AA:$AA,A878,Avaliação!$Z:$Z))+(SUMIF(Avaliação!$AD:$AD,A878,Avaliação!$AC:$AC))+(SUMIF(Avaliação!$AG:$AG,A878,Avaliação!$AF:$AF))</f>
        <v>0</v>
      </c>
    </row>
    <row r="879" spans="1:4">
      <c r="A879" s="842" t="s">
        <v>4939</v>
      </c>
      <c r="B879" s="843" t="s">
        <v>4940</v>
      </c>
      <c r="C879" s="775">
        <f>(SUMIF(Avaliação!$K:$K,A879,Avaliação!$J:$J))+(SUMIF(Avaliação!$O:$O,A879,Avaliação!$N:$N))+(SUMIF(Avaliação!$S:$S,A879,Avaliação!$R:$R))</f>
        <v>0</v>
      </c>
      <c r="D879" s="844">
        <f>(SUMIF(Avaliação!$AA:$AA,A879,Avaliação!$Z:$Z))+(SUMIF(Avaliação!$AD:$AD,A879,Avaliação!$AC:$AC))+(SUMIF(Avaliação!$AG:$AG,A879,Avaliação!$AF:$AF))</f>
        <v>0</v>
      </c>
    </row>
    <row r="880" spans="1:4">
      <c r="A880" s="157" t="s">
        <v>4941</v>
      </c>
      <c r="B880" s="195" t="s">
        <v>4942</v>
      </c>
      <c r="C880" s="775">
        <f>(SUMIF(Avaliação!$K:$K,A880,Avaliação!$J:$J))+(SUMIF(Avaliação!$O:$O,A880,Avaliação!$N:$N))+(SUMIF(Avaliação!$S:$S,A880,Avaliação!$R:$R))</f>
        <v>0</v>
      </c>
      <c r="D880" s="775">
        <f>(SUMIF(Avaliação!$AA:$AA,A880,Avaliação!$Z:$Z))+(SUMIF(Avaliação!$AD:$AD,A880,Avaliação!$AC:$AC))+(SUMIF(Avaliação!$AG:$AG,A880,Avaliação!$AF:$AF))</f>
        <v>0</v>
      </c>
    </row>
    <row r="881" spans="1:4">
      <c r="A881" s="157" t="s">
        <v>4943</v>
      </c>
      <c r="B881" s="195" t="s">
        <v>4944</v>
      </c>
      <c r="C881" s="775">
        <f>(SUMIF(Avaliação!$K:$K,A881,Avaliação!$J:$J))+(SUMIF(Avaliação!$O:$O,A881,Avaliação!$N:$N))+(SUMIF(Avaliação!$S:$S,A881,Avaliação!$R:$R))</f>
        <v>0</v>
      </c>
      <c r="D881" s="775">
        <f>(SUMIF(Avaliação!$AA:$AA,A881,Avaliação!$Z:$Z))+(SUMIF(Avaliação!$AD:$AD,A881,Avaliação!$AC:$AC))+(SUMIF(Avaliação!$AG:$AG,A881,Avaliação!$AF:$AF))</f>
        <v>0</v>
      </c>
    </row>
    <row r="882" spans="1:4">
      <c r="A882" s="157" t="s">
        <v>4945</v>
      </c>
      <c r="B882" s="195" t="s">
        <v>4946</v>
      </c>
      <c r="C882" s="775">
        <f>(SUMIF(Avaliação!$K:$K,A882,Avaliação!$J:$J))+(SUMIF(Avaliação!$O:$O,A882,Avaliação!$N:$N))+(SUMIF(Avaliação!$S:$S,A882,Avaliação!$R:$R))</f>
        <v>0</v>
      </c>
      <c r="D882" s="775">
        <f>(SUMIF(Avaliação!$AA:$AA,A882,Avaliação!$Z:$Z))+(SUMIF(Avaliação!$AD:$AD,A882,Avaliação!$AC:$AC))+(SUMIF(Avaliação!$AG:$AG,A882,Avaliação!$AF:$AF))</f>
        <v>0</v>
      </c>
    </row>
    <row r="883" spans="1:4">
      <c r="A883" s="157" t="s">
        <v>4947</v>
      </c>
      <c r="B883" s="195" t="s">
        <v>4948</v>
      </c>
      <c r="C883" s="775">
        <f>(SUMIF(Avaliação!$K:$K,A883,Avaliação!$J:$J))+(SUMIF(Avaliação!$O:$O,A883,Avaliação!$N:$N))+(SUMIF(Avaliação!$S:$S,A883,Avaliação!$R:$R))</f>
        <v>0</v>
      </c>
      <c r="D883" s="775">
        <f>(SUMIF(Avaliação!$AA:$AA,A883,Avaliação!$Z:$Z))+(SUMIF(Avaliação!$AD:$AD,A883,Avaliação!$AC:$AC))+(SUMIF(Avaliação!$AG:$AG,A883,Avaliação!$AF:$AF))</f>
        <v>0</v>
      </c>
    </row>
    <row r="884" spans="1:4">
      <c r="A884" s="157" t="s">
        <v>4949</v>
      </c>
      <c r="B884" s="195" t="s">
        <v>4950</v>
      </c>
      <c r="C884" s="775">
        <f>(SUMIF(Avaliação!$K:$K,A884,Avaliação!$J:$J))+(SUMIF(Avaliação!$O:$O,A884,Avaliação!$N:$N))+(SUMIF(Avaliação!$S:$S,A884,Avaliação!$R:$R))</f>
        <v>0</v>
      </c>
      <c r="D884" s="775">
        <f>(SUMIF(Avaliação!$AA:$AA,A884,Avaliação!$Z:$Z))+(SUMIF(Avaliação!$AD:$AD,A884,Avaliação!$AC:$AC))+(SUMIF(Avaliação!$AG:$AG,A884,Avaliação!$AF:$AF))</f>
        <v>0</v>
      </c>
    </row>
    <row r="885" spans="1:4">
      <c r="A885" s="157" t="s">
        <v>4951</v>
      </c>
      <c r="B885" s="195" t="s">
        <v>4952</v>
      </c>
      <c r="C885" s="775">
        <f>(SUMIF(Avaliação!$K:$K,A885,Avaliação!$J:$J))+(SUMIF(Avaliação!$O:$O,A885,Avaliação!$N:$N))+(SUMIF(Avaliação!$S:$S,A885,Avaliação!$R:$R))</f>
        <v>0</v>
      </c>
      <c r="D885" s="775">
        <f>(SUMIF(Avaliação!$AA:$AA,A885,Avaliação!$Z:$Z))+(SUMIF(Avaliação!$AD:$AD,A885,Avaliação!$AC:$AC))+(SUMIF(Avaliação!$AG:$AG,A885,Avaliação!$AF:$AF))</f>
        <v>0</v>
      </c>
    </row>
    <row r="886" spans="1:4">
      <c r="A886" s="157" t="s">
        <v>4953</v>
      </c>
      <c r="B886" s="195" t="s">
        <v>4954</v>
      </c>
      <c r="C886" s="775">
        <f>(SUMIF(Avaliação!$K:$K,A886,Avaliação!$J:$J))+(SUMIF(Avaliação!$O:$O,A886,Avaliação!$N:$N))+(SUMIF(Avaliação!$S:$S,A886,Avaliação!$R:$R))</f>
        <v>0</v>
      </c>
      <c r="D886" s="775">
        <f>(SUMIF(Avaliação!$AA:$AA,A886,Avaliação!$Z:$Z))+(SUMIF(Avaliação!$AD:$AD,A886,Avaliação!$AC:$AC))+(SUMIF(Avaliação!$AG:$AG,A886,Avaliação!$AF:$AF))</f>
        <v>0</v>
      </c>
    </row>
    <row r="887" spans="1:4">
      <c r="A887" s="157" t="s">
        <v>4955</v>
      </c>
      <c r="B887" s="195" t="s">
        <v>4956</v>
      </c>
      <c r="C887" s="775">
        <f>(SUMIF(Avaliação!$K:$K,A887,Avaliação!$J:$J))+(SUMIF(Avaliação!$O:$O,A887,Avaliação!$N:$N))+(SUMIF(Avaliação!$S:$S,A887,Avaliação!$R:$R))</f>
        <v>0</v>
      </c>
      <c r="D887" s="775">
        <f>(SUMIF(Avaliação!$AA:$AA,A887,Avaliação!$Z:$Z))+(SUMIF(Avaliação!$AD:$AD,A887,Avaliação!$AC:$AC))+(SUMIF(Avaliação!$AG:$AG,A887,Avaliação!$AF:$AF))</f>
        <v>0</v>
      </c>
    </row>
    <row r="888" spans="1:4">
      <c r="A888" s="157" t="s">
        <v>4957</v>
      </c>
      <c r="B888" s="195" t="s">
        <v>4958</v>
      </c>
      <c r="C888" s="775">
        <f>(SUMIF(Avaliação!$K:$K,A888,Avaliação!$J:$J))+(SUMIF(Avaliação!$O:$O,A888,Avaliação!$N:$N))+(SUMIF(Avaliação!$S:$S,A888,Avaliação!$R:$R))</f>
        <v>0</v>
      </c>
      <c r="D888" s="775">
        <f>(SUMIF(Avaliação!$AA:$AA,A888,Avaliação!$Z:$Z))+(SUMIF(Avaliação!$AD:$AD,A888,Avaliação!$AC:$AC))+(SUMIF(Avaliação!$AG:$AG,A888,Avaliação!$AF:$AF))</f>
        <v>0</v>
      </c>
    </row>
    <row r="889" spans="1:4">
      <c r="A889" s="157" t="s">
        <v>4959</v>
      </c>
      <c r="B889" s="195" t="s">
        <v>4960</v>
      </c>
      <c r="C889" s="775">
        <f>(SUMIF(Avaliação!$K:$K,A889,Avaliação!$J:$J))+(SUMIF(Avaliação!$O:$O,A889,Avaliação!$N:$N))+(SUMIF(Avaliação!$S:$S,A889,Avaliação!$R:$R))</f>
        <v>0</v>
      </c>
      <c r="D889" s="775">
        <f>(SUMIF(Avaliação!$AA:$AA,A889,Avaliação!$Z:$Z))+(SUMIF(Avaliação!$AD:$AD,A889,Avaliação!$AC:$AC))+(SUMIF(Avaliação!$AG:$AG,A889,Avaliação!$AF:$AF))</f>
        <v>0</v>
      </c>
    </row>
    <row r="890" spans="1:4">
      <c r="A890" s="157" t="s">
        <v>4961</v>
      </c>
      <c r="B890" s="195" t="s">
        <v>4962</v>
      </c>
      <c r="C890" s="775">
        <f>(SUMIF(Avaliação!$K:$K,A890,Avaliação!$J:$J))+(SUMIF(Avaliação!$O:$O,A890,Avaliação!$N:$N))+(SUMIF(Avaliação!$S:$S,A890,Avaliação!$R:$R))</f>
        <v>0</v>
      </c>
      <c r="D890" s="775">
        <f>(SUMIF(Avaliação!$AA:$AA,A890,Avaliação!$Z:$Z))+(SUMIF(Avaliação!$AD:$AD,A890,Avaliação!$AC:$AC))+(SUMIF(Avaliação!$AG:$AG,A890,Avaliação!$AF:$AF))</f>
        <v>0</v>
      </c>
    </row>
    <row r="891" spans="1:4">
      <c r="A891" s="157" t="s">
        <v>4963</v>
      </c>
      <c r="B891" s="195" t="s">
        <v>4964</v>
      </c>
      <c r="C891" s="775">
        <f>(SUMIF(Avaliação!$K:$K,A891,Avaliação!$J:$J))+(SUMIF(Avaliação!$O:$O,A891,Avaliação!$N:$N))+(SUMIF(Avaliação!$S:$S,A891,Avaliação!$R:$R))</f>
        <v>0</v>
      </c>
      <c r="D891" s="775">
        <f>(SUMIF(Avaliação!$AA:$AA,A891,Avaliação!$Z:$Z))+(SUMIF(Avaliação!$AD:$AD,A891,Avaliação!$AC:$AC))+(SUMIF(Avaliação!$AG:$AG,A891,Avaliação!$AF:$AF))</f>
        <v>0</v>
      </c>
    </row>
    <row r="892" spans="1:4">
      <c r="A892" s="157" t="s">
        <v>4965</v>
      </c>
      <c r="B892" s="195" t="s">
        <v>4966</v>
      </c>
      <c r="C892" s="775">
        <f>(SUMIF(Avaliação!$K:$K,A892,Avaliação!$J:$J))+(SUMIF(Avaliação!$O:$O,A892,Avaliação!$N:$N))+(SUMIF(Avaliação!$S:$S,A892,Avaliação!$R:$R))</f>
        <v>0</v>
      </c>
      <c r="D892" s="775">
        <f>(SUMIF(Avaliação!$AA:$AA,A892,Avaliação!$Z:$Z))+(SUMIF(Avaliação!$AD:$AD,A892,Avaliação!$AC:$AC))+(SUMIF(Avaliação!$AG:$AG,A892,Avaliação!$AF:$AF))</f>
        <v>0</v>
      </c>
    </row>
    <row r="893" spans="1:4">
      <c r="A893" s="157" t="s">
        <v>4967</v>
      </c>
      <c r="B893" s="195" t="s">
        <v>4968</v>
      </c>
      <c r="C893" s="775">
        <f>(SUMIF(Avaliação!$K:$K,A893,Avaliação!$J:$J))+(SUMIF(Avaliação!$O:$O,A893,Avaliação!$N:$N))+(SUMIF(Avaliação!$S:$S,A893,Avaliação!$R:$R))</f>
        <v>0</v>
      </c>
      <c r="D893" s="775">
        <f>(SUMIF(Avaliação!$AA:$AA,A893,Avaliação!$Z:$Z))+(SUMIF(Avaliação!$AD:$AD,A893,Avaliação!$AC:$AC))+(SUMIF(Avaliação!$AG:$AG,A893,Avaliação!$AF:$AF))</f>
        <v>0</v>
      </c>
    </row>
    <row r="894" spans="1:4">
      <c r="A894" s="842" t="s">
        <v>4969</v>
      </c>
      <c r="B894" s="843" t="s">
        <v>4970</v>
      </c>
      <c r="C894" s="775">
        <f>(SUMIF(Avaliação!$K:$K,A894,Avaliação!$J:$J))+(SUMIF(Avaliação!$O:$O,A894,Avaliação!$N:$N))+(SUMIF(Avaliação!$S:$S,A894,Avaliação!$R:$R))</f>
        <v>11</v>
      </c>
      <c r="D894" s="844">
        <f>(SUMIF(Avaliação!$AA:$AA,A894,Avaliação!$Z:$Z))+(SUMIF(Avaliação!$AD:$AD,A894,Avaliação!$AC:$AC))+(SUMIF(Avaliação!$AG:$AG,A894,Avaliação!$AF:$AF))</f>
        <v>0</v>
      </c>
    </row>
    <row r="895" spans="1:4">
      <c r="A895" s="157" t="s">
        <v>4971</v>
      </c>
      <c r="B895" s="195" t="s">
        <v>4972</v>
      </c>
      <c r="C895" s="775">
        <f>(SUMIF(Avaliação!$K:$K,A895,Avaliação!$J:$J))+(SUMIF(Avaliação!$O:$O,A895,Avaliação!$N:$N))+(SUMIF(Avaliação!$S:$S,A895,Avaliação!$R:$R))</f>
        <v>0</v>
      </c>
      <c r="D895" s="775">
        <f>(SUMIF(Avaliação!$AA:$AA,A895,Avaliação!$Z:$Z))+(SUMIF(Avaliação!$AD:$AD,A895,Avaliação!$AC:$AC))+(SUMIF(Avaliação!$AG:$AG,A895,Avaliação!$AF:$AF))</f>
        <v>0</v>
      </c>
    </row>
    <row r="896" spans="1:4">
      <c r="A896" s="157" t="s">
        <v>4973</v>
      </c>
      <c r="B896" s="195" t="s">
        <v>4974</v>
      </c>
      <c r="C896" s="775">
        <f>(SUMIF(Avaliação!$K:$K,A896,Avaliação!$J:$J))+(SUMIF(Avaliação!$O:$O,A896,Avaliação!$N:$N))+(SUMIF(Avaliação!$S:$S,A896,Avaliação!$R:$R))</f>
        <v>0</v>
      </c>
      <c r="D896" s="775">
        <f>(SUMIF(Avaliação!$AA:$AA,A896,Avaliação!$Z:$Z))+(SUMIF(Avaliação!$AD:$AD,A896,Avaliação!$AC:$AC))+(SUMIF(Avaliação!$AG:$AG,A896,Avaliação!$AF:$AF))</f>
        <v>0</v>
      </c>
    </row>
    <row r="897" spans="1:4">
      <c r="A897" s="157" t="s">
        <v>4975</v>
      </c>
      <c r="B897" s="195" t="s">
        <v>4976</v>
      </c>
      <c r="C897" s="775">
        <f>(SUMIF(Avaliação!$K:$K,A897,Avaliação!$J:$J))+(SUMIF(Avaliação!$O:$O,A897,Avaliação!$N:$N))+(SUMIF(Avaliação!$S:$S,A897,Avaliação!$R:$R))</f>
        <v>0</v>
      </c>
      <c r="D897" s="775">
        <f>(SUMIF(Avaliação!$AA:$AA,A897,Avaliação!$Z:$Z))+(SUMIF(Avaliação!$AD:$AD,A897,Avaliação!$AC:$AC))+(SUMIF(Avaliação!$AG:$AG,A897,Avaliação!$AF:$AF))</f>
        <v>0</v>
      </c>
    </row>
    <row r="898" spans="1:4">
      <c r="A898" s="157" t="s">
        <v>4977</v>
      </c>
      <c r="B898" s="195" t="s">
        <v>4978</v>
      </c>
      <c r="C898" s="775">
        <f>(SUMIF(Avaliação!$K:$K,A898,Avaliação!$J:$J))+(SUMIF(Avaliação!$O:$O,A898,Avaliação!$N:$N))+(SUMIF(Avaliação!$S:$S,A898,Avaliação!$R:$R))</f>
        <v>0</v>
      </c>
      <c r="D898" s="775">
        <f>(SUMIF(Avaliação!$AA:$AA,A898,Avaliação!$Z:$Z))+(SUMIF(Avaliação!$AD:$AD,A898,Avaliação!$AC:$AC))+(SUMIF(Avaliação!$AG:$AG,A898,Avaliação!$AF:$AF))</f>
        <v>0</v>
      </c>
    </row>
    <row r="899" spans="1:4">
      <c r="A899" s="157" t="s">
        <v>4979</v>
      </c>
      <c r="B899" s="195" t="s">
        <v>4980</v>
      </c>
      <c r="C899" s="775">
        <f>(SUMIF(Avaliação!$K:$K,A899,Avaliação!$J:$J))+(SUMIF(Avaliação!$O:$O,A899,Avaliação!$N:$N))+(SUMIF(Avaliação!$S:$S,A899,Avaliação!$R:$R))</f>
        <v>0</v>
      </c>
      <c r="D899" s="775">
        <f>(SUMIF(Avaliação!$AA:$AA,A899,Avaliação!$Z:$Z))+(SUMIF(Avaliação!$AD:$AD,A899,Avaliação!$AC:$AC))+(SUMIF(Avaliação!$AG:$AG,A899,Avaliação!$AF:$AF))</f>
        <v>0</v>
      </c>
    </row>
    <row r="900" spans="1:4">
      <c r="A900" s="157" t="s">
        <v>4981</v>
      </c>
      <c r="B900" s="195" t="s">
        <v>4982</v>
      </c>
      <c r="C900" s="775">
        <f>(SUMIF(Avaliação!$K:$K,A900,Avaliação!$J:$J))+(SUMIF(Avaliação!$O:$O,A900,Avaliação!$N:$N))+(SUMIF(Avaliação!$S:$S,A900,Avaliação!$R:$R))</f>
        <v>0</v>
      </c>
      <c r="D900" s="775">
        <f>(SUMIF(Avaliação!$AA:$AA,A900,Avaliação!$Z:$Z))+(SUMIF(Avaliação!$AD:$AD,A900,Avaliação!$AC:$AC))+(SUMIF(Avaliação!$AG:$AG,A900,Avaliação!$AF:$AF))</f>
        <v>0</v>
      </c>
    </row>
    <row r="901" spans="1:4">
      <c r="A901" s="157" t="s">
        <v>4983</v>
      </c>
      <c r="B901" s="195" t="s">
        <v>4984</v>
      </c>
      <c r="C901" s="775">
        <f>(SUMIF(Avaliação!$K:$K,A901,Avaliação!$J:$J))+(SUMIF(Avaliação!$O:$O,A901,Avaliação!$N:$N))+(SUMIF(Avaliação!$S:$S,A901,Avaliação!$R:$R))</f>
        <v>0</v>
      </c>
      <c r="D901" s="775">
        <f>(SUMIF(Avaliação!$AA:$AA,A901,Avaliação!$Z:$Z))+(SUMIF(Avaliação!$AD:$AD,A901,Avaliação!$AC:$AC))+(SUMIF(Avaliação!$AG:$AG,A901,Avaliação!$AF:$AF))</f>
        <v>0</v>
      </c>
    </row>
    <row r="902" spans="1:4">
      <c r="A902" s="157" t="s">
        <v>4985</v>
      </c>
      <c r="B902" s="195" t="s">
        <v>4986</v>
      </c>
      <c r="C902" s="775">
        <f>(SUMIF(Avaliação!$K:$K,A902,Avaliação!$J:$J))+(SUMIF(Avaliação!$O:$O,A902,Avaliação!$N:$N))+(SUMIF(Avaliação!$S:$S,A902,Avaliação!$R:$R))</f>
        <v>0</v>
      </c>
      <c r="D902" s="775">
        <f>(SUMIF(Avaliação!$AA:$AA,A902,Avaliação!$Z:$Z))+(SUMIF(Avaliação!$AD:$AD,A902,Avaliação!$AC:$AC))+(SUMIF(Avaliação!$AG:$AG,A902,Avaliação!$AF:$AF))</f>
        <v>0</v>
      </c>
    </row>
    <row r="903" spans="1:4">
      <c r="A903" s="157" t="s">
        <v>4987</v>
      </c>
      <c r="B903" s="195" t="s">
        <v>4988</v>
      </c>
      <c r="C903" s="775">
        <f>(SUMIF(Avaliação!$K:$K,A903,Avaliação!$J:$J))+(SUMIF(Avaliação!$O:$O,A903,Avaliação!$N:$N))+(SUMIF(Avaliação!$S:$S,A903,Avaliação!$R:$R))</f>
        <v>0</v>
      </c>
      <c r="D903" s="775">
        <f>(SUMIF(Avaliação!$AA:$AA,A903,Avaliação!$Z:$Z))+(SUMIF(Avaliação!$AD:$AD,A903,Avaliação!$AC:$AC))+(SUMIF(Avaliação!$AG:$AG,A903,Avaliação!$AF:$AF))</f>
        <v>0</v>
      </c>
    </row>
    <row r="904" spans="1:4">
      <c r="A904" s="157" t="s">
        <v>4989</v>
      </c>
      <c r="B904" s="195" t="s">
        <v>4990</v>
      </c>
      <c r="C904" s="775">
        <f>(SUMIF(Avaliação!$K:$K,A904,Avaliação!$J:$J))+(SUMIF(Avaliação!$O:$O,A904,Avaliação!$N:$N))+(SUMIF(Avaliação!$S:$S,A904,Avaliação!$R:$R))</f>
        <v>0</v>
      </c>
      <c r="D904" s="775">
        <f>(SUMIF(Avaliação!$AA:$AA,A904,Avaliação!$Z:$Z))+(SUMIF(Avaliação!$AD:$AD,A904,Avaliação!$AC:$AC))+(SUMIF(Avaliação!$AG:$AG,A904,Avaliação!$AF:$AF))</f>
        <v>0</v>
      </c>
    </row>
    <row r="905" spans="1:4">
      <c r="A905" s="157" t="s">
        <v>4991</v>
      </c>
      <c r="B905" s="195" t="s">
        <v>4992</v>
      </c>
      <c r="C905" s="775">
        <f>(SUMIF(Avaliação!$K:$K,A905,Avaliação!$J:$J))+(SUMIF(Avaliação!$O:$O,A905,Avaliação!$N:$N))+(SUMIF(Avaliação!$S:$S,A905,Avaliação!$R:$R))</f>
        <v>0</v>
      </c>
      <c r="D905" s="775">
        <f>(SUMIF(Avaliação!$AA:$AA,A905,Avaliação!$Z:$Z))+(SUMIF(Avaliação!$AD:$AD,A905,Avaliação!$AC:$AC))+(SUMIF(Avaliação!$AG:$AG,A905,Avaliação!$AF:$AF))</f>
        <v>0</v>
      </c>
    </row>
    <row r="906" spans="1:4">
      <c r="A906" s="157" t="s">
        <v>4993</v>
      </c>
      <c r="B906" s="195" t="s">
        <v>4994</v>
      </c>
      <c r="C906" s="775">
        <f>(SUMIF(Avaliação!$K:$K,A906,Avaliação!$J:$J))+(SUMIF(Avaliação!$O:$O,A906,Avaliação!$N:$N))+(SUMIF(Avaliação!$S:$S,A906,Avaliação!$R:$R))</f>
        <v>0</v>
      </c>
      <c r="D906" s="775">
        <f>(SUMIF(Avaliação!$AA:$AA,A906,Avaliação!$Z:$Z))+(SUMIF(Avaliação!$AD:$AD,A906,Avaliação!$AC:$AC))+(SUMIF(Avaliação!$AG:$AG,A906,Avaliação!$AF:$AF))</f>
        <v>0</v>
      </c>
    </row>
    <row r="907" spans="1:4">
      <c r="A907" s="842" t="s">
        <v>4995</v>
      </c>
      <c r="B907" s="843" t="s">
        <v>4996</v>
      </c>
      <c r="C907" s="775">
        <f>(SUMIF(Avaliação!$K:$K,A907,Avaliação!$J:$J))+(SUMIF(Avaliação!$O:$O,A907,Avaliação!$N:$N))+(SUMIF(Avaliação!$S:$S,A907,Avaliação!$R:$R))</f>
        <v>1</v>
      </c>
      <c r="D907" s="844">
        <f>(SUMIF(Avaliação!$AA:$AA,A907,Avaliação!$Z:$Z))+(SUMIF(Avaliação!$AD:$AD,A907,Avaliação!$AC:$AC))+(SUMIF(Avaliação!$AG:$AG,A907,Avaliação!$AF:$AF))</f>
        <v>0</v>
      </c>
    </row>
    <row r="908" spans="1:4">
      <c r="A908" s="157" t="s">
        <v>4997</v>
      </c>
      <c r="B908" s="195" t="s">
        <v>4998</v>
      </c>
      <c r="C908" s="775">
        <f>(SUMIF(Avaliação!$K:$K,A908,Avaliação!$J:$J))+(SUMIF(Avaliação!$O:$O,A908,Avaliação!$N:$N))+(SUMIF(Avaliação!$S:$S,A908,Avaliação!$R:$R))</f>
        <v>0</v>
      </c>
      <c r="D908" s="775">
        <f>(SUMIF(Avaliação!$AA:$AA,A908,Avaliação!$Z:$Z))+(SUMIF(Avaliação!$AD:$AD,A908,Avaliação!$AC:$AC))+(SUMIF(Avaliação!$AG:$AG,A908,Avaliação!$AF:$AF))</f>
        <v>0</v>
      </c>
    </row>
    <row r="909" spans="1:4">
      <c r="A909" s="157" t="s">
        <v>4999</v>
      </c>
      <c r="B909" s="195" t="s">
        <v>5000</v>
      </c>
      <c r="C909" s="775">
        <f>(SUMIF(Avaliação!$K:$K,A909,Avaliação!$J:$J))+(SUMIF(Avaliação!$O:$O,A909,Avaliação!$N:$N))+(SUMIF(Avaliação!$S:$S,A909,Avaliação!$R:$R))</f>
        <v>0</v>
      </c>
      <c r="D909" s="775">
        <f>(SUMIF(Avaliação!$AA:$AA,A909,Avaliação!$Z:$Z))+(SUMIF(Avaliação!$AD:$AD,A909,Avaliação!$AC:$AC))+(SUMIF(Avaliação!$AG:$AG,A909,Avaliação!$AF:$AF))</f>
        <v>0</v>
      </c>
    </row>
    <row r="910" spans="1:4">
      <c r="A910" s="157" t="s">
        <v>5001</v>
      </c>
      <c r="B910" s="195" t="s">
        <v>5002</v>
      </c>
      <c r="C910" s="775">
        <f>(SUMIF(Avaliação!$K:$K,A910,Avaliação!$J:$J))+(SUMIF(Avaliação!$O:$O,A910,Avaliação!$N:$N))+(SUMIF(Avaliação!$S:$S,A910,Avaliação!$R:$R))</f>
        <v>0</v>
      </c>
      <c r="D910" s="775">
        <f>(SUMIF(Avaliação!$AA:$AA,A910,Avaliação!$Z:$Z))+(SUMIF(Avaliação!$AD:$AD,A910,Avaliação!$AC:$AC))+(SUMIF(Avaliação!$AG:$AG,A910,Avaliação!$AF:$AF))</f>
        <v>0</v>
      </c>
    </row>
    <row r="911" spans="1:4">
      <c r="A911" s="157" t="s">
        <v>5003</v>
      </c>
      <c r="B911" s="195" t="s">
        <v>5004</v>
      </c>
      <c r="C911" s="775">
        <f>(SUMIF(Avaliação!$K:$K,A911,Avaliação!$J:$J))+(SUMIF(Avaliação!$O:$O,A911,Avaliação!$N:$N))+(SUMIF(Avaliação!$S:$S,A911,Avaliação!$R:$R))</f>
        <v>0</v>
      </c>
      <c r="D911" s="775">
        <f>(SUMIF(Avaliação!$AA:$AA,A911,Avaliação!$Z:$Z))+(SUMIF(Avaliação!$AD:$AD,A911,Avaliação!$AC:$AC))+(SUMIF(Avaliação!$AG:$AG,A911,Avaliação!$AF:$AF))</f>
        <v>0</v>
      </c>
    </row>
    <row r="912" spans="1:4">
      <c r="A912" s="157" t="s">
        <v>5005</v>
      </c>
      <c r="B912" s="195" t="s">
        <v>5006</v>
      </c>
      <c r="C912" s="775">
        <f>(SUMIF(Avaliação!$K:$K,A912,Avaliação!$J:$J))+(SUMIF(Avaliação!$O:$O,A912,Avaliação!$N:$N))+(SUMIF(Avaliação!$S:$S,A912,Avaliação!$R:$R))</f>
        <v>0</v>
      </c>
      <c r="D912" s="775">
        <f>(SUMIF(Avaliação!$AA:$AA,A912,Avaliação!$Z:$Z))+(SUMIF(Avaliação!$AD:$AD,A912,Avaliação!$AC:$AC))+(SUMIF(Avaliação!$AG:$AG,A912,Avaliação!$AF:$AF))</f>
        <v>0</v>
      </c>
    </row>
    <row r="913" spans="1:4">
      <c r="A913" s="157" t="s">
        <v>5007</v>
      </c>
      <c r="B913" s="195" t="s">
        <v>5008</v>
      </c>
      <c r="C913" s="775">
        <f>(SUMIF(Avaliação!$K:$K,A913,Avaliação!$J:$J))+(SUMIF(Avaliação!$O:$O,A913,Avaliação!$N:$N))+(SUMIF(Avaliação!$S:$S,A913,Avaliação!$R:$R))</f>
        <v>0</v>
      </c>
      <c r="D913" s="775">
        <f>(SUMIF(Avaliação!$AA:$AA,A913,Avaliação!$Z:$Z))+(SUMIF(Avaliação!$AD:$AD,A913,Avaliação!$AC:$AC))+(SUMIF(Avaliação!$AG:$AG,A913,Avaliação!$AF:$AF))</f>
        <v>0</v>
      </c>
    </row>
    <row r="914" spans="1:4">
      <c r="A914" s="157" t="s">
        <v>5009</v>
      </c>
      <c r="B914" s="195" t="s">
        <v>5010</v>
      </c>
      <c r="C914" s="775">
        <f>(SUMIF(Avaliação!$K:$K,A914,Avaliação!$J:$J))+(SUMIF(Avaliação!$O:$O,A914,Avaliação!$N:$N))+(SUMIF(Avaliação!$S:$S,A914,Avaliação!$R:$R))</f>
        <v>0</v>
      </c>
      <c r="D914" s="775">
        <f>(SUMIF(Avaliação!$AA:$AA,A914,Avaliação!$Z:$Z))+(SUMIF(Avaliação!$AD:$AD,A914,Avaliação!$AC:$AC))+(SUMIF(Avaliação!$AG:$AG,A914,Avaliação!$AF:$AF))</f>
        <v>0</v>
      </c>
    </row>
    <row r="915" spans="1:4">
      <c r="A915" s="157" t="s">
        <v>5011</v>
      </c>
      <c r="B915" s="195" t="s">
        <v>5012</v>
      </c>
      <c r="C915" s="775">
        <f>(SUMIF(Avaliação!$K:$K,A915,Avaliação!$J:$J))+(SUMIF(Avaliação!$O:$O,A915,Avaliação!$N:$N))+(SUMIF(Avaliação!$S:$S,A915,Avaliação!$R:$R))</f>
        <v>0</v>
      </c>
      <c r="D915" s="775">
        <f>(SUMIF(Avaliação!$AA:$AA,A915,Avaliação!$Z:$Z))+(SUMIF(Avaliação!$AD:$AD,A915,Avaliação!$AC:$AC))+(SUMIF(Avaliação!$AG:$AG,A915,Avaliação!$AF:$AF))</f>
        <v>0</v>
      </c>
    </row>
    <row r="916" spans="1:4">
      <c r="A916" s="157" t="s">
        <v>5013</v>
      </c>
      <c r="B916" s="195" t="s">
        <v>5014</v>
      </c>
      <c r="C916" s="775">
        <f>(SUMIF(Avaliação!$K:$K,A916,Avaliação!$J:$J))+(SUMIF(Avaliação!$O:$O,A916,Avaliação!$N:$N))+(SUMIF(Avaliação!$S:$S,A916,Avaliação!$R:$R))</f>
        <v>0</v>
      </c>
      <c r="D916" s="775">
        <f>(SUMIF(Avaliação!$AA:$AA,A916,Avaliação!$Z:$Z))+(SUMIF(Avaliação!$AD:$AD,A916,Avaliação!$AC:$AC))+(SUMIF(Avaliação!$AG:$AG,A916,Avaliação!$AF:$AF))</f>
        <v>0</v>
      </c>
    </row>
    <row r="917" spans="1:4">
      <c r="A917" s="842" t="s">
        <v>5015</v>
      </c>
      <c r="B917" s="843" t="s">
        <v>5016</v>
      </c>
      <c r="C917" s="775">
        <f>(SUMIF(Avaliação!$K:$K,A917,Avaliação!$J:$J))+(SUMIF(Avaliação!$O:$O,A917,Avaliação!$N:$N))+(SUMIF(Avaliação!$S:$S,A917,Avaliação!$R:$R))</f>
        <v>1</v>
      </c>
      <c r="D917" s="844">
        <f>(SUMIF(Avaliação!$AA:$AA,A917,Avaliação!$Z:$Z))+(SUMIF(Avaliação!$AD:$AD,A917,Avaliação!$AC:$AC))+(SUMIF(Avaliação!$AG:$AG,A917,Avaliação!$AF:$AF))</f>
        <v>0</v>
      </c>
    </row>
    <row r="918" spans="1:4">
      <c r="A918" s="157" t="s">
        <v>5017</v>
      </c>
      <c r="B918" s="195" t="s">
        <v>5018</v>
      </c>
      <c r="C918" s="775">
        <f>(SUMIF(Avaliação!$K:$K,A918,Avaliação!$J:$J))+(SUMIF(Avaliação!$O:$O,A918,Avaliação!$N:$N))+(SUMIF(Avaliação!$S:$S,A918,Avaliação!$R:$R))</f>
        <v>0</v>
      </c>
      <c r="D918" s="775">
        <f>(SUMIF(Avaliação!$AA:$AA,A918,Avaliação!$Z:$Z))+(SUMIF(Avaliação!$AD:$AD,A918,Avaliação!$AC:$AC))+(SUMIF(Avaliação!$AG:$AG,A918,Avaliação!$AF:$AF))</f>
        <v>0</v>
      </c>
    </row>
    <row r="919" spans="1:4">
      <c r="A919" s="157" t="s">
        <v>5019</v>
      </c>
      <c r="B919" s="195" t="s">
        <v>5020</v>
      </c>
      <c r="C919" s="775">
        <f>(SUMIF(Avaliação!$K:$K,A919,Avaliação!$J:$J))+(SUMIF(Avaliação!$O:$O,A919,Avaliação!$N:$N))+(SUMIF(Avaliação!$S:$S,A919,Avaliação!$R:$R))</f>
        <v>0</v>
      </c>
      <c r="D919" s="775">
        <f>(SUMIF(Avaliação!$AA:$AA,A919,Avaliação!$Z:$Z))+(SUMIF(Avaliação!$AD:$AD,A919,Avaliação!$AC:$AC))+(SUMIF(Avaliação!$AG:$AG,A919,Avaliação!$AF:$AF))</f>
        <v>0</v>
      </c>
    </row>
    <row r="920" spans="1:4">
      <c r="A920" s="157" t="s">
        <v>5021</v>
      </c>
      <c r="B920" s="195" t="s">
        <v>5022</v>
      </c>
      <c r="C920" s="775">
        <f>(SUMIF(Avaliação!$K:$K,A920,Avaliação!$J:$J))+(SUMIF(Avaliação!$O:$O,A920,Avaliação!$N:$N))+(SUMIF(Avaliação!$S:$S,A920,Avaliação!$R:$R))</f>
        <v>0</v>
      </c>
      <c r="D920" s="775">
        <f>(SUMIF(Avaliação!$AA:$AA,A920,Avaliação!$Z:$Z))+(SUMIF(Avaliação!$AD:$AD,A920,Avaliação!$AC:$AC))+(SUMIF(Avaliação!$AG:$AG,A920,Avaliação!$AF:$AF))</f>
        <v>0</v>
      </c>
    </row>
    <row r="921" spans="1:4">
      <c r="A921" s="157" t="s">
        <v>5023</v>
      </c>
      <c r="B921" s="195" t="s">
        <v>5024</v>
      </c>
      <c r="C921" s="775">
        <f>(SUMIF(Avaliação!$K:$K,A921,Avaliação!$J:$J))+(SUMIF(Avaliação!$O:$O,A921,Avaliação!$N:$N))+(SUMIF(Avaliação!$S:$S,A921,Avaliação!$R:$R))</f>
        <v>0</v>
      </c>
      <c r="D921" s="775">
        <f>(SUMIF(Avaliação!$AA:$AA,A921,Avaliação!$Z:$Z))+(SUMIF(Avaliação!$AD:$AD,A921,Avaliação!$AC:$AC))+(SUMIF(Avaliação!$AG:$AG,A921,Avaliação!$AF:$AF))</f>
        <v>0</v>
      </c>
    </row>
    <row r="922" spans="1:4">
      <c r="A922" s="157" t="s">
        <v>5025</v>
      </c>
      <c r="B922" s="195" t="s">
        <v>5026</v>
      </c>
      <c r="C922" s="775">
        <f>(SUMIF(Avaliação!$K:$K,A922,Avaliação!$J:$J))+(SUMIF(Avaliação!$O:$O,A922,Avaliação!$N:$N))+(SUMIF(Avaliação!$S:$S,A922,Avaliação!$R:$R))</f>
        <v>0</v>
      </c>
      <c r="D922" s="775">
        <f>(SUMIF(Avaliação!$AA:$AA,A922,Avaliação!$Z:$Z))+(SUMIF(Avaliação!$AD:$AD,A922,Avaliação!$AC:$AC))+(SUMIF(Avaliação!$AG:$AG,A922,Avaliação!$AF:$AF))</f>
        <v>0</v>
      </c>
    </row>
    <row r="923" spans="1:4">
      <c r="A923" s="157" t="s">
        <v>5027</v>
      </c>
      <c r="B923" s="195" t="s">
        <v>5028</v>
      </c>
      <c r="C923" s="775">
        <f>(SUMIF(Avaliação!$K:$K,A923,Avaliação!$J:$J))+(SUMIF(Avaliação!$O:$O,A923,Avaliação!$N:$N))+(SUMIF(Avaliação!$S:$S,A923,Avaliação!$R:$R))</f>
        <v>0</v>
      </c>
      <c r="D923" s="775">
        <f>(SUMIF(Avaliação!$AA:$AA,A923,Avaliação!$Z:$Z))+(SUMIF(Avaliação!$AD:$AD,A923,Avaliação!$AC:$AC))+(SUMIF(Avaliação!$AG:$AG,A923,Avaliação!$AF:$AF))</f>
        <v>0</v>
      </c>
    </row>
    <row r="924" spans="1:4">
      <c r="A924" s="157" t="s">
        <v>5029</v>
      </c>
      <c r="B924" s="195" t="s">
        <v>5030</v>
      </c>
      <c r="C924" s="775">
        <f>(SUMIF(Avaliação!$K:$K,A924,Avaliação!$J:$J))+(SUMIF(Avaliação!$O:$O,A924,Avaliação!$N:$N))+(SUMIF(Avaliação!$S:$S,A924,Avaliação!$R:$R))</f>
        <v>0</v>
      </c>
      <c r="D924" s="775">
        <f>(SUMIF(Avaliação!$AA:$AA,A924,Avaliação!$Z:$Z))+(SUMIF(Avaliação!$AD:$AD,A924,Avaliação!$AC:$AC))+(SUMIF(Avaliação!$AG:$AG,A924,Avaliação!$AF:$AF))</f>
        <v>0</v>
      </c>
    </row>
    <row r="925" spans="1:4">
      <c r="A925" s="157" t="s">
        <v>5031</v>
      </c>
      <c r="B925" s="195" t="s">
        <v>5032</v>
      </c>
      <c r="C925" s="775">
        <f>(SUMIF(Avaliação!$K:$K,A925,Avaliação!$J:$J))+(SUMIF(Avaliação!$O:$O,A925,Avaliação!$N:$N))+(SUMIF(Avaliação!$S:$S,A925,Avaliação!$R:$R))</f>
        <v>0</v>
      </c>
      <c r="D925" s="775">
        <f>(SUMIF(Avaliação!$AA:$AA,A925,Avaliação!$Z:$Z))+(SUMIF(Avaliação!$AD:$AD,A925,Avaliação!$AC:$AC))+(SUMIF(Avaliação!$AG:$AG,A925,Avaliação!$AF:$AF))</f>
        <v>0</v>
      </c>
    </row>
    <row r="926" spans="1:4">
      <c r="A926" s="157" t="s">
        <v>5033</v>
      </c>
      <c r="B926" s="195" t="s">
        <v>5034</v>
      </c>
      <c r="C926" s="775">
        <f>(SUMIF(Avaliação!$K:$K,A926,Avaliação!$J:$J))+(SUMIF(Avaliação!$O:$O,A926,Avaliação!$N:$N))+(SUMIF(Avaliação!$S:$S,A926,Avaliação!$R:$R))</f>
        <v>0</v>
      </c>
      <c r="D926" s="775">
        <f>(SUMIF(Avaliação!$AA:$AA,A926,Avaliação!$Z:$Z))+(SUMIF(Avaliação!$AD:$AD,A926,Avaliação!$AC:$AC))+(SUMIF(Avaliação!$AG:$AG,A926,Avaliação!$AF:$AF))</f>
        <v>0</v>
      </c>
    </row>
    <row r="927" spans="1:4">
      <c r="A927" s="157" t="s">
        <v>5035</v>
      </c>
      <c r="B927" s="195" t="s">
        <v>5036</v>
      </c>
      <c r="C927" s="775">
        <f>(SUMIF(Avaliação!$K:$K,A927,Avaliação!$J:$J))+(SUMIF(Avaliação!$O:$O,A927,Avaliação!$N:$N))+(SUMIF(Avaliação!$S:$S,A927,Avaliação!$R:$R))</f>
        <v>0</v>
      </c>
      <c r="D927" s="775">
        <f>(SUMIF(Avaliação!$AA:$AA,A927,Avaliação!$Z:$Z))+(SUMIF(Avaliação!$AD:$AD,A927,Avaliação!$AC:$AC))+(SUMIF(Avaliação!$AG:$AG,A927,Avaliação!$AF:$AF))</f>
        <v>0</v>
      </c>
    </row>
    <row r="928" spans="1:4">
      <c r="A928" s="157" t="s">
        <v>5037</v>
      </c>
      <c r="B928" s="195" t="s">
        <v>5038</v>
      </c>
      <c r="C928" s="775">
        <f>(SUMIF(Avaliação!$K:$K,A928,Avaliação!$J:$J))+(SUMIF(Avaliação!$O:$O,A928,Avaliação!$N:$N))+(SUMIF(Avaliação!$S:$S,A928,Avaliação!$R:$R))</f>
        <v>0</v>
      </c>
      <c r="D928" s="775">
        <f>(SUMIF(Avaliação!$AA:$AA,A928,Avaliação!$Z:$Z))+(SUMIF(Avaliação!$AD:$AD,A928,Avaliação!$AC:$AC))+(SUMIF(Avaliação!$AG:$AG,A928,Avaliação!$AF:$AF))</f>
        <v>0</v>
      </c>
    </row>
    <row r="929" spans="1:4">
      <c r="A929" s="157" t="s">
        <v>5039</v>
      </c>
      <c r="B929" s="195" t="s">
        <v>5040</v>
      </c>
      <c r="C929" s="775">
        <f>(SUMIF(Avaliação!$K:$K,A929,Avaliação!$J:$J))+(SUMIF(Avaliação!$O:$O,A929,Avaliação!$N:$N))+(SUMIF(Avaliação!$S:$S,A929,Avaliação!$R:$R))</f>
        <v>0</v>
      </c>
      <c r="D929" s="775">
        <f>(SUMIF(Avaliação!$AA:$AA,A929,Avaliação!$Z:$Z))+(SUMIF(Avaliação!$AD:$AD,A929,Avaliação!$AC:$AC))+(SUMIF(Avaliação!$AG:$AG,A929,Avaliação!$AF:$AF))</f>
        <v>0</v>
      </c>
    </row>
    <row r="930" spans="1:4">
      <c r="A930" s="157" t="s">
        <v>5041</v>
      </c>
      <c r="B930" s="195" t="s">
        <v>5042</v>
      </c>
      <c r="C930" s="775">
        <f>(SUMIF(Avaliação!$K:$K,A930,Avaliação!$J:$J))+(SUMIF(Avaliação!$O:$O,A930,Avaliação!$N:$N))+(SUMIF(Avaliação!$S:$S,A930,Avaliação!$R:$R))</f>
        <v>0</v>
      </c>
      <c r="D930" s="775">
        <f>(SUMIF(Avaliação!$AA:$AA,A930,Avaliação!$Z:$Z))+(SUMIF(Avaliação!$AD:$AD,A930,Avaliação!$AC:$AC))+(SUMIF(Avaliação!$AG:$AG,A930,Avaliação!$AF:$AF))</f>
        <v>0</v>
      </c>
    </row>
    <row r="931" spans="1:4">
      <c r="A931" s="157" t="s">
        <v>5043</v>
      </c>
      <c r="B931" s="195" t="s">
        <v>5044</v>
      </c>
      <c r="C931" s="775">
        <f>(SUMIF(Avaliação!$K:$K,A931,Avaliação!$J:$J))+(SUMIF(Avaliação!$O:$O,A931,Avaliação!$N:$N))+(SUMIF(Avaliação!$S:$S,A931,Avaliação!$R:$R))</f>
        <v>0</v>
      </c>
      <c r="D931" s="775">
        <f>(SUMIF(Avaliação!$AA:$AA,A931,Avaliação!$Z:$Z))+(SUMIF(Avaliação!$AD:$AD,A931,Avaliação!$AC:$AC))+(SUMIF(Avaliação!$AG:$AG,A931,Avaliação!$AF:$AF))</f>
        <v>0</v>
      </c>
    </row>
    <row r="932" spans="1:4">
      <c r="A932" s="157" t="s">
        <v>5045</v>
      </c>
      <c r="B932" s="195" t="s">
        <v>5046</v>
      </c>
      <c r="C932" s="775">
        <f>(SUMIF(Avaliação!$K:$K,A932,Avaliação!$J:$J))+(SUMIF(Avaliação!$O:$O,A932,Avaliação!$N:$N))+(SUMIF(Avaliação!$S:$S,A932,Avaliação!$R:$R))</f>
        <v>0</v>
      </c>
      <c r="D932" s="775">
        <f>(SUMIF(Avaliação!$AA:$AA,A932,Avaliação!$Z:$Z))+(SUMIF(Avaliação!$AD:$AD,A932,Avaliação!$AC:$AC))+(SUMIF(Avaliação!$AG:$AG,A932,Avaliação!$AF:$AF))</f>
        <v>0</v>
      </c>
    </row>
    <row r="933" spans="1:4">
      <c r="A933" s="157" t="s">
        <v>5047</v>
      </c>
      <c r="B933" s="195" t="s">
        <v>5048</v>
      </c>
      <c r="C933" s="775">
        <f>(SUMIF(Avaliação!$K:$K,A933,Avaliação!$J:$J))+(SUMIF(Avaliação!$O:$O,A933,Avaliação!$N:$N))+(SUMIF(Avaliação!$S:$S,A933,Avaliação!$R:$R))</f>
        <v>0</v>
      </c>
      <c r="D933" s="775">
        <f>(SUMIF(Avaliação!$AA:$AA,A933,Avaliação!$Z:$Z))+(SUMIF(Avaliação!$AD:$AD,A933,Avaliação!$AC:$AC))+(SUMIF(Avaliação!$AG:$AG,A933,Avaliação!$AF:$AF))</f>
        <v>0</v>
      </c>
    </row>
    <row r="934" spans="1:4">
      <c r="A934" s="157" t="s">
        <v>5049</v>
      </c>
      <c r="B934" s="195" t="s">
        <v>5050</v>
      </c>
      <c r="C934" s="775">
        <f>(SUMIF(Avaliação!$K:$K,A934,Avaliação!$J:$J))+(SUMIF(Avaliação!$O:$O,A934,Avaliação!$N:$N))+(SUMIF(Avaliação!$S:$S,A934,Avaliação!$R:$R))</f>
        <v>0</v>
      </c>
      <c r="D934" s="775">
        <f>(SUMIF(Avaliação!$AA:$AA,A934,Avaliação!$Z:$Z))+(SUMIF(Avaliação!$AD:$AD,A934,Avaliação!$AC:$AC))+(SUMIF(Avaliação!$AG:$AG,A934,Avaliação!$AF:$AF))</f>
        <v>0</v>
      </c>
    </row>
    <row r="935" spans="1:4">
      <c r="A935" s="157" t="s">
        <v>5051</v>
      </c>
      <c r="B935" s="195" t="s">
        <v>5052</v>
      </c>
      <c r="C935" s="775">
        <f>(SUMIF(Avaliação!$K:$K,A935,Avaliação!$J:$J))+(SUMIF(Avaliação!$O:$O,A935,Avaliação!$N:$N))+(SUMIF(Avaliação!$S:$S,A935,Avaliação!$R:$R))</f>
        <v>0</v>
      </c>
      <c r="D935" s="775">
        <f>(SUMIF(Avaliação!$AA:$AA,A935,Avaliação!$Z:$Z))+(SUMIF(Avaliação!$AD:$AD,A935,Avaliação!$AC:$AC))+(SUMIF(Avaliação!$AG:$AG,A935,Avaliação!$AF:$AF))</f>
        <v>0</v>
      </c>
    </row>
    <row r="936" spans="1:4">
      <c r="A936" s="157" t="s">
        <v>5053</v>
      </c>
      <c r="B936" s="195" t="s">
        <v>5054</v>
      </c>
      <c r="C936" s="775">
        <f>(SUMIF(Avaliação!$K:$K,A936,Avaliação!$J:$J))+(SUMIF(Avaliação!$O:$O,A936,Avaliação!$N:$N))+(SUMIF(Avaliação!$S:$S,A936,Avaliação!$R:$R))</f>
        <v>0</v>
      </c>
      <c r="D936" s="775">
        <f>(SUMIF(Avaliação!$AA:$AA,A936,Avaliação!$Z:$Z))+(SUMIF(Avaliação!$AD:$AD,A936,Avaliação!$AC:$AC))+(SUMIF(Avaliação!$AG:$AG,A936,Avaliação!$AF:$AF))</f>
        <v>0</v>
      </c>
    </row>
    <row r="937" spans="1:4">
      <c r="A937" s="157" t="s">
        <v>5055</v>
      </c>
      <c r="B937" s="195" t="s">
        <v>5056</v>
      </c>
      <c r="C937" s="775">
        <f>(SUMIF(Avaliação!$K:$K,A937,Avaliação!$J:$J))+(SUMIF(Avaliação!$O:$O,A937,Avaliação!$N:$N))+(SUMIF(Avaliação!$S:$S,A937,Avaliação!$R:$R))</f>
        <v>0</v>
      </c>
      <c r="D937" s="775">
        <f>(SUMIF(Avaliação!$AA:$AA,A937,Avaliação!$Z:$Z))+(SUMIF(Avaliação!$AD:$AD,A937,Avaliação!$AC:$AC))+(SUMIF(Avaliação!$AG:$AG,A937,Avaliação!$AF:$AF))</f>
        <v>0</v>
      </c>
    </row>
    <row r="938" spans="1:4">
      <c r="A938" s="157" t="s">
        <v>5057</v>
      </c>
      <c r="B938" s="195" t="s">
        <v>5058</v>
      </c>
      <c r="C938" s="775">
        <f>(SUMIF(Avaliação!$K:$K,A938,Avaliação!$J:$J))+(SUMIF(Avaliação!$O:$O,A938,Avaliação!$N:$N))+(SUMIF(Avaliação!$S:$S,A938,Avaliação!$R:$R))</f>
        <v>0</v>
      </c>
      <c r="D938" s="775">
        <f>(SUMIF(Avaliação!$AA:$AA,A938,Avaliação!$Z:$Z))+(SUMIF(Avaliação!$AD:$AD,A938,Avaliação!$AC:$AC))+(SUMIF(Avaliação!$AG:$AG,A938,Avaliação!$AF:$AF))</f>
        <v>0</v>
      </c>
    </row>
    <row r="939" spans="1:4">
      <c r="A939" s="157" t="s">
        <v>5059</v>
      </c>
      <c r="B939" s="195" t="s">
        <v>5060</v>
      </c>
      <c r="C939" s="775">
        <f>(SUMIF(Avaliação!$K:$K,A939,Avaliação!$J:$J))+(SUMIF(Avaliação!$O:$O,A939,Avaliação!$N:$N))+(SUMIF(Avaliação!$S:$S,A939,Avaliação!$R:$R))</f>
        <v>0</v>
      </c>
      <c r="D939" s="775">
        <f>(SUMIF(Avaliação!$AA:$AA,A939,Avaliação!$Z:$Z))+(SUMIF(Avaliação!$AD:$AD,A939,Avaliação!$AC:$AC))+(SUMIF(Avaliação!$AG:$AG,A939,Avaliação!$AF:$AF))</f>
        <v>0</v>
      </c>
    </row>
    <row r="940" spans="1:4">
      <c r="A940" s="157" t="s">
        <v>5061</v>
      </c>
      <c r="B940" s="195" t="s">
        <v>5062</v>
      </c>
      <c r="C940" s="775">
        <f>(SUMIF(Avaliação!$K:$K,A940,Avaliação!$J:$J))+(SUMIF(Avaliação!$O:$O,A940,Avaliação!$N:$N))+(SUMIF(Avaliação!$S:$S,A940,Avaliação!$R:$R))</f>
        <v>0</v>
      </c>
      <c r="D940" s="775">
        <f>(SUMIF(Avaliação!$AA:$AA,A940,Avaliação!$Z:$Z))+(SUMIF(Avaliação!$AD:$AD,A940,Avaliação!$AC:$AC))+(SUMIF(Avaliação!$AG:$AG,A940,Avaliação!$AF:$AF))</f>
        <v>0</v>
      </c>
    </row>
    <row r="941" spans="1:4">
      <c r="A941" s="157" t="s">
        <v>5063</v>
      </c>
      <c r="B941" s="195" t="s">
        <v>5064</v>
      </c>
      <c r="C941" s="775">
        <f>(SUMIF(Avaliação!$K:$K,A941,Avaliação!$J:$J))+(SUMIF(Avaliação!$O:$O,A941,Avaliação!$N:$N))+(SUMIF(Avaliação!$S:$S,A941,Avaliação!$R:$R))</f>
        <v>0</v>
      </c>
      <c r="D941" s="775">
        <f>(SUMIF(Avaliação!$AA:$AA,A941,Avaliação!$Z:$Z))+(SUMIF(Avaliação!$AD:$AD,A941,Avaliação!$AC:$AC))+(SUMIF(Avaliação!$AG:$AG,A941,Avaliação!$AF:$AF))</f>
        <v>0</v>
      </c>
    </row>
    <row r="942" spans="1:4">
      <c r="A942" s="157" t="s">
        <v>5065</v>
      </c>
      <c r="B942" s="195" t="s">
        <v>5066</v>
      </c>
      <c r="C942" s="775">
        <f>(SUMIF(Avaliação!$K:$K,A942,Avaliação!$J:$J))+(SUMIF(Avaliação!$O:$O,A942,Avaliação!$N:$N))+(SUMIF(Avaliação!$S:$S,A942,Avaliação!$R:$R))</f>
        <v>0</v>
      </c>
      <c r="D942" s="775">
        <f>(SUMIF(Avaliação!$AA:$AA,A942,Avaliação!$Z:$Z))+(SUMIF(Avaliação!$AD:$AD,A942,Avaliação!$AC:$AC))+(SUMIF(Avaliação!$AG:$AG,A942,Avaliação!$AF:$AF))</f>
        <v>0</v>
      </c>
    </row>
    <row r="943" spans="1:4">
      <c r="A943" s="157" t="s">
        <v>5067</v>
      </c>
      <c r="B943" s="195" t="s">
        <v>5068</v>
      </c>
      <c r="C943" s="775">
        <f>(SUMIF(Avaliação!$K:$K,A943,Avaliação!$J:$J))+(SUMIF(Avaliação!$O:$O,A943,Avaliação!$N:$N))+(SUMIF(Avaliação!$S:$S,A943,Avaliação!$R:$R))</f>
        <v>0</v>
      </c>
      <c r="D943" s="775">
        <f>(SUMIF(Avaliação!$AA:$AA,A943,Avaliação!$Z:$Z))+(SUMIF(Avaliação!$AD:$AD,A943,Avaliação!$AC:$AC))+(SUMIF(Avaliação!$AG:$AG,A943,Avaliação!$AF:$AF))</f>
        <v>0</v>
      </c>
    </row>
    <row r="944" spans="1:4">
      <c r="A944" s="157" t="s">
        <v>5069</v>
      </c>
      <c r="B944" s="195" t="s">
        <v>5070</v>
      </c>
      <c r="C944" s="775">
        <f>(SUMIF(Avaliação!$K:$K,A944,Avaliação!$J:$J))+(SUMIF(Avaliação!$O:$O,A944,Avaliação!$N:$N))+(SUMIF(Avaliação!$S:$S,A944,Avaliação!$R:$R))</f>
        <v>0</v>
      </c>
      <c r="D944" s="775">
        <f>(SUMIF(Avaliação!$AA:$AA,A944,Avaliação!$Z:$Z))+(SUMIF(Avaliação!$AD:$AD,A944,Avaliação!$AC:$AC))+(SUMIF(Avaliação!$AG:$AG,A944,Avaliação!$AF:$AF))</f>
        <v>0</v>
      </c>
    </row>
    <row r="945" spans="1:4">
      <c r="A945" s="157" t="s">
        <v>5071</v>
      </c>
      <c r="B945" s="195" t="s">
        <v>5072</v>
      </c>
      <c r="C945" s="775">
        <f>(SUMIF(Avaliação!$K:$K,A945,Avaliação!$J:$J))+(SUMIF(Avaliação!$O:$O,A945,Avaliação!$N:$N))+(SUMIF(Avaliação!$S:$S,A945,Avaliação!$R:$R))</f>
        <v>0</v>
      </c>
      <c r="D945" s="775">
        <f>(SUMIF(Avaliação!$AA:$AA,A945,Avaliação!$Z:$Z))+(SUMIF(Avaliação!$AD:$AD,A945,Avaliação!$AC:$AC))+(SUMIF(Avaliação!$AG:$AG,A945,Avaliação!$AF:$AF))</f>
        <v>0</v>
      </c>
    </row>
    <row r="946" spans="1:4">
      <c r="A946" s="157" t="s">
        <v>5073</v>
      </c>
      <c r="B946" s="195" t="s">
        <v>5074</v>
      </c>
      <c r="C946" s="775">
        <f>(SUMIF(Avaliação!$K:$K,A946,Avaliação!$J:$J))+(SUMIF(Avaliação!$O:$O,A946,Avaliação!$N:$N))+(SUMIF(Avaliação!$S:$S,A946,Avaliação!$R:$R))</f>
        <v>0</v>
      </c>
      <c r="D946" s="775">
        <f>(SUMIF(Avaliação!$AA:$AA,A946,Avaliação!$Z:$Z))+(SUMIF(Avaliação!$AD:$AD,A946,Avaliação!$AC:$AC))+(SUMIF(Avaliação!$AG:$AG,A946,Avaliação!$AF:$AF))</f>
        <v>0</v>
      </c>
    </row>
    <row r="947" spans="1:4">
      <c r="A947" s="157" t="s">
        <v>5075</v>
      </c>
      <c r="B947" s="195" t="s">
        <v>5076</v>
      </c>
      <c r="C947" s="775">
        <f>(SUMIF(Avaliação!$K:$K,A947,Avaliação!$J:$J))+(SUMIF(Avaliação!$O:$O,A947,Avaliação!$N:$N))+(SUMIF(Avaliação!$S:$S,A947,Avaliação!$R:$R))</f>
        <v>0</v>
      </c>
      <c r="D947" s="775">
        <f>(SUMIF(Avaliação!$AA:$AA,A947,Avaliação!$Z:$Z))+(SUMIF(Avaliação!$AD:$AD,A947,Avaliação!$AC:$AC))+(SUMIF(Avaliação!$AG:$AG,A947,Avaliação!$AF:$AF))</f>
        <v>0</v>
      </c>
    </row>
    <row r="948" spans="1:4">
      <c r="A948" s="157" t="s">
        <v>5077</v>
      </c>
      <c r="B948" s="195" t="s">
        <v>5078</v>
      </c>
      <c r="C948" s="775">
        <f>(SUMIF(Avaliação!$K:$K,A948,Avaliação!$J:$J))+(SUMIF(Avaliação!$O:$O,A948,Avaliação!$N:$N))+(SUMIF(Avaliação!$S:$S,A948,Avaliação!$R:$R))</f>
        <v>0</v>
      </c>
      <c r="D948" s="775">
        <f>(SUMIF(Avaliação!$AA:$AA,A948,Avaliação!$Z:$Z))+(SUMIF(Avaliação!$AD:$AD,A948,Avaliação!$AC:$AC))+(SUMIF(Avaliação!$AG:$AG,A948,Avaliação!$AF:$AF))</f>
        <v>0</v>
      </c>
    </row>
    <row r="949" spans="1:4">
      <c r="A949" s="157" t="s">
        <v>5079</v>
      </c>
      <c r="B949" s="195" t="s">
        <v>5080</v>
      </c>
      <c r="C949" s="775">
        <f>(SUMIF(Avaliação!$K:$K,A949,Avaliação!$J:$J))+(SUMIF(Avaliação!$O:$O,A949,Avaliação!$N:$N))+(SUMIF(Avaliação!$S:$S,A949,Avaliação!$R:$R))</f>
        <v>0</v>
      </c>
      <c r="D949" s="775">
        <f>(SUMIF(Avaliação!$AA:$AA,A949,Avaliação!$Z:$Z))+(SUMIF(Avaliação!$AD:$AD,A949,Avaliação!$AC:$AC))+(SUMIF(Avaliação!$AG:$AG,A949,Avaliação!$AF:$AF))</f>
        <v>0</v>
      </c>
    </row>
    <row r="950" spans="1:4">
      <c r="A950" s="157" t="s">
        <v>5081</v>
      </c>
      <c r="B950" s="195" t="s">
        <v>5082</v>
      </c>
      <c r="C950" s="775">
        <f>(SUMIF(Avaliação!$K:$K,A950,Avaliação!$J:$J))+(SUMIF(Avaliação!$O:$O,A950,Avaliação!$N:$N))+(SUMIF(Avaliação!$S:$S,A950,Avaliação!$R:$R))</f>
        <v>0</v>
      </c>
      <c r="D950" s="775">
        <f>(SUMIF(Avaliação!$AA:$AA,A950,Avaliação!$Z:$Z))+(SUMIF(Avaliação!$AD:$AD,A950,Avaliação!$AC:$AC))+(SUMIF(Avaliação!$AG:$AG,A950,Avaliação!$AF:$AF))</f>
        <v>0</v>
      </c>
    </row>
    <row r="951" spans="1:4">
      <c r="A951" s="157" t="s">
        <v>5083</v>
      </c>
      <c r="B951" s="195" t="s">
        <v>5084</v>
      </c>
      <c r="C951" s="775">
        <f>(SUMIF(Avaliação!$K:$K,A951,Avaliação!$J:$J))+(SUMIF(Avaliação!$O:$O,A951,Avaliação!$N:$N))+(SUMIF(Avaliação!$S:$S,A951,Avaliação!$R:$R))</f>
        <v>0</v>
      </c>
      <c r="D951" s="775">
        <f>(SUMIF(Avaliação!$AA:$AA,A951,Avaliação!$Z:$Z))+(SUMIF(Avaliação!$AD:$AD,A951,Avaliação!$AC:$AC))+(SUMIF(Avaliação!$AG:$AG,A951,Avaliação!$AF:$AF))</f>
        <v>0</v>
      </c>
    </row>
    <row r="952" spans="1:4">
      <c r="A952" s="157" t="s">
        <v>5085</v>
      </c>
      <c r="B952" s="195" t="s">
        <v>5086</v>
      </c>
      <c r="C952" s="775">
        <f>(SUMIF(Avaliação!$K:$K,A952,Avaliação!$J:$J))+(SUMIF(Avaliação!$O:$O,A952,Avaliação!$N:$N))+(SUMIF(Avaliação!$S:$S,A952,Avaliação!$R:$R))</f>
        <v>0</v>
      </c>
      <c r="D952" s="775">
        <f>(SUMIF(Avaliação!$AA:$AA,A952,Avaliação!$Z:$Z))+(SUMIF(Avaliação!$AD:$AD,A952,Avaliação!$AC:$AC))+(SUMIF(Avaliação!$AG:$AG,A952,Avaliação!$AF:$AF))</f>
        <v>0</v>
      </c>
    </row>
    <row r="953" spans="1:4">
      <c r="A953" s="157" t="s">
        <v>5087</v>
      </c>
      <c r="B953" s="195" t="s">
        <v>5088</v>
      </c>
      <c r="C953" s="775">
        <f>(SUMIF(Avaliação!$K:$K,A953,Avaliação!$J:$J))+(SUMIF(Avaliação!$O:$O,A953,Avaliação!$N:$N))+(SUMIF(Avaliação!$S:$S,A953,Avaliação!$R:$R))</f>
        <v>0</v>
      </c>
      <c r="D953" s="775">
        <f>(SUMIF(Avaliação!$AA:$AA,A953,Avaliação!$Z:$Z))+(SUMIF(Avaliação!$AD:$AD,A953,Avaliação!$AC:$AC))+(SUMIF(Avaliação!$AG:$AG,A953,Avaliação!$AF:$AF))</f>
        <v>0</v>
      </c>
    </row>
    <row r="954" spans="1:4">
      <c r="A954" s="157" t="s">
        <v>5089</v>
      </c>
      <c r="B954" s="195" t="s">
        <v>5090</v>
      </c>
      <c r="C954" s="775">
        <f>(SUMIF(Avaliação!$K:$K,A954,Avaliação!$J:$J))+(SUMIF(Avaliação!$O:$O,A954,Avaliação!$N:$N))+(SUMIF(Avaliação!$S:$S,A954,Avaliação!$R:$R))</f>
        <v>0</v>
      </c>
      <c r="D954" s="775">
        <f>(SUMIF(Avaliação!$AA:$AA,A954,Avaliação!$Z:$Z))+(SUMIF(Avaliação!$AD:$AD,A954,Avaliação!$AC:$AC))+(SUMIF(Avaliação!$AG:$AG,A954,Avaliação!$AF:$AF))</f>
        <v>0</v>
      </c>
    </row>
    <row r="955" spans="1:4">
      <c r="A955" s="830" t="s">
        <v>5358</v>
      </c>
      <c r="B955" s="831" t="s">
        <v>5357</v>
      </c>
      <c r="C955" s="775">
        <f>(SUMIF(Avaliação!$K:$K,A955,Avaliação!$J:$J))+(SUMIF(Avaliação!$O:$O,A955,Avaliação!$N:$N))+(SUMIF(Avaliação!$S:$S,A955,Avaliação!$R:$R))</f>
        <v>2</v>
      </c>
      <c r="D955" s="832">
        <f>(SUMIF(Avaliação!$AA:$AA,A955,Avaliação!$Z:$Z))+(SUMIF(Avaliação!$AD:$AD,A955,Avaliação!$AC:$AC))+(SUMIF(Avaliação!$AG:$AG,A955,Avaliação!$AF:$AF))</f>
        <v>0</v>
      </c>
    </row>
    <row r="956" spans="1:4">
      <c r="A956" s="157" t="s">
        <v>5360</v>
      </c>
      <c r="B956" s="195" t="s">
        <v>5357</v>
      </c>
      <c r="C956" s="775">
        <f>(SUMIF(Avaliação!$K:$K,A956,Avaliação!$J:$J))+(SUMIF(Avaliação!$O:$O,A956,Avaliação!$N:$N))+(SUMIF(Avaliação!$S:$S,A956,Avaliação!$R:$R))</f>
        <v>0</v>
      </c>
      <c r="D956" s="775">
        <f>(SUMIF(Avaliação!$AA:$AA,A956,Avaliação!$Z:$Z))+(SUMIF(Avaliação!$AD:$AD,A956,Avaliação!$AC:$AC))+(SUMIF(Avaliação!$AG:$AG,A956,Avaliação!$AF:$AF))</f>
        <v>0</v>
      </c>
    </row>
    <row r="957" spans="1:4">
      <c r="A957" s="157" t="s">
        <v>5091</v>
      </c>
      <c r="B957" s="195" t="s">
        <v>5092</v>
      </c>
      <c r="C957" s="775">
        <f>(SUMIF(Avaliação!$K:$K,A957,Avaliação!$J:$J))+(SUMIF(Avaliação!$O:$O,A957,Avaliação!$N:$N))+(SUMIF(Avaliação!$S:$S,A957,Avaliação!$R:$R))</f>
        <v>0</v>
      </c>
      <c r="D957" s="775">
        <f>(SUMIF(Avaliação!$AA:$AA,A957,Avaliação!$Z:$Z))+(SUMIF(Avaliação!$AD:$AD,A957,Avaliação!$AC:$AC))+(SUMIF(Avaliação!$AG:$AG,A957,Avaliação!$AF:$AF))</f>
        <v>0</v>
      </c>
    </row>
    <row r="958" spans="1:4">
      <c r="A958" s="157" t="s">
        <v>5093</v>
      </c>
      <c r="B958" s="195" t="s">
        <v>5094</v>
      </c>
      <c r="C958" s="775">
        <f>(SUMIF(Avaliação!$K:$K,A958,Avaliação!$J:$J))+(SUMIF(Avaliação!$O:$O,A958,Avaliação!$N:$N))+(SUMIF(Avaliação!$S:$S,A958,Avaliação!$R:$R))</f>
        <v>0</v>
      </c>
      <c r="D958" s="775">
        <f>(SUMIF(Avaliação!$AA:$AA,A958,Avaliação!$Z:$Z))+(SUMIF(Avaliação!$AD:$AD,A958,Avaliação!$AC:$AC))+(SUMIF(Avaliação!$AG:$AG,A958,Avaliação!$AF:$AF))</f>
        <v>0</v>
      </c>
    </row>
    <row r="959" spans="1:4">
      <c r="A959" s="157" t="s">
        <v>5095</v>
      </c>
      <c r="B959" s="195" t="s">
        <v>5096</v>
      </c>
      <c r="C959" s="775">
        <f>(SUMIF(Avaliação!$K:$K,A959,Avaliação!$J:$J))+(SUMIF(Avaliação!$O:$O,A959,Avaliação!$N:$N))+(SUMIF(Avaliação!$S:$S,A959,Avaliação!$R:$R))</f>
        <v>0</v>
      </c>
      <c r="D959" s="775">
        <f>(SUMIF(Avaliação!$AA:$AA,A959,Avaliação!$Z:$Z))+(SUMIF(Avaliação!$AD:$AD,A959,Avaliação!$AC:$AC))+(SUMIF(Avaliação!$AG:$AG,A959,Avaliação!$AF:$AF))</f>
        <v>0</v>
      </c>
    </row>
    <row r="960" spans="1:4">
      <c r="A960" s="157" t="s">
        <v>5097</v>
      </c>
      <c r="B960" s="195" t="s">
        <v>5098</v>
      </c>
      <c r="C960" s="775">
        <f>(SUMIF(Avaliação!$K:$K,A960,Avaliação!$J:$J))+(SUMIF(Avaliação!$O:$O,A960,Avaliação!$N:$N))+(SUMIF(Avaliação!$S:$S,A960,Avaliação!$R:$R))</f>
        <v>0</v>
      </c>
      <c r="D960" s="775">
        <f>(SUMIF(Avaliação!$AA:$AA,A960,Avaliação!$Z:$Z))+(SUMIF(Avaliação!$AD:$AD,A960,Avaliação!$AC:$AC))+(SUMIF(Avaliação!$AG:$AG,A960,Avaliação!$AF:$AF))</f>
        <v>0</v>
      </c>
    </row>
    <row r="961" spans="1:4">
      <c r="A961" s="157" t="s">
        <v>5099</v>
      </c>
      <c r="B961" s="195" t="s">
        <v>5100</v>
      </c>
      <c r="C961" s="775">
        <f>(SUMIF(Avaliação!$K:$K,A961,Avaliação!$J:$J))+(SUMIF(Avaliação!$O:$O,A961,Avaliação!$N:$N))+(SUMIF(Avaliação!$S:$S,A961,Avaliação!$R:$R))</f>
        <v>0</v>
      </c>
      <c r="D961" s="775">
        <f>(SUMIF(Avaliação!$AA:$AA,A961,Avaliação!$Z:$Z))+(SUMIF(Avaliação!$AD:$AD,A961,Avaliação!$AC:$AC))+(SUMIF(Avaliação!$AG:$AG,A961,Avaliação!$AF:$AF))</f>
        <v>0</v>
      </c>
    </row>
    <row r="962" spans="1:4">
      <c r="A962" s="157" t="s">
        <v>5101</v>
      </c>
      <c r="B962" s="195" t="s">
        <v>5102</v>
      </c>
      <c r="C962" s="775">
        <f>(SUMIF(Avaliação!$K:$K,A962,Avaliação!$J:$J))+(SUMIF(Avaliação!$O:$O,A962,Avaliação!$N:$N))+(SUMIF(Avaliação!$S:$S,A962,Avaliação!$R:$R))</f>
        <v>0</v>
      </c>
      <c r="D962" s="775">
        <f>(SUMIF(Avaliação!$AA:$AA,A962,Avaliação!$Z:$Z))+(SUMIF(Avaliação!$AD:$AD,A962,Avaliação!$AC:$AC))+(SUMIF(Avaliação!$AG:$AG,A962,Avaliação!$AF:$AF))</f>
        <v>0</v>
      </c>
    </row>
    <row r="963" spans="1:4">
      <c r="A963" s="157" t="s">
        <v>5103</v>
      </c>
      <c r="B963" s="195" t="s">
        <v>5104</v>
      </c>
      <c r="C963" s="775">
        <f>(SUMIF(Avaliação!$K:$K,A963,Avaliação!$J:$J))+(SUMIF(Avaliação!$O:$O,A963,Avaliação!$N:$N))+(SUMIF(Avaliação!$S:$S,A963,Avaliação!$R:$R))</f>
        <v>0</v>
      </c>
      <c r="D963" s="775">
        <f>(SUMIF(Avaliação!$AA:$AA,A963,Avaliação!$Z:$Z))+(SUMIF(Avaliação!$AD:$AD,A963,Avaliação!$AC:$AC))+(SUMIF(Avaliação!$AG:$AG,A963,Avaliação!$AF:$AF))</f>
        <v>0</v>
      </c>
    </row>
    <row r="964" spans="1:4">
      <c r="A964" s="157" t="s">
        <v>5105</v>
      </c>
      <c r="B964" s="195" t="s">
        <v>5106</v>
      </c>
      <c r="C964" s="775">
        <f>(SUMIF(Avaliação!$K:$K,A964,Avaliação!$J:$J))+(SUMIF(Avaliação!$O:$O,A964,Avaliação!$N:$N))+(SUMIF(Avaliação!$S:$S,A964,Avaliação!$R:$R))</f>
        <v>0</v>
      </c>
      <c r="D964" s="775">
        <f>(SUMIF(Avaliação!$AA:$AA,A964,Avaliação!$Z:$Z))+(SUMIF(Avaliação!$AD:$AD,A964,Avaliação!$AC:$AC))+(SUMIF(Avaliação!$AG:$AG,A964,Avaliação!$AF:$AF))</f>
        <v>0</v>
      </c>
    </row>
    <row r="965" spans="1:4">
      <c r="A965" s="157" t="s">
        <v>5107</v>
      </c>
      <c r="B965" s="195" t="s">
        <v>5108</v>
      </c>
      <c r="C965" s="775">
        <f>(SUMIF(Avaliação!$K:$K,A965,Avaliação!$J:$J))+(SUMIF(Avaliação!$O:$O,A965,Avaliação!$N:$N))+(SUMIF(Avaliação!$S:$S,A965,Avaliação!$R:$R))</f>
        <v>0</v>
      </c>
      <c r="D965" s="775">
        <f>(SUMIF(Avaliação!$AA:$AA,A965,Avaliação!$Z:$Z))+(SUMIF(Avaliação!$AD:$AD,A965,Avaliação!$AC:$AC))+(SUMIF(Avaliação!$AG:$AG,A965,Avaliação!$AF:$AF))</f>
        <v>0</v>
      </c>
    </row>
    <row r="966" spans="1:4">
      <c r="A966" s="157" t="s">
        <v>5109</v>
      </c>
      <c r="B966" s="195" t="s">
        <v>5110</v>
      </c>
      <c r="C966" s="775">
        <f>(SUMIF(Avaliação!$K:$K,A966,Avaliação!$J:$J))+(SUMIF(Avaliação!$O:$O,A966,Avaliação!$N:$N))+(SUMIF(Avaliação!$S:$S,A966,Avaliação!$R:$R))</f>
        <v>0</v>
      </c>
      <c r="D966" s="775">
        <f>(SUMIF(Avaliação!$AA:$AA,A966,Avaliação!$Z:$Z))+(SUMIF(Avaliação!$AD:$AD,A966,Avaliação!$AC:$AC))+(SUMIF(Avaliação!$AG:$AG,A966,Avaliação!$AF:$AF))</f>
        <v>0</v>
      </c>
    </row>
    <row r="967" spans="1:4">
      <c r="A967" s="157" t="s">
        <v>5275</v>
      </c>
      <c r="B967" s="195" t="s">
        <v>5276</v>
      </c>
      <c r="C967" s="775">
        <f>(SUMIF(Avaliação!$K:$K,A967,Avaliação!$J:$J))+(SUMIF(Avaliação!$O:$O,A967,Avaliação!$N:$N))+(SUMIF(Avaliação!$S:$S,A967,Avaliação!$R:$R))</f>
        <v>0</v>
      </c>
      <c r="D967" s="775">
        <f>(SUMIF(Avaliação!$AA:$AA,A967,Avaliação!$Z:$Z))+(SUMIF(Avaliação!$AD:$AD,A967,Avaliação!$AC:$AC))+(SUMIF(Avaliação!$AG:$AG,A967,Avaliação!$AF:$AF))</f>
        <v>0</v>
      </c>
    </row>
    <row r="968" spans="1:4">
      <c r="A968" s="157" t="s">
        <v>5277</v>
      </c>
      <c r="B968" s="195" t="s">
        <v>5278</v>
      </c>
      <c r="C968" s="775">
        <f>(SUMIF(Avaliação!$K:$K,A968,Avaliação!$J:$J))+(SUMIF(Avaliação!$O:$O,A968,Avaliação!$N:$N))+(SUMIF(Avaliação!$S:$S,A968,Avaliação!$R:$R))</f>
        <v>0</v>
      </c>
      <c r="D968" s="775">
        <f>(SUMIF(Avaliação!$AA:$AA,A968,Avaliação!$Z:$Z))+(SUMIF(Avaliação!$AD:$AD,A968,Avaliação!$AC:$AC))+(SUMIF(Avaliação!$AG:$AG,A968,Avaliação!$AF:$AF))</f>
        <v>0</v>
      </c>
    </row>
    <row r="969" spans="1:4">
      <c r="A969" s="157" t="s">
        <v>5279</v>
      </c>
      <c r="B969" s="195" t="s">
        <v>5280</v>
      </c>
      <c r="C969" s="775">
        <f>(SUMIF(Avaliação!$K:$K,A969,Avaliação!$J:$J))+(SUMIF(Avaliação!$O:$O,A969,Avaliação!$N:$N))+(SUMIF(Avaliação!$S:$S,A969,Avaliação!$R:$R))</f>
        <v>0</v>
      </c>
      <c r="D969" s="775">
        <f>(SUMIF(Avaliação!$AA:$AA,A969,Avaliação!$Z:$Z))+(SUMIF(Avaliação!$AD:$AD,A969,Avaliação!$AC:$AC))+(SUMIF(Avaliação!$AG:$AG,A969,Avaliação!$AF:$AF))</f>
        <v>0</v>
      </c>
    </row>
    <row r="970" spans="1:4">
      <c r="A970" s="157" t="s">
        <v>5281</v>
      </c>
      <c r="B970" s="195" t="s">
        <v>5282</v>
      </c>
      <c r="C970" s="775">
        <f>(SUMIF(Avaliação!$K:$K,A970,Avaliação!$J:$J))+(SUMIF(Avaliação!$O:$O,A970,Avaliação!$N:$N))+(SUMIF(Avaliação!$S:$S,A970,Avaliação!$R:$R))</f>
        <v>0</v>
      </c>
      <c r="D970" s="775">
        <f>(SUMIF(Avaliação!$AA:$AA,A970,Avaliação!$Z:$Z))+(SUMIF(Avaliação!$AD:$AD,A970,Avaliação!$AC:$AC))+(SUMIF(Avaliação!$AG:$AG,A970,Avaliação!$AF:$AF))</f>
        <v>0</v>
      </c>
    </row>
    <row r="971" spans="1:4">
      <c r="A971" s="157" t="s">
        <v>5283</v>
      </c>
      <c r="B971" s="195" t="s">
        <v>5284</v>
      </c>
      <c r="C971" s="775">
        <f>(SUMIF(Avaliação!$K:$K,A971,Avaliação!$J:$J))+(SUMIF(Avaliação!$O:$O,A971,Avaliação!$N:$N))+(SUMIF(Avaliação!$S:$S,A971,Avaliação!$R:$R))</f>
        <v>0</v>
      </c>
      <c r="D971" s="775">
        <f>(SUMIF(Avaliação!$AA:$AA,A971,Avaliação!$Z:$Z))+(SUMIF(Avaliação!$AD:$AD,A971,Avaliação!$AC:$AC))+(SUMIF(Avaliação!$AG:$AG,A971,Avaliação!$AF:$AF))</f>
        <v>0</v>
      </c>
    </row>
    <row r="972" spans="1:4">
      <c r="A972" s="157" t="s">
        <v>5285</v>
      </c>
      <c r="B972" s="195" t="s">
        <v>5286</v>
      </c>
      <c r="C972" s="775">
        <f>(SUMIF(Avaliação!$K:$K,A972,Avaliação!$J:$J))+(SUMIF(Avaliação!$O:$O,A972,Avaliação!$N:$N))+(SUMIF(Avaliação!$S:$S,A972,Avaliação!$R:$R))</f>
        <v>0</v>
      </c>
      <c r="D972" s="775">
        <f>(SUMIF(Avaliação!$AA:$AA,A972,Avaliação!$Z:$Z))+(SUMIF(Avaliação!$AD:$AD,A972,Avaliação!$AC:$AC))+(SUMIF(Avaliação!$AG:$AG,A972,Avaliação!$AF:$AF))</f>
        <v>0</v>
      </c>
    </row>
    <row r="973" spans="1:4">
      <c r="A973" s="157" t="s">
        <v>5287</v>
      </c>
      <c r="B973" s="195" t="s">
        <v>5288</v>
      </c>
      <c r="C973" s="775">
        <f>(SUMIF(Avaliação!$K:$K,A973,Avaliação!$J:$J))+(SUMIF(Avaliação!$O:$O,A973,Avaliação!$N:$N))+(SUMIF(Avaliação!$S:$S,A973,Avaliação!$R:$R))</f>
        <v>0</v>
      </c>
      <c r="D973" s="775">
        <f>(SUMIF(Avaliação!$AA:$AA,A973,Avaliação!$Z:$Z))+(SUMIF(Avaliação!$AD:$AD,A973,Avaliação!$AC:$AC))+(SUMIF(Avaliação!$AG:$AG,A973,Avaliação!$AF:$AF))</f>
        <v>0</v>
      </c>
    </row>
    <row r="974" spans="1:4">
      <c r="A974" s="157" t="s">
        <v>5289</v>
      </c>
      <c r="B974" s="195" t="s">
        <v>5290</v>
      </c>
      <c r="C974" s="775">
        <f>(SUMIF(Avaliação!$K:$K,A974,Avaliação!$J:$J))+(SUMIF(Avaliação!$O:$O,A974,Avaliação!$N:$N))+(SUMIF(Avaliação!$S:$S,A974,Avaliação!$R:$R))</f>
        <v>0</v>
      </c>
      <c r="D974" s="775">
        <f>(SUMIF(Avaliação!$AA:$AA,A974,Avaliação!$Z:$Z))+(SUMIF(Avaliação!$AD:$AD,A974,Avaliação!$AC:$AC))+(SUMIF(Avaliação!$AG:$AG,A974,Avaliação!$AF:$AF))</f>
        <v>0</v>
      </c>
    </row>
    <row r="975" spans="1:4">
      <c r="A975" s="157" t="s">
        <v>5291</v>
      </c>
      <c r="B975" s="195" t="s">
        <v>5292</v>
      </c>
      <c r="C975" s="775">
        <f>(SUMIF(Avaliação!$K:$K,A975,Avaliação!$J:$J))+(SUMIF(Avaliação!$O:$O,A975,Avaliação!$N:$N))+(SUMIF(Avaliação!$S:$S,A975,Avaliação!$R:$R))</f>
        <v>0</v>
      </c>
      <c r="D975" s="775">
        <f>(SUMIF(Avaliação!$AA:$AA,A975,Avaliação!$Z:$Z))+(SUMIF(Avaliação!$AD:$AD,A975,Avaliação!$AC:$AC))+(SUMIF(Avaliação!$AG:$AG,A975,Avaliação!$AF:$AF))</f>
        <v>0</v>
      </c>
    </row>
    <row r="976" spans="1:4">
      <c r="A976" s="857" t="s">
        <v>5293</v>
      </c>
      <c r="B976" s="858" t="s">
        <v>5294</v>
      </c>
      <c r="C976" s="775">
        <f>(SUMIF(Avaliação!$K:$K,A976,Avaliação!$J:$J))+(SUMIF(Avaliação!$O:$O,A976,Avaliação!$N:$N))+(SUMIF(Avaliação!$S:$S,A976,Avaliação!$R:$R))</f>
        <v>9</v>
      </c>
      <c r="D976" s="859">
        <f>(SUMIF(Avaliação!$AA:$AA,A976,Avaliação!$Z:$Z))+(SUMIF(Avaliação!$AD:$AD,A976,Avaliação!$AC:$AC))+(SUMIF(Avaliação!$AG:$AG,A976,Avaliação!$AF:$AF))</f>
        <v>0</v>
      </c>
    </row>
    <row r="977" spans="1:5">
      <c r="A977" s="157" t="s">
        <v>5295</v>
      </c>
      <c r="B977" s="195" t="s">
        <v>5296</v>
      </c>
      <c r="C977" s="775">
        <f>(SUMIF(Avaliação!$K:$K,A977,Avaliação!$J:$J))+(SUMIF(Avaliação!$O:$O,A977,Avaliação!$N:$N))+(SUMIF(Avaliação!$S:$S,A977,Avaliação!$R:$R))</f>
        <v>0</v>
      </c>
      <c r="D977" s="775">
        <f>(SUMIF(Avaliação!$AA:$AA,A977,Avaliação!$Z:$Z))+(SUMIF(Avaliação!$AD:$AD,A977,Avaliação!$AC:$AC))+(SUMIF(Avaliação!$AG:$AG,A977,Avaliação!$AF:$AF))</f>
        <v>0</v>
      </c>
    </row>
    <row r="978" spans="1:5">
      <c r="A978" s="157" t="s">
        <v>5297</v>
      </c>
      <c r="B978" s="195" t="s">
        <v>5298</v>
      </c>
      <c r="C978" s="775">
        <f>(SUMIF(Avaliação!$K:$K,A978,Avaliação!$J:$J))+(SUMIF(Avaliação!$O:$O,A978,Avaliação!$N:$N))+(SUMIF(Avaliação!$S:$S,A978,Avaliação!$R:$R))</f>
        <v>0</v>
      </c>
      <c r="D978" s="775">
        <f>(SUMIF(Avaliação!$AA:$AA,A978,Avaliação!$Z:$Z))+(SUMIF(Avaliação!$AD:$AD,A978,Avaliação!$AC:$AC))+(SUMIF(Avaliação!$AG:$AG,A978,Avaliação!$AF:$AF))</f>
        <v>0</v>
      </c>
    </row>
    <row r="979" spans="1:5">
      <c r="A979" s="157" t="s">
        <v>5299</v>
      </c>
      <c r="B979" s="195" t="s">
        <v>5300</v>
      </c>
      <c r="C979" s="775">
        <f>(SUMIF(Avaliação!$K:$K,A979,Avaliação!$J:$J))+(SUMIF(Avaliação!$O:$O,A979,Avaliação!$N:$N))+(SUMIF(Avaliação!$S:$S,A979,Avaliação!$R:$R))</f>
        <v>0</v>
      </c>
      <c r="D979" s="775">
        <f>(SUMIF(Avaliação!$AA:$AA,A979,Avaliação!$Z:$Z))+(SUMIF(Avaliação!$AD:$AD,A979,Avaliação!$AC:$AC))+(SUMIF(Avaliação!$AG:$AG,A979,Avaliação!$AF:$AF))</f>
        <v>0</v>
      </c>
    </row>
    <row r="980" spans="1:5">
      <c r="A980" s="157" t="s">
        <v>5301</v>
      </c>
      <c r="B980" s="195" t="s">
        <v>5302</v>
      </c>
      <c r="C980" s="775">
        <f>(SUMIF(Avaliação!$K:$K,A980,Avaliação!$J:$J))+(SUMIF(Avaliação!$O:$O,A980,Avaliação!$N:$N))+(SUMIF(Avaliação!$S:$S,A980,Avaliação!$R:$R))</f>
        <v>0</v>
      </c>
      <c r="D980" s="775">
        <f>(SUMIF(Avaliação!$AA:$AA,A980,Avaliação!$Z:$Z))+(SUMIF(Avaliação!$AD:$AD,A980,Avaliação!$AC:$AC))+(SUMIF(Avaliação!$AG:$AG,A980,Avaliação!$AF:$AF))</f>
        <v>0</v>
      </c>
    </row>
    <row r="981" spans="1:5">
      <c r="A981" s="157" t="s">
        <v>5303</v>
      </c>
      <c r="B981" s="195" t="s">
        <v>5304</v>
      </c>
      <c r="C981" s="775">
        <f>(SUMIF(Avaliação!$K:$K,A981,Avaliação!$J:$J))+(SUMIF(Avaliação!$O:$O,A981,Avaliação!$N:$N))+(SUMIF(Avaliação!$S:$S,A981,Avaliação!$R:$R))</f>
        <v>0</v>
      </c>
      <c r="D981" s="775">
        <f>(SUMIF(Avaliação!$AA:$AA,A981,Avaliação!$Z:$Z))+(SUMIF(Avaliação!$AD:$AD,A981,Avaliação!$AC:$AC))+(SUMIF(Avaliação!$AG:$AG,A981,Avaliação!$AF:$AF))</f>
        <v>0</v>
      </c>
    </row>
    <row r="982" spans="1:5">
      <c r="A982" s="157" t="s">
        <v>5305</v>
      </c>
      <c r="B982" s="195" t="s">
        <v>5306</v>
      </c>
      <c r="C982" s="775">
        <f>(SUMIF(Avaliação!$K:$K,A982,Avaliação!$J:$J))+(SUMIF(Avaliação!$O:$O,A982,Avaliação!$N:$N))+(SUMIF(Avaliação!$S:$S,A982,Avaliação!$R:$R))</f>
        <v>0</v>
      </c>
      <c r="D982" s="775">
        <f>(SUMIF(Avaliação!$AA:$AA,A982,Avaliação!$Z:$Z))+(SUMIF(Avaliação!$AD:$AD,A982,Avaliação!$AC:$AC))+(SUMIF(Avaliação!$AG:$AG,A982,Avaliação!$AF:$AF))</f>
        <v>0</v>
      </c>
    </row>
    <row r="983" spans="1:5">
      <c r="A983" s="157" t="s">
        <v>5307</v>
      </c>
      <c r="B983" s="195" t="s">
        <v>5308</v>
      </c>
      <c r="C983" s="775">
        <f>(SUMIF(Avaliação!$K:$K,A983,Avaliação!$J:$J))+(SUMIF(Avaliação!$O:$O,A983,Avaliação!$N:$N))+(SUMIF(Avaliação!$S:$S,A983,Avaliação!$R:$R))</f>
        <v>0</v>
      </c>
      <c r="D983" s="775">
        <f>(SUMIF(Avaliação!$AA:$AA,A983,Avaliação!$Z:$Z))+(SUMIF(Avaliação!$AD:$AD,A983,Avaliação!$AC:$AC))+(SUMIF(Avaliação!$AG:$AG,A983,Avaliação!$AF:$AF))</f>
        <v>0</v>
      </c>
    </row>
    <row r="984" spans="1:5">
      <c r="A984" s="157" t="s">
        <v>5309</v>
      </c>
      <c r="B984" s="195" t="s">
        <v>5310</v>
      </c>
      <c r="C984" s="775">
        <f>(SUMIF(Avaliação!$K:$K,A984,Avaliação!$J:$J))+(SUMIF(Avaliação!$O:$O,A984,Avaliação!$N:$N))+(SUMIF(Avaliação!$S:$S,A984,Avaliação!$R:$R))</f>
        <v>0</v>
      </c>
      <c r="D984" s="775">
        <f>(SUMIF(Avaliação!$AA:$AA,A984,Avaliação!$Z:$Z))+(SUMIF(Avaliação!$AD:$AD,A984,Avaliação!$AC:$AC))+(SUMIF(Avaliação!$AG:$AG,A984,Avaliação!$AF:$AF))</f>
        <v>0</v>
      </c>
    </row>
    <row r="985" spans="1:5">
      <c r="A985" s="157" t="s">
        <v>5319</v>
      </c>
      <c r="B985" s="195" t="s">
        <v>5320</v>
      </c>
      <c r="C985" s="775">
        <f>(SUMIF(Avaliação!$K:$K,A985,Avaliação!$J:$J))+(SUMIF(Avaliação!$O:$O,A985,Avaliação!$N:$N))+(SUMIF(Avaliação!$S:$S,A985,Avaliação!$R:$R))</f>
        <v>1</v>
      </c>
      <c r="D985" s="775">
        <f>(SUMIF(Avaliação!$AA:$AA,A985,Avaliação!$Z:$Z))+(SUMIF(Avaliação!$AD:$AD,A985,Avaliação!$AC:$AC))+(SUMIF(Avaliação!$AG:$AG,A985,Avaliação!$AF:$AF))</f>
        <v>0</v>
      </c>
    </row>
    <row r="986" spans="1:5">
      <c r="A986" s="157" t="s">
        <v>5321</v>
      </c>
      <c r="B986" s="195" t="s">
        <v>5322</v>
      </c>
      <c r="C986" s="775">
        <f>(SUMIF(Avaliação!$K:$K,A986,Avaliação!$J:$J))+(SUMIF(Avaliação!$O:$O,A986,Avaliação!$N:$N))+(SUMIF(Avaliação!$S:$S,A986,Avaliação!$R:$R))</f>
        <v>4</v>
      </c>
      <c r="D986" s="775">
        <f>(SUMIF(Avaliação!$AA:$AA,A986,Avaliação!$Z:$Z))+(SUMIF(Avaliação!$AD:$AD,A986,Avaliação!$AC:$AC))+(SUMIF(Avaliação!$AG:$AG,A986,Avaliação!$AF:$AF))</f>
        <v>0</v>
      </c>
    </row>
    <row r="987" spans="1:5">
      <c r="A987" s="157" t="s">
        <v>5323</v>
      </c>
      <c r="B987" s="195" t="s">
        <v>5324</v>
      </c>
      <c r="C987" s="775">
        <f>(SUMIF(Avaliação!$K:$K,A987,Avaliação!$J:$J))+(SUMIF(Avaliação!$O:$O,A987,Avaliação!$N:$N))+(SUMIF(Avaliação!$S:$S,A987,Avaliação!$R:$R))</f>
        <v>1</v>
      </c>
      <c r="D987" s="775">
        <f>(SUMIF(Avaliação!$AA:$AA,A987,Avaliação!$Z:$Z))+(SUMIF(Avaliação!$AD:$AD,A987,Avaliação!$AC:$AC))+(SUMIF(Avaliação!$AG:$AG,A987,Avaliação!$AF:$AF))</f>
        <v>0</v>
      </c>
    </row>
    <row r="988" spans="1:5">
      <c r="A988" s="157" t="s">
        <v>5325</v>
      </c>
      <c r="B988" s="195" t="s">
        <v>5326</v>
      </c>
      <c r="C988" s="775">
        <f>(SUMIF(Avaliação!$K:$K,A988,Avaliação!$J:$J))+(SUMIF(Avaliação!$O:$O,A988,Avaliação!$N:$N))+(SUMIF(Avaliação!$S:$S,A988,Avaliação!$R:$R))</f>
        <v>4</v>
      </c>
      <c r="D988" s="775">
        <f>(SUMIF(Avaliação!$AA:$AA,A988,Avaliação!$Z:$Z))+(SUMIF(Avaliação!$AD:$AD,A988,Avaliação!$AC:$AC))+(SUMIF(Avaliação!$AG:$AG,A988,Avaliação!$AF:$AF))</f>
        <v>0</v>
      </c>
    </row>
    <row r="989" spans="1:5">
      <c r="A989" s="157" t="s">
        <v>5327</v>
      </c>
      <c r="B989" s="195" t="s">
        <v>5328</v>
      </c>
      <c r="C989" s="775">
        <f>(SUMIF(Avaliação!$K:$K,A989,Avaliação!$J:$J))+(SUMIF(Avaliação!$O:$O,A989,Avaliação!$N:$N))+(SUMIF(Avaliação!$S:$S,A989,Avaliação!$R:$R))</f>
        <v>2</v>
      </c>
      <c r="D989" s="775">
        <f>(SUMIF(Avaliação!$AA:$AA,A989,Avaliação!$Z:$Z))+(SUMIF(Avaliação!$AD:$AD,A989,Avaliação!$AC:$AC))+(SUMIF(Avaliação!$AG:$AG,A989,Avaliação!$AF:$AF))</f>
        <v>0</v>
      </c>
    </row>
    <row r="990" spans="1:5">
      <c r="A990" s="157" t="s">
        <v>5329</v>
      </c>
      <c r="B990" s="195" t="s">
        <v>5330</v>
      </c>
      <c r="C990" s="775">
        <f>(SUMIF(Avaliação!$K:$K,A990,Avaliação!$J:$J))+(SUMIF(Avaliação!$O:$O,A990,Avaliação!$N:$N))+(SUMIF(Avaliação!$S:$S,A990,Avaliação!$R:$R))</f>
        <v>3</v>
      </c>
      <c r="D990" s="775">
        <f>(SUMIF(Avaliação!$AA:$AA,A990,Avaliação!$Z:$Z))+(SUMIF(Avaliação!$AD:$AD,A990,Avaliação!$AC:$AC))+(SUMIF(Avaliação!$AG:$AG,A990,Avaliação!$AF:$AF))</f>
        <v>0</v>
      </c>
    </row>
    <row r="991" spans="1:5">
      <c r="A991" s="157" t="s">
        <v>5351</v>
      </c>
      <c r="B991" s="195" t="s">
        <v>5337</v>
      </c>
      <c r="C991" s="775">
        <f>(SUMIF(Avaliação!$K:$K,A991,Avaliação!$J:$J))+(SUMIF(Avaliação!$O:$O,A991,Avaliação!$N:$N))+(SUMIF(Avaliação!$S:$S,A991,Avaliação!$R:$R))</f>
        <v>2</v>
      </c>
      <c r="D991" s="775">
        <f>(SUMIF(Avaliação!$AA:$AA,A991,Avaliação!$Z:$Z))+(SUMIF(Avaliação!$AD:$AD,A991,Avaliação!$AC:$AC))+(SUMIF(Avaliação!$AG:$AG,A991,Avaliação!$AF:$AF))</f>
        <v>0</v>
      </c>
    </row>
    <row r="992" spans="1:5">
      <c r="A992" s="694" t="s">
        <v>5356</v>
      </c>
      <c r="B992" s="861" t="s">
        <v>5339</v>
      </c>
      <c r="C992" s="775">
        <f>(SUMIF(Avaliação!$K:$K,A992,Avaliação!$J:$J))+(SUMIF(Avaliação!$O:$O,A992,Avaliação!$N:$N))+(SUMIF(Avaliação!$S:$S,A992,Avaliação!$R:$R))</f>
        <v>0</v>
      </c>
      <c r="D992" s="862">
        <f>(SUMIF(Avaliação!$AA:$AA,A992,Avaliação!$Z:$Z))+(SUMIF(Avaliação!$AD:$AD,A992,Avaliação!$AC:$AC))+(SUMIF(Avaliação!$AG:$AG,A992,Avaliação!$AF:$AF))</f>
        <v>0</v>
      </c>
      <c r="E992" s="863"/>
    </row>
    <row r="993" spans="2:2">
      <c r="B993" s="195"/>
    </row>
    <row r="994" spans="2:2">
      <c r="B994" s="195"/>
    </row>
    <row r="995" spans="2:2">
      <c r="B995" s="195"/>
    </row>
    <row r="996" spans="2:2">
      <c r="B996" s="195"/>
    </row>
    <row r="997" spans="2:2">
      <c r="B997" s="195"/>
    </row>
    <row r="998" spans="2:2">
      <c r="B998" s="195"/>
    </row>
    <row r="999" spans="2:2">
      <c r="B999" s="195"/>
    </row>
    <row r="1000" spans="2:2">
      <c r="B1000" s="195"/>
    </row>
    <row r="1001" spans="2:2">
      <c r="B1001" s="195"/>
    </row>
    <row r="1002" spans="2:2">
      <c r="B1002" s="195"/>
    </row>
    <row r="1003" spans="2:2">
      <c r="B1003" s="195"/>
    </row>
    <row r="1004" spans="2:2">
      <c r="B1004" s="195"/>
    </row>
    <row r="1005" spans="2:2">
      <c r="B1005" s="195"/>
    </row>
    <row r="1006" spans="2:2">
      <c r="B1006" s="195"/>
    </row>
    <row r="1007" spans="2:2">
      <c r="B1007" s="195"/>
    </row>
    <row r="1008" spans="2:2">
      <c r="B1008" s="195"/>
    </row>
    <row r="1009" spans="2:2">
      <c r="B1009" s="195"/>
    </row>
    <row r="1010" spans="2:2">
      <c r="B1010" s="195"/>
    </row>
    <row r="1011" spans="2:2">
      <c r="B1011" s="195"/>
    </row>
    <row r="1012" spans="2:2">
      <c r="B1012" s="195"/>
    </row>
    <row r="1013" spans="2:2">
      <c r="B1013" s="195"/>
    </row>
    <row r="1014" spans="2:2">
      <c r="B1014" s="195"/>
    </row>
    <row r="1015" spans="2:2">
      <c r="B1015" s="195"/>
    </row>
    <row r="1016" spans="2:2">
      <c r="B1016" s="195"/>
    </row>
    <row r="1017" spans="2:2">
      <c r="B1017" s="195"/>
    </row>
    <row r="1018" spans="2:2">
      <c r="B1018" s="195"/>
    </row>
    <row r="1019" spans="2:2">
      <c r="B1019" s="195"/>
    </row>
    <row r="1020" spans="2:2">
      <c r="B1020" s="195"/>
    </row>
    <row r="1021" spans="2:2">
      <c r="B1021" s="195"/>
    </row>
    <row r="1022" spans="2:2">
      <c r="B1022" s="195"/>
    </row>
    <row r="1023" spans="2:2">
      <c r="B1023" s="195"/>
    </row>
    <row r="1024" spans="2:2">
      <c r="B1024" s="195"/>
    </row>
    <row r="1025" spans="2:2">
      <c r="B1025" s="195"/>
    </row>
    <row r="1026" spans="2:2">
      <c r="B1026" s="195"/>
    </row>
    <row r="1027" spans="2:2">
      <c r="B1027" s="195"/>
    </row>
    <row r="1028" spans="2:2">
      <c r="B1028" s="195"/>
    </row>
    <row r="1029" spans="2:2">
      <c r="B1029" s="195"/>
    </row>
    <row r="1030" spans="2:2">
      <c r="B1030" s="195"/>
    </row>
    <row r="1031" spans="2:2">
      <c r="B1031" s="195"/>
    </row>
    <row r="1032" spans="2:2">
      <c r="B1032" s="195"/>
    </row>
    <row r="1033" spans="2:2">
      <c r="B1033" s="195"/>
    </row>
    <row r="1034" spans="2:2">
      <c r="B1034" s="195"/>
    </row>
    <row r="1035" spans="2:2">
      <c r="B1035" s="195"/>
    </row>
    <row r="1036" spans="2:2">
      <c r="B1036" s="195"/>
    </row>
    <row r="1037" spans="2:2">
      <c r="B1037" s="195"/>
    </row>
    <row r="1038" spans="2:2">
      <c r="B1038" s="195"/>
    </row>
    <row r="1039" spans="2:2">
      <c r="B1039" s="195"/>
    </row>
    <row r="1040" spans="2:2">
      <c r="B1040" s="195"/>
    </row>
    <row r="1041" spans="2:2">
      <c r="B1041" s="195"/>
    </row>
    <row r="1042" spans="2:2">
      <c r="B1042" s="195"/>
    </row>
    <row r="1043" spans="2:2">
      <c r="B1043" s="195"/>
    </row>
    <row r="1044" spans="2:2">
      <c r="B1044" s="195"/>
    </row>
    <row r="1045" spans="2:2">
      <c r="B1045" s="195"/>
    </row>
    <row r="1046" spans="2:2">
      <c r="B1046" s="195"/>
    </row>
    <row r="1047" spans="2:2">
      <c r="B1047" s="195"/>
    </row>
    <row r="1048" spans="2:2">
      <c r="B1048" s="195"/>
    </row>
    <row r="1049" spans="2:2">
      <c r="B1049" s="195"/>
    </row>
    <row r="1050" spans="2:2">
      <c r="B1050" s="195"/>
    </row>
    <row r="1051" spans="2:2">
      <c r="B1051" s="195"/>
    </row>
    <row r="1052" spans="2:2">
      <c r="B1052" s="195"/>
    </row>
    <row r="1053" spans="2:2">
      <c r="B1053" s="195"/>
    </row>
  </sheetData>
  <autoFilter ref="A1:D992" xr:uid="{00000000-0009-0000-0000-000007000000}"/>
  <conditionalFormatting sqref="I2:I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10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3"/>
  <dimension ref="A1:AB23571"/>
  <sheetViews>
    <sheetView workbookViewId="0">
      <selection activeCell="G28" sqref="G28"/>
    </sheetView>
  </sheetViews>
  <sheetFormatPr defaultRowHeight="15"/>
  <cols>
    <col min="1" max="1" width="22.46484375" customWidth="1"/>
    <col min="5" max="6" width="9.14453125" style="348"/>
    <col min="7" max="7" width="31.609375" customWidth="1"/>
    <col min="8" max="8" width="16.41015625" customWidth="1"/>
    <col min="9" max="9" width="17.484375" customWidth="1"/>
    <col min="10" max="10" width="30.1328125" customWidth="1"/>
    <col min="13" max="15" width="11.02734375" style="348" customWidth="1"/>
  </cols>
  <sheetData>
    <row r="1" spans="1:28">
      <c r="A1" s="627" t="s">
        <v>2284</v>
      </c>
      <c r="B1" s="332" t="s">
        <v>2191</v>
      </c>
      <c r="C1" s="332" t="s">
        <v>2192</v>
      </c>
      <c r="D1" s="332" t="s">
        <v>2193</v>
      </c>
      <c r="E1" s="625" t="s">
        <v>2194</v>
      </c>
      <c r="F1" s="625" t="s">
        <v>909</v>
      </c>
      <c r="G1" s="332" t="s">
        <v>2195</v>
      </c>
      <c r="H1" s="332" t="s">
        <v>2196</v>
      </c>
      <c r="I1" s="332" t="s">
        <v>2197</v>
      </c>
      <c r="J1" s="332" t="s">
        <v>2198</v>
      </c>
      <c r="K1" s="332" t="s">
        <v>2199</v>
      </c>
      <c r="L1" s="332" t="s">
        <v>2200</v>
      </c>
      <c r="M1" s="625" t="s">
        <v>2201</v>
      </c>
      <c r="N1" s="625" t="s">
        <v>2202</v>
      </c>
      <c r="O1" s="625" t="s">
        <v>2203</v>
      </c>
      <c r="P1" s="332" t="s">
        <v>2204</v>
      </c>
      <c r="Q1" s="332" t="s">
        <v>2205</v>
      </c>
      <c r="R1" s="332" t="s">
        <v>2206</v>
      </c>
      <c r="S1" s="332" t="s">
        <v>2207</v>
      </c>
      <c r="T1" s="332" t="s">
        <v>2208</v>
      </c>
      <c r="U1" s="332" t="s">
        <v>2209</v>
      </c>
      <c r="V1" s="332" t="s">
        <v>2210</v>
      </c>
      <c r="W1" s="332" t="s">
        <v>2211</v>
      </c>
      <c r="X1" s="332" t="s">
        <v>2212</v>
      </c>
      <c r="Y1" s="332" t="s">
        <v>2213</v>
      </c>
      <c r="Z1" s="332" t="s">
        <v>2214</v>
      </c>
      <c r="AA1" s="332" t="s">
        <v>2215</v>
      </c>
      <c r="AB1" s="332"/>
    </row>
    <row r="2" spans="1:28">
      <c r="A2" t="str">
        <f t="shared" ref="A2:A65" si="0">B2&amp;E2&amp;J2</f>
        <v>976-FRG13188MQ.TUNEL DE CG (CONTINUO)</v>
      </c>
      <c r="B2" t="s">
        <v>2875</v>
      </c>
      <c r="C2" t="s">
        <v>2216</v>
      </c>
      <c r="D2" t="s">
        <v>2217</v>
      </c>
      <c r="E2" s="626" t="s">
        <v>2782</v>
      </c>
      <c r="F2" s="626" t="s">
        <v>2782</v>
      </c>
      <c r="G2" t="s">
        <v>2237</v>
      </c>
      <c r="H2" t="s">
        <v>2783</v>
      </c>
      <c r="I2" t="s">
        <v>872</v>
      </c>
      <c r="J2" t="s">
        <v>2229</v>
      </c>
      <c r="M2" s="348">
        <v>60</v>
      </c>
      <c r="N2" s="348">
        <v>17</v>
      </c>
      <c r="O2" s="348">
        <v>17</v>
      </c>
      <c r="Q2" t="s">
        <v>277</v>
      </c>
      <c r="R2" t="s">
        <v>277</v>
      </c>
      <c r="S2">
        <v>4</v>
      </c>
      <c r="V2" t="s">
        <v>2219</v>
      </c>
      <c r="W2">
        <v>3067</v>
      </c>
      <c r="X2">
        <v>2272</v>
      </c>
      <c r="Y2">
        <v>3194</v>
      </c>
      <c r="Z2" t="s">
        <v>872</v>
      </c>
      <c r="AA2" t="s">
        <v>302</v>
      </c>
    </row>
    <row r="3" spans="1:28">
      <c r="A3" t="str">
        <f t="shared" si="0"/>
        <v>976-FRG15067MQ.TUNEL DE CG (CONTINUO)</v>
      </c>
      <c r="B3" t="s">
        <v>2875</v>
      </c>
      <c r="C3" t="s">
        <v>2216</v>
      </c>
      <c r="D3" t="s">
        <v>2217</v>
      </c>
      <c r="E3" s="626" t="s">
        <v>2784</v>
      </c>
      <c r="F3" s="626" t="s">
        <v>2784</v>
      </c>
      <c r="G3" t="s">
        <v>2785</v>
      </c>
      <c r="H3" t="s">
        <v>2786</v>
      </c>
      <c r="I3" t="s">
        <v>872</v>
      </c>
      <c r="J3" t="s">
        <v>2229</v>
      </c>
      <c r="M3" s="348">
        <v>60</v>
      </c>
      <c r="N3" s="348">
        <v>17</v>
      </c>
      <c r="O3" s="348">
        <v>17</v>
      </c>
      <c r="Q3" t="s">
        <v>277</v>
      </c>
      <c r="R3" t="s">
        <v>277</v>
      </c>
      <c r="S3">
        <v>4</v>
      </c>
      <c r="V3" t="s">
        <v>2219</v>
      </c>
      <c r="W3">
        <v>3027</v>
      </c>
      <c r="X3">
        <v>2272</v>
      </c>
      <c r="Y3">
        <v>3194</v>
      </c>
      <c r="Z3" t="s">
        <v>872</v>
      </c>
      <c r="AA3" t="s">
        <v>302</v>
      </c>
    </row>
    <row r="4" spans="1:28">
      <c r="A4" t="str">
        <f t="shared" si="0"/>
        <v>976-FRG15091MQ.TUNEL DE CG (CONTINUO)</v>
      </c>
      <c r="B4" t="s">
        <v>2875</v>
      </c>
      <c r="C4" t="s">
        <v>2216</v>
      </c>
      <c r="D4" t="s">
        <v>2217</v>
      </c>
      <c r="E4" s="626" t="s">
        <v>2787</v>
      </c>
      <c r="F4" s="626" t="s">
        <v>2787</v>
      </c>
      <c r="G4" t="s">
        <v>2230</v>
      </c>
      <c r="H4" t="s">
        <v>2788</v>
      </c>
      <c r="I4" t="s">
        <v>872</v>
      </c>
      <c r="J4" t="s">
        <v>2229</v>
      </c>
      <c r="M4" s="348">
        <v>60</v>
      </c>
      <c r="N4" s="348">
        <v>17</v>
      </c>
      <c r="O4" s="348">
        <v>17</v>
      </c>
      <c r="Q4" t="s">
        <v>277</v>
      </c>
      <c r="R4" t="s">
        <v>277</v>
      </c>
      <c r="S4">
        <v>4</v>
      </c>
      <c r="V4" t="s">
        <v>2219</v>
      </c>
      <c r="W4">
        <v>3035</v>
      </c>
      <c r="X4">
        <v>2272</v>
      </c>
      <c r="Y4">
        <v>3194</v>
      </c>
      <c r="Z4" t="s">
        <v>872</v>
      </c>
      <c r="AA4" t="s">
        <v>302</v>
      </c>
    </row>
    <row r="5" spans="1:28">
      <c r="A5" t="str">
        <f t="shared" si="0"/>
        <v>976-FRG15105MQ.TUNEL DE CG (CONTINUO)</v>
      </c>
      <c r="B5" t="s">
        <v>2875</v>
      </c>
      <c r="C5" t="s">
        <v>2216</v>
      </c>
      <c r="D5" t="s">
        <v>2217</v>
      </c>
      <c r="E5" s="626" t="s">
        <v>2789</v>
      </c>
      <c r="F5" s="626" t="s">
        <v>2789</v>
      </c>
      <c r="G5" t="s">
        <v>1094</v>
      </c>
      <c r="H5" t="s">
        <v>2790</v>
      </c>
      <c r="I5" t="s">
        <v>872</v>
      </c>
      <c r="J5" t="s">
        <v>2229</v>
      </c>
      <c r="M5" s="348">
        <v>60</v>
      </c>
      <c r="N5" s="348">
        <v>17</v>
      </c>
      <c r="O5" s="348">
        <v>17</v>
      </c>
      <c r="Q5" t="s">
        <v>277</v>
      </c>
      <c r="R5" t="s">
        <v>277</v>
      </c>
      <c r="S5">
        <v>4</v>
      </c>
      <c r="V5" t="s">
        <v>2219</v>
      </c>
      <c r="W5">
        <v>3056</v>
      </c>
      <c r="X5">
        <v>2272</v>
      </c>
      <c r="Y5">
        <v>3194</v>
      </c>
      <c r="Z5" t="s">
        <v>872</v>
      </c>
      <c r="AA5" t="s">
        <v>302</v>
      </c>
    </row>
    <row r="6" spans="1:28">
      <c r="A6" t="str">
        <f t="shared" si="0"/>
        <v>976-FRG15199MQ.TUNEL DE CG (CONTINUO)</v>
      </c>
      <c r="B6" t="s">
        <v>2875</v>
      </c>
      <c r="C6" t="s">
        <v>2216</v>
      </c>
      <c r="D6" t="s">
        <v>2217</v>
      </c>
      <c r="E6" s="626" t="s">
        <v>2791</v>
      </c>
      <c r="F6" s="626" t="s">
        <v>2791</v>
      </c>
      <c r="G6" t="s">
        <v>2792</v>
      </c>
      <c r="H6" t="s">
        <v>2793</v>
      </c>
      <c r="I6" t="s">
        <v>872</v>
      </c>
      <c r="J6" t="s">
        <v>2229</v>
      </c>
      <c r="M6" s="348">
        <v>60</v>
      </c>
      <c r="N6" s="348">
        <v>18.13</v>
      </c>
      <c r="O6" s="348">
        <v>18.13</v>
      </c>
      <c r="Q6" t="s">
        <v>277</v>
      </c>
      <c r="R6" t="s">
        <v>277</v>
      </c>
      <c r="S6">
        <v>4</v>
      </c>
      <c r="V6" t="s">
        <v>2219</v>
      </c>
      <c r="W6">
        <v>3041</v>
      </c>
      <c r="X6">
        <v>2272</v>
      </c>
      <c r="Y6">
        <v>3194</v>
      </c>
      <c r="Z6" t="s">
        <v>872</v>
      </c>
      <c r="AA6" t="s">
        <v>302</v>
      </c>
    </row>
    <row r="7" spans="1:28">
      <c r="A7" t="str">
        <f t="shared" si="0"/>
        <v>976-FRG15229MQ.TUNEL DE CG (CONTINUO)</v>
      </c>
      <c r="B7" t="s">
        <v>2875</v>
      </c>
      <c r="C7" t="s">
        <v>2216</v>
      </c>
      <c r="D7" t="s">
        <v>2217</v>
      </c>
      <c r="E7" s="626" t="s">
        <v>2794</v>
      </c>
      <c r="F7" s="626" t="s">
        <v>2794</v>
      </c>
      <c r="G7" t="s">
        <v>2238</v>
      </c>
      <c r="H7" t="s">
        <v>2795</v>
      </c>
      <c r="I7" t="s">
        <v>872</v>
      </c>
      <c r="J7" t="s">
        <v>2229</v>
      </c>
      <c r="M7" s="348">
        <v>60</v>
      </c>
      <c r="N7" s="348">
        <v>17</v>
      </c>
      <c r="O7" s="348">
        <v>17</v>
      </c>
      <c r="Q7" t="s">
        <v>277</v>
      </c>
      <c r="R7" t="s">
        <v>277</v>
      </c>
      <c r="S7">
        <v>4</v>
      </c>
      <c r="V7" t="s">
        <v>2219</v>
      </c>
      <c r="W7">
        <v>3032</v>
      </c>
      <c r="X7">
        <v>2272</v>
      </c>
      <c r="Y7">
        <v>3194</v>
      </c>
      <c r="Z7" t="s">
        <v>872</v>
      </c>
      <c r="AA7" t="s">
        <v>302</v>
      </c>
    </row>
    <row r="8" spans="1:28">
      <c r="A8" t="str">
        <f t="shared" si="0"/>
        <v>976-FRG15423MQ.TUNEL DE CG (CONTINUO)</v>
      </c>
      <c r="B8" t="s">
        <v>2875</v>
      </c>
      <c r="C8" t="s">
        <v>2216</v>
      </c>
      <c r="D8" t="s">
        <v>2217</v>
      </c>
      <c r="E8" s="626" t="s">
        <v>2796</v>
      </c>
      <c r="F8" s="626" t="s">
        <v>2796</v>
      </c>
      <c r="G8" t="s">
        <v>2249</v>
      </c>
      <c r="H8" t="s">
        <v>2797</v>
      </c>
      <c r="I8" t="s">
        <v>872</v>
      </c>
      <c r="J8" t="s">
        <v>2229</v>
      </c>
      <c r="M8" s="348">
        <v>60</v>
      </c>
      <c r="N8" s="348">
        <v>17</v>
      </c>
      <c r="O8" s="348">
        <v>17</v>
      </c>
      <c r="Q8" t="s">
        <v>277</v>
      </c>
      <c r="R8" t="s">
        <v>277</v>
      </c>
      <c r="S8">
        <v>4</v>
      </c>
      <c r="V8" t="s">
        <v>2219</v>
      </c>
      <c r="W8">
        <v>3031</v>
      </c>
      <c r="X8">
        <v>2272</v>
      </c>
      <c r="Y8">
        <v>3194</v>
      </c>
      <c r="Z8" t="s">
        <v>872</v>
      </c>
      <c r="AA8" t="s">
        <v>302</v>
      </c>
    </row>
    <row r="9" spans="1:28">
      <c r="A9" t="str">
        <f t="shared" si="0"/>
        <v>976-FRG15849MQ.TUNEL DE CG (CONTINUO)</v>
      </c>
      <c r="B9" t="s">
        <v>2875</v>
      </c>
      <c r="C9" t="s">
        <v>2216</v>
      </c>
      <c r="D9" t="s">
        <v>2217</v>
      </c>
      <c r="E9" s="626" t="s">
        <v>2798</v>
      </c>
      <c r="F9" s="626" t="s">
        <v>2798</v>
      </c>
      <c r="G9" t="s">
        <v>2231</v>
      </c>
      <c r="H9" t="s">
        <v>2799</v>
      </c>
      <c r="I9" t="s">
        <v>872</v>
      </c>
      <c r="J9" t="s">
        <v>2229</v>
      </c>
      <c r="M9" s="348">
        <v>60</v>
      </c>
      <c r="N9" s="348">
        <v>17</v>
      </c>
      <c r="O9" s="348">
        <v>17</v>
      </c>
      <c r="Q9" t="s">
        <v>277</v>
      </c>
      <c r="R9" t="s">
        <v>277</v>
      </c>
      <c r="S9">
        <v>4</v>
      </c>
      <c r="V9" t="s">
        <v>2219</v>
      </c>
      <c r="W9">
        <v>3040</v>
      </c>
      <c r="X9">
        <v>2272</v>
      </c>
      <c r="Y9">
        <v>3194</v>
      </c>
      <c r="Z9" t="s">
        <v>872</v>
      </c>
      <c r="AA9" t="s">
        <v>302</v>
      </c>
    </row>
    <row r="10" spans="1:28">
      <c r="A10" t="str">
        <f t="shared" si="0"/>
        <v>976-FRG18406MQ.TUNEL DE CG (CONTINUO)</v>
      </c>
      <c r="B10" t="s">
        <v>2875</v>
      </c>
      <c r="C10" t="s">
        <v>2216</v>
      </c>
      <c r="D10" t="s">
        <v>2217</v>
      </c>
      <c r="E10" s="626" t="s">
        <v>2800</v>
      </c>
      <c r="F10" s="626" t="s">
        <v>2800</v>
      </c>
      <c r="G10" t="s">
        <v>2768</v>
      </c>
      <c r="H10" t="s">
        <v>2801</v>
      </c>
      <c r="I10" t="s">
        <v>872</v>
      </c>
      <c r="J10" t="s">
        <v>2229</v>
      </c>
      <c r="M10" s="348">
        <v>60</v>
      </c>
      <c r="N10" s="348">
        <v>17</v>
      </c>
      <c r="O10" s="348">
        <v>17</v>
      </c>
      <c r="Q10" t="s">
        <v>277</v>
      </c>
      <c r="R10" t="s">
        <v>277</v>
      </c>
      <c r="S10">
        <v>4</v>
      </c>
      <c r="V10" t="s">
        <v>2219</v>
      </c>
      <c r="W10">
        <v>3058</v>
      </c>
      <c r="X10">
        <v>2272</v>
      </c>
      <c r="Y10">
        <v>3194</v>
      </c>
      <c r="Z10" t="s">
        <v>872</v>
      </c>
      <c r="AA10" t="s">
        <v>302</v>
      </c>
    </row>
    <row r="11" spans="1:28">
      <c r="A11" t="str">
        <f t="shared" si="0"/>
        <v>976-FRG40843MQ.TUNEL DE CG (CONTINUO)</v>
      </c>
      <c r="B11" t="s">
        <v>2875</v>
      </c>
      <c r="C11" t="s">
        <v>2216</v>
      </c>
      <c r="D11" t="s">
        <v>2217</v>
      </c>
      <c r="E11" s="626" t="s">
        <v>2643</v>
      </c>
      <c r="F11" s="626" t="s">
        <v>2643</v>
      </c>
      <c r="G11" t="s">
        <v>944</v>
      </c>
      <c r="H11" t="s">
        <v>2802</v>
      </c>
      <c r="I11" t="s">
        <v>872</v>
      </c>
      <c r="J11" t="s">
        <v>2229</v>
      </c>
      <c r="M11" s="348">
        <v>60</v>
      </c>
      <c r="N11" s="348">
        <v>17</v>
      </c>
      <c r="O11" s="348">
        <v>17</v>
      </c>
      <c r="Q11" t="s">
        <v>277</v>
      </c>
      <c r="R11" t="s">
        <v>277</v>
      </c>
      <c r="S11">
        <v>4</v>
      </c>
      <c r="V11" t="s">
        <v>2219</v>
      </c>
      <c r="W11">
        <v>3055</v>
      </c>
      <c r="X11">
        <v>2272</v>
      </c>
      <c r="Y11">
        <v>3194</v>
      </c>
      <c r="Z11" t="s">
        <v>872</v>
      </c>
      <c r="AA11" t="s">
        <v>302</v>
      </c>
    </row>
    <row r="12" spans="1:28">
      <c r="A12" t="str">
        <f t="shared" si="0"/>
        <v>976-FRG42811MQ.TUNEL DE CG (CONTINUO)</v>
      </c>
      <c r="B12" t="s">
        <v>2875</v>
      </c>
      <c r="C12" t="s">
        <v>2216</v>
      </c>
      <c r="D12" t="s">
        <v>2217</v>
      </c>
      <c r="E12" s="626" t="s">
        <v>2644</v>
      </c>
      <c r="F12" s="626" t="s">
        <v>2644</v>
      </c>
      <c r="G12" t="s">
        <v>2645</v>
      </c>
      <c r="H12" t="s">
        <v>2753</v>
      </c>
      <c r="I12" t="s">
        <v>872</v>
      </c>
      <c r="J12" t="s">
        <v>2229</v>
      </c>
      <c r="M12" s="348">
        <v>60</v>
      </c>
      <c r="N12" s="348">
        <v>17</v>
      </c>
      <c r="O12" s="348">
        <v>17</v>
      </c>
      <c r="Q12" t="s">
        <v>277</v>
      </c>
      <c r="R12" t="s">
        <v>277</v>
      </c>
      <c r="S12">
        <v>4</v>
      </c>
      <c r="V12" t="s">
        <v>2219</v>
      </c>
      <c r="W12">
        <v>3061</v>
      </c>
      <c r="X12">
        <v>2272</v>
      </c>
      <c r="Y12">
        <v>3194</v>
      </c>
      <c r="Z12" t="s">
        <v>872</v>
      </c>
      <c r="AA12" t="s">
        <v>302</v>
      </c>
    </row>
    <row r="13" spans="1:28">
      <c r="A13" t="str">
        <f t="shared" si="0"/>
        <v>976-FRG42820MQ.TUNEL DE CG (CONTINUO)</v>
      </c>
      <c r="B13" t="s">
        <v>2875</v>
      </c>
      <c r="C13" t="s">
        <v>2216</v>
      </c>
      <c r="D13" t="s">
        <v>2217</v>
      </c>
      <c r="E13" s="626" t="s">
        <v>2646</v>
      </c>
      <c r="F13" s="626" t="s">
        <v>2646</v>
      </c>
      <c r="G13" t="s">
        <v>2647</v>
      </c>
      <c r="H13" t="s">
        <v>2753</v>
      </c>
      <c r="I13" t="s">
        <v>872</v>
      </c>
      <c r="J13" t="s">
        <v>2229</v>
      </c>
      <c r="M13" s="348">
        <v>60</v>
      </c>
      <c r="N13" s="348">
        <v>17</v>
      </c>
      <c r="O13" s="348">
        <v>17</v>
      </c>
      <c r="Q13" t="s">
        <v>277</v>
      </c>
      <c r="R13" t="s">
        <v>277</v>
      </c>
      <c r="S13">
        <v>4</v>
      </c>
      <c r="V13" t="s">
        <v>2219</v>
      </c>
      <c r="W13">
        <v>3061</v>
      </c>
      <c r="X13">
        <v>2272</v>
      </c>
      <c r="Y13">
        <v>3194</v>
      </c>
      <c r="Z13" t="s">
        <v>872</v>
      </c>
      <c r="AA13" t="s">
        <v>302</v>
      </c>
    </row>
    <row r="14" spans="1:28">
      <c r="A14" t="str">
        <f t="shared" si="0"/>
        <v>976-FRG42838MQ.TUNEL DE CG (CONTINUO)</v>
      </c>
      <c r="B14" t="s">
        <v>2875</v>
      </c>
      <c r="C14" t="s">
        <v>2216</v>
      </c>
      <c r="D14" t="s">
        <v>2217</v>
      </c>
      <c r="E14" s="626" t="s">
        <v>2648</v>
      </c>
      <c r="F14" s="626" t="s">
        <v>2648</v>
      </c>
      <c r="G14" t="s">
        <v>2649</v>
      </c>
      <c r="H14" t="s">
        <v>2753</v>
      </c>
      <c r="I14" t="s">
        <v>872</v>
      </c>
      <c r="J14" t="s">
        <v>2229</v>
      </c>
      <c r="M14" s="348">
        <v>60</v>
      </c>
      <c r="N14" s="348">
        <v>17</v>
      </c>
      <c r="O14" s="348">
        <v>17</v>
      </c>
      <c r="Q14" t="s">
        <v>277</v>
      </c>
      <c r="R14" t="s">
        <v>277</v>
      </c>
      <c r="S14">
        <v>4</v>
      </c>
      <c r="V14" t="s">
        <v>2219</v>
      </c>
      <c r="W14">
        <v>3061</v>
      </c>
      <c r="X14">
        <v>2272</v>
      </c>
      <c r="Y14">
        <v>3194</v>
      </c>
      <c r="Z14" t="s">
        <v>872</v>
      </c>
      <c r="AA14" t="s">
        <v>302</v>
      </c>
    </row>
    <row r="15" spans="1:28">
      <c r="A15" t="str">
        <f t="shared" si="0"/>
        <v>976-FRG42846MQ.TUNEL DE CG (CONTINUO)</v>
      </c>
      <c r="B15" t="s">
        <v>2875</v>
      </c>
      <c r="C15" t="s">
        <v>2216</v>
      </c>
      <c r="D15" t="s">
        <v>2217</v>
      </c>
      <c r="E15" s="626" t="s">
        <v>2650</v>
      </c>
      <c r="F15" s="626" t="s">
        <v>2650</v>
      </c>
      <c r="G15" t="s">
        <v>2651</v>
      </c>
      <c r="H15" t="s">
        <v>2753</v>
      </c>
      <c r="I15" t="s">
        <v>872</v>
      </c>
      <c r="J15" t="s">
        <v>2229</v>
      </c>
      <c r="M15" s="348">
        <v>60</v>
      </c>
      <c r="N15" s="348">
        <v>17</v>
      </c>
      <c r="O15" s="348">
        <v>17</v>
      </c>
      <c r="Q15" t="s">
        <v>277</v>
      </c>
      <c r="R15" t="s">
        <v>277</v>
      </c>
      <c r="S15">
        <v>4</v>
      </c>
      <c r="V15" t="s">
        <v>2219</v>
      </c>
      <c r="W15">
        <v>3061</v>
      </c>
      <c r="X15">
        <v>2272</v>
      </c>
      <c r="Y15">
        <v>3194</v>
      </c>
      <c r="Z15" t="s">
        <v>872</v>
      </c>
      <c r="AA15" t="s">
        <v>302</v>
      </c>
    </row>
    <row r="16" spans="1:28">
      <c r="A16" t="str">
        <f t="shared" si="0"/>
        <v>976-FRG42854MQ.TUNEL DE CG (CONTINUO)</v>
      </c>
      <c r="B16" t="s">
        <v>2875</v>
      </c>
      <c r="C16" t="s">
        <v>2216</v>
      </c>
      <c r="D16" t="s">
        <v>2217</v>
      </c>
      <c r="E16" s="626" t="s">
        <v>2652</v>
      </c>
      <c r="F16" s="626" t="s">
        <v>2652</v>
      </c>
      <c r="G16" t="s">
        <v>2653</v>
      </c>
      <c r="H16" t="s">
        <v>2753</v>
      </c>
      <c r="I16" t="s">
        <v>872</v>
      </c>
      <c r="J16" t="s">
        <v>2229</v>
      </c>
      <c r="M16" s="348">
        <v>60</v>
      </c>
      <c r="N16" s="348">
        <v>17</v>
      </c>
      <c r="O16" s="348">
        <v>17</v>
      </c>
      <c r="Q16" t="s">
        <v>277</v>
      </c>
      <c r="R16" t="s">
        <v>277</v>
      </c>
      <c r="S16">
        <v>4</v>
      </c>
      <c r="V16" t="s">
        <v>2219</v>
      </c>
      <c r="W16">
        <v>3061</v>
      </c>
      <c r="X16">
        <v>2272</v>
      </c>
      <c r="Y16">
        <v>3194</v>
      </c>
      <c r="Z16" t="s">
        <v>872</v>
      </c>
      <c r="AA16" t="s">
        <v>302</v>
      </c>
    </row>
    <row r="17" spans="1:27">
      <c r="A17" t="str">
        <f t="shared" si="0"/>
        <v>976-FRG42862MQ.TUNEL DE CG (CONTINUO)</v>
      </c>
      <c r="B17" t="s">
        <v>2875</v>
      </c>
      <c r="C17" t="s">
        <v>2216</v>
      </c>
      <c r="D17" t="s">
        <v>2217</v>
      </c>
      <c r="E17" s="626" t="s">
        <v>2654</v>
      </c>
      <c r="F17" s="626" t="s">
        <v>2654</v>
      </c>
      <c r="G17" t="s">
        <v>2655</v>
      </c>
      <c r="H17" t="s">
        <v>2753</v>
      </c>
      <c r="I17" t="s">
        <v>872</v>
      </c>
      <c r="J17" t="s">
        <v>2229</v>
      </c>
      <c r="M17" s="348">
        <v>60</v>
      </c>
      <c r="N17" s="348">
        <v>17</v>
      </c>
      <c r="O17" s="348">
        <v>17</v>
      </c>
      <c r="Q17" t="s">
        <v>277</v>
      </c>
      <c r="R17" t="s">
        <v>277</v>
      </c>
      <c r="S17">
        <v>4</v>
      </c>
      <c r="V17" t="s">
        <v>2219</v>
      </c>
      <c r="W17">
        <v>3061</v>
      </c>
      <c r="X17">
        <v>2272</v>
      </c>
      <c r="Y17">
        <v>3194</v>
      </c>
      <c r="Z17" t="s">
        <v>872</v>
      </c>
      <c r="AA17" t="s">
        <v>302</v>
      </c>
    </row>
    <row r="18" spans="1:27">
      <c r="A18" t="str">
        <f t="shared" si="0"/>
        <v>976-FRG44199MQ.TUNEL DE CG (CONTINUO)</v>
      </c>
      <c r="B18" t="s">
        <v>2875</v>
      </c>
      <c r="C18" t="s">
        <v>2216</v>
      </c>
      <c r="D18" t="s">
        <v>2217</v>
      </c>
      <c r="E18" s="626" t="s">
        <v>2803</v>
      </c>
      <c r="F18" s="626" t="s">
        <v>2803</v>
      </c>
      <c r="G18" t="s">
        <v>2804</v>
      </c>
      <c r="H18" t="s">
        <v>2642</v>
      </c>
      <c r="I18" t="s">
        <v>872</v>
      </c>
      <c r="J18" t="s">
        <v>2229</v>
      </c>
      <c r="M18" s="348">
        <v>60</v>
      </c>
      <c r="N18" s="348">
        <v>10.88</v>
      </c>
      <c r="O18" s="348">
        <v>10.88</v>
      </c>
      <c r="Q18" t="s">
        <v>277</v>
      </c>
      <c r="R18" t="s">
        <v>277</v>
      </c>
      <c r="S18">
        <v>4</v>
      </c>
      <c r="V18" t="s">
        <v>2219</v>
      </c>
      <c r="W18">
        <v>3053</v>
      </c>
      <c r="X18">
        <v>2272</v>
      </c>
      <c r="Y18">
        <v>3194</v>
      </c>
      <c r="Z18" t="s">
        <v>872</v>
      </c>
      <c r="AA18" t="s">
        <v>302</v>
      </c>
    </row>
    <row r="19" spans="1:27">
      <c r="A19" t="str">
        <f t="shared" si="0"/>
        <v>976-FRG47813MQ.TUNEL DE CG (CONTINUO)</v>
      </c>
      <c r="B19" t="s">
        <v>2875</v>
      </c>
      <c r="C19" t="s">
        <v>2216</v>
      </c>
      <c r="D19" t="s">
        <v>2217</v>
      </c>
      <c r="E19" s="626" t="s">
        <v>2657</v>
      </c>
      <c r="F19" s="626" t="s">
        <v>2657</v>
      </c>
      <c r="G19" t="s">
        <v>1483</v>
      </c>
      <c r="H19" t="s">
        <v>2801</v>
      </c>
      <c r="I19" t="s">
        <v>872</v>
      </c>
      <c r="J19" t="s">
        <v>2229</v>
      </c>
      <c r="M19" s="348">
        <v>60</v>
      </c>
      <c r="N19" s="348">
        <v>17</v>
      </c>
      <c r="O19" s="348">
        <v>17</v>
      </c>
      <c r="Q19" t="s">
        <v>277</v>
      </c>
      <c r="R19" t="s">
        <v>277</v>
      </c>
      <c r="S19">
        <v>4</v>
      </c>
      <c r="V19" t="s">
        <v>2219</v>
      </c>
      <c r="W19">
        <v>3058</v>
      </c>
      <c r="X19">
        <v>2272</v>
      </c>
      <c r="Y19">
        <v>3194</v>
      </c>
      <c r="Z19" t="s">
        <v>872</v>
      </c>
      <c r="AA19" t="s">
        <v>302</v>
      </c>
    </row>
    <row r="20" spans="1:27">
      <c r="A20" t="str">
        <f t="shared" si="0"/>
        <v>976-FRG50580MQ.TUNEL DE CG (CONTINUO)</v>
      </c>
      <c r="B20" t="s">
        <v>2875</v>
      </c>
      <c r="C20" t="s">
        <v>2216</v>
      </c>
      <c r="D20" t="s">
        <v>2217</v>
      </c>
      <c r="E20" s="626" t="s">
        <v>2658</v>
      </c>
      <c r="F20" s="626" t="s">
        <v>2658</v>
      </c>
      <c r="G20" t="s">
        <v>2659</v>
      </c>
      <c r="H20" t="s">
        <v>2753</v>
      </c>
      <c r="I20" t="s">
        <v>872</v>
      </c>
      <c r="J20" t="s">
        <v>2229</v>
      </c>
      <c r="M20" s="348">
        <v>60</v>
      </c>
      <c r="N20" s="348">
        <v>17</v>
      </c>
      <c r="O20" s="348">
        <v>17</v>
      </c>
      <c r="Q20" t="s">
        <v>277</v>
      </c>
      <c r="R20" t="s">
        <v>277</v>
      </c>
      <c r="S20">
        <v>4</v>
      </c>
      <c r="V20" t="s">
        <v>2219</v>
      </c>
      <c r="W20">
        <v>3061</v>
      </c>
      <c r="X20">
        <v>2272</v>
      </c>
      <c r="Y20">
        <v>3194</v>
      </c>
      <c r="Z20" t="s">
        <v>872</v>
      </c>
      <c r="AA20" t="s">
        <v>302</v>
      </c>
    </row>
    <row r="21" spans="1:27">
      <c r="A21" t="str">
        <f t="shared" si="0"/>
        <v>976-FRG54950MQ.TUNEL DE CG (CONTINUO)</v>
      </c>
      <c r="B21" t="s">
        <v>2875</v>
      </c>
      <c r="C21" t="s">
        <v>2216</v>
      </c>
      <c r="D21" t="s">
        <v>2217</v>
      </c>
      <c r="E21" s="626" t="s">
        <v>2660</v>
      </c>
      <c r="F21" s="626" t="s">
        <v>2660</v>
      </c>
      <c r="G21" t="s">
        <v>1670</v>
      </c>
      <c r="H21" t="s">
        <v>2805</v>
      </c>
      <c r="I21" t="s">
        <v>872</v>
      </c>
      <c r="J21" t="s">
        <v>2229</v>
      </c>
      <c r="M21" s="348">
        <v>60</v>
      </c>
      <c r="N21" s="348">
        <v>17</v>
      </c>
      <c r="O21" s="348">
        <v>17</v>
      </c>
      <c r="Q21" t="s">
        <v>277</v>
      </c>
      <c r="R21" t="s">
        <v>277</v>
      </c>
      <c r="S21">
        <v>4</v>
      </c>
      <c r="V21" t="s">
        <v>2219</v>
      </c>
      <c r="W21">
        <v>3029</v>
      </c>
      <c r="X21">
        <v>2272</v>
      </c>
      <c r="Y21">
        <v>3194</v>
      </c>
      <c r="Z21" t="s">
        <v>872</v>
      </c>
      <c r="AA21" t="s">
        <v>302</v>
      </c>
    </row>
    <row r="22" spans="1:27">
      <c r="A22" t="str">
        <f t="shared" si="0"/>
        <v>976-FRG55638MQ.TUNEL DE CG (CONTINUO)</v>
      </c>
      <c r="B22" t="s">
        <v>2875</v>
      </c>
      <c r="C22" t="s">
        <v>2216</v>
      </c>
      <c r="D22" t="s">
        <v>2217</v>
      </c>
      <c r="E22" s="626" t="s">
        <v>2661</v>
      </c>
      <c r="F22" s="626" t="s">
        <v>2661</v>
      </c>
      <c r="G22" t="s">
        <v>942</v>
      </c>
      <c r="H22" t="s">
        <v>2806</v>
      </c>
      <c r="I22" t="s">
        <v>872</v>
      </c>
      <c r="J22" t="s">
        <v>2229</v>
      </c>
      <c r="M22" s="348">
        <v>60</v>
      </c>
      <c r="N22" s="348">
        <v>18.13</v>
      </c>
      <c r="O22" s="348">
        <v>18.13</v>
      </c>
      <c r="Q22" t="s">
        <v>277</v>
      </c>
      <c r="R22" t="s">
        <v>277</v>
      </c>
      <c r="S22">
        <v>4</v>
      </c>
      <c r="V22" t="s">
        <v>2219</v>
      </c>
      <c r="W22">
        <v>3038</v>
      </c>
      <c r="X22">
        <v>2272</v>
      </c>
      <c r="Y22">
        <v>3194</v>
      </c>
      <c r="Z22" t="s">
        <v>872</v>
      </c>
      <c r="AA22" t="s">
        <v>302</v>
      </c>
    </row>
    <row r="23" spans="1:27">
      <c r="A23" t="str">
        <f t="shared" si="0"/>
        <v>976-FRG55646MQ.TUNEL DE CG (CONTINUO)</v>
      </c>
      <c r="B23" t="s">
        <v>2875</v>
      </c>
      <c r="C23" t="s">
        <v>2216</v>
      </c>
      <c r="D23" t="s">
        <v>2217</v>
      </c>
      <c r="E23" s="626" t="s">
        <v>2662</v>
      </c>
      <c r="F23" s="626" t="s">
        <v>2662</v>
      </c>
      <c r="G23" t="s">
        <v>942</v>
      </c>
      <c r="H23" t="s">
        <v>2806</v>
      </c>
      <c r="I23" t="s">
        <v>872</v>
      </c>
      <c r="J23" t="s">
        <v>2229</v>
      </c>
      <c r="M23" s="348">
        <v>60</v>
      </c>
      <c r="N23" s="348">
        <v>18.13</v>
      </c>
      <c r="O23" s="348">
        <v>18.13</v>
      </c>
      <c r="Q23" t="s">
        <v>277</v>
      </c>
      <c r="R23" t="s">
        <v>277</v>
      </c>
      <c r="S23">
        <v>4</v>
      </c>
      <c r="V23" t="s">
        <v>2219</v>
      </c>
      <c r="W23">
        <v>3038</v>
      </c>
      <c r="X23">
        <v>2272</v>
      </c>
      <c r="Y23">
        <v>3194</v>
      </c>
      <c r="Z23" t="s">
        <v>872</v>
      </c>
      <c r="AA23" t="s">
        <v>302</v>
      </c>
    </row>
    <row r="24" spans="1:27">
      <c r="A24" t="str">
        <f t="shared" si="0"/>
        <v>976-FRG124014MQ.TUNEL DE CG (CONTINUO)</v>
      </c>
      <c r="B24" t="s">
        <v>2875</v>
      </c>
      <c r="C24" t="s">
        <v>2216</v>
      </c>
      <c r="D24" t="s">
        <v>2217</v>
      </c>
      <c r="E24" s="626" t="s">
        <v>2807</v>
      </c>
      <c r="F24" s="626" t="s">
        <v>2807</v>
      </c>
      <c r="G24" t="s">
        <v>2778</v>
      </c>
      <c r="H24" t="s">
        <v>2808</v>
      </c>
      <c r="I24" t="s">
        <v>872</v>
      </c>
      <c r="J24" t="s">
        <v>2229</v>
      </c>
      <c r="M24" s="348">
        <v>60</v>
      </c>
      <c r="N24" s="348">
        <v>18.13</v>
      </c>
      <c r="O24" s="348">
        <v>18.13</v>
      </c>
      <c r="Q24" t="s">
        <v>277</v>
      </c>
      <c r="R24" t="s">
        <v>277</v>
      </c>
      <c r="S24">
        <v>4</v>
      </c>
      <c r="V24" t="s">
        <v>2219</v>
      </c>
      <c r="W24">
        <v>3039</v>
      </c>
      <c r="X24">
        <v>2272</v>
      </c>
      <c r="Y24">
        <v>3194</v>
      </c>
      <c r="Z24" t="s">
        <v>872</v>
      </c>
      <c r="AA24" t="s">
        <v>302</v>
      </c>
    </row>
    <row r="25" spans="1:27">
      <c r="A25" t="str">
        <f t="shared" si="0"/>
        <v>976-FRG124130MQ.TUNEL DE CG (CONTINUO)</v>
      </c>
      <c r="B25" t="s">
        <v>2875</v>
      </c>
      <c r="C25" t="s">
        <v>2216</v>
      </c>
      <c r="D25" t="s">
        <v>2217</v>
      </c>
      <c r="E25" s="626" t="s">
        <v>2809</v>
      </c>
      <c r="F25" s="626" t="s">
        <v>2809</v>
      </c>
      <c r="G25" t="s">
        <v>2542</v>
      </c>
      <c r="H25" t="s">
        <v>2810</v>
      </c>
      <c r="I25" t="s">
        <v>872</v>
      </c>
      <c r="J25" t="s">
        <v>2229</v>
      </c>
      <c r="M25" s="348">
        <v>60</v>
      </c>
      <c r="N25" s="348">
        <v>17</v>
      </c>
      <c r="O25" s="348">
        <v>17</v>
      </c>
      <c r="Q25" t="s">
        <v>277</v>
      </c>
      <c r="R25" t="s">
        <v>277</v>
      </c>
      <c r="S25">
        <v>4</v>
      </c>
      <c r="V25" t="s">
        <v>2219</v>
      </c>
      <c r="W25">
        <v>3051</v>
      </c>
      <c r="X25">
        <v>2272</v>
      </c>
      <c r="Y25">
        <v>3194</v>
      </c>
      <c r="Z25" t="s">
        <v>872</v>
      </c>
      <c r="AA25" t="s">
        <v>302</v>
      </c>
    </row>
    <row r="26" spans="1:27">
      <c r="A26" t="str">
        <f t="shared" si="0"/>
        <v>976-FRG124139MQ.TUNEL DE CG (CONTINUO)</v>
      </c>
      <c r="B26" t="s">
        <v>2875</v>
      </c>
      <c r="C26" t="s">
        <v>2216</v>
      </c>
      <c r="D26" t="s">
        <v>2217</v>
      </c>
      <c r="E26" s="626" t="s">
        <v>2811</v>
      </c>
      <c r="F26" s="626" t="s">
        <v>2811</v>
      </c>
      <c r="G26" t="s">
        <v>2504</v>
      </c>
      <c r="H26" t="s">
        <v>2812</v>
      </c>
      <c r="I26" t="s">
        <v>872</v>
      </c>
      <c r="J26" t="s">
        <v>2229</v>
      </c>
      <c r="M26" s="348">
        <v>60</v>
      </c>
      <c r="N26" s="348">
        <v>18.13</v>
      </c>
      <c r="O26" s="348">
        <v>18.13</v>
      </c>
      <c r="Q26" t="s">
        <v>277</v>
      </c>
      <c r="R26" t="s">
        <v>277</v>
      </c>
      <c r="S26">
        <v>4</v>
      </c>
      <c r="V26" t="s">
        <v>2219</v>
      </c>
      <c r="W26">
        <v>3059</v>
      </c>
      <c r="X26">
        <v>2272</v>
      </c>
      <c r="Y26">
        <v>3194</v>
      </c>
      <c r="Z26" t="s">
        <v>872</v>
      </c>
      <c r="AA26" t="s">
        <v>302</v>
      </c>
    </row>
    <row r="27" spans="1:27">
      <c r="A27" t="str">
        <f t="shared" si="0"/>
        <v>976-FRG124196MQ.TUNEL DE CG (CONTINUO)</v>
      </c>
      <c r="B27" t="s">
        <v>2875</v>
      </c>
      <c r="C27" t="s">
        <v>2216</v>
      </c>
      <c r="D27" t="s">
        <v>2217</v>
      </c>
      <c r="E27" s="626" t="s">
        <v>2813</v>
      </c>
      <c r="F27" s="626" t="s">
        <v>2813</v>
      </c>
      <c r="G27" t="s">
        <v>2814</v>
      </c>
      <c r="H27" t="s">
        <v>2222</v>
      </c>
      <c r="I27" t="s">
        <v>872</v>
      </c>
      <c r="J27" t="s">
        <v>2229</v>
      </c>
      <c r="M27" s="348">
        <v>60</v>
      </c>
      <c r="N27" s="348">
        <v>18.13</v>
      </c>
      <c r="O27" s="348">
        <v>18.13</v>
      </c>
      <c r="Q27" t="s">
        <v>277</v>
      </c>
      <c r="R27" t="s">
        <v>277</v>
      </c>
      <c r="S27">
        <v>4</v>
      </c>
      <c r="V27" t="s">
        <v>2219</v>
      </c>
      <c r="W27">
        <v>3064</v>
      </c>
      <c r="X27">
        <v>2272</v>
      </c>
      <c r="Y27">
        <v>3194</v>
      </c>
      <c r="Z27" t="s">
        <v>872</v>
      </c>
      <c r="AA27" t="s">
        <v>302</v>
      </c>
    </row>
    <row r="28" spans="1:27">
      <c r="A28" t="str">
        <f t="shared" si="0"/>
        <v>976-FRG124261MQ.TUNEL DE CG (CONTINUO)</v>
      </c>
      <c r="B28" t="s">
        <v>2875</v>
      </c>
      <c r="C28" t="s">
        <v>2216</v>
      </c>
      <c r="D28" t="s">
        <v>2217</v>
      </c>
      <c r="E28" s="626" t="s">
        <v>2815</v>
      </c>
      <c r="F28" s="626" t="s">
        <v>2815</v>
      </c>
      <c r="G28" t="s">
        <v>2816</v>
      </c>
      <c r="H28" t="s">
        <v>2223</v>
      </c>
      <c r="I28" t="s">
        <v>872</v>
      </c>
      <c r="J28" t="s">
        <v>2229</v>
      </c>
      <c r="M28" s="348">
        <v>60</v>
      </c>
      <c r="N28" s="348">
        <v>17</v>
      </c>
      <c r="O28" s="348">
        <v>17</v>
      </c>
      <c r="Q28" t="s">
        <v>277</v>
      </c>
      <c r="R28" t="s">
        <v>277</v>
      </c>
      <c r="S28">
        <v>4</v>
      </c>
      <c r="V28" t="s">
        <v>2219</v>
      </c>
      <c r="W28">
        <v>3065</v>
      </c>
      <c r="X28">
        <v>2272</v>
      </c>
      <c r="Y28">
        <v>3194</v>
      </c>
      <c r="Z28" t="s">
        <v>872</v>
      </c>
      <c r="AA28" t="s">
        <v>302</v>
      </c>
    </row>
    <row r="29" spans="1:27">
      <c r="A29" t="str">
        <f t="shared" si="0"/>
        <v>976-FRG124312MQ.TUNEL DE CG (CONTINUO)</v>
      </c>
      <c r="B29" t="s">
        <v>2875</v>
      </c>
      <c r="C29" t="s">
        <v>2216</v>
      </c>
      <c r="D29" t="s">
        <v>2217</v>
      </c>
      <c r="E29" s="626" t="s">
        <v>2817</v>
      </c>
      <c r="F29" s="626" t="s">
        <v>2817</v>
      </c>
      <c r="G29" t="s">
        <v>2818</v>
      </c>
      <c r="H29" t="s">
        <v>2819</v>
      </c>
      <c r="I29" t="s">
        <v>872</v>
      </c>
      <c r="J29" t="s">
        <v>2229</v>
      </c>
      <c r="M29" s="348">
        <v>60</v>
      </c>
      <c r="N29" s="348">
        <v>9.0670000000000002</v>
      </c>
      <c r="O29" s="348">
        <v>9.07</v>
      </c>
      <c r="Q29" t="s">
        <v>277</v>
      </c>
      <c r="R29" t="s">
        <v>277</v>
      </c>
      <c r="S29">
        <v>4</v>
      </c>
      <c r="V29" t="s">
        <v>2820</v>
      </c>
      <c r="W29">
        <v>3028</v>
      </c>
      <c r="X29">
        <v>2272</v>
      </c>
      <c r="Y29">
        <v>3194</v>
      </c>
      <c r="Z29" t="s">
        <v>872</v>
      </c>
      <c r="AA29" t="s">
        <v>302</v>
      </c>
    </row>
    <row r="30" spans="1:27">
      <c r="A30" t="str">
        <f t="shared" si="0"/>
        <v>976-FRG124395MQ.TUNEL DE CG (CONTINUO)</v>
      </c>
      <c r="B30" t="s">
        <v>2875</v>
      </c>
      <c r="C30" t="s">
        <v>2216</v>
      </c>
      <c r="D30" t="s">
        <v>2217</v>
      </c>
      <c r="E30" s="626" t="s">
        <v>2821</v>
      </c>
      <c r="F30" s="626" t="s">
        <v>2821</v>
      </c>
      <c r="G30" t="s">
        <v>2777</v>
      </c>
      <c r="H30" t="s">
        <v>2641</v>
      </c>
      <c r="I30" t="s">
        <v>872</v>
      </c>
      <c r="J30" t="s">
        <v>2229</v>
      </c>
      <c r="M30" s="348">
        <v>60</v>
      </c>
      <c r="N30" s="348">
        <v>17</v>
      </c>
      <c r="O30" s="348">
        <v>17</v>
      </c>
      <c r="Q30" t="s">
        <v>277</v>
      </c>
      <c r="R30" t="s">
        <v>277</v>
      </c>
      <c r="S30">
        <v>4</v>
      </c>
      <c r="V30" t="s">
        <v>2219</v>
      </c>
      <c r="W30">
        <v>3062</v>
      </c>
      <c r="X30">
        <v>2272</v>
      </c>
      <c r="Y30">
        <v>3194</v>
      </c>
      <c r="Z30" t="s">
        <v>872</v>
      </c>
      <c r="AA30" t="s">
        <v>302</v>
      </c>
    </row>
    <row r="31" spans="1:27">
      <c r="A31" t="str">
        <f t="shared" si="0"/>
        <v>976-FRG124500MQ.TUNEL DE CG (CONTINUO)</v>
      </c>
      <c r="B31" t="s">
        <v>2875</v>
      </c>
      <c r="C31" t="s">
        <v>2216</v>
      </c>
      <c r="D31" t="s">
        <v>2217</v>
      </c>
      <c r="E31" s="626" t="s">
        <v>2822</v>
      </c>
      <c r="F31" s="626" t="s">
        <v>2822</v>
      </c>
      <c r="G31" t="s">
        <v>2823</v>
      </c>
      <c r="H31" t="s">
        <v>2824</v>
      </c>
      <c r="I31" t="s">
        <v>872</v>
      </c>
      <c r="J31" t="s">
        <v>2229</v>
      </c>
      <c r="M31" s="348">
        <v>60</v>
      </c>
      <c r="N31" s="348">
        <v>17</v>
      </c>
      <c r="O31" s="348">
        <v>17</v>
      </c>
      <c r="Q31" t="s">
        <v>277</v>
      </c>
      <c r="R31" t="s">
        <v>277</v>
      </c>
      <c r="S31">
        <v>4</v>
      </c>
      <c r="V31" t="s">
        <v>2219</v>
      </c>
      <c r="W31">
        <v>3048</v>
      </c>
      <c r="X31">
        <v>2272</v>
      </c>
      <c r="Y31">
        <v>3194</v>
      </c>
      <c r="Z31" t="s">
        <v>872</v>
      </c>
      <c r="AA31" t="s">
        <v>302</v>
      </c>
    </row>
    <row r="32" spans="1:27">
      <c r="A32" t="str">
        <f t="shared" si="0"/>
        <v>976-FRG124502MQ.TUNEL DE CG (CONTINUO)</v>
      </c>
      <c r="B32" t="s">
        <v>2875</v>
      </c>
      <c r="C32" t="s">
        <v>2216</v>
      </c>
      <c r="D32" t="s">
        <v>2217</v>
      </c>
      <c r="E32" s="626" t="s">
        <v>2825</v>
      </c>
      <c r="F32" s="626" t="s">
        <v>2825</v>
      </c>
      <c r="G32" t="s">
        <v>2777</v>
      </c>
      <c r="H32" t="s">
        <v>2641</v>
      </c>
      <c r="I32" t="s">
        <v>872</v>
      </c>
      <c r="J32" t="s">
        <v>2229</v>
      </c>
      <c r="M32" s="348">
        <v>60</v>
      </c>
      <c r="N32" s="348">
        <v>17</v>
      </c>
      <c r="O32" s="348">
        <v>17</v>
      </c>
      <c r="Q32" t="s">
        <v>277</v>
      </c>
      <c r="R32" t="s">
        <v>277</v>
      </c>
      <c r="S32">
        <v>4</v>
      </c>
      <c r="V32" t="s">
        <v>2219</v>
      </c>
      <c r="W32">
        <v>3062</v>
      </c>
      <c r="X32">
        <v>2272</v>
      </c>
      <c r="Y32">
        <v>3194</v>
      </c>
      <c r="Z32" t="s">
        <v>872</v>
      </c>
      <c r="AA32" t="s">
        <v>302</v>
      </c>
    </row>
    <row r="33" spans="1:27">
      <c r="A33" t="str">
        <f t="shared" si="0"/>
        <v>976-FRG124504MQ.TUNEL DE CG (CONTINUO)</v>
      </c>
      <c r="B33" t="s">
        <v>2875</v>
      </c>
      <c r="C33" t="s">
        <v>2216</v>
      </c>
      <c r="D33" t="s">
        <v>2217</v>
      </c>
      <c r="E33" s="626" t="s">
        <v>2826</v>
      </c>
      <c r="F33" s="626" t="s">
        <v>2826</v>
      </c>
      <c r="G33" t="s">
        <v>2766</v>
      </c>
      <c r="H33" t="s">
        <v>2801</v>
      </c>
      <c r="I33" t="s">
        <v>872</v>
      </c>
      <c r="J33" t="s">
        <v>2229</v>
      </c>
      <c r="M33" s="348">
        <v>60</v>
      </c>
      <c r="N33" s="348">
        <v>17</v>
      </c>
      <c r="O33" s="348">
        <v>17</v>
      </c>
      <c r="Q33" t="s">
        <v>277</v>
      </c>
      <c r="R33" t="s">
        <v>277</v>
      </c>
      <c r="S33">
        <v>4</v>
      </c>
      <c r="V33" t="s">
        <v>2219</v>
      </c>
      <c r="W33">
        <v>3058</v>
      </c>
      <c r="X33">
        <v>2272</v>
      </c>
      <c r="Y33">
        <v>3194</v>
      </c>
      <c r="Z33" t="s">
        <v>872</v>
      </c>
      <c r="AA33" t="s">
        <v>302</v>
      </c>
    </row>
    <row r="34" spans="1:27">
      <c r="A34" t="str">
        <f t="shared" si="0"/>
        <v>976-FRG124509MQ.TUNEL DE CG (CONTINUO)</v>
      </c>
      <c r="B34" t="s">
        <v>2875</v>
      </c>
      <c r="C34" t="s">
        <v>2216</v>
      </c>
      <c r="D34" t="s">
        <v>2217</v>
      </c>
      <c r="E34" s="626" t="s">
        <v>2827</v>
      </c>
      <c r="F34" s="626" t="s">
        <v>2827</v>
      </c>
      <c r="G34" t="s">
        <v>2504</v>
      </c>
      <c r="H34" t="s">
        <v>2801</v>
      </c>
      <c r="I34" t="s">
        <v>872</v>
      </c>
      <c r="J34" t="s">
        <v>2229</v>
      </c>
      <c r="M34" s="348">
        <v>60</v>
      </c>
      <c r="N34" s="348">
        <v>17</v>
      </c>
      <c r="O34" s="348">
        <v>17</v>
      </c>
      <c r="Q34" t="s">
        <v>277</v>
      </c>
      <c r="R34" t="s">
        <v>277</v>
      </c>
      <c r="S34">
        <v>4</v>
      </c>
      <c r="V34" t="s">
        <v>2219</v>
      </c>
      <c r="W34">
        <v>3058</v>
      </c>
      <c r="X34">
        <v>2272</v>
      </c>
      <c r="Y34">
        <v>3194</v>
      </c>
      <c r="Z34" t="s">
        <v>872</v>
      </c>
      <c r="AA34" t="s">
        <v>302</v>
      </c>
    </row>
    <row r="35" spans="1:27">
      <c r="A35" t="str">
        <f t="shared" si="0"/>
        <v>976-FRG124523MQ.TUNEL DE CG (CONTINUO)</v>
      </c>
      <c r="B35" t="s">
        <v>2875</v>
      </c>
      <c r="C35" t="s">
        <v>2216</v>
      </c>
      <c r="D35" t="s">
        <v>2217</v>
      </c>
      <c r="E35" s="626" t="s">
        <v>2828</v>
      </c>
      <c r="F35" s="626" t="s">
        <v>2828</v>
      </c>
      <c r="G35" t="s">
        <v>2540</v>
      </c>
      <c r="H35" t="s">
        <v>2218</v>
      </c>
      <c r="I35" t="s">
        <v>872</v>
      </c>
      <c r="J35" t="s">
        <v>2229</v>
      </c>
      <c r="M35" s="348">
        <v>60</v>
      </c>
      <c r="N35" s="348">
        <v>17</v>
      </c>
      <c r="O35" s="348">
        <v>17</v>
      </c>
      <c r="Q35" t="s">
        <v>277</v>
      </c>
      <c r="R35" t="s">
        <v>277</v>
      </c>
      <c r="S35">
        <v>4</v>
      </c>
      <c r="V35" t="s">
        <v>2219</v>
      </c>
      <c r="W35">
        <v>3030</v>
      </c>
      <c r="X35">
        <v>2272</v>
      </c>
      <c r="Y35">
        <v>3194</v>
      </c>
      <c r="Z35" t="s">
        <v>872</v>
      </c>
      <c r="AA35" t="s">
        <v>302</v>
      </c>
    </row>
    <row r="36" spans="1:27">
      <c r="A36" t="str">
        <f t="shared" si="0"/>
        <v>976-FRG124529MQ.TUNEL DE CG (CONTINUO)</v>
      </c>
      <c r="B36" t="s">
        <v>2875</v>
      </c>
      <c r="C36" t="s">
        <v>2216</v>
      </c>
      <c r="D36" t="s">
        <v>2217</v>
      </c>
      <c r="E36" s="626" t="s">
        <v>2829</v>
      </c>
      <c r="F36" s="626" t="s">
        <v>2829</v>
      </c>
      <c r="G36" t="s">
        <v>2766</v>
      </c>
      <c r="H36" t="s">
        <v>2801</v>
      </c>
      <c r="I36" t="s">
        <v>872</v>
      </c>
      <c r="J36" t="s">
        <v>2229</v>
      </c>
      <c r="M36" s="348">
        <v>60</v>
      </c>
      <c r="N36" s="348">
        <v>17</v>
      </c>
      <c r="O36" s="348">
        <v>17</v>
      </c>
      <c r="Q36" t="s">
        <v>277</v>
      </c>
      <c r="R36" t="s">
        <v>277</v>
      </c>
      <c r="S36">
        <v>4</v>
      </c>
      <c r="V36" t="s">
        <v>2219</v>
      </c>
      <c r="W36">
        <v>3058</v>
      </c>
      <c r="X36">
        <v>2272</v>
      </c>
      <c r="Y36">
        <v>3194</v>
      </c>
      <c r="Z36" t="s">
        <v>872</v>
      </c>
      <c r="AA36" t="s">
        <v>302</v>
      </c>
    </row>
    <row r="37" spans="1:27">
      <c r="A37" t="str">
        <f t="shared" si="0"/>
        <v>976-FRG124546MQ.TUNEL DE CG (CONTINUO)</v>
      </c>
      <c r="B37" t="s">
        <v>2875</v>
      </c>
      <c r="C37" t="s">
        <v>2216</v>
      </c>
      <c r="D37" t="s">
        <v>2217</v>
      </c>
      <c r="E37" s="626" t="s">
        <v>2830</v>
      </c>
      <c r="F37" s="626" t="s">
        <v>2830</v>
      </c>
      <c r="G37" t="s">
        <v>2823</v>
      </c>
      <c r="H37" t="s">
        <v>2824</v>
      </c>
      <c r="I37" t="s">
        <v>872</v>
      </c>
      <c r="J37" t="s">
        <v>2229</v>
      </c>
      <c r="M37" s="348">
        <v>60</v>
      </c>
      <c r="N37" s="348">
        <v>17</v>
      </c>
      <c r="O37" s="348">
        <v>17</v>
      </c>
      <c r="Q37" t="s">
        <v>277</v>
      </c>
      <c r="R37" t="s">
        <v>277</v>
      </c>
      <c r="S37">
        <v>4</v>
      </c>
      <c r="V37" t="s">
        <v>2219</v>
      </c>
      <c r="W37">
        <v>3048</v>
      </c>
      <c r="X37">
        <v>2272</v>
      </c>
      <c r="Y37">
        <v>3194</v>
      </c>
      <c r="Z37" t="s">
        <v>872</v>
      </c>
      <c r="AA37" t="s">
        <v>302</v>
      </c>
    </row>
    <row r="38" spans="1:27">
      <c r="A38" t="str">
        <f t="shared" si="0"/>
        <v>976-FRG124563MQ.TUNEL DE CG (CONTINUO)</v>
      </c>
      <c r="B38" t="s">
        <v>2875</v>
      </c>
      <c r="C38" t="s">
        <v>2216</v>
      </c>
      <c r="D38" t="s">
        <v>2217</v>
      </c>
      <c r="E38" s="626" t="s">
        <v>2831</v>
      </c>
      <c r="F38" s="626" t="s">
        <v>2831</v>
      </c>
      <c r="G38" t="s">
        <v>2540</v>
      </c>
      <c r="H38" t="s">
        <v>2218</v>
      </c>
      <c r="I38" t="s">
        <v>872</v>
      </c>
      <c r="J38" t="s">
        <v>2229</v>
      </c>
      <c r="M38" s="348">
        <v>60</v>
      </c>
      <c r="N38" s="348">
        <v>17</v>
      </c>
      <c r="O38" s="348">
        <v>17</v>
      </c>
      <c r="Q38" t="s">
        <v>277</v>
      </c>
      <c r="R38" t="s">
        <v>277</v>
      </c>
      <c r="S38">
        <v>4</v>
      </c>
      <c r="V38" t="s">
        <v>2219</v>
      </c>
      <c r="W38">
        <v>3030</v>
      </c>
      <c r="X38">
        <v>2272</v>
      </c>
      <c r="Y38">
        <v>3194</v>
      </c>
      <c r="Z38" t="s">
        <v>872</v>
      </c>
      <c r="AA38" t="s">
        <v>302</v>
      </c>
    </row>
    <row r="39" spans="1:27">
      <c r="A39" t="str">
        <f t="shared" si="0"/>
        <v>976-FRG124695MQ.TUNEL DE CG (CONTINUO)</v>
      </c>
      <c r="B39" t="s">
        <v>2875</v>
      </c>
      <c r="C39" t="s">
        <v>2216</v>
      </c>
      <c r="D39" t="s">
        <v>2217</v>
      </c>
      <c r="E39" s="626" t="s">
        <v>2832</v>
      </c>
      <c r="F39" s="626" t="s">
        <v>2832</v>
      </c>
      <c r="G39" t="s">
        <v>2833</v>
      </c>
      <c r="H39" t="s">
        <v>2808</v>
      </c>
      <c r="I39" t="s">
        <v>872</v>
      </c>
      <c r="J39" t="s">
        <v>2229</v>
      </c>
      <c r="M39" s="348">
        <v>60</v>
      </c>
      <c r="N39" s="348">
        <v>17</v>
      </c>
      <c r="O39" s="348">
        <v>17</v>
      </c>
      <c r="Q39" t="s">
        <v>277</v>
      </c>
      <c r="R39" t="s">
        <v>277</v>
      </c>
      <c r="S39">
        <v>4</v>
      </c>
      <c r="V39" t="s">
        <v>2219</v>
      </c>
      <c r="W39">
        <v>3039</v>
      </c>
      <c r="X39">
        <v>2272</v>
      </c>
      <c r="Y39">
        <v>3194</v>
      </c>
      <c r="Z39" t="s">
        <v>872</v>
      </c>
      <c r="AA39" t="s">
        <v>302</v>
      </c>
    </row>
    <row r="40" spans="1:27">
      <c r="A40" t="str">
        <f t="shared" si="0"/>
        <v>976-FRG124732MQ.GIROFREEZER</v>
      </c>
      <c r="B40" t="s">
        <v>2875</v>
      </c>
      <c r="C40" t="s">
        <v>2216</v>
      </c>
      <c r="D40" t="s">
        <v>2217</v>
      </c>
      <c r="E40" s="626" t="s">
        <v>2834</v>
      </c>
      <c r="F40" s="626" t="s">
        <v>2834</v>
      </c>
      <c r="G40" t="s">
        <v>2835</v>
      </c>
      <c r="H40" t="s">
        <v>2665</v>
      </c>
      <c r="I40" t="s">
        <v>2836</v>
      </c>
      <c r="J40" t="s">
        <v>2754</v>
      </c>
      <c r="M40" s="348">
        <v>60</v>
      </c>
      <c r="N40" s="348">
        <v>3.5</v>
      </c>
      <c r="O40" s="348">
        <v>3.5</v>
      </c>
      <c r="Q40" t="s">
        <v>277</v>
      </c>
      <c r="R40" t="s">
        <v>277</v>
      </c>
      <c r="S40">
        <v>4</v>
      </c>
      <c r="V40" t="s">
        <v>2219</v>
      </c>
      <c r="W40">
        <v>3034</v>
      </c>
      <c r="X40">
        <v>2286</v>
      </c>
      <c r="Y40">
        <v>3186</v>
      </c>
      <c r="Z40" t="s">
        <v>260</v>
      </c>
      <c r="AA40" t="s">
        <v>302</v>
      </c>
    </row>
    <row r="41" spans="1:27">
      <c r="A41" t="str">
        <f t="shared" si="0"/>
        <v>976-FRG124735MQ.GIROFREEZER</v>
      </c>
      <c r="B41" t="s">
        <v>2875</v>
      </c>
      <c r="C41" t="s">
        <v>2216</v>
      </c>
      <c r="D41" t="s">
        <v>2217</v>
      </c>
      <c r="E41" s="626" t="s">
        <v>2837</v>
      </c>
      <c r="F41" s="626" t="s">
        <v>2837</v>
      </c>
      <c r="G41" t="s">
        <v>2838</v>
      </c>
      <c r="H41" t="s">
        <v>2602</v>
      </c>
      <c r="I41" t="s">
        <v>2836</v>
      </c>
      <c r="J41" t="s">
        <v>2754</v>
      </c>
      <c r="M41" s="348">
        <v>60</v>
      </c>
      <c r="N41" s="348">
        <v>3.5</v>
      </c>
      <c r="O41" s="348">
        <v>3.5</v>
      </c>
      <c r="Q41" t="s">
        <v>277</v>
      </c>
      <c r="R41" t="s">
        <v>277</v>
      </c>
      <c r="S41">
        <v>4</v>
      </c>
      <c r="V41" t="s">
        <v>2219</v>
      </c>
      <c r="W41">
        <v>3036</v>
      </c>
      <c r="X41">
        <v>2286</v>
      </c>
      <c r="Y41">
        <v>3186</v>
      </c>
      <c r="Z41" t="s">
        <v>260</v>
      </c>
      <c r="AA41" t="s">
        <v>302</v>
      </c>
    </row>
    <row r="42" spans="1:27">
      <c r="A42" t="str">
        <f t="shared" si="0"/>
        <v>976-FRG124736MQ.GIROFREEZER</v>
      </c>
      <c r="B42" t="s">
        <v>2875</v>
      </c>
      <c r="C42" t="s">
        <v>2216</v>
      </c>
      <c r="D42" t="s">
        <v>2217</v>
      </c>
      <c r="E42" s="626" t="s">
        <v>2839</v>
      </c>
      <c r="F42" s="626" t="s">
        <v>2839</v>
      </c>
      <c r="G42" t="s">
        <v>2840</v>
      </c>
      <c r="H42" t="s">
        <v>934</v>
      </c>
      <c r="I42" t="s">
        <v>2836</v>
      </c>
      <c r="J42" t="s">
        <v>2754</v>
      </c>
      <c r="M42" s="348">
        <v>60</v>
      </c>
      <c r="N42" s="348">
        <v>2.8</v>
      </c>
      <c r="O42" s="348">
        <v>2.8</v>
      </c>
      <c r="Q42" t="s">
        <v>277</v>
      </c>
      <c r="R42" t="s">
        <v>277</v>
      </c>
      <c r="S42">
        <v>4</v>
      </c>
      <c r="V42" t="s">
        <v>2219</v>
      </c>
      <c r="W42">
        <v>3060</v>
      </c>
      <c r="X42">
        <v>2286</v>
      </c>
      <c r="Y42">
        <v>3186</v>
      </c>
      <c r="Z42" t="s">
        <v>260</v>
      </c>
      <c r="AA42" t="s">
        <v>302</v>
      </c>
    </row>
    <row r="43" spans="1:27">
      <c r="A43" t="str">
        <f t="shared" si="0"/>
        <v>976-FRG124739MQ.GIROFREEZER</v>
      </c>
      <c r="B43" t="s">
        <v>2875</v>
      </c>
      <c r="C43" t="s">
        <v>2216</v>
      </c>
      <c r="D43" t="s">
        <v>2217</v>
      </c>
      <c r="E43" s="626" t="s">
        <v>2841</v>
      </c>
      <c r="F43" s="626" t="s">
        <v>2841</v>
      </c>
      <c r="G43" t="s">
        <v>2534</v>
      </c>
      <c r="H43" t="s">
        <v>2600</v>
      </c>
      <c r="I43" t="s">
        <v>2836</v>
      </c>
      <c r="J43" t="s">
        <v>2754</v>
      </c>
      <c r="M43" s="348">
        <v>60</v>
      </c>
      <c r="N43" s="348">
        <v>3.5</v>
      </c>
      <c r="O43" s="348">
        <v>3.5</v>
      </c>
      <c r="Q43" t="s">
        <v>277</v>
      </c>
      <c r="R43" t="s">
        <v>277</v>
      </c>
      <c r="S43">
        <v>4</v>
      </c>
      <c r="V43" t="s">
        <v>2219</v>
      </c>
      <c r="W43">
        <v>3046</v>
      </c>
      <c r="X43">
        <v>2286</v>
      </c>
      <c r="Y43">
        <v>3186</v>
      </c>
      <c r="Z43" t="s">
        <v>260</v>
      </c>
      <c r="AA43" t="s">
        <v>302</v>
      </c>
    </row>
    <row r="44" spans="1:27">
      <c r="A44" t="str">
        <f t="shared" si="0"/>
        <v>976-FRG124740MQ.GIROFREEZER</v>
      </c>
      <c r="B44" t="s">
        <v>2875</v>
      </c>
      <c r="C44" t="s">
        <v>2216</v>
      </c>
      <c r="D44" t="s">
        <v>2217</v>
      </c>
      <c r="E44" s="626" t="s">
        <v>2842</v>
      </c>
      <c r="F44" s="626" t="s">
        <v>2842</v>
      </c>
      <c r="G44" t="s">
        <v>1407</v>
      </c>
      <c r="H44" t="s">
        <v>2843</v>
      </c>
      <c r="I44" t="s">
        <v>2836</v>
      </c>
      <c r="J44" t="s">
        <v>2754</v>
      </c>
      <c r="M44" s="348">
        <v>60</v>
      </c>
      <c r="N44" s="348">
        <v>3.5</v>
      </c>
      <c r="O44" s="348">
        <v>3.5</v>
      </c>
      <c r="Q44" t="s">
        <v>277</v>
      </c>
      <c r="R44" t="s">
        <v>277</v>
      </c>
      <c r="S44">
        <v>4</v>
      </c>
      <c r="V44" t="s">
        <v>2219</v>
      </c>
      <c r="W44">
        <v>3047</v>
      </c>
      <c r="X44">
        <v>2286</v>
      </c>
      <c r="Y44">
        <v>3186</v>
      </c>
      <c r="Z44" t="s">
        <v>260</v>
      </c>
      <c r="AA44" t="s">
        <v>302</v>
      </c>
    </row>
    <row r="45" spans="1:27">
      <c r="A45" t="str">
        <f t="shared" si="0"/>
        <v>976-FRG124741MQ.GIROFREEZER</v>
      </c>
      <c r="B45" t="s">
        <v>2875</v>
      </c>
      <c r="C45" t="s">
        <v>2216</v>
      </c>
      <c r="D45" t="s">
        <v>2217</v>
      </c>
      <c r="E45" s="626" t="s">
        <v>2844</v>
      </c>
      <c r="F45" s="626" t="s">
        <v>2844</v>
      </c>
      <c r="G45" t="s">
        <v>2534</v>
      </c>
      <c r="H45" t="s">
        <v>2600</v>
      </c>
      <c r="I45" t="s">
        <v>2836</v>
      </c>
      <c r="J45" t="s">
        <v>2754</v>
      </c>
      <c r="M45" s="348">
        <v>60</v>
      </c>
      <c r="N45" s="348">
        <v>3.5</v>
      </c>
      <c r="O45" s="348">
        <v>3.5</v>
      </c>
      <c r="Q45" t="s">
        <v>277</v>
      </c>
      <c r="R45" t="s">
        <v>277</v>
      </c>
      <c r="S45">
        <v>4</v>
      </c>
      <c r="V45" t="s">
        <v>2219</v>
      </c>
      <c r="W45">
        <v>3046</v>
      </c>
      <c r="X45">
        <v>2286</v>
      </c>
      <c r="Y45">
        <v>3186</v>
      </c>
      <c r="Z45" t="s">
        <v>260</v>
      </c>
      <c r="AA45" t="s">
        <v>302</v>
      </c>
    </row>
    <row r="46" spans="1:27">
      <c r="A46" t="str">
        <f t="shared" si="0"/>
        <v>976-FRG197718MQ.GIROFREEZER</v>
      </c>
      <c r="B46" t="s">
        <v>2875</v>
      </c>
      <c r="C46" t="s">
        <v>2216</v>
      </c>
      <c r="D46" t="s">
        <v>2217</v>
      </c>
      <c r="E46" s="626" t="s">
        <v>2663</v>
      </c>
      <c r="F46" s="626" t="s">
        <v>2663</v>
      </c>
      <c r="G46" t="s">
        <v>2098</v>
      </c>
      <c r="H46" t="s">
        <v>2225</v>
      </c>
      <c r="I46" t="s">
        <v>2836</v>
      </c>
      <c r="J46" t="s">
        <v>2754</v>
      </c>
      <c r="M46" s="348">
        <v>60</v>
      </c>
      <c r="N46" s="348">
        <v>2.8</v>
      </c>
      <c r="O46" s="348">
        <v>2.8</v>
      </c>
      <c r="Q46" t="s">
        <v>277</v>
      </c>
      <c r="R46" t="s">
        <v>277</v>
      </c>
      <c r="S46">
        <v>4</v>
      </c>
      <c r="V46" t="s">
        <v>2219</v>
      </c>
      <c r="W46">
        <v>3068</v>
      </c>
      <c r="X46">
        <v>2286</v>
      </c>
      <c r="Y46">
        <v>3186</v>
      </c>
      <c r="Z46" t="s">
        <v>260</v>
      </c>
      <c r="AA46" t="s">
        <v>302</v>
      </c>
    </row>
    <row r="47" spans="1:27">
      <c r="A47" t="str">
        <f t="shared" si="0"/>
        <v>976-FRG197726MQ.GIROFREEZER</v>
      </c>
      <c r="B47" t="s">
        <v>2875</v>
      </c>
      <c r="C47" t="s">
        <v>2216</v>
      </c>
      <c r="D47" t="s">
        <v>2217</v>
      </c>
      <c r="E47" s="626" t="s">
        <v>2664</v>
      </c>
      <c r="F47" s="626" t="s">
        <v>2664</v>
      </c>
      <c r="G47" t="s">
        <v>2051</v>
      </c>
      <c r="H47" t="s">
        <v>2665</v>
      </c>
      <c r="I47" t="s">
        <v>2836</v>
      </c>
      <c r="J47" t="s">
        <v>2754</v>
      </c>
      <c r="M47" s="348">
        <v>60</v>
      </c>
      <c r="N47" s="348">
        <v>3.5</v>
      </c>
      <c r="O47" s="348">
        <v>3.5</v>
      </c>
      <c r="Q47" t="s">
        <v>277</v>
      </c>
      <c r="R47" t="s">
        <v>277</v>
      </c>
      <c r="S47">
        <v>4</v>
      </c>
      <c r="V47" t="s">
        <v>2219</v>
      </c>
      <c r="W47">
        <v>3034</v>
      </c>
      <c r="X47">
        <v>2286</v>
      </c>
      <c r="Y47">
        <v>3186</v>
      </c>
      <c r="Z47" t="s">
        <v>260</v>
      </c>
      <c r="AA47" t="s">
        <v>302</v>
      </c>
    </row>
    <row r="48" spans="1:27">
      <c r="A48" t="str">
        <f t="shared" si="0"/>
        <v>976-FRG197734MQ.GIROFREEZER</v>
      </c>
      <c r="B48" t="s">
        <v>2875</v>
      </c>
      <c r="C48" t="s">
        <v>2216</v>
      </c>
      <c r="D48" t="s">
        <v>2217</v>
      </c>
      <c r="E48" s="626" t="s">
        <v>2666</v>
      </c>
      <c r="F48" s="626" t="s">
        <v>2666</v>
      </c>
      <c r="G48" t="s">
        <v>2613</v>
      </c>
      <c r="H48" t="s">
        <v>2600</v>
      </c>
      <c r="I48" t="s">
        <v>2836</v>
      </c>
      <c r="J48" t="s">
        <v>2754</v>
      </c>
      <c r="M48" s="348">
        <v>60</v>
      </c>
      <c r="N48" s="348">
        <v>3.5</v>
      </c>
      <c r="O48" s="348">
        <v>3.5</v>
      </c>
      <c r="Q48" t="s">
        <v>277</v>
      </c>
      <c r="R48" t="s">
        <v>277</v>
      </c>
      <c r="S48">
        <v>4</v>
      </c>
      <c r="V48" t="s">
        <v>2219</v>
      </c>
      <c r="W48">
        <v>3046</v>
      </c>
      <c r="X48">
        <v>2286</v>
      </c>
      <c r="Y48">
        <v>3186</v>
      </c>
      <c r="Z48" t="s">
        <v>260</v>
      </c>
      <c r="AA48" t="s">
        <v>302</v>
      </c>
    </row>
    <row r="49" spans="1:27">
      <c r="A49" t="str">
        <f t="shared" si="0"/>
        <v>976-FRG197742MQ.GIROFREEZER</v>
      </c>
      <c r="B49" t="s">
        <v>2875</v>
      </c>
      <c r="C49" t="s">
        <v>2216</v>
      </c>
      <c r="D49" t="s">
        <v>2217</v>
      </c>
      <c r="E49" s="626" t="s">
        <v>2667</v>
      </c>
      <c r="F49" s="626" t="s">
        <v>2667</v>
      </c>
      <c r="G49" t="s">
        <v>2045</v>
      </c>
      <c r="H49" t="s">
        <v>2602</v>
      </c>
      <c r="I49" t="s">
        <v>2836</v>
      </c>
      <c r="J49" t="s">
        <v>2754</v>
      </c>
      <c r="M49" s="348">
        <v>60</v>
      </c>
      <c r="N49" s="348">
        <v>3.5</v>
      </c>
      <c r="O49" s="348">
        <v>3.5</v>
      </c>
      <c r="Q49" t="s">
        <v>277</v>
      </c>
      <c r="R49" t="s">
        <v>277</v>
      </c>
      <c r="S49">
        <v>4</v>
      </c>
      <c r="V49" t="s">
        <v>2219</v>
      </c>
      <c r="W49">
        <v>3036</v>
      </c>
      <c r="X49">
        <v>2286</v>
      </c>
      <c r="Y49">
        <v>3186</v>
      </c>
      <c r="Z49" t="s">
        <v>260</v>
      </c>
      <c r="AA49" t="s">
        <v>302</v>
      </c>
    </row>
    <row r="50" spans="1:27">
      <c r="A50" t="str">
        <f t="shared" si="0"/>
        <v>976-FRG790729MQ.TUNEL DE CG (CONTINUO)</v>
      </c>
      <c r="B50" t="s">
        <v>2875</v>
      </c>
      <c r="C50" t="s">
        <v>2216</v>
      </c>
      <c r="D50" t="s">
        <v>2217</v>
      </c>
      <c r="E50" s="626" t="s">
        <v>2668</v>
      </c>
      <c r="F50" s="626" t="s">
        <v>2668</v>
      </c>
      <c r="G50" t="s">
        <v>2226</v>
      </c>
      <c r="H50" t="s">
        <v>2223</v>
      </c>
      <c r="I50" t="s">
        <v>872</v>
      </c>
      <c r="J50" t="s">
        <v>2229</v>
      </c>
      <c r="M50" s="348">
        <v>60</v>
      </c>
      <c r="N50" s="348">
        <v>17</v>
      </c>
      <c r="O50" s="348">
        <v>17</v>
      </c>
      <c r="Q50" t="s">
        <v>277</v>
      </c>
      <c r="R50" t="s">
        <v>277</v>
      </c>
      <c r="S50">
        <v>4</v>
      </c>
      <c r="V50" t="s">
        <v>2219</v>
      </c>
      <c r="W50">
        <v>3065</v>
      </c>
      <c r="X50">
        <v>2272</v>
      </c>
      <c r="Y50">
        <v>3194</v>
      </c>
      <c r="Z50" t="s">
        <v>872</v>
      </c>
      <c r="AA50" t="s">
        <v>302</v>
      </c>
    </row>
    <row r="51" spans="1:27">
      <c r="A51" t="str">
        <f t="shared" si="0"/>
        <v>976-FRG792306MQ.GIROFREEZER</v>
      </c>
      <c r="B51" t="s">
        <v>2875</v>
      </c>
      <c r="C51" t="s">
        <v>2216</v>
      </c>
      <c r="D51" t="s">
        <v>2217</v>
      </c>
      <c r="E51" s="626" t="s">
        <v>2669</v>
      </c>
      <c r="F51" s="626" t="s">
        <v>2669</v>
      </c>
      <c r="G51" t="s">
        <v>1473</v>
      </c>
      <c r="H51" t="s">
        <v>934</v>
      </c>
      <c r="I51" t="s">
        <v>2836</v>
      </c>
      <c r="J51" t="s">
        <v>2754</v>
      </c>
      <c r="M51" s="348">
        <v>60</v>
      </c>
      <c r="N51" s="348">
        <v>2.8</v>
      </c>
      <c r="O51" s="348">
        <v>2.8</v>
      </c>
      <c r="Q51" t="s">
        <v>277</v>
      </c>
      <c r="R51" t="s">
        <v>277</v>
      </c>
      <c r="S51">
        <v>4</v>
      </c>
      <c r="V51" t="s">
        <v>2219</v>
      </c>
      <c r="W51">
        <v>3060</v>
      </c>
      <c r="X51">
        <v>2286</v>
      </c>
      <c r="Y51">
        <v>3186</v>
      </c>
      <c r="Z51" t="s">
        <v>260</v>
      </c>
      <c r="AA51" t="s">
        <v>302</v>
      </c>
    </row>
    <row r="52" spans="1:27">
      <c r="A52" t="str">
        <f t="shared" si="0"/>
        <v>976-FRG792314MQ.GIROFREEZER</v>
      </c>
      <c r="B52" t="s">
        <v>2875</v>
      </c>
      <c r="C52" t="s">
        <v>2216</v>
      </c>
      <c r="D52" t="s">
        <v>2217</v>
      </c>
      <c r="E52" s="626" t="s">
        <v>2845</v>
      </c>
      <c r="F52" s="626" t="s">
        <v>2845</v>
      </c>
      <c r="G52" t="s">
        <v>2775</v>
      </c>
      <c r="H52" t="s">
        <v>2846</v>
      </c>
      <c r="I52" t="s">
        <v>2836</v>
      </c>
      <c r="J52" t="s">
        <v>2754</v>
      </c>
      <c r="M52" s="348">
        <v>60</v>
      </c>
      <c r="N52" s="348">
        <v>2.8</v>
      </c>
      <c r="O52" s="348">
        <v>2.8</v>
      </c>
      <c r="Q52" t="s">
        <v>277</v>
      </c>
      <c r="R52" t="s">
        <v>277</v>
      </c>
      <c r="S52">
        <v>4</v>
      </c>
      <c r="V52" t="s">
        <v>2219</v>
      </c>
      <c r="W52">
        <v>3063</v>
      </c>
      <c r="X52">
        <v>2286</v>
      </c>
      <c r="Y52">
        <v>3186</v>
      </c>
      <c r="Z52" t="s">
        <v>260</v>
      </c>
      <c r="AA52" t="s">
        <v>302</v>
      </c>
    </row>
    <row r="53" spans="1:27">
      <c r="A53" t="str">
        <f t="shared" si="0"/>
        <v>976-FRG795259MQ.TUNEL DE CG (CONTINUO)</v>
      </c>
      <c r="B53" t="s">
        <v>2875</v>
      </c>
      <c r="C53" t="s">
        <v>2216</v>
      </c>
      <c r="D53" t="s">
        <v>2217</v>
      </c>
      <c r="E53" s="626" t="s">
        <v>2847</v>
      </c>
      <c r="F53" s="626" t="s">
        <v>2847</v>
      </c>
      <c r="G53" t="s">
        <v>2246</v>
      </c>
      <c r="H53" t="s">
        <v>2222</v>
      </c>
      <c r="I53" t="s">
        <v>872</v>
      </c>
      <c r="J53" t="s">
        <v>2229</v>
      </c>
      <c r="M53" s="348">
        <v>60</v>
      </c>
      <c r="N53" s="348">
        <v>18.13</v>
      </c>
      <c r="O53" s="348">
        <v>18.13</v>
      </c>
      <c r="Q53" t="s">
        <v>277</v>
      </c>
      <c r="R53" t="s">
        <v>277</v>
      </c>
      <c r="S53">
        <v>4</v>
      </c>
      <c r="V53" t="s">
        <v>2219</v>
      </c>
      <c r="W53">
        <v>3064</v>
      </c>
      <c r="X53">
        <v>2272</v>
      </c>
      <c r="Y53">
        <v>3194</v>
      </c>
      <c r="Z53" t="s">
        <v>872</v>
      </c>
      <c r="AA53" t="s">
        <v>302</v>
      </c>
    </row>
    <row r="54" spans="1:27">
      <c r="A54" t="str">
        <f t="shared" si="0"/>
        <v>976-FRG868965MQ.TUNEL DE CG (CONTINUO)</v>
      </c>
      <c r="B54" t="s">
        <v>2875</v>
      </c>
      <c r="C54" t="s">
        <v>2216</v>
      </c>
      <c r="D54" t="s">
        <v>2217</v>
      </c>
      <c r="E54" s="626" t="s">
        <v>2848</v>
      </c>
      <c r="F54" s="626" t="s">
        <v>2848</v>
      </c>
      <c r="G54" t="s">
        <v>2849</v>
      </c>
      <c r="H54" t="s">
        <v>2850</v>
      </c>
      <c r="I54" t="s">
        <v>872</v>
      </c>
      <c r="J54" t="s">
        <v>2229</v>
      </c>
      <c r="M54" s="348">
        <v>60</v>
      </c>
      <c r="N54" s="348">
        <v>18.13</v>
      </c>
      <c r="O54" s="348">
        <v>18.13</v>
      </c>
      <c r="Q54" t="s">
        <v>277</v>
      </c>
      <c r="R54" t="s">
        <v>277</v>
      </c>
      <c r="S54">
        <v>4</v>
      </c>
      <c r="V54" t="s">
        <v>2219</v>
      </c>
      <c r="W54">
        <v>3066</v>
      </c>
      <c r="X54">
        <v>2272</v>
      </c>
      <c r="Y54">
        <v>3194</v>
      </c>
      <c r="Z54" t="s">
        <v>872</v>
      </c>
      <c r="AA54" t="s">
        <v>302</v>
      </c>
    </row>
    <row r="55" spans="1:27">
      <c r="A55" t="str">
        <f t="shared" si="0"/>
        <v>976-FRG951552MQ.TUNEL DE CG (CONTINUO)</v>
      </c>
      <c r="B55" t="s">
        <v>2875</v>
      </c>
      <c r="C55" t="s">
        <v>2216</v>
      </c>
      <c r="D55" t="s">
        <v>2217</v>
      </c>
      <c r="E55" s="626" t="s">
        <v>2851</v>
      </c>
      <c r="F55" s="626" t="s">
        <v>2851</v>
      </c>
      <c r="G55" t="s">
        <v>2852</v>
      </c>
      <c r="H55" t="s">
        <v>2853</v>
      </c>
      <c r="I55" t="s">
        <v>872</v>
      </c>
      <c r="J55" t="s">
        <v>2229</v>
      </c>
      <c r="M55" s="348">
        <v>60</v>
      </c>
      <c r="N55" s="348">
        <v>16.32</v>
      </c>
      <c r="O55" s="348">
        <v>16.32</v>
      </c>
      <c r="Q55" t="s">
        <v>277</v>
      </c>
      <c r="R55" t="s">
        <v>277</v>
      </c>
      <c r="S55">
        <v>4</v>
      </c>
      <c r="V55" t="s">
        <v>2219</v>
      </c>
      <c r="W55">
        <v>3057</v>
      </c>
      <c r="X55">
        <v>2272</v>
      </c>
      <c r="Y55">
        <v>3194</v>
      </c>
      <c r="Z55" t="s">
        <v>872</v>
      </c>
      <c r="AA55" t="s">
        <v>302</v>
      </c>
    </row>
    <row r="56" spans="1:27">
      <c r="A56" t="str">
        <f t="shared" si="0"/>
        <v>976-FRG956830MQ.TUNEL DE CG (CONTINUO)</v>
      </c>
      <c r="B56" t="s">
        <v>2875</v>
      </c>
      <c r="C56" t="s">
        <v>2216</v>
      </c>
      <c r="D56" t="s">
        <v>2217</v>
      </c>
      <c r="E56" s="626" t="s">
        <v>2854</v>
      </c>
      <c r="F56" s="626" t="s">
        <v>2854</v>
      </c>
      <c r="G56" t="s">
        <v>2549</v>
      </c>
      <c r="H56" t="s">
        <v>2850</v>
      </c>
      <c r="I56" t="s">
        <v>872</v>
      </c>
      <c r="J56" t="s">
        <v>2229</v>
      </c>
      <c r="M56" s="348">
        <v>60</v>
      </c>
      <c r="N56" s="348">
        <v>18.13</v>
      </c>
      <c r="O56" s="348">
        <v>18.13</v>
      </c>
      <c r="Q56" t="s">
        <v>277</v>
      </c>
      <c r="R56" t="s">
        <v>277</v>
      </c>
      <c r="S56">
        <v>4</v>
      </c>
      <c r="V56" t="s">
        <v>2219</v>
      </c>
      <c r="W56">
        <v>3066</v>
      </c>
      <c r="X56">
        <v>2272</v>
      </c>
      <c r="Y56">
        <v>3194</v>
      </c>
      <c r="Z56" t="s">
        <v>872</v>
      </c>
      <c r="AA56" t="s">
        <v>302</v>
      </c>
    </row>
    <row r="57" spans="1:27">
      <c r="A57" t="str">
        <f t="shared" si="0"/>
        <v>976-FRG958115MQ.GIROFREEZER</v>
      </c>
      <c r="B57" t="s">
        <v>2875</v>
      </c>
      <c r="C57" t="s">
        <v>2216</v>
      </c>
      <c r="D57" t="s">
        <v>2217</v>
      </c>
      <c r="E57" s="626" t="s">
        <v>2855</v>
      </c>
      <c r="F57" s="626" t="s">
        <v>2855</v>
      </c>
      <c r="G57" t="s">
        <v>2856</v>
      </c>
      <c r="H57" t="s">
        <v>2225</v>
      </c>
      <c r="I57" t="s">
        <v>2836</v>
      </c>
      <c r="J57" t="s">
        <v>2754</v>
      </c>
      <c r="M57" s="348">
        <v>60</v>
      </c>
      <c r="N57" s="348">
        <v>2.8</v>
      </c>
      <c r="O57" s="348">
        <v>2.8</v>
      </c>
      <c r="Q57" t="s">
        <v>277</v>
      </c>
      <c r="R57" t="s">
        <v>277</v>
      </c>
      <c r="S57">
        <v>4</v>
      </c>
      <c r="V57" t="s">
        <v>2219</v>
      </c>
      <c r="W57">
        <v>3068</v>
      </c>
      <c r="X57">
        <v>2286</v>
      </c>
      <c r="Y57">
        <v>3186</v>
      </c>
      <c r="Z57" t="s">
        <v>260</v>
      </c>
      <c r="AA57" t="s">
        <v>302</v>
      </c>
    </row>
    <row r="58" spans="1:27">
      <c r="A58" t="str">
        <f t="shared" si="0"/>
        <v>976-FRG958557MQ.GIROFREEZER</v>
      </c>
      <c r="B58" t="s">
        <v>2875</v>
      </c>
      <c r="C58" t="s">
        <v>2216</v>
      </c>
      <c r="D58" t="s">
        <v>2217</v>
      </c>
      <c r="E58" s="626" t="s">
        <v>2857</v>
      </c>
      <c r="F58" s="626" t="s">
        <v>2857</v>
      </c>
      <c r="G58" t="s">
        <v>2272</v>
      </c>
      <c r="H58" t="s">
        <v>2272</v>
      </c>
      <c r="I58" t="s">
        <v>2836</v>
      </c>
      <c r="J58" t="s">
        <v>2754</v>
      </c>
      <c r="M58" s="348">
        <v>60</v>
      </c>
      <c r="N58" s="348">
        <v>3</v>
      </c>
      <c r="O58" s="348">
        <v>3</v>
      </c>
      <c r="Q58" t="s">
        <v>277</v>
      </c>
      <c r="R58" t="s">
        <v>277</v>
      </c>
      <c r="S58">
        <v>4</v>
      </c>
      <c r="V58" t="s">
        <v>2219</v>
      </c>
      <c r="W58">
        <v>3042</v>
      </c>
      <c r="X58">
        <v>2286</v>
      </c>
      <c r="Y58">
        <v>3186</v>
      </c>
      <c r="Z58" t="s">
        <v>260</v>
      </c>
      <c r="AA58" t="s">
        <v>302</v>
      </c>
    </row>
    <row r="59" spans="1:27">
      <c r="A59" t="str">
        <f t="shared" si="0"/>
        <v>976-FRG958565MQ.GIROFREEZER</v>
      </c>
      <c r="B59" t="s">
        <v>2875</v>
      </c>
      <c r="C59" t="s">
        <v>2216</v>
      </c>
      <c r="D59" t="s">
        <v>2217</v>
      </c>
      <c r="E59" s="626" t="s">
        <v>2858</v>
      </c>
      <c r="F59" s="626" t="s">
        <v>2858</v>
      </c>
      <c r="G59" t="s">
        <v>2273</v>
      </c>
      <c r="H59" t="s">
        <v>2273</v>
      </c>
      <c r="I59" t="s">
        <v>2836</v>
      </c>
      <c r="J59" t="s">
        <v>2754</v>
      </c>
      <c r="M59" s="348">
        <v>60</v>
      </c>
      <c r="N59" s="348">
        <v>3.3</v>
      </c>
      <c r="O59" s="348">
        <v>3.3</v>
      </c>
      <c r="Q59" t="s">
        <v>277</v>
      </c>
      <c r="R59" t="s">
        <v>277</v>
      </c>
      <c r="S59">
        <v>4</v>
      </c>
      <c r="V59" t="s">
        <v>2219</v>
      </c>
      <c r="W59">
        <v>3043</v>
      </c>
      <c r="X59">
        <v>2286</v>
      </c>
      <c r="Y59">
        <v>3186</v>
      </c>
      <c r="Z59" t="s">
        <v>260</v>
      </c>
      <c r="AA59" t="s">
        <v>302</v>
      </c>
    </row>
    <row r="60" spans="1:27">
      <c r="A60" t="str">
        <f t="shared" si="0"/>
        <v>976-FRG958573MQ.GIROFREEZER</v>
      </c>
      <c r="B60" t="s">
        <v>2875</v>
      </c>
      <c r="C60" t="s">
        <v>2216</v>
      </c>
      <c r="D60" t="s">
        <v>2217</v>
      </c>
      <c r="E60" s="626" t="s">
        <v>2859</v>
      </c>
      <c r="F60" s="626" t="s">
        <v>2859</v>
      </c>
      <c r="G60" t="s">
        <v>2247</v>
      </c>
      <c r="H60" t="s">
        <v>2247</v>
      </c>
      <c r="I60" t="s">
        <v>2836</v>
      </c>
      <c r="J60" t="s">
        <v>2754</v>
      </c>
      <c r="M60" s="348">
        <v>60</v>
      </c>
      <c r="N60" s="348">
        <v>3.3</v>
      </c>
      <c r="O60" s="348">
        <v>3.3</v>
      </c>
      <c r="Q60" t="s">
        <v>277</v>
      </c>
      <c r="R60" t="s">
        <v>277</v>
      </c>
      <c r="S60">
        <v>4</v>
      </c>
      <c r="V60" t="s">
        <v>2219</v>
      </c>
      <c r="W60">
        <v>3044</v>
      </c>
      <c r="X60">
        <v>2286</v>
      </c>
      <c r="Y60">
        <v>3186</v>
      </c>
      <c r="Z60" t="s">
        <v>260</v>
      </c>
      <c r="AA60" t="s">
        <v>302</v>
      </c>
    </row>
    <row r="61" spans="1:27">
      <c r="A61" t="str">
        <f t="shared" si="0"/>
        <v>976-FRG958581MQ.GIROFREEZER</v>
      </c>
      <c r="B61" t="s">
        <v>2875</v>
      </c>
      <c r="C61" t="s">
        <v>2216</v>
      </c>
      <c r="D61" t="s">
        <v>2217</v>
      </c>
      <c r="E61" s="626" t="s">
        <v>2860</v>
      </c>
      <c r="F61" s="626" t="s">
        <v>2860</v>
      </c>
      <c r="G61" t="s">
        <v>2274</v>
      </c>
      <c r="H61" t="s">
        <v>2861</v>
      </c>
      <c r="I61" t="s">
        <v>2836</v>
      </c>
      <c r="J61" t="s">
        <v>2754</v>
      </c>
      <c r="M61" s="348">
        <v>60</v>
      </c>
      <c r="N61" s="348">
        <v>2.8</v>
      </c>
      <c r="O61" s="348">
        <v>2.8</v>
      </c>
      <c r="Q61" t="s">
        <v>277</v>
      </c>
      <c r="R61" t="s">
        <v>277</v>
      </c>
      <c r="S61">
        <v>4</v>
      </c>
      <c r="V61" t="s">
        <v>2219</v>
      </c>
      <c r="W61">
        <v>3045</v>
      </c>
      <c r="X61">
        <v>2286</v>
      </c>
      <c r="Y61">
        <v>3186</v>
      </c>
      <c r="Z61" t="s">
        <v>260</v>
      </c>
      <c r="AA61" t="s">
        <v>302</v>
      </c>
    </row>
    <row r="62" spans="1:27">
      <c r="A62" t="str">
        <f t="shared" si="0"/>
        <v>976-FRG958603MQ.GIROFREEZER</v>
      </c>
      <c r="B62" t="s">
        <v>2875</v>
      </c>
      <c r="C62" t="s">
        <v>2216</v>
      </c>
      <c r="D62" t="s">
        <v>2217</v>
      </c>
      <c r="E62" s="626" t="s">
        <v>2862</v>
      </c>
      <c r="F62" s="626" t="s">
        <v>2862</v>
      </c>
      <c r="G62" t="s">
        <v>2276</v>
      </c>
      <c r="H62" t="s">
        <v>2225</v>
      </c>
      <c r="I62" t="s">
        <v>2836</v>
      </c>
      <c r="J62" t="s">
        <v>2754</v>
      </c>
      <c r="M62" s="348">
        <v>60</v>
      </c>
      <c r="N62" s="348">
        <v>2.8</v>
      </c>
      <c r="O62" s="348">
        <v>2.8</v>
      </c>
      <c r="Q62" t="s">
        <v>277</v>
      </c>
      <c r="R62" t="s">
        <v>277</v>
      </c>
      <c r="S62">
        <v>4</v>
      </c>
      <c r="V62" t="s">
        <v>2219</v>
      </c>
      <c r="W62">
        <v>3068</v>
      </c>
      <c r="X62">
        <v>2286</v>
      </c>
      <c r="Y62">
        <v>3186</v>
      </c>
      <c r="Z62" t="s">
        <v>260</v>
      </c>
      <c r="AA62" t="s">
        <v>302</v>
      </c>
    </row>
    <row r="63" spans="1:27">
      <c r="A63" t="str">
        <f t="shared" si="0"/>
        <v>976-FRG958611MQ.GIROFREEZER</v>
      </c>
      <c r="B63" t="s">
        <v>2875</v>
      </c>
      <c r="C63" t="s">
        <v>2216</v>
      </c>
      <c r="D63" t="s">
        <v>2217</v>
      </c>
      <c r="E63" s="626" t="s">
        <v>2755</v>
      </c>
      <c r="F63" s="626" t="s">
        <v>2755</v>
      </c>
      <c r="G63" t="s">
        <v>1763</v>
      </c>
      <c r="H63" t="s">
        <v>1763</v>
      </c>
      <c r="I63" t="s">
        <v>2836</v>
      </c>
      <c r="J63" t="s">
        <v>2754</v>
      </c>
      <c r="M63" s="348">
        <v>60</v>
      </c>
      <c r="N63" s="348">
        <v>3.5</v>
      </c>
      <c r="O63" s="348">
        <v>3.5</v>
      </c>
      <c r="Q63" t="s">
        <v>277</v>
      </c>
      <c r="R63" t="s">
        <v>277</v>
      </c>
      <c r="S63">
        <v>4</v>
      </c>
      <c r="V63" t="s">
        <v>2219</v>
      </c>
      <c r="W63">
        <v>3052</v>
      </c>
      <c r="X63">
        <v>2286</v>
      </c>
      <c r="Y63">
        <v>3186</v>
      </c>
      <c r="Z63" t="s">
        <v>260</v>
      </c>
      <c r="AA63" t="s">
        <v>302</v>
      </c>
    </row>
    <row r="64" spans="1:27">
      <c r="A64" t="str">
        <f t="shared" si="0"/>
        <v>976-FRG959154MQ.TUNEL DE CG (CONTINUO)</v>
      </c>
      <c r="B64" t="s">
        <v>2875</v>
      </c>
      <c r="C64" t="s">
        <v>2216</v>
      </c>
      <c r="D64" t="s">
        <v>2217</v>
      </c>
      <c r="E64" s="626" t="s">
        <v>2863</v>
      </c>
      <c r="F64" s="626" t="s">
        <v>2863</v>
      </c>
      <c r="G64" t="s">
        <v>2864</v>
      </c>
      <c r="H64" t="s">
        <v>2824</v>
      </c>
      <c r="I64" t="s">
        <v>872</v>
      </c>
      <c r="J64" t="s">
        <v>2229</v>
      </c>
      <c r="M64" s="348">
        <v>60</v>
      </c>
      <c r="N64" s="348">
        <v>17</v>
      </c>
      <c r="O64" s="348">
        <v>17</v>
      </c>
      <c r="Q64" t="s">
        <v>277</v>
      </c>
      <c r="R64" t="s">
        <v>277</v>
      </c>
      <c r="S64">
        <v>4</v>
      </c>
      <c r="V64" t="s">
        <v>2219</v>
      </c>
      <c r="W64">
        <v>3048</v>
      </c>
      <c r="X64">
        <v>2272</v>
      </c>
      <c r="Y64">
        <v>3194</v>
      </c>
      <c r="Z64" t="s">
        <v>872</v>
      </c>
      <c r="AA64" t="s">
        <v>302</v>
      </c>
    </row>
    <row r="65" spans="1:27">
      <c r="A65" t="str">
        <f t="shared" si="0"/>
        <v>976-FRG981443MQ.GIROFREEZER</v>
      </c>
      <c r="B65" t="s">
        <v>2875</v>
      </c>
      <c r="C65" t="s">
        <v>2216</v>
      </c>
      <c r="D65" t="s">
        <v>2217</v>
      </c>
      <c r="E65" s="626" t="s">
        <v>2865</v>
      </c>
      <c r="F65" s="626" t="s">
        <v>2865</v>
      </c>
      <c r="G65" t="s">
        <v>2866</v>
      </c>
      <c r="H65" t="s">
        <v>2602</v>
      </c>
      <c r="I65" t="s">
        <v>2836</v>
      </c>
      <c r="J65" t="s">
        <v>2754</v>
      </c>
      <c r="M65" s="348">
        <v>60</v>
      </c>
      <c r="N65" s="348">
        <v>2.4</v>
      </c>
      <c r="O65" s="348">
        <v>2.4</v>
      </c>
      <c r="Q65" t="s">
        <v>277</v>
      </c>
      <c r="R65" t="s">
        <v>277</v>
      </c>
      <c r="S65">
        <v>4</v>
      </c>
      <c r="V65" t="s">
        <v>2219</v>
      </c>
      <c r="W65">
        <v>3036</v>
      </c>
      <c r="X65">
        <v>2286</v>
      </c>
      <c r="Y65">
        <v>3186</v>
      </c>
      <c r="Z65" t="s">
        <v>260</v>
      </c>
      <c r="AA65" t="s">
        <v>302</v>
      </c>
    </row>
    <row r="66" spans="1:27">
      <c r="A66" t="str">
        <f t="shared" ref="A66:A129" si="1">B66&amp;E66&amp;J66</f>
        <v>976-FRG983667MQ.GIROFREEZER</v>
      </c>
      <c r="B66" t="s">
        <v>2875</v>
      </c>
      <c r="C66" t="s">
        <v>2216</v>
      </c>
      <c r="D66" t="s">
        <v>2217</v>
      </c>
      <c r="E66" s="626" t="s">
        <v>2867</v>
      </c>
      <c r="F66" s="626" t="s">
        <v>2867</v>
      </c>
      <c r="G66" t="s">
        <v>2868</v>
      </c>
      <c r="H66" t="s">
        <v>2600</v>
      </c>
      <c r="I66" t="s">
        <v>2836</v>
      </c>
      <c r="J66" t="s">
        <v>2754</v>
      </c>
      <c r="M66" s="348">
        <v>60</v>
      </c>
      <c r="N66" s="348">
        <v>2.4</v>
      </c>
      <c r="O66" s="348">
        <v>2.4</v>
      </c>
      <c r="Q66" t="s">
        <v>277</v>
      </c>
      <c r="R66" t="s">
        <v>277</v>
      </c>
      <c r="S66">
        <v>4</v>
      </c>
      <c r="V66" t="s">
        <v>2219</v>
      </c>
      <c r="W66">
        <v>3046</v>
      </c>
      <c r="X66">
        <v>2286</v>
      </c>
      <c r="Y66">
        <v>3186</v>
      </c>
      <c r="Z66" t="s">
        <v>260</v>
      </c>
      <c r="AA66" t="s">
        <v>302</v>
      </c>
    </row>
    <row r="67" spans="1:27">
      <c r="A67" t="str">
        <f t="shared" si="1"/>
        <v>976-FRG983829MQ.GIROFREEZER</v>
      </c>
      <c r="B67" t="s">
        <v>2875</v>
      </c>
      <c r="C67" t="s">
        <v>2216</v>
      </c>
      <c r="D67" t="s">
        <v>2217</v>
      </c>
      <c r="E67" s="626" t="s">
        <v>2869</v>
      </c>
      <c r="F67" s="626" t="s">
        <v>2869</v>
      </c>
      <c r="G67" t="s">
        <v>2870</v>
      </c>
      <c r="H67" t="s">
        <v>934</v>
      </c>
      <c r="I67" t="s">
        <v>2836</v>
      </c>
      <c r="J67" t="s">
        <v>2754</v>
      </c>
      <c r="M67" s="348">
        <v>60</v>
      </c>
      <c r="N67" s="348">
        <v>2</v>
      </c>
      <c r="O67" s="348">
        <v>2</v>
      </c>
      <c r="Q67" t="s">
        <v>277</v>
      </c>
      <c r="R67" t="s">
        <v>277</v>
      </c>
      <c r="S67">
        <v>4</v>
      </c>
      <c r="V67" t="s">
        <v>2219</v>
      </c>
      <c r="W67">
        <v>3060</v>
      </c>
      <c r="X67">
        <v>2286</v>
      </c>
      <c r="Y67">
        <v>3186</v>
      </c>
      <c r="Z67" t="s">
        <v>260</v>
      </c>
      <c r="AA67" t="s">
        <v>302</v>
      </c>
    </row>
    <row r="68" spans="1:27">
      <c r="A68" t="str">
        <f t="shared" si="1"/>
        <v>976-FRG983837MQ.GIROFREEZER</v>
      </c>
      <c r="B68" t="s">
        <v>2875</v>
      </c>
      <c r="C68" t="s">
        <v>2216</v>
      </c>
      <c r="D68" t="s">
        <v>2217</v>
      </c>
      <c r="E68" s="626" t="s">
        <v>2871</v>
      </c>
      <c r="F68" s="626" t="s">
        <v>2871</v>
      </c>
      <c r="G68" t="s">
        <v>2872</v>
      </c>
      <c r="H68" t="s">
        <v>2665</v>
      </c>
      <c r="I68" t="s">
        <v>2836</v>
      </c>
      <c r="J68" t="s">
        <v>2754</v>
      </c>
      <c r="M68" s="348">
        <v>60</v>
      </c>
      <c r="N68" s="348">
        <v>2.4</v>
      </c>
      <c r="O68" s="348">
        <v>2.4</v>
      </c>
      <c r="Q68" t="s">
        <v>277</v>
      </c>
      <c r="R68" t="s">
        <v>277</v>
      </c>
      <c r="S68">
        <v>4</v>
      </c>
      <c r="V68" t="s">
        <v>2219</v>
      </c>
      <c r="W68">
        <v>3034</v>
      </c>
      <c r="X68">
        <v>2286</v>
      </c>
      <c r="Y68">
        <v>3186</v>
      </c>
      <c r="Z68" t="s">
        <v>260</v>
      </c>
      <c r="AA68" t="s">
        <v>302</v>
      </c>
    </row>
    <row r="69" spans="1:27">
      <c r="A69" t="str">
        <f t="shared" si="1"/>
        <v>976-FRG983845MQ.GIROFREEZER</v>
      </c>
      <c r="B69" t="s">
        <v>2875</v>
      </c>
      <c r="C69" t="s">
        <v>2216</v>
      </c>
      <c r="D69" t="s">
        <v>2217</v>
      </c>
      <c r="E69" s="626" t="s">
        <v>2873</v>
      </c>
      <c r="F69" s="626" t="s">
        <v>2873</v>
      </c>
      <c r="G69" t="s">
        <v>2874</v>
      </c>
      <c r="H69" t="s">
        <v>2225</v>
      </c>
      <c r="I69" t="s">
        <v>2836</v>
      </c>
      <c r="J69" t="s">
        <v>2754</v>
      </c>
      <c r="M69" s="348">
        <v>60</v>
      </c>
      <c r="N69" s="348">
        <v>2</v>
      </c>
      <c r="O69" s="348">
        <v>2</v>
      </c>
      <c r="Q69" t="s">
        <v>277</v>
      </c>
      <c r="R69" t="s">
        <v>277</v>
      </c>
      <c r="S69">
        <v>4</v>
      </c>
      <c r="V69" t="s">
        <v>2219</v>
      </c>
      <c r="W69">
        <v>3068</v>
      </c>
      <c r="X69">
        <v>2286</v>
      </c>
      <c r="Y69">
        <v>3186</v>
      </c>
      <c r="Z69" t="s">
        <v>260</v>
      </c>
      <c r="AA69" t="s">
        <v>302</v>
      </c>
    </row>
    <row r="70" spans="1:27">
      <c r="A70" t="str">
        <f t="shared" si="1"/>
        <v/>
      </c>
      <c r="E70" s="626"/>
      <c r="F70" s="626"/>
    </row>
    <row r="71" spans="1:27">
      <c r="A71" t="str">
        <f t="shared" si="1"/>
        <v/>
      </c>
      <c r="E71" s="626"/>
      <c r="F71" s="626"/>
    </row>
    <row r="72" spans="1:27">
      <c r="A72" t="str">
        <f t="shared" si="1"/>
        <v/>
      </c>
      <c r="E72" s="626"/>
      <c r="F72" s="626"/>
    </row>
    <row r="73" spans="1:27">
      <c r="A73" t="str">
        <f t="shared" si="1"/>
        <v/>
      </c>
      <c r="E73" s="626"/>
      <c r="F73" s="626"/>
    </row>
    <row r="74" spans="1:27">
      <c r="A74" t="str">
        <f t="shared" si="1"/>
        <v/>
      </c>
      <c r="E74" s="626"/>
      <c r="F74" s="626"/>
    </row>
    <row r="75" spans="1:27">
      <c r="A75" t="str">
        <f t="shared" si="1"/>
        <v/>
      </c>
      <c r="E75" s="626"/>
      <c r="F75" s="626"/>
    </row>
    <row r="76" spans="1:27">
      <c r="A76" t="str">
        <f t="shared" si="1"/>
        <v/>
      </c>
      <c r="E76" s="626"/>
      <c r="F76" s="626"/>
    </row>
    <row r="77" spans="1:27">
      <c r="A77" t="str">
        <f t="shared" si="1"/>
        <v/>
      </c>
      <c r="E77" s="626"/>
      <c r="F77" s="626"/>
    </row>
    <row r="78" spans="1:27">
      <c r="A78" t="str">
        <f t="shared" si="1"/>
        <v/>
      </c>
      <c r="E78" s="626"/>
      <c r="F78" s="626"/>
    </row>
    <row r="79" spans="1:27">
      <c r="A79" t="str">
        <f t="shared" si="1"/>
        <v/>
      </c>
      <c r="E79" s="626"/>
      <c r="F79" s="626"/>
    </row>
    <row r="80" spans="1:27">
      <c r="A80" t="str">
        <f t="shared" si="1"/>
        <v/>
      </c>
      <c r="E80" s="626"/>
      <c r="F80" s="626"/>
    </row>
    <row r="81" spans="1:6">
      <c r="A81" t="str">
        <f t="shared" si="1"/>
        <v/>
      </c>
      <c r="E81" s="626"/>
      <c r="F81" s="626"/>
    </row>
    <row r="82" spans="1:6">
      <c r="A82" t="str">
        <f t="shared" si="1"/>
        <v/>
      </c>
      <c r="E82" s="626"/>
      <c r="F82" s="626"/>
    </row>
    <row r="83" spans="1:6">
      <c r="A83" t="str">
        <f t="shared" si="1"/>
        <v/>
      </c>
      <c r="E83" s="626"/>
      <c r="F83" s="626"/>
    </row>
    <row r="84" spans="1:6">
      <c r="A84" t="str">
        <f t="shared" si="1"/>
        <v/>
      </c>
      <c r="E84" s="626"/>
      <c r="F84" s="626"/>
    </row>
    <row r="85" spans="1:6">
      <c r="A85" t="str">
        <f t="shared" si="1"/>
        <v/>
      </c>
      <c r="E85" s="626"/>
      <c r="F85" s="626"/>
    </row>
    <row r="86" spans="1:6">
      <c r="A86" t="str">
        <f t="shared" si="1"/>
        <v/>
      </c>
      <c r="E86" s="626"/>
      <c r="F86" s="626"/>
    </row>
    <row r="87" spans="1:6">
      <c r="A87" t="str">
        <f t="shared" si="1"/>
        <v/>
      </c>
      <c r="E87" s="626"/>
      <c r="F87" s="626"/>
    </row>
    <row r="88" spans="1:6">
      <c r="A88" t="str">
        <f t="shared" si="1"/>
        <v/>
      </c>
      <c r="E88" s="626"/>
      <c r="F88" s="626"/>
    </row>
    <row r="89" spans="1:6">
      <c r="A89" t="str">
        <f t="shared" si="1"/>
        <v/>
      </c>
      <c r="E89" s="626"/>
      <c r="F89" s="626"/>
    </row>
    <row r="90" spans="1:6">
      <c r="A90" t="str">
        <f t="shared" si="1"/>
        <v/>
      </c>
      <c r="E90" s="626"/>
      <c r="F90" s="626"/>
    </row>
    <row r="91" spans="1:6">
      <c r="A91" t="str">
        <f t="shared" si="1"/>
        <v/>
      </c>
      <c r="E91" s="626"/>
      <c r="F91" s="626"/>
    </row>
    <row r="92" spans="1:6">
      <c r="A92" t="str">
        <f t="shared" si="1"/>
        <v/>
      </c>
      <c r="E92" s="626"/>
      <c r="F92" s="626"/>
    </row>
    <row r="93" spans="1:6">
      <c r="A93" t="str">
        <f t="shared" si="1"/>
        <v/>
      </c>
      <c r="E93" s="626"/>
      <c r="F93" s="626"/>
    </row>
    <row r="94" spans="1:6">
      <c r="A94" t="str">
        <f t="shared" si="1"/>
        <v/>
      </c>
      <c r="E94" s="626"/>
      <c r="F94" s="626"/>
    </row>
    <row r="95" spans="1:6">
      <c r="A95" t="str">
        <f t="shared" si="1"/>
        <v/>
      </c>
      <c r="E95" s="626"/>
      <c r="F95" s="626"/>
    </row>
    <row r="96" spans="1:6">
      <c r="A96" t="str">
        <f t="shared" si="1"/>
        <v/>
      </c>
      <c r="E96" s="626"/>
      <c r="F96" s="626"/>
    </row>
    <row r="97" spans="1:6">
      <c r="A97" t="str">
        <f t="shared" si="1"/>
        <v/>
      </c>
      <c r="E97" s="626"/>
      <c r="F97" s="626"/>
    </row>
    <row r="98" spans="1:6">
      <c r="A98" t="str">
        <f t="shared" si="1"/>
        <v/>
      </c>
      <c r="E98" s="626"/>
      <c r="F98" s="626"/>
    </row>
    <row r="99" spans="1:6">
      <c r="A99" t="str">
        <f t="shared" si="1"/>
        <v/>
      </c>
      <c r="E99" s="626"/>
      <c r="F99" s="626"/>
    </row>
    <row r="100" spans="1:6">
      <c r="A100" t="str">
        <f t="shared" si="1"/>
        <v/>
      </c>
      <c r="E100" s="626"/>
      <c r="F100" s="626"/>
    </row>
    <row r="101" spans="1:6">
      <c r="A101" t="str">
        <f t="shared" si="1"/>
        <v/>
      </c>
      <c r="E101" s="626"/>
      <c r="F101" s="626"/>
    </row>
    <row r="102" spans="1:6">
      <c r="A102" t="str">
        <f t="shared" si="1"/>
        <v/>
      </c>
      <c r="E102" s="626"/>
      <c r="F102" s="626"/>
    </row>
    <row r="103" spans="1:6">
      <c r="A103" t="str">
        <f t="shared" si="1"/>
        <v/>
      </c>
      <c r="E103" s="626"/>
      <c r="F103" s="626"/>
    </row>
    <row r="104" spans="1:6">
      <c r="A104" t="str">
        <f t="shared" si="1"/>
        <v/>
      </c>
      <c r="E104" s="626"/>
      <c r="F104" s="626"/>
    </row>
    <row r="105" spans="1:6">
      <c r="A105" t="str">
        <f t="shared" si="1"/>
        <v/>
      </c>
      <c r="E105" s="626"/>
      <c r="F105" s="626"/>
    </row>
    <row r="106" spans="1:6">
      <c r="A106" t="str">
        <f t="shared" si="1"/>
        <v/>
      </c>
      <c r="E106" s="626"/>
      <c r="F106" s="626"/>
    </row>
    <row r="107" spans="1:6">
      <c r="A107" t="str">
        <f t="shared" si="1"/>
        <v/>
      </c>
      <c r="E107" s="626"/>
      <c r="F107" s="626"/>
    </row>
    <row r="108" spans="1:6">
      <c r="A108" t="str">
        <f t="shared" si="1"/>
        <v/>
      </c>
      <c r="E108" s="626"/>
      <c r="F108" s="626"/>
    </row>
    <row r="109" spans="1:6">
      <c r="A109" t="str">
        <f t="shared" si="1"/>
        <v/>
      </c>
      <c r="E109" s="626"/>
      <c r="F109" s="626"/>
    </row>
    <row r="110" spans="1:6">
      <c r="A110" t="str">
        <f t="shared" si="1"/>
        <v/>
      </c>
      <c r="E110" s="626"/>
      <c r="F110" s="626"/>
    </row>
    <row r="111" spans="1:6">
      <c r="A111" t="str">
        <f t="shared" si="1"/>
        <v/>
      </c>
      <c r="E111" s="626"/>
      <c r="F111" s="626"/>
    </row>
    <row r="112" spans="1:6">
      <c r="A112" t="str">
        <f t="shared" si="1"/>
        <v/>
      </c>
      <c r="E112" s="626"/>
      <c r="F112" s="626"/>
    </row>
    <row r="113" spans="1:6">
      <c r="A113" t="str">
        <f t="shared" si="1"/>
        <v/>
      </c>
      <c r="E113" s="626"/>
      <c r="F113" s="626"/>
    </row>
    <row r="114" spans="1:6">
      <c r="A114" t="str">
        <f t="shared" si="1"/>
        <v/>
      </c>
      <c r="E114" s="626"/>
      <c r="F114" s="626"/>
    </row>
    <row r="115" spans="1:6">
      <c r="A115" t="str">
        <f t="shared" si="1"/>
        <v/>
      </c>
      <c r="E115" s="626"/>
      <c r="F115" s="626"/>
    </row>
    <row r="116" spans="1:6">
      <c r="A116" t="str">
        <f t="shared" si="1"/>
        <v/>
      </c>
      <c r="E116" s="626"/>
      <c r="F116" s="626"/>
    </row>
    <row r="117" spans="1:6">
      <c r="A117" t="str">
        <f t="shared" si="1"/>
        <v/>
      </c>
      <c r="E117" s="626"/>
      <c r="F117" s="626"/>
    </row>
    <row r="118" spans="1:6">
      <c r="A118" t="str">
        <f t="shared" si="1"/>
        <v/>
      </c>
      <c r="E118" s="626"/>
      <c r="F118" s="626"/>
    </row>
    <row r="119" spans="1:6">
      <c r="A119" t="str">
        <f t="shared" si="1"/>
        <v/>
      </c>
      <c r="E119" s="626"/>
      <c r="F119" s="626"/>
    </row>
    <row r="120" spans="1:6">
      <c r="A120" t="str">
        <f t="shared" si="1"/>
        <v/>
      </c>
      <c r="E120" s="626"/>
      <c r="F120" s="626"/>
    </row>
    <row r="121" spans="1:6">
      <c r="A121" t="str">
        <f t="shared" si="1"/>
        <v/>
      </c>
      <c r="E121" s="626"/>
      <c r="F121" s="626"/>
    </row>
    <row r="122" spans="1:6">
      <c r="A122" t="str">
        <f t="shared" si="1"/>
        <v/>
      </c>
      <c r="E122" s="626"/>
      <c r="F122" s="626"/>
    </row>
    <row r="123" spans="1:6">
      <c r="A123" t="str">
        <f t="shared" si="1"/>
        <v/>
      </c>
      <c r="E123" s="626"/>
      <c r="F123" s="626"/>
    </row>
    <row r="124" spans="1:6">
      <c r="A124" t="str">
        <f t="shared" si="1"/>
        <v/>
      </c>
      <c r="E124" s="626"/>
      <c r="F124" s="626"/>
    </row>
    <row r="125" spans="1:6">
      <c r="A125" t="str">
        <f t="shared" si="1"/>
        <v/>
      </c>
      <c r="E125" s="626"/>
      <c r="F125" s="626"/>
    </row>
    <row r="126" spans="1:6">
      <c r="A126" t="str">
        <f t="shared" si="1"/>
        <v/>
      </c>
      <c r="E126" s="626"/>
      <c r="F126" s="626"/>
    </row>
    <row r="127" spans="1:6">
      <c r="A127" t="str">
        <f t="shared" si="1"/>
        <v/>
      </c>
      <c r="E127" s="626"/>
      <c r="F127" s="626"/>
    </row>
    <row r="128" spans="1:6">
      <c r="A128" t="str">
        <f t="shared" si="1"/>
        <v/>
      </c>
      <c r="E128" s="626"/>
      <c r="F128" s="626"/>
    </row>
    <row r="129" spans="1:6">
      <c r="A129" t="str">
        <f t="shared" si="1"/>
        <v/>
      </c>
      <c r="E129" s="626"/>
      <c r="F129" s="626"/>
    </row>
    <row r="130" spans="1:6">
      <c r="A130" t="str">
        <f t="shared" ref="A130:A193" si="2">B130&amp;E130&amp;J130</f>
        <v/>
      </c>
      <c r="E130" s="626"/>
      <c r="F130" s="626"/>
    </row>
    <row r="131" spans="1:6">
      <c r="A131" t="str">
        <f t="shared" si="2"/>
        <v/>
      </c>
      <c r="E131" s="626"/>
      <c r="F131" s="626"/>
    </row>
    <row r="132" spans="1:6">
      <c r="A132" t="str">
        <f t="shared" si="2"/>
        <v/>
      </c>
      <c r="E132" s="626"/>
      <c r="F132" s="626"/>
    </row>
    <row r="133" spans="1:6">
      <c r="A133" t="str">
        <f t="shared" si="2"/>
        <v/>
      </c>
      <c r="E133" s="626"/>
      <c r="F133" s="626"/>
    </row>
    <row r="134" spans="1:6">
      <c r="A134" t="str">
        <f t="shared" si="2"/>
        <v/>
      </c>
      <c r="E134" s="626"/>
      <c r="F134" s="626"/>
    </row>
    <row r="135" spans="1:6">
      <c r="A135" t="str">
        <f t="shared" si="2"/>
        <v/>
      </c>
      <c r="E135" s="626"/>
      <c r="F135" s="626"/>
    </row>
    <row r="136" spans="1:6">
      <c r="A136" t="str">
        <f t="shared" si="2"/>
        <v/>
      </c>
      <c r="E136" s="626"/>
      <c r="F136" s="626"/>
    </row>
    <row r="137" spans="1:6">
      <c r="A137" t="str">
        <f t="shared" si="2"/>
        <v/>
      </c>
      <c r="E137" s="626"/>
      <c r="F137" s="626"/>
    </row>
    <row r="138" spans="1:6">
      <c r="A138" t="str">
        <f t="shared" si="2"/>
        <v/>
      </c>
      <c r="E138" s="626"/>
      <c r="F138" s="626"/>
    </row>
    <row r="139" spans="1:6">
      <c r="A139" t="str">
        <f t="shared" si="2"/>
        <v/>
      </c>
      <c r="E139" s="626"/>
      <c r="F139" s="626"/>
    </row>
    <row r="140" spans="1:6">
      <c r="A140" t="str">
        <f t="shared" si="2"/>
        <v/>
      </c>
      <c r="E140" s="626"/>
      <c r="F140" s="626"/>
    </row>
    <row r="141" spans="1:6">
      <c r="A141" t="str">
        <f t="shared" si="2"/>
        <v/>
      </c>
      <c r="E141" s="626"/>
      <c r="F141" s="626"/>
    </row>
    <row r="142" spans="1:6">
      <c r="A142" t="str">
        <f t="shared" si="2"/>
        <v/>
      </c>
      <c r="E142" s="626"/>
      <c r="F142" s="626"/>
    </row>
    <row r="143" spans="1:6">
      <c r="A143" t="str">
        <f t="shared" si="2"/>
        <v/>
      </c>
      <c r="E143" s="626"/>
      <c r="F143" s="626"/>
    </row>
    <row r="144" spans="1:6">
      <c r="A144" t="str">
        <f t="shared" si="2"/>
        <v/>
      </c>
      <c r="E144" s="626"/>
      <c r="F144" s="626"/>
    </row>
    <row r="145" spans="1:6">
      <c r="A145" t="str">
        <f t="shared" si="2"/>
        <v/>
      </c>
      <c r="E145" s="626"/>
      <c r="F145" s="626"/>
    </row>
    <row r="146" spans="1:6">
      <c r="A146" t="str">
        <f t="shared" si="2"/>
        <v/>
      </c>
      <c r="E146" s="626"/>
      <c r="F146" s="626"/>
    </row>
    <row r="147" spans="1:6">
      <c r="A147" t="str">
        <f t="shared" si="2"/>
        <v/>
      </c>
      <c r="E147" s="626"/>
      <c r="F147" s="626"/>
    </row>
    <row r="148" spans="1:6">
      <c r="A148" t="str">
        <f t="shared" si="2"/>
        <v/>
      </c>
      <c r="E148" s="626"/>
      <c r="F148" s="626"/>
    </row>
    <row r="149" spans="1:6">
      <c r="A149" t="str">
        <f t="shared" si="2"/>
        <v/>
      </c>
      <c r="E149" s="626"/>
      <c r="F149" s="626"/>
    </row>
    <row r="150" spans="1:6">
      <c r="A150" t="str">
        <f t="shared" si="2"/>
        <v/>
      </c>
      <c r="E150" s="626"/>
      <c r="F150" s="626"/>
    </row>
    <row r="151" spans="1:6">
      <c r="A151" t="str">
        <f t="shared" si="2"/>
        <v/>
      </c>
      <c r="E151" s="626"/>
      <c r="F151" s="626"/>
    </row>
    <row r="152" spans="1:6">
      <c r="A152" t="str">
        <f t="shared" si="2"/>
        <v/>
      </c>
      <c r="E152" s="626"/>
      <c r="F152" s="626"/>
    </row>
    <row r="153" spans="1:6">
      <c r="A153" t="str">
        <f t="shared" si="2"/>
        <v/>
      </c>
      <c r="E153" s="626"/>
      <c r="F153" s="626"/>
    </row>
    <row r="154" spans="1:6">
      <c r="A154" t="str">
        <f t="shared" si="2"/>
        <v/>
      </c>
      <c r="E154" s="626"/>
      <c r="F154" s="626"/>
    </row>
    <row r="155" spans="1:6">
      <c r="A155" t="str">
        <f t="shared" si="2"/>
        <v/>
      </c>
      <c r="E155" s="626"/>
      <c r="F155" s="626"/>
    </row>
    <row r="156" spans="1:6">
      <c r="A156" t="str">
        <f t="shared" si="2"/>
        <v/>
      </c>
      <c r="E156" s="626"/>
      <c r="F156" s="626"/>
    </row>
    <row r="157" spans="1:6">
      <c r="A157" t="str">
        <f t="shared" si="2"/>
        <v/>
      </c>
      <c r="E157" s="626"/>
      <c r="F157" s="626"/>
    </row>
    <row r="158" spans="1:6">
      <c r="A158" t="str">
        <f t="shared" si="2"/>
        <v/>
      </c>
      <c r="E158" s="626"/>
      <c r="F158" s="626"/>
    </row>
    <row r="159" spans="1:6">
      <c r="A159" t="str">
        <f t="shared" si="2"/>
        <v/>
      </c>
      <c r="E159" s="626"/>
      <c r="F159" s="626"/>
    </row>
    <row r="160" spans="1:6">
      <c r="A160" t="str">
        <f t="shared" si="2"/>
        <v/>
      </c>
      <c r="E160" s="626"/>
      <c r="F160" s="626"/>
    </row>
    <row r="161" spans="1:6">
      <c r="A161" t="str">
        <f t="shared" si="2"/>
        <v/>
      </c>
      <c r="E161" s="626"/>
      <c r="F161" s="626"/>
    </row>
    <row r="162" spans="1:6">
      <c r="A162" t="str">
        <f t="shared" si="2"/>
        <v/>
      </c>
      <c r="E162" s="626"/>
      <c r="F162" s="626"/>
    </row>
    <row r="163" spans="1:6">
      <c r="A163" t="str">
        <f t="shared" si="2"/>
        <v/>
      </c>
      <c r="E163" s="626"/>
      <c r="F163" s="626"/>
    </row>
    <row r="164" spans="1:6">
      <c r="A164" t="str">
        <f t="shared" si="2"/>
        <v/>
      </c>
      <c r="E164" s="626"/>
      <c r="F164" s="626"/>
    </row>
    <row r="165" spans="1:6">
      <c r="A165" t="str">
        <f t="shared" si="2"/>
        <v/>
      </c>
      <c r="E165" s="626"/>
      <c r="F165" s="626"/>
    </row>
    <row r="166" spans="1:6">
      <c r="A166" t="str">
        <f t="shared" si="2"/>
        <v/>
      </c>
      <c r="E166" s="626"/>
      <c r="F166" s="626"/>
    </row>
    <row r="167" spans="1:6">
      <c r="A167" t="str">
        <f t="shared" si="2"/>
        <v/>
      </c>
      <c r="E167" s="626"/>
      <c r="F167" s="626"/>
    </row>
    <row r="168" spans="1:6">
      <c r="A168" t="str">
        <f t="shared" si="2"/>
        <v/>
      </c>
      <c r="E168" s="626"/>
      <c r="F168" s="626"/>
    </row>
    <row r="169" spans="1:6">
      <c r="A169" t="str">
        <f t="shared" si="2"/>
        <v/>
      </c>
      <c r="E169" s="626"/>
      <c r="F169" s="626"/>
    </row>
    <row r="170" spans="1:6">
      <c r="A170" t="str">
        <f t="shared" si="2"/>
        <v/>
      </c>
      <c r="E170" s="626"/>
      <c r="F170" s="626"/>
    </row>
    <row r="171" spans="1:6">
      <c r="A171" t="str">
        <f t="shared" si="2"/>
        <v/>
      </c>
      <c r="E171" s="626"/>
      <c r="F171" s="626"/>
    </row>
    <row r="172" spans="1:6">
      <c r="A172" t="str">
        <f t="shared" si="2"/>
        <v/>
      </c>
      <c r="E172" s="626"/>
      <c r="F172" s="626"/>
    </row>
    <row r="173" spans="1:6">
      <c r="A173" t="str">
        <f t="shared" si="2"/>
        <v/>
      </c>
      <c r="E173" s="626"/>
      <c r="F173" s="626"/>
    </row>
    <row r="174" spans="1:6">
      <c r="A174" t="str">
        <f t="shared" si="2"/>
        <v/>
      </c>
      <c r="E174" s="626"/>
      <c r="F174" s="626"/>
    </row>
    <row r="175" spans="1:6">
      <c r="A175" t="str">
        <f t="shared" si="2"/>
        <v/>
      </c>
      <c r="E175" s="626"/>
      <c r="F175" s="626"/>
    </row>
    <row r="176" spans="1:6">
      <c r="A176" t="str">
        <f t="shared" si="2"/>
        <v/>
      </c>
      <c r="E176" s="626"/>
      <c r="F176" s="626"/>
    </row>
    <row r="177" spans="1:6">
      <c r="A177" t="str">
        <f t="shared" si="2"/>
        <v/>
      </c>
      <c r="E177" s="626"/>
      <c r="F177" s="626"/>
    </row>
    <row r="178" spans="1:6">
      <c r="A178" t="str">
        <f t="shared" si="2"/>
        <v/>
      </c>
      <c r="E178" s="626"/>
      <c r="F178" s="626"/>
    </row>
    <row r="179" spans="1:6">
      <c r="A179" t="str">
        <f t="shared" si="2"/>
        <v/>
      </c>
      <c r="E179" s="626"/>
      <c r="F179" s="626"/>
    </row>
    <row r="180" spans="1:6">
      <c r="A180" t="str">
        <f t="shared" si="2"/>
        <v/>
      </c>
      <c r="E180" s="626"/>
      <c r="F180" s="626"/>
    </row>
    <row r="181" spans="1:6">
      <c r="A181" t="str">
        <f t="shared" si="2"/>
        <v/>
      </c>
      <c r="E181" s="626"/>
      <c r="F181" s="626"/>
    </row>
    <row r="182" spans="1:6">
      <c r="A182" t="str">
        <f t="shared" si="2"/>
        <v/>
      </c>
      <c r="E182" s="626"/>
      <c r="F182" s="626"/>
    </row>
    <row r="183" spans="1:6">
      <c r="A183" t="str">
        <f t="shared" si="2"/>
        <v/>
      </c>
      <c r="E183" s="626"/>
      <c r="F183" s="626"/>
    </row>
    <row r="184" spans="1:6">
      <c r="A184" t="str">
        <f t="shared" si="2"/>
        <v/>
      </c>
      <c r="E184" s="626"/>
      <c r="F184" s="626"/>
    </row>
    <row r="185" spans="1:6">
      <c r="A185" t="str">
        <f t="shared" si="2"/>
        <v/>
      </c>
      <c r="E185" s="626"/>
      <c r="F185" s="626"/>
    </row>
    <row r="186" spans="1:6">
      <c r="A186" t="str">
        <f t="shared" si="2"/>
        <v/>
      </c>
      <c r="E186" s="626"/>
      <c r="F186" s="626"/>
    </row>
    <row r="187" spans="1:6">
      <c r="A187" t="str">
        <f t="shared" si="2"/>
        <v/>
      </c>
      <c r="E187" s="626"/>
      <c r="F187" s="626"/>
    </row>
    <row r="188" spans="1:6">
      <c r="A188" t="str">
        <f t="shared" si="2"/>
        <v/>
      </c>
      <c r="E188" s="626"/>
      <c r="F188" s="626"/>
    </row>
    <row r="189" spans="1:6">
      <c r="A189" t="str">
        <f t="shared" si="2"/>
        <v/>
      </c>
      <c r="E189" s="626"/>
      <c r="F189" s="626"/>
    </row>
    <row r="190" spans="1:6">
      <c r="A190" t="str">
        <f t="shared" si="2"/>
        <v/>
      </c>
      <c r="E190" s="626"/>
      <c r="F190" s="626"/>
    </row>
    <row r="191" spans="1:6">
      <c r="A191" t="str">
        <f t="shared" si="2"/>
        <v/>
      </c>
      <c r="E191" s="626"/>
      <c r="F191" s="626"/>
    </row>
    <row r="192" spans="1:6">
      <c r="A192" t="str">
        <f t="shared" si="2"/>
        <v/>
      </c>
      <c r="E192" s="626"/>
      <c r="F192" s="626"/>
    </row>
    <row r="193" spans="1:6">
      <c r="A193" t="str">
        <f t="shared" si="2"/>
        <v/>
      </c>
      <c r="E193" s="626"/>
      <c r="F193" s="626"/>
    </row>
    <row r="194" spans="1:6">
      <c r="A194" t="str">
        <f t="shared" ref="A194:A257" si="3">B194&amp;E194&amp;J194</f>
        <v/>
      </c>
      <c r="E194" s="626"/>
      <c r="F194" s="626"/>
    </row>
    <row r="195" spans="1:6">
      <c r="A195" t="str">
        <f t="shared" si="3"/>
        <v/>
      </c>
      <c r="E195" s="626"/>
      <c r="F195" s="626"/>
    </row>
    <row r="196" spans="1:6">
      <c r="A196" t="str">
        <f t="shared" si="3"/>
        <v/>
      </c>
      <c r="E196" s="626"/>
      <c r="F196" s="626"/>
    </row>
    <row r="197" spans="1:6">
      <c r="A197" t="str">
        <f t="shared" si="3"/>
        <v/>
      </c>
      <c r="E197" s="626"/>
      <c r="F197" s="626"/>
    </row>
    <row r="198" spans="1:6">
      <c r="A198" t="str">
        <f t="shared" si="3"/>
        <v/>
      </c>
      <c r="E198" s="626"/>
      <c r="F198" s="626"/>
    </row>
    <row r="199" spans="1:6">
      <c r="A199" t="str">
        <f t="shared" si="3"/>
        <v/>
      </c>
      <c r="E199" s="626"/>
      <c r="F199" s="626"/>
    </row>
    <row r="200" spans="1:6">
      <c r="A200" t="str">
        <f t="shared" si="3"/>
        <v/>
      </c>
      <c r="E200" s="626"/>
      <c r="F200" s="626"/>
    </row>
    <row r="201" spans="1:6">
      <c r="A201" t="str">
        <f t="shared" si="3"/>
        <v/>
      </c>
      <c r="E201" s="626"/>
      <c r="F201" s="626"/>
    </row>
    <row r="202" spans="1:6">
      <c r="A202" t="str">
        <f t="shared" si="3"/>
        <v/>
      </c>
      <c r="E202" s="626"/>
      <c r="F202" s="626"/>
    </row>
    <row r="203" spans="1:6">
      <c r="A203" t="str">
        <f t="shared" si="3"/>
        <v/>
      </c>
      <c r="E203" s="626"/>
      <c r="F203" s="626"/>
    </row>
    <row r="204" spans="1:6">
      <c r="A204" t="str">
        <f t="shared" si="3"/>
        <v/>
      </c>
      <c r="E204" s="626"/>
      <c r="F204" s="626"/>
    </row>
    <row r="205" spans="1:6">
      <c r="A205" t="str">
        <f t="shared" si="3"/>
        <v/>
      </c>
      <c r="E205" s="626"/>
      <c r="F205" s="626"/>
    </row>
    <row r="206" spans="1:6">
      <c r="A206" t="str">
        <f t="shared" si="3"/>
        <v/>
      </c>
      <c r="E206" s="626"/>
      <c r="F206" s="626"/>
    </row>
    <row r="207" spans="1:6">
      <c r="A207" t="str">
        <f t="shared" si="3"/>
        <v/>
      </c>
      <c r="E207" s="626"/>
      <c r="F207" s="626"/>
    </row>
    <row r="208" spans="1:6">
      <c r="A208" t="str">
        <f t="shared" si="3"/>
        <v/>
      </c>
      <c r="E208" s="626"/>
      <c r="F208" s="626"/>
    </row>
    <row r="209" spans="1:6">
      <c r="A209" t="str">
        <f t="shared" si="3"/>
        <v/>
      </c>
      <c r="E209" s="626"/>
      <c r="F209" s="626"/>
    </row>
    <row r="210" spans="1:6">
      <c r="A210" t="str">
        <f t="shared" si="3"/>
        <v/>
      </c>
      <c r="E210" s="626"/>
      <c r="F210" s="626"/>
    </row>
    <row r="211" spans="1:6">
      <c r="A211" t="str">
        <f t="shared" si="3"/>
        <v/>
      </c>
      <c r="E211" s="626"/>
      <c r="F211" s="626"/>
    </row>
    <row r="212" spans="1:6">
      <c r="A212" t="str">
        <f t="shared" si="3"/>
        <v/>
      </c>
      <c r="E212" s="626"/>
      <c r="F212" s="626"/>
    </row>
    <row r="213" spans="1:6">
      <c r="A213" t="str">
        <f t="shared" si="3"/>
        <v/>
      </c>
      <c r="E213" s="626"/>
      <c r="F213" s="626"/>
    </row>
    <row r="214" spans="1:6">
      <c r="A214" t="str">
        <f t="shared" si="3"/>
        <v/>
      </c>
      <c r="E214" s="626"/>
      <c r="F214" s="626"/>
    </row>
    <row r="215" spans="1:6">
      <c r="A215" t="str">
        <f t="shared" si="3"/>
        <v/>
      </c>
      <c r="E215" s="626"/>
      <c r="F215" s="626"/>
    </row>
    <row r="216" spans="1:6">
      <c r="A216" t="str">
        <f t="shared" si="3"/>
        <v/>
      </c>
      <c r="E216" s="626"/>
      <c r="F216" s="626"/>
    </row>
    <row r="217" spans="1:6">
      <c r="A217" t="str">
        <f t="shared" si="3"/>
        <v/>
      </c>
      <c r="E217" s="626"/>
      <c r="F217" s="626"/>
    </row>
    <row r="218" spans="1:6">
      <c r="A218" t="str">
        <f t="shared" si="3"/>
        <v/>
      </c>
      <c r="E218" s="626"/>
      <c r="F218" s="626"/>
    </row>
    <row r="219" spans="1:6">
      <c r="A219" t="str">
        <f t="shared" si="3"/>
        <v/>
      </c>
      <c r="E219" s="626"/>
      <c r="F219" s="626"/>
    </row>
    <row r="220" spans="1:6">
      <c r="A220" t="str">
        <f t="shared" si="3"/>
        <v/>
      </c>
      <c r="E220" s="626"/>
      <c r="F220" s="626"/>
    </row>
    <row r="221" spans="1:6">
      <c r="A221" t="str">
        <f t="shared" si="3"/>
        <v/>
      </c>
      <c r="E221" s="626"/>
      <c r="F221" s="626"/>
    </row>
    <row r="222" spans="1:6">
      <c r="A222" t="str">
        <f t="shared" si="3"/>
        <v/>
      </c>
      <c r="E222" s="626"/>
      <c r="F222" s="626"/>
    </row>
    <row r="223" spans="1:6">
      <c r="A223" t="str">
        <f t="shared" si="3"/>
        <v/>
      </c>
      <c r="E223" s="626"/>
      <c r="F223" s="626"/>
    </row>
    <row r="224" spans="1:6">
      <c r="A224" t="str">
        <f t="shared" si="3"/>
        <v/>
      </c>
      <c r="E224" s="626"/>
      <c r="F224" s="626"/>
    </row>
    <row r="225" spans="1:6">
      <c r="A225" t="str">
        <f t="shared" si="3"/>
        <v/>
      </c>
      <c r="E225" s="626"/>
      <c r="F225" s="626"/>
    </row>
    <row r="226" spans="1:6">
      <c r="A226" t="str">
        <f t="shared" si="3"/>
        <v/>
      </c>
      <c r="E226" s="626"/>
      <c r="F226" s="626"/>
    </row>
    <row r="227" spans="1:6">
      <c r="A227" t="str">
        <f t="shared" si="3"/>
        <v/>
      </c>
      <c r="E227" s="626"/>
      <c r="F227" s="626"/>
    </row>
    <row r="228" spans="1:6">
      <c r="A228" t="str">
        <f t="shared" si="3"/>
        <v/>
      </c>
      <c r="E228" s="626"/>
      <c r="F228" s="626"/>
    </row>
    <row r="229" spans="1:6">
      <c r="A229" t="str">
        <f t="shared" si="3"/>
        <v/>
      </c>
      <c r="E229" s="626"/>
      <c r="F229" s="626"/>
    </row>
    <row r="230" spans="1:6">
      <c r="A230" t="str">
        <f t="shared" si="3"/>
        <v/>
      </c>
      <c r="E230" s="626"/>
      <c r="F230" s="626"/>
    </row>
    <row r="231" spans="1:6">
      <c r="A231" t="str">
        <f t="shared" si="3"/>
        <v/>
      </c>
      <c r="E231" s="626"/>
      <c r="F231" s="626"/>
    </row>
    <row r="232" spans="1:6">
      <c r="A232" t="str">
        <f t="shared" si="3"/>
        <v/>
      </c>
      <c r="E232" s="626"/>
      <c r="F232" s="626"/>
    </row>
    <row r="233" spans="1:6">
      <c r="A233" t="str">
        <f t="shared" si="3"/>
        <v/>
      </c>
      <c r="E233" s="626"/>
      <c r="F233" s="626"/>
    </row>
    <row r="234" spans="1:6">
      <c r="A234" t="str">
        <f t="shared" si="3"/>
        <v/>
      </c>
      <c r="E234" s="626"/>
      <c r="F234" s="626"/>
    </row>
    <row r="235" spans="1:6">
      <c r="A235" t="str">
        <f t="shared" si="3"/>
        <v/>
      </c>
      <c r="E235" s="626"/>
      <c r="F235" s="626"/>
    </row>
    <row r="236" spans="1:6">
      <c r="A236" t="str">
        <f t="shared" si="3"/>
        <v/>
      </c>
      <c r="E236" s="626"/>
      <c r="F236" s="626"/>
    </row>
    <row r="237" spans="1:6">
      <c r="A237" t="str">
        <f t="shared" si="3"/>
        <v/>
      </c>
      <c r="E237" s="626"/>
      <c r="F237" s="626"/>
    </row>
    <row r="238" spans="1:6">
      <c r="A238" t="str">
        <f t="shared" si="3"/>
        <v/>
      </c>
      <c r="E238" s="626"/>
      <c r="F238" s="626"/>
    </row>
    <row r="239" spans="1:6">
      <c r="A239" t="str">
        <f t="shared" si="3"/>
        <v/>
      </c>
      <c r="E239" s="626"/>
      <c r="F239" s="626"/>
    </row>
    <row r="240" spans="1:6">
      <c r="A240" t="str">
        <f t="shared" si="3"/>
        <v/>
      </c>
      <c r="E240" s="626"/>
      <c r="F240" s="626"/>
    </row>
    <row r="241" spans="1:6">
      <c r="A241" t="str">
        <f t="shared" si="3"/>
        <v/>
      </c>
      <c r="E241" s="626"/>
      <c r="F241" s="626"/>
    </row>
    <row r="242" spans="1:6">
      <c r="A242" t="str">
        <f t="shared" si="3"/>
        <v/>
      </c>
      <c r="E242" s="626"/>
      <c r="F242" s="626"/>
    </row>
    <row r="243" spans="1:6">
      <c r="A243" t="str">
        <f t="shared" si="3"/>
        <v/>
      </c>
      <c r="E243" s="626"/>
      <c r="F243" s="626"/>
    </row>
    <row r="244" spans="1:6">
      <c r="A244" t="str">
        <f t="shared" si="3"/>
        <v/>
      </c>
      <c r="E244" s="626"/>
      <c r="F244" s="626"/>
    </row>
    <row r="245" spans="1:6">
      <c r="A245" t="str">
        <f t="shared" si="3"/>
        <v/>
      </c>
      <c r="E245" s="626"/>
      <c r="F245" s="626"/>
    </row>
    <row r="246" spans="1:6">
      <c r="A246" t="str">
        <f t="shared" si="3"/>
        <v/>
      </c>
      <c r="E246" s="626"/>
      <c r="F246" s="626"/>
    </row>
    <row r="247" spans="1:6">
      <c r="A247" t="str">
        <f t="shared" si="3"/>
        <v/>
      </c>
      <c r="E247" s="626"/>
      <c r="F247" s="626"/>
    </row>
    <row r="248" spans="1:6">
      <c r="A248" t="str">
        <f t="shared" si="3"/>
        <v/>
      </c>
      <c r="E248" s="626"/>
      <c r="F248" s="626"/>
    </row>
    <row r="249" spans="1:6">
      <c r="A249" t="str">
        <f t="shared" si="3"/>
        <v/>
      </c>
      <c r="E249" s="626"/>
      <c r="F249" s="626"/>
    </row>
    <row r="250" spans="1:6">
      <c r="A250" t="str">
        <f t="shared" si="3"/>
        <v/>
      </c>
      <c r="E250" s="626"/>
      <c r="F250" s="626"/>
    </row>
    <row r="251" spans="1:6">
      <c r="A251" t="str">
        <f t="shared" si="3"/>
        <v/>
      </c>
      <c r="E251" s="626"/>
      <c r="F251" s="626"/>
    </row>
    <row r="252" spans="1:6">
      <c r="A252" t="str">
        <f t="shared" si="3"/>
        <v/>
      </c>
      <c r="E252" s="626"/>
      <c r="F252" s="626"/>
    </row>
    <row r="253" spans="1:6">
      <c r="A253" t="str">
        <f t="shared" si="3"/>
        <v/>
      </c>
      <c r="E253" s="626"/>
      <c r="F253" s="626"/>
    </row>
    <row r="254" spans="1:6">
      <c r="A254" t="str">
        <f t="shared" si="3"/>
        <v/>
      </c>
      <c r="E254" s="626"/>
      <c r="F254" s="626"/>
    </row>
    <row r="255" spans="1:6">
      <c r="A255" t="str">
        <f t="shared" si="3"/>
        <v/>
      </c>
      <c r="E255" s="626"/>
      <c r="F255" s="626"/>
    </row>
    <row r="256" spans="1:6">
      <c r="A256" t="str">
        <f t="shared" si="3"/>
        <v/>
      </c>
      <c r="E256" s="626"/>
      <c r="F256" s="626"/>
    </row>
    <row r="257" spans="1:6">
      <c r="A257" t="str">
        <f t="shared" si="3"/>
        <v/>
      </c>
      <c r="E257" s="626"/>
      <c r="F257" s="626"/>
    </row>
    <row r="258" spans="1:6">
      <c r="A258" t="str">
        <f t="shared" ref="A258:A321" si="4">B258&amp;E258&amp;J258</f>
        <v/>
      </c>
      <c r="E258" s="626"/>
      <c r="F258" s="626"/>
    </row>
    <row r="259" spans="1:6">
      <c r="A259" t="str">
        <f t="shared" si="4"/>
        <v/>
      </c>
      <c r="E259" s="626"/>
      <c r="F259" s="626"/>
    </row>
    <row r="260" spans="1:6">
      <c r="A260" t="str">
        <f t="shared" si="4"/>
        <v/>
      </c>
      <c r="E260" s="626"/>
      <c r="F260" s="626"/>
    </row>
    <row r="261" spans="1:6">
      <c r="A261" t="str">
        <f t="shared" si="4"/>
        <v/>
      </c>
      <c r="E261" s="626"/>
      <c r="F261" s="626"/>
    </row>
    <row r="262" spans="1:6">
      <c r="A262" t="str">
        <f t="shared" si="4"/>
        <v/>
      </c>
      <c r="E262" s="626"/>
      <c r="F262" s="626"/>
    </row>
    <row r="263" spans="1:6">
      <c r="A263" t="str">
        <f t="shared" si="4"/>
        <v/>
      </c>
      <c r="E263" s="626"/>
      <c r="F263" s="626"/>
    </row>
    <row r="264" spans="1:6">
      <c r="A264" t="str">
        <f t="shared" si="4"/>
        <v/>
      </c>
      <c r="E264" s="626"/>
      <c r="F264" s="626"/>
    </row>
    <row r="265" spans="1:6">
      <c r="A265" t="str">
        <f t="shared" si="4"/>
        <v/>
      </c>
      <c r="E265" s="626"/>
      <c r="F265" s="626"/>
    </row>
    <row r="266" spans="1:6">
      <c r="A266" t="str">
        <f t="shared" si="4"/>
        <v/>
      </c>
      <c r="E266" s="626"/>
      <c r="F266" s="626"/>
    </row>
    <row r="267" spans="1:6">
      <c r="A267" t="str">
        <f t="shared" si="4"/>
        <v/>
      </c>
      <c r="E267" s="626"/>
      <c r="F267" s="626"/>
    </row>
    <row r="268" spans="1:6">
      <c r="A268" t="str">
        <f t="shared" si="4"/>
        <v/>
      </c>
      <c r="E268" s="626"/>
      <c r="F268" s="626"/>
    </row>
    <row r="269" spans="1:6">
      <c r="A269" t="str">
        <f t="shared" si="4"/>
        <v/>
      </c>
      <c r="E269" s="626"/>
      <c r="F269" s="626"/>
    </row>
    <row r="270" spans="1:6">
      <c r="A270" t="str">
        <f t="shared" si="4"/>
        <v/>
      </c>
      <c r="E270" s="626"/>
      <c r="F270" s="626"/>
    </row>
    <row r="271" spans="1:6">
      <c r="A271" t="str">
        <f t="shared" si="4"/>
        <v/>
      </c>
      <c r="E271" s="626"/>
      <c r="F271" s="626"/>
    </row>
    <row r="272" spans="1:6">
      <c r="A272" t="str">
        <f t="shared" si="4"/>
        <v/>
      </c>
      <c r="E272" s="626"/>
      <c r="F272" s="626"/>
    </row>
    <row r="273" spans="1:6">
      <c r="A273" t="str">
        <f t="shared" si="4"/>
        <v/>
      </c>
      <c r="E273" s="626"/>
      <c r="F273" s="626"/>
    </row>
    <row r="274" spans="1:6">
      <c r="A274" t="str">
        <f t="shared" si="4"/>
        <v/>
      </c>
      <c r="E274" s="626"/>
      <c r="F274" s="626"/>
    </row>
    <row r="275" spans="1:6">
      <c r="A275" t="str">
        <f t="shared" si="4"/>
        <v/>
      </c>
      <c r="E275" s="626"/>
      <c r="F275" s="626"/>
    </row>
    <row r="276" spans="1:6">
      <c r="A276" t="str">
        <f t="shared" si="4"/>
        <v/>
      </c>
      <c r="E276" s="626"/>
      <c r="F276" s="626"/>
    </row>
    <row r="277" spans="1:6">
      <c r="A277" t="str">
        <f t="shared" si="4"/>
        <v/>
      </c>
      <c r="E277" s="626"/>
      <c r="F277" s="626"/>
    </row>
    <row r="278" spans="1:6">
      <c r="A278" t="str">
        <f t="shared" si="4"/>
        <v/>
      </c>
      <c r="E278" s="626"/>
      <c r="F278" s="626"/>
    </row>
    <row r="279" spans="1:6">
      <c r="A279" t="str">
        <f t="shared" si="4"/>
        <v/>
      </c>
      <c r="E279" s="626"/>
      <c r="F279" s="626"/>
    </row>
    <row r="280" spans="1:6">
      <c r="A280" t="str">
        <f t="shared" si="4"/>
        <v/>
      </c>
      <c r="E280" s="626"/>
      <c r="F280" s="626"/>
    </row>
    <row r="281" spans="1:6">
      <c r="A281" t="str">
        <f t="shared" si="4"/>
        <v/>
      </c>
      <c r="E281" s="626"/>
      <c r="F281" s="626"/>
    </row>
    <row r="282" spans="1:6">
      <c r="A282" t="str">
        <f t="shared" si="4"/>
        <v/>
      </c>
      <c r="E282" s="626"/>
      <c r="F282" s="626"/>
    </row>
    <row r="283" spans="1:6">
      <c r="A283" t="str">
        <f t="shared" si="4"/>
        <v/>
      </c>
      <c r="E283" s="626"/>
      <c r="F283" s="626"/>
    </row>
    <row r="284" spans="1:6">
      <c r="A284" t="str">
        <f t="shared" si="4"/>
        <v/>
      </c>
      <c r="E284" s="626"/>
      <c r="F284" s="626"/>
    </row>
    <row r="285" spans="1:6">
      <c r="A285" t="str">
        <f t="shared" si="4"/>
        <v/>
      </c>
      <c r="E285" s="626"/>
      <c r="F285" s="626"/>
    </row>
    <row r="286" spans="1:6">
      <c r="A286" t="str">
        <f t="shared" si="4"/>
        <v/>
      </c>
      <c r="E286" s="626"/>
      <c r="F286" s="626"/>
    </row>
    <row r="287" spans="1:6">
      <c r="A287" t="str">
        <f t="shared" si="4"/>
        <v/>
      </c>
      <c r="E287" s="626"/>
      <c r="F287" s="626"/>
    </row>
    <row r="288" spans="1:6">
      <c r="A288" t="str">
        <f t="shared" si="4"/>
        <v/>
      </c>
      <c r="E288" s="626"/>
      <c r="F288" s="626"/>
    </row>
    <row r="289" spans="1:6">
      <c r="A289" t="str">
        <f t="shared" si="4"/>
        <v/>
      </c>
      <c r="E289" s="626"/>
      <c r="F289" s="626"/>
    </row>
    <row r="290" spans="1:6">
      <c r="A290" t="str">
        <f t="shared" si="4"/>
        <v/>
      </c>
      <c r="E290" s="626"/>
      <c r="F290" s="626"/>
    </row>
    <row r="291" spans="1:6">
      <c r="A291" t="str">
        <f t="shared" si="4"/>
        <v/>
      </c>
      <c r="E291" s="626"/>
      <c r="F291" s="626"/>
    </row>
    <row r="292" spans="1:6">
      <c r="A292" t="str">
        <f t="shared" si="4"/>
        <v/>
      </c>
      <c r="E292" s="626"/>
      <c r="F292" s="626"/>
    </row>
    <row r="293" spans="1:6">
      <c r="A293" t="str">
        <f t="shared" si="4"/>
        <v/>
      </c>
      <c r="E293" s="626"/>
      <c r="F293" s="626"/>
    </row>
    <row r="294" spans="1:6">
      <c r="A294" t="str">
        <f t="shared" si="4"/>
        <v/>
      </c>
      <c r="E294" s="626"/>
      <c r="F294" s="626"/>
    </row>
    <row r="295" spans="1:6">
      <c r="A295" t="str">
        <f t="shared" si="4"/>
        <v/>
      </c>
      <c r="E295" s="626"/>
      <c r="F295" s="626"/>
    </row>
    <row r="296" spans="1:6">
      <c r="A296" t="str">
        <f t="shared" si="4"/>
        <v/>
      </c>
      <c r="E296" s="626"/>
      <c r="F296" s="626"/>
    </row>
    <row r="297" spans="1:6">
      <c r="A297" t="str">
        <f t="shared" si="4"/>
        <v/>
      </c>
      <c r="E297" s="626"/>
      <c r="F297" s="626"/>
    </row>
    <row r="298" spans="1:6">
      <c r="A298" t="str">
        <f t="shared" si="4"/>
        <v/>
      </c>
      <c r="E298" s="626"/>
      <c r="F298" s="626"/>
    </row>
    <row r="299" spans="1:6">
      <c r="A299" t="str">
        <f t="shared" si="4"/>
        <v/>
      </c>
      <c r="E299" s="626"/>
      <c r="F299" s="626"/>
    </row>
    <row r="300" spans="1:6">
      <c r="A300" t="str">
        <f t="shared" si="4"/>
        <v/>
      </c>
      <c r="E300" s="626"/>
      <c r="F300" s="626"/>
    </row>
    <row r="301" spans="1:6">
      <c r="A301" t="str">
        <f t="shared" si="4"/>
        <v/>
      </c>
      <c r="E301" s="626"/>
      <c r="F301" s="626"/>
    </row>
    <row r="302" spans="1:6">
      <c r="A302" t="str">
        <f t="shared" si="4"/>
        <v/>
      </c>
      <c r="E302" s="626"/>
      <c r="F302" s="626"/>
    </row>
    <row r="303" spans="1:6">
      <c r="A303" t="str">
        <f t="shared" si="4"/>
        <v/>
      </c>
      <c r="E303" s="626"/>
      <c r="F303" s="626"/>
    </row>
    <row r="304" spans="1:6">
      <c r="A304" t="str">
        <f t="shared" si="4"/>
        <v/>
      </c>
      <c r="E304" s="626"/>
      <c r="F304" s="626"/>
    </row>
    <row r="305" spans="1:6">
      <c r="A305" t="str">
        <f t="shared" si="4"/>
        <v/>
      </c>
      <c r="E305" s="626"/>
      <c r="F305" s="626"/>
    </row>
    <row r="306" spans="1:6">
      <c r="A306" t="str">
        <f t="shared" si="4"/>
        <v/>
      </c>
      <c r="E306" s="626"/>
      <c r="F306" s="626"/>
    </row>
    <row r="307" spans="1:6">
      <c r="A307" t="str">
        <f t="shared" si="4"/>
        <v/>
      </c>
      <c r="E307" s="626"/>
      <c r="F307" s="626"/>
    </row>
    <row r="308" spans="1:6">
      <c r="A308" t="str">
        <f t="shared" si="4"/>
        <v/>
      </c>
      <c r="E308" s="626"/>
      <c r="F308" s="626"/>
    </row>
    <row r="309" spans="1:6">
      <c r="A309" t="str">
        <f t="shared" si="4"/>
        <v/>
      </c>
      <c r="E309" s="626"/>
      <c r="F309" s="626"/>
    </row>
    <row r="310" spans="1:6">
      <c r="A310" t="str">
        <f t="shared" si="4"/>
        <v/>
      </c>
      <c r="E310" s="626"/>
      <c r="F310" s="626"/>
    </row>
    <row r="311" spans="1:6">
      <c r="A311" t="str">
        <f t="shared" si="4"/>
        <v/>
      </c>
      <c r="E311" s="626"/>
      <c r="F311" s="626"/>
    </row>
    <row r="312" spans="1:6">
      <c r="A312" t="str">
        <f t="shared" si="4"/>
        <v/>
      </c>
      <c r="E312" s="626"/>
      <c r="F312" s="626"/>
    </row>
    <row r="313" spans="1:6">
      <c r="A313" t="str">
        <f t="shared" si="4"/>
        <v/>
      </c>
      <c r="E313" s="626"/>
      <c r="F313" s="626"/>
    </row>
    <row r="314" spans="1:6">
      <c r="A314" t="str">
        <f t="shared" si="4"/>
        <v/>
      </c>
      <c r="E314" s="626"/>
      <c r="F314" s="626"/>
    </row>
    <row r="315" spans="1:6">
      <c r="A315" t="str">
        <f t="shared" si="4"/>
        <v/>
      </c>
      <c r="E315" s="626"/>
      <c r="F315" s="626"/>
    </row>
    <row r="316" spans="1:6">
      <c r="A316" t="str">
        <f t="shared" si="4"/>
        <v/>
      </c>
      <c r="E316" s="626"/>
      <c r="F316" s="626"/>
    </row>
    <row r="317" spans="1:6">
      <c r="A317" t="str">
        <f t="shared" si="4"/>
        <v/>
      </c>
      <c r="E317" s="626"/>
      <c r="F317" s="626"/>
    </row>
    <row r="318" spans="1:6">
      <c r="A318" t="str">
        <f t="shared" si="4"/>
        <v/>
      </c>
      <c r="E318" s="626"/>
      <c r="F318" s="626"/>
    </row>
    <row r="319" spans="1:6">
      <c r="A319" t="str">
        <f t="shared" si="4"/>
        <v/>
      </c>
      <c r="E319" s="626"/>
      <c r="F319" s="626"/>
    </row>
    <row r="320" spans="1:6">
      <c r="A320" t="str">
        <f t="shared" si="4"/>
        <v/>
      </c>
      <c r="E320" s="626"/>
      <c r="F320" s="626"/>
    </row>
    <row r="321" spans="1:6">
      <c r="A321" t="str">
        <f t="shared" si="4"/>
        <v/>
      </c>
      <c r="E321" s="626"/>
      <c r="F321" s="626"/>
    </row>
    <row r="322" spans="1:6">
      <c r="A322" t="str">
        <f t="shared" ref="A322:A385" si="5">B322&amp;E322&amp;J322</f>
        <v/>
      </c>
      <c r="E322" s="626"/>
      <c r="F322" s="626"/>
    </row>
    <row r="323" spans="1:6">
      <c r="A323" t="str">
        <f t="shared" si="5"/>
        <v/>
      </c>
      <c r="E323" s="626"/>
      <c r="F323" s="626"/>
    </row>
    <row r="324" spans="1:6">
      <c r="A324" t="str">
        <f t="shared" si="5"/>
        <v/>
      </c>
      <c r="E324" s="626"/>
      <c r="F324" s="626"/>
    </row>
    <row r="325" spans="1:6">
      <c r="A325" t="str">
        <f t="shared" si="5"/>
        <v/>
      </c>
      <c r="E325" s="626"/>
      <c r="F325" s="626"/>
    </row>
    <row r="326" spans="1:6">
      <c r="A326" t="str">
        <f t="shared" si="5"/>
        <v/>
      </c>
      <c r="E326" s="626"/>
      <c r="F326" s="626"/>
    </row>
    <row r="327" spans="1:6">
      <c r="A327" t="str">
        <f t="shared" si="5"/>
        <v/>
      </c>
      <c r="E327" s="626"/>
      <c r="F327" s="626"/>
    </row>
    <row r="328" spans="1:6">
      <c r="A328" t="str">
        <f t="shared" si="5"/>
        <v/>
      </c>
      <c r="E328" s="626"/>
      <c r="F328" s="626"/>
    </row>
    <row r="329" spans="1:6">
      <c r="A329" t="str">
        <f t="shared" si="5"/>
        <v/>
      </c>
      <c r="E329" s="626"/>
      <c r="F329" s="626"/>
    </row>
    <row r="330" spans="1:6">
      <c r="A330" t="str">
        <f t="shared" si="5"/>
        <v/>
      </c>
      <c r="E330" s="626"/>
      <c r="F330" s="626"/>
    </row>
    <row r="331" spans="1:6">
      <c r="A331" t="str">
        <f t="shared" si="5"/>
        <v/>
      </c>
      <c r="E331" s="626"/>
      <c r="F331" s="626"/>
    </row>
    <row r="332" spans="1:6">
      <c r="A332" t="str">
        <f t="shared" si="5"/>
        <v/>
      </c>
      <c r="E332" s="626"/>
      <c r="F332" s="626"/>
    </row>
    <row r="333" spans="1:6">
      <c r="A333" t="str">
        <f t="shared" si="5"/>
        <v/>
      </c>
      <c r="E333" s="626"/>
      <c r="F333" s="626"/>
    </row>
    <row r="334" spans="1:6">
      <c r="A334" t="str">
        <f t="shared" si="5"/>
        <v/>
      </c>
      <c r="E334" s="626"/>
      <c r="F334" s="626"/>
    </row>
    <row r="335" spans="1:6">
      <c r="A335" t="str">
        <f t="shared" si="5"/>
        <v/>
      </c>
      <c r="E335" s="626"/>
      <c r="F335" s="626"/>
    </row>
    <row r="336" spans="1:6">
      <c r="A336" t="str">
        <f t="shared" si="5"/>
        <v/>
      </c>
      <c r="E336" s="626"/>
      <c r="F336" s="626"/>
    </row>
    <row r="337" spans="1:6">
      <c r="A337" t="str">
        <f t="shared" si="5"/>
        <v/>
      </c>
      <c r="E337" s="626"/>
      <c r="F337" s="626"/>
    </row>
    <row r="338" spans="1:6">
      <c r="A338" t="str">
        <f t="shared" si="5"/>
        <v/>
      </c>
      <c r="E338" s="626"/>
      <c r="F338" s="626"/>
    </row>
    <row r="339" spans="1:6">
      <c r="A339" t="str">
        <f t="shared" si="5"/>
        <v/>
      </c>
      <c r="E339" s="626"/>
      <c r="F339" s="626"/>
    </row>
    <row r="340" spans="1:6">
      <c r="A340" t="str">
        <f t="shared" si="5"/>
        <v/>
      </c>
      <c r="E340" s="626"/>
      <c r="F340" s="626"/>
    </row>
    <row r="341" spans="1:6">
      <c r="A341" t="str">
        <f t="shared" si="5"/>
        <v/>
      </c>
      <c r="E341" s="626"/>
      <c r="F341" s="626"/>
    </row>
    <row r="342" spans="1:6">
      <c r="A342" t="str">
        <f t="shared" si="5"/>
        <v/>
      </c>
      <c r="E342" s="626"/>
      <c r="F342" s="626"/>
    </row>
    <row r="343" spans="1:6">
      <c r="A343" t="str">
        <f t="shared" si="5"/>
        <v/>
      </c>
      <c r="E343" s="626"/>
      <c r="F343" s="626"/>
    </row>
    <row r="344" spans="1:6">
      <c r="A344" t="str">
        <f t="shared" si="5"/>
        <v/>
      </c>
      <c r="E344" s="626"/>
      <c r="F344" s="626"/>
    </row>
    <row r="345" spans="1:6">
      <c r="A345" t="str">
        <f t="shared" si="5"/>
        <v/>
      </c>
      <c r="E345" s="626"/>
      <c r="F345" s="626"/>
    </row>
    <row r="346" spans="1:6">
      <c r="A346" t="str">
        <f t="shared" si="5"/>
        <v/>
      </c>
      <c r="E346" s="626"/>
      <c r="F346" s="626"/>
    </row>
    <row r="347" spans="1:6">
      <c r="A347" t="str">
        <f t="shared" si="5"/>
        <v/>
      </c>
      <c r="E347" s="626"/>
      <c r="F347" s="626"/>
    </row>
    <row r="348" spans="1:6">
      <c r="A348" t="str">
        <f t="shared" si="5"/>
        <v/>
      </c>
      <c r="E348" s="626"/>
      <c r="F348" s="626"/>
    </row>
    <row r="349" spans="1:6">
      <c r="A349" t="str">
        <f t="shared" si="5"/>
        <v/>
      </c>
      <c r="E349" s="626"/>
      <c r="F349" s="626"/>
    </row>
    <row r="350" spans="1:6">
      <c r="A350" t="str">
        <f t="shared" si="5"/>
        <v/>
      </c>
      <c r="E350" s="626"/>
      <c r="F350" s="626"/>
    </row>
    <row r="351" spans="1:6">
      <c r="A351" t="str">
        <f t="shared" si="5"/>
        <v/>
      </c>
      <c r="E351" s="626"/>
      <c r="F351" s="626"/>
    </row>
    <row r="352" spans="1:6">
      <c r="A352" t="str">
        <f t="shared" si="5"/>
        <v/>
      </c>
      <c r="E352" s="626"/>
      <c r="F352" s="626"/>
    </row>
    <row r="353" spans="1:6">
      <c r="A353" t="str">
        <f t="shared" si="5"/>
        <v/>
      </c>
      <c r="E353" s="626"/>
      <c r="F353" s="626"/>
    </row>
    <row r="354" spans="1:6">
      <c r="A354" t="str">
        <f t="shared" si="5"/>
        <v/>
      </c>
      <c r="E354" s="626"/>
      <c r="F354" s="626"/>
    </row>
    <row r="355" spans="1:6">
      <c r="A355" t="str">
        <f t="shared" si="5"/>
        <v/>
      </c>
      <c r="E355" s="626"/>
      <c r="F355" s="626"/>
    </row>
    <row r="356" spans="1:6">
      <c r="A356" t="str">
        <f t="shared" si="5"/>
        <v/>
      </c>
      <c r="E356" s="626"/>
      <c r="F356" s="626"/>
    </row>
    <row r="357" spans="1:6">
      <c r="A357" t="str">
        <f t="shared" si="5"/>
        <v/>
      </c>
      <c r="E357" s="626"/>
      <c r="F357" s="626"/>
    </row>
    <row r="358" spans="1:6">
      <c r="A358" t="str">
        <f t="shared" si="5"/>
        <v/>
      </c>
      <c r="E358" s="626"/>
      <c r="F358" s="626"/>
    </row>
    <row r="359" spans="1:6">
      <c r="A359" t="str">
        <f t="shared" si="5"/>
        <v/>
      </c>
      <c r="E359" s="626"/>
      <c r="F359" s="626"/>
    </row>
    <row r="360" spans="1:6">
      <c r="A360" t="str">
        <f t="shared" si="5"/>
        <v/>
      </c>
      <c r="E360" s="626"/>
      <c r="F360" s="626"/>
    </row>
    <row r="361" spans="1:6">
      <c r="A361" t="str">
        <f t="shared" si="5"/>
        <v/>
      </c>
      <c r="E361" s="626"/>
      <c r="F361" s="626"/>
    </row>
    <row r="362" spans="1:6">
      <c r="A362" t="str">
        <f t="shared" si="5"/>
        <v/>
      </c>
      <c r="E362" s="626"/>
      <c r="F362" s="626"/>
    </row>
    <row r="363" spans="1:6">
      <c r="A363" t="str">
        <f t="shared" si="5"/>
        <v/>
      </c>
      <c r="E363" s="626"/>
      <c r="F363" s="626"/>
    </row>
    <row r="364" spans="1:6">
      <c r="A364" t="str">
        <f t="shared" si="5"/>
        <v/>
      </c>
      <c r="E364" s="626"/>
      <c r="F364" s="626"/>
    </row>
    <row r="365" spans="1:6">
      <c r="A365" t="str">
        <f t="shared" si="5"/>
        <v/>
      </c>
      <c r="E365" s="626"/>
      <c r="F365" s="626"/>
    </row>
    <row r="366" spans="1:6">
      <c r="A366" t="str">
        <f t="shared" si="5"/>
        <v/>
      </c>
      <c r="E366" s="626"/>
      <c r="F366" s="626"/>
    </row>
    <row r="367" spans="1:6">
      <c r="A367" t="str">
        <f t="shared" si="5"/>
        <v/>
      </c>
      <c r="E367" s="626"/>
      <c r="F367" s="626"/>
    </row>
    <row r="368" spans="1:6">
      <c r="A368" t="str">
        <f t="shared" si="5"/>
        <v/>
      </c>
      <c r="E368" s="626"/>
      <c r="F368" s="626"/>
    </row>
    <row r="369" spans="1:6">
      <c r="A369" t="str">
        <f t="shared" si="5"/>
        <v/>
      </c>
      <c r="E369" s="626"/>
      <c r="F369" s="626"/>
    </row>
    <row r="370" spans="1:6">
      <c r="A370" t="str">
        <f t="shared" si="5"/>
        <v/>
      </c>
      <c r="E370" s="626"/>
      <c r="F370" s="626"/>
    </row>
    <row r="371" spans="1:6">
      <c r="A371" t="str">
        <f t="shared" si="5"/>
        <v/>
      </c>
      <c r="E371" s="626"/>
      <c r="F371" s="626"/>
    </row>
    <row r="372" spans="1:6">
      <c r="A372" t="str">
        <f t="shared" si="5"/>
        <v/>
      </c>
      <c r="E372" s="626"/>
      <c r="F372" s="626"/>
    </row>
    <row r="373" spans="1:6">
      <c r="A373" t="str">
        <f t="shared" si="5"/>
        <v/>
      </c>
      <c r="E373" s="626"/>
      <c r="F373" s="626"/>
    </row>
    <row r="374" spans="1:6">
      <c r="A374" t="str">
        <f t="shared" si="5"/>
        <v/>
      </c>
      <c r="E374" s="626"/>
      <c r="F374" s="626"/>
    </row>
    <row r="375" spans="1:6">
      <c r="A375" t="str">
        <f t="shared" si="5"/>
        <v/>
      </c>
      <c r="E375" s="626"/>
      <c r="F375" s="626"/>
    </row>
    <row r="376" spans="1:6">
      <c r="A376" t="str">
        <f t="shared" si="5"/>
        <v/>
      </c>
      <c r="E376" s="626"/>
      <c r="F376" s="626"/>
    </row>
    <row r="377" spans="1:6">
      <c r="A377" t="str">
        <f t="shared" si="5"/>
        <v/>
      </c>
      <c r="E377" s="626"/>
      <c r="F377" s="626"/>
    </row>
    <row r="378" spans="1:6">
      <c r="A378" t="str">
        <f t="shared" si="5"/>
        <v/>
      </c>
      <c r="E378" s="626"/>
      <c r="F378" s="626"/>
    </row>
    <row r="379" spans="1:6">
      <c r="A379" t="str">
        <f t="shared" si="5"/>
        <v/>
      </c>
      <c r="E379" s="626"/>
      <c r="F379" s="626"/>
    </row>
    <row r="380" spans="1:6">
      <c r="A380" t="str">
        <f t="shared" si="5"/>
        <v/>
      </c>
      <c r="E380" s="626"/>
      <c r="F380" s="626"/>
    </row>
    <row r="381" spans="1:6">
      <c r="A381" t="str">
        <f t="shared" si="5"/>
        <v/>
      </c>
      <c r="E381" s="626"/>
      <c r="F381" s="626"/>
    </row>
    <row r="382" spans="1:6">
      <c r="A382" t="str">
        <f t="shared" si="5"/>
        <v/>
      </c>
      <c r="E382" s="626"/>
      <c r="F382" s="626"/>
    </row>
    <row r="383" spans="1:6">
      <c r="A383" t="str">
        <f t="shared" si="5"/>
        <v/>
      </c>
      <c r="E383" s="626"/>
      <c r="F383" s="626"/>
    </row>
    <row r="384" spans="1:6">
      <c r="A384" t="str">
        <f t="shared" si="5"/>
        <v/>
      </c>
      <c r="E384" s="626"/>
      <c r="F384" s="626"/>
    </row>
    <row r="385" spans="1:6">
      <c r="A385" t="str">
        <f t="shared" si="5"/>
        <v/>
      </c>
      <c r="E385" s="626"/>
      <c r="F385" s="626"/>
    </row>
    <row r="386" spans="1:6">
      <c r="A386" t="str">
        <f t="shared" ref="A386:A449" si="6">B386&amp;E386&amp;J386</f>
        <v/>
      </c>
      <c r="E386" s="626"/>
      <c r="F386" s="626"/>
    </row>
    <row r="387" spans="1:6">
      <c r="A387" t="str">
        <f t="shared" si="6"/>
        <v/>
      </c>
      <c r="E387" s="626"/>
      <c r="F387" s="626"/>
    </row>
    <row r="388" spans="1:6">
      <c r="A388" t="str">
        <f t="shared" si="6"/>
        <v/>
      </c>
      <c r="E388" s="626"/>
      <c r="F388" s="626"/>
    </row>
    <row r="389" spans="1:6">
      <c r="A389" t="str">
        <f t="shared" si="6"/>
        <v/>
      </c>
      <c r="E389" s="626"/>
      <c r="F389" s="626"/>
    </row>
    <row r="390" spans="1:6">
      <c r="A390" t="str">
        <f t="shared" si="6"/>
        <v/>
      </c>
      <c r="E390" s="626"/>
      <c r="F390" s="626"/>
    </row>
    <row r="391" spans="1:6">
      <c r="A391" t="str">
        <f t="shared" si="6"/>
        <v/>
      </c>
      <c r="E391" s="626"/>
      <c r="F391" s="626"/>
    </row>
    <row r="392" spans="1:6">
      <c r="A392" t="str">
        <f t="shared" si="6"/>
        <v/>
      </c>
      <c r="E392" s="626"/>
      <c r="F392" s="626"/>
    </row>
    <row r="393" spans="1:6">
      <c r="A393" t="str">
        <f t="shared" si="6"/>
        <v/>
      </c>
      <c r="E393" s="626"/>
      <c r="F393" s="626"/>
    </row>
    <row r="394" spans="1:6">
      <c r="A394" t="str">
        <f t="shared" si="6"/>
        <v/>
      </c>
      <c r="E394" s="626"/>
      <c r="F394" s="626"/>
    </row>
    <row r="395" spans="1:6">
      <c r="A395" t="str">
        <f t="shared" si="6"/>
        <v/>
      </c>
      <c r="E395" s="626"/>
      <c r="F395" s="626"/>
    </row>
    <row r="396" spans="1:6">
      <c r="A396" t="str">
        <f t="shared" si="6"/>
        <v/>
      </c>
      <c r="E396" s="626"/>
      <c r="F396" s="626"/>
    </row>
    <row r="397" spans="1:6">
      <c r="A397" t="str">
        <f t="shared" si="6"/>
        <v/>
      </c>
      <c r="E397" s="626"/>
      <c r="F397" s="626"/>
    </row>
    <row r="398" spans="1:6">
      <c r="A398" t="str">
        <f t="shared" si="6"/>
        <v/>
      </c>
      <c r="E398" s="626"/>
      <c r="F398" s="626"/>
    </row>
    <row r="399" spans="1:6">
      <c r="A399" t="str">
        <f t="shared" si="6"/>
        <v/>
      </c>
      <c r="E399" s="626"/>
      <c r="F399" s="626"/>
    </row>
    <row r="400" spans="1:6">
      <c r="A400" t="str">
        <f t="shared" si="6"/>
        <v/>
      </c>
      <c r="E400" s="626"/>
      <c r="F400" s="626"/>
    </row>
    <row r="401" spans="1:6">
      <c r="A401" t="str">
        <f t="shared" si="6"/>
        <v/>
      </c>
      <c r="E401" s="626"/>
      <c r="F401" s="626"/>
    </row>
    <row r="402" spans="1:6">
      <c r="A402" t="str">
        <f t="shared" si="6"/>
        <v/>
      </c>
      <c r="E402" s="626"/>
      <c r="F402" s="626"/>
    </row>
    <row r="403" spans="1:6">
      <c r="A403" t="str">
        <f t="shared" si="6"/>
        <v/>
      </c>
      <c r="E403" s="626"/>
      <c r="F403" s="626"/>
    </row>
    <row r="404" spans="1:6">
      <c r="A404" t="str">
        <f t="shared" si="6"/>
        <v/>
      </c>
      <c r="E404" s="626"/>
      <c r="F404" s="626"/>
    </row>
    <row r="405" spans="1:6">
      <c r="A405" t="str">
        <f t="shared" si="6"/>
        <v/>
      </c>
      <c r="E405" s="626"/>
      <c r="F405" s="626"/>
    </row>
    <row r="406" spans="1:6">
      <c r="A406" t="str">
        <f t="shared" si="6"/>
        <v/>
      </c>
      <c r="E406" s="626"/>
      <c r="F406" s="626"/>
    </row>
    <row r="407" spans="1:6">
      <c r="A407" t="str">
        <f t="shared" si="6"/>
        <v/>
      </c>
      <c r="E407" s="626"/>
      <c r="F407" s="626"/>
    </row>
    <row r="408" spans="1:6">
      <c r="A408" t="str">
        <f t="shared" si="6"/>
        <v/>
      </c>
      <c r="E408" s="626"/>
      <c r="F408" s="626"/>
    </row>
    <row r="409" spans="1:6">
      <c r="A409" t="str">
        <f t="shared" si="6"/>
        <v/>
      </c>
      <c r="E409" s="626"/>
      <c r="F409" s="626"/>
    </row>
    <row r="410" spans="1:6">
      <c r="A410" t="str">
        <f t="shared" si="6"/>
        <v/>
      </c>
      <c r="E410" s="626"/>
      <c r="F410" s="626"/>
    </row>
    <row r="411" spans="1:6">
      <c r="A411" t="str">
        <f t="shared" si="6"/>
        <v/>
      </c>
      <c r="E411" s="626"/>
      <c r="F411" s="626"/>
    </row>
    <row r="412" spans="1:6">
      <c r="A412" t="str">
        <f t="shared" si="6"/>
        <v/>
      </c>
      <c r="E412" s="626"/>
      <c r="F412" s="626"/>
    </row>
    <row r="413" spans="1:6">
      <c r="A413" t="str">
        <f t="shared" si="6"/>
        <v/>
      </c>
      <c r="E413" s="626"/>
      <c r="F413" s="626"/>
    </row>
    <row r="414" spans="1:6">
      <c r="A414" t="str">
        <f t="shared" si="6"/>
        <v/>
      </c>
      <c r="E414" s="626"/>
      <c r="F414" s="626"/>
    </row>
    <row r="415" spans="1:6">
      <c r="A415" t="str">
        <f t="shared" si="6"/>
        <v/>
      </c>
      <c r="E415" s="626"/>
      <c r="F415" s="626"/>
    </row>
    <row r="416" spans="1:6">
      <c r="A416" t="str">
        <f t="shared" si="6"/>
        <v/>
      </c>
      <c r="E416" s="626"/>
      <c r="F416" s="626"/>
    </row>
    <row r="417" spans="1:6">
      <c r="A417" t="str">
        <f t="shared" si="6"/>
        <v/>
      </c>
      <c r="E417" s="626"/>
      <c r="F417" s="626"/>
    </row>
    <row r="418" spans="1:6">
      <c r="A418" t="str">
        <f t="shared" si="6"/>
        <v/>
      </c>
      <c r="E418" s="626"/>
      <c r="F418" s="626"/>
    </row>
    <row r="419" spans="1:6">
      <c r="A419" t="str">
        <f t="shared" si="6"/>
        <v/>
      </c>
      <c r="E419" s="626"/>
      <c r="F419" s="626"/>
    </row>
    <row r="420" spans="1:6">
      <c r="A420" t="str">
        <f t="shared" si="6"/>
        <v/>
      </c>
      <c r="E420" s="626"/>
      <c r="F420" s="626"/>
    </row>
    <row r="421" spans="1:6">
      <c r="A421" t="str">
        <f t="shared" si="6"/>
        <v/>
      </c>
      <c r="E421" s="626"/>
      <c r="F421" s="626"/>
    </row>
    <row r="422" spans="1:6">
      <c r="A422" t="str">
        <f t="shared" si="6"/>
        <v/>
      </c>
      <c r="E422" s="626"/>
      <c r="F422" s="626"/>
    </row>
    <row r="423" spans="1:6">
      <c r="A423" t="str">
        <f t="shared" si="6"/>
        <v/>
      </c>
      <c r="E423" s="626"/>
      <c r="F423" s="626"/>
    </row>
    <row r="424" spans="1:6">
      <c r="A424" t="str">
        <f t="shared" si="6"/>
        <v/>
      </c>
      <c r="E424" s="626"/>
      <c r="F424" s="626"/>
    </row>
    <row r="425" spans="1:6">
      <c r="A425" t="str">
        <f t="shared" si="6"/>
        <v/>
      </c>
      <c r="E425" s="626"/>
      <c r="F425" s="626"/>
    </row>
    <row r="426" spans="1:6">
      <c r="A426" t="str">
        <f t="shared" si="6"/>
        <v/>
      </c>
      <c r="E426" s="626"/>
      <c r="F426" s="626"/>
    </row>
    <row r="427" spans="1:6">
      <c r="A427" t="str">
        <f t="shared" si="6"/>
        <v/>
      </c>
      <c r="E427" s="626"/>
      <c r="F427" s="626"/>
    </row>
    <row r="428" spans="1:6">
      <c r="A428" t="str">
        <f t="shared" si="6"/>
        <v/>
      </c>
      <c r="E428" s="626"/>
      <c r="F428" s="626"/>
    </row>
    <row r="429" spans="1:6">
      <c r="A429" t="str">
        <f t="shared" si="6"/>
        <v/>
      </c>
      <c r="E429" s="626"/>
      <c r="F429" s="626"/>
    </row>
    <row r="430" spans="1:6">
      <c r="A430" t="str">
        <f t="shared" si="6"/>
        <v/>
      </c>
      <c r="E430" s="626"/>
      <c r="F430" s="626"/>
    </row>
    <row r="431" spans="1:6">
      <c r="A431" t="str">
        <f t="shared" si="6"/>
        <v/>
      </c>
      <c r="E431" s="626"/>
      <c r="F431" s="626"/>
    </row>
    <row r="432" spans="1:6">
      <c r="A432" t="str">
        <f t="shared" si="6"/>
        <v/>
      </c>
      <c r="E432" s="626"/>
      <c r="F432" s="626"/>
    </row>
    <row r="433" spans="1:6">
      <c r="A433" t="str">
        <f t="shared" si="6"/>
        <v/>
      </c>
      <c r="E433" s="626"/>
      <c r="F433" s="626"/>
    </row>
    <row r="434" spans="1:6">
      <c r="A434" t="str">
        <f t="shared" si="6"/>
        <v/>
      </c>
      <c r="E434" s="626"/>
      <c r="F434" s="626"/>
    </row>
    <row r="435" spans="1:6">
      <c r="A435" t="str">
        <f t="shared" si="6"/>
        <v/>
      </c>
      <c r="E435" s="626"/>
      <c r="F435" s="626"/>
    </row>
    <row r="436" spans="1:6">
      <c r="A436" t="str">
        <f t="shared" si="6"/>
        <v/>
      </c>
      <c r="E436" s="626"/>
      <c r="F436" s="626"/>
    </row>
    <row r="437" spans="1:6">
      <c r="A437" t="str">
        <f t="shared" si="6"/>
        <v/>
      </c>
      <c r="E437" s="626"/>
      <c r="F437" s="626"/>
    </row>
    <row r="438" spans="1:6">
      <c r="A438" t="str">
        <f t="shared" si="6"/>
        <v/>
      </c>
      <c r="E438" s="626"/>
      <c r="F438" s="626"/>
    </row>
    <row r="439" spans="1:6">
      <c r="A439" t="str">
        <f t="shared" si="6"/>
        <v/>
      </c>
      <c r="E439" s="626"/>
      <c r="F439" s="626"/>
    </row>
    <row r="440" spans="1:6">
      <c r="A440" t="str">
        <f t="shared" si="6"/>
        <v/>
      </c>
      <c r="E440" s="626"/>
      <c r="F440" s="626"/>
    </row>
    <row r="441" spans="1:6">
      <c r="A441" t="str">
        <f t="shared" si="6"/>
        <v/>
      </c>
      <c r="E441" s="626"/>
      <c r="F441" s="626"/>
    </row>
    <row r="442" spans="1:6">
      <c r="A442" t="str">
        <f t="shared" si="6"/>
        <v/>
      </c>
      <c r="E442" s="626"/>
      <c r="F442" s="626"/>
    </row>
    <row r="443" spans="1:6">
      <c r="A443" t="str">
        <f t="shared" si="6"/>
        <v/>
      </c>
      <c r="E443" s="626"/>
      <c r="F443" s="626"/>
    </row>
    <row r="444" spans="1:6">
      <c r="A444" t="str">
        <f t="shared" si="6"/>
        <v/>
      </c>
      <c r="E444" s="626"/>
      <c r="F444" s="626"/>
    </row>
    <row r="445" spans="1:6">
      <c r="A445" t="str">
        <f t="shared" si="6"/>
        <v/>
      </c>
      <c r="E445" s="626"/>
      <c r="F445" s="626"/>
    </row>
    <row r="446" spans="1:6">
      <c r="A446" t="str">
        <f t="shared" si="6"/>
        <v/>
      </c>
      <c r="E446" s="626"/>
      <c r="F446" s="626"/>
    </row>
    <row r="447" spans="1:6">
      <c r="A447" t="str">
        <f t="shared" si="6"/>
        <v/>
      </c>
      <c r="E447" s="626"/>
      <c r="F447" s="626"/>
    </row>
    <row r="448" spans="1:6">
      <c r="A448" t="str">
        <f t="shared" si="6"/>
        <v/>
      </c>
      <c r="E448" s="626"/>
      <c r="F448" s="626"/>
    </row>
    <row r="449" spans="1:6">
      <c r="A449" t="str">
        <f t="shared" si="6"/>
        <v/>
      </c>
      <c r="E449" s="626"/>
      <c r="F449" s="626"/>
    </row>
    <row r="450" spans="1:6">
      <c r="A450" t="str">
        <f t="shared" ref="A450:A513" si="7">B450&amp;E450&amp;J450</f>
        <v/>
      </c>
      <c r="E450" s="626"/>
      <c r="F450" s="626"/>
    </row>
    <row r="451" spans="1:6">
      <c r="A451" t="str">
        <f t="shared" si="7"/>
        <v/>
      </c>
      <c r="E451" s="626"/>
      <c r="F451" s="626"/>
    </row>
    <row r="452" spans="1:6">
      <c r="A452" t="str">
        <f t="shared" si="7"/>
        <v/>
      </c>
      <c r="E452" s="626"/>
      <c r="F452" s="626"/>
    </row>
    <row r="453" spans="1:6">
      <c r="A453" t="str">
        <f t="shared" si="7"/>
        <v/>
      </c>
      <c r="E453" s="626"/>
      <c r="F453" s="626"/>
    </row>
    <row r="454" spans="1:6">
      <c r="A454" t="str">
        <f t="shared" si="7"/>
        <v/>
      </c>
      <c r="E454" s="626"/>
      <c r="F454" s="626"/>
    </row>
    <row r="455" spans="1:6">
      <c r="A455" t="str">
        <f t="shared" si="7"/>
        <v/>
      </c>
      <c r="E455" s="626"/>
      <c r="F455" s="626"/>
    </row>
    <row r="456" spans="1:6">
      <c r="A456" t="str">
        <f t="shared" si="7"/>
        <v/>
      </c>
      <c r="E456" s="626"/>
      <c r="F456" s="626"/>
    </row>
    <row r="457" spans="1:6">
      <c r="A457" t="str">
        <f t="shared" si="7"/>
        <v/>
      </c>
      <c r="E457" s="626"/>
      <c r="F457" s="626"/>
    </row>
    <row r="458" spans="1:6">
      <c r="A458" t="str">
        <f t="shared" si="7"/>
        <v/>
      </c>
      <c r="E458" s="626"/>
      <c r="F458" s="626"/>
    </row>
    <row r="459" spans="1:6">
      <c r="A459" t="str">
        <f t="shared" si="7"/>
        <v/>
      </c>
      <c r="E459" s="626"/>
      <c r="F459" s="626"/>
    </row>
    <row r="460" spans="1:6">
      <c r="A460" t="str">
        <f t="shared" si="7"/>
        <v/>
      </c>
      <c r="E460" s="626"/>
      <c r="F460" s="626"/>
    </row>
    <row r="461" spans="1:6">
      <c r="A461" t="str">
        <f t="shared" si="7"/>
        <v/>
      </c>
      <c r="E461" s="626"/>
      <c r="F461" s="626"/>
    </row>
    <row r="462" spans="1:6">
      <c r="A462" t="str">
        <f t="shared" si="7"/>
        <v/>
      </c>
      <c r="E462" s="626"/>
      <c r="F462" s="626"/>
    </row>
    <row r="463" spans="1:6">
      <c r="A463" t="str">
        <f t="shared" si="7"/>
        <v/>
      </c>
      <c r="E463" s="626"/>
      <c r="F463" s="626"/>
    </row>
    <row r="464" spans="1:6">
      <c r="A464" t="str">
        <f t="shared" si="7"/>
        <v/>
      </c>
      <c r="E464" s="626"/>
      <c r="F464" s="626"/>
    </row>
    <row r="465" spans="1:6">
      <c r="A465" t="str">
        <f t="shared" si="7"/>
        <v/>
      </c>
      <c r="E465" s="626"/>
      <c r="F465" s="626"/>
    </row>
    <row r="466" spans="1:6">
      <c r="A466" t="str">
        <f t="shared" si="7"/>
        <v/>
      </c>
      <c r="E466" s="626"/>
      <c r="F466" s="626"/>
    </row>
    <row r="467" spans="1:6">
      <c r="A467" t="str">
        <f t="shared" si="7"/>
        <v/>
      </c>
      <c r="E467" s="626"/>
      <c r="F467" s="626"/>
    </row>
    <row r="468" spans="1:6">
      <c r="A468" t="str">
        <f t="shared" si="7"/>
        <v/>
      </c>
      <c r="E468" s="626"/>
      <c r="F468" s="626"/>
    </row>
    <row r="469" spans="1:6">
      <c r="A469" t="str">
        <f t="shared" si="7"/>
        <v/>
      </c>
      <c r="E469" s="626"/>
      <c r="F469" s="626"/>
    </row>
    <row r="470" spans="1:6">
      <c r="A470" t="str">
        <f t="shared" si="7"/>
        <v/>
      </c>
      <c r="E470" s="626"/>
      <c r="F470" s="626"/>
    </row>
    <row r="471" spans="1:6">
      <c r="A471" t="str">
        <f t="shared" si="7"/>
        <v/>
      </c>
      <c r="E471" s="626"/>
      <c r="F471" s="626"/>
    </row>
    <row r="472" spans="1:6">
      <c r="A472" t="str">
        <f t="shared" si="7"/>
        <v/>
      </c>
      <c r="E472" s="626"/>
      <c r="F472" s="626"/>
    </row>
    <row r="473" spans="1:6">
      <c r="A473" t="str">
        <f t="shared" si="7"/>
        <v/>
      </c>
      <c r="E473" s="626"/>
      <c r="F473" s="626"/>
    </row>
    <row r="474" spans="1:6">
      <c r="A474" t="str">
        <f t="shared" si="7"/>
        <v/>
      </c>
      <c r="E474" s="626"/>
      <c r="F474" s="626"/>
    </row>
    <row r="475" spans="1:6">
      <c r="A475" t="str">
        <f t="shared" si="7"/>
        <v/>
      </c>
      <c r="E475" s="626"/>
      <c r="F475" s="626"/>
    </row>
    <row r="476" spans="1:6">
      <c r="A476" t="str">
        <f t="shared" si="7"/>
        <v/>
      </c>
      <c r="E476" s="626"/>
      <c r="F476" s="626"/>
    </row>
    <row r="477" spans="1:6">
      <c r="A477" t="str">
        <f t="shared" si="7"/>
        <v/>
      </c>
      <c r="E477" s="626"/>
      <c r="F477" s="626"/>
    </row>
    <row r="478" spans="1:6">
      <c r="A478" t="str">
        <f t="shared" si="7"/>
        <v/>
      </c>
      <c r="E478" s="626"/>
      <c r="F478" s="626"/>
    </row>
    <row r="479" spans="1:6">
      <c r="A479" t="str">
        <f t="shared" si="7"/>
        <v/>
      </c>
      <c r="E479" s="626"/>
      <c r="F479" s="626"/>
    </row>
    <row r="480" spans="1:6">
      <c r="A480" t="str">
        <f t="shared" si="7"/>
        <v/>
      </c>
      <c r="E480" s="626"/>
      <c r="F480" s="626"/>
    </row>
    <row r="481" spans="1:6">
      <c r="A481" t="str">
        <f t="shared" si="7"/>
        <v/>
      </c>
      <c r="E481" s="626"/>
      <c r="F481" s="626"/>
    </row>
    <row r="482" spans="1:6">
      <c r="A482" t="str">
        <f t="shared" si="7"/>
        <v/>
      </c>
      <c r="E482" s="626"/>
      <c r="F482" s="626"/>
    </row>
    <row r="483" spans="1:6">
      <c r="A483" t="str">
        <f t="shared" si="7"/>
        <v/>
      </c>
      <c r="E483" s="626"/>
      <c r="F483" s="626"/>
    </row>
    <row r="484" spans="1:6">
      <c r="A484" t="str">
        <f t="shared" si="7"/>
        <v/>
      </c>
      <c r="E484" s="626"/>
      <c r="F484" s="626"/>
    </row>
    <row r="485" spans="1:6">
      <c r="A485" t="str">
        <f t="shared" si="7"/>
        <v/>
      </c>
      <c r="E485" s="626"/>
      <c r="F485" s="626"/>
    </row>
    <row r="486" spans="1:6">
      <c r="A486" t="str">
        <f t="shared" si="7"/>
        <v/>
      </c>
      <c r="E486" s="626"/>
      <c r="F486" s="626"/>
    </row>
    <row r="487" spans="1:6">
      <c r="A487" t="str">
        <f t="shared" si="7"/>
        <v/>
      </c>
      <c r="E487" s="626"/>
      <c r="F487" s="626"/>
    </row>
    <row r="488" spans="1:6">
      <c r="A488" t="str">
        <f t="shared" si="7"/>
        <v/>
      </c>
      <c r="E488" s="626"/>
      <c r="F488" s="626"/>
    </row>
    <row r="489" spans="1:6">
      <c r="A489" t="str">
        <f t="shared" si="7"/>
        <v/>
      </c>
      <c r="E489" s="626"/>
      <c r="F489" s="626"/>
    </row>
    <row r="490" spans="1:6">
      <c r="A490" t="str">
        <f t="shared" si="7"/>
        <v/>
      </c>
      <c r="E490" s="626"/>
      <c r="F490" s="626"/>
    </row>
    <row r="491" spans="1:6">
      <c r="A491" t="str">
        <f t="shared" si="7"/>
        <v/>
      </c>
      <c r="E491" s="626"/>
      <c r="F491" s="626"/>
    </row>
    <row r="492" spans="1:6">
      <c r="A492" t="str">
        <f t="shared" si="7"/>
        <v/>
      </c>
      <c r="E492" s="626"/>
      <c r="F492" s="626"/>
    </row>
    <row r="493" spans="1:6">
      <c r="A493" t="str">
        <f t="shared" si="7"/>
        <v/>
      </c>
      <c r="E493" s="626"/>
      <c r="F493" s="626"/>
    </row>
    <row r="494" spans="1:6">
      <c r="A494" t="str">
        <f t="shared" si="7"/>
        <v/>
      </c>
      <c r="E494" s="626"/>
      <c r="F494" s="626"/>
    </row>
    <row r="495" spans="1:6">
      <c r="A495" t="str">
        <f t="shared" si="7"/>
        <v/>
      </c>
      <c r="E495" s="626"/>
      <c r="F495" s="626"/>
    </row>
    <row r="496" spans="1:6">
      <c r="A496" t="str">
        <f t="shared" si="7"/>
        <v/>
      </c>
      <c r="E496" s="626"/>
      <c r="F496" s="626"/>
    </row>
    <row r="497" spans="1:6">
      <c r="A497" t="str">
        <f t="shared" si="7"/>
        <v/>
      </c>
      <c r="E497" s="626"/>
      <c r="F497" s="626"/>
    </row>
    <row r="498" spans="1:6">
      <c r="A498" t="str">
        <f t="shared" si="7"/>
        <v/>
      </c>
      <c r="E498" s="626"/>
      <c r="F498" s="626"/>
    </row>
    <row r="499" spans="1:6">
      <c r="A499" t="str">
        <f t="shared" si="7"/>
        <v/>
      </c>
      <c r="E499" s="626"/>
      <c r="F499" s="626"/>
    </row>
    <row r="500" spans="1:6">
      <c r="A500" t="str">
        <f t="shared" si="7"/>
        <v/>
      </c>
      <c r="E500" s="626"/>
      <c r="F500" s="626"/>
    </row>
    <row r="501" spans="1:6">
      <c r="A501" t="str">
        <f t="shared" si="7"/>
        <v/>
      </c>
      <c r="E501" s="626"/>
      <c r="F501" s="626"/>
    </row>
    <row r="502" spans="1:6">
      <c r="A502" t="str">
        <f t="shared" si="7"/>
        <v/>
      </c>
      <c r="E502" s="626"/>
      <c r="F502" s="626"/>
    </row>
    <row r="503" spans="1:6">
      <c r="A503" t="str">
        <f t="shared" si="7"/>
        <v/>
      </c>
      <c r="E503" s="626"/>
      <c r="F503" s="626"/>
    </row>
    <row r="504" spans="1:6">
      <c r="A504" t="str">
        <f t="shared" si="7"/>
        <v/>
      </c>
      <c r="E504" s="626"/>
      <c r="F504" s="626"/>
    </row>
    <row r="505" spans="1:6">
      <c r="A505" t="str">
        <f t="shared" si="7"/>
        <v/>
      </c>
      <c r="E505" s="626"/>
      <c r="F505" s="626"/>
    </row>
    <row r="506" spans="1:6">
      <c r="A506" t="str">
        <f t="shared" si="7"/>
        <v/>
      </c>
      <c r="E506" s="626"/>
      <c r="F506" s="626"/>
    </row>
    <row r="507" spans="1:6">
      <c r="A507" t="str">
        <f t="shared" si="7"/>
        <v/>
      </c>
      <c r="E507" s="626"/>
      <c r="F507" s="626"/>
    </row>
    <row r="508" spans="1:6">
      <c r="A508" t="str">
        <f t="shared" si="7"/>
        <v/>
      </c>
      <c r="E508" s="626"/>
      <c r="F508" s="626"/>
    </row>
    <row r="509" spans="1:6">
      <c r="A509" t="str">
        <f t="shared" si="7"/>
        <v/>
      </c>
      <c r="E509" s="626"/>
      <c r="F509" s="626"/>
    </row>
    <row r="510" spans="1:6">
      <c r="A510" t="str">
        <f t="shared" si="7"/>
        <v/>
      </c>
      <c r="E510" s="626"/>
      <c r="F510" s="626"/>
    </row>
    <row r="511" spans="1:6">
      <c r="A511" t="str">
        <f t="shared" si="7"/>
        <v/>
      </c>
      <c r="E511" s="626"/>
      <c r="F511" s="626"/>
    </row>
    <row r="512" spans="1:6">
      <c r="A512" t="str">
        <f t="shared" si="7"/>
        <v/>
      </c>
      <c r="E512" s="626"/>
      <c r="F512" s="626"/>
    </row>
    <row r="513" spans="1:6">
      <c r="A513" t="str">
        <f t="shared" si="7"/>
        <v/>
      </c>
      <c r="E513" s="626"/>
      <c r="F513" s="626"/>
    </row>
    <row r="514" spans="1:6">
      <c r="A514" t="str">
        <f t="shared" ref="A514:A577" si="8">B514&amp;E514&amp;J514</f>
        <v/>
      </c>
      <c r="E514" s="626"/>
      <c r="F514" s="626"/>
    </row>
    <row r="515" spans="1:6">
      <c r="A515" t="str">
        <f t="shared" si="8"/>
        <v/>
      </c>
      <c r="E515" s="626"/>
      <c r="F515" s="626"/>
    </row>
    <row r="516" spans="1:6">
      <c r="A516" t="str">
        <f t="shared" si="8"/>
        <v/>
      </c>
      <c r="E516" s="626"/>
      <c r="F516" s="626"/>
    </row>
    <row r="517" spans="1:6">
      <c r="A517" t="str">
        <f t="shared" si="8"/>
        <v/>
      </c>
      <c r="E517" s="626"/>
      <c r="F517" s="626"/>
    </row>
    <row r="518" spans="1:6">
      <c r="A518" t="str">
        <f t="shared" si="8"/>
        <v/>
      </c>
      <c r="E518" s="626"/>
      <c r="F518" s="626"/>
    </row>
    <row r="519" spans="1:6">
      <c r="A519" t="str">
        <f t="shared" si="8"/>
        <v/>
      </c>
      <c r="E519" s="626"/>
      <c r="F519" s="626"/>
    </row>
    <row r="520" spans="1:6">
      <c r="A520" t="str">
        <f t="shared" si="8"/>
        <v/>
      </c>
      <c r="E520" s="626"/>
      <c r="F520" s="626"/>
    </row>
    <row r="521" spans="1:6">
      <c r="A521" t="str">
        <f t="shared" si="8"/>
        <v/>
      </c>
      <c r="E521" s="626"/>
      <c r="F521" s="626"/>
    </row>
    <row r="522" spans="1:6">
      <c r="A522" t="str">
        <f t="shared" si="8"/>
        <v/>
      </c>
      <c r="E522" s="626"/>
      <c r="F522" s="626"/>
    </row>
    <row r="523" spans="1:6">
      <c r="A523" t="str">
        <f t="shared" si="8"/>
        <v/>
      </c>
      <c r="E523" s="626"/>
      <c r="F523" s="626"/>
    </row>
    <row r="524" spans="1:6">
      <c r="A524" t="str">
        <f t="shared" si="8"/>
        <v/>
      </c>
      <c r="E524" s="626"/>
      <c r="F524" s="626"/>
    </row>
    <row r="525" spans="1:6">
      <c r="A525" t="str">
        <f t="shared" si="8"/>
        <v/>
      </c>
      <c r="E525" s="626"/>
      <c r="F525" s="626"/>
    </row>
    <row r="526" spans="1:6">
      <c r="A526" t="str">
        <f t="shared" si="8"/>
        <v/>
      </c>
      <c r="E526" s="626"/>
      <c r="F526" s="626"/>
    </row>
    <row r="527" spans="1:6">
      <c r="A527" t="str">
        <f t="shared" si="8"/>
        <v/>
      </c>
      <c r="E527" s="626"/>
      <c r="F527" s="626"/>
    </row>
    <row r="528" spans="1:6">
      <c r="A528" t="str">
        <f t="shared" si="8"/>
        <v/>
      </c>
      <c r="E528" s="626"/>
      <c r="F528" s="626"/>
    </row>
    <row r="529" spans="1:6">
      <c r="A529" t="str">
        <f t="shared" si="8"/>
        <v/>
      </c>
      <c r="E529" s="626"/>
      <c r="F529" s="626"/>
    </row>
    <row r="530" spans="1:6">
      <c r="A530" t="str">
        <f t="shared" si="8"/>
        <v/>
      </c>
      <c r="E530" s="626"/>
      <c r="F530" s="626"/>
    </row>
    <row r="531" spans="1:6">
      <c r="A531" t="str">
        <f t="shared" si="8"/>
        <v/>
      </c>
      <c r="E531" s="626"/>
      <c r="F531" s="626"/>
    </row>
    <row r="532" spans="1:6">
      <c r="A532" t="str">
        <f t="shared" si="8"/>
        <v/>
      </c>
      <c r="E532" s="626"/>
      <c r="F532" s="626"/>
    </row>
    <row r="533" spans="1:6">
      <c r="A533" t="str">
        <f t="shared" si="8"/>
        <v/>
      </c>
      <c r="E533" s="626"/>
      <c r="F533" s="626"/>
    </row>
    <row r="534" spans="1:6">
      <c r="A534" t="str">
        <f t="shared" si="8"/>
        <v/>
      </c>
      <c r="E534" s="626"/>
      <c r="F534" s="626"/>
    </row>
    <row r="535" spans="1:6">
      <c r="A535" t="str">
        <f t="shared" si="8"/>
        <v/>
      </c>
      <c r="E535" s="626"/>
      <c r="F535" s="626"/>
    </row>
    <row r="536" spans="1:6">
      <c r="A536" t="str">
        <f t="shared" si="8"/>
        <v/>
      </c>
      <c r="E536" s="626"/>
      <c r="F536" s="626"/>
    </row>
    <row r="537" spans="1:6">
      <c r="A537" t="str">
        <f t="shared" si="8"/>
        <v/>
      </c>
      <c r="E537" s="626"/>
      <c r="F537" s="626"/>
    </row>
    <row r="538" spans="1:6">
      <c r="A538" t="str">
        <f t="shared" si="8"/>
        <v/>
      </c>
      <c r="E538" s="626"/>
      <c r="F538" s="626"/>
    </row>
    <row r="539" spans="1:6">
      <c r="A539" t="str">
        <f t="shared" si="8"/>
        <v/>
      </c>
      <c r="E539" s="626"/>
      <c r="F539" s="626"/>
    </row>
    <row r="540" spans="1:6">
      <c r="A540" t="str">
        <f t="shared" si="8"/>
        <v/>
      </c>
      <c r="E540" s="626"/>
      <c r="F540" s="626"/>
    </row>
    <row r="541" spans="1:6">
      <c r="A541" t="str">
        <f t="shared" si="8"/>
        <v/>
      </c>
      <c r="E541" s="626"/>
      <c r="F541" s="626"/>
    </row>
    <row r="542" spans="1:6">
      <c r="A542" t="str">
        <f t="shared" si="8"/>
        <v/>
      </c>
      <c r="E542" s="626"/>
      <c r="F542" s="626"/>
    </row>
    <row r="543" spans="1:6">
      <c r="A543" t="str">
        <f t="shared" si="8"/>
        <v/>
      </c>
      <c r="E543" s="626"/>
      <c r="F543" s="626"/>
    </row>
    <row r="544" spans="1:6">
      <c r="A544" t="str">
        <f t="shared" si="8"/>
        <v/>
      </c>
      <c r="E544" s="626"/>
      <c r="F544" s="626"/>
    </row>
    <row r="545" spans="1:6">
      <c r="A545" t="str">
        <f t="shared" si="8"/>
        <v/>
      </c>
      <c r="E545" s="626"/>
      <c r="F545" s="626"/>
    </row>
    <row r="546" spans="1:6">
      <c r="A546" t="str">
        <f t="shared" si="8"/>
        <v/>
      </c>
      <c r="E546" s="626"/>
      <c r="F546" s="626"/>
    </row>
    <row r="547" spans="1:6">
      <c r="A547" t="str">
        <f t="shared" si="8"/>
        <v/>
      </c>
      <c r="E547" s="626"/>
      <c r="F547" s="626"/>
    </row>
    <row r="548" spans="1:6">
      <c r="A548" t="str">
        <f t="shared" si="8"/>
        <v/>
      </c>
      <c r="E548" s="626"/>
      <c r="F548" s="626"/>
    </row>
    <row r="549" spans="1:6">
      <c r="A549" t="str">
        <f t="shared" si="8"/>
        <v/>
      </c>
      <c r="E549" s="626"/>
      <c r="F549" s="626"/>
    </row>
    <row r="550" spans="1:6">
      <c r="A550" t="str">
        <f t="shared" si="8"/>
        <v/>
      </c>
      <c r="E550" s="626"/>
      <c r="F550" s="626"/>
    </row>
    <row r="551" spans="1:6">
      <c r="A551" t="str">
        <f t="shared" si="8"/>
        <v/>
      </c>
      <c r="E551" s="626"/>
      <c r="F551" s="626"/>
    </row>
    <row r="552" spans="1:6">
      <c r="A552" t="str">
        <f t="shared" si="8"/>
        <v/>
      </c>
      <c r="E552" s="626"/>
      <c r="F552" s="626"/>
    </row>
    <row r="553" spans="1:6">
      <c r="A553" t="str">
        <f t="shared" si="8"/>
        <v/>
      </c>
      <c r="E553" s="626"/>
      <c r="F553" s="626"/>
    </row>
    <row r="554" spans="1:6">
      <c r="A554" t="str">
        <f t="shared" si="8"/>
        <v/>
      </c>
      <c r="E554" s="626"/>
      <c r="F554" s="626"/>
    </row>
    <row r="555" spans="1:6">
      <c r="A555" t="str">
        <f t="shared" si="8"/>
        <v/>
      </c>
      <c r="E555" s="626"/>
      <c r="F555" s="626"/>
    </row>
    <row r="556" spans="1:6">
      <c r="A556" t="str">
        <f t="shared" si="8"/>
        <v/>
      </c>
      <c r="E556" s="626"/>
      <c r="F556" s="626"/>
    </row>
    <row r="557" spans="1:6">
      <c r="A557" t="str">
        <f t="shared" si="8"/>
        <v/>
      </c>
      <c r="E557" s="626"/>
      <c r="F557" s="626"/>
    </row>
    <row r="558" spans="1:6">
      <c r="A558" t="str">
        <f t="shared" si="8"/>
        <v/>
      </c>
      <c r="E558" s="626"/>
      <c r="F558" s="626"/>
    </row>
    <row r="559" spans="1:6">
      <c r="A559" t="str">
        <f t="shared" si="8"/>
        <v/>
      </c>
      <c r="E559" s="626"/>
      <c r="F559" s="626"/>
    </row>
    <row r="560" spans="1:6">
      <c r="A560" t="str">
        <f t="shared" si="8"/>
        <v/>
      </c>
      <c r="E560" s="626"/>
      <c r="F560" s="626"/>
    </row>
    <row r="561" spans="1:6">
      <c r="A561" t="str">
        <f t="shared" si="8"/>
        <v/>
      </c>
      <c r="E561" s="626"/>
      <c r="F561" s="626"/>
    </row>
    <row r="562" spans="1:6">
      <c r="A562" t="str">
        <f t="shared" si="8"/>
        <v/>
      </c>
      <c r="E562" s="626"/>
      <c r="F562" s="626"/>
    </row>
    <row r="563" spans="1:6">
      <c r="A563" t="str">
        <f t="shared" si="8"/>
        <v/>
      </c>
      <c r="E563" s="626"/>
      <c r="F563" s="626"/>
    </row>
    <row r="564" spans="1:6">
      <c r="A564" t="str">
        <f t="shared" si="8"/>
        <v/>
      </c>
      <c r="E564" s="626"/>
      <c r="F564" s="626"/>
    </row>
    <row r="565" spans="1:6">
      <c r="A565" t="str">
        <f t="shared" si="8"/>
        <v/>
      </c>
      <c r="E565" s="626"/>
      <c r="F565" s="626"/>
    </row>
    <row r="566" spans="1:6">
      <c r="A566" t="str">
        <f t="shared" si="8"/>
        <v/>
      </c>
      <c r="E566" s="626"/>
      <c r="F566" s="626"/>
    </row>
    <row r="567" spans="1:6">
      <c r="A567" t="str">
        <f t="shared" si="8"/>
        <v/>
      </c>
      <c r="E567" s="626"/>
      <c r="F567" s="626"/>
    </row>
    <row r="568" spans="1:6">
      <c r="A568" t="str">
        <f t="shared" si="8"/>
        <v/>
      </c>
      <c r="E568" s="626"/>
      <c r="F568" s="626"/>
    </row>
    <row r="569" spans="1:6">
      <c r="A569" t="str">
        <f t="shared" si="8"/>
        <v/>
      </c>
      <c r="E569" s="626"/>
      <c r="F569" s="626"/>
    </row>
    <row r="570" spans="1:6">
      <c r="A570" t="str">
        <f t="shared" si="8"/>
        <v/>
      </c>
      <c r="E570" s="626"/>
      <c r="F570" s="626"/>
    </row>
    <row r="571" spans="1:6">
      <c r="A571" t="str">
        <f t="shared" si="8"/>
        <v/>
      </c>
      <c r="E571" s="626"/>
      <c r="F571" s="626"/>
    </row>
    <row r="572" spans="1:6">
      <c r="A572" t="str">
        <f t="shared" si="8"/>
        <v/>
      </c>
      <c r="E572" s="626"/>
      <c r="F572" s="626"/>
    </row>
    <row r="573" spans="1:6">
      <c r="A573" t="str">
        <f t="shared" si="8"/>
        <v/>
      </c>
      <c r="E573" s="626"/>
      <c r="F573" s="626"/>
    </row>
    <row r="574" spans="1:6">
      <c r="A574" t="str">
        <f t="shared" si="8"/>
        <v/>
      </c>
      <c r="E574" s="626"/>
      <c r="F574" s="626"/>
    </row>
    <row r="575" spans="1:6">
      <c r="A575" t="str">
        <f t="shared" si="8"/>
        <v/>
      </c>
      <c r="E575" s="626"/>
      <c r="F575" s="626"/>
    </row>
    <row r="576" spans="1:6">
      <c r="A576" t="str">
        <f t="shared" si="8"/>
        <v/>
      </c>
      <c r="E576" s="626"/>
      <c r="F576" s="626"/>
    </row>
    <row r="577" spans="1:6">
      <c r="A577" t="str">
        <f t="shared" si="8"/>
        <v/>
      </c>
      <c r="E577" s="626"/>
      <c r="F577" s="626"/>
    </row>
    <row r="578" spans="1:6">
      <c r="A578" t="str">
        <f t="shared" ref="A578:A641" si="9">B578&amp;E578&amp;J578</f>
        <v/>
      </c>
      <c r="E578" s="626"/>
      <c r="F578" s="626"/>
    </row>
    <row r="579" spans="1:6">
      <c r="A579" t="str">
        <f t="shared" si="9"/>
        <v/>
      </c>
      <c r="E579" s="626"/>
      <c r="F579" s="626"/>
    </row>
    <row r="580" spans="1:6">
      <c r="A580" t="str">
        <f t="shared" si="9"/>
        <v/>
      </c>
      <c r="E580" s="626"/>
      <c r="F580" s="626"/>
    </row>
    <row r="581" spans="1:6">
      <c r="A581" t="str">
        <f t="shared" si="9"/>
        <v/>
      </c>
      <c r="E581" s="626"/>
      <c r="F581" s="626"/>
    </row>
    <row r="582" spans="1:6">
      <c r="A582" t="str">
        <f t="shared" si="9"/>
        <v/>
      </c>
      <c r="E582" s="626"/>
      <c r="F582" s="626"/>
    </row>
    <row r="583" spans="1:6">
      <c r="A583" t="str">
        <f t="shared" si="9"/>
        <v/>
      </c>
      <c r="E583" s="626"/>
      <c r="F583" s="626"/>
    </row>
    <row r="584" spans="1:6">
      <c r="A584" t="str">
        <f t="shared" si="9"/>
        <v/>
      </c>
      <c r="E584" s="626"/>
      <c r="F584" s="626"/>
    </row>
    <row r="585" spans="1:6">
      <c r="A585" t="str">
        <f t="shared" si="9"/>
        <v/>
      </c>
      <c r="E585" s="626"/>
      <c r="F585" s="626"/>
    </row>
    <row r="586" spans="1:6">
      <c r="A586" t="str">
        <f t="shared" si="9"/>
        <v/>
      </c>
      <c r="E586" s="626"/>
      <c r="F586" s="626"/>
    </row>
    <row r="587" spans="1:6">
      <c r="A587" t="str">
        <f t="shared" si="9"/>
        <v/>
      </c>
      <c r="E587" s="626"/>
      <c r="F587" s="626"/>
    </row>
    <row r="588" spans="1:6">
      <c r="A588" t="str">
        <f t="shared" si="9"/>
        <v/>
      </c>
      <c r="E588" s="626"/>
      <c r="F588" s="626"/>
    </row>
    <row r="589" spans="1:6">
      <c r="A589" t="str">
        <f t="shared" si="9"/>
        <v/>
      </c>
      <c r="E589" s="626"/>
      <c r="F589" s="626"/>
    </row>
    <row r="590" spans="1:6">
      <c r="A590" t="str">
        <f t="shared" si="9"/>
        <v/>
      </c>
      <c r="E590" s="626"/>
      <c r="F590" s="626"/>
    </row>
    <row r="591" spans="1:6">
      <c r="A591" t="str">
        <f t="shared" si="9"/>
        <v/>
      </c>
      <c r="E591" s="626"/>
      <c r="F591" s="626"/>
    </row>
    <row r="592" spans="1:6">
      <c r="A592" t="str">
        <f t="shared" si="9"/>
        <v/>
      </c>
      <c r="E592" s="626"/>
      <c r="F592" s="626"/>
    </row>
    <row r="593" spans="1:6">
      <c r="A593" t="str">
        <f t="shared" si="9"/>
        <v/>
      </c>
      <c r="E593" s="626"/>
      <c r="F593" s="626"/>
    </row>
    <row r="594" spans="1:6">
      <c r="A594" t="str">
        <f t="shared" si="9"/>
        <v/>
      </c>
      <c r="E594" s="626"/>
      <c r="F594" s="626"/>
    </row>
    <row r="595" spans="1:6">
      <c r="A595" t="str">
        <f t="shared" si="9"/>
        <v/>
      </c>
      <c r="E595" s="626"/>
      <c r="F595" s="626"/>
    </row>
    <row r="596" spans="1:6">
      <c r="A596" t="str">
        <f t="shared" si="9"/>
        <v/>
      </c>
      <c r="E596" s="626"/>
      <c r="F596" s="626"/>
    </row>
    <row r="597" spans="1:6">
      <c r="A597" t="str">
        <f t="shared" si="9"/>
        <v/>
      </c>
      <c r="E597" s="626"/>
      <c r="F597" s="626"/>
    </row>
    <row r="598" spans="1:6">
      <c r="A598" t="str">
        <f t="shared" si="9"/>
        <v/>
      </c>
      <c r="E598" s="626"/>
      <c r="F598" s="626"/>
    </row>
    <row r="599" spans="1:6">
      <c r="A599" t="str">
        <f t="shared" si="9"/>
        <v/>
      </c>
      <c r="E599" s="626"/>
      <c r="F599" s="626"/>
    </row>
    <row r="600" spans="1:6">
      <c r="A600" t="str">
        <f t="shared" si="9"/>
        <v/>
      </c>
      <c r="E600" s="626"/>
      <c r="F600" s="626"/>
    </row>
    <row r="601" spans="1:6">
      <c r="A601" t="str">
        <f t="shared" si="9"/>
        <v/>
      </c>
      <c r="E601" s="626"/>
      <c r="F601" s="626"/>
    </row>
    <row r="602" spans="1:6">
      <c r="A602" t="str">
        <f t="shared" si="9"/>
        <v/>
      </c>
      <c r="E602" s="626"/>
      <c r="F602" s="626"/>
    </row>
    <row r="603" spans="1:6">
      <c r="A603" t="str">
        <f t="shared" si="9"/>
        <v/>
      </c>
      <c r="E603" s="626"/>
      <c r="F603" s="626"/>
    </row>
    <row r="604" spans="1:6">
      <c r="A604" t="str">
        <f t="shared" si="9"/>
        <v/>
      </c>
      <c r="E604" s="626"/>
      <c r="F604" s="626"/>
    </row>
    <row r="605" spans="1:6">
      <c r="A605" t="str">
        <f t="shared" si="9"/>
        <v/>
      </c>
      <c r="E605" s="626"/>
      <c r="F605" s="626"/>
    </row>
    <row r="606" spans="1:6">
      <c r="A606" t="str">
        <f t="shared" si="9"/>
        <v/>
      </c>
      <c r="E606" s="626"/>
      <c r="F606" s="626"/>
    </row>
    <row r="607" spans="1:6">
      <c r="A607" t="str">
        <f t="shared" si="9"/>
        <v/>
      </c>
      <c r="E607" s="626"/>
      <c r="F607" s="626"/>
    </row>
    <row r="608" spans="1:6">
      <c r="A608" t="str">
        <f t="shared" si="9"/>
        <v/>
      </c>
      <c r="E608" s="626"/>
      <c r="F608" s="626"/>
    </row>
    <row r="609" spans="1:6">
      <c r="A609" t="str">
        <f t="shared" si="9"/>
        <v/>
      </c>
      <c r="E609" s="626"/>
      <c r="F609" s="626"/>
    </row>
    <row r="610" spans="1:6">
      <c r="A610" t="str">
        <f t="shared" si="9"/>
        <v/>
      </c>
      <c r="E610" s="626"/>
      <c r="F610" s="626"/>
    </row>
    <row r="611" spans="1:6">
      <c r="A611" t="str">
        <f t="shared" si="9"/>
        <v/>
      </c>
      <c r="E611" s="626"/>
      <c r="F611" s="626"/>
    </row>
    <row r="612" spans="1:6">
      <c r="A612" t="str">
        <f t="shared" si="9"/>
        <v/>
      </c>
      <c r="E612" s="626"/>
      <c r="F612" s="626"/>
    </row>
    <row r="613" spans="1:6">
      <c r="A613" t="str">
        <f t="shared" si="9"/>
        <v/>
      </c>
      <c r="E613" s="626"/>
      <c r="F613" s="626"/>
    </row>
    <row r="614" spans="1:6">
      <c r="A614" t="str">
        <f t="shared" si="9"/>
        <v/>
      </c>
      <c r="E614" s="626"/>
      <c r="F614" s="626"/>
    </row>
    <row r="615" spans="1:6">
      <c r="A615" t="str">
        <f t="shared" si="9"/>
        <v/>
      </c>
      <c r="E615" s="626"/>
      <c r="F615" s="626"/>
    </row>
    <row r="616" spans="1:6">
      <c r="A616" t="str">
        <f t="shared" si="9"/>
        <v/>
      </c>
      <c r="E616" s="626"/>
      <c r="F616" s="626"/>
    </row>
    <row r="617" spans="1:6">
      <c r="A617" t="str">
        <f t="shared" si="9"/>
        <v/>
      </c>
      <c r="E617" s="626"/>
      <c r="F617" s="626"/>
    </row>
    <row r="618" spans="1:6">
      <c r="A618" t="str">
        <f t="shared" si="9"/>
        <v/>
      </c>
      <c r="E618" s="626"/>
      <c r="F618" s="626"/>
    </row>
    <row r="619" spans="1:6">
      <c r="A619" t="str">
        <f t="shared" si="9"/>
        <v/>
      </c>
      <c r="E619" s="626"/>
      <c r="F619" s="626"/>
    </row>
    <row r="620" spans="1:6">
      <c r="A620" t="str">
        <f t="shared" si="9"/>
        <v/>
      </c>
      <c r="E620" s="626"/>
      <c r="F620" s="626"/>
    </row>
    <row r="621" spans="1:6">
      <c r="A621" t="str">
        <f t="shared" si="9"/>
        <v/>
      </c>
      <c r="E621" s="626"/>
      <c r="F621" s="626"/>
    </row>
    <row r="622" spans="1:6">
      <c r="A622" t="str">
        <f t="shared" si="9"/>
        <v/>
      </c>
      <c r="E622" s="626"/>
      <c r="F622" s="626"/>
    </row>
    <row r="623" spans="1:6">
      <c r="A623" t="str">
        <f t="shared" si="9"/>
        <v/>
      </c>
      <c r="E623" s="626"/>
      <c r="F623" s="626"/>
    </row>
    <row r="624" spans="1:6">
      <c r="A624" t="str">
        <f t="shared" si="9"/>
        <v/>
      </c>
      <c r="E624" s="626"/>
      <c r="F624" s="626"/>
    </row>
    <row r="625" spans="1:6">
      <c r="A625" t="str">
        <f t="shared" si="9"/>
        <v/>
      </c>
      <c r="E625" s="626"/>
      <c r="F625" s="626"/>
    </row>
    <row r="626" spans="1:6">
      <c r="A626" t="str">
        <f t="shared" si="9"/>
        <v/>
      </c>
      <c r="E626" s="626"/>
      <c r="F626" s="626"/>
    </row>
    <row r="627" spans="1:6">
      <c r="A627" t="str">
        <f t="shared" si="9"/>
        <v/>
      </c>
      <c r="E627" s="626"/>
      <c r="F627" s="626"/>
    </row>
    <row r="628" spans="1:6">
      <c r="A628" t="str">
        <f t="shared" si="9"/>
        <v/>
      </c>
      <c r="E628" s="626"/>
      <c r="F628" s="626"/>
    </row>
    <row r="629" spans="1:6">
      <c r="A629" t="str">
        <f t="shared" si="9"/>
        <v/>
      </c>
      <c r="E629" s="626"/>
      <c r="F629" s="626"/>
    </row>
    <row r="630" spans="1:6">
      <c r="A630" t="str">
        <f t="shared" si="9"/>
        <v/>
      </c>
      <c r="E630" s="626"/>
      <c r="F630" s="626"/>
    </row>
    <row r="631" spans="1:6">
      <c r="A631" t="str">
        <f t="shared" si="9"/>
        <v/>
      </c>
      <c r="E631" s="626"/>
      <c r="F631" s="626"/>
    </row>
    <row r="632" spans="1:6">
      <c r="A632" t="str">
        <f t="shared" si="9"/>
        <v/>
      </c>
      <c r="E632" s="626"/>
      <c r="F632" s="626"/>
    </row>
    <row r="633" spans="1:6">
      <c r="A633" t="str">
        <f t="shared" si="9"/>
        <v/>
      </c>
      <c r="E633" s="626"/>
      <c r="F633" s="626"/>
    </row>
    <row r="634" spans="1:6">
      <c r="A634" t="str">
        <f t="shared" si="9"/>
        <v/>
      </c>
      <c r="E634" s="626"/>
      <c r="F634" s="626"/>
    </row>
    <row r="635" spans="1:6">
      <c r="A635" t="str">
        <f t="shared" si="9"/>
        <v/>
      </c>
      <c r="E635" s="626"/>
      <c r="F635" s="626"/>
    </row>
    <row r="636" spans="1:6">
      <c r="A636" t="str">
        <f t="shared" si="9"/>
        <v/>
      </c>
      <c r="E636" s="626"/>
      <c r="F636" s="626"/>
    </row>
    <row r="637" spans="1:6">
      <c r="A637" t="str">
        <f t="shared" si="9"/>
        <v/>
      </c>
      <c r="E637" s="626"/>
      <c r="F637" s="626"/>
    </row>
    <row r="638" spans="1:6">
      <c r="A638" t="str">
        <f t="shared" si="9"/>
        <v/>
      </c>
      <c r="E638" s="626"/>
      <c r="F638" s="626"/>
    </row>
    <row r="639" spans="1:6">
      <c r="A639" t="str">
        <f t="shared" si="9"/>
        <v/>
      </c>
      <c r="E639" s="626"/>
      <c r="F639" s="626"/>
    </row>
    <row r="640" spans="1:6">
      <c r="A640" t="str">
        <f t="shared" si="9"/>
        <v/>
      </c>
      <c r="E640" s="626"/>
      <c r="F640" s="626"/>
    </row>
    <row r="641" spans="1:6">
      <c r="A641" t="str">
        <f t="shared" si="9"/>
        <v/>
      </c>
      <c r="E641" s="626"/>
      <c r="F641" s="626"/>
    </row>
    <row r="642" spans="1:6">
      <c r="A642" t="str">
        <f t="shared" ref="A642:A705" si="10">B642&amp;E642&amp;J642</f>
        <v/>
      </c>
      <c r="E642" s="626"/>
      <c r="F642" s="626"/>
    </row>
    <row r="643" spans="1:6">
      <c r="A643" t="str">
        <f t="shared" si="10"/>
        <v/>
      </c>
      <c r="E643" s="626"/>
      <c r="F643" s="626"/>
    </row>
    <row r="644" spans="1:6">
      <c r="A644" t="str">
        <f t="shared" si="10"/>
        <v/>
      </c>
      <c r="E644" s="626"/>
      <c r="F644" s="626"/>
    </row>
    <row r="645" spans="1:6">
      <c r="A645" t="str">
        <f t="shared" si="10"/>
        <v/>
      </c>
      <c r="E645" s="626"/>
      <c r="F645" s="626"/>
    </row>
    <row r="646" spans="1:6">
      <c r="A646" t="str">
        <f t="shared" si="10"/>
        <v/>
      </c>
      <c r="E646" s="626"/>
      <c r="F646" s="626"/>
    </row>
    <row r="647" spans="1:6">
      <c r="A647" t="str">
        <f t="shared" si="10"/>
        <v/>
      </c>
      <c r="E647" s="626"/>
      <c r="F647" s="626"/>
    </row>
    <row r="648" spans="1:6">
      <c r="A648" t="str">
        <f t="shared" si="10"/>
        <v/>
      </c>
      <c r="E648" s="626"/>
      <c r="F648" s="626"/>
    </row>
    <row r="649" spans="1:6">
      <c r="A649" t="str">
        <f t="shared" si="10"/>
        <v/>
      </c>
      <c r="E649" s="626"/>
      <c r="F649" s="626"/>
    </row>
    <row r="650" spans="1:6">
      <c r="A650" t="str">
        <f t="shared" si="10"/>
        <v/>
      </c>
      <c r="E650" s="626"/>
      <c r="F650" s="626"/>
    </row>
    <row r="651" spans="1:6">
      <c r="A651" t="str">
        <f t="shared" si="10"/>
        <v/>
      </c>
      <c r="E651" s="626"/>
      <c r="F651" s="626"/>
    </row>
    <row r="652" spans="1:6">
      <c r="A652" t="str">
        <f t="shared" si="10"/>
        <v/>
      </c>
      <c r="E652" s="626"/>
      <c r="F652" s="626"/>
    </row>
    <row r="653" spans="1:6">
      <c r="A653" t="str">
        <f t="shared" si="10"/>
        <v/>
      </c>
      <c r="E653" s="626"/>
      <c r="F653" s="626"/>
    </row>
    <row r="654" spans="1:6">
      <c r="A654" t="str">
        <f t="shared" si="10"/>
        <v/>
      </c>
      <c r="E654" s="626"/>
      <c r="F654" s="626"/>
    </row>
    <row r="655" spans="1:6">
      <c r="A655" t="str">
        <f t="shared" si="10"/>
        <v/>
      </c>
      <c r="E655" s="626"/>
      <c r="F655" s="626"/>
    </row>
    <row r="656" spans="1:6">
      <c r="A656" t="str">
        <f t="shared" si="10"/>
        <v/>
      </c>
      <c r="E656" s="626"/>
      <c r="F656" s="626"/>
    </row>
    <row r="657" spans="1:6">
      <c r="A657" t="str">
        <f t="shared" si="10"/>
        <v/>
      </c>
      <c r="E657" s="626"/>
      <c r="F657" s="626"/>
    </row>
    <row r="658" spans="1:6">
      <c r="A658" t="str">
        <f t="shared" si="10"/>
        <v/>
      </c>
      <c r="E658" s="626"/>
      <c r="F658" s="626"/>
    </row>
    <row r="659" spans="1:6">
      <c r="A659" t="str">
        <f t="shared" si="10"/>
        <v/>
      </c>
      <c r="E659" s="626"/>
      <c r="F659" s="626"/>
    </row>
    <row r="660" spans="1:6">
      <c r="A660" t="str">
        <f t="shared" si="10"/>
        <v/>
      </c>
      <c r="E660" s="626"/>
      <c r="F660" s="626"/>
    </row>
    <row r="661" spans="1:6">
      <c r="A661" t="str">
        <f t="shared" si="10"/>
        <v/>
      </c>
      <c r="E661" s="626"/>
      <c r="F661" s="626"/>
    </row>
    <row r="662" spans="1:6">
      <c r="A662" t="str">
        <f t="shared" si="10"/>
        <v/>
      </c>
      <c r="E662" s="626"/>
      <c r="F662" s="626"/>
    </row>
    <row r="663" spans="1:6">
      <c r="A663" t="str">
        <f t="shared" si="10"/>
        <v/>
      </c>
      <c r="E663" s="626"/>
      <c r="F663" s="626"/>
    </row>
    <row r="664" spans="1:6">
      <c r="A664" t="str">
        <f t="shared" si="10"/>
        <v/>
      </c>
      <c r="E664" s="626"/>
      <c r="F664" s="626"/>
    </row>
    <row r="665" spans="1:6">
      <c r="A665" t="str">
        <f t="shared" si="10"/>
        <v/>
      </c>
      <c r="E665" s="626"/>
      <c r="F665" s="626"/>
    </row>
    <row r="666" spans="1:6">
      <c r="A666" t="str">
        <f t="shared" si="10"/>
        <v/>
      </c>
      <c r="E666" s="626"/>
      <c r="F666" s="626"/>
    </row>
    <row r="667" spans="1:6">
      <c r="A667" t="str">
        <f t="shared" si="10"/>
        <v/>
      </c>
      <c r="E667" s="626"/>
      <c r="F667" s="626"/>
    </row>
    <row r="668" spans="1:6">
      <c r="A668" t="str">
        <f t="shared" si="10"/>
        <v/>
      </c>
      <c r="E668" s="626"/>
      <c r="F668" s="626"/>
    </row>
    <row r="669" spans="1:6">
      <c r="A669" t="str">
        <f t="shared" si="10"/>
        <v/>
      </c>
      <c r="E669" s="626"/>
      <c r="F669" s="626"/>
    </row>
    <row r="670" spans="1:6">
      <c r="A670" t="str">
        <f t="shared" si="10"/>
        <v/>
      </c>
      <c r="E670" s="626"/>
      <c r="F670" s="626"/>
    </row>
    <row r="671" spans="1:6">
      <c r="A671" t="str">
        <f t="shared" si="10"/>
        <v/>
      </c>
      <c r="E671" s="626"/>
      <c r="F671" s="626"/>
    </row>
    <row r="672" spans="1:6">
      <c r="A672" t="str">
        <f t="shared" si="10"/>
        <v/>
      </c>
      <c r="E672" s="626"/>
      <c r="F672" s="626"/>
    </row>
    <row r="673" spans="1:6">
      <c r="A673" t="str">
        <f t="shared" si="10"/>
        <v/>
      </c>
      <c r="E673" s="626"/>
      <c r="F673" s="626"/>
    </row>
    <row r="674" spans="1:6">
      <c r="A674" t="str">
        <f t="shared" si="10"/>
        <v/>
      </c>
      <c r="E674" s="626"/>
      <c r="F674" s="626"/>
    </row>
    <row r="675" spans="1:6">
      <c r="A675" t="str">
        <f t="shared" si="10"/>
        <v/>
      </c>
      <c r="E675" s="626"/>
      <c r="F675" s="626"/>
    </row>
    <row r="676" spans="1:6">
      <c r="A676" t="str">
        <f t="shared" si="10"/>
        <v/>
      </c>
      <c r="E676" s="626"/>
      <c r="F676" s="626"/>
    </row>
    <row r="677" spans="1:6">
      <c r="A677" t="str">
        <f t="shared" si="10"/>
        <v/>
      </c>
      <c r="E677" s="626"/>
      <c r="F677" s="626"/>
    </row>
    <row r="678" spans="1:6">
      <c r="A678" t="str">
        <f t="shared" si="10"/>
        <v/>
      </c>
      <c r="E678" s="626"/>
      <c r="F678" s="626"/>
    </row>
    <row r="679" spans="1:6">
      <c r="A679" t="str">
        <f t="shared" si="10"/>
        <v/>
      </c>
      <c r="E679" s="626"/>
      <c r="F679" s="626"/>
    </row>
    <row r="680" spans="1:6">
      <c r="A680" t="str">
        <f t="shared" si="10"/>
        <v/>
      </c>
      <c r="E680" s="626"/>
      <c r="F680" s="626"/>
    </row>
    <row r="681" spans="1:6">
      <c r="A681" t="str">
        <f t="shared" si="10"/>
        <v/>
      </c>
      <c r="E681" s="626"/>
      <c r="F681" s="626"/>
    </row>
    <row r="682" spans="1:6">
      <c r="A682" t="str">
        <f t="shared" si="10"/>
        <v/>
      </c>
      <c r="E682" s="626"/>
      <c r="F682" s="626"/>
    </row>
    <row r="683" spans="1:6">
      <c r="A683" t="str">
        <f t="shared" si="10"/>
        <v/>
      </c>
      <c r="E683" s="626"/>
      <c r="F683" s="626"/>
    </row>
    <row r="684" spans="1:6">
      <c r="A684" t="str">
        <f t="shared" si="10"/>
        <v/>
      </c>
      <c r="E684" s="626"/>
      <c r="F684" s="626"/>
    </row>
    <row r="685" spans="1:6">
      <c r="A685" t="str">
        <f t="shared" si="10"/>
        <v/>
      </c>
      <c r="E685" s="626"/>
      <c r="F685" s="626"/>
    </row>
    <row r="686" spans="1:6">
      <c r="A686" t="str">
        <f t="shared" si="10"/>
        <v/>
      </c>
      <c r="E686" s="626"/>
      <c r="F686" s="626"/>
    </row>
    <row r="687" spans="1:6">
      <c r="A687" t="str">
        <f t="shared" si="10"/>
        <v/>
      </c>
      <c r="E687" s="626"/>
      <c r="F687" s="626"/>
    </row>
    <row r="688" spans="1:6">
      <c r="A688" t="str">
        <f t="shared" si="10"/>
        <v/>
      </c>
      <c r="E688" s="626"/>
      <c r="F688" s="626"/>
    </row>
    <row r="689" spans="1:6">
      <c r="A689" t="str">
        <f t="shared" si="10"/>
        <v/>
      </c>
      <c r="E689" s="626"/>
      <c r="F689" s="626"/>
    </row>
    <row r="690" spans="1:6">
      <c r="A690" t="str">
        <f t="shared" si="10"/>
        <v/>
      </c>
      <c r="E690" s="626"/>
      <c r="F690" s="626"/>
    </row>
    <row r="691" spans="1:6">
      <c r="A691" t="str">
        <f t="shared" si="10"/>
        <v/>
      </c>
      <c r="E691" s="626"/>
      <c r="F691" s="626"/>
    </row>
    <row r="692" spans="1:6">
      <c r="A692" t="str">
        <f t="shared" si="10"/>
        <v/>
      </c>
      <c r="E692" s="626"/>
      <c r="F692" s="626"/>
    </row>
    <row r="693" spans="1:6">
      <c r="A693" t="str">
        <f t="shared" si="10"/>
        <v/>
      </c>
      <c r="E693" s="626"/>
      <c r="F693" s="626"/>
    </row>
    <row r="694" spans="1:6">
      <c r="A694" t="str">
        <f t="shared" si="10"/>
        <v/>
      </c>
      <c r="E694" s="626"/>
      <c r="F694" s="626"/>
    </row>
    <row r="695" spans="1:6">
      <c r="A695" t="str">
        <f t="shared" si="10"/>
        <v/>
      </c>
      <c r="E695" s="626"/>
      <c r="F695" s="626"/>
    </row>
    <row r="696" spans="1:6">
      <c r="A696" t="str">
        <f t="shared" si="10"/>
        <v/>
      </c>
      <c r="E696" s="626"/>
      <c r="F696" s="626"/>
    </row>
    <row r="697" spans="1:6">
      <c r="A697" t="str">
        <f t="shared" si="10"/>
        <v/>
      </c>
      <c r="E697" s="626"/>
      <c r="F697" s="626"/>
    </row>
    <row r="698" spans="1:6">
      <c r="A698" t="str">
        <f t="shared" si="10"/>
        <v/>
      </c>
      <c r="E698" s="626"/>
      <c r="F698" s="626"/>
    </row>
    <row r="699" spans="1:6">
      <c r="A699" t="str">
        <f t="shared" si="10"/>
        <v/>
      </c>
      <c r="E699" s="626"/>
      <c r="F699" s="626"/>
    </row>
    <row r="700" spans="1:6">
      <c r="A700" t="str">
        <f t="shared" si="10"/>
        <v/>
      </c>
      <c r="E700" s="626"/>
      <c r="F700" s="626"/>
    </row>
    <row r="701" spans="1:6">
      <c r="A701" t="str">
        <f t="shared" si="10"/>
        <v/>
      </c>
      <c r="E701" s="626"/>
      <c r="F701" s="626"/>
    </row>
    <row r="702" spans="1:6">
      <c r="A702" t="str">
        <f t="shared" si="10"/>
        <v/>
      </c>
      <c r="E702" s="626"/>
      <c r="F702" s="626"/>
    </row>
    <row r="703" spans="1:6">
      <c r="A703" t="str">
        <f t="shared" si="10"/>
        <v/>
      </c>
      <c r="E703" s="626"/>
      <c r="F703" s="626"/>
    </row>
    <row r="704" spans="1:6">
      <c r="A704" t="str">
        <f t="shared" si="10"/>
        <v/>
      </c>
      <c r="E704" s="626"/>
      <c r="F704" s="626"/>
    </row>
    <row r="705" spans="1:6">
      <c r="A705" t="str">
        <f t="shared" si="10"/>
        <v/>
      </c>
      <c r="E705" s="626"/>
      <c r="F705" s="626"/>
    </row>
    <row r="706" spans="1:6">
      <c r="A706" t="str">
        <f t="shared" ref="A706:A769" si="11">B706&amp;E706&amp;J706</f>
        <v/>
      </c>
      <c r="E706" s="626"/>
      <c r="F706" s="626"/>
    </row>
    <row r="707" spans="1:6">
      <c r="A707" t="str">
        <f t="shared" si="11"/>
        <v/>
      </c>
      <c r="E707" s="626"/>
      <c r="F707" s="626"/>
    </row>
    <row r="708" spans="1:6">
      <c r="A708" t="str">
        <f t="shared" si="11"/>
        <v/>
      </c>
      <c r="E708" s="626"/>
      <c r="F708" s="626"/>
    </row>
    <row r="709" spans="1:6">
      <c r="A709" t="str">
        <f t="shared" si="11"/>
        <v/>
      </c>
      <c r="E709" s="626"/>
      <c r="F709" s="626"/>
    </row>
    <row r="710" spans="1:6">
      <c r="A710" t="str">
        <f t="shared" si="11"/>
        <v/>
      </c>
      <c r="E710" s="626"/>
      <c r="F710" s="626"/>
    </row>
    <row r="711" spans="1:6">
      <c r="A711" t="str">
        <f t="shared" si="11"/>
        <v/>
      </c>
      <c r="E711" s="626"/>
      <c r="F711" s="626"/>
    </row>
    <row r="712" spans="1:6">
      <c r="A712" t="str">
        <f t="shared" si="11"/>
        <v/>
      </c>
      <c r="E712" s="626"/>
      <c r="F712" s="626"/>
    </row>
    <row r="713" spans="1:6">
      <c r="A713" t="str">
        <f t="shared" si="11"/>
        <v/>
      </c>
      <c r="E713" s="626"/>
      <c r="F713" s="626"/>
    </row>
    <row r="714" spans="1:6">
      <c r="A714" t="str">
        <f t="shared" si="11"/>
        <v/>
      </c>
      <c r="E714" s="626"/>
      <c r="F714" s="626"/>
    </row>
    <row r="715" spans="1:6">
      <c r="A715" t="str">
        <f t="shared" si="11"/>
        <v/>
      </c>
      <c r="E715" s="626"/>
      <c r="F715" s="626"/>
    </row>
    <row r="716" spans="1:6">
      <c r="A716" t="str">
        <f t="shared" si="11"/>
        <v/>
      </c>
      <c r="E716" s="626"/>
      <c r="F716" s="626"/>
    </row>
    <row r="717" spans="1:6">
      <c r="A717" t="str">
        <f t="shared" si="11"/>
        <v/>
      </c>
      <c r="E717" s="626"/>
      <c r="F717" s="626"/>
    </row>
    <row r="718" spans="1:6">
      <c r="A718" t="str">
        <f t="shared" si="11"/>
        <v/>
      </c>
      <c r="E718" s="626"/>
      <c r="F718" s="626"/>
    </row>
    <row r="719" spans="1:6">
      <c r="A719" t="str">
        <f t="shared" si="11"/>
        <v/>
      </c>
      <c r="E719" s="626"/>
      <c r="F719" s="626"/>
    </row>
    <row r="720" spans="1:6">
      <c r="A720" t="str">
        <f t="shared" si="11"/>
        <v/>
      </c>
      <c r="E720" s="626"/>
      <c r="F720" s="626"/>
    </row>
    <row r="721" spans="1:6">
      <c r="A721" t="str">
        <f t="shared" si="11"/>
        <v/>
      </c>
      <c r="E721" s="626"/>
      <c r="F721" s="626"/>
    </row>
    <row r="722" spans="1:6">
      <c r="A722" t="str">
        <f t="shared" si="11"/>
        <v/>
      </c>
      <c r="E722" s="626"/>
      <c r="F722" s="626"/>
    </row>
    <row r="723" spans="1:6">
      <c r="A723" t="str">
        <f t="shared" si="11"/>
        <v/>
      </c>
      <c r="E723" s="626"/>
      <c r="F723" s="626"/>
    </row>
    <row r="724" spans="1:6">
      <c r="A724" t="str">
        <f t="shared" si="11"/>
        <v/>
      </c>
      <c r="E724" s="626"/>
      <c r="F724" s="626"/>
    </row>
    <row r="725" spans="1:6">
      <c r="A725" t="str">
        <f t="shared" si="11"/>
        <v/>
      </c>
      <c r="E725" s="626"/>
      <c r="F725" s="626"/>
    </row>
    <row r="726" spans="1:6">
      <c r="A726" t="str">
        <f t="shared" si="11"/>
        <v/>
      </c>
      <c r="E726" s="626"/>
      <c r="F726" s="626"/>
    </row>
    <row r="727" spans="1:6">
      <c r="A727" t="str">
        <f t="shared" si="11"/>
        <v/>
      </c>
      <c r="E727" s="626"/>
      <c r="F727" s="626"/>
    </row>
    <row r="728" spans="1:6">
      <c r="A728" t="str">
        <f t="shared" si="11"/>
        <v/>
      </c>
      <c r="E728" s="626"/>
      <c r="F728" s="626"/>
    </row>
    <row r="729" spans="1:6">
      <c r="A729" t="str">
        <f t="shared" si="11"/>
        <v/>
      </c>
      <c r="E729" s="626"/>
      <c r="F729" s="626"/>
    </row>
    <row r="730" spans="1:6">
      <c r="A730" t="str">
        <f t="shared" si="11"/>
        <v/>
      </c>
      <c r="E730" s="626"/>
      <c r="F730" s="626"/>
    </row>
    <row r="731" spans="1:6">
      <c r="A731" t="str">
        <f t="shared" si="11"/>
        <v/>
      </c>
      <c r="E731" s="626"/>
      <c r="F731" s="626"/>
    </row>
    <row r="732" spans="1:6">
      <c r="A732" t="str">
        <f t="shared" si="11"/>
        <v/>
      </c>
      <c r="E732" s="626"/>
      <c r="F732" s="626"/>
    </row>
    <row r="733" spans="1:6">
      <c r="A733" t="str">
        <f t="shared" si="11"/>
        <v/>
      </c>
      <c r="E733" s="626"/>
      <c r="F733" s="626"/>
    </row>
    <row r="734" spans="1:6">
      <c r="A734" t="str">
        <f t="shared" si="11"/>
        <v/>
      </c>
      <c r="E734" s="626"/>
      <c r="F734" s="626"/>
    </row>
    <row r="735" spans="1:6">
      <c r="A735" t="str">
        <f t="shared" si="11"/>
        <v/>
      </c>
      <c r="E735" s="626"/>
      <c r="F735" s="626"/>
    </row>
    <row r="736" spans="1:6">
      <c r="A736" t="str">
        <f t="shared" si="11"/>
        <v/>
      </c>
      <c r="E736" s="626"/>
      <c r="F736" s="626"/>
    </row>
    <row r="737" spans="1:6">
      <c r="A737" t="str">
        <f t="shared" si="11"/>
        <v/>
      </c>
      <c r="E737" s="626"/>
      <c r="F737" s="626"/>
    </row>
    <row r="738" spans="1:6">
      <c r="A738" t="str">
        <f t="shared" si="11"/>
        <v/>
      </c>
      <c r="E738" s="626"/>
      <c r="F738" s="626"/>
    </row>
    <row r="739" spans="1:6">
      <c r="A739" t="str">
        <f t="shared" si="11"/>
        <v/>
      </c>
      <c r="E739" s="626"/>
      <c r="F739" s="626"/>
    </row>
    <row r="740" spans="1:6">
      <c r="A740" t="str">
        <f t="shared" si="11"/>
        <v/>
      </c>
      <c r="E740" s="626"/>
      <c r="F740" s="626"/>
    </row>
    <row r="741" spans="1:6">
      <c r="A741" t="str">
        <f t="shared" si="11"/>
        <v/>
      </c>
      <c r="E741" s="626"/>
      <c r="F741" s="626"/>
    </row>
    <row r="742" spans="1:6">
      <c r="A742" t="str">
        <f t="shared" si="11"/>
        <v/>
      </c>
      <c r="E742" s="626"/>
      <c r="F742" s="626"/>
    </row>
    <row r="743" spans="1:6">
      <c r="A743" t="str">
        <f t="shared" si="11"/>
        <v/>
      </c>
      <c r="E743" s="626"/>
      <c r="F743" s="626"/>
    </row>
    <row r="744" spans="1:6">
      <c r="A744" t="str">
        <f t="shared" si="11"/>
        <v/>
      </c>
      <c r="E744" s="626"/>
      <c r="F744" s="626"/>
    </row>
    <row r="745" spans="1:6">
      <c r="A745" t="str">
        <f t="shared" si="11"/>
        <v/>
      </c>
      <c r="E745" s="626"/>
      <c r="F745" s="626"/>
    </row>
    <row r="746" spans="1:6">
      <c r="A746" t="str">
        <f t="shared" si="11"/>
        <v/>
      </c>
      <c r="E746" s="626"/>
      <c r="F746" s="626"/>
    </row>
    <row r="747" spans="1:6">
      <c r="A747" t="str">
        <f t="shared" si="11"/>
        <v/>
      </c>
      <c r="E747" s="626"/>
      <c r="F747" s="626"/>
    </row>
    <row r="748" spans="1:6">
      <c r="A748" t="str">
        <f t="shared" si="11"/>
        <v/>
      </c>
      <c r="E748" s="626"/>
      <c r="F748" s="626"/>
    </row>
    <row r="749" spans="1:6">
      <c r="A749" t="str">
        <f t="shared" si="11"/>
        <v/>
      </c>
      <c r="E749" s="626"/>
      <c r="F749" s="626"/>
    </row>
    <row r="750" spans="1:6">
      <c r="A750" t="str">
        <f t="shared" si="11"/>
        <v/>
      </c>
      <c r="E750" s="626"/>
      <c r="F750" s="626"/>
    </row>
    <row r="751" spans="1:6">
      <c r="A751" t="str">
        <f t="shared" si="11"/>
        <v/>
      </c>
      <c r="E751" s="626"/>
      <c r="F751" s="626"/>
    </row>
    <row r="752" spans="1:6">
      <c r="A752" t="str">
        <f t="shared" si="11"/>
        <v/>
      </c>
      <c r="E752" s="626"/>
      <c r="F752" s="626"/>
    </row>
    <row r="753" spans="1:6">
      <c r="A753" t="str">
        <f t="shared" si="11"/>
        <v/>
      </c>
      <c r="E753" s="626"/>
      <c r="F753" s="626"/>
    </row>
    <row r="754" spans="1:6">
      <c r="A754" t="str">
        <f t="shared" si="11"/>
        <v/>
      </c>
      <c r="E754" s="626"/>
      <c r="F754" s="626"/>
    </row>
    <row r="755" spans="1:6">
      <c r="A755" t="str">
        <f t="shared" si="11"/>
        <v/>
      </c>
      <c r="E755" s="626"/>
      <c r="F755" s="626"/>
    </row>
    <row r="756" spans="1:6">
      <c r="A756" t="str">
        <f t="shared" si="11"/>
        <v/>
      </c>
      <c r="E756" s="626"/>
      <c r="F756" s="626"/>
    </row>
    <row r="757" spans="1:6">
      <c r="A757" t="str">
        <f t="shared" si="11"/>
        <v/>
      </c>
      <c r="E757" s="626"/>
      <c r="F757" s="626"/>
    </row>
    <row r="758" spans="1:6">
      <c r="A758" t="str">
        <f t="shared" si="11"/>
        <v/>
      </c>
      <c r="E758" s="626"/>
      <c r="F758" s="626"/>
    </row>
    <row r="759" spans="1:6">
      <c r="A759" t="str">
        <f t="shared" si="11"/>
        <v/>
      </c>
      <c r="E759" s="626"/>
      <c r="F759" s="626"/>
    </row>
    <row r="760" spans="1:6">
      <c r="A760" t="str">
        <f t="shared" si="11"/>
        <v/>
      </c>
      <c r="E760" s="626"/>
      <c r="F760" s="626"/>
    </row>
    <row r="761" spans="1:6">
      <c r="A761" t="str">
        <f t="shared" si="11"/>
        <v/>
      </c>
      <c r="E761" s="626"/>
      <c r="F761" s="626"/>
    </row>
    <row r="762" spans="1:6">
      <c r="A762" t="str">
        <f t="shared" si="11"/>
        <v/>
      </c>
      <c r="E762" s="626"/>
      <c r="F762" s="626"/>
    </row>
    <row r="763" spans="1:6">
      <c r="A763" t="str">
        <f t="shared" si="11"/>
        <v/>
      </c>
      <c r="E763" s="626"/>
      <c r="F763" s="626"/>
    </row>
    <row r="764" spans="1:6">
      <c r="A764" t="str">
        <f t="shared" si="11"/>
        <v/>
      </c>
      <c r="E764" s="626"/>
      <c r="F764" s="626"/>
    </row>
    <row r="765" spans="1:6">
      <c r="A765" t="str">
        <f t="shared" si="11"/>
        <v/>
      </c>
      <c r="E765" s="626"/>
      <c r="F765" s="626"/>
    </row>
    <row r="766" spans="1:6">
      <c r="A766" t="str">
        <f t="shared" si="11"/>
        <v/>
      </c>
      <c r="E766" s="626"/>
      <c r="F766" s="626"/>
    </row>
    <row r="767" spans="1:6">
      <c r="A767" t="str">
        <f t="shared" si="11"/>
        <v/>
      </c>
      <c r="E767" s="626"/>
      <c r="F767" s="626"/>
    </row>
    <row r="768" spans="1:6">
      <c r="A768" t="str">
        <f t="shared" si="11"/>
        <v/>
      </c>
      <c r="E768" s="626"/>
      <c r="F768" s="626"/>
    </row>
    <row r="769" spans="1:6">
      <c r="A769" t="str">
        <f t="shared" si="11"/>
        <v/>
      </c>
      <c r="E769" s="626"/>
      <c r="F769" s="626"/>
    </row>
    <row r="770" spans="1:6">
      <c r="A770" t="str">
        <f t="shared" ref="A770:A833" si="12">B770&amp;E770&amp;J770</f>
        <v/>
      </c>
      <c r="E770" s="626"/>
      <c r="F770" s="626"/>
    </row>
    <row r="771" spans="1:6">
      <c r="A771" t="str">
        <f t="shared" si="12"/>
        <v/>
      </c>
      <c r="E771" s="626"/>
      <c r="F771" s="626"/>
    </row>
    <row r="772" spans="1:6">
      <c r="A772" t="str">
        <f t="shared" si="12"/>
        <v/>
      </c>
      <c r="E772" s="626"/>
      <c r="F772" s="626"/>
    </row>
    <row r="773" spans="1:6">
      <c r="A773" t="str">
        <f t="shared" si="12"/>
        <v/>
      </c>
      <c r="E773" s="626"/>
      <c r="F773" s="626"/>
    </row>
    <row r="774" spans="1:6">
      <c r="A774" t="str">
        <f t="shared" si="12"/>
        <v/>
      </c>
      <c r="E774" s="626"/>
      <c r="F774" s="626"/>
    </row>
    <row r="775" spans="1:6">
      <c r="A775" t="str">
        <f t="shared" si="12"/>
        <v/>
      </c>
      <c r="E775" s="626"/>
      <c r="F775" s="626"/>
    </row>
    <row r="776" spans="1:6">
      <c r="A776" t="str">
        <f t="shared" si="12"/>
        <v/>
      </c>
      <c r="E776" s="626"/>
      <c r="F776" s="626"/>
    </row>
    <row r="777" spans="1:6">
      <c r="A777" t="str">
        <f t="shared" si="12"/>
        <v/>
      </c>
      <c r="E777" s="626"/>
      <c r="F777" s="626"/>
    </row>
    <row r="778" spans="1:6">
      <c r="A778" t="str">
        <f t="shared" si="12"/>
        <v/>
      </c>
      <c r="E778" s="626"/>
      <c r="F778" s="626"/>
    </row>
    <row r="779" spans="1:6">
      <c r="A779" t="str">
        <f t="shared" si="12"/>
        <v/>
      </c>
      <c r="E779" s="626"/>
      <c r="F779" s="626"/>
    </row>
    <row r="780" spans="1:6">
      <c r="A780" t="str">
        <f t="shared" si="12"/>
        <v/>
      </c>
      <c r="E780" s="626"/>
      <c r="F780" s="626"/>
    </row>
    <row r="781" spans="1:6">
      <c r="A781" t="str">
        <f t="shared" si="12"/>
        <v/>
      </c>
      <c r="E781" s="626"/>
      <c r="F781" s="626"/>
    </row>
    <row r="782" spans="1:6">
      <c r="A782" t="str">
        <f t="shared" si="12"/>
        <v/>
      </c>
      <c r="E782" s="626"/>
      <c r="F782" s="626"/>
    </row>
    <row r="783" spans="1:6">
      <c r="A783" t="str">
        <f t="shared" si="12"/>
        <v/>
      </c>
      <c r="E783" s="626"/>
      <c r="F783" s="626"/>
    </row>
    <row r="784" spans="1:6">
      <c r="A784" t="str">
        <f t="shared" si="12"/>
        <v/>
      </c>
      <c r="E784" s="626"/>
      <c r="F784" s="626"/>
    </row>
    <row r="785" spans="1:6">
      <c r="A785" t="str">
        <f t="shared" si="12"/>
        <v/>
      </c>
      <c r="E785" s="626"/>
      <c r="F785" s="626"/>
    </row>
    <row r="786" spans="1:6">
      <c r="A786" t="str">
        <f t="shared" si="12"/>
        <v/>
      </c>
      <c r="E786" s="626"/>
      <c r="F786" s="626"/>
    </row>
    <row r="787" spans="1:6">
      <c r="A787" t="str">
        <f t="shared" si="12"/>
        <v/>
      </c>
      <c r="E787" s="626"/>
      <c r="F787" s="626"/>
    </row>
    <row r="788" spans="1:6">
      <c r="A788" t="str">
        <f t="shared" si="12"/>
        <v/>
      </c>
      <c r="E788" s="626"/>
      <c r="F788" s="626"/>
    </row>
    <row r="789" spans="1:6">
      <c r="A789" t="str">
        <f t="shared" si="12"/>
        <v/>
      </c>
      <c r="E789" s="626"/>
      <c r="F789" s="626"/>
    </row>
    <row r="790" spans="1:6">
      <c r="A790" t="str">
        <f t="shared" si="12"/>
        <v/>
      </c>
      <c r="E790" s="626"/>
      <c r="F790" s="626"/>
    </row>
    <row r="791" spans="1:6">
      <c r="A791" t="str">
        <f t="shared" si="12"/>
        <v/>
      </c>
      <c r="E791" s="626"/>
      <c r="F791" s="626"/>
    </row>
    <row r="792" spans="1:6">
      <c r="A792" t="str">
        <f t="shared" si="12"/>
        <v/>
      </c>
      <c r="E792" s="626"/>
      <c r="F792" s="626"/>
    </row>
    <row r="793" spans="1:6">
      <c r="A793" t="str">
        <f t="shared" si="12"/>
        <v/>
      </c>
      <c r="E793" s="626"/>
      <c r="F793" s="626"/>
    </row>
    <row r="794" spans="1:6">
      <c r="A794" t="str">
        <f t="shared" si="12"/>
        <v/>
      </c>
      <c r="E794" s="626"/>
      <c r="F794" s="626"/>
    </row>
    <row r="795" spans="1:6">
      <c r="A795" t="str">
        <f t="shared" si="12"/>
        <v/>
      </c>
      <c r="E795" s="626"/>
      <c r="F795" s="626"/>
    </row>
    <row r="796" spans="1:6">
      <c r="A796" t="str">
        <f t="shared" si="12"/>
        <v/>
      </c>
      <c r="E796" s="626"/>
      <c r="F796" s="626"/>
    </row>
    <row r="797" spans="1:6">
      <c r="A797" t="str">
        <f t="shared" si="12"/>
        <v/>
      </c>
      <c r="E797" s="626"/>
      <c r="F797" s="626"/>
    </row>
    <row r="798" spans="1:6">
      <c r="A798" t="str">
        <f t="shared" si="12"/>
        <v/>
      </c>
      <c r="E798" s="626"/>
      <c r="F798" s="626"/>
    </row>
    <row r="799" spans="1:6">
      <c r="A799" t="str">
        <f t="shared" si="12"/>
        <v/>
      </c>
      <c r="E799" s="626"/>
      <c r="F799" s="626"/>
    </row>
    <row r="800" spans="1:6">
      <c r="A800" t="str">
        <f t="shared" si="12"/>
        <v/>
      </c>
      <c r="E800" s="626"/>
      <c r="F800" s="626"/>
    </row>
    <row r="801" spans="1:6">
      <c r="A801" t="str">
        <f t="shared" si="12"/>
        <v/>
      </c>
      <c r="E801" s="626"/>
      <c r="F801" s="626"/>
    </row>
    <row r="802" spans="1:6">
      <c r="A802" t="str">
        <f t="shared" si="12"/>
        <v/>
      </c>
      <c r="E802" s="626"/>
      <c r="F802" s="626"/>
    </row>
    <row r="803" spans="1:6">
      <c r="A803" t="str">
        <f t="shared" si="12"/>
        <v/>
      </c>
      <c r="E803" s="626"/>
      <c r="F803" s="626"/>
    </row>
    <row r="804" spans="1:6">
      <c r="A804" t="str">
        <f t="shared" si="12"/>
        <v/>
      </c>
      <c r="E804" s="626"/>
      <c r="F804" s="626"/>
    </row>
    <row r="805" spans="1:6">
      <c r="A805" t="str">
        <f t="shared" si="12"/>
        <v/>
      </c>
      <c r="E805" s="626"/>
      <c r="F805" s="626"/>
    </row>
    <row r="806" spans="1:6">
      <c r="A806" t="str">
        <f t="shared" si="12"/>
        <v/>
      </c>
      <c r="E806" s="626"/>
      <c r="F806" s="626"/>
    </row>
    <row r="807" spans="1:6">
      <c r="A807" t="str">
        <f t="shared" si="12"/>
        <v/>
      </c>
      <c r="E807" s="626"/>
      <c r="F807" s="626"/>
    </row>
    <row r="808" spans="1:6">
      <c r="A808" t="str">
        <f t="shared" si="12"/>
        <v/>
      </c>
      <c r="E808" s="626"/>
      <c r="F808" s="626"/>
    </row>
    <row r="809" spans="1:6">
      <c r="A809" t="str">
        <f t="shared" si="12"/>
        <v/>
      </c>
      <c r="E809" s="626"/>
      <c r="F809" s="626"/>
    </row>
    <row r="810" spans="1:6">
      <c r="A810" t="str">
        <f t="shared" si="12"/>
        <v/>
      </c>
      <c r="E810" s="626"/>
      <c r="F810" s="626"/>
    </row>
    <row r="811" spans="1:6">
      <c r="A811" t="str">
        <f t="shared" si="12"/>
        <v/>
      </c>
      <c r="E811" s="626"/>
      <c r="F811" s="626"/>
    </row>
    <row r="812" spans="1:6">
      <c r="A812" t="str">
        <f t="shared" si="12"/>
        <v/>
      </c>
      <c r="E812" s="626"/>
      <c r="F812" s="626"/>
    </row>
    <row r="813" spans="1:6">
      <c r="A813" t="str">
        <f t="shared" si="12"/>
        <v/>
      </c>
      <c r="E813" s="626"/>
      <c r="F813" s="626"/>
    </row>
    <row r="814" spans="1:6">
      <c r="A814" t="str">
        <f t="shared" si="12"/>
        <v/>
      </c>
      <c r="E814" s="626"/>
      <c r="F814" s="626"/>
    </row>
    <row r="815" spans="1:6">
      <c r="A815" t="str">
        <f t="shared" si="12"/>
        <v/>
      </c>
      <c r="E815" s="626"/>
      <c r="F815" s="626"/>
    </row>
    <row r="816" spans="1:6">
      <c r="A816" t="str">
        <f t="shared" si="12"/>
        <v/>
      </c>
      <c r="E816" s="626"/>
      <c r="F816" s="626"/>
    </row>
    <row r="817" spans="1:6">
      <c r="A817" t="str">
        <f t="shared" si="12"/>
        <v/>
      </c>
      <c r="E817" s="626"/>
      <c r="F817" s="626"/>
    </row>
    <row r="818" spans="1:6">
      <c r="A818" t="str">
        <f t="shared" si="12"/>
        <v/>
      </c>
      <c r="E818" s="626"/>
      <c r="F818" s="626"/>
    </row>
    <row r="819" spans="1:6">
      <c r="A819" t="str">
        <f t="shared" si="12"/>
        <v/>
      </c>
      <c r="E819" s="626"/>
      <c r="F819" s="626"/>
    </row>
    <row r="820" spans="1:6">
      <c r="A820" t="str">
        <f t="shared" si="12"/>
        <v/>
      </c>
      <c r="E820" s="626"/>
      <c r="F820" s="626"/>
    </row>
    <row r="821" spans="1:6">
      <c r="A821" t="str">
        <f t="shared" si="12"/>
        <v/>
      </c>
      <c r="E821" s="626"/>
      <c r="F821" s="626"/>
    </row>
    <row r="822" spans="1:6">
      <c r="A822" t="str">
        <f t="shared" si="12"/>
        <v/>
      </c>
      <c r="E822" s="626"/>
      <c r="F822" s="626"/>
    </row>
    <row r="823" spans="1:6">
      <c r="A823" t="str">
        <f t="shared" si="12"/>
        <v/>
      </c>
      <c r="E823" s="626"/>
      <c r="F823" s="626"/>
    </row>
    <row r="824" spans="1:6">
      <c r="A824" t="str">
        <f t="shared" si="12"/>
        <v/>
      </c>
      <c r="E824" s="626"/>
      <c r="F824" s="626"/>
    </row>
    <row r="825" spans="1:6">
      <c r="A825" t="str">
        <f t="shared" si="12"/>
        <v/>
      </c>
      <c r="E825" s="626"/>
      <c r="F825" s="626"/>
    </row>
    <row r="826" spans="1:6">
      <c r="A826" t="str">
        <f t="shared" si="12"/>
        <v/>
      </c>
      <c r="E826" s="626"/>
      <c r="F826" s="626"/>
    </row>
    <row r="827" spans="1:6">
      <c r="A827" t="str">
        <f t="shared" si="12"/>
        <v/>
      </c>
      <c r="E827" s="626"/>
      <c r="F827" s="626"/>
    </row>
    <row r="828" spans="1:6">
      <c r="A828" t="str">
        <f t="shared" si="12"/>
        <v/>
      </c>
      <c r="E828" s="626"/>
      <c r="F828" s="626"/>
    </row>
    <row r="829" spans="1:6">
      <c r="A829" t="str">
        <f t="shared" si="12"/>
        <v/>
      </c>
      <c r="E829" s="626"/>
      <c r="F829" s="626"/>
    </row>
    <row r="830" spans="1:6">
      <c r="A830" t="str">
        <f t="shared" si="12"/>
        <v/>
      </c>
      <c r="E830" s="626"/>
      <c r="F830" s="626"/>
    </row>
    <row r="831" spans="1:6">
      <c r="A831" t="str">
        <f t="shared" si="12"/>
        <v/>
      </c>
      <c r="E831" s="626"/>
      <c r="F831" s="626"/>
    </row>
    <row r="832" spans="1:6">
      <c r="A832" t="str">
        <f t="shared" si="12"/>
        <v/>
      </c>
      <c r="E832" s="626"/>
      <c r="F832" s="626"/>
    </row>
    <row r="833" spans="1:6">
      <c r="A833" t="str">
        <f t="shared" si="12"/>
        <v/>
      </c>
      <c r="E833" s="626"/>
      <c r="F833" s="626"/>
    </row>
    <row r="834" spans="1:6">
      <c r="A834" t="str">
        <f t="shared" ref="A834:A897" si="13">B834&amp;E834&amp;J834</f>
        <v/>
      </c>
      <c r="E834" s="626"/>
      <c r="F834" s="626"/>
    </row>
    <row r="835" spans="1:6">
      <c r="A835" t="str">
        <f t="shared" si="13"/>
        <v/>
      </c>
      <c r="E835" s="626"/>
      <c r="F835" s="626"/>
    </row>
    <row r="836" spans="1:6">
      <c r="A836" t="str">
        <f t="shared" si="13"/>
        <v/>
      </c>
      <c r="E836" s="626"/>
      <c r="F836" s="626"/>
    </row>
    <row r="837" spans="1:6">
      <c r="A837" t="str">
        <f t="shared" si="13"/>
        <v/>
      </c>
      <c r="E837" s="626"/>
      <c r="F837" s="626"/>
    </row>
    <row r="838" spans="1:6">
      <c r="A838" t="str">
        <f t="shared" si="13"/>
        <v/>
      </c>
      <c r="E838" s="626"/>
      <c r="F838" s="626"/>
    </row>
    <row r="839" spans="1:6">
      <c r="A839" t="str">
        <f t="shared" si="13"/>
        <v/>
      </c>
      <c r="E839" s="626"/>
      <c r="F839" s="626"/>
    </row>
    <row r="840" spans="1:6">
      <c r="A840" t="str">
        <f t="shared" si="13"/>
        <v/>
      </c>
      <c r="E840" s="626"/>
      <c r="F840" s="626"/>
    </row>
    <row r="841" spans="1:6">
      <c r="A841" t="str">
        <f t="shared" si="13"/>
        <v/>
      </c>
      <c r="E841" s="626"/>
      <c r="F841" s="626"/>
    </row>
    <row r="842" spans="1:6">
      <c r="A842" t="str">
        <f t="shared" si="13"/>
        <v/>
      </c>
      <c r="E842" s="626"/>
      <c r="F842" s="626"/>
    </row>
    <row r="843" spans="1:6">
      <c r="A843" t="str">
        <f t="shared" si="13"/>
        <v/>
      </c>
      <c r="E843" s="626"/>
      <c r="F843" s="626"/>
    </row>
    <row r="844" spans="1:6">
      <c r="A844" t="str">
        <f t="shared" si="13"/>
        <v/>
      </c>
      <c r="E844" s="626"/>
      <c r="F844" s="626"/>
    </row>
    <row r="845" spans="1:6">
      <c r="A845" t="str">
        <f t="shared" si="13"/>
        <v/>
      </c>
      <c r="E845" s="626"/>
      <c r="F845" s="626"/>
    </row>
    <row r="846" spans="1:6">
      <c r="A846" t="str">
        <f t="shared" si="13"/>
        <v/>
      </c>
      <c r="E846" s="626"/>
      <c r="F846" s="626"/>
    </row>
    <row r="847" spans="1:6">
      <c r="A847" t="str">
        <f t="shared" si="13"/>
        <v/>
      </c>
      <c r="E847" s="626"/>
      <c r="F847" s="626"/>
    </row>
    <row r="848" spans="1:6">
      <c r="A848" t="str">
        <f t="shared" si="13"/>
        <v/>
      </c>
      <c r="E848" s="626"/>
      <c r="F848" s="626"/>
    </row>
    <row r="849" spans="1:6">
      <c r="A849" t="str">
        <f t="shared" si="13"/>
        <v/>
      </c>
      <c r="E849" s="626"/>
      <c r="F849" s="626"/>
    </row>
    <row r="850" spans="1:6">
      <c r="A850" t="str">
        <f t="shared" si="13"/>
        <v/>
      </c>
      <c r="E850" s="626"/>
      <c r="F850" s="626"/>
    </row>
    <row r="851" spans="1:6">
      <c r="A851" t="str">
        <f t="shared" si="13"/>
        <v/>
      </c>
      <c r="E851" s="626"/>
      <c r="F851" s="626"/>
    </row>
    <row r="852" spans="1:6">
      <c r="A852" t="str">
        <f t="shared" si="13"/>
        <v/>
      </c>
      <c r="E852" s="626"/>
      <c r="F852" s="626"/>
    </row>
    <row r="853" spans="1:6">
      <c r="A853" t="str">
        <f t="shared" si="13"/>
        <v/>
      </c>
      <c r="E853" s="626"/>
      <c r="F853" s="626"/>
    </row>
    <row r="854" spans="1:6">
      <c r="A854" t="str">
        <f t="shared" si="13"/>
        <v/>
      </c>
      <c r="E854" s="626"/>
      <c r="F854" s="626"/>
    </row>
    <row r="855" spans="1:6">
      <c r="A855" t="str">
        <f t="shared" si="13"/>
        <v/>
      </c>
      <c r="E855" s="626"/>
      <c r="F855" s="626"/>
    </row>
    <row r="856" spans="1:6">
      <c r="A856" t="str">
        <f t="shared" si="13"/>
        <v/>
      </c>
      <c r="E856" s="626"/>
      <c r="F856" s="626"/>
    </row>
    <row r="857" spans="1:6">
      <c r="A857" t="str">
        <f t="shared" si="13"/>
        <v/>
      </c>
      <c r="E857" s="626"/>
      <c r="F857" s="626"/>
    </row>
    <row r="858" spans="1:6">
      <c r="A858" t="str">
        <f t="shared" si="13"/>
        <v/>
      </c>
      <c r="E858" s="626"/>
      <c r="F858" s="626"/>
    </row>
    <row r="859" spans="1:6">
      <c r="A859" t="str">
        <f t="shared" si="13"/>
        <v/>
      </c>
      <c r="E859" s="626"/>
      <c r="F859" s="626"/>
    </row>
    <row r="860" spans="1:6">
      <c r="A860" t="str">
        <f t="shared" si="13"/>
        <v/>
      </c>
      <c r="E860" s="626"/>
      <c r="F860" s="626"/>
    </row>
    <row r="861" spans="1:6">
      <c r="A861" t="str">
        <f t="shared" si="13"/>
        <v/>
      </c>
      <c r="E861" s="626"/>
      <c r="F861" s="626"/>
    </row>
    <row r="862" spans="1:6">
      <c r="A862" t="str">
        <f t="shared" si="13"/>
        <v/>
      </c>
      <c r="E862" s="626"/>
      <c r="F862" s="626"/>
    </row>
    <row r="863" spans="1:6">
      <c r="A863" t="str">
        <f t="shared" si="13"/>
        <v/>
      </c>
      <c r="E863" s="626"/>
      <c r="F863" s="626"/>
    </row>
    <row r="864" spans="1:6">
      <c r="A864" t="str">
        <f t="shared" si="13"/>
        <v/>
      </c>
      <c r="E864" s="626"/>
      <c r="F864" s="626"/>
    </row>
    <row r="865" spans="1:6">
      <c r="A865" t="str">
        <f t="shared" si="13"/>
        <v/>
      </c>
      <c r="E865" s="626"/>
      <c r="F865" s="626"/>
    </row>
    <row r="866" spans="1:6">
      <c r="A866" t="str">
        <f t="shared" si="13"/>
        <v/>
      </c>
      <c r="E866" s="626"/>
      <c r="F866" s="626"/>
    </row>
    <row r="867" spans="1:6">
      <c r="A867" t="str">
        <f t="shared" si="13"/>
        <v/>
      </c>
      <c r="E867" s="626"/>
      <c r="F867" s="626"/>
    </row>
    <row r="868" spans="1:6">
      <c r="A868" t="str">
        <f t="shared" si="13"/>
        <v/>
      </c>
      <c r="E868" s="626"/>
      <c r="F868" s="626"/>
    </row>
    <row r="869" spans="1:6">
      <c r="A869" t="str">
        <f t="shared" si="13"/>
        <v/>
      </c>
      <c r="E869" s="626"/>
      <c r="F869" s="626"/>
    </row>
    <row r="870" spans="1:6">
      <c r="A870" t="str">
        <f t="shared" si="13"/>
        <v/>
      </c>
      <c r="E870" s="626"/>
      <c r="F870" s="626"/>
    </row>
    <row r="871" spans="1:6">
      <c r="A871" t="str">
        <f t="shared" si="13"/>
        <v/>
      </c>
      <c r="E871" s="626"/>
      <c r="F871" s="626"/>
    </row>
    <row r="872" spans="1:6">
      <c r="A872" t="str">
        <f t="shared" si="13"/>
        <v/>
      </c>
      <c r="E872" s="626"/>
      <c r="F872" s="626"/>
    </row>
    <row r="873" spans="1:6">
      <c r="A873" t="str">
        <f t="shared" si="13"/>
        <v/>
      </c>
      <c r="E873" s="626"/>
      <c r="F873" s="626"/>
    </row>
    <row r="874" spans="1:6">
      <c r="A874" t="str">
        <f t="shared" si="13"/>
        <v/>
      </c>
      <c r="E874" s="626"/>
      <c r="F874" s="626"/>
    </row>
    <row r="875" spans="1:6">
      <c r="A875" t="str">
        <f t="shared" si="13"/>
        <v/>
      </c>
      <c r="E875" s="626"/>
      <c r="F875" s="626"/>
    </row>
    <row r="876" spans="1:6">
      <c r="A876" t="str">
        <f t="shared" si="13"/>
        <v/>
      </c>
      <c r="E876" s="626"/>
      <c r="F876" s="626"/>
    </row>
    <row r="877" spans="1:6">
      <c r="A877" t="str">
        <f t="shared" si="13"/>
        <v/>
      </c>
      <c r="E877" s="626"/>
      <c r="F877" s="626"/>
    </row>
    <row r="878" spans="1:6">
      <c r="A878" t="str">
        <f t="shared" si="13"/>
        <v/>
      </c>
      <c r="E878" s="626"/>
      <c r="F878" s="626"/>
    </row>
    <row r="879" spans="1:6">
      <c r="A879" t="str">
        <f t="shared" si="13"/>
        <v/>
      </c>
      <c r="E879" s="626"/>
      <c r="F879" s="626"/>
    </row>
    <row r="880" spans="1:6">
      <c r="A880" t="str">
        <f t="shared" si="13"/>
        <v/>
      </c>
      <c r="E880" s="626"/>
      <c r="F880" s="626"/>
    </row>
    <row r="881" spans="1:6">
      <c r="A881" t="str">
        <f t="shared" si="13"/>
        <v/>
      </c>
      <c r="E881" s="626"/>
      <c r="F881" s="626"/>
    </row>
    <row r="882" spans="1:6">
      <c r="A882" t="str">
        <f t="shared" si="13"/>
        <v/>
      </c>
      <c r="E882" s="626"/>
      <c r="F882" s="626"/>
    </row>
    <row r="883" spans="1:6">
      <c r="A883" t="str">
        <f t="shared" si="13"/>
        <v/>
      </c>
      <c r="E883" s="626"/>
      <c r="F883" s="626"/>
    </row>
    <row r="884" spans="1:6">
      <c r="A884" t="str">
        <f t="shared" si="13"/>
        <v/>
      </c>
      <c r="E884" s="626"/>
      <c r="F884" s="626"/>
    </row>
    <row r="885" spans="1:6">
      <c r="A885" t="str">
        <f t="shared" si="13"/>
        <v/>
      </c>
      <c r="E885" s="626"/>
      <c r="F885" s="626"/>
    </row>
    <row r="886" spans="1:6">
      <c r="A886" t="str">
        <f t="shared" si="13"/>
        <v/>
      </c>
      <c r="E886" s="626"/>
      <c r="F886" s="626"/>
    </row>
    <row r="887" spans="1:6">
      <c r="A887" t="str">
        <f t="shared" si="13"/>
        <v/>
      </c>
      <c r="E887" s="626"/>
      <c r="F887" s="626"/>
    </row>
    <row r="888" spans="1:6">
      <c r="A888" t="str">
        <f t="shared" si="13"/>
        <v/>
      </c>
      <c r="E888" s="626"/>
      <c r="F888" s="626"/>
    </row>
    <row r="889" spans="1:6">
      <c r="A889" t="str">
        <f t="shared" si="13"/>
        <v/>
      </c>
      <c r="E889" s="626"/>
      <c r="F889" s="626"/>
    </row>
    <row r="890" spans="1:6">
      <c r="A890" t="str">
        <f t="shared" si="13"/>
        <v/>
      </c>
      <c r="E890" s="626"/>
      <c r="F890" s="626"/>
    </row>
    <row r="891" spans="1:6">
      <c r="A891" t="str">
        <f t="shared" si="13"/>
        <v/>
      </c>
      <c r="E891" s="626"/>
      <c r="F891" s="626"/>
    </row>
    <row r="892" spans="1:6">
      <c r="A892" t="str">
        <f t="shared" si="13"/>
        <v/>
      </c>
      <c r="E892" s="626"/>
      <c r="F892" s="626"/>
    </row>
    <row r="893" spans="1:6">
      <c r="A893" t="str">
        <f t="shared" si="13"/>
        <v/>
      </c>
      <c r="E893" s="626"/>
      <c r="F893" s="626"/>
    </row>
    <row r="894" spans="1:6">
      <c r="A894" t="str">
        <f t="shared" si="13"/>
        <v/>
      </c>
      <c r="E894" s="626"/>
      <c r="F894" s="626"/>
    </row>
    <row r="895" spans="1:6">
      <c r="A895" t="str">
        <f t="shared" si="13"/>
        <v/>
      </c>
      <c r="E895" s="626"/>
      <c r="F895" s="626"/>
    </row>
    <row r="896" spans="1:6">
      <c r="A896" t="str">
        <f t="shared" si="13"/>
        <v/>
      </c>
      <c r="E896" s="626"/>
      <c r="F896" s="626"/>
    </row>
    <row r="897" spans="1:6">
      <c r="A897" t="str">
        <f t="shared" si="13"/>
        <v/>
      </c>
      <c r="E897" s="626"/>
      <c r="F897" s="626"/>
    </row>
    <row r="898" spans="1:6">
      <c r="A898" t="str">
        <f t="shared" ref="A898:A961" si="14">B898&amp;E898&amp;J898</f>
        <v/>
      </c>
      <c r="E898" s="626"/>
      <c r="F898" s="626"/>
    </row>
    <row r="899" spans="1:6">
      <c r="A899" t="str">
        <f t="shared" si="14"/>
        <v/>
      </c>
      <c r="E899" s="626"/>
      <c r="F899" s="626"/>
    </row>
    <row r="900" spans="1:6">
      <c r="A900" t="str">
        <f t="shared" si="14"/>
        <v/>
      </c>
      <c r="E900" s="626"/>
      <c r="F900" s="626"/>
    </row>
    <row r="901" spans="1:6">
      <c r="A901" t="str">
        <f t="shared" si="14"/>
        <v/>
      </c>
      <c r="E901" s="626"/>
      <c r="F901" s="626"/>
    </row>
    <row r="902" spans="1:6">
      <c r="A902" t="str">
        <f t="shared" si="14"/>
        <v/>
      </c>
      <c r="E902" s="626"/>
      <c r="F902" s="626"/>
    </row>
    <row r="903" spans="1:6">
      <c r="A903" t="str">
        <f t="shared" si="14"/>
        <v/>
      </c>
      <c r="E903" s="626"/>
      <c r="F903" s="626"/>
    </row>
    <row r="904" spans="1:6">
      <c r="A904" t="str">
        <f t="shared" si="14"/>
        <v/>
      </c>
      <c r="E904" s="626"/>
      <c r="F904" s="626"/>
    </row>
    <row r="905" spans="1:6">
      <c r="A905" t="str">
        <f t="shared" si="14"/>
        <v/>
      </c>
      <c r="E905" s="626"/>
      <c r="F905" s="626"/>
    </row>
    <row r="906" spans="1:6">
      <c r="A906" t="str">
        <f t="shared" si="14"/>
        <v/>
      </c>
      <c r="E906" s="626"/>
      <c r="F906" s="626"/>
    </row>
    <row r="907" spans="1:6">
      <c r="A907" t="str">
        <f t="shared" si="14"/>
        <v/>
      </c>
      <c r="E907" s="626"/>
      <c r="F907" s="626"/>
    </row>
    <row r="908" spans="1:6">
      <c r="A908" t="str">
        <f t="shared" si="14"/>
        <v/>
      </c>
      <c r="E908" s="626"/>
      <c r="F908" s="626"/>
    </row>
    <row r="909" spans="1:6">
      <c r="A909" t="str">
        <f t="shared" si="14"/>
        <v/>
      </c>
      <c r="E909" s="626"/>
      <c r="F909" s="626"/>
    </row>
    <row r="910" spans="1:6">
      <c r="A910" t="str">
        <f t="shared" si="14"/>
        <v/>
      </c>
      <c r="E910" s="626"/>
      <c r="F910" s="626"/>
    </row>
    <row r="911" spans="1:6">
      <c r="A911" t="str">
        <f t="shared" si="14"/>
        <v/>
      </c>
      <c r="E911" s="626"/>
      <c r="F911" s="626"/>
    </row>
    <row r="912" spans="1:6">
      <c r="A912" t="str">
        <f t="shared" si="14"/>
        <v/>
      </c>
      <c r="E912" s="626"/>
      <c r="F912" s="626"/>
    </row>
    <row r="913" spans="1:6">
      <c r="A913" t="str">
        <f t="shared" si="14"/>
        <v/>
      </c>
      <c r="E913" s="626"/>
      <c r="F913" s="626"/>
    </row>
    <row r="914" spans="1:6">
      <c r="A914" t="str">
        <f t="shared" si="14"/>
        <v/>
      </c>
      <c r="E914" s="626"/>
      <c r="F914" s="626"/>
    </row>
    <row r="915" spans="1:6">
      <c r="A915" t="str">
        <f t="shared" si="14"/>
        <v/>
      </c>
      <c r="E915" s="626"/>
      <c r="F915" s="626"/>
    </row>
    <row r="916" spans="1:6">
      <c r="A916" t="str">
        <f t="shared" si="14"/>
        <v/>
      </c>
      <c r="E916" s="626"/>
      <c r="F916" s="626"/>
    </row>
    <row r="917" spans="1:6">
      <c r="A917" t="str">
        <f t="shared" si="14"/>
        <v/>
      </c>
      <c r="E917" s="626"/>
      <c r="F917" s="626"/>
    </row>
    <row r="918" spans="1:6">
      <c r="A918" t="str">
        <f t="shared" si="14"/>
        <v/>
      </c>
      <c r="E918" s="626"/>
      <c r="F918" s="626"/>
    </row>
    <row r="919" spans="1:6">
      <c r="A919" t="str">
        <f t="shared" si="14"/>
        <v/>
      </c>
      <c r="E919" s="626"/>
      <c r="F919" s="626"/>
    </row>
    <row r="920" spans="1:6">
      <c r="A920" t="str">
        <f t="shared" si="14"/>
        <v/>
      </c>
      <c r="E920" s="626"/>
      <c r="F920" s="626"/>
    </row>
    <row r="921" spans="1:6">
      <c r="A921" t="str">
        <f t="shared" si="14"/>
        <v/>
      </c>
      <c r="E921" s="626"/>
      <c r="F921" s="626"/>
    </row>
    <row r="922" spans="1:6">
      <c r="A922" t="str">
        <f t="shared" si="14"/>
        <v/>
      </c>
      <c r="E922" s="626"/>
      <c r="F922" s="626"/>
    </row>
    <row r="923" spans="1:6">
      <c r="A923" t="str">
        <f t="shared" si="14"/>
        <v/>
      </c>
      <c r="E923" s="626"/>
      <c r="F923" s="626"/>
    </row>
    <row r="924" spans="1:6">
      <c r="A924" t="str">
        <f t="shared" si="14"/>
        <v/>
      </c>
      <c r="E924" s="626"/>
      <c r="F924" s="626"/>
    </row>
    <row r="925" spans="1:6">
      <c r="A925" t="str">
        <f t="shared" si="14"/>
        <v/>
      </c>
      <c r="E925" s="626"/>
      <c r="F925" s="626"/>
    </row>
    <row r="926" spans="1:6">
      <c r="A926" t="str">
        <f t="shared" si="14"/>
        <v/>
      </c>
      <c r="E926" s="626"/>
      <c r="F926" s="626"/>
    </row>
    <row r="927" spans="1:6">
      <c r="A927" t="str">
        <f t="shared" si="14"/>
        <v/>
      </c>
      <c r="E927" s="626"/>
      <c r="F927" s="626"/>
    </row>
    <row r="928" spans="1:6">
      <c r="A928" t="str">
        <f t="shared" si="14"/>
        <v/>
      </c>
      <c r="E928" s="626"/>
      <c r="F928" s="626"/>
    </row>
    <row r="929" spans="1:6">
      <c r="A929" t="str">
        <f t="shared" si="14"/>
        <v/>
      </c>
      <c r="E929" s="626"/>
      <c r="F929" s="626"/>
    </row>
    <row r="930" spans="1:6">
      <c r="A930" t="str">
        <f t="shared" si="14"/>
        <v/>
      </c>
      <c r="E930" s="626"/>
      <c r="F930" s="626"/>
    </row>
    <row r="931" spans="1:6">
      <c r="A931" t="str">
        <f t="shared" si="14"/>
        <v/>
      </c>
      <c r="E931" s="626"/>
      <c r="F931" s="626"/>
    </row>
    <row r="932" spans="1:6">
      <c r="A932" t="str">
        <f t="shared" si="14"/>
        <v/>
      </c>
      <c r="E932" s="626"/>
      <c r="F932" s="626"/>
    </row>
    <row r="933" spans="1:6">
      <c r="A933" t="str">
        <f t="shared" si="14"/>
        <v/>
      </c>
      <c r="E933" s="626"/>
      <c r="F933" s="626"/>
    </row>
    <row r="934" spans="1:6">
      <c r="A934" t="str">
        <f t="shared" si="14"/>
        <v/>
      </c>
      <c r="E934" s="626"/>
      <c r="F934" s="626"/>
    </row>
    <row r="935" spans="1:6">
      <c r="A935" t="str">
        <f t="shared" si="14"/>
        <v/>
      </c>
      <c r="E935" s="626"/>
      <c r="F935" s="626"/>
    </row>
    <row r="936" spans="1:6">
      <c r="A936" t="str">
        <f t="shared" si="14"/>
        <v/>
      </c>
      <c r="E936" s="626"/>
      <c r="F936" s="626"/>
    </row>
    <row r="937" spans="1:6">
      <c r="A937" t="str">
        <f t="shared" si="14"/>
        <v/>
      </c>
      <c r="E937" s="626"/>
      <c r="F937" s="626"/>
    </row>
    <row r="938" spans="1:6">
      <c r="A938" t="str">
        <f t="shared" si="14"/>
        <v/>
      </c>
      <c r="E938" s="626"/>
      <c r="F938" s="626"/>
    </row>
    <row r="939" spans="1:6">
      <c r="A939" t="str">
        <f t="shared" si="14"/>
        <v/>
      </c>
      <c r="E939" s="626"/>
      <c r="F939" s="626"/>
    </row>
    <row r="940" spans="1:6">
      <c r="A940" t="str">
        <f t="shared" si="14"/>
        <v/>
      </c>
      <c r="E940" s="626"/>
      <c r="F940" s="626"/>
    </row>
    <row r="941" spans="1:6">
      <c r="A941" t="str">
        <f t="shared" si="14"/>
        <v/>
      </c>
      <c r="E941" s="626"/>
      <c r="F941" s="626"/>
    </row>
    <row r="942" spans="1:6">
      <c r="A942" t="str">
        <f t="shared" si="14"/>
        <v/>
      </c>
      <c r="E942" s="626"/>
      <c r="F942" s="626"/>
    </row>
    <row r="943" spans="1:6">
      <c r="A943" t="str">
        <f t="shared" si="14"/>
        <v/>
      </c>
      <c r="E943" s="626"/>
      <c r="F943" s="626"/>
    </row>
    <row r="944" spans="1:6">
      <c r="A944" t="str">
        <f t="shared" si="14"/>
        <v/>
      </c>
      <c r="E944" s="626"/>
      <c r="F944" s="626"/>
    </row>
    <row r="945" spans="1:6">
      <c r="A945" t="str">
        <f t="shared" si="14"/>
        <v/>
      </c>
      <c r="E945" s="626"/>
      <c r="F945" s="626"/>
    </row>
    <row r="946" spans="1:6">
      <c r="A946" t="str">
        <f t="shared" si="14"/>
        <v/>
      </c>
      <c r="E946" s="626"/>
      <c r="F946" s="626"/>
    </row>
    <row r="947" spans="1:6">
      <c r="A947" t="str">
        <f t="shared" si="14"/>
        <v/>
      </c>
      <c r="E947" s="626"/>
      <c r="F947" s="626"/>
    </row>
    <row r="948" spans="1:6">
      <c r="A948" t="str">
        <f t="shared" si="14"/>
        <v/>
      </c>
      <c r="E948" s="626"/>
      <c r="F948" s="626"/>
    </row>
    <row r="949" spans="1:6">
      <c r="A949" t="str">
        <f t="shared" si="14"/>
        <v/>
      </c>
      <c r="E949" s="626"/>
      <c r="F949" s="626"/>
    </row>
    <row r="950" spans="1:6">
      <c r="A950" t="str">
        <f t="shared" si="14"/>
        <v/>
      </c>
      <c r="E950" s="626"/>
      <c r="F950" s="626"/>
    </row>
    <row r="951" spans="1:6">
      <c r="A951" t="str">
        <f t="shared" si="14"/>
        <v/>
      </c>
      <c r="E951" s="626"/>
      <c r="F951" s="626"/>
    </row>
    <row r="952" spans="1:6">
      <c r="A952" t="str">
        <f t="shared" si="14"/>
        <v/>
      </c>
      <c r="E952" s="626"/>
      <c r="F952" s="626"/>
    </row>
    <row r="953" spans="1:6">
      <c r="A953" t="str">
        <f t="shared" si="14"/>
        <v/>
      </c>
      <c r="E953" s="626"/>
      <c r="F953" s="626"/>
    </row>
    <row r="954" spans="1:6">
      <c r="A954" t="str">
        <f t="shared" si="14"/>
        <v/>
      </c>
      <c r="E954" s="626"/>
      <c r="F954" s="626"/>
    </row>
    <row r="955" spans="1:6">
      <c r="A955" t="str">
        <f t="shared" si="14"/>
        <v/>
      </c>
      <c r="E955" s="626"/>
      <c r="F955" s="626"/>
    </row>
    <row r="956" spans="1:6">
      <c r="A956" t="str">
        <f t="shared" si="14"/>
        <v/>
      </c>
      <c r="E956" s="626"/>
      <c r="F956" s="626"/>
    </row>
    <row r="957" spans="1:6">
      <c r="A957" t="str">
        <f t="shared" si="14"/>
        <v/>
      </c>
      <c r="E957" s="626"/>
      <c r="F957" s="626"/>
    </row>
    <row r="958" spans="1:6">
      <c r="A958" t="str">
        <f t="shared" si="14"/>
        <v/>
      </c>
      <c r="E958" s="626"/>
      <c r="F958" s="626"/>
    </row>
    <row r="959" spans="1:6">
      <c r="A959" t="str">
        <f t="shared" si="14"/>
        <v/>
      </c>
      <c r="E959" s="626"/>
      <c r="F959" s="626"/>
    </row>
    <row r="960" spans="1:6">
      <c r="A960" t="str">
        <f t="shared" si="14"/>
        <v/>
      </c>
      <c r="E960" s="626"/>
      <c r="F960" s="626"/>
    </row>
    <row r="961" spans="1:6">
      <c r="A961" t="str">
        <f t="shared" si="14"/>
        <v/>
      </c>
      <c r="E961" s="626"/>
      <c r="F961" s="626"/>
    </row>
    <row r="962" spans="1:6">
      <c r="A962" t="str">
        <f t="shared" ref="A962:A1025" si="15">B962&amp;E962&amp;J962</f>
        <v/>
      </c>
      <c r="E962" s="626"/>
      <c r="F962" s="626"/>
    </row>
    <row r="963" spans="1:6">
      <c r="A963" t="str">
        <f t="shared" si="15"/>
        <v/>
      </c>
      <c r="E963" s="626"/>
      <c r="F963" s="626"/>
    </row>
    <row r="964" spans="1:6">
      <c r="A964" t="str">
        <f t="shared" si="15"/>
        <v/>
      </c>
      <c r="E964" s="626"/>
      <c r="F964" s="626"/>
    </row>
    <row r="965" spans="1:6">
      <c r="A965" t="str">
        <f t="shared" si="15"/>
        <v/>
      </c>
      <c r="E965" s="626"/>
      <c r="F965" s="626"/>
    </row>
    <row r="966" spans="1:6">
      <c r="A966" t="str">
        <f t="shared" si="15"/>
        <v/>
      </c>
      <c r="E966" s="626"/>
      <c r="F966" s="626"/>
    </row>
    <row r="967" spans="1:6">
      <c r="A967" t="str">
        <f t="shared" si="15"/>
        <v/>
      </c>
      <c r="E967" s="626"/>
      <c r="F967" s="626"/>
    </row>
    <row r="968" spans="1:6">
      <c r="A968" t="str">
        <f t="shared" si="15"/>
        <v/>
      </c>
      <c r="E968" s="626"/>
      <c r="F968" s="626"/>
    </row>
    <row r="969" spans="1:6">
      <c r="A969" t="str">
        <f t="shared" si="15"/>
        <v/>
      </c>
      <c r="E969" s="626"/>
      <c r="F969" s="626"/>
    </row>
    <row r="970" spans="1:6">
      <c r="A970" t="str">
        <f t="shared" si="15"/>
        <v/>
      </c>
      <c r="E970" s="626"/>
      <c r="F970" s="626"/>
    </row>
    <row r="971" spans="1:6">
      <c r="A971" t="str">
        <f t="shared" si="15"/>
        <v/>
      </c>
      <c r="E971" s="626"/>
      <c r="F971" s="626"/>
    </row>
    <row r="972" spans="1:6">
      <c r="A972" t="str">
        <f t="shared" si="15"/>
        <v/>
      </c>
      <c r="E972" s="626"/>
      <c r="F972" s="626"/>
    </row>
    <row r="973" spans="1:6">
      <c r="A973" t="str">
        <f t="shared" si="15"/>
        <v/>
      </c>
      <c r="E973" s="626"/>
      <c r="F973" s="626"/>
    </row>
    <row r="974" spans="1:6">
      <c r="A974" t="str">
        <f t="shared" si="15"/>
        <v/>
      </c>
      <c r="E974" s="626"/>
      <c r="F974" s="626"/>
    </row>
    <row r="975" spans="1:6">
      <c r="A975" t="str">
        <f t="shared" si="15"/>
        <v/>
      </c>
      <c r="E975" s="626"/>
      <c r="F975" s="626"/>
    </row>
    <row r="976" spans="1:6">
      <c r="A976" t="str">
        <f t="shared" si="15"/>
        <v/>
      </c>
      <c r="E976" s="626"/>
      <c r="F976" s="626"/>
    </row>
    <row r="977" spans="1:6">
      <c r="A977" t="str">
        <f t="shared" si="15"/>
        <v/>
      </c>
      <c r="E977" s="626"/>
      <c r="F977" s="626"/>
    </row>
    <row r="978" spans="1:6">
      <c r="A978" t="str">
        <f t="shared" si="15"/>
        <v/>
      </c>
      <c r="E978" s="626"/>
      <c r="F978" s="626"/>
    </row>
    <row r="979" spans="1:6">
      <c r="A979" t="str">
        <f t="shared" si="15"/>
        <v/>
      </c>
      <c r="E979" s="626"/>
      <c r="F979" s="626"/>
    </row>
    <row r="980" spans="1:6">
      <c r="A980" t="str">
        <f t="shared" si="15"/>
        <v/>
      </c>
      <c r="E980" s="626"/>
      <c r="F980" s="626"/>
    </row>
    <row r="981" spans="1:6">
      <c r="A981" t="str">
        <f t="shared" si="15"/>
        <v/>
      </c>
      <c r="E981" s="626"/>
      <c r="F981" s="626"/>
    </row>
    <row r="982" spans="1:6">
      <c r="A982" t="str">
        <f t="shared" si="15"/>
        <v/>
      </c>
      <c r="E982" s="626"/>
      <c r="F982" s="626"/>
    </row>
    <row r="983" spans="1:6">
      <c r="A983" t="str">
        <f t="shared" si="15"/>
        <v/>
      </c>
      <c r="E983" s="626"/>
      <c r="F983" s="626"/>
    </row>
    <row r="984" spans="1:6">
      <c r="A984" t="str">
        <f t="shared" si="15"/>
        <v/>
      </c>
      <c r="E984" s="626"/>
      <c r="F984" s="626"/>
    </row>
    <row r="985" spans="1:6">
      <c r="A985" t="str">
        <f t="shared" si="15"/>
        <v/>
      </c>
      <c r="E985" s="626"/>
      <c r="F985" s="626"/>
    </row>
    <row r="986" spans="1:6">
      <c r="A986" t="str">
        <f t="shared" si="15"/>
        <v/>
      </c>
      <c r="E986" s="626"/>
      <c r="F986" s="626"/>
    </row>
    <row r="987" spans="1:6">
      <c r="A987" t="str">
        <f t="shared" si="15"/>
        <v/>
      </c>
      <c r="E987" s="626"/>
      <c r="F987" s="626"/>
    </row>
    <row r="988" spans="1:6">
      <c r="A988" t="str">
        <f t="shared" si="15"/>
        <v/>
      </c>
      <c r="E988" s="626"/>
      <c r="F988" s="626"/>
    </row>
    <row r="989" spans="1:6">
      <c r="A989" t="str">
        <f t="shared" si="15"/>
        <v/>
      </c>
      <c r="E989" s="626"/>
      <c r="F989" s="626"/>
    </row>
    <row r="990" spans="1:6">
      <c r="A990" t="str">
        <f t="shared" si="15"/>
        <v/>
      </c>
      <c r="E990" s="626"/>
      <c r="F990" s="626"/>
    </row>
    <row r="991" spans="1:6">
      <c r="A991" t="str">
        <f t="shared" si="15"/>
        <v/>
      </c>
      <c r="E991" s="626"/>
      <c r="F991" s="626"/>
    </row>
    <row r="992" spans="1:6">
      <c r="A992" t="str">
        <f t="shared" si="15"/>
        <v/>
      </c>
      <c r="E992" s="626"/>
      <c r="F992" s="626"/>
    </row>
    <row r="993" spans="1:6">
      <c r="A993" t="str">
        <f t="shared" si="15"/>
        <v/>
      </c>
      <c r="E993" s="626"/>
      <c r="F993" s="626"/>
    </row>
    <row r="994" spans="1:6">
      <c r="A994" t="str">
        <f t="shared" si="15"/>
        <v/>
      </c>
      <c r="E994" s="626"/>
      <c r="F994" s="626"/>
    </row>
    <row r="995" spans="1:6">
      <c r="A995" t="str">
        <f t="shared" si="15"/>
        <v/>
      </c>
      <c r="E995" s="626"/>
      <c r="F995" s="626"/>
    </row>
    <row r="996" spans="1:6">
      <c r="A996" t="str">
        <f t="shared" si="15"/>
        <v/>
      </c>
      <c r="E996" s="626"/>
      <c r="F996" s="626"/>
    </row>
    <row r="997" spans="1:6">
      <c r="A997" t="str">
        <f t="shared" si="15"/>
        <v/>
      </c>
      <c r="E997" s="626"/>
      <c r="F997" s="626"/>
    </row>
    <row r="998" spans="1:6">
      <c r="A998" t="str">
        <f t="shared" si="15"/>
        <v/>
      </c>
      <c r="E998" s="626"/>
      <c r="F998" s="626"/>
    </row>
    <row r="999" spans="1:6">
      <c r="A999" t="str">
        <f t="shared" si="15"/>
        <v/>
      </c>
      <c r="E999" s="626"/>
      <c r="F999" s="626"/>
    </row>
    <row r="1000" spans="1:6">
      <c r="A1000" t="str">
        <f t="shared" si="15"/>
        <v/>
      </c>
      <c r="E1000" s="626"/>
      <c r="F1000" s="626"/>
    </row>
    <row r="1001" spans="1:6">
      <c r="A1001" t="str">
        <f t="shared" si="15"/>
        <v/>
      </c>
      <c r="E1001" s="626"/>
      <c r="F1001" s="626"/>
    </row>
    <row r="1002" spans="1:6">
      <c r="A1002" t="str">
        <f t="shared" si="15"/>
        <v/>
      </c>
      <c r="E1002" s="626"/>
      <c r="F1002" s="626"/>
    </row>
    <row r="1003" spans="1:6">
      <c r="A1003" t="str">
        <f t="shared" si="15"/>
        <v/>
      </c>
      <c r="E1003" s="626"/>
      <c r="F1003" s="626"/>
    </row>
    <row r="1004" spans="1:6">
      <c r="A1004" t="str">
        <f t="shared" si="15"/>
        <v/>
      </c>
      <c r="E1004" s="626"/>
      <c r="F1004" s="626"/>
    </row>
    <row r="1005" spans="1:6">
      <c r="A1005" t="str">
        <f t="shared" si="15"/>
        <v/>
      </c>
      <c r="E1005" s="626"/>
      <c r="F1005" s="626"/>
    </row>
    <row r="1006" spans="1:6">
      <c r="A1006" t="str">
        <f t="shared" si="15"/>
        <v/>
      </c>
      <c r="E1006" s="626"/>
      <c r="F1006" s="626"/>
    </row>
    <row r="1007" spans="1:6">
      <c r="A1007" t="str">
        <f t="shared" si="15"/>
        <v/>
      </c>
      <c r="E1007" s="626"/>
      <c r="F1007" s="626"/>
    </row>
    <row r="1008" spans="1:6">
      <c r="A1008" t="str">
        <f t="shared" si="15"/>
        <v/>
      </c>
      <c r="E1008" s="626"/>
      <c r="F1008" s="626"/>
    </row>
    <row r="1009" spans="1:6">
      <c r="A1009" t="str">
        <f t="shared" si="15"/>
        <v/>
      </c>
      <c r="E1009" s="626"/>
      <c r="F1009" s="626"/>
    </row>
    <row r="1010" spans="1:6">
      <c r="A1010" t="str">
        <f t="shared" si="15"/>
        <v/>
      </c>
      <c r="E1010" s="626"/>
      <c r="F1010" s="626"/>
    </row>
    <row r="1011" spans="1:6">
      <c r="A1011" t="str">
        <f t="shared" si="15"/>
        <v/>
      </c>
      <c r="E1011" s="626"/>
      <c r="F1011" s="626"/>
    </row>
    <row r="1012" spans="1:6">
      <c r="A1012" t="str">
        <f t="shared" si="15"/>
        <v/>
      </c>
      <c r="E1012" s="626"/>
      <c r="F1012" s="626"/>
    </row>
    <row r="1013" spans="1:6">
      <c r="A1013" t="str">
        <f t="shared" si="15"/>
        <v/>
      </c>
      <c r="E1013" s="626"/>
      <c r="F1013" s="626"/>
    </row>
    <row r="1014" spans="1:6">
      <c r="A1014" t="str">
        <f t="shared" si="15"/>
        <v/>
      </c>
      <c r="E1014" s="626"/>
      <c r="F1014" s="626"/>
    </row>
    <row r="1015" spans="1:6">
      <c r="A1015" t="str">
        <f t="shared" si="15"/>
        <v/>
      </c>
      <c r="E1015" s="626"/>
      <c r="F1015" s="626"/>
    </row>
    <row r="1016" spans="1:6">
      <c r="A1016" t="str">
        <f t="shared" si="15"/>
        <v/>
      </c>
      <c r="E1016" s="626"/>
      <c r="F1016" s="626"/>
    </row>
    <row r="1017" spans="1:6">
      <c r="A1017" t="str">
        <f t="shared" si="15"/>
        <v/>
      </c>
      <c r="E1017" s="626"/>
      <c r="F1017" s="626"/>
    </row>
    <row r="1018" spans="1:6">
      <c r="A1018" t="str">
        <f t="shared" si="15"/>
        <v/>
      </c>
      <c r="E1018" s="626"/>
      <c r="F1018" s="626"/>
    </row>
    <row r="1019" spans="1:6">
      <c r="A1019" t="str">
        <f t="shared" si="15"/>
        <v/>
      </c>
      <c r="E1019" s="626"/>
      <c r="F1019" s="626"/>
    </row>
    <row r="1020" spans="1:6">
      <c r="A1020" t="str">
        <f t="shared" si="15"/>
        <v/>
      </c>
      <c r="E1020" s="626"/>
      <c r="F1020" s="626"/>
    </row>
    <row r="1021" spans="1:6">
      <c r="A1021" t="str">
        <f t="shared" si="15"/>
        <v/>
      </c>
      <c r="E1021" s="626"/>
      <c r="F1021" s="626"/>
    </row>
    <row r="1022" spans="1:6">
      <c r="A1022" t="str">
        <f t="shared" si="15"/>
        <v/>
      </c>
      <c r="E1022" s="626"/>
      <c r="F1022" s="626"/>
    </row>
    <row r="1023" spans="1:6">
      <c r="A1023" t="str">
        <f t="shared" si="15"/>
        <v/>
      </c>
      <c r="E1023" s="626"/>
      <c r="F1023" s="626"/>
    </row>
    <row r="1024" spans="1:6">
      <c r="A1024" t="str">
        <f t="shared" si="15"/>
        <v/>
      </c>
      <c r="E1024" s="626"/>
      <c r="F1024" s="626"/>
    </row>
    <row r="1025" spans="1:6">
      <c r="A1025" t="str">
        <f t="shared" si="15"/>
        <v/>
      </c>
      <c r="E1025" s="626"/>
      <c r="F1025" s="626"/>
    </row>
    <row r="1026" spans="1:6">
      <c r="A1026" t="str">
        <f t="shared" ref="A1026:A1089" si="16">B1026&amp;E1026&amp;J1026</f>
        <v/>
      </c>
      <c r="E1026" s="626"/>
      <c r="F1026" s="626"/>
    </row>
    <row r="1027" spans="1:6">
      <c r="A1027" t="str">
        <f t="shared" si="16"/>
        <v/>
      </c>
      <c r="E1027" s="626"/>
      <c r="F1027" s="626"/>
    </row>
    <row r="1028" spans="1:6">
      <c r="A1028" t="str">
        <f t="shared" si="16"/>
        <v/>
      </c>
      <c r="E1028" s="626"/>
      <c r="F1028" s="626"/>
    </row>
    <row r="1029" spans="1:6">
      <c r="A1029" t="str">
        <f t="shared" si="16"/>
        <v/>
      </c>
      <c r="E1029" s="626"/>
      <c r="F1029" s="626"/>
    </row>
    <row r="1030" spans="1:6">
      <c r="A1030" t="str">
        <f t="shared" si="16"/>
        <v/>
      </c>
      <c r="E1030" s="626"/>
      <c r="F1030" s="626"/>
    </row>
    <row r="1031" spans="1:6">
      <c r="A1031" t="str">
        <f t="shared" si="16"/>
        <v/>
      </c>
      <c r="E1031" s="626"/>
      <c r="F1031" s="626"/>
    </row>
    <row r="1032" spans="1:6">
      <c r="A1032" t="str">
        <f t="shared" si="16"/>
        <v/>
      </c>
      <c r="E1032" s="626"/>
      <c r="F1032" s="626"/>
    </row>
    <row r="1033" spans="1:6">
      <c r="A1033" t="str">
        <f t="shared" si="16"/>
        <v/>
      </c>
      <c r="E1033" s="626"/>
      <c r="F1033" s="626"/>
    </row>
    <row r="1034" spans="1:6">
      <c r="A1034" t="str">
        <f t="shared" si="16"/>
        <v/>
      </c>
      <c r="E1034" s="626"/>
      <c r="F1034" s="626"/>
    </row>
    <row r="1035" spans="1:6">
      <c r="A1035" t="str">
        <f t="shared" si="16"/>
        <v/>
      </c>
      <c r="E1035" s="626"/>
      <c r="F1035" s="626"/>
    </row>
    <row r="1036" spans="1:6">
      <c r="A1036" t="str">
        <f t="shared" si="16"/>
        <v/>
      </c>
      <c r="E1036" s="626"/>
      <c r="F1036" s="626"/>
    </row>
    <row r="1037" spans="1:6">
      <c r="A1037" t="str">
        <f t="shared" si="16"/>
        <v/>
      </c>
      <c r="E1037" s="626"/>
      <c r="F1037" s="626"/>
    </row>
    <row r="1038" spans="1:6">
      <c r="A1038" t="str">
        <f t="shared" si="16"/>
        <v/>
      </c>
      <c r="E1038" s="626"/>
      <c r="F1038" s="626"/>
    </row>
    <row r="1039" spans="1:6">
      <c r="A1039" t="str">
        <f t="shared" si="16"/>
        <v/>
      </c>
      <c r="E1039" s="626"/>
      <c r="F1039" s="626"/>
    </row>
    <row r="1040" spans="1:6">
      <c r="A1040" t="str">
        <f t="shared" si="16"/>
        <v/>
      </c>
      <c r="E1040" s="626"/>
      <c r="F1040" s="626"/>
    </row>
    <row r="1041" spans="1:6">
      <c r="A1041" t="str">
        <f t="shared" si="16"/>
        <v/>
      </c>
      <c r="E1041" s="626"/>
      <c r="F1041" s="626"/>
    </row>
    <row r="1042" spans="1:6">
      <c r="A1042" t="str">
        <f t="shared" si="16"/>
        <v/>
      </c>
      <c r="E1042" s="626"/>
      <c r="F1042" s="626"/>
    </row>
    <row r="1043" spans="1:6">
      <c r="A1043" t="str">
        <f t="shared" si="16"/>
        <v/>
      </c>
      <c r="E1043" s="626"/>
      <c r="F1043" s="626"/>
    </row>
    <row r="1044" spans="1:6">
      <c r="A1044" t="str">
        <f t="shared" si="16"/>
        <v/>
      </c>
      <c r="E1044" s="626"/>
      <c r="F1044" s="626"/>
    </row>
    <row r="1045" spans="1:6">
      <c r="A1045" t="str">
        <f t="shared" si="16"/>
        <v/>
      </c>
      <c r="E1045" s="626"/>
      <c r="F1045" s="626"/>
    </row>
    <row r="1046" spans="1:6">
      <c r="A1046" t="str">
        <f t="shared" si="16"/>
        <v/>
      </c>
      <c r="E1046" s="626"/>
      <c r="F1046" s="626"/>
    </row>
    <row r="1047" spans="1:6">
      <c r="A1047" t="str">
        <f t="shared" si="16"/>
        <v/>
      </c>
      <c r="E1047" s="626"/>
      <c r="F1047" s="626"/>
    </row>
    <row r="1048" spans="1:6">
      <c r="A1048" t="str">
        <f t="shared" si="16"/>
        <v/>
      </c>
      <c r="E1048" s="626"/>
      <c r="F1048" s="626"/>
    </row>
    <row r="1049" spans="1:6">
      <c r="A1049" t="str">
        <f t="shared" si="16"/>
        <v/>
      </c>
      <c r="E1049" s="626"/>
      <c r="F1049" s="626"/>
    </row>
    <row r="1050" spans="1:6">
      <c r="A1050" t="str">
        <f t="shared" si="16"/>
        <v/>
      </c>
      <c r="E1050" s="626"/>
      <c r="F1050" s="626"/>
    </row>
    <row r="1051" spans="1:6">
      <c r="A1051" t="str">
        <f t="shared" si="16"/>
        <v/>
      </c>
      <c r="E1051" s="626"/>
      <c r="F1051" s="626"/>
    </row>
    <row r="1052" spans="1:6">
      <c r="A1052" t="str">
        <f t="shared" si="16"/>
        <v/>
      </c>
      <c r="E1052" s="626"/>
      <c r="F1052" s="626"/>
    </row>
    <row r="1053" spans="1:6">
      <c r="A1053" t="str">
        <f t="shared" si="16"/>
        <v/>
      </c>
      <c r="E1053" s="626"/>
      <c r="F1053" s="626"/>
    </row>
    <row r="1054" spans="1:6">
      <c r="A1054" t="str">
        <f t="shared" si="16"/>
        <v/>
      </c>
      <c r="E1054" s="626"/>
      <c r="F1054" s="626"/>
    </row>
    <row r="1055" spans="1:6">
      <c r="A1055" t="str">
        <f t="shared" si="16"/>
        <v/>
      </c>
      <c r="E1055" s="626"/>
      <c r="F1055" s="626"/>
    </row>
    <row r="1056" spans="1:6">
      <c r="A1056" t="str">
        <f t="shared" si="16"/>
        <v/>
      </c>
      <c r="E1056" s="626"/>
      <c r="F1056" s="626"/>
    </row>
    <row r="1057" spans="1:6">
      <c r="A1057" t="str">
        <f t="shared" si="16"/>
        <v/>
      </c>
      <c r="E1057" s="626"/>
      <c r="F1057" s="626"/>
    </row>
    <row r="1058" spans="1:6">
      <c r="A1058" t="str">
        <f t="shared" si="16"/>
        <v/>
      </c>
      <c r="E1058" s="626"/>
      <c r="F1058" s="626"/>
    </row>
    <row r="1059" spans="1:6">
      <c r="A1059" t="str">
        <f t="shared" si="16"/>
        <v/>
      </c>
      <c r="E1059" s="626"/>
      <c r="F1059" s="626"/>
    </row>
    <row r="1060" spans="1:6">
      <c r="A1060" t="str">
        <f t="shared" si="16"/>
        <v/>
      </c>
      <c r="E1060" s="626"/>
      <c r="F1060" s="626"/>
    </row>
    <row r="1061" spans="1:6">
      <c r="A1061" t="str">
        <f t="shared" si="16"/>
        <v/>
      </c>
      <c r="E1061" s="626"/>
      <c r="F1061" s="626"/>
    </row>
    <row r="1062" spans="1:6">
      <c r="A1062" t="str">
        <f t="shared" si="16"/>
        <v/>
      </c>
      <c r="E1062" s="626"/>
      <c r="F1062" s="626"/>
    </row>
    <row r="1063" spans="1:6">
      <c r="A1063" t="str">
        <f t="shared" si="16"/>
        <v/>
      </c>
      <c r="E1063" s="626"/>
      <c r="F1063" s="626"/>
    </row>
    <row r="1064" spans="1:6">
      <c r="A1064" t="str">
        <f t="shared" si="16"/>
        <v/>
      </c>
      <c r="E1064" s="626"/>
      <c r="F1064" s="626"/>
    </row>
    <row r="1065" spans="1:6">
      <c r="A1065" t="str">
        <f t="shared" si="16"/>
        <v/>
      </c>
      <c r="E1065" s="626"/>
      <c r="F1065" s="626"/>
    </row>
    <row r="1066" spans="1:6">
      <c r="A1066" t="str">
        <f t="shared" si="16"/>
        <v/>
      </c>
      <c r="E1066" s="626"/>
      <c r="F1066" s="626"/>
    </row>
    <row r="1067" spans="1:6">
      <c r="A1067" t="str">
        <f t="shared" si="16"/>
        <v/>
      </c>
      <c r="E1067" s="626"/>
      <c r="F1067" s="626"/>
    </row>
    <row r="1068" spans="1:6">
      <c r="A1068" t="str">
        <f t="shared" si="16"/>
        <v/>
      </c>
      <c r="E1068" s="626"/>
      <c r="F1068" s="626"/>
    </row>
    <row r="1069" spans="1:6">
      <c r="A1069" t="str">
        <f t="shared" si="16"/>
        <v/>
      </c>
      <c r="E1069" s="626"/>
      <c r="F1069" s="626"/>
    </row>
    <row r="1070" spans="1:6">
      <c r="A1070" t="str">
        <f t="shared" si="16"/>
        <v/>
      </c>
      <c r="E1070" s="626"/>
      <c r="F1070" s="626"/>
    </row>
    <row r="1071" spans="1:6">
      <c r="A1071" t="str">
        <f t="shared" si="16"/>
        <v/>
      </c>
      <c r="E1071" s="626"/>
      <c r="F1071" s="626"/>
    </row>
    <row r="1072" spans="1:6">
      <c r="A1072" t="str">
        <f t="shared" si="16"/>
        <v/>
      </c>
      <c r="E1072" s="626"/>
      <c r="F1072" s="626"/>
    </row>
    <row r="1073" spans="1:6">
      <c r="A1073" t="str">
        <f t="shared" si="16"/>
        <v/>
      </c>
      <c r="E1073" s="626"/>
      <c r="F1073" s="626"/>
    </row>
    <row r="1074" spans="1:6">
      <c r="A1074" t="str">
        <f t="shared" si="16"/>
        <v/>
      </c>
      <c r="E1074" s="626"/>
      <c r="F1074" s="626"/>
    </row>
    <row r="1075" spans="1:6">
      <c r="A1075" t="str">
        <f t="shared" si="16"/>
        <v/>
      </c>
      <c r="E1075" s="626"/>
      <c r="F1075" s="626"/>
    </row>
    <row r="1076" spans="1:6">
      <c r="A1076" t="str">
        <f t="shared" si="16"/>
        <v/>
      </c>
      <c r="E1076" s="626"/>
      <c r="F1076" s="626"/>
    </row>
    <row r="1077" spans="1:6">
      <c r="A1077" t="str">
        <f t="shared" si="16"/>
        <v/>
      </c>
      <c r="E1077" s="626"/>
      <c r="F1077" s="626"/>
    </row>
    <row r="1078" spans="1:6">
      <c r="A1078" t="str">
        <f t="shared" si="16"/>
        <v/>
      </c>
      <c r="E1078" s="626"/>
      <c r="F1078" s="626"/>
    </row>
    <row r="1079" spans="1:6">
      <c r="A1079" t="str">
        <f t="shared" si="16"/>
        <v/>
      </c>
      <c r="E1079" s="626"/>
      <c r="F1079" s="626"/>
    </row>
    <row r="1080" spans="1:6">
      <c r="A1080" t="str">
        <f t="shared" si="16"/>
        <v/>
      </c>
      <c r="E1080" s="626"/>
      <c r="F1080" s="626"/>
    </row>
    <row r="1081" spans="1:6">
      <c r="A1081" t="str">
        <f t="shared" si="16"/>
        <v/>
      </c>
      <c r="E1081" s="626"/>
      <c r="F1081" s="626"/>
    </row>
    <row r="1082" spans="1:6">
      <c r="A1082" t="str">
        <f t="shared" si="16"/>
        <v/>
      </c>
      <c r="E1082" s="626"/>
      <c r="F1082" s="626"/>
    </row>
    <row r="1083" spans="1:6">
      <c r="A1083" t="str">
        <f t="shared" si="16"/>
        <v/>
      </c>
      <c r="E1083" s="626"/>
      <c r="F1083" s="626"/>
    </row>
    <row r="1084" spans="1:6">
      <c r="A1084" t="str">
        <f t="shared" si="16"/>
        <v/>
      </c>
      <c r="E1084" s="626"/>
      <c r="F1084" s="626"/>
    </row>
    <row r="1085" spans="1:6">
      <c r="A1085" t="str">
        <f t="shared" si="16"/>
        <v/>
      </c>
      <c r="E1085" s="626"/>
      <c r="F1085" s="626"/>
    </row>
    <row r="1086" spans="1:6">
      <c r="A1086" t="str">
        <f t="shared" si="16"/>
        <v/>
      </c>
      <c r="E1086" s="626"/>
      <c r="F1086" s="626"/>
    </row>
    <row r="1087" spans="1:6">
      <c r="A1087" t="str">
        <f t="shared" si="16"/>
        <v/>
      </c>
      <c r="E1087" s="626"/>
      <c r="F1087" s="626"/>
    </row>
    <row r="1088" spans="1:6">
      <c r="A1088" t="str">
        <f t="shared" si="16"/>
        <v/>
      </c>
      <c r="E1088" s="626"/>
      <c r="F1088" s="626"/>
    </row>
    <row r="1089" spans="1:6">
      <c r="A1089" t="str">
        <f t="shared" si="16"/>
        <v/>
      </c>
      <c r="E1089" s="626"/>
      <c r="F1089" s="626"/>
    </row>
    <row r="1090" spans="1:6">
      <c r="A1090" t="str">
        <f t="shared" ref="A1090:A1153" si="17">B1090&amp;E1090&amp;J1090</f>
        <v/>
      </c>
      <c r="E1090" s="626"/>
      <c r="F1090" s="626"/>
    </row>
    <row r="1091" spans="1:6">
      <c r="A1091" t="str">
        <f t="shared" si="17"/>
        <v/>
      </c>
      <c r="E1091" s="626"/>
      <c r="F1091" s="626"/>
    </row>
    <row r="1092" spans="1:6">
      <c r="A1092" t="str">
        <f t="shared" si="17"/>
        <v/>
      </c>
      <c r="E1092" s="626"/>
      <c r="F1092" s="626"/>
    </row>
    <row r="1093" spans="1:6">
      <c r="A1093" t="str">
        <f t="shared" si="17"/>
        <v/>
      </c>
      <c r="E1093" s="626"/>
      <c r="F1093" s="626"/>
    </row>
    <row r="1094" spans="1:6">
      <c r="A1094" t="str">
        <f t="shared" si="17"/>
        <v/>
      </c>
      <c r="E1094" s="626"/>
      <c r="F1094" s="626"/>
    </row>
    <row r="1095" spans="1:6">
      <c r="A1095" t="str">
        <f t="shared" si="17"/>
        <v/>
      </c>
      <c r="E1095" s="626"/>
      <c r="F1095" s="626"/>
    </row>
    <row r="1096" spans="1:6">
      <c r="A1096" t="str">
        <f t="shared" si="17"/>
        <v/>
      </c>
      <c r="E1096" s="626"/>
      <c r="F1096" s="626"/>
    </row>
    <row r="1097" spans="1:6">
      <c r="A1097" t="str">
        <f t="shared" si="17"/>
        <v/>
      </c>
      <c r="E1097" s="626"/>
      <c r="F1097" s="626"/>
    </row>
    <row r="1098" spans="1:6">
      <c r="A1098" t="str">
        <f t="shared" si="17"/>
        <v/>
      </c>
      <c r="E1098" s="626"/>
      <c r="F1098" s="626"/>
    </row>
    <row r="1099" spans="1:6">
      <c r="A1099" t="str">
        <f t="shared" si="17"/>
        <v/>
      </c>
      <c r="E1099" s="626"/>
      <c r="F1099" s="626"/>
    </row>
    <row r="1100" spans="1:6">
      <c r="A1100" t="str">
        <f t="shared" si="17"/>
        <v/>
      </c>
      <c r="E1100" s="626"/>
      <c r="F1100" s="626"/>
    </row>
    <row r="1101" spans="1:6">
      <c r="A1101" t="str">
        <f t="shared" si="17"/>
        <v/>
      </c>
      <c r="E1101" s="626"/>
      <c r="F1101" s="626"/>
    </row>
    <row r="1102" spans="1:6">
      <c r="A1102" t="str">
        <f t="shared" si="17"/>
        <v/>
      </c>
      <c r="E1102" s="626"/>
      <c r="F1102" s="626"/>
    </row>
    <row r="1103" spans="1:6">
      <c r="A1103" t="str">
        <f t="shared" si="17"/>
        <v/>
      </c>
      <c r="E1103" s="626"/>
      <c r="F1103" s="626"/>
    </row>
    <row r="1104" spans="1:6">
      <c r="A1104" t="str">
        <f t="shared" si="17"/>
        <v/>
      </c>
      <c r="E1104" s="626"/>
      <c r="F1104" s="626"/>
    </row>
    <row r="1105" spans="1:6">
      <c r="A1105" t="str">
        <f t="shared" si="17"/>
        <v/>
      </c>
      <c r="E1105" s="626"/>
      <c r="F1105" s="626"/>
    </row>
    <row r="1106" spans="1:6">
      <c r="A1106" t="str">
        <f t="shared" si="17"/>
        <v/>
      </c>
      <c r="E1106" s="626"/>
      <c r="F1106" s="626"/>
    </row>
    <row r="1107" spans="1:6">
      <c r="A1107" t="str">
        <f t="shared" si="17"/>
        <v/>
      </c>
      <c r="E1107" s="626"/>
      <c r="F1107" s="626"/>
    </row>
    <row r="1108" spans="1:6">
      <c r="A1108" t="str">
        <f t="shared" si="17"/>
        <v/>
      </c>
      <c r="E1108" s="626"/>
      <c r="F1108" s="626"/>
    </row>
    <row r="1109" spans="1:6">
      <c r="A1109" t="str">
        <f t="shared" si="17"/>
        <v/>
      </c>
      <c r="E1109" s="626"/>
      <c r="F1109" s="626"/>
    </row>
    <row r="1110" spans="1:6">
      <c r="A1110" t="str">
        <f t="shared" si="17"/>
        <v/>
      </c>
      <c r="E1110" s="626"/>
      <c r="F1110" s="626"/>
    </row>
    <row r="1111" spans="1:6">
      <c r="A1111" t="str">
        <f t="shared" si="17"/>
        <v/>
      </c>
      <c r="E1111" s="626"/>
      <c r="F1111" s="626"/>
    </row>
    <row r="1112" spans="1:6">
      <c r="A1112" t="str">
        <f t="shared" si="17"/>
        <v/>
      </c>
      <c r="E1112" s="626"/>
      <c r="F1112" s="626"/>
    </row>
    <row r="1113" spans="1:6">
      <c r="A1113" t="str">
        <f t="shared" si="17"/>
        <v/>
      </c>
      <c r="E1113" s="626"/>
      <c r="F1113" s="626"/>
    </row>
    <row r="1114" spans="1:6">
      <c r="A1114" t="str">
        <f t="shared" si="17"/>
        <v/>
      </c>
      <c r="E1114" s="626"/>
      <c r="F1114" s="626"/>
    </row>
    <row r="1115" spans="1:6">
      <c r="A1115" t="str">
        <f t="shared" si="17"/>
        <v/>
      </c>
      <c r="E1115" s="626"/>
      <c r="F1115" s="626"/>
    </row>
    <row r="1116" spans="1:6">
      <c r="A1116" t="str">
        <f t="shared" si="17"/>
        <v/>
      </c>
      <c r="E1116" s="626"/>
      <c r="F1116" s="626"/>
    </row>
    <row r="1117" spans="1:6">
      <c r="A1117" t="str">
        <f t="shared" si="17"/>
        <v/>
      </c>
      <c r="E1117" s="626"/>
      <c r="F1117" s="626"/>
    </row>
    <row r="1118" spans="1:6">
      <c r="A1118" t="str">
        <f t="shared" si="17"/>
        <v/>
      </c>
      <c r="E1118" s="626"/>
      <c r="F1118" s="626"/>
    </row>
    <row r="1119" spans="1:6">
      <c r="A1119" t="str">
        <f t="shared" si="17"/>
        <v/>
      </c>
      <c r="E1119" s="626"/>
      <c r="F1119" s="626"/>
    </row>
    <row r="1120" spans="1:6">
      <c r="A1120" t="str">
        <f t="shared" si="17"/>
        <v/>
      </c>
      <c r="E1120" s="626"/>
      <c r="F1120" s="626"/>
    </row>
    <row r="1121" spans="1:6">
      <c r="A1121" t="str">
        <f t="shared" si="17"/>
        <v/>
      </c>
      <c r="E1121" s="626"/>
      <c r="F1121" s="626"/>
    </row>
    <row r="1122" spans="1:6">
      <c r="A1122" t="str">
        <f t="shared" si="17"/>
        <v/>
      </c>
      <c r="E1122" s="626"/>
      <c r="F1122" s="626"/>
    </row>
    <row r="1123" spans="1:6">
      <c r="A1123" t="str">
        <f t="shared" si="17"/>
        <v/>
      </c>
      <c r="E1123" s="626"/>
      <c r="F1123" s="626"/>
    </row>
    <row r="1124" spans="1:6">
      <c r="A1124" t="str">
        <f t="shared" si="17"/>
        <v/>
      </c>
      <c r="E1124" s="626"/>
      <c r="F1124" s="626"/>
    </row>
    <row r="1125" spans="1:6">
      <c r="A1125" t="str">
        <f t="shared" si="17"/>
        <v/>
      </c>
      <c r="E1125" s="626"/>
      <c r="F1125" s="626"/>
    </row>
    <row r="1126" spans="1:6">
      <c r="A1126" t="str">
        <f t="shared" si="17"/>
        <v/>
      </c>
      <c r="E1126" s="626"/>
      <c r="F1126" s="626"/>
    </row>
    <row r="1127" spans="1:6">
      <c r="A1127" t="str">
        <f t="shared" si="17"/>
        <v/>
      </c>
      <c r="E1127" s="626"/>
      <c r="F1127" s="626"/>
    </row>
    <row r="1128" spans="1:6">
      <c r="A1128" t="str">
        <f t="shared" si="17"/>
        <v/>
      </c>
      <c r="E1128" s="626"/>
      <c r="F1128" s="626"/>
    </row>
    <row r="1129" spans="1:6">
      <c r="A1129" t="str">
        <f t="shared" si="17"/>
        <v/>
      </c>
      <c r="E1129" s="626"/>
      <c r="F1129" s="626"/>
    </row>
    <row r="1130" spans="1:6">
      <c r="A1130" t="str">
        <f t="shared" si="17"/>
        <v/>
      </c>
      <c r="E1130" s="626"/>
      <c r="F1130" s="626"/>
    </row>
    <row r="1131" spans="1:6">
      <c r="A1131" t="str">
        <f t="shared" si="17"/>
        <v/>
      </c>
      <c r="E1131" s="626"/>
      <c r="F1131" s="626"/>
    </row>
    <row r="1132" spans="1:6">
      <c r="A1132" t="str">
        <f t="shared" si="17"/>
        <v/>
      </c>
      <c r="E1132" s="626"/>
      <c r="F1132" s="626"/>
    </row>
    <row r="1133" spans="1:6">
      <c r="A1133" t="str">
        <f t="shared" si="17"/>
        <v/>
      </c>
      <c r="E1133" s="626"/>
      <c r="F1133" s="626"/>
    </row>
    <row r="1134" spans="1:6">
      <c r="A1134" t="str">
        <f t="shared" si="17"/>
        <v/>
      </c>
      <c r="E1134" s="626"/>
      <c r="F1134" s="626"/>
    </row>
    <row r="1135" spans="1:6">
      <c r="A1135" t="str">
        <f t="shared" si="17"/>
        <v/>
      </c>
      <c r="E1135" s="626"/>
      <c r="F1135" s="626"/>
    </row>
    <row r="1136" spans="1:6">
      <c r="A1136" t="str">
        <f t="shared" si="17"/>
        <v/>
      </c>
      <c r="E1136" s="626"/>
      <c r="F1136" s="626"/>
    </row>
    <row r="1137" spans="1:6">
      <c r="A1137" t="str">
        <f t="shared" si="17"/>
        <v/>
      </c>
      <c r="E1137" s="626"/>
      <c r="F1137" s="626"/>
    </row>
    <row r="1138" spans="1:6">
      <c r="A1138" t="str">
        <f t="shared" si="17"/>
        <v/>
      </c>
      <c r="E1138" s="626"/>
      <c r="F1138" s="626"/>
    </row>
    <row r="1139" spans="1:6">
      <c r="A1139" t="str">
        <f t="shared" si="17"/>
        <v/>
      </c>
      <c r="E1139" s="626"/>
      <c r="F1139" s="626"/>
    </row>
    <row r="1140" spans="1:6">
      <c r="A1140" t="str">
        <f t="shared" si="17"/>
        <v/>
      </c>
      <c r="E1140" s="626"/>
      <c r="F1140" s="626"/>
    </row>
    <row r="1141" spans="1:6">
      <c r="A1141" t="str">
        <f t="shared" si="17"/>
        <v/>
      </c>
      <c r="E1141" s="626"/>
      <c r="F1141" s="626"/>
    </row>
    <row r="1142" spans="1:6">
      <c r="A1142" t="str">
        <f t="shared" si="17"/>
        <v/>
      </c>
      <c r="E1142" s="626"/>
      <c r="F1142" s="626"/>
    </row>
    <row r="1143" spans="1:6">
      <c r="A1143" t="str">
        <f t="shared" si="17"/>
        <v/>
      </c>
      <c r="E1143" s="626"/>
      <c r="F1143" s="626"/>
    </row>
    <row r="1144" spans="1:6">
      <c r="A1144" t="str">
        <f t="shared" si="17"/>
        <v/>
      </c>
      <c r="E1144" s="626"/>
      <c r="F1144" s="626"/>
    </row>
    <row r="1145" spans="1:6">
      <c r="A1145" t="str">
        <f t="shared" si="17"/>
        <v/>
      </c>
      <c r="E1145" s="626"/>
      <c r="F1145" s="626"/>
    </row>
    <row r="1146" spans="1:6">
      <c r="A1146" t="str">
        <f t="shared" si="17"/>
        <v/>
      </c>
      <c r="E1146" s="626"/>
      <c r="F1146" s="626"/>
    </row>
    <row r="1147" spans="1:6">
      <c r="A1147" t="str">
        <f t="shared" si="17"/>
        <v/>
      </c>
      <c r="E1147" s="626"/>
      <c r="F1147" s="626"/>
    </row>
    <row r="1148" spans="1:6">
      <c r="A1148" t="str">
        <f t="shared" si="17"/>
        <v/>
      </c>
      <c r="E1148" s="626"/>
      <c r="F1148" s="626"/>
    </row>
    <row r="1149" spans="1:6">
      <c r="A1149" t="str">
        <f t="shared" si="17"/>
        <v/>
      </c>
      <c r="E1149" s="626"/>
      <c r="F1149" s="626"/>
    </row>
    <row r="1150" spans="1:6">
      <c r="A1150" t="str">
        <f t="shared" si="17"/>
        <v/>
      </c>
      <c r="E1150" s="626"/>
      <c r="F1150" s="626"/>
    </row>
    <row r="1151" spans="1:6">
      <c r="A1151" t="str">
        <f t="shared" si="17"/>
        <v/>
      </c>
      <c r="E1151" s="626"/>
      <c r="F1151" s="626"/>
    </row>
    <row r="1152" spans="1:6">
      <c r="A1152" t="str">
        <f t="shared" si="17"/>
        <v/>
      </c>
      <c r="E1152" s="626"/>
      <c r="F1152" s="626"/>
    </row>
    <row r="1153" spans="1:6">
      <c r="A1153" t="str">
        <f t="shared" si="17"/>
        <v/>
      </c>
      <c r="E1153" s="626"/>
      <c r="F1153" s="626"/>
    </row>
    <row r="1154" spans="1:6">
      <c r="A1154" t="str">
        <f t="shared" ref="A1154:A1217" si="18">B1154&amp;E1154&amp;J1154</f>
        <v/>
      </c>
      <c r="E1154" s="626"/>
      <c r="F1154" s="626"/>
    </row>
    <row r="1155" spans="1:6">
      <c r="A1155" t="str">
        <f t="shared" si="18"/>
        <v/>
      </c>
      <c r="E1155" s="626"/>
      <c r="F1155" s="626"/>
    </row>
    <row r="1156" spans="1:6">
      <c r="A1156" t="str">
        <f t="shared" si="18"/>
        <v/>
      </c>
      <c r="E1156" s="626"/>
      <c r="F1156" s="626"/>
    </row>
    <row r="1157" spans="1:6">
      <c r="A1157" t="str">
        <f t="shared" si="18"/>
        <v/>
      </c>
      <c r="E1157" s="626"/>
      <c r="F1157" s="626"/>
    </row>
    <row r="1158" spans="1:6">
      <c r="A1158" t="str">
        <f t="shared" si="18"/>
        <v/>
      </c>
      <c r="E1158" s="626"/>
      <c r="F1158" s="626"/>
    </row>
    <row r="1159" spans="1:6">
      <c r="A1159" t="str">
        <f t="shared" si="18"/>
        <v/>
      </c>
      <c r="E1159" s="626"/>
      <c r="F1159" s="626"/>
    </row>
    <row r="1160" spans="1:6">
      <c r="A1160" t="str">
        <f t="shared" si="18"/>
        <v/>
      </c>
      <c r="E1160" s="626"/>
      <c r="F1160" s="626"/>
    </row>
    <row r="1161" spans="1:6">
      <c r="A1161" t="str">
        <f t="shared" si="18"/>
        <v/>
      </c>
      <c r="E1161" s="626"/>
      <c r="F1161" s="626"/>
    </row>
    <row r="1162" spans="1:6">
      <c r="A1162" t="str">
        <f t="shared" si="18"/>
        <v/>
      </c>
      <c r="E1162" s="626"/>
      <c r="F1162" s="626"/>
    </row>
    <row r="1163" spans="1:6">
      <c r="A1163" t="str">
        <f t="shared" si="18"/>
        <v/>
      </c>
      <c r="E1163" s="626"/>
      <c r="F1163" s="626"/>
    </row>
    <row r="1164" spans="1:6">
      <c r="A1164" t="str">
        <f t="shared" si="18"/>
        <v/>
      </c>
      <c r="E1164" s="626"/>
      <c r="F1164" s="626"/>
    </row>
    <row r="1165" spans="1:6">
      <c r="A1165" t="str">
        <f t="shared" si="18"/>
        <v/>
      </c>
      <c r="E1165" s="626"/>
      <c r="F1165" s="626"/>
    </row>
    <row r="1166" spans="1:6">
      <c r="A1166" t="str">
        <f t="shared" si="18"/>
        <v/>
      </c>
      <c r="E1166" s="626"/>
      <c r="F1166" s="626"/>
    </row>
    <row r="1167" spans="1:6">
      <c r="A1167" t="str">
        <f t="shared" si="18"/>
        <v/>
      </c>
      <c r="E1167" s="626"/>
      <c r="F1167" s="626"/>
    </row>
    <row r="1168" spans="1:6">
      <c r="A1168" t="str">
        <f t="shared" si="18"/>
        <v/>
      </c>
      <c r="E1168" s="626"/>
      <c r="F1168" s="626"/>
    </row>
    <row r="1169" spans="1:6">
      <c r="A1169" t="str">
        <f t="shared" si="18"/>
        <v/>
      </c>
      <c r="E1169" s="626"/>
      <c r="F1169" s="626"/>
    </row>
    <row r="1170" spans="1:6">
      <c r="A1170" t="str">
        <f t="shared" si="18"/>
        <v/>
      </c>
      <c r="E1170" s="626"/>
      <c r="F1170" s="626"/>
    </row>
    <row r="1171" spans="1:6">
      <c r="A1171" t="str">
        <f t="shared" si="18"/>
        <v/>
      </c>
      <c r="E1171" s="626"/>
      <c r="F1171" s="626"/>
    </row>
    <row r="1172" spans="1:6">
      <c r="A1172" t="str">
        <f t="shared" si="18"/>
        <v/>
      </c>
      <c r="E1172" s="626"/>
      <c r="F1172" s="626"/>
    </row>
    <row r="1173" spans="1:6">
      <c r="A1173" t="str">
        <f t="shared" si="18"/>
        <v/>
      </c>
      <c r="E1173" s="626"/>
      <c r="F1173" s="626"/>
    </row>
    <row r="1174" spans="1:6">
      <c r="A1174" t="str">
        <f t="shared" si="18"/>
        <v/>
      </c>
      <c r="E1174" s="626"/>
      <c r="F1174" s="626"/>
    </row>
    <row r="1175" spans="1:6">
      <c r="A1175" t="str">
        <f t="shared" si="18"/>
        <v/>
      </c>
      <c r="E1175" s="626"/>
      <c r="F1175" s="626"/>
    </row>
    <row r="1176" spans="1:6">
      <c r="A1176" t="str">
        <f t="shared" si="18"/>
        <v/>
      </c>
      <c r="E1176" s="626"/>
      <c r="F1176" s="626"/>
    </row>
    <row r="1177" spans="1:6">
      <c r="A1177" t="str">
        <f t="shared" si="18"/>
        <v/>
      </c>
      <c r="E1177" s="626"/>
      <c r="F1177" s="626"/>
    </row>
    <row r="1178" spans="1:6">
      <c r="A1178" t="str">
        <f t="shared" si="18"/>
        <v/>
      </c>
      <c r="E1178" s="626"/>
      <c r="F1178" s="626"/>
    </row>
    <row r="1179" spans="1:6">
      <c r="A1179" t="str">
        <f t="shared" si="18"/>
        <v/>
      </c>
      <c r="E1179" s="626"/>
      <c r="F1179" s="626"/>
    </row>
    <row r="1180" spans="1:6">
      <c r="A1180" t="str">
        <f t="shared" si="18"/>
        <v/>
      </c>
      <c r="E1180" s="626"/>
      <c r="F1180" s="626"/>
    </row>
    <row r="1181" spans="1:6">
      <c r="A1181" t="str">
        <f t="shared" si="18"/>
        <v/>
      </c>
      <c r="E1181" s="626"/>
      <c r="F1181" s="626"/>
    </row>
    <row r="1182" spans="1:6">
      <c r="A1182" t="str">
        <f t="shared" si="18"/>
        <v/>
      </c>
      <c r="E1182" s="626"/>
      <c r="F1182" s="626"/>
    </row>
    <row r="1183" spans="1:6">
      <c r="A1183" t="str">
        <f t="shared" si="18"/>
        <v/>
      </c>
      <c r="E1183" s="626"/>
      <c r="F1183" s="626"/>
    </row>
    <row r="1184" spans="1:6">
      <c r="A1184" t="str">
        <f t="shared" si="18"/>
        <v/>
      </c>
      <c r="E1184" s="626"/>
      <c r="F1184" s="626"/>
    </row>
    <row r="1185" spans="1:6">
      <c r="A1185" t="str">
        <f t="shared" si="18"/>
        <v/>
      </c>
      <c r="E1185" s="626"/>
      <c r="F1185" s="626"/>
    </row>
    <row r="1186" spans="1:6">
      <c r="A1186" t="str">
        <f t="shared" si="18"/>
        <v/>
      </c>
      <c r="E1186" s="626"/>
      <c r="F1186" s="626"/>
    </row>
    <row r="1187" spans="1:6">
      <c r="A1187" t="str">
        <f t="shared" si="18"/>
        <v/>
      </c>
      <c r="E1187" s="626"/>
      <c r="F1187" s="626"/>
    </row>
    <row r="1188" spans="1:6">
      <c r="A1188" t="str">
        <f t="shared" si="18"/>
        <v/>
      </c>
      <c r="E1188" s="626"/>
      <c r="F1188" s="626"/>
    </row>
    <row r="1189" spans="1:6">
      <c r="A1189" t="str">
        <f t="shared" si="18"/>
        <v/>
      </c>
      <c r="E1189" s="626"/>
      <c r="F1189" s="626"/>
    </row>
    <row r="1190" spans="1:6">
      <c r="A1190" t="str">
        <f t="shared" si="18"/>
        <v/>
      </c>
      <c r="E1190" s="626"/>
      <c r="F1190" s="626"/>
    </row>
    <row r="1191" spans="1:6">
      <c r="A1191" t="str">
        <f t="shared" si="18"/>
        <v/>
      </c>
      <c r="E1191" s="626"/>
      <c r="F1191" s="626"/>
    </row>
    <row r="1192" spans="1:6">
      <c r="A1192" t="str">
        <f t="shared" si="18"/>
        <v/>
      </c>
      <c r="E1192" s="626"/>
      <c r="F1192" s="626"/>
    </row>
    <row r="1193" spans="1:6">
      <c r="A1193" t="str">
        <f t="shared" si="18"/>
        <v/>
      </c>
      <c r="E1193" s="626"/>
      <c r="F1193" s="626"/>
    </row>
    <row r="1194" spans="1:6">
      <c r="A1194" t="str">
        <f t="shared" si="18"/>
        <v/>
      </c>
      <c r="E1194" s="626"/>
      <c r="F1194" s="626"/>
    </row>
    <row r="1195" spans="1:6">
      <c r="A1195" t="str">
        <f t="shared" si="18"/>
        <v/>
      </c>
      <c r="E1195" s="626"/>
      <c r="F1195" s="626"/>
    </row>
    <row r="1196" spans="1:6">
      <c r="A1196" t="str">
        <f t="shared" si="18"/>
        <v/>
      </c>
      <c r="E1196" s="626"/>
      <c r="F1196" s="626"/>
    </row>
    <row r="1197" spans="1:6">
      <c r="A1197" t="str">
        <f t="shared" si="18"/>
        <v/>
      </c>
      <c r="E1197" s="626"/>
      <c r="F1197" s="626"/>
    </row>
    <row r="1198" spans="1:6">
      <c r="A1198" t="str">
        <f t="shared" si="18"/>
        <v/>
      </c>
      <c r="E1198" s="626"/>
      <c r="F1198" s="626"/>
    </row>
    <row r="1199" spans="1:6">
      <c r="A1199" t="str">
        <f t="shared" si="18"/>
        <v/>
      </c>
      <c r="E1199" s="626"/>
      <c r="F1199" s="626"/>
    </row>
    <row r="1200" spans="1:6">
      <c r="A1200" t="str">
        <f t="shared" si="18"/>
        <v/>
      </c>
      <c r="E1200" s="626"/>
      <c r="F1200" s="626"/>
    </row>
    <row r="1201" spans="1:6">
      <c r="A1201" t="str">
        <f t="shared" si="18"/>
        <v/>
      </c>
      <c r="E1201" s="626"/>
      <c r="F1201" s="626"/>
    </row>
    <row r="1202" spans="1:6">
      <c r="A1202" t="str">
        <f t="shared" si="18"/>
        <v/>
      </c>
      <c r="E1202" s="626"/>
      <c r="F1202" s="626"/>
    </row>
    <row r="1203" spans="1:6">
      <c r="A1203" t="str">
        <f t="shared" si="18"/>
        <v/>
      </c>
      <c r="E1203" s="626"/>
      <c r="F1203" s="626"/>
    </row>
    <row r="1204" spans="1:6">
      <c r="A1204" t="str">
        <f t="shared" si="18"/>
        <v/>
      </c>
      <c r="E1204" s="626"/>
      <c r="F1204" s="626"/>
    </row>
    <row r="1205" spans="1:6">
      <c r="A1205" t="str">
        <f t="shared" si="18"/>
        <v/>
      </c>
      <c r="E1205" s="626"/>
      <c r="F1205" s="626"/>
    </row>
    <row r="1206" spans="1:6">
      <c r="A1206" t="str">
        <f t="shared" si="18"/>
        <v/>
      </c>
      <c r="E1206" s="626"/>
      <c r="F1206" s="626"/>
    </row>
    <row r="1207" spans="1:6">
      <c r="A1207" t="str">
        <f t="shared" si="18"/>
        <v/>
      </c>
      <c r="E1207" s="626"/>
      <c r="F1207" s="626"/>
    </row>
    <row r="1208" spans="1:6">
      <c r="A1208" t="str">
        <f t="shared" si="18"/>
        <v/>
      </c>
      <c r="E1208" s="626"/>
      <c r="F1208" s="626"/>
    </row>
    <row r="1209" spans="1:6">
      <c r="A1209" t="str">
        <f t="shared" si="18"/>
        <v/>
      </c>
      <c r="E1209" s="626"/>
      <c r="F1209" s="626"/>
    </row>
    <row r="1210" spans="1:6">
      <c r="A1210" t="str">
        <f t="shared" si="18"/>
        <v/>
      </c>
      <c r="E1210" s="626"/>
      <c r="F1210" s="626"/>
    </row>
    <row r="1211" spans="1:6">
      <c r="A1211" t="str">
        <f t="shared" si="18"/>
        <v/>
      </c>
      <c r="E1211" s="626"/>
      <c r="F1211" s="626"/>
    </row>
    <row r="1212" spans="1:6">
      <c r="A1212" t="str">
        <f t="shared" si="18"/>
        <v/>
      </c>
      <c r="E1212" s="626"/>
      <c r="F1212" s="626"/>
    </row>
    <row r="1213" spans="1:6">
      <c r="A1213" t="str">
        <f t="shared" si="18"/>
        <v/>
      </c>
      <c r="E1213" s="626"/>
      <c r="F1213" s="626"/>
    </row>
    <row r="1214" spans="1:6">
      <c r="A1214" t="str">
        <f t="shared" si="18"/>
        <v/>
      </c>
      <c r="E1214" s="626"/>
      <c r="F1214" s="626"/>
    </row>
    <row r="1215" spans="1:6">
      <c r="A1215" t="str">
        <f t="shared" si="18"/>
        <v/>
      </c>
      <c r="E1215" s="626"/>
      <c r="F1215" s="626"/>
    </row>
    <row r="1216" spans="1:6">
      <c r="A1216" t="str">
        <f t="shared" si="18"/>
        <v/>
      </c>
      <c r="E1216" s="626"/>
      <c r="F1216" s="626"/>
    </row>
    <row r="1217" spans="1:6">
      <c r="A1217" t="str">
        <f t="shared" si="18"/>
        <v/>
      </c>
      <c r="E1217" s="626"/>
      <c r="F1217" s="626"/>
    </row>
    <row r="1218" spans="1:6">
      <c r="A1218" t="str">
        <f t="shared" ref="A1218:A1281" si="19">B1218&amp;E1218&amp;J1218</f>
        <v/>
      </c>
      <c r="E1218" s="626"/>
      <c r="F1218" s="626"/>
    </row>
    <row r="1219" spans="1:6">
      <c r="A1219" t="str">
        <f t="shared" si="19"/>
        <v/>
      </c>
      <c r="E1219" s="626"/>
      <c r="F1219" s="626"/>
    </row>
    <row r="1220" spans="1:6">
      <c r="A1220" t="str">
        <f t="shared" si="19"/>
        <v/>
      </c>
      <c r="E1220" s="626"/>
      <c r="F1220" s="626"/>
    </row>
    <row r="1221" spans="1:6">
      <c r="A1221" t="str">
        <f t="shared" si="19"/>
        <v/>
      </c>
      <c r="E1221" s="626"/>
      <c r="F1221" s="626"/>
    </row>
    <row r="1222" spans="1:6">
      <c r="A1222" t="str">
        <f t="shared" si="19"/>
        <v/>
      </c>
      <c r="E1222" s="626"/>
      <c r="F1222" s="626"/>
    </row>
    <row r="1223" spans="1:6">
      <c r="A1223" t="str">
        <f t="shared" si="19"/>
        <v/>
      </c>
      <c r="E1223" s="626"/>
      <c r="F1223" s="626"/>
    </row>
    <row r="1224" spans="1:6">
      <c r="A1224" t="str">
        <f t="shared" si="19"/>
        <v/>
      </c>
      <c r="E1224" s="626"/>
      <c r="F1224" s="626"/>
    </row>
    <row r="1225" spans="1:6">
      <c r="A1225" t="str">
        <f t="shared" si="19"/>
        <v/>
      </c>
      <c r="E1225" s="626"/>
      <c r="F1225" s="626"/>
    </row>
    <row r="1226" spans="1:6">
      <c r="A1226" t="str">
        <f t="shared" si="19"/>
        <v/>
      </c>
      <c r="E1226" s="626"/>
      <c r="F1226" s="626"/>
    </row>
    <row r="1227" spans="1:6">
      <c r="A1227" t="str">
        <f t="shared" si="19"/>
        <v/>
      </c>
      <c r="E1227" s="626"/>
      <c r="F1227" s="626"/>
    </row>
    <row r="1228" spans="1:6">
      <c r="A1228" t="str">
        <f t="shared" si="19"/>
        <v/>
      </c>
      <c r="E1228" s="626"/>
      <c r="F1228" s="626"/>
    </row>
    <row r="1229" spans="1:6">
      <c r="A1229" t="str">
        <f t="shared" si="19"/>
        <v/>
      </c>
      <c r="E1229" s="626"/>
      <c r="F1229" s="626"/>
    </row>
    <row r="1230" spans="1:6">
      <c r="A1230" t="str">
        <f t="shared" si="19"/>
        <v/>
      </c>
      <c r="E1230" s="626"/>
      <c r="F1230" s="626"/>
    </row>
    <row r="1231" spans="1:6">
      <c r="A1231" t="str">
        <f t="shared" si="19"/>
        <v/>
      </c>
      <c r="E1231" s="626"/>
      <c r="F1231" s="626"/>
    </row>
    <row r="1232" spans="1:6">
      <c r="A1232" t="str">
        <f t="shared" si="19"/>
        <v/>
      </c>
      <c r="E1232" s="626"/>
      <c r="F1232" s="626"/>
    </row>
    <row r="1233" spans="1:6">
      <c r="A1233" t="str">
        <f t="shared" si="19"/>
        <v/>
      </c>
      <c r="E1233" s="626"/>
      <c r="F1233" s="626"/>
    </row>
    <row r="1234" spans="1:6">
      <c r="A1234" t="str">
        <f t="shared" si="19"/>
        <v/>
      </c>
      <c r="E1234" s="626"/>
      <c r="F1234" s="626"/>
    </row>
    <row r="1235" spans="1:6">
      <c r="A1235" t="str">
        <f t="shared" si="19"/>
        <v/>
      </c>
      <c r="E1235" s="626"/>
      <c r="F1235" s="626"/>
    </row>
    <row r="1236" spans="1:6">
      <c r="A1236" t="str">
        <f t="shared" si="19"/>
        <v/>
      </c>
      <c r="E1236" s="626"/>
      <c r="F1236" s="626"/>
    </row>
    <row r="1237" spans="1:6">
      <c r="A1237" t="str">
        <f t="shared" si="19"/>
        <v/>
      </c>
      <c r="E1237" s="626"/>
      <c r="F1237" s="626"/>
    </row>
    <row r="1238" spans="1:6">
      <c r="A1238" t="str">
        <f t="shared" si="19"/>
        <v/>
      </c>
      <c r="E1238" s="626"/>
      <c r="F1238" s="626"/>
    </row>
    <row r="1239" spans="1:6">
      <c r="A1239" t="str">
        <f t="shared" si="19"/>
        <v/>
      </c>
      <c r="E1239" s="626"/>
      <c r="F1239" s="626"/>
    </row>
    <row r="1240" spans="1:6">
      <c r="A1240" t="str">
        <f t="shared" si="19"/>
        <v/>
      </c>
      <c r="E1240" s="626"/>
      <c r="F1240" s="626"/>
    </row>
    <row r="1241" spans="1:6">
      <c r="A1241" t="str">
        <f t="shared" si="19"/>
        <v/>
      </c>
      <c r="E1241" s="626"/>
      <c r="F1241" s="626"/>
    </row>
    <row r="1242" spans="1:6">
      <c r="A1242" t="str">
        <f t="shared" si="19"/>
        <v/>
      </c>
      <c r="E1242" s="626"/>
      <c r="F1242" s="626"/>
    </row>
    <row r="1243" spans="1:6">
      <c r="A1243" t="str">
        <f t="shared" si="19"/>
        <v/>
      </c>
      <c r="E1243" s="626"/>
      <c r="F1243" s="626"/>
    </row>
    <row r="1244" spans="1:6">
      <c r="A1244" t="str">
        <f t="shared" si="19"/>
        <v/>
      </c>
      <c r="E1244" s="626"/>
      <c r="F1244" s="626"/>
    </row>
    <row r="1245" spans="1:6">
      <c r="A1245" t="str">
        <f t="shared" si="19"/>
        <v/>
      </c>
      <c r="E1245" s="626"/>
      <c r="F1245" s="626"/>
    </row>
    <row r="1246" spans="1:6">
      <c r="A1246" t="str">
        <f t="shared" si="19"/>
        <v/>
      </c>
      <c r="E1246" s="626"/>
      <c r="F1246" s="626"/>
    </row>
    <row r="1247" spans="1:6">
      <c r="A1247" t="str">
        <f t="shared" si="19"/>
        <v/>
      </c>
      <c r="E1247" s="626"/>
      <c r="F1247" s="626"/>
    </row>
    <row r="1248" spans="1:6">
      <c r="A1248" t="str">
        <f t="shared" si="19"/>
        <v/>
      </c>
      <c r="E1248" s="626"/>
      <c r="F1248" s="626"/>
    </row>
    <row r="1249" spans="1:6">
      <c r="A1249" t="str">
        <f t="shared" si="19"/>
        <v/>
      </c>
      <c r="E1249" s="626"/>
      <c r="F1249" s="626"/>
    </row>
    <row r="1250" spans="1:6">
      <c r="A1250" t="str">
        <f t="shared" si="19"/>
        <v/>
      </c>
      <c r="E1250" s="626"/>
      <c r="F1250" s="626"/>
    </row>
    <row r="1251" spans="1:6">
      <c r="A1251" t="str">
        <f t="shared" si="19"/>
        <v/>
      </c>
      <c r="E1251" s="626"/>
      <c r="F1251" s="626"/>
    </row>
    <row r="1252" spans="1:6">
      <c r="A1252" t="str">
        <f t="shared" si="19"/>
        <v/>
      </c>
      <c r="E1252" s="626"/>
      <c r="F1252" s="626"/>
    </row>
    <row r="1253" spans="1:6">
      <c r="A1253" t="str">
        <f t="shared" si="19"/>
        <v/>
      </c>
      <c r="E1253" s="626"/>
      <c r="F1253" s="626"/>
    </row>
    <row r="1254" spans="1:6">
      <c r="A1254" t="str">
        <f t="shared" si="19"/>
        <v/>
      </c>
      <c r="E1254" s="626"/>
      <c r="F1254" s="626"/>
    </row>
    <row r="1255" spans="1:6">
      <c r="A1255" t="str">
        <f t="shared" si="19"/>
        <v/>
      </c>
      <c r="E1255" s="626"/>
      <c r="F1255" s="626"/>
    </row>
    <row r="1256" spans="1:6">
      <c r="A1256" t="str">
        <f t="shared" si="19"/>
        <v/>
      </c>
      <c r="E1256" s="626"/>
      <c r="F1256" s="626"/>
    </row>
    <row r="1257" spans="1:6">
      <c r="A1257" t="str">
        <f t="shared" si="19"/>
        <v/>
      </c>
      <c r="E1257" s="626"/>
      <c r="F1257" s="626"/>
    </row>
    <row r="1258" spans="1:6">
      <c r="A1258" t="str">
        <f t="shared" si="19"/>
        <v/>
      </c>
      <c r="E1258" s="626"/>
      <c r="F1258" s="626"/>
    </row>
    <row r="1259" spans="1:6">
      <c r="A1259" t="str">
        <f t="shared" si="19"/>
        <v/>
      </c>
      <c r="E1259" s="626"/>
      <c r="F1259" s="626"/>
    </row>
    <row r="1260" spans="1:6">
      <c r="A1260" t="str">
        <f t="shared" si="19"/>
        <v/>
      </c>
      <c r="E1260" s="626"/>
      <c r="F1260" s="626"/>
    </row>
    <row r="1261" spans="1:6">
      <c r="A1261" t="str">
        <f t="shared" si="19"/>
        <v/>
      </c>
      <c r="E1261" s="626"/>
      <c r="F1261" s="626"/>
    </row>
    <row r="1262" spans="1:6">
      <c r="A1262" t="str">
        <f t="shared" si="19"/>
        <v/>
      </c>
      <c r="E1262" s="626"/>
      <c r="F1262" s="626"/>
    </row>
    <row r="1263" spans="1:6">
      <c r="A1263" t="str">
        <f t="shared" si="19"/>
        <v/>
      </c>
      <c r="E1263" s="626"/>
      <c r="F1263" s="626"/>
    </row>
    <row r="1264" spans="1:6">
      <c r="A1264" t="str">
        <f t="shared" si="19"/>
        <v/>
      </c>
      <c r="E1264" s="626"/>
      <c r="F1264" s="626"/>
    </row>
    <row r="1265" spans="1:6">
      <c r="A1265" t="str">
        <f t="shared" si="19"/>
        <v/>
      </c>
      <c r="E1265" s="626"/>
      <c r="F1265" s="626"/>
    </row>
    <row r="1266" spans="1:6">
      <c r="A1266" t="str">
        <f t="shared" si="19"/>
        <v/>
      </c>
      <c r="E1266" s="626"/>
      <c r="F1266" s="626"/>
    </row>
    <row r="1267" spans="1:6">
      <c r="A1267" t="str">
        <f t="shared" si="19"/>
        <v/>
      </c>
      <c r="E1267" s="626"/>
      <c r="F1267" s="626"/>
    </row>
    <row r="1268" spans="1:6">
      <c r="A1268" t="str">
        <f t="shared" si="19"/>
        <v/>
      </c>
      <c r="E1268" s="626"/>
      <c r="F1268" s="626"/>
    </row>
    <row r="1269" spans="1:6">
      <c r="A1269" t="str">
        <f t="shared" si="19"/>
        <v/>
      </c>
      <c r="E1269" s="626"/>
      <c r="F1269" s="626"/>
    </row>
    <row r="1270" spans="1:6">
      <c r="A1270" t="str">
        <f t="shared" si="19"/>
        <v/>
      </c>
      <c r="E1270" s="626"/>
      <c r="F1270" s="626"/>
    </row>
    <row r="1271" spans="1:6">
      <c r="A1271" t="str">
        <f t="shared" si="19"/>
        <v/>
      </c>
      <c r="E1271" s="626"/>
      <c r="F1271" s="626"/>
    </row>
    <row r="1272" spans="1:6">
      <c r="A1272" t="str">
        <f t="shared" si="19"/>
        <v/>
      </c>
      <c r="E1272" s="626"/>
      <c r="F1272" s="626"/>
    </row>
    <row r="1273" spans="1:6">
      <c r="A1273" t="str">
        <f t="shared" si="19"/>
        <v/>
      </c>
      <c r="E1273" s="626"/>
      <c r="F1273" s="626"/>
    </row>
    <row r="1274" spans="1:6">
      <c r="A1274" t="str">
        <f t="shared" si="19"/>
        <v/>
      </c>
      <c r="E1274" s="626"/>
      <c r="F1274" s="626"/>
    </row>
    <row r="1275" spans="1:6">
      <c r="A1275" t="str">
        <f t="shared" si="19"/>
        <v/>
      </c>
      <c r="E1275" s="626"/>
      <c r="F1275" s="626"/>
    </row>
    <row r="1276" spans="1:6">
      <c r="A1276" t="str">
        <f t="shared" si="19"/>
        <v/>
      </c>
      <c r="E1276" s="626"/>
      <c r="F1276" s="626"/>
    </row>
    <row r="1277" spans="1:6">
      <c r="A1277" t="str">
        <f t="shared" si="19"/>
        <v/>
      </c>
      <c r="E1277" s="626"/>
      <c r="F1277" s="626"/>
    </row>
    <row r="1278" spans="1:6">
      <c r="A1278" t="str">
        <f t="shared" si="19"/>
        <v/>
      </c>
      <c r="E1278" s="626"/>
      <c r="F1278" s="626"/>
    </row>
    <row r="1279" spans="1:6">
      <c r="A1279" t="str">
        <f t="shared" si="19"/>
        <v/>
      </c>
      <c r="E1279" s="626"/>
      <c r="F1279" s="626"/>
    </row>
    <row r="1280" spans="1:6">
      <c r="A1280" t="str">
        <f t="shared" si="19"/>
        <v/>
      </c>
      <c r="E1280" s="626"/>
      <c r="F1280" s="626"/>
    </row>
    <row r="1281" spans="1:6">
      <c r="A1281" t="str">
        <f t="shared" si="19"/>
        <v/>
      </c>
      <c r="E1281" s="626"/>
      <c r="F1281" s="626"/>
    </row>
    <row r="1282" spans="1:6">
      <c r="A1282" t="str">
        <f t="shared" ref="A1282:A1345" si="20">B1282&amp;E1282&amp;J1282</f>
        <v/>
      </c>
      <c r="E1282" s="626"/>
      <c r="F1282" s="626"/>
    </row>
    <row r="1283" spans="1:6">
      <c r="A1283" t="str">
        <f t="shared" si="20"/>
        <v/>
      </c>
      <c r="E1283" s="626"/>
      <c r="F1283" s="626"/>
    </row>
    <row r="1284" spans="1:6">
      <c r="A1284" t="str">
        <f t="shared" si="20"/>
        <v/>
      </c>
      <c r="E1284" s="626"/>
      <c r="F1284" s="626"/>
    </row>
    <row r="1285" spans="1:6">
      <c r="A1285" t="str">
        <f t="shared" si="20"/>
        <v/>
      </c>
      <c r="E1285" s="626"/>
      <c r="F1285" s="626"/>
    </row>
    <row r="1286" spans="1:6">
      <c r="A1286" t="str">
        <f t="shared" si="20"/>
        <v/>
      </c>
      <c r="E1286" s="626"/>
      <c r="F1286" s="626"/>
    </row>
    <row r="1287" spans="1:6">
      <c r="A1287" t="str">
        <f t="shared" si="20"/>
        <v/>
      </c>
      <c r="E1287" s="626"/>
      <c r="F1287" s="626"/>
    </row>
    <row r="1288" spans="1:6">
      <c r="A1288" t="str">
        <f t="shared" si="20"/>
        <v/>
      </c>
      <c r="E1288" s="626"/>
      <c r="F1288" s="626"/>
    </row>
    <row r="1289" spans="1:6">
      <c r="A1289" t="str">
        <f t="shared" si="20"/>
        <v/>
      </c>
      <c r="E1289" s="626"/>
      <c r="F1289" s="626"/>
    </row>
    <row r="1290" spans="1:6">
      <c r="A1290" t="str">
        <f t="shared" si="20"/>
        <v/>
      </c>
      <c r="E1290" s="626"/>
      <c r="F1290" s="626"/>
    </row>
    <row r="1291" spans="1:6">
      <c r="A1291" t="str">
        <f t="shared" si="20"/>
        <v/>
      </c>
      <c r="E1291" s="626"/>
      <c r="F1291" s="626"/>
    </row>
    <row r="1292" spans="1:6">
      <c r="A1292" t="str">
        <f t="shared" si="20"/>
        <v/>
      </c>
      <c r="E1292" s="626"/>
      <c r="F1292" s="626"/>
    </row>
    <row r="1293" spans="1:6">
      <c r="A1293" t="str">
        <f t="shared" si="20"/>
        <v/>
      </c>
      <c r="E1293" s="626"/>
      <c r="F1293" s="626"/>
    </row>
    <row r="1294" spans="1:6">
      <c r="A1294" t="str">
        <f t="shared" si="20"/>
        <v/>
      </c>
      <c r="E1294" s="626"/>
      <c r="F1294" s="626"/>
    </row>
    <row r="1295" spans="1:6">
      <c r="A1295" t="str">
        <f t="shared" si="20"/>
        <v/>
      </c>
      <c r="E1295" s="626"/>
      <c r="F1295" s="626"/>
    </row>
    <row r="1296" spans="1:6">
      <c r="A1296" t="str">
        <f t="shared" si="20"/>
        <v/>
      </c>
      <c r="E1296" s="626"/>
      <c r="F1296" s="626"/>
    </row>
    <row r="1297" spans="1:6">
      <c r="A1297" t="str">
        <f t="shared" si="20"/>
        <v/>
      </c>
      <c r="E1297" s="626"/>
      <c r="F1297" s="626"/>
    </row>
    <row r="1298" spans="1:6">
      <c r="A1298" t="str">
        <f t="shared" si="20"/>
        <v/>
      </c>
      <c r="E1298" s="626"/>
      <c r="F1298" s="626"/>
    </row>
    <row r="1299" spans="1:6">
      <c r="A1299" t="str">
        <f t="shared" si="20"/>
        <v/>
      </c>
      <c r="E1299" s="626"/>
      <c r="F1299" s="626"/>
    </row>
    <row r="1300" spans="1:6">
      <c r="A1300" t="str">
        <f t="shared" si="20"/>
        <v/>
      </c>
      <c r="E1300" s="626"/>
      <c r="F1300" s="626"/>
    </row>
    <row r="1301" spans="1:6">
      <c r="A1301" t="str">
        <f t="shared" si="20"/>
        <v/>
      </c>
      <c r="E1301" s="626"/>
      <c r="F1301" s="626"/>
    </row>
    <row r="1302" spans="1:6">
      <c r="A1302" t="str">
        <f t="shared" si="20"/>
        <v/>
      </c>
      <c r="E1302" s="626"/>
      <c r="F1302" s="626"/>
    </row>
    <row r="1303" spans="1:6">
      <c r="A1303" t="str">
        <f t="shared" si="20"/>
        <v/>
      </c>
      <c r="E1303" s="626"/>
      <c r="F1303" s="626"/>
    </row>
    <row r="1304" spans="1:6">
      <c r="A1304" t="str">
        <f t="shared" si="20"/>
        <v/>
      </c>
      <c r="E1304" s="626"/>
      <c r="F1304" s="626"/>
    </row>
    <row r="1305" spans="1:6">
      <c r="A1305" t="str">
        <f t="shared" si="20"/>
        <v/>
      </c>
      <c r="E1305" s="626"/>
      <c r="F1305" s="626"/>
    </row>
    <row r="1306" spans="1:6">
      <c r="A1306" t="str">
        <f t="shared" si="20"/>
        <v/>
      </c>
      <c r="E1306" s="626"/>
      <c r="F1306" s="626"/>
    </row>
    <row r="1307" spans="1:6">
      <c r="A1307" t="str">
        <f t="shared" si="20"/>
        <v/>
      </c>
      <c r="E1307" s="626"/>
      <c r="F1307" s="626"/>
    </row>
    <row r="1308" spans="1:6">
      <c r="A1308" t="str">
        <f t="shared" si="20"/>
        <v/>
      </c>
      <c r="E1308" s="626"/>
      <c r="F1308" s="626"/>
    </row>
    <row r="1309" spans="1:6">
      <c r="A1309" t="str">
        <f t="shared" si="20"/>
        <v/>
      </c>
      <c r="E1309" s="626"/>
      <c r="F1309" s="626"/>
    </row>
    <row r="1310" spans="1:6">
      <c r="A1310" t="str">
        <f t="shared" si="20"/>
        <v/>
      </c>
      <c r="E1310" s="626"/>
      <c r="F1310" s="626"/>
    </row>
    <row r="1311" spans="1:6">
      <c r="A1311" t="str">
        <f t="shared" si="20"/>
        <v/>
      </c>
      <c r="E1311" s="626"/>
      <c r="F1311" s="626"/>
    </row>
    <row r="1312" spans="1:6">
      <c r="A1312" t="str">
        <f t="shared" si="20"/>
        <v/>
      </c>
      <c r="E1312" s="626"/>
      <c r="F1312" s="626"/>
    </row>
    <row r="1313" spans="1:6">
      <c r="A1313" t="str">
        <f t="shared" si="20"/>
        <v/>
      </c>
      <c r="E1313" s="626"/>
      <c r="F1313" s="626"/>
    </row>
    <row r="1314" spans="1:6">
      <c r="A1314" t="str">
        <f t="shared" si="20"/>
        <v/>
      </c>
      <c r="E1314" s="626"/>
      <c r="F1314" s="626"/>
    </row>
    <row r="1315" spans="1:6">
      <c r="A1315" t="str">
        <f t="shared" si="20"/>
        <v/>
      </c>
      <c r="E1315" s="626"/>
      <c r="F1315" s="626"/>
    </row>
    <row r="1316" spans="1:6">
      <c r="A1316" t="str">
        <f t="shared" si="20"/>
        <v/>
      </c>
      <c r="E1316" s="626"/>
      <c r="F1316" s="626"/>
    </row>
    <row r="1317" spans="1:6">
      <c r="A1317" t="str">
        <f t="shared" si="20"/>
        <v/>
      </c>
      <c r="E1317" s="626"/>
      <c r="F1317" s="626"/>
    </row>
    <row r="1318" spans="1:6">
      <c r="A1318" t="str">
        <f t="shared" si="20"/>
        <v/>
      </c>
      <c r="E1318" s="626"/>
      <c r="F1318" s="626"/>
    </row>
    <row r="1319" spans="1:6">
      <c r="A1319" t="str">
        <f t="shared" si="20"/>
        <v/>
      </c>
      <c r="E1319" s="626"/>
      <c r="F1319" s="626"/>
    </row>
    <row r="1320" spans="1:6">
      <c r="A1320" t="str">
        <f t="shared" si="20"/>
        <v/>
      </c>
      <c r="E1320" s="626"/>
      <c r="F1320" s="626"/>
    </row>
    <row r="1321" spans="1:6">
      <c r="A1321" t="str">
        <f t="shared" si="20"/>
        <v/>
      </c>
      <c r="E1321" s="626"/>
      <c r="F1321" s="626"/>
    </row>
    <row r="1322" spans="1:6">
      <c r="A1322" t="str">
        <f t="shared" si="20"/>
        <v/>
      </c>
      <c r="E1322" s="626"/>
      <c r="F1322" s="626"/>
    </row>
    <row r="1323" spans="1:6">
      <c r="A1323" t="str">
        <f t="shared" si="20"/>
        <v/>
      </c>
      <c r="E1323" s="626"/>
      <c r="F1323" s="626"/>
    </row>
    <row r="1324" spans="1:6">
      <c r="A1324" t="str">
        <f t="shared" si="20"/>
        <v/>
      </c>
      <c r="E1324" s="626"/>
      <c r="F1324" s="626"/>
    </row>
    <row r="1325" spans="1:6">
      <c r="A1325" t="str">
        <f t="shared" si="20"/>
        <v/>
      </c>
      <c r="E1325" s="626"/>
      <c r="F1325" s="626"/>
    </row>
    <row r="1326" spans="1:6">
      <c r="A1326" t="str">
        <f t="shared" si="20"/>
        <v/>
      </c>
      <c r="E1326" s="626"/>
      <c r="F1326" s="626"/>
    </row>
    <row r="1327" spans="1:6">
      <c r="A1327" t="str">
        <f t="shared" si="20"/>
        <v/>
      </c>
      <c r="E1327" s="626"/>
      <c r="F1327" s="626"/>
    </row>
    <row r="1328" spans="1:6">
      <c r="A1328" t="str">
        <f t="shared" si="20"/>
        <v/>
      </c>
      <c r="E1328" s="626"/>
      <c r="F1328" s="626"/>
    </row>
    <row r="1329" spans="1:6">
      <c r="A1329" t="str">
        <f t="shared" si="20"/>
        <v/>
      </c>
      <c r="E1329" s="626"/>
      <c r="F1329" s="626"/>
    </row>
    <row r="1330" spans="1:6">
      <c r="A1330" t="str">
        <f t="shared" si="20"/>
        <v/>
      </c>
      <c r="E1330" s="626"/>
      <c r="F1330" s="626"/>
    </row>
    <row r="1331" spans="1:6">
      <c r="A1331" t="str">
        <f t="shared" si="20"/>
        <v/>
      </c>
      <c r="E1331" s="626"/>
      <c r="F1331" s="626"/>
    </row>
    <row r="1332" spans="1:6">
      <c r="A1332" t="str">
        <f t="shared" si="20"/>
        <v/>
      </c>
      <c r="E1332" s="626"/>
      <c r="F1332" s="626"/>
    </row>
    <row r="1333" spans="1:6">
      <c r="A1333" t="str">
        <f t="shared" si="20"/>
        <v/>
      </c>
      <c r="E1333" s="626"/>
      <c r="F1333" s="626"/>
    </row>
    <row r="1334" spans="1:6">
      <c r="A1334" t="str">
        <f t="shared" si="20"/>
        <v/>
      </c>
      <c r="E1334" s="626"/>
      <c r="F1334" s="626"/>
    </row>
    <row r="1335" spans="1:6">
      <c r="A1335" t="str">
        <f t="shared" si="20"/>
        <v/>
      </c>
      <c r="E1335" s="626"/>
      <c r="F1335" s="626"/>
    </row>
    <row r="1336" spans="1:6">
      <c r="A1336" t="str">
        <f t="shared" si="20"/>
        <v/>
      </c>
      <c r="E1336" s="626"/>
      <c r="F1336" s="626"/>
    </row>
    <row r="1337" spans="1:6">
      <c r="A1337" t="str">
        <f t="shared" si="20"/>
        <v/>
      </c>
      <c r="E1337" s="626"/>
      <c r="F1337" s="626"/>
    </row>
    <row r="1338" spans="1:6">
      <c r="A1338" t="str">
        <f t="shared" si="20"/>
        <v/>
      </c>
      <c r="E1338" s="626"/>
      <c r="F1338" s="626"/>
    </row>
    <row r="1339" spans="1:6">
      <c r="A1339" t="str">
        <f t="shared" si="20"/>
        <v/>
      </c>
      <c r="E1339" s="626"/>
      <c r="F1339" s="626"/>
    </row>
    <row r="1340" spans="1:6">
      <c r="A1340" t="str">
        <f t="shared" si="20"/>
        <v/>
      </c>
      <c r="E1340" s="626"/>
      <c r="F1340" s="626"/>
    </row>
    <row r="1341" spans="1:6">
      <c r="A1341" t="str">
        <f t="shared" si="20"/>
        <v/>
      </c>
      <c r="E1341" s="626"/>
      <c r="F1341" s="626"/>
    </row>
    <row r="1342" spans="1:6">
      <c r="A1342" t="str">
        <f t="shared" si="20"/>
        <v/>
      </c>
      <c r="E1342" s="626"/>
      <c r="F1342" s="626"/>
    </row>
    <row r="1343" spans="1:6">
      <c r="A1343" t="str">
        <f t="shared" si="20"/>
        <v/>
      </c>
      <c r="E1343" s="626"/>
      <c r="F1343" s="626"/>
    </row>
    <row r="1344" spans="1:6">
      <c r="A1344" t="str">
        <f t="shared" si="20"/>
        <v/>
      </c>
      <c r="E1344" s="626"/>
      <c r="F1344" s="626"/>
    </row>
    <row r="1345" spans="1:6">
      <c r="A1345" t="str">
        <f t="shared" si="20"/>
        <v/>
      </c>
      <c r="E1345" s="626"/>
      <c r="F1345" s="626"/>
    </row>
    <row r="1346" spans="1:6">
      <c r="A1346" t="str">
        <f t="shared" ref="A1346:A1409" si="21">B1346&amp;E1346&amp;J1346</f>
        <v/>
      </c>
      <c r="E1346" s="626"/>
      <c r="F1346" s="626"/>
    </row>
    <row r="1347" spans="1:6">
      <c r="A1347" t="str">
        <f t="shared" si="21"/>
        <v/>
      </c>
      <c r="E1347" s="626"/>
      <c r="F1347" s="626"/>
    </row>
    <row r="1348" spans="1:6">
      <c r="A1348" t="str">
        <f t="shared" si="21"/>
        <v/>
      </c>
      <c r="E1348" s="626"/>
      <c r="F1348" s="626"/>
    </row>
    <row r="1349" spans="1:6">
      <c r="A1349" t="str">
        <f t="shared" si="21"/>
        <v/>
      </c>
      <c r="E1349" s="626"/>
      <c r="F1349" s="626"/>
    </row>
    <row r="1350" spans="1:6">
      <c r="A1350" t="str">
        <f t="shared" si="21"/>
        <v/>
      </c>
      <c r="E1350" s="626"/>
      <c r="F1350" s="626"/>
    </row>
    <row r="1351" spans="1:6">
      <c r="A1351" t="str">
        <f t="shared" si="21"/>
        <v/>
      </c>
      <c r="E1351" s="626"/>
      <c r="F1351" s="626"/>
    </row>
    <row r="1352" spans="1:6">
      <c r="A1352" t="str">
        <f t="shared" si="21"/>
        <v/>
      </c>
      <c r="E1352" s="626"/>
      <c r="F1352" s="626"/>
    </row>
    <row r="1353" spans="1:6">
      <c r="A1353" t="str">
        <f t="shared" si="21"/>
        <v/>
      </c>
      <c r="E1353" s="626"/>
      <c r="F1353" s="626"/>
    </row>
    <row r="1354" spans="1:6">
      <c r="A1354" t="str">
        <f t="shared" si="21"/>
        <v/>
      </c>
      <c r="E1354" s="626"/>
      <c r="F1354" s="626"/>
    </row>
    <row r="1355" spans="1:6">
      <c r="A1355" t="str">
        <f t="shared" si="21"/>
        <v/>
      </c>
      <c r="E1355" s="626"/>
      <c r="F1355" s="626"/>
    </row>
    <row r="1356" spans="1:6">
      <c r="A1356" t="str">
        <f t="shared" si="21"/>
        <v/>
      </c>
      <c r="E1356" s="626"/>
      <c r="F1356" s="626"/>
    </row>
    <row r="1357" spans="1:6">
      <c r="A1357" t="str">
        <f t="shared" si="21"/>
        <v/>
      </c>
      <c r="E1357" s="626"/>
      <c r="F1357" s="626"/>
    </row>
    <row r="1358" spans="1:6">
      <c r="A1358" t="str">
        <f t="shared" si="21"/>
        <v/>
      </c>
      <c r="E1358" s="626"/>
      <c r="F1358" s="626"/>
    </row>
    <row r="1359" spans="1:6">
      <c r="A1359" t="str">
        <f t="shared" si="21"/>
        <v/>
      </c>
      <c r="E1359" s="626"/>
      <c r="F1359" s="626"/>
    </row>
    <row r="1360" spans="1:6">
      <c r="A1360" t="str">
        <f t="shared" si="21"/>
        <v/>
      </c>
      <c r="E1360" s="626"/>
      <c r="F1360" s="626"/>
    </row>
    <row r="1361" spans="1:6">
      <c r="A1361" t="str">
        <f t="shared" si="21"/>
        <v/>
      </c>
      <c r="E1361" s="626"/>
      <c r="F1361" s="626"/>
    </row>
    <row r="1362" spans="1:6">
      <c r="A1362" t="str">
        <f t="shared" si="21"/>
        <v/>
      </c>
      <c r="E1362" s="626"/>
      <c r="F1362" s="626"/>
    </row>
    <row r="1363" spans="1:6">
      <c r="A1363" t="str">
        <f t="shared" si="21"/>
        <v/>
      </c>
      <c r="E1363" s="626"/>
      <c r="F1363" s="626"/>
    </row>
    <row r="1364" spans="1:6">
      <c r="A1364" t="str">
        <f t="shared" si="21"/>
        <v/>
      </c>
      <c r="E1364" s="626"/>
      <c r="F1364" s="626"/>
    </row>
    <row r="1365" spans="1:6">
      <c r="A1365" t="str">
        <f t="shared" si="21"/>
        <v/>
      </c>
      <c r="E1365" s="626"/>
      <c r="F1365" s="626"/>
    </row>
    <row r="1366" spans="1:6">
      <c r="A1366" t="str">
        <f t="shared" si="21"/>
        <v/>
      </c>
      <c r="E1366" s="626"/>
      <c r="F1366" s="626"/>
    </row>
    <row r="1367" spans="1:6">
      <c r="A1367" t="str">
        <f t="shared" si="21"/>
        <v/>
      </c>
      <c r="E1367" s="626"/>
      <c r="F1367" s="626"/>
    </row>
    <row r="1368" spans="1:6">
      <c r="A1368" t="str">
        <f t="shared" si="21"/>
        <v/>
      </c>
      <c r="E1368" s="626"/>
      <c r="F1368" s="626"/>
    </row>
    <row r="1369" spans="1:6">
      <c r="A1369" t="str">
        <f t="shared" si="21"/>
        <v/>
      </c>
      <c r="E1369" s="626"/>
      <c r="F1369" s="626"/>
    </row>
    <row r="1370" spans="1:6">
      <c r="A1370" t="str">
        <f t="shared" si="21"/>
        <v/>
      </c>
      <c r="E1370" s="626"/>
      <c r="F1370" s="626"/>
    </row>
    <row r="1371" spans="1:6">
      <c r="A1371" t="str">
        <f t="shared" si="21"/>
        <v/>
      </c>
      <c r="E1371" s="626"/>
      <c r="F1371" s="626"/>
    </row>
    <row r="1372" spans="1:6">
      <c r="A1372" t="str">
        <f t="shared" si="21"/>
        <v/>
      </c>
      <c r="E1372" s="626"/>
      <c r="F1372" s="626"/>
    </row>
    <row r="1373" spans="1:6">
      <c r="A1373" t="str">
        <f t="shared" si="21"/>
        <v/>
      </c>
      <c r="E1373" s="626"/>
      <c r="F1373" s="626"/>
    </row>
    <row r="1374" spans="1:6">
      <c r="A1374" t="str">
        <f t="shared" si="21"/>
        <v/>
      </c>
      <c r="E1374" s="626"/>
      <c r="F1374" s="626"/>
    </row>
    <row r="1375" spans="1:6">
      <c r="A1375" t="str">
        <f t="shared" si="21"/>
        <v/>
      </c>
      <c r="E1375" s="626"/>
      <c r="F1375" s="626"/>
    </row>
    <row r="1376" spans="1:6">
      <c r="A1376" t="str">
        <f t="shared" si="21"/>
        <v/>
      </c>
      <c r="E1376" s="626"/>
      <c r="F1376" s="626"/>
    </row>
    <row r="1377" spans="1:6">
      <c r="A1377" t="str">
        <f t="shared" si="21"/>
        <v/>
      </c>
      <c r="E1377" s="626"/>
      <c r="F1377" s="626"/>
    </row>
    <row r="1378" spans="1:6">
      <c r="A1378" t="str">
        <f t="shared" si="21"/>
        <v/>
      </c>
      <c r="E1378" s="626"/>
      <c r="F1378" s="626"/>
    </row>
    <row r="1379" spans="1:6">
      <c r="A1379" t="str">
        <f t="shared" si="21"/>
        <v/>
      </c>
      <c r="E1379" s="626"/>
      <c r="F1379" s="626"/>
    </row>
    <row r="1380" spans="1:6">
      <c r="A1380" t="str">
        <f t="shared" si="21"/>
        <v/>
      </c>
      <c r="E1380" s="626"/>
      <c r="F1380" s="626"/>
    </row>
    <row r="1381" spans="1:6">
      <c r="A1381" t="str">
        <f t="shared" si="21"/>
        <v/>
      </c>
      <c r="E1381" s="626"/>
      <c r="F1381" s="626"/>
    </row>
    <row r="1382" spans="1:6">
      <c r="A1382" t="str">
        <f t="shared" si="21"/>
        <v/>
      </c>
      <c r="E1382" s="626"/>
      <c r="F1382" s="626"/>
    </row>
    <row r="1383" spans="1:6">
      <c r="A1383" t="str">
        <f t="shared" si="21"/>
        <v/>
      </c>
      <c r="E1383" s="626"/>
      <c r="F1383" s="626"/>
    </row>
    <row r="1384" spans="1:6">
      <c r="A1384" t="str">
        <f t="shared" si="21"/>
        <v/>
      </c>
      <c r="E1384" s="626"/>
      <c r="F1384" s="626"/>
    </row>
    <row r="1385" spans="1:6">
      <c r="A1385" t="str">
        <f t="shared" si="21"/>
        <v/>
      </c>
      <c r="E1385" s="626"/>
      <c r="F1385" s="626"/>
    </row>
    <row r="1386" spans="1:6">
      <c r="A1386" t="str">
        <f t="shared" si="21"/>
        <v/>
      </c>
      <c r="E1386" s="626"/>
      <c r="F1386" s="626"/>
    </row>
    <row r="1387" spans="1:6">
      <c r="A1387" t="str">
        <f t="shared" si="21"/>
        <v/>
      </c>
      <c r="E1387" s="626"/>
      <c r="F1387" s="626"/>
    </row>
    <row r="1388" spans="1:6">
      <c r="A1388" t="str">
        <f t="shared" si="21"/>
        <v/>
      </c>
      <c r="E1388" s="626"/>
      <c r="F1388" s="626"/>
    </row>
    <row r="1389" spans="1:6">
      <c r="A1389" t="str">
        <f t="shared" si="21"/>
        <v/>
      </c>
      <c r="E1389" s="626"/>
      <c r="F1389" s="626"/>
    </row>
    <row r="1390" spans="1:6">
      <c r="A1390" t="str">
        <f t="shared" si="21"/>
        <v/>
      </c>
      <c r="E1390" s="626"/>
      <c r="F1390" s="626"/>
    </row>
    <row r="1391" spans="1:6">
      <c r="A1391" t="str">
        <f t="shared" si="21"/>
        <v/>
      </c>
      <c r="E1391" s="626"/>
      <c r="F1391" s="626"/>
    </row>
    <row r="1392" spans="1:6">
      <c r="A1392" t="str">
        <f t="shared" si="21"/>
        <v/>
      </c>
      <c r="E1392" s="626"/>
      <c r="F1392" s="626"/>
    </row>
    <row r="1393" spans="1:6">
      <c r="A1393" t="str">
        <f t="shared" si="21"/>
        <v/>
      </c>
      <c r="E1393" s="626"/>
      <c r="F1393" s="626"/>
    </row>
    <row r="1394" spans="1:6">
      <c r="A1394" t="str">
        <f t="shared" si="21"/>
        <v/>
      </c>
      <c r="E1394" s="626"/>
      <c r="F1394" s="626"/>
    </row>
    <row r="1395" spans="1:6">
      <c r="A1395" t="str">
        <f t="shared" si="21"/>
        <v/>
      </c>
      <c r="E1395" s="626"/>
      <c r="F1395" s="626"/>
    </row>
    <row r="1396" spans="1:6">
      <c r="A1396" t="str">
        <f t="shared" si="21"/>
        <v/>
      </c>
      <c r="E1396" s="626"/>
      <c r="F1396" s="626"/>
    </row>
    <row r="1397" spans="1:6">
      <c r="A1397" t="str">
        <f t="shared" si="21"/>
        <v/>
      </c>
      <c r="E1397" s="626"/>
      <c r="F1397" s="626"/>
    </row>
    <row r="1398" spans="1:6">
      <c r="A1398" t="str">
        <f t="shared" si="21"/>
        <v/>
      </c>
      <c r="E1398" s="626"/>
      <c r="F1398" s="626"/>
    </row>
    <row r="1399" spans="1:6">
      <c r="A1399" t="str">
        <f t="shared" si="21"/>
        <v/>
      </c>
      <c r="E1399" s="626"/>
      <c r="F1399" s="626"/>
    </row>
    <row r="1400" spans="1:6">
      <c r="A1400" t="str">
        <f t="shared" si="21"/>
        <v/>
      </c>
      <c r="E1400" s="626"/>
      <c r="F1400" s="626"/>
    </row>
    <row r="1401" spans="1:6">
      <c r="A1401" t="str">
        <f t="shared" si="21"/>
        <v/>
      </c>
      <c r="E1401" s="626"/>
      <c r="F1401" s="626"/>
    </row>
    <row r="1402" spans="1:6">
      <c r="A1402" t="str">
        <f t="shared" si="21"/>
        <v/>
      </c>
      <c r="E1402" s="626"/>
      <c r="F1402" s="626"/>
    </row>
    <row r="1403" spans="1:6">
      <c r="A1403" t="str">
        <f t="shared" si="21"/>
        <v/>
      </c>
      <c r="E1403" s="626"/>
      <c r="F1403" s="626"/>
    </row>
    <row r="1404" spans="1:6">
      <c r="A1404" t="str">
        <f t="shared" si="21"/>
        <v/>
      </c>
      <c r="E1404" s="626"/>
      <c r="F1404" s="626"/>
    </row>
    <row r="1405" spans="1:6">
      <c r="A1405" t="str">
        <f t="shared" si="21"/>
        <v/>
      </c>
      <c r="E1405" s="626"/>
      <c r="F1405" s="626"/>
    </row>
    <row r="1406" spans="1:6">
      <c r="A1406" t="str">
        <f t="shared" si="21"/>
        <v/>
      </c>
      <c r="E1406" s="626"/>
      <c r="F1406" s="626"/>
    </row>
    <row r="1407" spans="1:6">
      <c r="A1407" t="str">
        <f t="shared" si="21"/>
        <v/>
      </c>
      <c r="E1407" s="626"/>
      <c r="F1407" s="626"/>
    </row>
    <row r="1408" spans="1:6">
      <c r="A1408" t="str">
        <f t="shared" si="21"/>
        <v/>
      </c>
      <c r="E1408" s="626"/>
      <c r="F1408" s="626"/>
    </row>
    <row r="1409" spans="1:6">
      <c r="A1409" t="str">
        <f t="shared" si="21"/>
        <v/>
      </c>
      <c r="E1409" s="626"/>
      <c r="F1409" s="626"/>
    </row>
    <row r="1410" spans="1:6">
      <c r="A1410" t="str">
        <f t="shared" ref="A1410:A1473" si="22">B1410&amp;E1410&amp;J1410</f>
        <v/>
      </c>
      <c r="E1410" s="626"/>
      <c r="F1410" s="626"/>
    </row>
    <row r="1411" spans="1:6">
      <c r="A1411" t="str">
        <f t="shared" si="22"/>
        <v/>
      </c>
      <c r="E1411" s="626"/>
      <c r="F1411" s="626"/>
    </row>
    <row r="1412" spans="1:6">
      <c r="A1412" t="str">
        <f t="shared" si="22"/>
        <v/>
      </c>
      <c r="E1412" s="626"/>
      <c r="F1412" s="626"/>
    </row>
    <row r="1413" spans="1:6">
      <c r="A1413" t="str">
        <f t="shared" si="22"/>
        <v/>
      </c>
      <c r="E1413" s="626"/>
      <c r="F1413" s="626"/>
    </row>
    <row r="1414" spans="1:6">
      <c r="A1414" t="str">
        <f t="shared" si="22"/>
        <v/>
      </c>
      <c r="E1414" s="626"/>
      <c r="F1414" s="626"/>
    </row>
    <row r="1415" spans="1:6">
      <c r="A1415" t="str">
        <f t="shared" si="22"/>
        <v/>
      </c>
      <c r="E1415" s="626"/>
      <c r="F1415" s="626"/>
    </row>
    <row r="1416" spans="1:6">
      <c r="A1416" t="str">
        <f t="shared" si="22"/>
        <v/>
      </c>
      <c r="E1416" s="626"/>
      <c r="F1416" s="626"/>
    </row>
    <row r="1417" spans="1:6">
      <c r="A1417" t="str">
        <f t="shared" si="22"/>
        <v/>
      </c>
      <c r="E1417" s="626"/>
      <c r="F1417" s="626"/>
    </row>
    <row r="1418" spans="1:6">
      <c r="A1418" t="str">
        <f t="shared" si="22"/>
        <v/>
      </c>
      <c r="E1418" s="626"/>
      <c r="F1418" s="626"/>
    </row>
    <row r="1419" spans="1:6">
      <c r="A1419" t="str">
        <f t="shared" si="22"/>
        <v/>
      </c>
      <c r="E1419" s="626"/>
      <c r="F1419" s="626"/>
    </row>
    <row r="1420" spans="1:6">
      <c r="A1420" t="str">
        <f t="shared" si="22"/>
        <v/>
      </c>
      <c r="E1420" s="626"/>
      <c r="F1420" s="626"/>
    </row>
    <row r="1421" spans="1:6">
      <c r="A1421" t="str">
        <f t="shared" si="22"/>
        <v/>
      </c>
      <c r="E1421" s="626"/>
      <c r="F1421" s="626"/>
    </row>
    <row r="1422" spans="1:6">
      <c r="A1422" t="str">
        <f t="shared" si="22"/>
        <v/>
      </c>
      <c r="E1422" s="626"/>
      <c r="F1422" s="626"/>
    </row>
    <row r="1423" spans="1:6">
      <c r="A1423" t="str">
        <f t="shared" si="22"/>
        <v/>
      </c>
      <c r="E1423" s="626"/>
      <c r="F1423" s="626"/>
    </row>
    <row r="1424" spans="1:6">
      <c r="A1424" t="str">
        <f t="shared" si="22"/>
        <v/>
      </c>
      <c r="E1424" s="626"/>
      <c r="F1424" s="626"/>
    </row>
    <row r="1425" spans="1:6">
      <c r="A1425" t="str">
        <f t="shared" si="22"/>
        <v/>
      </c>
      <c r="E1425" s="626"/>
      <c r="F1425" s="626"/>
    </row>
    <row r="1426" spans="1:6">
      <c r="A1426" t="str">
        <f t="shared" si="22"/>
        <v/>
      </c>
      <c r="E1426" s="626"/>
      <c r="F1426" s="626"/>
    </row>
    <row r="1427" spans="1:6">
      <c r="A1427" t="str">
        <f t="shared" si="22"/>
        <v/>
      </c>
      <c r="E1427" s="626"/>
      <c r="F1427" s="626"/>
    </row>
    <row r="1428" spans="1:6">
      <c r="A1428" t="str">
        <f t="shared" si="22"/>
        <v/>
      </c>
      <c r="E1428" s="626"/>
      <c r="F1428" s="626"/>
    </row>
    <row r="1429" spans="1:6">
      <c r="A1429" t="str">
        <f t="shared" si="22"/>
        <v/>
      </c>
      <c r="E1429" s="626"/>
      <c r="F1429" s="626"/>
    </row>
    <row r="1430" spans="1:6">
      <c r="A1430" t="str">
        <f t="shared" si="22"/>
        <v/>
      </c>
      <c r="E1430" s="626"/>
      <c r="F1430" s="626"/>
    </row>
    <row r="1431" spans="1:6">
      <c r="A1431" t="str">
        <f t="shared" si="22"/>
        <v/>
      </c>
      <c r="E1431" s="626"/>
      <c r="F1431" s="626"/>
    </row>
    <row r="1432" spans="1:6">
      <c r="A1432" t="str">
        <f t="shared" si="22"/>
        <v/>
      </c>
      <c r="E1432" s="626"/>
      <c r="F1432" s="626"/>
    </row>
    <row r="1433" spans="1:6">
      <c r="A1433" t="str">
        <f t="shared" si="22"/>
        <v/>
      </c>
      <c r="E1433" s="626"/>
      <c r="F1433" s="626"/>
    </row>
    <row r="1434" spans="1:6">
      <c r="A1434" t="str">
        <f t="shared" si="22"/>
        <v/>
      </c>
      <c r="E1434" s="626"/>
      <c r="F1434" s="626"/>
    </row>
    <row r="1435" spans="1:6">
      <c r="A1435" t="str">
        <f t="shared" si="22"/>
        <v/>
      </c>
      <c r="E1435" s="626"/>
      <c r="F1435" s="626"/>
    </row>
    <row r="1436" spans="1:6">
      <c r="A1436" t="str">
        <f t="shared" si="22"/>
        <v/>
      </c>
      <c r="E1436" s="626"/>
      <c r="F1436" s="626"/>
    </row>
    <row r="1437" spans="1:6">
      <c r="A1437" t="str">
        <f t="shared" si="22"/>
        <v/>
      </c>
      <c r="E1437" s="626"/>
      <c r="F1437" s="626"/>
    </row>
    <row r="1438" spans="1:6">
      <c r="A1438" t="str">
        <f t="shared" si="22"/>
        <v/>
      </c>
      <c r="E1438" s="626"/>
      <c r="F1438" s="626"/>
    </row>
    <row r="1439" spans="1:6">
      <c r="A1439" t="str">
        <f t="shared" si="22"/>
        <v/>
      </c>
      <c r="E1439" s="626"/>
      <c r="F1439" s="626"/>
    </row>
    <row r="1440" spans="1:6">
      <c r="A1440" t="str">
        <f t="shared" si="22"/>
        <v/>
      </c>
      <c r="E1440" s="626"/>
      <c r="F1440" s="626"/>
    </row>
    <row r="1441" spans="1:6">
      <c r="A1441" t="str">
        <f t="shared" si="22"/>
        <v/>
      </c>
      <c r="E1441" s="626"/>
      <c r="F1441" s="626"/>
    </row>
    <row r="1442" spans="1:6">
      <c r="A1442" t="str">
        <f t="shared" si="22"/>
        <v/>
      </c>
      <c r="E1442" s="626"/>
      <c r="F1442" s="626"/>
    </row>
    <row r="1443" spans="1:6">
      <c r="A1443" t="str">
        <f t="shared" si="22"/>
        <v/>
      </c>
      <c r="E1443" s="626"/>
      <c r="F1443" s="626"/>
    </row>
    <row r="1444" spans="1:6">
      <c r="A1444" t="str">
        <f t="shared" si="22"/>
        <v/>
      </c>
      <c r="E1444" s="626"/>
      <c r="F1444" s="626"/>
    </row>
    <row r="1445" spans="1:6">
      <c r="A1445" t="str">
        <f t="shared" si="22"/>
        <v/>
      </c>
      <c r="E1445" s="626"/>
      <c r="F1445" s="626"/>
    </row>
    <row r="1446" spans="1:6">
      <c r="A1446" t="str">
        <f t="shared" si="22"/>
        <v/>
      </c>
      <c r="E1446" s="626"/>
      <c r="F1446" s="626"/>
    </row>
    <row r="1447" spans="1:6">
      <c r="A1447" t="str">
        <f t="shared" si="22"/>
        <v/>
      </c>
      <c r="E1447" s="626"/>
      <c r="F1447" s="626"/>
    </row>
    <row r="1448" spans="1:6">
      <c r="A1448" t="str">
        <f t="shared" si="22"/>
        <v/>
      </c>
      <c r="E1448" s="626"/>
      <c r="F1448" s="626"/>
    </row>
    <row r="1449" spans="1:6">
      <c r="A1449" t="str">
        <f t="shared" si="22"/>
        <v/>
      </c>
      <c r="E1449" s="626"/>
      <c r="F1449" s="626"/>
    </row>
    <row r="1450" spans="1:6">
      <c r="A1450" t="str">
        <f t="shared" si="22"/>
        <v/>
      </c>
      <c r="E1450" s="626"/>
      <c r="F1450" s="626"/>
    </row>
    <row r="1451" spans="1:6">
      <c r="A1451" t="str">
        <f t="shared" si="22"/>
        <v/>
      </c>
      <c r="E1451" s="626"/>
      <c r="F1451" s="626"/>
    </row>
    <row r="1452" spans="1:6">
      <c r="A1452" t="str">
        <f t="shared" si="22"/>
        <v/>
      </c>
      <c r="E1452" s="626"/>
      <c r="F1452" s="626"/>
    </row>
    <row r="1453" spans="1:6">
      <c r="A1453" t="str">
        <f t="shared" si="22"/>
        <v/>
      </c>
      <c r="E1453" s="626"/>
      <c r="F1453" s="626"/>
    </row>
    <row r="1454" spans="1:6">
      <c r="A1454" t="str">
        <f t="shared" si="22"/>
        <v/>
      </c>
      <c r="E1454" s="626"/>
      <c r="F1454" s="626"/>
    </row>
    <row r="1455" spans="1:6">
      <c r="A1455" t="str">
        <f t="shared" si="22"/>
        <v/>
      </c>
      <c r="E1455" s="626"/>
      <c r="F1455" s="626"/>
    </row>
    <row r="1456" spans="1:6">
      <c r="A1456" t="str">
        <f t="shared" si="22"/>
        <v/>
      </c>
      <c r="E1456" s="626"/>
      <c r="F1456" s="626"/>
    </row>
    <row r="1457" spans="1:6">
      <c r="A1457" t="str">
        <f t="shared" si="22"/>
        <v/>
      </c>
      <c r="E1457" s="626"/>
      <c r="F1457" s="626"/>
    </row>
    <row r="1458" spans="1:6">
      <c r="A1458" t="str">
        <f t="shared" si="22"/>
        <v/>
      </c>
      <c r="E1458" s="626"/>
      <c r="F1458" s="626"/>
    </row>
    <row r="1459" spans="1:6">
      <c r="A1459" t="str">
        <f t="shared" si="22"/>
        <v/>
      </c>
      <c r="E1459" s="626"/>
      <c r="F1459" s="626"/>
    </row>
    <row r="1460" spans="1:6">
      <c r="A1460" t="str">
        <f t="shared" si="22"/>
        <v/>
      </c>
      <c r="E1460" s="626"/>
      <c r="F1460" s="626"/>
    </row>
    <row r="1461" spans="1:6">
      <c r="A1461" t="str">
        <f t="shared" si="22"/>
        <v/>
      </c>
      <c r="E1461" s="626"/>
      <c r="F1461" s="626"/>
    </row>
    <row r="1462" spans="1:6">
      <c r="A1462" t="str">
        <f t="shared" si="22"/>
        <v/>
      </c>
      <c r="E1462" s="626"/>
      <c r="F1462" s="626"/>
    </row>
    <row r="1463" spans="1:6">
      <c r="A1463" t="str">
        <f t="shared" si="22"/>
        <v/>
      </c>
      <c r="E1463" s="626"/>
      <c r="F1463" s="626"/>
    </row>
    <row r="1464" spans="1:6">
      <c r="A1464" t="str">
        <f t="shared" si="22"/>
        <v/>
      </c>
      <c r="E1464" s="626"/>
      <c r="F1464" s="626"/>
    </row>
    <row r="1465" spans="1:6">
      <c r="A1465" t="str">
        <f t="shared" si="22"/>
        <v/>
      </c>
      <c r="E1465" s="626"/>
      <c r="F1465" s="626"/>
    </row>
    <row r="1466" spans="1:6">
      <c r="A1466" t="str">
        <f t="shared" si="22"/>
        <v/>
      </c>
      <c r="E1466" s="626"/>
      <c r="F1466" s="626"/>
    </row>
    <row r="1467" spans="1:6">
      <c r="A1467" t="str">
        <f t="shared" si="22"/>
        <v/>
      </c>
      <c r="E1467" s="626"/>
      <c r="F1467" s="626"/>
    </row>
    <row r="1468" spans="1:6">
      <c r="A1468" t="str">
        <f t="shared" si="22"/>
        <v/>
      </c>
      <c r="E1468" s="626"/>
      <c r="F1468" s="626"/>
    </row>
    <row r="1469" spans="1:6">
      <c r="A1469" t="str">
        <f t="shared" si="22"/>
        <v/>
      </c>
      <c r="E1469" s="626"/>
      <c r="F1469" s="626"/>
    </row>
    <row r="1470" spans="1:6">
      <c r="A1470" t="str">
        <f t="shared" si="22"/>
        <v/>
      </c>
      <c r="E1470" s="626"/>
      <c r="F1470" s="626"/>
    </row>
    <row r="1471" spans="1:6">
      <c r="A1471" t="str">
        <f t="shared" si="22"/>
        <v/>
      </c>
      <c r="E1471" s="626"/>
      <c r="F1471" s="626"/>
    </row>
    <row r="1472" spans="1:6">
      <c r="A1472" t="str">
        <f t="shared" si="22"/>
        <v/>
      </c>
      <c r="E1472" s="626"/>
      <c r="F1472" s="626"/>
    </row>
    <row r="1473" spans="1:6">
      <c r="A1473" t="str">
        <f t="shared" si="22"/>
        <v/>
      </c>
      <c r="E1473" s="626"/>
      <c r="F1473" s="626"/>
    </row>
    <row r="1474" spans="1:6">
      <c r="A1474" t="str">
        <f t="shared" ref="A1474:A1537" si="23">B1474&amp;E1474&amp;J1474</f>
        <v/>
      </c>
      <c r="E1474" s="626"/>
      <c r="F1474" s="626"/>
    </row>
    <row r="1475" spans="1:6">
      <c r="A1475" t="str">
        <f t="shared" si="23"/>
        <v/>
      </c>
      <c r="E1475" s="626"/>
      <c r="F1475" s="626"/>
    </row>
    <row r="1476" spans="1:6">
      <c r="A1476" t="str">
        <f t="shared" si="23"/>
        <v/>
      </c>
      <c r="E1476" s="626"/>
      <c r="F1476" s="626"/>
    </row>
    <row r="1477" spans="1:6">
      <c r="A1477" t="str">
        <f t="shared" si="23"/>
        <v/>
      </c>
      <c r="E1477" s="626"/>
      <c r="F1477" s="626"/>
    </row>
    <row r="1478" spans="1:6">
      <c r="A1478" t="str">
        <f t="shared" si="23"/>
        <v/>
      </c>
      <c r="E1478" s="626"/>
      <c r="F1478" s="626"/>
    </row>
    <row r="1479" spans="1:6">
      <c r="A1479" t="str">
        <f t="shared" si="23"/>
        <v/>
      </c>
      <c r="E1479" s="626"/>
      <c r="F1479" s="626"/>
    </row>
    <row r="1480" spans="1:6">
      <c r="A1480" t="str">
        <f t="shared" si="23"/>
        <v/>
      </c>
      <c r="E1480" s="626"/>
      <c r="F1480" s="626"/>
    </row>
    <row r="1481" spans="1:6">
      <c r="A1481" t="str">
        <f t="shared" si="23"/>
        <v/>
      </c>
      <c r="E1481" s="626"/>
      <c r="F1481" s="626"/>
    </row>
    <row r="1482" spans="1:6">
      <c r="A1482" t="str">
        <f t="shared" si="23"/>
        <v/>
      </c>
      <c r="E1482" s="626"/>
      <c r="F1482" s="626"/>
    </row>
    <row r="1483" spans="1:6">
      <c r="A1483" t="str">
        <f t="shared" si="23"/>
        <v/>
      </c>
      <c r="E1483" s="626"/>
      <c r="F1483" s="626"/>
    </row>
    <row r="1484" spans="1:6">
      <c r="A1484" t="str">
        <f t="shared" si="23"/>
        <v/>
      </c>
      <c r="E1484" s="626"/>
      <c r="F1484" s="626"/>
    </row>
    <row r="1485" spans="1:6">
      <c r="A1485" t="str">
        <f t="shared" si="23"/>
        <v/>
      </c>
      <c r="E1485" s="626"/>
      <c r="F1485" s="626"/>
    </row>
    <row r="1486" spans="1:6">
      <c r="A1486" t="str">
        <f t="shared" si="23"/>
        <v/>
      </c>
      <c r="E1486" s="626"/>
      <c r="F1486" s="626"/>
    </row>
    <row r="1487" spans="1:6">
      <c r="A1487" t="str">
        <f t="shared" si="23"/>
        <v/>
      </c>
      <c r="E1487" s="626"/>
      <c r="F1487" s="626"/>
    </row>
    <row r="1488" spans="1:6">
      <c r="A1488" t="str">
        <f t="shared" si="23"/>
        <v/>
      </c>
      <c r="E1488" s="626"/>
      <c r="F1488" s="626"/>
    </row>
    <row r="1489" spans="1:6">
      <c r="A1489" t="str">
        <f t="shared" si="23"/>
        <v/>
      </c>
      <c r="E1489" s="626"/>
      <c r="F1489" s="626"/>
    </row>
    <row r="1490" spans="1:6">
      <c r="A1490" t="str">
        <f t="shared" si="23"/>
        <v/>
      </c>
      <c r="E1490" s="626"/>
      <c r="F1490" s="626"/>
    </row>
    <row r="1491" spans="1:6">
      <c r="A1491" t="str">
        <f t="shared" si="23"/>
        <v/>
      </c>
      <c r="E1491" s="626"/>
      <c r="F1491" s="626"/>
    </row>
    <row r="1492" spans="1:6">
      <c r="A1492" t="str">
        <f t="shared" si="23"/>
        <v/>
      </c>
      <c r="E1492" s="626"/>
      <c r="F1492" s="626"/>
    </row>
    <row r="1493" spans="1:6">
      <c r="A1493" t="str">
        <f t="shared" si="23"/>
        <v/>
      </c>
      <c r="E1493" s="626"/>
      <c r="F1493" s="626"/>
    </row>
    <row r="1494" spans="1:6">
      <c r="A1494" t="str">
        <f t="shared" si="23"/>
        <v/>
      </c>
      <c r="E1494" s="626"/>
      <c r="F1494" s="626"/>
    </row>
    <row r="1495" spans="1:6">
      <c r="A1495" t="str">
        <f t="shared" si="23"/>
        <v/>
      </c>
      <c r="E1495" s="626"/>
      <c r="F1495" s="626"/>
    </row>
    <row r="1496" spans="1:6">
      <c r="A1496" t="str">
        <f t="shared" si="23"/>
        <v/>
      </c>
      <c r="E1496" s="626"/>
      <c r="F1496" s="626"/>
    </row>
    <row r="1497" spans="1:6">
      <c r="A1497" t="str">
        <f t="shared" si="23"/>
        <v/>
      </c>
      <c r="E1497" s="626"/>
      <c r="F1497" s="626"/>
    </row>
    <row r="1498" spans="1:6">
      <c r="A1498" t="str">
        <f t="shared" si="23"/>
        <v/>
      </c>
      <c r="E1498" s="626"/>
      <c r="F1498" s="626"/>
    </row>
    <row r="1499" spans="1:6">
      <c r="A1499" t="str">
        <f t="shared" si="23"/>
        <v/>
      </c>
      <c r="E1499" s="626"/>
      <c r="F1499" s="626"/>
    </row>
    <row r="1500" spans="1:6">
      <c r="A1500" t="str">
        <f t="shared" si="23"/>
        <v/>
      </c>
      <c r="E1500" s="626"/>
      <c r="F1500" s="626"/>
    </row>
    <row r="1501" spans="1:6">
      <c r="A1501" t="str">
        <f t="shared" si="23"/>
        <v/>
      </c>
      <c r="E1501" s="626"/>
      <c r="F1501" s="626"/>
    </row>
    <row r="1502" spans="1:6">
      <c r="A1502" t="str">
        <f t="shared" si="23"/>
        <v/>
      </c>
      <c r="E1502" s="626"/>
      <c r="F1502" s="626"/>
    </row>
    <row r="1503" spans="1:6">
      <c r="A1503" t="str">
        <f t="shared" si="23"/>
        <v/>
      </c>
      <c r="E1503" s="626"/>
      <c r="F1503" s="626"/>
    </row>
    <row r="1504" spans="1:6">
      <c r="A1504" t="str">
        <f t="shared" si="23"/>
        <v/>
      </c>
      <c r="E1504" s="626"/>
      <c r="F1504" s="626"/>
    </row>
    <row r="1505" spans="1:6">
      <c r="A1505" t="str">
        <f t="shared" si="23"/>
        <v/>
      </c>
      <c r="E1505" s="626"/>
      <c r="F1505" s="626"/>
    </row>
    <row r="1506" spans="1:6">
      <c r="A1506" t="str">
        <f t="shared" si="23"/>
        <v/>
      </c>
      <c r="E1506" s="626"/>
      <c r="F1506" s="626"/>
    </row>
    <row r="1507" spans="1:6">
      <c r="A1507" t="str">
        <f t="shared" si="23"/>
        <v/>
      </c>
      <c r="E1507" s="626"/>
      <c r="F1507" s="626"/>
    </row>
    <row r="1508" spans="1:6">
      <c r="A1508" t="str">
        <f t="shared" si="23"/>
        <v/>
      </c>
      <c r="E1508" s="626"/>
      <c r="F1508" s="626"/>
    </row>
    <row r="1509" spans="1:6">
      <c r="A1509" t="str">
        <f t="shared" si="23"/>
        <v/>
      </c>
      <c r="E1509" s="626"/>
      <c r="F1509" s="626"/>
    </row>
    <row r="1510" spans="1:6">
      <c r="A1510" t="str">
        <f t="shared" si="23"/>
        <v/>
      </c>
      <c r="E1510" s="626"/>
      <c r="F1510" s="626"/>
    </row>
    <row r="1511" spans="1:6">
      <c r="A1511" t="str">
        <f t="shared" si="23"/>
        <v/>
      </c>
      <c r="E1511" s="626"/>
      <c r="F1511" s="626"/>
    </row>
    <row r="1512" spans="1:6">
      <c r="A1512" t="str">
        <f t="shared" si="23"/>
        <v/>
      </c>
      <c r="E1512" s="626"/>
      <c r="F1512" s="626"/>
    </row>
    <row r="1513" spans="1:6">
      <c r="A1513" t="str">
        <f t="shared" si="23"/>
        <v/>
      </c>
      <c r="E1513" s="626"/>
      <c r="F1513" s="626"/>
    </row>
    <row r="1514" spans="1:6">
      <c r="A1514" t="str">
        <f t="shared" si="23"/>
        <v/>
      </c>
      <c r="E1514" s="626"/>
      <c r="F1514" s="626"/>
    </row>
    <row r="1515" spans="1:6">
      <c r="A1515" t="str">
        <f t="shared" si="23"/>
        <v/>
      </c>
      <c r="E1515" s="626"/>
      <c r="F1515" s="626"/>
    </row>
    <row r="1516" spans="1:6">
      <c r="A1516" t="str">
        <f t="shared" si="23"/>
        <v/>
      </c>
      <c r="E1516" s="626"/>
      <c r="F1516" s="626"/>
    </row>
    <row r="1517" spans="1:6">
      <c r="A1517" t="str">
        <f t="shared" si="23"/>
        <v/>
      </c>
      <c r="E1517" s="626"/>
      <c r="F1517" s="626"/>
    </row>
    <row r="1518" spans="1:6">
      <c r="A1518" t="str">
        <f t="shared" si="23"/>
        <v/>
      </c>
      <c r="E1518" s="626"/>
      <c r="F1518" s="626"/>
    </row>
    <row r="1519" spans="1:6">
      <c r="A1519" t="str">
        <f t="shared" si="23"/>
        <v/>
      </c>
      <c r="E1519" s="626"/>
      <c r="F1519" s="626"/>
    </row>
    <row r="1520" spans="1:6">
      <c r="A1520" t="str">
        <f t="shared" si="23"/>
        <v/>
      </c>
      <c r="E1520" s="626"/>
      <c r="F1520" s="626"/>
    </row>
    <row r="1521" spans="1:6">
      <c r="A1521" t="str">
        <f t="shared" si="23"/>
        <v/>
      </c>
      <c r="E1521" s="626"/>
      <c r="F1521" s="626"/>
    </row>
    <row r="1522" spans="1:6">
      <c r="A1522" t="str">
        <f t="shared" si="23"/>
        <v/>
      </c>
      <c r="E1522" s="626"/>
      <c r="F1522" s="626"/>
    </row>
    <row r="1523" spans="1:6">
      <c r="A1523" t="str">
        <f t="shared" si="23"/>
        <v/>
      </c>
      <c r="E1523" s="626"/>
      <c r="F1523" s="626"/>
    </row>
    <row r="1524" spans="1:6">
      <c r="A1524" t="str">
        <f t="shared" si="23"/>
        <v/>
      </c>
      <c r="E1524" s="626"/>
      <c r="F1524" s="626"/>
    </row>
    <row r="1525" spans="1:6">
      <c r="A1525" t="str">
        <f t="shared" si="23"/>
        <v/>
      </c>
      <c r="E1525" s="626"/>
      <c r="F1525" s="626"/>
    </row>
    <row r="1526" spans="1:6">
      <c r="A1526" t="str">
        <f t="shared" si="23"/>
        <v/>
      </c>
      <c r="E1526" s="626"/>
      <c r="F1526" s="626"/>
    </row>
    <row r="1527" spans="1:6">
      <c r="A1527" t="str">
        <f t="shared" si="23"/>
        <v/>
      </c>
      <c r="E1527" s="626"/>
      <c r="F1527" s="626"/>
    </row>
    <row r="1528" spans="1:6">
      <c r="A1528" t="str">
        <f t="shared" si="23"/>
        <v/>
      </c>
      <c r="E1528" s="626"/>
      <c r="F1528" s="626"/>
    </row>
    <row r="1529" spans="1:6">
      <c r="A1529" t="str">
        <f t="shared" si="23"/>
        <v/>
      </c>
      <c r="E1529" s="626"/>
      <c r="F1529" s="626"/>
    </row>
    <row r="1530" spans="1:6">
      <c r="A1530" t="str">
        <f t="shared" si="23"/>
        <v/>
      </c>
      <c r="E1530" s="626"/>
      <c r="F1530" s="626"/>
    </row>
    <row r="1531" spans="1:6">
      <c r="A1531" t="str">
        <f t="shared" si="23"/>
        <v/>
      </c>
      <c r="E1531" s="626"/>
      <c r="F1531" s="626"/>
    </row>
    <row r="1532" spans="1:6">
      <c r="A1532" t="str">
        <f t="shared" si="23"/>
        <v/>
      </c>
      <c r="E1532" s="626"/>
      <c r="F1532" s="626"/>
    </row>
    <row r="1533" spans="1:6">
      <c r="A1533" t="str">
        <f t="shared" si="23"/>
        <v/>
      </c>
      <c r="E1533" s="626"/>
      <c r="F1533" s="626"/>
    </row>
    <row r="1534" spans="1:6">
      <c r="A1534" t="str">
        <f t="shared" si="23"/>
        <v/>
      </c>
      <c r="E1534" s="626"/>
      <c r="F1534" s="626"/>
    </row>
    <row r="1535" spans="1:6">
      <c r="A1535" t="str">
        <f t="shared" si="23"/>
        <v/>
      </c>
      <c r="E1535" s="626"/>
      <c r="F1535" s="626"/>
    </row>
    <row r="1536" spans="1:6">
      <c r="A1536" t="str">
        <f t="shared" si="23"/>
        <v/>
      </c>
      <c r="E1536" s="626"/>
      <c r="F1536" s="626"/>
    </row>
    <row r="1537" spans="1:6">
      <c r="A1537" t="str">
        <f t="shared" si="23"/>
        <v/>
      </c>
      <c r="E1537" s="626"/>
      <c r="F1537" s="626"/>
    </row>
    <row r="1538" spans="1:6">
      <c r="A1538" t="str">
        <f t="shared" ref="A1538:A1601" si="24">B1538&amp;E1538&amp;J1538</f>
        <v/>
      </c>
      <c r="E1538" s="626"/>
      <c r="F1538" s="626"/>
    </row>
    <row r="1539" spans="1:6">
      <c r="A1539" t="str">
        <f t="shared" si="24"/>
        <v/>
      </c>
      <c r="E1539" s="626"/>
      <c r="F1539" s="626"/>
    </row>
    <row r="1540" spans="1:6">
      <c r="A1540" t="str">
        <f t="shared" si="24"/>
        <v/>
      </c>
      <c r="E1540" s="626"/>
      <c r="F1540" s="626"/>
    </row>
    <row r="1541" spans="1:6">
      <c r="A1541" t="str">
        <f t="shared" si="24"/>
        <v/>
      </c>
      <c r="E1541" s="626"/>
      <c r="F1541" s="626"/>
    </row>
    <row r="1542" spans="1:6">
      <c r="A1542" t="str">
        <f t="shared" si="24"/>
        <v/>
      </c>
      <c r="E1542" s="626"/>
      <c r="F1542" s="626"/>
    </row>
    <row r="1543" spans="1:6">
      <c r="A1543" t="str">
        <f t="shared" si="24"/>
        <v/>
      </c>
      <c r="E1543" s="626"/>
      <c r="F1543" s="626"/>
    </row>
    <row r="1544" spans="1:6">
      <c r="A1544" t="str">
        <f t="shared" si="24"/>
        <v/>
      </c>
      <c r="E1544" s="626"/>
      <c r="F1544" s="626"/>
    </row>
    <row r="1545" spans="1:6">
      <c r="A1545" t="str">
        <f t="shared" si="24"/>
        <v/>
      </c>
      <c r="E1545" s="626"/>
      <c r="F1545" s="626"/>
    </row>
    <row r="1546" spans="1:6">
      <c r="A1546" t="str">
        <f t="shared" si="24"/>
        <v/>
      </c>
      <c r="E1546" s="626"/>
      <c r="F1546" s="626"/>
    </row>
    <row r="1547" spans="1:6">
      <c r="A1547" t="str">
        <f t="shared" si="24"/>
        <v/>
      </c>
      <c r="E1547" s="626"/>
      <c r="F1547" s="626"/>
    </row>
    <row r="1548" spans="1:6">
      <c r="A1548" t="str">
        <f t="shared" si="24"/>
        <v/>
      </c>
      <c r="E1548" s="626"/>
      <c r="F1548" s="626"/>
    </row>
    <row r="1549" spans="1:6">
      <c r="A1549" t="str">
        <f t="shared" si="24"/>
        <v/>
      </c>
      <c r="E1549" s="626"/>
      <c r="F1549" s="626"/>
    </row>
    <row r="1550" spans="1:6">
      <c r="A1550" t="str">
        <f t="shared" si="24"/>
        <v/>
      </c>
      <c r="E1550" s="626"/>
      <c r="F1550" s="626"/>
    </row>
    <row r="1551" spans="1:6">
      <c r="A1551" t="str">
        <f t="shared" si="24"/>
        <v/>
      </c>
      <c r="E1551" s="626"/>
      <c r="F1551" s="626"/>
    </row>
    <row r="1552" spans="1:6">
      <c r="A1552" t="str">
        <f t="shared" si="24"/>
        <v/>
      </c>
      <c r="E1552" s="626"/>
      <c r="F1552" s="626"/>
    </row>
    <row r="1553" spans="1:6">
      <c r="A1553" t="str">
        <f t="shared" si="24"/>
        <v/>
      </c>
      <c r="E1553" s="626"/>
      <c r="F1553" s="626"/>
    </row>
    <row r="1554" spans="1:6">
      <c r="A1554" t="str">
        <f t="shared" si="24"/>
        <v/>
      </c>
      <c r="E1554" s="626"/>
      <c r="F1554" s="626"/>
    </row>
    <row r="1555" spans="1:6">
      <c r="A1555" t="str">
        <f t="shared" si="24"/>
        <v/>
      </c>
      <c r="E1555" s="626"/>
      <c r="F1555" s="626"/>
    </row>
    <row r="1556" spans="1:6">
      <c r="A1556" t="str">
        <f t="shared" si="24"/>
        <v/>
      </c>
      <c r="E1556" s="626"/>
      <c r="F1556" s="626"/>
    </row>
    <row r="1557" spans="1:6">
      <c r="A1557" t="str">
        <f t="shared" si="24"/>
        <v/>
      </c>
      <c r="E1557" s="626"/>
      <c r="F1557" s="626"/>
    </row>
    <row r="1558" spans="1:6">
      <c r="A1558" t="str">
        <f t="shared" si="24"/>
        <v/>
      </c>
      <c r="E1558" s="626"/>
      <c r="F1558" s="626"/>
    </row>
    <row r="1559" spans="1:6">
      <c r="A1559" t="str">
        <f t="shared" si="24"/>
        <v/>
      </c>
      <c r="E1559" s="626"/>
      <c r="F1559" s="626"/>
    </row>
    <row r="1560" spans="1:6">
      <c r="A1560" t="str">
        <f t="shared" si="24"/>
        <v/>
      </c>
      <c r="E1560" s="626"/>
      <c r="F1560" s="626"/>
    </row>
    <row r="1561" spans="1:6">
      <c r="A1561" t="str">
        <f t="shared" si="24"/>
        <v/>
      </c>
      <c r="E1561" s="626"/>
      <c r="F1561" s="626"/>
    </row>
    <row r="1562" spans="1:6">
      <c r="A1562" t="str">
        <f t="shared" si="24"/>
        <v/>
      </c>
      <c r="E1562" s="626"/>
      <c r="F1562" s="626"/>
    </row>
    <row r="1563" spans="1:6">
      <c r="A1563" t="str">
        <f t="shared" si="24"/>
        <v/>
      </c>
      <c r="E1563" s="626"/>
      <c r="F1563" s="626"/>
    </row>
    <row r="1564" spans="1:6">
      <c r="A1564" t="str">
        <f t="shared" si="24"/>
        <v/>
      </c>
      <c r="E1564" s="626"/>
      <c r="F1564" s="626"/>
    </row>
    <row r="1565" spans="1:6">
      <c r="A1565" t="str">
        <f t="shared" si="24"/>
        <v/>
      </c>
      <c r="E1565" s="626"/>
      <c r="F1565" s="626"/>
    </row>
    <row r="1566" spans="1:6">
      <c r="A1566" t="str">
        <f t="shared" si="24"/>
        <v/>
      </c>
      <c r="E1566" s="626"/>
      <c r="F1566" s="626"/>
    </row>
    <row r="1567" spans="1:6">
      <c r="A1567" t="str">
        <f t="shared" si="24"/>
        <v/>
      </c>
      <c r="E1567" s="626"/>
      <c r="F1567" s="626"/>
    </row>
    <row r="1568" spans="1:6">
      <c r="A1568" t="str">
        <f t="shared" si="24"/>
        <v/>
      </c>
      <c r="E1568" s="626"/>
      <c r="F1568" s="626"/>
    </row>
    <row r="1569" spans="1:6">
      <c r="A1569" t="str">
        <f t="shared" si="24"/>
        <v/>
      </c>
      <c r="E1569" s="626"/>
      <c r="F1569" s="626"/>
    </row>
    <row r="1570" spans="1:6">
      <c r="A1570" t="str">
        <f t="shared" si="24"/>
        <v/>
      </c>
      <c r="E1570" s="626"/>
      <c r="F1570" s="626"/>
    </row>
    <row r="1571" spans="1:6">
      <c r="A1571" t="str">
        <f t="shared" si="24"/>
        <v/>
      </c>
      <c r="E1571" s="626"/>
      <c r="F1571" s="626"/>
    </row>
    <row r="1572" spans="1:6">
      <c r="A1572" t="str">
        <f t="shared" si="24"/>
        <v/>
      </c>
      <c r="E1572" s="626"/>
      <c r="F1572" s="626"/>
    </row>
    <row r="1573" spans="1:6">
      <c r="A1573" t="str">
        <f t="shared" si="24"/>
        <v/>
      </c>
      <c r="E1573" s="626"/>
      <c r="F1573" s="626"/>
    </row>
    <row r="1574" spans="1:6">
      <c r="A1574" t="str">
        <f t="shared" si="24"/>
        <v/>
      </c>
      <c r="E1574" s="626"/>
      <c r="F1574" s="626"/>
    </row>
    <row r="1575" spans="1:6">
      <c r="A1575" t="str">
        <f t="shared" si="24"/>
        <v/>
      </c>
      <c r="E1575" s="626"/>
      <c r="F1575" s="626"/>
    </row>
    <row r="1576" spans="1:6">
      <c r="A1576" t="str">
        <f t="shared" si="24"/>
        <v/>
      </c>
      <c r="E1576" s="626"/>
      <c r="F1576" s="626"/>
    </row>
    <row r="1577" spans="1:6">
      <c r="A1577" t="str">
        <f t="shared" si="24"/>
        <v/>
      </c>
      <c r="E1577" s="626"/>
      <c r="F1577" s="626"/>
    </row>
    <row r="1578" spans="1:6">
      <c r="A1578" t="str">
        <f t="shared" si="24"/>
        <v/>
      </c>
      <c r="E1578" s="626"/>
      <c r="F1578" s="626"/>
    </row>
    <row r="1579" spans="1:6">
      <c r="A1579" t="str">
        <f t="shared" si="24"/>
        <v/>
      </c>
      <c r="E1579" s="626"/>
      <c r="F1579" s="626"/>
    </row>
    <row r="1580" spans="1:6">
      <c r="A1580" t="str">
        <f t="shared" si="24"/>
        <v/>
      </c>
      <c r="E1580" s="626"/>
      <c r="F1580" s="626"/>
    </row>
    <row r="1581" spans="1:6">
      <c r="A1581" t="str">
        <f t="shared" si="24"/>
        <v/>
      </c>
      <c r="E1581" s="626"/>
      <c r="F1581" s="626"/>
    </row>
    <row r="1582" spans="1:6">
      <c r="A1582" t="str">
        <f t="shared" si="24"/>
        <v/>
      </c>
      <c r="E1582" s="626"/>
      <c r="F1582" s="626"/>
    </row>
    <row r="1583" spans="1:6">
      <c r="A1583" t="str">
        <f t="shared" si="24"/>
        <v/>
      </c>
      <c r="E1583" s="626"/>
      <c r="F1583" s="626"/>
    </row>
    <row r="1584" spans="1:6">
      <c r="A1584" t="str">
        <f t="shared" si="24"/>
        <v/>
      </c>
      <c r="E1584" s="626"/>
      <c r="F1584" s="626"/>
    </row>
    <row r="1585" spans="1:6">
      <c r="A1585" t="str">
        <f t="shared" si="24"/>
        <v/>
      </c>
      <c r="E1585" s="626"/>
      <c r="F1585" s="626"/>
    </row>
    <row r="1586" spans="1:6">
      <c r="A1586" t="str">
        <f t="shared" si="24"/>
        <v/>
      </c>
      <c r="E1586" s="626"/>
      <c r="F1586" s="626"/>
    </row>
    <row r="1587" spans="1:6">
      <c r="A1587" t="str">
        <f t="shared" si="24"/>
        <v/>
      </c>
      <c r="E1587" s="626"/>
      <c r="F1587" s="626"/>
    </row>
    <row r="1588" spans="1:6">
      <c r="A1588" t="str">
        <f t="shared" si="24"/>
        <v/>
      </c>
      <c r="E1588" s="626"/>
      <c r="F1588" s="626"/>
    </row>
    <row r="1589" spans="1:6">
      <c r="A1589" t="str">
        <f t="shared" si="24"/>
        <v/>
      </c>
      <c r="E1589" s="626"/>
      <c r="F1589" s="626"/>
    </row>
    <row r="1590" spans="1:6">
      <c r="A1590" t="str">
        <f t="shared" si="24"/>
        <v/>
      </c>
      <c r="E1590" s="626"/>
      <c r="F1590" s="626"/>
    </row>
    <row r="1591" spans="1:6">
      <c r="A1591" t="str">
        <f t="shared" si="24"/>
        <v/>
      </c>
      <c r="E1591" s="626"/>
      <c r="F1591" s="626"/>
    </row>
    <row r="1592" spans="1:6">
      <c r="A1592" t="str">
        <f t="shared" si="24"/>
        <v/>
      </c>
      <c r="E1592" s="626"/>
      <c r="F1592" s="626"/>
    </row>
    <row r="1593" spans="1:6">
      <c r="A1593" t="str">
        <f t="shared" si="24"/>
        <v/>
      </c>
      <c r="E1593" s="626"/>
      <c r="F1593" s="626"/>
    </row>
    <row r="1594" spans="1:6">
      <c r="A1594" t="str">
        <f t="shared" si="24"/>
        <v/>
      </c>
      <c r="E1594" s="626"/>
      <c r="F1594" s="626"/>
    </row>
    <row r="1595" spans="1:6">
      <c r="A1595" t="str">
        <f t="shared" si="24"/>
        <v/>
      </c>
      <c r="E1595" s="626"/>
      <c r="F1595" s="626"/>
    </row>
    <row r="1596" spans="1:6">
      <c r="A1596" t="str">
        <f t="shared" si="24"/>
        <v/>
      </c>
      <c r="E1596" s="626"/>
      <c r="F1596" s="626"/>
    </row>
    <row r="1597" spans="1:6">
      <c r="A1597" t="str">
        <f t="shared" si="24"/>
        <v/>
      </c>
      <c r="E1597" s="626"/>
      <c r="F1597" s="626"/>
    </row>
    <row r="1598" spans="1:6">
      <c r="A1598" t="str">
        <f t="shared" si="24"/>
        <v/>
      </c>
      <c r="E1598" s="626"/>
      <c r="F1598" s="626"/>
    </row>
    <row r="1599" spans="1:6">
      <c r="A1599" t="str">
        <f t="shared" si="24"/>
        <v/>
      </c>
      <c r="E1599" s="626"/>
      <c r="F1599" s="626"/>
    </row>
    <row r="1600" spans="1:6">
      <c r="A1600" t="str">
        <f t="shared" si="24"/>
        <v/>
      </c>
      <c r="E1600" s="626"/>
      <c r="F1600" s="626"/>
    </row>
    <row r="1601" spans="1:6">
      <c r="A1601" t="str">
        <f t="shared" si="24"/>
        <v/>
      </c>
      <c r="E1601" s="626"/>
      <c r="F1601" s="626"/>
    </row>
    <row r="1602" spans="1:6">
      <c r="A1602" t="str">
        <f t="shared" ref="A1602:A1665" si="25">B1602&amp;E1602&amp;J1602</f>
        <v/>
      </c>
      <c r="E1602" s="626"/>
      <c r="F1602" s="626"/>
    </row>
    <row r="1603" spans="1:6">
      <c r="A1603" t="str">
        <f t="shared" si="25"/>
        <v/>
      </c>
      <c r="E1603" s="626"/>
      <c r="F1603" s="626"/>
    </row>
    <row r="1604" spans="1:6">
      <c r="A1604" t="str">
        <f t="shared" si="25"/>
        <v/>
      </c>
      <c r="E1604" s="626"/>
      <c r="F1604" s="626"/>
    </row>
    <row r="1605" spans="1:6">
      <c r="A1605" t="str">
        <f t="shared" si="25"/>
        <v/>
      </c>
      <c r="E1605" s="626"/>
      <c r="F1605" s="626"/>
    </row>
    <row r="1606" spans="1:6">
      <c r="A1606" t="str">
        <f t="shared" si="25"/>
        <v/>
      </c>
      <c r="E1606" s="626"/>
      <c r="F1606" s="626"/>
    </row>
    <row r="1607" spans="1:6">
      <c r="A1607" t="str">
        <f t="shared" si="25"/>
        <v/>
      </c>
      <c r="E1607" s="626"/>
      <c r="F1607" s="626"/>
    </row>
    <row r="1608" spans="1:6">
      <c r="A1608" t="str">
        <f t="shared" si="25"/>
        <v/>
      </c>
      <c r="E1608" s="626"/>
      <c r="F1608" s="626"/>
    </row>
    <row r="1609" spans="1:6">
      <c r="A1609" t="str">
        <f t="shared" si="25"/>
        <v/>
      </c>
      <c r="E1609" s="626"/>
      <c r="F1609" s="626"/>
    </row>
    <row r="1610" spans="1:6">
      <c r="A1610" t="str">
        <f t="shared" si="25"/>
        <v/>
      </c>
      <c r="E1610" s="626"/>
      <c r="F1610" s="626"/>
    </row>
    <row r="1611" spans="1:6">
      <c r="A1611" t="str">
        <f t="shared" si="25"/>
        <v/>
      </c>
      <c r="E1611" s="626"/>
      <c r="F1611" s="626"/>
    </row>
    <row r="1612" spans="1:6">
      <c r="A1612" t="str">
        <f t="shared" si="25"/>
        <v/>
      </c>
      <c r="E1612" s="626"/>
      <c r="F1612" s="626"/>
    </row>
    <row r="1613" spans="1:6">
      <c r="A1613" t="str">
        <f t="shared" si="25"/>
        <v/>
      </c>
      <c r="E1613" s="626"/>
      <c r="F1613" s="626"/>
    </row>
    <row r="1614" spans="1:6">
      <c r="A1614" t="str">
        <f t="shared" si="25"/>
        <v/>
      </c>
      <c r="E1614" s="626"/>
      <c r="F1614" s="626"/>
    </row>
    <row r="1615" spans="1:6">
      <c r="A1615" t="str">
        <f t="shared" si="25"/>
        <v/>
      </c>
      <c r="E1615" s="626"/>
      <c r="F1615" s="626"/>
    </row>
    <row r="1616" spans="1:6">
      <c r="A1616" t="str">
        <f t="shared" si="25"/>
        <v/>
      </c>
      <c r="E1616" s="626"/>
      <c r="F1616" s="626"/>
    </row>
    <row r="1617" spans="1:6">
      <c r="A1617" t="str">
        <f t="shared" si="25"/>
        <v/>
      </c>
      <c r="E1617" s="626"/>
      <c r="F1617" s="626"/>
    </row>
    <row r="1618" spans="1:6">
      <c r="A1618" t="str">
        <f t="shared" si="25"/>
        <v/>
      </c>
      <c r="E1618" s="626"/>
      <c r="F1618" s="626"/>
    </row>
    <row r="1619" spans="1:6">
      <c r="A1619" t="str">
        <f t="shared" si="25"/>
        <v/>
      </c>
      <c r="E1619" s="626"/>
      <c r="F1619" s="626"/>
    </row>
    <row r="1620" spans="1:6">
      <c r="A1620" t="str">
        <f t="shared" si="25"/>
        <v/>
      </c>
      <c r="E1620" s="626"/>
      <c r="F1620" s="626"/>
    </row>
    <row r="1621" spans="1:6">
      <c r="A1621" t="str">
        <f t="shared" si="25"/>
        <v/>
      </c>
      <c r="E1621" s="626"/>
      <c r="F1621" s="626"/>
    </row>
    <row r="1622" spans="1:6">
      <c r="A1622" t="str">
        <f t="shared" si="25"/>
        <v/>
      </c>
      <c r="E1622" s="626"/>
      <c r="F1622" s="626"/>
    </row>
    <row r="1623" spans="1:6">
      <c r="A1623" t="str">
        <f t="shared" si="25"/>
        <v/>
      </c>
      <c r="E1623" s="626"/>
      <c r="F1623" s="626"/>
    </row>
    <row r="1624" spans="1:6">
      <c r="A1624" t="str">
        <f t="shared" si="25"/>
        <v/>
      </c>
      <c r="E1624" s="626"/>
      <c r="F1624" s="626"/>
    </row>
    <row r="1625" spans="1:6">
      <c r="A1625" t="str">
        <f t="shared" si="25"/>
        <v/>
      </c>
      <c r="E1625" s="626"/>
      <c r="F1625" s="626"/>
    </row>
    <row r="1626" spans="1:6">
      <c r="A1626" t="str">
        <f t="shared" si="25"/>
        <v/>
      </c>
      <c r="E1626" s="626"/>
      <c r="F1626" s="626"/>
    </row>
    <row r="1627" spans="1:6">
      <c r="A1627" t="str">
        <f t="shared" si="25"/>
        <v/>
      </c>
      <c r="E1627" s="626"/>
      <c r="F1627" s="626"/>
    </row>
    <row r="1628" spans="1:6">
      <c r="A1628" t="str">
        <f t="shared" si="25"/>
        <v/>
      </c>
      <c r="E1628" s="626"/>
      <c r="F1628" s="626"/>
    </row>
    <row r="1629" spans="1:6">
      <c r="A1629" t="str">
        <f t="shared" si="25"/>
        <v/>
      </c>
      <c r="E1629" s="626"/>
      <c r="F1629" s="626"/>
    </row>
    <row r="1630" spans="1:6">
      <c r="A1630" t="str">
        <f t="shared" si="25"/>
        <v/>
      </c>
      <c r="E1630" s="626"/>
      <c r="F1630" s="626"/>
    </row>
    <row r="1631" spans="1:6">
      <c r="A1631" t="str">
        <f t="shared" si="25"/>
        <v/>
      </c>
      <c r="E1631" s="626"/>
      <c r="F1631" s="626"/>
    </row>
    <row r="1632" spans="1:6">
      <c r="A1632" t="str">
        <f t="shared" si="25"/>
        <v/>
      </c>
      <c r="E1632" s="626"/>
      <c r="F1632" s="626"/>
    </row>
    <row r="1633" spans="1:6">
      <c r="A1633" t="str">
        <f t="shared" si="25"/>
        <v/>
      </c>
      <c r="E1633" s="626"/>
      <c r="F1633" s="626"/>
    </row>
    <row r="1634" spans="1:6">
      <c r="A1634" t="str">
        <f t="shared" si="25"/>
        <v/>
      </c>
      <c r="E1634" s="626"/>
      <c r="F1634" s="626"/>
    </row>
    <row r="1635" spans="1:6">
      <c r="A1635" t="str">
        <f t="shared" si="25"/>
        <v/>
      </c>
      <c r="E1635" s="626"/>
      <c r="F1635" s="626"/>
    </row>
    <row r="1636" spans="1:6">
      <c r="A1636" t="str">
        <f t="shared" si="25"/>
        <v/>
      </c>
      <c r="E1636" s="626"/>
      <c r="F1636" s="626"/>
    </row>
    <row r="1637" spans="1:6">
      <c r="A1637" t="str">
        <f t="shared" si="25"/>
        <v/>
      </c>
      <c r="E1637" s="626"/>
      <c r="F1637" s="626"/>
    </row>
    <row r="1638" spans="1:6">
      <c r="A1638" t="str">
        <f t="shared" si="25"/>
        <v/>
      </c>
      <c r="E1638" s="626"/>
      <c r="F1638" s="626"/>
    </row>
    <row r="1639" spans="1:6">
      <c r="A1639" t="str">
        <f t="shared" si="25"/>
        <v/>
      </c>
      <c r="E1639" s="626"/>
      <c r="F1639" s="626"/>
    </row>
    <row r="1640" spans="1:6">
      <c r="A1640" t="str">
        <f t="shared" si="25"/>
        <v/>
      </c>
      <c r="E1640" s="626"/>
      <c r="F1640" s="626"/>
    </row>
    <row r="1641" spans="1:6">
      <c r="A1641" t="str">
        <f t="shared" si="25"/>
        <v/>
      </c>
      <c r="E1641" s="626"/>
      <c r="F1641" s="626"/>
    </row>
    <row r="1642" spans="1:6">
      <c r="A1642" t="str">
        <f t="shared" si="25"/>
        <v/>
      </c>
      <c r="E1642" s="626"/>
      <c r="F1642" s="626"/>
    </row>
    <row r="1643" spans="1:6">
      <c r="A1643" t="str">
        <f t="shared" si="25"/>
        <v/>
      </c>
      <c r="E1643" s="626"/>
      <c r="F1643" s="626"/>
    </row>
    <row r="1644" spans="1:6">
      <c r="A1644" t="str">
        <f t="shared" si="25"/>
        <v/>
      </c>
      <c r="E1644" s="626"/>
      <c r="F1644" s="626"/>
    </row>
    <row r="1645" spans="1:6">
      <c r="A1645" t="str">
        <f t="shared" si="25"/>
        <v/>
      </c>
      <c r="E1645" s="626"/>
      <c r="F1645" s="626"/>
    </row>
    <row r="1646" spans="1:6">
      <c r="A1646" t="str">
        <f t="shared" si="25"/>
        <v/>
      </c>
      <c r="E1646" s="626"/>
      <c r="F1646" s="626"/>
    </row>
    <row r="1647" spans="1:6">
      <c r="A1647" t="str">
        <f t="shared" si="25"/>
        <v/>
      </c>
      <c r="E1647" s="626"/>
      <c r="F1647" s="626"/>
    </row>
    <row r="1648" spans="1:6">
      <c r="A1648" t="str">
        <f t="shared" si="25"/>
        <v/>
      </c>
      <c r="E1648" s="626"/>
      <c r="F1648" s="626"/>
    </row>
    <row r="1649" spans="1:6">
      <c r="A1649" t="str">
        <f t="shared" si="25"/>
        <v/>
      </c>
      <c r="E1649" s="626"/>
      <c r="F1649" s="626"/>
    </row>
    <row r="1650" spans="1:6">
      <c r="A1650" t="str">
        <f t="shared" si="25"/>
        <v/>
      </c>
      <c r="E1650" s="626"/>
      <c r="F1650" s="626"/>
    </row>
    <row r="1651" spans="1:6">
      <c r="A1651" t="str">
        <f t="shared" si="25"/>
        <v/>
      </c>
      <c r="E1651" s="626"/>
      <c r="F1651" s="626"/>
    </row>
    <row r="1652" spans="1:6">
      <c r="A1652" t="str">
        <f t="shared" si="25"/>
        <v/>
      </c>
      <c r="E1652" s="626"/>
      <c r="F1652" s="626"/>
    </row>
    <row r="1653" spans="1:6">
      <c r="A1653" t="str">
        <f t="shared" si="25"/>
        <v/>
      </c>
      <c r="E1653" s="626"/>
      <c r="F1653" s="626"/>
    </row>
    <row r="1654" spans="1:6">
      <c r="A1654" t="str">
        <f t="shared" si="25"/>
        <v/>
      </c>
      <c r="E1654" s="626"/>
      <c r="F1654" s="626"/>
    </row>
    <row r="1655" spans="1:6">
      <c r="A1655" t="str">
        <f t="shared" si="25"/>
        <v/>
      </c>
      <c r="E1655" s="626"/>
      <c r="F1655" s="626"/>
    </row>
    <row r="1656" spans="1:6">
      <c r="A1656" t="str">
        <f t="shared" si="25"/>
        <v/>
      </c>
      <c r="E1656" s="626"/>
      <c r="F1656" s="626"/>
    </row>
    <row r="1657" spans="1:6">
      <c r="A1657" t="str">
        <f t="shared" si="25"/>
        <v/>
      </c>
      <c r="E1657" s="626"/>
      <c r="F1657" s="626"/>
    </row>
    <row r="1658" spans="1:6">
      <c r="A1658" t="str">
        <f t="shared" si="25"/>
        <v/>
      </c>
      <c r="E1658" s="626"/>
      <c r="F1658" s="626"/>
    </row>
    <row r="1659" spans="1:6">
      <c r="A1659" t="str">
        <f t="shared" si="25"/>
        <v/>
      </c>
      <c r="E1659" s="626"/>
      <c r="F1659" s="626"/>
    </row>
    <row r="1660" spans="1:6">
      <c r="A1660" t="str">
        <f t="shared" si="25"/>
        <v/>
      </c>
      <c r="E1660" s="626"/>
      <c r="F1660" s="626"/>
    </row>
    <row r="1661" spans="1:6">
      <c r="A1661" t="str">
        <f t="shared" si="25"/>
        <v/>
      </c>
      <c r="E1661" s="626"/>
      <c r="F1661" s="626"/>
    </row>
    <row r="1662" spans="1:6">
      <c r="A1662" t="str">
        <f t="shared" si="25"/>
        <v/>
      </c>
      <c r="E1662" s="626"/>
      <c r="F1662" s="626"/>
    </row>
    <row r="1663" spans="1:6">
      <c r="A1663" t="str">
        <f t="shared" si="25"/>
        <v/>
      </c>
      <c r="E1663" s="626"/>
      <c r="F1663" s="626"/>
    </row>
    <row r="1664" spans="1:6">
      <c r="A1664" t="str">
        <f t="shared" si="25"/>
        <v/>
      </c>
      <c r="E1664" s="626"/>
      <c r="F1664" s="626"/>
    </row>
    <row r="1665" spans="1:6">
      <c r="A1665" t="str">
        <f t="shared" si="25"/>
        <v/>
      </c>
      <c r="E1665" s="626"/>
      <c r="F1665" s="626"/>
    </row>
    <row r="1666" spans="1:6">
      <c r="A1666" t="str">
        <f t="shared" ref="A1666:A1729" si="26">B1666&amp;E1666&amp;J1666</f>
        <v/>
      </c>
      <c r="E1666" s="626"/>
      <c r="F1666" s="626"/>
    </row>
    <row r="1667" spans="1:6">
      <c r="A1667" t="str">
        <f t="shared" si="26"/>
        <v/>
      </c>
      <c r="E1667" s="626"/>
      <c r="F1667" s="626"/>
    </row>
    <row r="1668" spans="1:6">
      <c r="A1668" t="str">
        <f t="shared" si="26"/>
        <v/>
      </c>
      <c r="E1668" s="626"/>
      <c r="F1668" s="626"/>
    </row>
    <row r="1669" spans="1:6">
      <c r="A1669" t="str">
        <f t="shared" si="26"/>
        <v/>
      </c>
      <c r="E1669" s="626"/>
      <c r="F1669" s="626"/>
    </row>
    <row r="1670" spans="1:6">
      <c r="A1670" t="str">
        <f t="shared" si="26"/>
        <v/>
      </c>
      <c r="E1670" s="626"/>
      <c r="F1670" s="626"/>
    </row>
    <row r="1671" spans="1:6">
      <c r="A1671" t="str">
        <f t="shared" si="26"/>
        <v/>
      </c>
      <c r="E1671" s="626"/>
      <c r="F1671" s="626"/>
    </row>
    <row r="1672" spans="1:6">
      <c r="A1672" t="str">
        <f t="shared" si="26"/>
        <v/>
      </c>
      <c r="E1672" s="626"/>
      <c r="F1672" s="626"/>
    </row>
    <row r="1673" spans="1:6">
      <c r="A1673" t="str">
        <f t="shared" si="26"/>
        <v/>
      </c>
      <c r="E1673" s="626"/>
      <c r="F1673" s="626"/>
    </row>
    <row r="1674" spans="1:6">
      <c r="A1674" t="str">
        <f t="shared" si="26"/>
        <v/>
      </c>
      <c r="E1674" s="626"/>
      <c r="F1674" s="626"/>
    </row>
    <row r="1675" spans="1:6">
      <c r="A1675" t="str">
        <f t="shared" si="26"/>
        <v/>
      </c>
      <c r="E1675" s="626"/>
      <c r="F1675" s="626"/>
    </row>
    <row r="1676" spans="1:6">
      <c r="A1676" t="str">
        <f t="shared" si="26"/>
        <v/>
      </c>
      <c r="E1676" s="626"/>
      <c r="F1676" s="626"/>
    </row>
    <row r="1677" spans="1:6">
      <c r="A1677" t="str">
        <f t="shared" si="26"/>
        <v/>
      </c>
      <c r="E1677" s="626"/>
      <c r="F1677" s="626"/>
    </row>
    <row r="1678" spans="1:6">
      <c r="A1678" t="str">
        <f t="shared" si="26"/>
        <v/>
      </c>
      <c r="E1678" s="626"/>
      <c r="F1678" s="626"/>
    </row>
    <row r="1679" spans="1:6">
      <c r="A1679" t="str">
        <f t="shared" si="26"/>
        <v/>
      </c>
      <c r="E1679" s="626"/>
      <c r="F1679" s="626"/>
    </row>
    <row r="1680" spans="1:6">
      <c r="A1680" t="str">
        <f t="shared" si="26"/>
        <v/>
      </c>
      <c r="E1680" s="626"/>
      <c r="F1680" s="626"/>
    </row>
    <row r="1681" spans="1:6">
      <c r="A1681" t="str">
        <f t="shared" si="26"/>
        <v/>
      </c>
      <c r="E1681" s="626"/>
      <c r="F1681" s="626"/>
    </row>
    <row r="1682" spans="1:6">
      <c r="A1682" t="str">
        <f t="shared" si="26"/>
        <v/>
      </c>
      <c r="E1682" s="626"/>
      <c r="F1682" s="626"/>
    </row>
    <row r="1683" spans="1:6">
      <c r="A1683" t="str">
        <f t="shared" si="26"/>
        <v/>
      </c>
      <c r="E1683" s="626"/>
      <c r="F1683" s="626"/>
    </row>
    <row r="1684" spans="1:6">
      <c r="A1684" t="str">
        <f t="shared" si="26"/>
        <v/>
      </c>
      <c r="E1684" s="626"/>
      <c r="F1684" s="626"/>
    </row>
    <row r="1685" spans="1:6">
      <c r="A1685" t="str">
        <f t="shared" si="26"/>
        <v/>
      </c>
      <c r="E1685" s="626"/>
      <c r="F1685" s="626"/>
    </row>
    <row r="1686" spans="1:6">
      <c r="A1686" t="str">
        <f t="shared" si="26"/>
        <v/>
      </c>
      <c r="E1686" s="626"/>
      <c r="F1686" s="626"/>
    </row>
    <row r="1687" spans="1:6">
      <c r="A1687" t="str">
        <f t="shared" si="26"/>
        <v/>
      </c>
      <c r="E1687" s="626"/>
      <c r="F1687" s="626"/>
    </row>
    <row r="1688" spans="1:6">
      <c r="A1688" t="str">
        <f t="shared" si="26"/>
        <v/>
      </c>
      <c r="E1688" s="626"/>
      <c r="F1688" s="626"/>
    </row>
    <row r="1689" spans="1:6">
      <c r="A1689" t="str">
        <f t="shared" si="26"/>
        <v/>
      </c>
      <c r="E1689" s="626"/>
      <c r="F1689" s="626"/>
    </row>
    <row r="1690" spans="1:6">
      <c r="A1690" t="str">
        <f t="shared" si="26"/>
        <v/>
      </c>
      <c r="E1690" s="626"/>
      <c r="F1690" s="626"/>
    </row>
    <row r="1691" spans="1:6">
      <c r="A1691" t="str">
        <f t="shared" si="26"/>
        <v/>
      </c>
      <c r="E1691" s="626"/>
      <c r="F1691" s="626"/>
    </row>
    <row r="1692" spans="1:6">
      <c r="A1692" t="str">
        <f t="shared" si="26"/>
        <v/>
      </c>
      <c r="E1692" s="626"/>
      <c r="F1692" s="626"/>
    </row>
    <row r="1693" spans="1:6">
      <c r="A1693" t="str">
        <f t="shared" si="26"/>
        <v/>
      </c>
      <c r="E1693" s="626"/>
      <c r="F1693" s="626"/>
    </row>
    <row r="1694" spans="1:6">
      <c r="A1694" t="str">
        <f t="shared" si="26"/>
        <v/>
      </c>
      <c r="E1694" s="626"/>
      <c r="F1694" s="626"/>
    </row>
    <row r="1695" spans="1:6">
      <c r="A1695" t="str">
        <f t="shared" si="26"/>
        <v/>
      </c>
      <c r="E1695" s="626"/>
      <c r="F1695" s="626"/>
    </row>
    <row r="1696" spans="1:6">
      <c r="A1696" t="str">
        <f t="shared" si="26"/>
        <v/>
      </c>
      <c r="E1696" s="626"/>
      <c r="F1696" s="626"/>
    </row>
    <row r="1697" spans="1:6">
      <c r="A1697" t="str">
        <f t="shared" si="26"/>
        <v/>
      </c>
      <c r="E1697" s="626"/>
      <c r="F1697" s="626"/>
    </row>
    <row r="1698" spans="1:6">
      <c r="A1698" t="str">
        <f t="shared" si="26"/>
        <v/>
      </c>
      <c r="E1698" s="626"/>
      <c r="F1698" s="626"/>
    </row>
    <row r="1699" spans="1:6">
      <c r="A1699" t="str">
        <f t="shared" si="26"/>
        <v/>
      </c>
      <c r="E1699" s="626"/>
      <c r="F1699" s="626"/>
    </row>
    <row r="1700" spans="1:6">
      <c r="A1700" t="str">
        <f t="shared" si="26"/>
        <v/>
      </c>
      <c r="E1700" s="626"/>
      <c r="F1700" s="626"/>
    </row>
    <row r="1701" spans="1:6">
      <c r="A1701" t="str">
        <f t="shared" si="26"/>
        <v/>
      </c>
      <c r="E1701" s="626"/>
      <c r="F1701" s="626"/>
    </row>
    <row r="1702" spans="1:6">
      <c r="A1702" t="str">
        <f t="shared" si="26"/>
        <v/>
      </c>
      <c r="E1702" s="626"/>
      <c r="F1702" s="626"/>
    </row>
    <row r="1703" spans="1:6">
      <c r="A1703" t="str">
        <f t="shared" si="26"/>
        <v/>
      </c>
      <c r="E1703" s="626"/>
      <c r="F1703" s="626"/>
    </row>
    <row r="1704" spans="1:6">
      <c r="A1704" t="str">
        <f t="shared" si="26"/>
        <v/>
      </c>
      <c r="E1704" s="626"/>
      <c r="F1704" s="626"/>
    </row>
    <row r="1705" spans="1:6">
      <c r="A1705" t="str">
        <f t="shared" si="26"/>
        <v/>
      </c>
      <c r="E1705" s="626"/>
      <c r="F1705" s="626"/>
    </row>
    <row r="1706" spans="1:6">
      <c r="A1706" t="str">
        <f t="shared" si="26"/>
        <v/>
      </c>
      <c r="E1706" s="626"/>
      <c r="F1706" s="626"/>
    </row>
    <row r="1707" spans="1:6">
      <c r="A1707" t="str">
        <f t="shared" si="26"/>
        <v/>
      </c>
      <c r="E1707" s="626"/>
      <c r="F1707" s="626"/>
    </row>
    <row r="1708" spans="1:6">
      <c r="A1708" t="str">
        <f t="shared" si="26"/>
        <v/>
      </c>
      <c r="E1708" s="626"/>
      <c r="F1708" s="626"/>
    </row>
    <row r="1709" spans="1:6">
      <c r="A1709" t="str">
        <f t="shared" si="26"/>
        <v/>
      </c>
      <c r="E1709" s="626"/>
      <c r="F1709" s="626"/>
    </row>
    <row r="1710" spans="1:6">
      <c r="A1710" t="str">
        <f t="shared" si="26"/>
        <v/>
      </c>
      <c r="E1710" s="626"/>
      <c r="F1710" s="626"/>
    </row>
    <row r="1711" spans="1:6">
      <c r="A1711" t="str">
        <f t="shared" si="26"/>
        <v/>
      </c>
      <c r="E1711" s="626"/>
      <c r="F1711" s="626"/>
    </row>
    <row r="1712" spans="1:6">
      <c r="A1712" t="str">
        <f t="shared" si="26"/>
        <v/>
      </c>
      <c r="E1712" s="626"/>
      <c r="F1712" s="626"/>
    </row>
    <row r="1713" spans="1:6">
      <c r="A1713" t="str">
        <f t="shared" si="26"/>
        <v/>
      </c>
      <c r="E1713" s="626"/>
      <c r="F1713" s="626"/>
    </row>
    <row r="1714" spans="1:6">
      <c r="A1714" t="str">
        <f t="shared" si="26"/>
        <v/>
      </c>
      <c r="E1714" s="626"/>
      <c r="F1714" s="626"/>
    </row>
    <row r="1715" spans="1:6">
      <c r="A1715" t="str">
        <f t="shared" si="26"/>
        <v/>
      </c>
      <c r="E1715" s="626"/>
      <c r="F1715" s="626"/>
    </row>
    <row r="1716" spans="1:6">
      <c r="A1716" t="str">
        <f t="shared" si="26"/>
        <v/>
      </c>
      <c r="E1716" s="626"/>
      <c r="F1716" s="626"/>
    </row>
    <row r="1717" spans="1:6">
      <c r="A1717" t="str">
        <f t="shared" si="26"/>
        <v/>
      </c>
      <c r="E1717" s="626"/>
      <c r="F1717" s="626"/>
    </row>
    <row r="1718" spans="1:6">
      <c r="A1718" t="str">
        <f t="shared" si="26"/>
        <v/>
      </c>
      <c r="E1718" s="626"/>
      <c r="F1718" s="626"/>
    </row>
    <row r="1719" spans="1:6">
      <c r="A1719" t="str">
        <f t="shared" si="26"/>
        <v/>
      </c>
      <c r="E1719" s="626"/>
      <c r="F1719" s="626"/>
    </row>
    <row r="1720" spans="1:6">
      <c r="A1720" t="str">
        <f t="shared" si="26"/>
        <v/>
      </c>
      <c r="E1720" s="626"/>
      <c r="F1720" s="626"/>
    </row>
    <row r="1721" spans="1:6">
      <c r="A1721" t="str">
        <f t="shared" si="26"/>
        <v/>
      </c>
      <c r="E1721" s="626"/>
      <c r="F1721" s="626"/>
    </row>
    <row r="1722" spans="1:6">
      <c r="A1722" t="str">
        <f t="shared" si="26"/>
        <v/>
      </c>
      <c r="E1722" s="626"/>
      <c r="F1722" s="626"/>
    </row>
    <row r="1723" spans="1:6">
      <c r="A1723" t="str">
        <f t="shared" si="26"/>
        <v/>
      </c>
      <c r="E1723" s="626"/>
      <c r="F1723" s="626"/>
    </row>
    <row r="1724" spans="1:6">
      <c r="A1724" t="str">
        <f t="shared" si="26"/>
        <v/>
      </c>
      <c r="E1724" s="626"/>
      <c r="F1724" s="626"/>
    </row>
    <row r="1725" spans="1:6">
      <c r="A1725" t="str">
        <f t="shared" si="26"/>
        <v/>
      </c>
      <c r="E1725" s="626"/>
      <c r="F1725" s="626"/>
    </row>
    <row r="1726" spans="1:6">
      <c r="A1726" t="str">
        <f t="shared" si="26"/>
        <v/>
      </c>
      <c r="E1726" s="626"/>
      <c r="F1726" s="626"/>
    </row>
    <row r="1727" spans="1:6">
      <c r="A1727" t="str">
        <f t="shared" si="26"/>
        <v/>
      </c>
      <c r="E1727" s="626"/>
      <c r="F1727" s="626"/>
    </row>
    <row r="1728" spans="1:6">
      <c r="A1728" t="str">
        <f t="shared" si="26"/>
        <v/>
      </c>
      <c r="E1728" s="626"/>
      <c r="F1728" s="626"/>
    </row>
    <row r="1729" spans="1:6">
      <c r="A1729" t="str">
        <f t="shared" si="26"/>
        <v/>
      </c>
      <c r="E1729" s="626"/>
      <c r="F1729" s="626"/>
    </row>
    <row r="1730" spans="1:6">
      <c r="A1730" t="str">
        <f t="shared" ref="A1730:A1793" si="27">B1730&amp;E1730&amp;J1730</f>
        <v/>
      </c>
      <c r="E1730" s="626"/>
      <c r="F1730" s="626"/>
    </row>
    <row r="1731" spans="1:6">
      <c r="A1731" t="str">
        <f t="shared" si="27"/>
        <v/>
      </c>
      <c r="E1731" s="626"/>
      <c r="F1731" s="626"/>
    </row>
    <row r="1732" spans="1:6">
      <c r="A1732" t="str">
        <f t="shared" si="27"/>
        <v/>
      </c>
      <c r="E1732" s="626"/>
      <c r="F1732" s="626"/>
    </row>
    <row r="1733" spans="1:6">
      <c r="A1733" t="str">
        <f t="shared" si="27"/>
        <v/>
      </c>
      <c r="E1733" s="626"/>
      <c r="F1733" s="626"/>
    </row>
    <row r="1734" spans="1:6">
      <c r="A1734" t="str">
        <f t="shared" si="27"/>
        <v/>
      </c>
      <c r="E1734" s="626"/>
      <c r="F1734" s="626"/>
    </row>
    <row r="1735" spans="1:6">
      <c r="A1735" t="str">
        <f t="shared" si="27"/>
        <v/>
      </c>
      <c r="E1735" s="626"/>
      <c r="F1735" s="626"/>
    </row>
    <row r="1736" spans="1:6">
      <c r="A1736" t="str">
        <f t="shared" si="27"/>
        <v/>
      </c>
      <c r="E1736" s="626"/>
      <c r="F1736" s="626"/>
    </row>
    <row r="1737" spans="1:6">
      <c r="A1737" t="str">
        <f t="shared" si="27"/>
        <v/>
      </c>
      <c r="E1737" s="626"/>
      <c r="F1737" s="626"/>
    </row>
    <row r="1738" spans="1:6">
      <c r="A1738" t="str">
        <f t="shared" si="27"/>
        <v/>
      </c>
      <c r="E1738" s="626"/>
      <c r="F1738" s="626"/>
    </row>
    <row r="1739" spans="1:6">
      <c r="A1739" t="str">
        <f t="shared" si="27"/>
        <v/>
      </c>
      <c r="E1739" s="626"/>
      <c r="F1739" s="626"/>
    </row>
    <row r="1740" spans="1:6">
      <c r="A1740" t="str">
        <f t="shared" si="27"/>
        <v/>
      </c>
      <c r="E1740" s="626"/>
      <c r="F1740" s="626"/>
    </row>
    <row r="1741" spans="1:6">
      <c r="A1741" t="str">
        <f t="shared" si="27"/>
        <v/>
      </c>
      <c r="E1741" s="626"/>
      <c r="F1741" s="626"/>
    </row>
    <row r="1742" spans="1:6">
      <c r="A1742" t="str">
        <f t="shared" si="27"/>
        <v/>
      </c>
      <c r="E1742" s="626"/>
      <c r="F1742" s="626"/>
    </row>
    <row r="1743" spans="1:6">
      <c r="A1743" t="str">
        <f t="shared" si="27"/>
        <v/>
      </c>
      <c r="E1743" s="626"/>
      <c r="F1743" s="626"/>
    </row>
    <row r="1744" spans="1:6">
      <c r="A1744" t="str">
        <f t="shared" si="27"/>
        <v/>
      </c>
      <c r="E1744" s="626"/>
      <c r="F1744" s="626"/>
    </row>
    <row r="1745" spans="1:6">
      <c r="A1745" t="str">
        <f t="shared" si="27"/>
        <v/>
      </c>
      <c r="E1745" s="626"/>
      <c r="F1745" s="626"/>
    </row>
    <row r="1746" spans="1:6">
      <c r="A1746" t="str">
        <f t="shared" si="27"/>
        <v/>
      </c>
      <c r="E1746" s="626"/>
      <c r="F1746" s="626"/>
    </row>
    <row r="1747" spans="1:6">
      <c r="A1747" t="str">
        <f t="shared" si="27"/>
        <v/>
      </c>
      <c r="E1747" s="626"/>
      <c r="F1747" s="626"/>
    </row>
    <row r="1748" spans="1:6">
      <c r="A1748" t="str">
        <f t="shared" si="27"/>
        <v/>
      </c>
      <c r="E1748" s="626"/>
      <c r="F1748" s="626"/>
    </row>
    <row r="1749" spans="1:6">
      <c r="A1749" t="str">
        <f t="shared" si="27"/>
        <v/>
      </c>
      <c r="E1749" s="626"/>
      <c r="F1749" s="626"/>
    </row>
    <row r="1750" spans="1:6">
      <c r="A1750" t="str">
        <f t="shared" si="27"/>
        <v/>
      </c>
      <c r="E1750" s="626"/>
      <c r="F1750" s="626"/>
    </row>
    <row r="1751" spans="1:6">
      <c r="A1751" t="str">
        <f t="shared" si="27"/>
        <v/>
      </c>
      <c r="E1751" s="626"/>
      <c r="F1751" s="626"/>
    </row>
    <row r="1752" spans="1:6">
      <c r="A1752" t="str">
        <f t="shared" si="27"/>
        <v/>
      </c>
      <c r="E1752" s="626"/>
      <c r="F1752" s="626"/>
    </row>
    <row r="1753" spans="1:6">
      <c r="A1753" t="str">
        <f t="shared" si="27"/>
        <v/>
      </c>
      <c r="E1753" s="626"/>
      <c r="F1753" s="626"/>
    </row>
    <row r="1754" spans="1:6">
      <c r="A1754" t="str">
        <f t="shared" si="27"/>
        <v/>
      </c>
      <c r="E1754" s="626"/>
      <c r="F1754" s="626"/>
    </row>
    <row r="1755" spans="1:6">
      <c r="A1755" t="str">
        <f t="shared" si="27"/>
        <v/>
      </c>
      <c r="E1755" s="626"/>
      <c r="F1755" s="626"/>
    </row>
    <row r="1756" spans="1:6">
      <c r="A1756" t="str">
        <f t="shared" si="27"/>
        <v/>
      </c>
      <c r="E1756" s="626"/>
      <c r="F1756" s="626"/>
    </row>
    <row r="1757" spans="1:6">
      <c r="A1757" t="str">
        <f t="shared" si="27"/>
        <v/>
      </c>
      <c r="E1757" s="626"/>
      <c r="F1757" s="626"/>
    </row>
    <row r="1758" spans="1:6">
      <c r="A1758" t="str">
        <f t="shared" si="27"/>
        <v/>
      </c>
      <c r="E1758" s="626"/>
      <c r="F1758" s="626"/>
    </row>
    <row r="1759" spans="1:6">
      <c r="A1759" t="str">
        <f t="shared" si="27"/>
        <v/>
      </c>
      <c r="E1759" s="626"/>
      <c r="F1759" s="626"/>
    </row>
    <row r="1760" spans="1:6">
      <c r="A1760" t="str">
        <f t="shared" si="27"/>
        <v/>
      </c>
      <c r="E1760" s="626"/>
      <c r="F1760" s="626"/>
    </row>
    <row r="1761" spans="1:6">
      <c r="A1761" t="str">
        <f t="shared" si="27"/>
        <v/>
      </c>
      <c r="E1761" s="626"/>
      <c r="F1761" s="626"/>
    </row>
    <row r="1762" spans="1:6">
      <c r="A1762" t="str">
        <f t="shared" si="27"/>
        <v/>
      </c>
      <c r="E1762" s="626"/>
      <c r="F1762" s="626"/>
    </row>
    <row r="1763" spans="1:6">
      <c r="A1763" t="str">
        <f t="shared" si="27"/>
        <v/>
      </c>
      <c r="E1763" s="626"/>
      <c r="F1763" s="626"/>
    </row>
    <row r="1764" spans="1:6">
      <c r="A1764" t="str">
        <f t="shared" si="27"/>
        <v/>
      </c>
      <c r="E1764" s="626"/>
      <c r="F1764" s="626"/>
    </row>
    <row r="1765" spans="1:6">
      <c r="A1765" t="str">
        <f t="shared" si="27"/>
        <v/>
      </c>
      <c r="E1765" s="626"/>
      <c r="F1765" s="626"/>
    </row>
    <row r="1766" spans="1:6">
      <c r="A1766" t="str">
        <f t="shared" si="27"/>
        <v/>
      </c>
      <c r="E1766" s="626"/>
      <c r="F1766" s="626"/>
    </row>
    <row r="1767" spans="1:6">
      <c r="A1767" t="str">
        <f t="shared" si="27"/>
        <v/>
      </c>
      <c r="E1767" s="626"/>
      <c r="F1767" s="626"/>
    </row>
    <row r="1768" spans="1:6">
      <c r="A1768" t="str">
        <f t="shared" si="27"/>
        <v/>
      </c>
      <c r="E1768" s="626"/>
      <c r="F1768" s="626"/>
    </row>
    <row r="1769" spans="1:6">
      <c r="A1769" t="str">
        <f t="shared" si="27"/>
        <v/>
      </c>
      <c r="E1769" s="626"/>
      <c r="F1769" s="626"/>
    </row>
    <row r="1770" spans="1:6">
      <c r="A1770" t="str">
        <f t="shared" si="27"/>
        <v/>
      </c>
      <c r="E1770" s="626"/>
      <c r="F1770" s="626"/>
    </row>
    <row r="1771" spans="1:6">
      <c r="A1771" t="str">
        <f t="shared" si="27"/>
        <v/>
      </c>
      <c r="E1771" s="626"/>
      <c r="F1771" s="626"/>
    </row>
    <row r="1772" spans="1:6">
      <c r="A1772" t="str">
        <f t="shared" si="27"/>
        <v/>
      </c>
      <c r="E1772" s="626"/>
      <c r="F1772" s="626"/>
    </row>
    <row r="1773" spans="1:6">
      <c r="A1773" t="str">
        <f t="shared" si="27"/>
        <v/>
      </c>
      <c r="E1773" s="626"/>
      <c r="F1773" s="626"/>
    </row>
    <row r="1774" spans="1:6">
      <c r="A1774" t="str">
        <f t="shared" si="27"/>
        <v/>
      </c>
      <c r="E1774" s="626"/>
      <c r="F1774" s="626"/>
    </row>
    <row r="1775" spans="1:6">
      <c r="A1775" t="str">
        <f t="shared" si="27"/>
        <v/>
      </c>
      <c r="E1775" s="626"/>
      <c r="F1775" s="626"/>
    </row>
    <row r="1776" spans="1:6">
      <c r="A1776" t="str">
        <f t="shared" si="27"/>
        <v/>
      </c>
      <c r="E1776" s="626"/>
      <c r="F1776" s="626"/>
    </row>
    <row r="1777" spans="1:6">
      <c r="A1777" t="str">
        <f t="shared" si="27"/>
        <v/>
      </c>
      <c r="E1777" s="626"/>
      <c r="F1777" s="626"/>
    </row>
    <row r="1778" spans="1:6">
      <c r="A1778" t="str">
        <f t="shared" si="27"/>
        <v/>
      </c>
      <c r="E1778" s="626"/>
      <c r="F1778" s="626"/>
    </row>
    <row r="1779" spans="1:6">
      <c r="A1779" t="str">
        <f t="shared" si="27"/>
        <v/>
      </c>
      <c r="E1779" s="626"/>
      <c r="F1779" s="626"/>
    </row>
    <row r="1780" spans="1:6">
      <c r="A1780" t="str">
        <f t="shared" si="27"/>
        <v/>
      </c>
      <c r="E1780" s="626"/>
      <c r="F1780" s="626"/>
    </row>
    <row r="1781" spans="1:6">
      <c r="A1781" t="str">
        <f t="shared" si="27"/>
        <v/>
      </c>
      <c r="E1781" s="626"/>
      <c r="F1781" s="626"/>
    </row>
    <row r="1782" spans="1:6">
      <c r="A1782" t="str">
        <f t="shared" si="27"/>
        <v/>
      </c>
      <c r="E1782" s="626"/>
      <c r="F1782" s="626"/>
    </row>
    <row r="1783" spans="1:6">
      <c r="A1783" t="str">
        <f t="shared" si="27"/>
        <v/>
      </c>
      <c r="E1783" s="626"/>
      <c r="F1783" s="626"/>
    </row>
    <row r="1784" spans="1:6">
      <c r="A1784" t="str">
        <f t="shared" si="27"/>
        <v/>
      </c>
      <c r="E1784" s="626"/>
      <c r="F1784" s="626"/>
    </row>
    <row r="1785" spans="1:6">
      <c r="A1785" t="str">
        <f t="shared" si="27"/>
        <v/>
      </c>
      <c r="E1785" s="626"/>
      <c r="F1785" s="626"/>
    </row>
    <row r="1786" spans="1:6">
      <c r="A1786" t="str">
        <f t="shared" si="27"/>
        <v/>
      </c>
      <c r="E1786" s="626"/>
      <c r="F1786" s="626"/>
    </row>
    <row r="1787" spans="1:6">
      <c r="A1787" t="str">
        <f t="shared" si="27"/>
        <v/>
      </c>
      <c r="E1787" s="626"/>
      <c r="F1787" s="626"/>
    </row>
    <row r="1788" spans="1:6">
      <c r="A1788" t="str">
        <f t="shared" si="27"/>
        <v/>
      </c>
      <c r="E1788" s="626"/>
      <c r="F1788" s="626"/>
    </row>
    <row r="1789" spans="1:6">
      <c r="A1789" t="str">
        <f t="shared" si="27"/>
        <v/>
      </c>
      <c r="E1789" s="626"/>
      <c r="F1789" s="626"/>
    </row>
    <row r="1790" spans="1:6">
      <c r="A1790" t="str">
        <f t="shared" si="27"/>
        <v/>
      </c>
      <c r="E1790" s="626"/>
      <c r="F1790" s="626"/>
    </row>
    <row r="1791" spans="1:6">
      <c r="A1791" t="str">
        <f t="shared" si="27"/>
        <v/>
      </c>
      <c r="E1791" s="626"/>
      <c r="F1791" s="626"/>
    </row>
    <row r="1792" spans="1:6">
      <c r="A1792" t="str">
        <f t="shared" si="27"/>
        <v/>
      </c>
      <c r="E1792" s="626"/>
      <c r="F1792" s="626"/>
    </row>
    <row r="1793" spans="1:6">
      <c r="A1793" t="str">
        <f t="shared" si="27"/>
        <v/>
      </c>
      <c r="E1793" s="626"/>
      <c r="F1793" s="626"/>
    </row>
    <row r="1794" spans="1:6">
      <c r="A1794" t="str">
        <f t="shared" ref="A1794:A1857" si="28">B1794&amp;E1794&amp;J1794</f>
        <v/>
      </c>
      <c r="E1794" s="626"/>
      <c r="F1794" s="626"/>
    </row>
    <row r="1795" spans="1:6">
      <c r="A1795" t="str">
        <f t="shared" si="28"/>
        <v/>
      </c>
      <c r="E1795" s="626"/>
      <c r="F1795" s="626"/>
    </row>
    <row r="1796" spans="1:6">
      <c r="A1796" t="str">
        <f t="shared" si="28"/>
        <v/>
      </c>
      <c r="E1796" s="626"/>
      <c r="F1796" s="626"/>
    </row>
    <row r="1797" spans="1:6">
      <c r="A1797" t="str">
        <f t="shared" si="28"/>
        <v/>
      </c>
      <c r="E1797" s="626"/>
      <c r="F1797" s="626"/>
    </row>
    <row r="1798" spans="1:6">
      <c r="A1798" t="str">
        <f t="shared" si="28"/>
        <v/>
      </c>
      <c r="E1798" s="626"/>
      <c r="F1798" s="626"/>
    </row>
    <row r="1799" spans="1:6">
      <c r="A1799" t="str">
        <f t="shared" si="28"/>
        <v/>
      </c>
      <c r="E1799" s="626"/>
      <c r="F1799" s="626"/>
    </row>
    <row r="1800" spans="1:6">
      <c r="A1800" t="str">
        <f t="shared" si="28"/>
        <v/>
      </c>
      <c r="E1800" s="626"/>
      <c r="F1800" s="626"/>
    </row>
    <row r="1801" spans="1:6">
      <c r="A1801" t="str">
        <f t="shared" si="28"/>
        <v/>
      </c>
      <c r="E1801" s="626"/>
      <c r="F1801" s="626"/>
    </row>
    <row r="1802" spans="1:6">
      <c r="A1802" t="str">
        <f t="shared" si="28"/>
        <v/>
      </c>
      <c r="E1802" s="626"/>
      <c r="F1802" s="626"/>
    </row>
    <row r="1803" spans="1:6">
      <c r="A1803" t="str">
        <f t="shared" si="28"/>
        <v/>
      </c>
      <c r="E1803" s="626"/>
      <c r="F1803" s="626"/>
    </row>
    <row r="1804" spans="1:6">
      <c r="A1804" t="str">
        <f t="shared" si="28"/>
        <v/>
      </c>
      <c r="E1804" s="626"/>
      <c r="F1804" s="626"/>
    </row>
    <row r="1805" spans="1:6">
      <c r="A1805" t="str">
        <f t="shared" si="28"/>
        <v/>
      </c>
      <c r="E1805" s="626"/>
      <c r="F1805" s="626"/>
    </row>
    <row r="1806" spans="1:6">
      <c r="A1806" t="str">
        <f t="shared" si="28"/>
        <v/>
      </c>
      <c r="E1806" s="626"/>
      <c r="F1806" s="626"/>
    </row>
    <row r="1807" spans="1:6">
      <c r="A1807" t="str">
        <f t="shared" si="28"/>
        <v/>
      </c>
      <c r="E1807" s="626"/>
      <c r="F1807" s="626"/>
    </row>
    <row r="1808" spans="1:6">
      <c r="A1808" t="str">
        <f t="shared" si="28"/>
        <v/>
      </c>
      <c r="E1808" s="626"/>
      <c r="F1808" s="626"/>
    </row>
    <row r="1809" spans="1:6">
      <c r="A1809" t="str">
        <f t="shared" si="28"/>
        <v/>
      </c>
      <c r="E1809" s="626"/>
      <c r="F1809" s="626"/>
    </row>
    <row r="1810" spans="1:6">
      <c r="A1810" t="str">
        <f t="shared" si="28"/>
        <v/>
      </c>
      <c r="E1810" s="626"/>
      <c r="F1810" s="626"/>
    </row>
    <row r="1811" spans="1:6">
      <c r="A1811" t="str">
        <f t="shared" si="28"/>
        <v/>
      </c>
      <c r="E1811" s="626"/>
      <c r="F1811" s="626"/>
    </row>
    <row r="1812" spans="1:6">
      <c r="A1812" t="str">
        <f t="shared" si="28"/>
        <v/>
      </c>
      <c r="E1812" s="626"/>
      <c r="F1812" s="626"/>
    </row>
    <row r="1813" spans="1:6">
      <c r="A1813" t="str">
        <f t="shared" si="28"/>
        <v/>
      </c>
      <c r="E1813" s="626"/>
      <c r="F1813" s="626"/>
    </row>
    <row r="1814" spans="1:6">
      <c r="A1814" t="str">
        <f t="shared" si="28"/>
        <v/>
      </c>
      <c r="E1814" s="626"/>
      <c r="F1814" s="626"/>
    </row>
    <row r="1815" spans="1:6">
      <c r="A1815" t="str">
        <f t="shared" si="28"/>
        <v/>
      </c>
      <c r="E1815" s="626"/>
      <c r="F1815" s="626"/>
    </row>
    <row r="1816" spans="1:6">
      <c r="A1816" t="str">
        <f t="shared" si="28"/>
        <v/>
      </c>
      <c r="E1816" s="626"/>
      <c r="F1816" s="626"/>
    </row>
    <row r="1817" spans="1:6">
      <c r="A1817" t="str">
        <f t="shared" si="28"/>
        <v/>
      </c>
      <c r="E1817" s="626"/>
      <c r="F1817" s="626"/>
    </row>
    <row r="1818" spans="1:6">
      <c r="A1818" t="str">
        <f t="shared" si="28"/>
        <v/>
      </c>
      <c r="E1818" s="626"/>
      <c r="F1818" s="626"/>
    </row>
    <row r="1819" spans="1:6">
      <c r="A1819" t="str">
        <f t="shared" si="28"/>
        <v/>
      </c>
      <c r="E1819" s="626"/>
      <c r="F1819" s="626"/>
    </row>
    <row r="1820" spans="1:6">
      <c r="A1820" t="str">
        <f t="shared" si="28"/>
        <v/>
      </c>
      <c r="E1820" s="626"/>
      <c r="F1820" s="626"/>
    </row>
    <row r="1821" spans="1:6">
      <c r="A1821" t="str">
        <f t="shared" si="28"/>
        <v/>
      </c>
      <c r="E1821" s="626"/>
      <c r="F1821" s="626"/>
    </row>
    <row r="1822" spans="1:6">
      <c r="A1822" t="str">
        <f t="shared" si="28"/>
        <v/>
      </c>
      <c r="E1822" s="626"/>
      <c r="F1822" s="626"/>
    </row>
    <row r="1823" spans="1:6">
      <c r="A1823" t="str">
        <f t="shared" si="28"/>
        <v/>
      </c>
      <c r="E1823" s="626"/>
      <c r="F1823" s="626"/>
    </row>
    <row r="1824" spans="1:6">
      <c r="A1824" t="str">
        <f t="shared" si="28"/>
        <v/>
      </c>
      <c r="E1824" s="626"/>
      <c r="F1824" s="626"/>
    </row>
    <row r="1825" spans="1:6">
      <c r="A1825" t="str">
        <f t="shared" si="28"/>
        <v/>
      </c>
      <c r="E1825" s="626"/>
      <c r="F1825" s="626"/>
    </row>
    <row r="1826" spans="1:6">
      <c r="A1826" t="str">
        <f t="shared" si="28"/>
        <v/>
      </c>
      <c r="E1826" s="626"/>
      <c r="F1826" s="626"/>
    </row>
    <row r="1827" spans="1:6">
      <c r="A1827" t="str">
        <f t="shared" si="28"/>
        <v/>
      </c>
      <c r="E1827" s="626"/>
      <c r="F1827" s="626"/>
    </row>
    <row r="1828" spans="1:6">
      <c r="A1828" t="str">
        <f t="shared" si="28"/>
        <v/>
      </c>
      <c r="E1828" s="626"/>
      <c r="F1828" s="626"/>
    </row>
    <row r="1829" spans="1:6">
      <c r="A1829" t="str">
        <f t="shared" si="28"/>
        <v/>
      </c>
      <c r="E1829" s="626"/>
      <c r="F1829" s="626"/>
    </row>
    <row r="1830" spans="1:6">
      <c r="A1830" t="str">
        <f t="shared" si="28"/>
        <v/>
      </c>
      <c r="E1830" s="626"/>
      <c r="F1830" s="626"/>
    </row>
    <row r="1831" spans="1:6">
      <c r="A1831" t="str">
        <f t="shared" si="28"/>
        <v/>
      </c>
      <c r="E1831" s="626"/>
      <c r="F1831" s="626"/>
    </row>
    <row r="1832" spans="1:6">
      <c r="A1832" t="str">
        <f t="shared" si="28"/>
        <v/>
      </c>
      <c r="E1832" s="626"/>
      <c r="F1832" s="626"/>
    </row>
    <row r="1833" spans="1:6">
      <c r="A1833" t="str">
        <f t="shared" si="28"/>
        <v/>
      </c>
      <c r="E1833" s="626"/>
      <c r="F1833" s="626"/>
    </row>
    <row r="1834" spans="1:6">
      <c r="A1834" t="str">
        <f t="shared" si="28"/>
        <v/>
      </c>
      <c r="E1834" s="626"/>
      <c r="F1834" s="626"/>
    </row>
    <row r="1835" spans="1:6">
      <c r="A1835" t="str">
        <f t="shared" si="28"/>
        <v/>
      </c>
      <c r="E1835" s="626"/>
      <c r="F1835" s="626"/>
    </row>
    <row r="1836" spans="1:6">
      <c r="A1836" t="str">
        <f t="shared" si="28"/>
        <v/>
      </c>
      <c r="E1836" s="626"/>
      <c r="F1836" s="626"/>
    </row>
    <row r="1837" spans="1:6">
      <c r="A1837" t="str">
        <f t="shared" si="28"/>
        <v/>
      </c>
      <c r="E1837" s="626"/>
      <c r="F1837" s="626"/>
    </row>
    <row r="1838" spans="1:6">
      <c r="A1838" t="str">
        <f t="shared" si="28"/>
        <v/>
      </c>
      <c r="E1838" s="626"/>
      <c r="F1838" s="626"/>
    </row>
    <row r="1839" spans="1:6">
      <c r="A1839" t="str">
        <f t="shared" si="28"/>
        <v/>
      </c>
      <c r="E1839" s="626"/>
      <c r="F1839" s="626"/>
    </row>
    <row r="1840" spans="1:6">
      <c r="A1840" t="str">
        <f t="shared" si="28"/>
        <v/>
      </c>
      <c r="E1840" s="626"/>
      <c r="F1840" s="626"/>
    </row>
    <row r="1841" spans="1:6">
      <c r="A1841" t="str">
        <f t="shared" si="28"/>
        <v/>
      </c>
      <c r="E1841" s="626"/>
      <c r="F1841" s="626"/>
    </row>
    <row r="1842" spans="1:6">
      <c r="A1842" t="str">
        <f t="shared" si="28"/>
        <v/>
      </c>
      <c r="E1842" s="626"/>
      <c r="F1842" s="626"/>
    </row>
    <row r="1843" spans="1:6">
      <c r="A1843" t="str">
        <f t="shared" si="28"/>
        <v/>
      </c>
      <c r="E1843" s="626"/>
      <c r="F1843" s="626"/>
    </row>
    <row r="1844" spans="1:6">
      <c r="A1844" t="str">
        <f t="shared" si="28"/>
        <v/>
      </c>
      <c r="E1844" s="626"/>
      <c r="F1844" s="626"/>
    </row>
    <row r="1845" spans="1:6">
      <c r="A1845" t="str">
        <f t="shared" si="28"/>
        <v/>
      </c>
      <c r="E1845" s="626"/>
      <c r="F1845" s="626"/>
    </row>
    <row r="1846" spans="1:6">
      <c r="A1846" t="str">
        <f t="shared" si="28"/>
        <v/>
      </c>
      <c r="E1846" s="626"/>
      <c r="F1846" s="626"/>
    </row>
    <row r="1847" spans="1:6">
      <c r="A1847" t="str">
        <f t="shared" si="28"/>
        <v/>
      </c>
      <c r="E1847" s="626"/>
      <c r="F1847" s="626"/>
    </row>
    <row r="1848" spans="1:6">
      <c r="A1848" t="str">
        <f t="shared" si="28"/>
        <v/>
      </c>
      <c r="E1848" s="626"/>
      <c r="F1848" s="626"/>
    </row>
    <row r="1849" spans="1:6">
      <c r="A1849" t="str">
        <f t="shared" si="28"/>
        <v/>
      </c>
      <c r="E1849" s="626"/>
      <c r="F1849" s="626"/>
    </row>
    <row r="1850" spans="1:6">
      <c r="A1850" t="str">
        <f t="shared" si="28"/>
        <v/>
      </c>
      <c r="E1850" s="626"/>
      <c r="F1850" s="626"/>
    </row>
    <row r="1851" spans="1:6">
      <c r="A1851" t="str">
        <f t="shared" si="28"/>
        <v/>
      </c>
      <c r="E1851" s="626"/>
      <c r="F1851" s="626"/>
    </row>
    <row r="1852" spans="1:6">
      <c r="A1852" t="str">
        <f t="shared" si="28"/>
        <v/>
      </c>
      <c r="E1852" s="626"/>
      <c r="F1852" s="626"/>
    </row>
    <row r="1853" spans="1:6">
      <c r="A1853" t="str">
        <f t="shared" si="28"/>
        <v/>
      </c>
      <c r="E1853" s="626"/>
      <c r="F1853" s="626"/>
    </row>
    <row r="1854" spans="1:6">
      <c r="A1854" t="str">
        <f t="shared" si="28"/>
        <v/>
      </c>
      <c r="E1854" s="626"/>
      <c r="F1854" s="626"/>
    </row>
    <row r="1855" spans="1:6">
      <c r="A1855" t="str">
        <f t="shared" si="28"/>
        <v/>
      </c>
      <c r="E1855" s="626"/>
      <c r="F1855" s="626"/>
    </row>
    <row r="1856" spans="1:6">
      <c r="A1856" t="str">
        <f t="shared" si="28"/>
        <v/>
      </c>
      <c r="E1856" s="626"/>
      <c r="F1856" s="626"/>
    </row>
    <row r="1857" spans="1:6">
      <c r="A1857" t="str">
        <f t="shared" si="28"/>
        <v/>
      </c>
      <c r="E1857" s="626"/>
      <c r="F1857" s="626"/>
    </row>
    <row r="1858" spans="1:6">
      <c r="A1858" t="str">
        <f t="shared" ref="A1858:A1921" si="29">B1858&amp;E1858&amp;J1858</f>
        <v/>
      </c>
      <c r="E1858" s="626"/>
      <c r="F1858" s="626"/>
    </row>
    <row r="1859" spans="1:6">
      <c r="A1859" t="str">
        <f t="shared" si="29"/>
        <v/>
      </c>
      <c r="E1859" s="626"/>
      <c r="F1859" s="626"/>
    </row>
    <row r="1860" spans="1:6">
      <c r="A1860" t="str">
        <f t="shared" si="29"/>
        <v/>
      </c>
      <c r="E1860" s="626"/>
      <c r="F1860" s="626"/>
    </row>
    <row r="1861" spans="1:6">
      <c r="A1861" t="str">
        <f t="shared" si="29"/>
        <v/>
      </c>
      <c r="E1861" s="626"/>
      <c r="F1861" s="626"/>
    </row>
    <row r="1862" spans="1:6">
      <c r="A1862" t="str">
        <f t="shared" si="29"/>
        <v/>
      </c>
      <c r="E1862" s="626"/>
      <c r="F1862" s="626"/>
    </row>
    <row r="1863" spans="1:6">
      <c r="A1863" t="str">
        <f t="shared" si="29"/>
        <v/>
      </c>
      <c r="E1863" s="626"/>
      <c r="F1863" s="626"/>
    </row>
    <row r="1864" spans="1:6">
      <c r="A1864" t="str">
        <f t="shared" si="29"/>
        <v/>
      </c>
      <c r="E1864" s="626"/>
      <c r="F1864" s="626"/>
    </row>
    <row r="1865" spans="1:6">
      <c r="A1865" t="str">
        <f t="shared" si="29"/>
        <v/>
      </c>
      <c r="E1865" s="626"/>
      <c r="F1865" s="626"/>
    </row>
    <row r="1866" spans="1:6">
      <c r="A1866" t="str">
        <f t="shared" si="29"/>
        <v/>
      </c>
      <c r="E1866" s="626"/>
      <c r="F1866" s="626"/>
    </row>
    <row r="1867" spans="1:6">
      <c r="A1867" t="str">
        <f t="shared" si="29"/>
        <v/>
      </c>
      <c r="E1867" s="626"/>
      <c r="F1867" s="626"/>
    </row>
    <row r="1868" spans="1:6">
      <c r="A1868" t="str">
        <f t="shared" si="29"/>
        <v/>
      </c>
      <c r="E1868" s="626"/>
      <c r="F1868" s="626"/>
    </row>
    <row r="1869" spans="1:6">
      <c r="A1869" t="str">
        <f t="shared" si="29"/>
        <v/>
      </c>
      <c r="E1869" s="626"/>
      <c r="F1869" s="626"/>
    </row>
    <row r="1870" spans="1:6">
      <c r="A1870" t="str">
        <f t="shared" si="29"/>
        <v/>
      </c>
      <c r="E1870" s="626"/>
      <c r="F1870" s="626"/>
    </row>
    <row r="1871" spans="1:6">
      <c r="A1871" t="str">
        <f t="shared" si="29"/>
        <v/>
      </c>
      <c r="E1871" s="626"/>
      <c r="F1871" s="626"/>
    </row>
    <row r="1872" spans="1:6">
      <c r="A1872" t="str">
        <f t="shared" si="29"/>
        <v/>
      </c>
      <c r="E1872" s="626"/>
      <c r="F1872" s="626"/>
    </row>
    <row r="1873" spans="1:6">
      <c r="A1873" t="str">
        <f t="shared" si="29"/>
        <v/>
      </c>
      <c r="E1873" s="626"/>
      <c r="F1873" s="626"/>
    </row>
    <row r="1874" spans="1:6">
      <c r="A1874" t="str">
        <f t="shared" si="29"/>
        <v/>
      </c>
      <c r="E1874" s="626"/>
      <c r="F1874" s="626"/>
    </row>
    <row r="1875" spans="1:6">
      <c r="A1875" t="str">
        <f t="shared" si="29"/>
        <v/>
      </c>
      <c r="E1875" s="626"/>
      <c r="F1875" s="626"/>
    </row>
    <row r="1876" spans="1:6">
      <c r="A1876" t="str">
        <f t="shared" si="29"/>
        <v/>
      </c>
      <c r="E1876" s="626"/>
      <c r="F1876" s="626"/>
    </row>
    <row r="1877" spans="1:6">
      <c r="A1877" t="str">
        <f t="shared" si="29"/>
        <v/>
      </c>
      <c r="E1877" s="626"/>
      <c r="F1877" s="626"/>
    </row>
    <row r="1878" spans="1:6">
      <c r="A1878" t="str">
        <f t="shared" si="29"/>
        <v/>
      </c>
      <c r="E1878" s="626"/>
      <c r="F1878" s="626"/>
    </row>
    <row r="1879" spans="1:6">
      <c r="A1879" t="str">
        <f t="shared" si="29"/>
        <v/>
      </c>
      <c r="E1879" s="626"/>
      <c r="F1879" s="626"/>
    </row>
    <row r="1880" spans="1:6">
      <c r="A1880" t="str">
        <f t="shared" si="29"/>
        <v/>
      </c>
      <c r="E1880" s="626"/>
      <c r="F1880" s="626"/>
    </row>
    <row r="1881" spans="1:6">
      <c r="A1881" t="str">
        <f t="shared" si="29"/>
        <v/>
      </c>
      <c r="E1881" s="626"/>
      <c r="F1881" s="626"/>
    </row>
    <row r="1882" spans="1:6">
      <c r="A1882" t="str">
        <f t="shared" si="29"/>
        <v/>
      </c>
      <c r="E1882" s="626"/>
      <c r="F1882" s="626"/>
    </row>
    <row r="1883" spans="1:6">
      <c r="A1883" t="str">
        <f t="shared" si="29"/>
        <v/>
      </c>
      <c r="E1883" s="626"/>
      <c r="F1883" s="626"/>
    </row>
    <row r="1884" spans="1:6">
      <c r="A1884" t="str">
        <f t="shared" si="29"/>
        <v/>
      </c>
      <c r="E1884" s="626"/>
      <c r="F1884" s="626"/>
    </row>
    <row r="1885" spans="1:6">
      <c r="A1885" t="str">
        <f t="shared" si="29"/>
        <v/>
      </c>
      <c r="E1885" s="626"/>
      <c r="F1885" s="626"/>
    </row>
    <row r="1886" spans="1:6">
      <c r="A1886" t="str">
        <f t="shared" si="29"/>
        <v/>
      </c>
      <c r="E1886" s="626"/>
      <c r="F1886" s="626"/>
    </row>
    <row r="1887" spans="1:6">
      <c r="A1887" t="str">
        <f t="shared" si="29"/>
        <v/>
      </c>
      <c r="E1887" s="626"/>
      <c r="F1887" s="626"/>
    </row>
    <row r="1888" spans="1:6">
      <c r="A1888" t="str">
        <f t="shared" si="29"/>
        <v/>
      </c>
      <c r="E1888" s="626"/>
      <c r="F1888" s="626"/>
    </row>
    <row r="1889" spans="1:6">
      <c r="A1889" t="str">
        <f t="shared" si="29"/>
        <v/>
      </c>
      <c r="E1889" s="626"/>
      <c r="F1889" s="626"/>
    </row>
    <row r="1890" spans="1:6">
      <c r="A1890" t="str">
        <f t="shared" si="29"/>
        <v/>
      </c>
      <c r="E1890" s="626"/>
      <c r="F1890" s="626"/>
    </row>
    <row r="1891" spans="1:6">
      <c r="A1891" t="str">
        <f t="shared" si="29"/>
        <v/>
      </c>
      <c r="E1891" s="626"/>
      <c r="F1891" s="626"/>
    </row>
    <row r="1892" spans="1:6">
      <c r="A1892" t="str">
        <f t="shared" si="29"/>
        <v/>
      </c>
      <c r="E1892" s="626"/>
      <c r="F1892" s="626"/>
    </row>
    <row r="1893" spans="1:6">
      <c r="A1893" t="str">
        <f t="shared" si="29"/>
        <v/>
      </c>
      <c r="E1893" s="626"/>
      <c r="F1893" s="626"/>
    </row>
    <row r="1894" spans="1:6">
      <c r="A1894" t="str">
        <f t="shared" si="29"/>
        <v/>
      </c>
      <c r="E1894" s="626"/>
      <c r="F1894" s="626"/>
    </row>
    <row r="1895" spans="1:6">
      <c r="A1895" t="str">
        <f t="shared" si="29"/>
        <v/>
      </c>
      <c r="E1895" s="626"/>
      <c r="F1895" s="626"/>
    </row>
    <row r="1896" spans="1:6">
      <c r="A1896" t="str">
        <f t="shared" si="29"/>
        <v/>
      </c>
      <c r="E1896" s="626"/>
      <c r="F1896" s="626"/>
    </row>
    <row r="1897" spans="1:6">
      <c r="A1897" t="str">
        <f t="shared" si="29"/>
        <v/>
      </c>
      <c r="E1897" s="626"/>
      <c r="F1897" s="626"/>
    </row>
    <row r="1898" spans="1:6">
      <c r="A1898" t="str">
        <f t="shared" si="29"/>
        <v/>
      </c>
      <c r="E1898" s="626"/>
      <c r="F1898" s="626"/>
    </row>
    <row r="1899" spans="1:6">
      <c r="A1899" t="str">
        <f t="shared" si="29"/>
        <v/>
      </c>
      <c r="E1899" s="626"/>
      <c r="F1899" s="626"/>
    </row>
    <row r="1900" spans="1:6">
      <c r="A1900" t="str">
        <f t="shared" si="29"/>
        <v/>
      </c>
      <c r="E1900" s="626"/>
      <c r="F1900" s="626"/>
    </row>
    <row r="1901" spans="1:6">
      <c r="A1901" t="str">
        <f t="shared" si="29"/>
        <v/>
      </c>
      <c r="E1901" s="626"/>
      <c r="F1901" s="626"/>
    </row>
    <row r="1902" spans="1:6">
      <c r="A1902" t="str">
        <f t="shared" si="29"/>
        <v/>
      </c>
      <c r="E1902" s="626"/>
      <c r="F1902" s="626"/>
    </row>
    <row r="1903" spans="1:6">
      <c r="A1903" t="str">
        <f t="shared" si="29"/>
        <v/>
      </c>
      <c r="E1903" s="626"/>
      <c r="F1903" s="626"/>
    </row>
    <row r="1904" spans="1:6">
      <c r="A1904" t="str">
        <f t="shared" si="29"/>
        <v/>
      </c>
      <c r="E1904" s="626"/>
      <c r="F1904" s="626"/>
    </row>
    <row r="1905" spans="1:6">
      <c r="A1905" t="str">
        <f t="shared" si="29"/>
        <v/>
      </c>
      <c r="E1905" s="626"/>
      <c r="F1905" s="626"/>
    </row>
    <row r="1906" spans="1:6">
      <c r="A1906" t="str">
        <f t="shared" si="29"/>
        <v/>
      </c>
      <c r="E1906" s="626"/>
      <c r="F1906" s="626"/>
    </row>
    <row r="1907" spans="1:6">
      <c r="A1907" t="str">
        <f t="shared" si="29"/>
        <v/>
      </c>
      <c r="E1907" s="626"/>
      <c r="F1907" s="626"/>
    </row>
    <row r="1908" spans="1:6">
      <c r="A1908" t="str">
        <f t="shared" si="29"/>
        <v/>
      </c>
      <c r="E1908" s="626"/>
      <c r="F1908" s="626"/>
    </row>
    <row r="1909" spans="1:6">
      <c r="A1909" t="str">
        <f t="shared" si="29"/>
        <v/>
      </c>
      <c r="E1909" s="626"/>
      <c r="F1909" s="626"/>
    </row>
    <row r="1910" spans="1:6">
      <c r="A1910" t="str">
        <f t="shared" si="29"/>
        <v/>
      </c>
      <c r="E1910" s="626"/>
      <c r="F1910" s="626"/>
    </row>
    <row r="1911" spans="1:6">
      <c r="A1911" t="str">
        <f t="shared" si="29"/>
        <v/>
      </c>
      <c r="E1911" s="626"/>
      <c r="F1911" s="626"/>
    </row>
    <row r="1912" spans="1:6">
      <c r="A1912" t="str">
        <f t="shared" si="29"/>
        <v/>
      </c>
      <c r="E1912" s="626"/>
      <c r="F1912" s="626"/>
    </row>
    <row r="1913" spans="1:6">
      <c r="A1913" t="str">
        <f t="shared" si="29"/>
        <v/>
      </c>
      <c r="E1913" s="626"/>
      <c r="F1913" s="626"/>
    </row>
    <row r="1914" spans="1:6">
      <c r="A1914" t="str">
        <f t="shared" si="29"/>
        <v/>
      </c>
      <c r="E1914" s="626"/>
      <c r="F1914" s="626"/>
    </row>
    <row r="1915" spans="1:6">
      <c r="A1915" t="str">
        <f t="shared" si="29"/>
        <v/>
      </c>
      <c r="E1915" s="626"/>
      <c r="F1915" s="626"/>
    </row>
    <row r="1916" spans="1:6">
      <c r="A1916" t="str">
        <f t="shared" si="29"/>
        <v/>
      </c>
      <c r="E1916" s="626"/>
      <c r="F1916" s="626"/>
    </row>
    <row r="1917" spans="1:6">
      <c r="A1917" t="str">
        <f t="shared" si="29"/>
        <v/>
      </c>
      <c r="E1917" s="626"/>
      <c r="F1917" s="626"/>
    </row>
    <row r="1918" spans="1:6">
      <c r="A1918" t="str">
        <f t="shared" si="29"/>
        <v/>
      </c>
      <c r="E1918" s="626"/>
      <c r="F1918" s="626"/>
    </row>
    <row r="1919" spans="1:6">
      <c r="A1919" t="str">
        <f t="shared" si="29"/>
        <v/>
      </c>
      <c r="E1919" s="626"/>
      <c r="F1919" s="626"/>
    </row>
    <row r="1920" spans="1:6">
      <c r="A1920" t="str">
        <f t="shared" si="29"/>
        <v/>
      </c>
      <c r="E1920" s="626"/>
      <c r="F1920" s="626"/>
    </row>
    <row r="1921" spans="1:6">
      <c r="A1921" t="str">
        <f t="shared" si="29"/>
        <v/>
      </c>
      <c r="E1921" s="626"/>
      <c r="F1921" s="626"/>
    </row>
    <row r="1922" spans="1:6">
      <c r="A1922" t="str">
        <f t="shared" ref="A1922:A1985" si="30">B1922&amp;E1922&amp;J1922</f>
        <v/>
      </c>
      <c r="E1922" s="626"/>
      <c r="F1922" s="626"/>
    </row>
    <row r="1923" spans="1:6">
      <c r="A1923" t="str">
        <f t="shared" si="30"/>
        <v/>
      </c>
      <c r="E1923" s="626"/>
      <c r="F1923" s="626"/>
    </row>
    <row r="1924" spans="1:6">
      <c r="A1924" t="str">
        <f t="shared" si="30"/>
        <v/>
      </c>
      <c r="E1924" s="626"/>
      <c r="F1924" s="626"/>
    </row>
    <row r="1925" spans="1:6">
      <c r="A1925" t="str">
        <f t="shared" si="30"/>
        <v/>
      </c>
      <c r="E1925" s="626"/>
      <c r="F1925" s="626"/>
    </row>
    <row r="1926" spans="1:6">
      <c r="A1926" t="str">
        <f t="shared" si="30"/>
        <v/>
      </c>
      <c r="E1926" s="626"/>
      <c r="F1926" s="626"/>
    </row>
    <row r="1927" spans="1:6">
      <c r="A1927" t="str">
        <f t="shared" si="30"/>
        <v/>
      </c>
      <c r="E1927" s="626"/>
      <c r="F1927" s="626"/>
    </row>
    <row r="1928" spans="1:6">
      <c r="A1928" t="str">
        <f t="shared" si="30"/>
        <v/>
      </c>
      <c r="E1928" s="626"/>
      <c r="F1928" s="626"/>
    </row>
    <row r="1929" spans="1:6">
      <c r="A1929" t="str">
        <f t="shared" si="30"/>
        <v/>
      </c>
      <c r="E1929" s="626"/>
      <c r="F1929" s="626"/>
    </row>
    <row r="1930" spans="1:6">
      <c r="A1930" t="str">
        <f t="shared" si="30"/>
        <v/>
      </c>
      <c r="E1930" s="626"/>
      <c r="F1930" s="626"/>
    </row>
    <row r="1931" spans="1:6">
      <c r="A1931" t="str">
        <f t="shared" si="30"/>
        <v/>
      </c>
      <c r="E1931" s="626"/>
      <c r="F1931" s="626"/>
    </row>
    <row r="1932" spans="1:6">
      <c r="A1932" t="str">
        <f t="shared" si="30"/>
        <v/>
      </c>
      <c r="E1932" s="626"/>
      <c r="F1932" s="626"/>
    </row>
    <row r="1933" spans="1:6">
      <c r="A1933" t="str">
        <f t="shared" si="30"/>
        <v/>
      </c>
      <c r="E1933" s="626"/>
      <c r="F1933" s="626"/>
    </row>
    <row r="1934" spans="1:6">
      <c r="A1934" t="str">
        <f t="shared" si="30"/>
        <v/>
      </c>
      <c r="E1934" s="626"/>
      <c r="F1934" s="626"/>
    </row>
    <row r="1935" spans="1:6">
      <c r="A1935" t="str">
        <f t="shared" si="30"/>
        <v/>
      </c>
      <c r="E1935" s="626"/>
      <c r="F1935" s="626"/>
    </row>
    <row r="1936" spans="1:6">
      <c r="A1936" t="str">
        <f t="shared" si="30"/>
        <v/>
      </c>
      <c r="E1936" s="626"/>
      <c r="F1936" s="626"/>
    </row>
    <row r="1937" spans="1:6">
      <c r="A1937" t="str">
        <f t="shared" si="30"/>
        <v/>
      </c>
      <c r="E1937" s="626"/>
      <c r="F1937" s="626"/>
    </row>
    <row r="1938" spans="1:6">
      <c r="A1938" t="str">
        <f t="shared" si="30"/>
        <v/>
      </c>
      <c r="E1938" s="626"/>
      <c r="F1938" s="626"/>
    </row>
    <row r="1939" spans="1:6">
      <c r="A1939" t="str">
        <f t="shared" si="30"/>
        <v/>
      </c>
      <c r="E1939" s="626"/>
      <c r="F1939" s="626"/>
    </row>
    <row r="1940" spans="1:6">
      <c r="A1940" t="str">
        <f t="shared" si="30"/>
        <v/>
      </c>
      <c r="E1940" s="626"/>
      <c r="F1940" s="626"/>
    </row>
    <row r="1941" spans="1:6">
      <c r="A1941" t="str">
        <f t="shared" si="30"/>
        <v/>
      </c>
      <c r="E1941" s="626"/>
      <c r="F1941" s="626"/>
    </row>
    <row r="1942" spans="1:6">
      <c r="A1942" t="str">
        <f t="shared" si="30"/>
        <v/>
      </c>
      <c r="E1942" s="626"/>
      <c r="F1942" s="626"/>
    </row>
    <row r="1943" spans="1:6">
      <c r="A1943" t="str">
        <f t="shared" si="30"/>
        <v/>
      </c>
      <c r="E1943" s="626"/>
      <c r="F1943" s="626"/>
    </row>
    <row r="1944" spans="1:6">
      <c r="A1944" t="str">
        <f t="shared" si="30"/>
        <v/>
      </c>
      <c r="E1944" s="626"/>
      <c r="F1944" s="626"/>
    </row>
    <row r="1945" spans="1:6">
      <c r="A1945" t="str">
        <f t="shared" si="30"/>
        <v/>
      </c>
      <c r="E1945" s="626"/>
      <c r="F1945" s="626"/>
    </row>
    <row r="1946" spans="1:6">
      <c r="A1946" t="str">
        <f t="shared" si="30"/>
        <v/>
      </c>
      <c r="E1946" s="626"/>
      <c r="F1946" s="626"/>
    </row>
    <row r="1947" spans="1:6">
      <c r="A1947" t="str">
        <f t="shared" si="30"/>
        <v/>
      </c>
      <c r="E1947" s="626"/>
      <c r="F1947" s="626"/>
    </row>
    <row r="1948" spans="1:6">
      <c r="A1948" t="str">
        <f t="shared" si="30"/>
        <v/>
      </c>
      <c r="E1948" s="626"/>
      <c r="F1948" s="626"/>
    </row>
    <row r="1949" spans="1:6">
      <c r="A1949" t="str">
        <f t="shared" si="30"/>
        <v/>
      </c>
      <c r="E1949" s="626"/>
      <c r="F1949" s="626"/>
    </row>
    <row r="1950" spans="1:6">
      <c r="A1950" t="str">
        <f t="shared" si="30"/>
        <v/>
      </c>
      <c r="E1950" s="626"/>
      <c r="F1950" s="626"/>
    </row>
    <row r="1951" spans="1:6">
      <c r="A1951" t="str">
        <f t="shared" si="30"/>
        <v/>
      </c>
      <c r="E1951" s="626"/>
      <c r="F1951" s="626"/>
    </row>
    <row r="1952" spans="1:6">
      <c r="A1952" t="str">
        <f t="shared" si="30"/>
        <v/>
      </c>
      <c r="E1952" s="626"/>
      <c r="F1952" s="626"/>
    </row>
    <row r="1953" spans="1:6">
      <c r="A1953" t="str">
        <f t="shared" si="30"/>
        <v/>
      </c>
      <c r="E1953" s="626"/>
      <c r="F1953" s="626"/>
    </row>
    <row r="1954" spans="1:6">
      <c r="A1954" t="str">
        <f t="shared" si="30"/>
        <v/>
      </c>
      <c r="E1954" s="626"/>
      <c r="F1954" s="626"/>
    </row>
    <row r="1955" spans="1:6">
      <c r="A1955" t="str">
        <f t="shared" si="30"/>
        <v/>
      </c>
      <c r="E1955" s="626"/>
      <c r="F1955" s="626"/>
    </row>
    <row r="1956" spans="1:6">
      <c r="A1956" t="str">
        <f t="shared" si="30"/>
        <v/>
      </c>
      <c r="E1956" s="626"/>
      <c r="F1956" s="626"/>
    </row>
    <row r="1957" spans="1:6">
      <c r="A1957" t="str">
        <f t="shared" si="30"/>
        <v/>
      </c>
      <c r="E1957" s="626"/>
      <c r="F1957" s="626"/>
    </row>
    <row r="1958" spans="1:6">
      <c r="A1958" t="str">
        <f t="shared" si="30"/>
        <v/>
      </c>
      <c r="E1958" s="626"/>
      <c r="F1958" s="626"/>
    </row>
    <row r="1959" spans="1:6">
      <c r="A1959" t="str">
        <f t="shared" si="30"/>
        <v/>
      </c>
      <c r="E1959" s="626"/>
      <c r="F1959" s="626"/>
    </row>
    <row r="1960" spans="1:6">
      <c r="A1960" t="str">
        <f t="shared" si="30"/>
        <v/>
      </c>
      <c r="E1960" s="626"/>
      <c r="F1960" s="626"/>
    </row>
    <row r="1961" spans="1:6">
      <c r="A1961" t="str">
        <f t="shared" si="30"/>
        <v/>
      </c>
      <c r="E1961" s="626"/>
      <c r="F1961" s="626"/>
    </row>
    <row r="1962" spans="1:6">
      <c r="A1962" t="str">
        <f t="shared" si="30"/>
        <v/>
      </c>
      <c r="E1962" s="626"/>
      <c r="F1962" s="626"/>
    </row>
    <row r="1963" spans="1:6">
      <c r="A1963" t="str">
        <f t="shared" si="30"/>
        <v/>
      </c>
      <c r="E1963" s="626"/>
      <c r="F1963" s="626"/>
    </row>
    <row r="1964" spans="1:6">
      <c r="A1964" t="str">
        <f t="shared" si="30"/>
        <v/>
      </c>
      <c r="E1964" s="626"/>
      <c r="F1964" s="626"/>
    </row>
    <row r="1965" spans="1:6">
      <c r="A1965" t="str">
        <f t="shared" si="30"/>
        <v/>
      </c>
      <c r="E1965" s="626"/>
      <c r="F1965" s="626"/>
    </row>
    <row r="1966" spans="1:6">
      <c r="A1966" t="str">
        <f t="shared" si="30"/>
        <v/>
      </c>
      <c r="E1966" s="626"/>
      <c r="F1966" s="626"/>
    </row>
    <row r="1967" spans="1:6">
      <c r="A1967" t="str">
        <f t="shared" si="30"/>
        <v/>
      </c>
      <c r="E1967" s="626"/>
      <c r="F1967" s="626"/>
    </row>
    <row r="1968" spans="1:6">
      <c r="A1968" t="str">
        <f t="shared" si="30"/>
        <v/>
      </c>
      <c r="E1968" s="626"/>
      <c r="F1968" s="626"/>
    </row>
    <row r="1969" spans="1:6">
      <c r="A1969" t="str">
        <f t="shared" si="30"/>
        <v/>
      </c>
      <c r="E1969" s="626"/>
      <c r="F1969" s="626"/>
    </row>
    <row r="1970" spans="1:6">
      <c r="A1970" t="str">
        <f t="shared" si="30"/>
        <v/>
      </c>
      <c r="E1970" s="626"/>
      <c r="F1970" s="626"/>
    </row>
    <row r="1971" spans="1:6">
      <c r="A1971" t="str">
        <f t="shared" si="30"/>
        <v/>
      </c>
      <c r="E1971" s="626"/>
      <c r="F1971" s="626"/>
    </row>
    <row r="1972" spans="1:6">
      <c r="A1972" t="str">
        <f t="shared" si="30"/>
        <v/>
      </c>
      <c r="E1972" s="626"/>
      <c r="F1972" s="626"/>
    </row>
    <row r="1973" spans="1:6">
      <c r="A1973" t="str">
        <f t="shared" si="30"/>
        <v/>
      </c>
      <c r="E1973" s="626"/>
      <c r="F1973" s="626"/>
    </row>
    <row r="1974" spans="1:6">
      <c r="A1974" t="str">
        <f t="shared" si="30"/>
        <v/>
      </c>
      <c r="E1974" s="626"/>
      <c r="F1974" s="626"/>
    </row>
    <row r="1975" spans="1:6">
      <c r="A1975" t="str">
        <f t="shared" si="30"/>
        <v/>
      </c>
      <c r="E1975" s="626"/>
      <c r="F1975" s="626"/>
    </row>
    <row r="1976" spans="1:6">
      <c r="A1976" t="str">
        <f t="shared" si="30"/>
        <v/>
      </c>
      <c r="E1976" s="626"/>
      <c r="F1976" s="626"/>
    </row>
    <row r="1977" spans="1:6">
      <c r="A1977" t="str">
        <f t="shared" si="30"/>
        <v/>
      </c>
      <c r="E1977" s="626"/>
      <c r="F1977" s="626"/>
    </row>
    <row r="1978" spans="1:6">
      <c r="A1978" t="str">
        <f t="shared" si="30"/>
        <v/>
      </c>
      <c r="E1978" s="626"/>
      <c r="F1978" s="626"/>
    </row>
    <row r="1979" spans="1:6">
      <c r="A1979" t="str">
        <f t="shared" si="30"/>
        <v/>
      </c>
      <c r="E1979" s="626"/>
      <c r="F1979" s="626"/>
    </row>
    <row r="1980" spans="1:6">
      <c r="A1980" t="str">
        <f t="shared" si="30"/>
        <v/>
      </c>
      <c r="E1980" s="626"/>
      <c r="F1980" s="626"/>
    </row>
    <row r="1981" spans="1:6">
      <c r="A1981" t="str">
        <f t="shared" si="30"/>
        <v/>
      </c>
      <c r="E1981" s="626"/>
      <c r="F1981" s="626"/>
    </row>
    <row r="1982" spans="1:6">
      <c r="A1982" t="str">
        <f t="shared" si="30"/>
        <v/>
      </c>
      <c r="E1982" s="626"/>
      <c r="F1982" s="626"/>
    </row>
    <row r="1983" spans="1:6">
      <c r="A1983" t="str">
        <f t="shared" si="30"/>
        <v/>
      </c>
      <c r="E1983" s="626"/>
      <c r="F1983" s="626"/>
    </row>
    <row r="1984" spans="1:6">
      <c r="A1984" t="str">
        <f t="shared" si="30"/>
        <v/>
      </c>
      <c r="E1984" s="626"/>
      <c r="F1984" s="626"/>
    </row>
    <row r="1985" spans="1:6">
      <c r="A1985" t="str">
        <f t="shared" si="30"/>
        <v/>
      </c>
      <c r="E1985" s="626"/>
      <c r="F1985" s="626"/>
    </row>
    <row r="1986" spans="1:6">
      <c r="A1986" t="str">
        <f t="shared" ref="A1986:A2049" si="31">B1986&amp;E1986&amp;J1986</f>
        <v/>
      </c>
      <c r="E1986" s="626"/>
      <c r="F1986" s="626"/>
    </row>
    <row r="1987" spans="1:6">
      <c r="A1987" t="str">
        <f t="shared" si="31"/>
        <v/>
      </c>
      <c r="E1987" s="626"/>
      <c r="F1987" s="626"/>
    </row>
    <row r="1988" spans="1:6">
      <c r="A1988" t="str">
        <f t="shared" si="31"/>
        <v/>
      </c>
      <c r="E1988" s="626"/>
      <c r="F1988" s="626"/>
    </row>
    <row r="1989" spans="1:6">
      <c r="A1989" t="str">
        <f t="shared" si="31"/>
        <v/>
      </c>
      <c r="E1989" s="626"/>
      <c r="F1989" s="626"/>
    </row>
    <row r="1990" spans="1:6">
      <c r="A1990" t="str">
        <f t="shared" si="31"/>
        <v/>
      </c>
      <c r="E1990" s="626"/>
      <c r="F1990" s="626"/>
    </row>
    <row r="1991" spans="1:6">
      <c r="A1991" t="str">
        <f t="shared" si="31"/>
        <v/>
      </c>
      <c r="E1991" s="626"/>
      <c r="F1991" s="626"/>
    </row>
    <row r="1992" spans="1:6">
      <c r="A1992" t="str">
        <f t="shared" si="31"/>
        <v/>
      </c>
      <c r="E1992" s="626"/>
      <c r="F1992" s="626"/>
    </row>
    <row r="1993" spans="1:6">
      <c r="A1993" t="str">
        <f t="shared" si="31"/>
        <v/>
      </c>
      <c r="E1993" s="626"/>
      <c r="F1993" s="626"/>
    </row>
    <row r="1994" spans="1:6">
      <c r="A1994" t="str">
        <f t="shared" si="31"/>
        <v/>
      </c>
      <c r="E1994" s="626"/>
      <c r="F1994" s="626"/>
    </row>
    <row r="1995" spans="1:6">
      <c r="A1995" t="str">
        <f t="shared" si="31"/>
        <v/>
      </c>
      <c r="E1995" s="626"/>
      <c r="F1995" s="626"/>
    </row>
    <row r="1996" spans="1:6">
      <c r="A1996" t="str">
        <f t="shared" si="31"/>
        <v/>
      </c>
      <c r="E1996" s="626"/>
      <c r="F1996" s="626"/>
    </row>
    <row r="1997" spans="1:6">
      <c r="A1997" t="str">
        <f t="shared" si="31"/>
        <v/>
      </c>
      <c r="E1997" s="626"/>
      <c r="F1997" s="626"/>
    </row>
    <row r="1998" spans="1:6">
      <c r="A1998" t="str">
        <f t="shared" si="31"/>
        <v/>
      </c>
      <c r="E1998" s="626"/>
      <c r="F1998" s="626"/>
    </row>
    <row r="1999" spans="1:6">
      <c r="A1999" t="str">
        <f t="shared" si="31"/>
        <v/>
      </c>
      <c r="E1999" s="626"/>
      <c r="F1999" s="626"/>
    </row>
    <row r="2000" spans="1:6">
      <c r="A2000" t="str">
        <f t="shared" si="31"/>
        <v/>
      </c>
      <c r="E2000" s="626"/>
      <c r="F2000" s="626"/>
    </row>
    <row r="2001" spans="1:6">
      <c r="A2001" t="str">
        <f t="shared" si="31"/>
        <v/>
      </c>
      <c r="E2001" s="626"/>
      <c r="F2001" s="626"/>
    </row>
    <row r="2002" spans="1:6">
      <c r="A2002" t="str">
        <f t="shared" si="31"/>
        <v/>
      </c>
      <c r="E2002" s="626"/>
      <c r="F2002" s="626"/>
    </row>
    <row r="2003" spans="1:6">
      <c r="A2003" t="str">
        <f t="shared" si="31"/>
        <v/>
      </c>
      <c r="E2003" s="626"/>
      <c r="F2003" s="626"/>
    </row>
    <row r="2004" spans="1:6">
      <c r="A2004" t="str">
        <f t="shared" si="31"/>
        <v/>
      </c>
      <c r="E2004" s="626"/>
      <c r="F2004" s="626"/>
    </row>
    <row r="2005" spans="1:6">
      <c r="A2005" t="str">
        <f t="shared" si="31"/>
        <v/>
      </c>
      <c r="E2005" s="626"/>
      <c r="F2005" s="626"/>
    </row>
    <row r="2006" spans="1:6">
      <c r="A2006" t="str">
        <f t="shared" si="31"/>
        <v/>
      </c>
      <c r="E2006" s="626"/>
      <c r="F2006" s="626"/>
    </row>
    <row r="2007" spans="1:6">
      <c r="A2007" t="str">
        <f t="shared" si="31"/>
        <v/>
      </c>
      <c r="E2007" s="626"/>
      <c r="F2007" s="626"/>
    </row>
    <row r="2008" spans="1:6">
      <c r="A2008" t="str">
        <f t="shared" si="31"/>
        <v/>
      </c>
      <c r="E2008" s="626"/>
      <c r="F2008" s="626"/>
    </row>
    <row r="2009" spans="1:6">
      <c r="A2009" t="str">
        <f t="shared" si="31"/>
        <v/>
      </c>
      <c r="E2009" s="626"/>
      <c r="F2009" s="626"/>
    </row>
    <row r="2010" spans="1:6">
      <c r="A2010" t="str">
        <f t="shared" si="31"/>
        <v/>
      </c>
      <c r="E2010" s="626"/>
      <c r="F2010" s="626"/>
    </row>
    <row r="2011" spans="1:6">
      <c r="A2011" t="str">
        <f t="shared" si="31"/>
        <v/>
      </c>
      <c r="E2011" s="626"/>
      <c r="F2011" s="626"/>
    </row>
    <row r="2012" spans="1:6">
      <c r="A2012" t="str">
        <f t="shared" si="31"/>
        <v/>
      </c>
      <c r="E2012" s="626"/>
      <c r="F2012" s="626"/>
    </row>
    <row r="2013" spans="1:6">
      <c r="A2013" t="str">
        <f t="shared" si="31"/>
        <v/>
      </c>
      <c r="E2013" s="626"/>
      <c r="F2013" s="626"/>
    </row>
    <row r="2014" spans="1:6">
      <c r="A2014" t="str">
        <f t="shared" si="31"/>
        <v/>
      </c>
      <c r="E2014" s="626"/>
      <c r="F2014" s="626"/>
    </row>
    <row r="2015" spans="1:6">
      <c r="A2015" t="str">
        <f t="shared" si="31"/>
        <v/>
      </c>
      <c r="E2015" s="626"/>
      <c r="F2015" s="626"/>
    </row>
    <row r="2016" spans="1:6">
      <c r="A2016" t="str">
        <f t="shared" si="31"/>
        <v/>
      </c>
      <c r="E2016" s="626"/>
      <c r="F2016" s="626"/>
    </row>
    <row r="2017" spans="1:6">
      <c r="A2017" t="str">
        <f t="shared" si="31"/>
        <v/>
      </c>
      <c r="E2017" s="626"/>
      <c r="F2017" s="626"/>
    </row>
    <row r="2018" spans="1:6">
      <c r="A2018" t="str">
        <f t="shared" si="31"/>
        <v/>
      </c>
      <c r="E2018" s="626"/>
      <c r="F2018" s="626"/>
    </row>
    <row r="2019" spans="1:6">
      <c r="A2019" t="str">
        <f t="shared" si="31"/>
        <v/>
      </c>
      <c r="E2019" s="626"/>
      <c r="F2019" s="626"/>
    </row>
    <row r="2020" spans="1:6">
      <c r="A2020" t="str">
        <f t="shared" si="31"/>
        <v/>
      </c>
      <c r="E2020" s="626"/>
      <c r="F2020" s="626"/>
    </row>
    <row r="2021" spans="1:6">
      <c r="A2021" t="str">
        <f t="shared" si="31"/>
        <v/>
      </c>
      <c r="E2021" s="626"/>
      <c r="F2021" s="626"/>
    </row>
    <row r="2022" spans="1:6">
      <c r="A2022" t="str">
        <f t="shared" si="31"/>
        <v/>
      </c>
      <c r="E2022" s="626"/>
      <c r="F2022" s="626"/>
    </row>
    <row r="2023" spans="1:6">
      <c r="A2023" t="str">
        <f t="shared" si="31"/>
        <v/>
      </c>
      <c r="E2023" s="626"/>
      <c r="F2023" s="626"/>
    </row>
    <row r="2024" spans="1:6">
      <c r="A2024" t="str">
        <f t="shared" si="31"/>
        <v/>
      </c>
      <c r="E2024" s="626"/>
      <c r="F2024" s="626"/>
    </row>
    <row r="2025" spans="1:6">
      <c r="A2025" t="str">
        <f t="shared" si="31"/>
        <v/>
      </c>
      <c r="E2025" s="626"/>
      <c r="F2025" s="626"/>
    </row>
    <row r="2026" spans="1:6">
      <c r="A2026" t="str">
        <f t="shared" si="31"/>
        <v/>
      </c>
      <c r="E2026" s="626"/>
      <c r="F2026" s="626"/>
    </row>
    <row r="2027" spans="1:6">
      <c r="A2027" t="str">
        <f t="shared" si="31"/>
        <v/>
      </c>
      <c r="E2027" s="626"/>
      <c r="F2027" s="626"/>
    </row>
    <row r="2028" spans="1:6">
      <c r="A2028" t="str">
        <f t="shared" si="31"/>
        <v/>
      </c>
      <c r="E2028" s="626"/>
      <c r="F2028" s="626"/>
    </row>
    <row r="2029" spans="1:6">
      <c r="A2029" t="str">
        <f t="shared" si="31"/>
        <v/>
      </c>
      <c r="E2029" s="626"/>
      <c r="F2029" s="626"/>
    </row>
    <row r="2030" spans="1:6">
      <c r="A2030" t="str">
        <f t="shared" si="31"/>
        <v/>
      </c>
      <c r="E2030" s="626"/>
      <c r="F2030" s="626"/>
    </row>
    <row r="2031" spans="1:6">
      <c r="A2031" t="str">
        <f t="shared" si="31"/>
        <v/>
      </c>
      <c r="E2031" s="626"/>
      <c r="F2031" s="626"/>
    </row>
    <row r="2032" spans="1:6">
      <c r="A2032" t="str">
        <f t="shared" si="31"/>
        <v/>
      </c>
      <c r="E2032" s="626"/>
      <c r="F2032" s="626"/>
    </row>
    <row r="2033" spans="1:6">
      <c r="A2033" t="str">
        <f t="shared" si="31"/>
        <v/>
      </c>
      <c r="E2033" s="626"/>
      <c r="F2033" s="626"/>
    </row>
    <row r="2034" spans="1:6">
      <c r="A2034" t="str">
        <f t="shared" si="31"/>
        <v/>
      </c>
      <c r="E2034" s="626"/>
      <c r="F2034" s="626"/>
    </row>
    <row r="2035" spans="1:6">
      <c r="A2035" t="str">
        <f t="shared" si="31"/>
        <v/>
      </c>
      <c r="E2035" s="626"/>
      <c r="F2035" s="626"/>
    </row>
    <row r="2036" spans="1:6">
      <c r="A2036" t="str">
        <f t="shared" si="31"/>
        <v/>
      </c>
      <c r="E2036" s="626"/>
      <c r="F2036" s="626"/>
    </row>
    <row r="2037" spans="1:6">
      <c r="A2037" t="str">
        <f t="shared" si="31"/>
        <v/>
      </c>
      <c r="E2037" s="626"/>
      <c r="F2037" s="626"/>
    </row>
    <row r="2038" spans="1:6">
      <c r="A2038" t="str">
        <f t="shared" si="31"/>
        <v/>
      </c>
      <c r="E2038" s="626"/>
      <c r="F2038" s="626"/>
    </row>
    <row r="2039" spans="1:6">
      <c r="A2039" t="str">
        <f t="shared" si="31"/>
        <v/>
      </c>
      <c r="E2039" s="626"/>
      <c r="F2039" s="626"/>
    </row>
    <row r="2040" spans="1:6">
      <c r="A2040" t="str">
        <f t="shared" si="31"/>
        <v/>
      </c>
      <c r="E2040" s="626"/>
      <c r="F2040" s="626"/>
    </row>
    <row r="2041" spans="1:6">
      <c r="A2041" t="str">
        <f t="shared" si="31"/>
        <v/>
      </c>
      <c r="E2041" s="626"/>
      <c r="F2041" s="626"/>
    </row>
    <row r="2042" spans="1:6">
      <c r="A2042" t="str">
        <f t="shared" si="31"/>
        <v/>
      </c>
      <c r="E2042" s="626"/>
      <c r="F2042" s="626"/>
    </row>
    <row r="2043" spans="1:6">
      <c r="A2043" t="str">
        <f t="shared" si="31"/>
        <v/>
      </c>
      <c r="E2043" s="626"/>
      <c r="F2043" s="626"/>
    </row>
    <row r="2044" spans="1:6">
      <c r="A2044" t="str">
        <f t="shared" si="31"/>
        <v/>
      </c>
      <c r="E2044" s="626"/>
      <c r="F2044" s="626"/>
    </row>
    <row r="2045" spans="1:6">
      <c r="A2045" t="str">
        <f t="shared" si="31"/>
        <v/>
      </c>
      <c r="E2045" s="626"/>
      <c r="F2045" s="626"/>
    </row>
    <row r="2046" spans="1:6">
      <c r="A2046" t="str">
        <f t="shared" si="31"/>
        <v/>
      </c>
      <c r="E2046" s="626"/>
      <c r="F2046" s="626"/>
    </row>
    <row r="2047" spans="1:6">
      <c r="A2047" t="str">
        <f t="shared" si="31"/>
        <v/>
      </c>
      <c r="E2047" s="626"/>
      <c r="F2047" s="626"/>
    </row>
    <row r="2048" spans="1:6">
      <c r="A2048" t="str">
        <f t="shared" si="31"/>
        <v/>
      </c>
      <c r="E2048" s="626"/>
      <c r="F2048" s="626"/>
    </row>
    <row r="2049" spans="1:6">
      <c r="A2049" t="str">
        <f t="shared" si="31"/>
        <v/>
      </c>
      <c r="E2049" s="626"/>
      <c r="F2049" s="626"/>
    </row>
    <row r="2050" spans="1:6">
      <c r="A2050" t="str">
        <f t="shared" ref="A2050:A2113" si="32">B2050&amp;E2050&amp;J2050</f>
        <v/>
      </c>
      <c r="E2050" s="626"/>
      <c r="F2050" s="626"/>
    </row>
    <row r="2051" spans="1:6">
      <c r="A2051" t="str">
        <f t="shared" si="32"/>
        <v/>
      </c>
      <c r="E2051" s="626"/>
      <c r="F2051" s="626"/>
    </row>
    <row r="2052" spans="1:6">
      <c r="A2052" t="str">
        <f t="shared" si="32"/>
        <v/>
      </c>
      <c r="E2052" s="626"/>
      <c r="F2052" s="626"/>
    </row>
    <row r="2053" spans="1:6">
      <c r="A2053" t="str">
        <f t="shared" si="32"/>
        <v/>
      </c>
      <c r="E2053" s="626"/>
      <c r="F2053" s="626"/>
    </row>
    <row r="2054" spans="1:6">
      <c r="A2054" t="str">
        <f t="shared" si="32"/>
        <v/>
      </c>
      <c r="E2054" s="626"/>
      <c r="F2054" s="626"/>
    </row>
    <row r="2055" spans="1:6">
      <c r="A2055" t="str">
        <f t="shared" si="32"/>
        <v/>
      </c>
      <c r="E2055" s="626"/>
      <c r="F2055" s="626"/>
    </row>
    <row r="2056" spans="1:6">
      <c r="A2056" t="str">
        <f t="shared" si="32"/>
        <v/>
      </c>
      <c r="E2056" s="626"/>
      <c r="F2056" s="626"/>
    </row>
    <row r="2057" spans="1:6">
      <c r="A2057" t="str">
        <f t="shared" si="32"/>
        <v/>
      </c>
      <c r="E2057" s="626"/>
      <c r="F2057" s="626"/>
    </row>
    <row r="2058" spans="1:6">
      <c r="A2058" t="str">
        <f t="shared" si="32"/>
        <v/>
      </c>
      <c r="E2058" s="626"/>
      <c r="F2058" s="626"/>
    </row>
    <row r="2059" spans="1:6">
      <c r="A2059" t="str">
        <f t="shared" si="32"/>
        <v/>
      </c>
      <c r="E2059" s="626"/>
      <c r="F2059" s="626"/>
    </row>
    <row r="2060" spans="1:6">
      <c r="A2060" t="str">
        <f t="shared" si="32"/>
        <v/>
      </c>
      <c r="E2060" s="626"/>
      <c r="F2060" s="626"/>
    </row>
    <row r="2061" spans="1:6">
      <c r="A2061" t="str">
        <f t="shared" si="32"/>
        <v/>
      </c>
      <c r="E2061" s="626"/>
      <c r="F2061" s="626"/>
    </row>
    <row r="2062" spans="1:6">
      <c r="A2062" t="str">
        <f t="shared" si="32"/>
        <v/>
      </c>
      <c r="E2062" s="626"/>
      <c r="F2062" s="626"/>
    </row>
    <row r="2063" spans="1:6">
      <c r="A2063" t="str">
        <f t="shared" si="32"/>
        <v/>
      </c>
      <c r="E2063" s="626"/>
      <c r="F2063" s="626"/>
    </row>
    <row r="2064" spans="1:6">
      <c r="A2064" t="str">
        <f t="shared" si="32"/>
        <v/>
      </c>
      <c r="E2064" s="626"/>
      <c r="F2064" s="626"/>
    </row>
    <row r="2065" spans="1:6">
      <c r="A2065" t="str">
        <f t="shared" si="32"/>
        <v/>
      </c>
      <c r="E2065" s="626"/>
      <c r="F2065" s="626"/>
    </row>
    <row r="2066" spans="1:6">
      <c r="A2066" t="str">
        <f t="shared" si="32"/>
        <v/>
      </c>
      <c r="E2066" s="626"/>
      <c r="F2066" s="626"/>
    </row>
    <row r="2067" spans="1:6">
      <c r="A2067" t="str">
        <f t="shared" si="32"/>
        <v/>
      </c>
      <c r="E2067" s="626"/>
      <c r="F2067" s="626"/>
    </row>
    <row r="2068" spans="1:6">
      <c r="A2068" t="str">
        <f t="shared" si="32"/>
        <v/>
      </c>
      <c r="E2068" s="626"/>
      <c r="F2068" s="626"/>
    </row>
    <row r="2069" spans="1:6">
      <c r="A2069" t="str">
        <f t="shared" si="32"/>
        <v/>
      </c>
      <c r="E2069" s="626"/>
      <c r="F2069" s="626"/>
    </row>
    <row r="2070" spans="1:6">
      <c r="A2070" t="str">
        <f t="shared" si="32"/>
        <v/>
      </c>
      <c r="E2070" s="626"/>
      <c r="F2070" s="626"/>
    </row>
    <row r="2071" spans="1:6">
      <c r="A2071" t="str">
        <f t="shared" si="32"/>
        <v/>
      </c>
      <c r="E2071" s="626"/>
      <c r="F2071" s="626"/>
    </row>
    <row r="2072" spans="1:6">
      <c r="A2072" t="str">
        <f t="shared" si="32"/>
        <v/>
      </c>
      <c r="E2072" s="626"/>
      <c r="F2072" s="626"/>
    </row>
    <row r="2073" spans="1:6">
      <c r="A2073" t="str">
        <f t="shared" si="32"/>
        <v/>
      </c>
      <c r="E2073" s="626"/>
      <c r="F2073" s="626"/>
    </row>
    <row r="2074" spans="1:6">
      <c r="A2074" t="str">
        <f t="shared" si="32"/>
        <v/>
      </c>
      <c r="E2074" s="626"/>
      <c r="F2074" s="626"/>
    </row>
    <row r="2075" spans="1:6">
      <c r="A2075" t="str">
        <f t="shared" si="32"/>
        <v/>
      </c>
      <c r="E2075" s="626"/>
      <c r="F2075" s="626"/>
    </row>
    <row r="2076" spans="1:6">
      <c r="A2076" t="str">
        <f t="shared" si="32"/>
        <v/>
      </c>
      <c r="E2076" s="626"/>
      <c r="F2076" s="626"/>
    </row>
    <row r="2077" spans="1:6">
      <c r="A2077" t="str">
        <f t="shared" si="32"/>
        <v/>
      </c>
      <c r="E2077" s="626"/>
      <c r="F2077" s="626"/>
    </row>
    <row r="2078" spans="1:6">
      <c r="A2078" t="str">
        <f t="shared" si="32"/>
        <v/>
      </c>
      <c r="E2078" s="626"/>
      <c r="F2078" s="626"/>
    </row>
    <row r="2079" spans="1:6">
      <c r="A2079" t="str">
        <f t="shared" si="32"/>
        <v/>
      </c>
      <c r="E2079" s="626"/>
      <c r="F2079" s="626"/>
    </row>
    <row r="2080" spans="1:6">
      <c r="A2080" t="str">
        <f t="shared" si="32"/>
        <v/>
      </c>
      <c r="E2080" s="626"/>
      <c r="F2080" s="626"/>
    </row>
    <row r="2081" spans="1:6">
      <c r="A2081" t="str">
        <f t="shared" si="32"/>
        <v/>
      </c>
      <c r="E2081" s="626"/>
      <c r="F2081" s="626"/>
    </row>
    <row r="2082" spans="1:6">
      <c r="A2082" t="str">
        <f t="shared" si="32"/>
        <v/>
      </c>
      <c r="E2082" s="626"/>
      <c r="F2082" s="626"/>
    </row>
    <row r="2083" spans="1:6">
      <c r="A2083" t="str">
        <f t="shared" si="32"/>
        <v/>
      </c>
      <c r="E2083" s="626"/>
      <c r="F2083" s="626"/>
    </row>
    <row r="2084" spans="1:6">
      <c r="A2084" t="str">
        <f t="shared" si="32"/>
        <v/>
      </c>
      <c r="E2084" s="626"/>
      <c r="F2084" s="626"/>
    </row>
    <row r="2085" spans="1:6">
      <c r="A2085" t="str">
        <f t="shared" si="32"/>
        <v/>
      </c>
      <c r="E2085" s="626"/>
      <c r="F2085" s="626"/>
    </row>
    <row r="2086" spans="1:6">
      <c r="A2086" t="str">
        <f t="shared" si="32"/>
        <v/>
      </c>
      <c r="E2086" s="626"/>
      <c r="F2086" s="626"/>
    </row>
    <row r="2087" spans="1:6">
      <c r="A2087" t="str">
        <f t="shared" si="32"/>
        <v/>
      </c>
      <c r="E2087" s="626"/>
      <c r="F2087" s="626"/>
    </row>
    <row r="2088" spans="1:6">
      <c r="A2088" t="str">
        <f t="shared" si="32"/>
        <v/>
      </c>
      <c r="E2088" s="626"/>
      <c r="F2088" s="626"/>
    </row>
    <row r="2089" spans="1:6">
      <c r="A2089" t="str">
        <f t="shared" si="32"/>
        <v/>
      </c>
      <c r="E2089" s="626"/>
      <c r="F2089" s="626"/>
    </row>
    <row r="2090" spans="1:6">
      <c r="A2090" t="str">
        <f t="shared" si="32"/>
        <v/>
      </c>
      <c r="E2090" s="626"/>
      <c r="F2090" s="626"/>
    </row>
    <row r="2091" spans="1:6">
      <c r="A2091" t="str">
        <f t="shared" si="32"/>
        <v/>
      </c>
      <c r="E2091" s="626"/>
      <c r="F2091" s="626"/>
    </row>
    <row r="2092" spans="1:6">
      <c r="A2092" t="str">
        <f t="shared" si="32"/>
        <v/>
      </c>
      <c r="E2092" s="626"/>
      <c r="F2092" s="626"/>
    </row>
    <row r="2093" spans="1:6">
      <c r="A2093" t="str">
        <f t="shared" si="32"/>
        <v/>
      </c>
      <c r="E2093" s="626"/>
      <c r="F2093" s="626"/>
    </row>
    <row r="2094" spans="1:6">
      <c r="A2094" t="str">
        <f t="shared" si="32"/>
        <v/>
      </c>
      <c r="E2094" s="626"/>
      <c r="F2094" s="626"/>
    </row>
    <row r="2095" spans="1:6">
      <c r="A2095" t="str">
        <f t="shared" si="32"/>
        <v/>
      </c>
      <c r="E2095" s="626"/>
      <c r="F2095" s="626"/>
    </row>
    <row r="2096" spans="1:6">
      <c r="A2096" t="str">
        <f t="shared" si="32"/>
        <v/>
      </c>
      <c r="E2096" s="626"/>
      <c r="F2096" s="626"/>
    </row>
    <row r="2097" spans="1:6">
      <c r="A2097" t="str">
        <f t="shared" si="32"/>
        <v/>
      </c>
      <c r="E2097" s="626"/>
      <c r="F2097" s="626"/>
    </row>
    <row r="2098" spans="1:6">
      <c r="A2098" t="str">
        <f t="shared" si="32"/>
        <v/>
      </c>
      <c r="E2098" s="626"/>
      <c r="F2098" s="626"/>
    </row>
    <row r="2099" spans="1:6">
      <c r="A2099" t="str">
        <f t="shared" si="32"/>
        <v/>
      </c>
      <c r="E2099" s="626"/>
      <c r="F2099" s="626"/>
    </row>
    <row r="2100" spans="1:6">
      <c r="A2100" t="str">
        <f t="shared" si="32"/>
        <v/>
      </c>
      <c r="E2100" s="626"/>
      <c r="F2100" s="626"/>
    </row>
    <row r="2101" spans="1:6">
      <c r="A2101" t="str">
        <f t="shared" si="32"/>
        <v/>
      </c>
      <c r="E2101" s="626"/>
      <c r="F2101" s="626"/>
    </row>
    <row r="2102" spans="1:6">
      <c r="A2102" t="str">
        <f t="shared" si="32"/>
        <v/>
      </c>
      <c r="E2102" s="626"/>
      <c r="F2102" s="626"/>
    </row>
    <row r="2103" spans="1:6">
      <c r="A2103" t="str">
        <f t="shared" si="32"/>
        <v/>
      </c>
      <c r="E2103" s="626"/>
      <c r="F2103" s="626"/>
    </row>
    <row r="2104" spans="1:6">
      <c r="A2104" t="str">
        <f t="shared" si="32"/>
        <v/>
      </c>
      <c r="E2104" s="626"/>
      <c r="F2104" s="626"/>
    </row>
    <row r="2105" spans="1:6">
      <c r="A2105" t="str">
        <f t="shared" si="32"/>
        <v/>
      </c>
      <c r="E2105" s="626"/>
      <c r="F2105" s="626"/>
    </row>
    <row r="2106" spans="1:6">
      <c r="A2106" t="str">
        <f t="shared" si="32"/>
        <v/>
      </c>
      <c r="E2106" s="626"/>
      <c r="F2106" s="626"/>
    </row>
    <row r="2107" spans="1:6">
      <c r="A2107" t="str">
        <f t="shared" si="32"/>
        <v/>
      </c>
      <c r="E2107" s="626"/>
      <c r="F2107" s="626"/>
    </row>
    <row r="2108" spans="1:6">
      <c r="A2108" t="str">
        <f t="shared" si="32"/>
        <v/>
      </c>
      <c r="E2108" s="626"/>
      <c r="F2108" s="626"/>
    </row>
    <row r="2109" spans="1:6">
      <c r="A2109" t="str">
        <f t="shared" si="32"/>
        <v/>
      </c>
      <c r="E2109" s="626"/>
      <c r="F2109" s="626"/>
    </row>
    <row r="2110" spans="1:6">
      <c r="A2110" t="str">
        <f t="shared" si="32"/>
        <v/>
      </c>
      <c r="E2110" s="626"/>
      <c r="F2110" s="626"/>
    </row>
    <row r="2111" spans="1:6">
      <c r="A2111" t="str">
        <f t="shared" si="32"/>
        <v/>
      </c>
      <c r="E2111" s="626"/>
      <c r="F2111" s="626"/>
    </row>
    <row r="2112" spans="1:6">
      <c r="A2112" t="str">
        <f t="shared" si="32"/>
        <v/>
      </c>
      <c r="E2112" s="626"/>
      <c r="F2112" s="626"/>
    </row>
    <row r="2113" spans="1:6">
      <c r="A2113" t="str">
        <f t="shared" si="32"/>
        <v/>
      </c>
      <c r="E2113" s="626"/>
      <c r="F2113" s="626"/>
    </row>
    <row r="2114" spans="1:6">
      <c r="A2114" t="str">
        <f t="shared" ref="A2114:A2177" si="33">B2114&amp;E2114&amp;J2114</f>
        <v/>
      </c>
      <c r="E2114" s="626"/>
      <c r="F2114" s="626"/>
    </row>
    <row r="2115" spans="1:6">
      <c r="A2115" t="str">
        <f t="shared" si="33"/>
        <v/>
      </c>
      <c r="E2115" s="626"/>
      <c r="F2115" s="626"/>
    </row>
    <row r="2116" spans="1:6">
      <c r="A2116" t="str">
        <f t="shared" si="33"/>
        <v/>
      </c>
      <c r="E2116" s="626"/>
      <c r="F2116" s="626"/>
    </row>
    <row r="2117" spans="1:6">
      <c r="A2117" t="str">
        <f t="shared" si="33"/>
        <v/>
      </c>
      <c r="E2117" s="626"/>
      <c r="F2117" s="626"/>
    </row>
    <row r="2118" spans="1:6">
      <c r="A2118" t="str">
        <f t="shared" si="33"/>
        <v/>
      </c>
      <c r="E2118" s="626"/>
      <c r="F2118" s="626"/>
    </row>
    <row r="2119" spans="1:6">
      <c r="A2119" t="str">
        <f t="shared" si="33"/>
        <v/>
      </c>
      <c r="E2119" s="626"/>
      <c r="F2119" s="626"/>
    </row>
    <row r="2120" spans="1:6">
      <c r="A2120" t="str">
        <f t="shared" si="33"/>
        <v/>
      </c>
      <c r="E2120" s="626"/>
      <c r="F2120" s="626"/>
    </row>
    <row r="2121" spans="1:6">
      <c r="A2121" t="str">
        <f t="shared" si="33"/>
        <v/>
      </c>
      <c r="E2121" s="626"/>
      <c r="F2121" s="626"/>
    </row>
    <row r="2122" spans="1:6">
      <c r="A2122" t="str">
        <f t="shared" si="33"/>
        <v/>
      </c>
      <c r="E2122" s="626"/>
      <c r="F2122" s="626"/>
    </row>
    <row r="2123" spans="1:6">
      <c r="A2123" t="str">
        <f t="shared" si="33"/>
        <v/>
      </c>
      <c r="E2123" s="626"/>
      <c r="F2123" s="626"/>
    </row>
    <row r="2124" spans="1:6">
      <c r="A2124" t="str">
        <f t="shared" si="33"/>
        <v/>
      </c>
      <c r="E2124" s="626"/>
      <c r="F2124" s="626"/>
    </row>
    <row r="2125" spans="1:6">
      <c r="A2125" t="str">
        <f t="shared" si="33"/>
        <v/>
      </c>
      <c r="E2125" s="626"/>
      <c r="F2125" s="626"/>
    </row>
    <row r="2126" spans="1:6">
      <c r="A2126" t="str">
        <f t="shared" si="33"/>
        <v/>
      </c>
      <c r="E2126" s="626"/>
      <c r="F2126" s="626"/>
    </row>
    <row r="2127" spans="1:6">
      <c r="A2127" t="str">
        <f t="shared" si="33"/>
        <v/>
      </c>
      <c r="E2127" s="626"/>
      <c r="F2127" s="626"/>
    </row>
    <row r="2128" spans="1:6">
      <c r="A2128" t="str">
        <f t="shared" si="33"/>
        <v/>
      </c>
      <c r="E2128" s="626"/>
      <c r="F2128" s="626"/>
    </row>
    <row r="2129" spans="1:6">
      <c r="A2129" t="str">
        <f t="shared" si="33"/>
        <v/>
      </c>
      <c r="E2129" s="626"/>
      <c r="F2129" s="626"/>
    </row>
    <row r="2130" spans="1:6">
      <c r="A2130" t="str">
        <f t="shared" si="33"/>
        <v/>
      </c>
      <c r="E2130" s="626"/>
      <c r="F2130" s="626"/>
    </row>
    <row r="2131" spans="1:6">
      <c r="A2131" t="str">
        <f t="shared" si="33"/>
        <v/>
      </c>
      <c r="E2131" s="626"/>
      <c r="F2131" s="626"/>
    </row>
    <row r="2132" spans="1:6">
      <c r="A2132" t="str">
        <f t="shared" si="33"/>
        <v/>
      </c>
      <c r="E2132" s="626"/>
      <c r="F2132" s="626"/>
    </row>
    <row r="2133" spans="1:6">
      <c r="A2133" t="str">
        <f t="shared" si="33"/>
        <v/>
      </c>
      <c r="E2133" s="626"/>
      <c r="F2133" s="626"/>
    </row>
    <row r="2134" spans="1:6">
      <c r="A2134" t="str">
        <f t="shared" si="33"/>
        <v/>
      </c>
      <c r="E2134" s="626"/>
      <c r="F2134" s="626"/>
    </row>
    <row r="2135" spans="1:6">
      <c r="A2135" t="str">
        <f t="shared" si="33"/>
        <v/>
      </c>
      <c r="E2135" s="626"/>
      <c r="F2135" s="626"/>
    </row>
    <row r="2136" spans="1:6">
      <c r="A2136" t="str">
        <f t="shared" si="33"/>
        <v/>
      </c>
      <c r="E2136" s="626"/>
      <c r="F2136" s="626"/>
    </row>
    <row r="2137" spans="1:6">
      <c r="A2137" t="str">
        <f t="shared" si="33"/>
        <v/>
      </c>
      <c r="E2137" s="626"/>
      <c r="F2137" s="626"/>
    </row>
    <row r="2138" spans="1:6">
      <c r="A2138" t="str">
        <f t="shared" si="33"/>
        <v/>
      </c>
      <c r="E2138" s="626"/>
      <c r="F2138" s="626"/>
    </row>
    <row r="2139" spans="1:6">
      <c r="A2139" t="str">
        <f t="shared" si="33"/>
        <v/>
      </c>
      <c r="E2139" s="626"/>
      <c r="F2139" s="626"/>
    </row>
    <row r="2140" spans="1:6">
      <c r="A2140" t="str">
        <f t="shared" si="33"/>
        <v/>
      </c>
      <c r="E2140" s="626"/>
      <c r="F2140" s="626"/>
    </row>
    <row r="2141" spans="1:6">
      <c r="A2141" t="str">
        <f t="shared" si="33"/>
        <v/>
      </c>
      <c r="E2141" s="626"/>
      <c r="F2141" s="626"/>
    </row>
    <row r="2142" spans="1:6">
      <c r="A2142" t="str">
        <f t="shared" si="33"/>
        <v/>
      </c>
      <c r="E2142" s="626"/>
      <c r="F2142" s="626"/>
    </row>
    <row r="2143" spans="1:6">
      <c r="A2143" t="str">
        <f t="shared" si="33"/>
        <v/>
      </c>
      <c r="E2143" s="626"/>
      <c r="F2143" s="626"/>
    </row>
    <row r="2144" spans="1:6">
      <c r="A2144" t="str">
        <f t="shared" si="33"/>
        <v/>
      </c>
      <c r="E2144" s="626"/>
      <c r="F2144" s="626"/>
    </row>
    <row r="2145" spans="1:6">
      <c r="A2145" t="str">
        <f t="shared" si="33"/>
        <v/>
      </c>
      <c r="E2145" s="626"/>
      <c r="F2145" s="626"/>
    </row>
    <row r="2146" spans="1:6">
      <c r="A2146" t="str">
        <f t="shared" si="33"/>
        <v/>
      </c>
      <c r="E2146" s="626"/>
      <c r="F2146" s="626"/>
    </row>
    <row r="2147" spans="1:6">
      <c r="A2147" t="str">
        <f t="shared" si="33"/>
        <v/>
      </c>
      <c r="E2147" s="626"/>
      <c r="F2147" s="626"/>
    </row>
    <row r="2148" spans="1:6">
      <c r="A2148" t="str">
        <f t="shared" si="33"/>
        <v/>
      </c>
      <c r="E2148" s="626"/>
      <c r="F2148" s="626"/>
    </row>
    <row r="2149" spans="1:6">
      <c r="A2149" t="str">
        <f t="shared" si="33"/>
        <v/>
      </c>
      <c r="E2149" s="626"/>
      <c r="F2149" s="626"/>
    </row>
    <row r="2150" spans="1:6">
      <c r="A2150" t="str">
        <f t="shared" si="33"/>
        <v/>
      </c>
      <c r="E2150" s="626"/>
      <c r="F2150" s="626"/>
    </row>
    <row r="2151" spans="1:6">
      <c r="A2151" t="str">
        <f t="shared" si="33"/>
        <v/>
      </c>
      <c r="E2151" s="626"/>
      <c r="F2151" s="626"/>
    </row>
    <row r="2152" spans="1:6">
      <c r="A2152" t="str">
        <f t="shared" si="33"/>
        <v/>
      </c>
      <c r="E2152" s="626"/>
      <c r="F2152" s="626"/>
    </row>
    <row r="2153" spans="1:6">
      <c r="A2153" t="str">
        <f t="shared" si="33"/>
        <v/>
      </c>
      <c r="E2153" s="626"/>
      <c r="F2153" s="626"/>
    </row>
    <row r="2154" spans="1:6">
      <c r="A2154" t="str">
        <f t="shared" si="33"/>
        <v/>
      </c>
      <c r="E2154" s="626"/>
      <c r="F2154" s="626"/>
    </row>
    <row r="2155" spans="1:6">
      <c r="A2155" t="str">
        <f t="shared" si="33"/>
        <v/>
      </c>
      <c r="E2155" s="626"/>
      <c r="F2155" s="626"/>
    </row>
    <row r="2156" spans="1:6">
      <c r="A2156" t="str">
        <f t="shared" si="33"/>
        <v/>
      </c>
      <c r="E2156" s="626"/>
      <c r="F2156" s="626"/>
    </row>
    <row r="2157" spans="1:6">
      <c r="A2157" t="str">
        <f t="shared" si="33"/>
        <v/>
      </c>
      <c r="E2157" s="626"/>
      <c r="F2157" s="626"/>
    </row>
    <row r="2158" spans="1:6">
      <c r="A2158" t="str">
        <f t="shared" si="33"/>
        <v/>
      </c>
      <c r="E2158" s="626"/>
      <c r="F2158" s="626"/>
    </row>
    <row r="2159" spans="1:6">
      <c r="A2159" t="str">
        <f t="shared" si="33"/>
        <v/>
      </c>
      <c r="E2159" s="626"/>
      <c r="F2159" s="626"/>
    </row>
    <row r="2160" spans="1:6">
      <c r="A2160" t="str">
        <f t="shared" si="33"/>
        <v/>
      </c>
      <c r="E2160" s="626"/>
      <c r="F2160" s="626"/>
    </row>
    <row r="2161" spans="1:6">
      <c r="A2161" t="str">
        <f t="shared" si="33"/>
        <v/>
      </c>
      <c r="E2161" s="626"/>
      <c r="F2161" s="626"/>
    </row>
    <row r="2162" spans="1:6">
      <c r="A2162" t="str">
        <f t="shared" si="33"/>
        <v/>
      </c>
      <c r="E2162" s="626"/>
      <c r="F2162" s="626"/>
    </row>
    <row r="2163" spans="1:6">
      <c r="A2163" t="str">
        <f t="shared" si="33"/>
        <v/>
      </c>
      <c r="E2163" s="626"/>
      <c r="F2163" s="626"/>
    </row>
    <row r="2164" spans="1:6">
      <c r="A2164" t="str">
        <f t="shared" si="33"/>
        <v/>
      </c>
      <c r="E2164" s="626"/>
      <c r="F2164" s="626"/>
    </row>
    <row r="2165" spans="1:6">
      <c r="A2165" t="str">
        <f t="shared" si="33"/>
        <v/>
      </c>
      <c r="E2165" s="626"/>
      <c r="F2165" s="626"/>
    </row>
    <row r="2166" spans="1:6">
      <c r="A2166" t="str">
        <f t="shared" si="33"/>
        <v/>
      </c>
      <c r="E2166" s="626"/>
      <c r="F2166" s="626"/>
    </row>
    <row r="2167" spans="1:6">
      <c r="A2167" t="str">
        <f t="shared" si="33"/>
        <v/>
      </c>
      <c r="E2167" s="626"/>
      <c r="F2167" s="626"/>
    </row>
    <row r="2168" spans="1:6">
      <c r="A2168" t="str">
        <f t="shared" si="33"/>
        <v/>
      </c>
      <c r="E2168" s="626"/>
      <c r="F2168" s="626"/>
    </row>
    <row r="2169" spans="1:6">
      <c r="A2169" t="str">
        <f t="shared" si="33"/>
        <v/>
      </c>
      <c r="E2169" s="626"/>
      <c r="F2169" s="626"/>
    </row>
    <row r="2170" spans="1:6">
      <c r="A2170" t="str">
        <f t="shared" si="33"/>
        <v/>
      </c>
      <c r="E2170" s="626"/>
      <c r="F2170" s="626"/>
    </row>
    <row r="2171" spans="1:6">
      <c r="A2171" t="str">
        <f t="shared" si="33"/>
        <v/>
      </c>
      <c r="E2171" s="626"/>
      <c r="F2171" s="626"/>
    </row>
    <row r="2172" spans="1:6">
      <c r="A2172" t="str">
        <f t="shared" si="33"/>
        <v/>
      </c>
      <c r="E2172" s="626"/>
      <c r="F2172" s="626"/>
    </row>
    <row r="2173" spans="1:6">
      <c r="A2173" t="str">
        <f t="shared" si="33"/>
        <v/>
      </c>
      <c r="E2173" s="626"/>
      <c r="F2173" s="626"/>
    </row>
    <row r="2174" spans="1:6">
      <c r="A2174" t="str">
        <f t="shared" si="33"/>
        <v/>
      </c>
      <c r="E2174" s="626"/>
      <c r="F2174" s="626"/>
    </row>
    <row r="2175" spans="1:6">
      <c r="A2175" t="str">
        <f t="shared" si="33"/>
        <v/>
      </c>
      <c r="E2175" s="626"/>
      <c r="F2175" s="626"/>
    </row>
    <row r="2176" spans="1:6">
      <c r="A2176" t="str">
        <f t="shared" si="33"/>
        <v/>
      </c>
      <c r="E2176" s="626"/>
      <c r="F2176" s="626"/>
    </row>
    <row r="2177" spans="1:6">
      <c r="A2177" t="str">
        <f t="shared" si="33"/>
        <v/>
      </c>
      <c r="E2177" s="626"/>
      <c r="F2177" s="626"/>
    </row>
    <row r="2178" spans="1:6">
      <c r="A2178" t="str">
        <f t="shared" ref="A2178:A2241" si="34">B2178&amp;E2178&amp;J2178</f>
        <v/>
      </c>
      <c r="E2178" s="626"/>
      <c r="F2178" s="626"/>
    </row>
    <row r="2179" spans="1:6">
      <c r="A2179" t="str">
        <f t="shared" si="34"/>
        <v/>
      </c>
      <c r="E2179" s="626"/>
      <c r="F2179" s="626"/>
    </row>
    <row r="2180" spans="1:6">
      <c r="A2180" t="str">
        <f t="shared" si="34"/>
        <v/>
      </c>
      <c r="E2180" s="626"/>
      <c r="F2180" s="626"/>
    </row>
    <row r="2181" spans="1:6">
      <c r="A2181" t="str">
        <f t="shared" si="34"/>
        <v/>
      </c>
      <c r="E2181" s="626"/>
      <c r="F2181" s="626"/>
    </row>
    <row r="2182" spans="1:6">
      <c r="A2182" t="str">
        <f t="shared" si="34"/>
        <v/>
      </c>
      <c r="E2182" s="626"/>
      <c r="F2182" s="626"/>
    </row>
    <row r="2183" spans="1:6">
      <c r="A2183" t="str">
        <f t="shared" si="34"/>
        <v/>
      </c>
      <c r="E2183" s="626"/>
      <c r="F2183" s="626"/>
    </row>
    <row r="2184" spans="1:6">
      <c r="A2184" t="str">
        <f t="shared" si="34"/>
        <v/>
      </c>
      <c r="E2184" s="626"/>
      <c r="F2184" s="626"/>
    </row>
    <row r="2185" spans="1:6">
      <c r="A2185" t="str">
        <f t="shared" si="34"/>
        <v/>
      </c>
      <c r="E2185" s="626"/>
      <c r="F2185" s="626"/>
    </row>
    <row r="2186" spans="1:6">
      <c r="A2186" t="str">
        <f t="shared" si="34"/>
        <v/>
      </c>
      <c r="E2186" s="626"/>
      <c r="F2186" s="626"/>
    </row>
    <row r="2187" spans="1:6">
      <c r="A2187" t="str">
        <f t="shared" si="34"/>
        <v/>
      </c>
      <c r="E2187" s="626"/>
      <c r="F2187" s="626"/>
    </row>
    <row r="2188" spans="1:6">
      <c r="A2188" t="str">
        <f t="shared" si="34"/>
        <v/>
      </c>
      <c r="E2188" s="626"/>
      <c r="F2188" s="626"/>
    </row>
    <row r="2189" spans="1:6">
      <c r="A2189" t="str">
        <f t="shared" si="34"/>
        <v/>
      </c>
      <c r="E2189" s="626"/>
      <c r="F2189" s="626"/>
    </row>
    <row r="2190" spans="1:6">
      <c r="A2190" t="str">
        <f t="shared" si="34"/>
        <v/>
      </c>
      <c r="E2190" s="626"/>
      <c r="F2190" s="626"/>
    </row>
    <row r="2191" spans="1:6">
      <c r="A2191" t="str">
        <f t="shared" si="34"/>
        <v/>
      </c>
      <c r="E2191" s="626"/>
      <c r="F2191" s="626"/>
    </row>
    <row r="2192" spans="1:6">
      <c r="A2192" t="str">
        <f t="shared" si="34"/>
        <v/>
      </c>
      <c r="E2192" s="626"/>
      <c r="F2192" s="626"/>
    </row>
    <row r="2193" spans="1:6">
      <c r="A2193" t="str">
        <f t="shared" si="34"/>
        <v/>
      </c>
      <c r="E2193" s="626"/>
      <c r="F2193" s="626"/>
    </row>
    <row r="2194" spans="1:6">
      <c r="A2194" t="str">
        <f t="shared" si="34"/>
        <v/>
      </c>
      <c r="E2194" s="626"/>
      <c r="F2194" s="626"/>
    </row>
    <row r="2195" spans="1:6">
      <c r="A2195" t="str">
        <f t="shared" si="34"/>
        <v/>
      </c>
      <c r="E2195" s="626"/>
      <c r="F2195" s="626"/>
    </row>
    <row r="2196" spans="1:6">
      <c r="A2196" t="str">
        <f t="shared" si="34"/>
        <v/>
      </c>
      <c r="E2196" s="626"/>
      <c r="F2196" s="626"/>
    </row>
    <row r="2197" spans="1:6">
      <c r="A2197" t="str">
        <f t="shared" si="34"/>
        <v/>
      </c>
      <c r="E2197" s="626"/>
      <c r="F2197" s="626"/>
    </row>
    <row r="2198" spans="1:6">
      <c r="A2198" t="str">
        <f t="shared" si="34"/>
        <v/>
      </c>
      <c r="E2198" s="626"/>
      <c r="F2198" s="626"/>
    </row>
    <row r="2199" spans="1:6">
      <c r="A2199" t="str">
        <f t="shared" si="34"/>
        <v/>
      </c>
      <c r="E2199" s="626"/>
      <c r="F2199" s="626"/>
    </row>
    <row r="2200" spans="1:6">
      <c r="A2200" t="str">
        <f t="shared" si="34"/>
        <v/>
      </c>
      <c r="E2200" s="626"/>
      <c r="F2200" s="626"/>
    </row>
    <row r="2201" spans="1:6">
      <c r="A2201" t="str">
        <f t="shared" si="34"/>
        <v/>
      </c>
      <c r="E2201" s="626"/>
      <c r="F2201" s="626"/>
    </row>
    <row r="2202" spans="1:6">
      <c r="A2202" t="str">
        <f t="shared" si="34"/>
        <v/>
      </c>
      <c r="E2202" s="626"/>
      <c r="F2202" s="626"/>
    </row>
    <row r="2203" spans="1:6">
      <c r="A2203" t="str">
        <f t="shared" si="34"/>
        <v/>
      </c>
      <c r="E2203" s="626"/>
      <c r="F2203" s="626"/>
    </row>
    <row r="2204" spans="1:6">
      <c r="A2204" t="str">
        <f t="shared" si="34"/>
        <v/>
      </c>
      <c r="E2204" s="626"/>
      <c r="F2204" s="626"/>
    </row>
    <row r="2205" spans="1:6">
      <c r="A2205" t="str">
        <f t="shared" si="34"/>
        <v/>
      </c>
      <c r="E2205" s="626"/>
      <c r="F2205" s="626"/>
    </row>
    <row r="2206" spans="1:6">
      <c r="A2206" t="str">
        <f t="shared" si="34"/>
        <v/>
      </c>
      <c r="E2206" s="626"/>
      <c r="F2206" s="626"/>
    </row>
    <row r="2207" spans="1:6">
      <c r="A2207" t="str">
        <f t="shared" si="34"/>
        <v/>
      </c>
      <c r="E2207" s="626"/>
      <c r="F2207" s="626"/>
    </row>
    <row r="2208" spans="1:6">
      <c r="A2208" t="str">
        <f t="shared" si="34"/>
        <v/>
      </c>
      <c r="E2208" s="626"/>
      <c r="F2208" s="626"/>
    </row>
    <row r="2209" spans="1:6">
      <c r="A2209" t="str">
        <f t="shared" si="34"/>
        <v/>
      </c>
      <c r="E2209" s="626"/>
      <c r="F2209" s="626"/>
    </row>
    <row r="2210" spans="1:6">
      <c r="A2210" t="str">
        <f t="shared" si="34"/>
        <v/>
      </c>
      <c r="E2210" s="626"/>
      <c r="F2210" s="626"/>
    </row>
    <row r="2211" spans="1:6">
      <c r="A2211" t="str">
        <f t="shared" si="34"/>
        <v/>
      </c>
      <c r="E2211" s="626"/>
      <c r="F2211" s="626"/>
    </row>
    <row r="2212" spans="1:6">
      <c r="A2212" t="str">
        <f t="shared" si="34"/>
        <v/>
      </c>
      <c r="E2212" s="626"/>
      <c r="F2212" s="626"/>
    </row>
    <row r="2213" spans="1:6">
      <c r="A2213" t="str">
        <f t="shared" si="34"/>
        <v/>
      </c>
      <c r="E2213" s="626"/>
      <c r="F2213" s="626"/>
    </row>
    <row r="2214" spans="1:6">
      <c r="A2214" t="str">
        <f t="shared" si="34"/>
        <v/>
      </c>
      <c r="E2214" s="626"/>
      <c r="F2214" s="626"/>
    </row>
    <row r="2215" spans="1:6">
      <c r="A2215" t="str">
        <f t="shared" si="34"/>
        <v/>
      </c>
      <c r="E2215" s="626"/>
      <c r="F2215" s="626"/>
    </row>
    <row r="2216" spans="1:6">
      <c r="A2216" t="str">
        <f t="shared" si="34"/>
        <v/>
      </c>
      <c r="E2216" s="626"/>
      <c r="F2216" s="626"/>
    </row>
    <row r="2217" spans="1:6">
      <c r="A2217" t="str">
        <f t="shared" si="34"/>
        <v/>
      </c>
      <c r="E2217" s="626"/>
      <c r="F2217" s="626"/>
    </row>
    <row r="2218" spans="1:6">
      <c r="A2218" t="str">
        <f t="shared" si="34"/>
        <v/>
      </c>
      <c r="E2218" s="626"/>
      <c r="F2218" s="626"/>
    </row>
    <row r="2219" spans="1:6">
      <c r="A2219" t="str">
        <f t="shared" si="34"/>
        <v/>
      </c>
      <c r="E2219" s="626"/>
      <c r="F2219" s="626"/>
    </row>
    <row r="2220" spans="1:6">
      <c r="A2220" t="str">
        <f t="shared" si="34"/>
        <v/>
      </c>
      <c r="E2220" s="626"/>
      <c r="F2220" s="626"/>
    </row>
    <row r="2221" spans="1:6">
      <c r="A2221" t="str">
        <f t="shared" si="34"/>
        <v/>
      </c>
      <c r="E2221" s="626"/>
      <c r="F2221" s="626"/>
    </row>
    <row r="2222" spans="1:6">
      <c r="A2222" t="str">
        <f t="shared" si="34"/>
        <v/>
      </c>
      <c r="E2222" s="626"/>
      <c r="F2222" s="626"/>
    </row>
    <row r="2223" spans="1:6">
      <c r="A2223" t="str">
        <f t="shared" si="34"/>
        <v/>
      </c>
      <c r="E2223" s="626"/>
      <c r="F2223" s="626"/>
    </row>
    <row r="2224" spans="1:6">
      <c r="A2224" t="str">
        <f t="shared" si="34"/>
        <v/>
      </c>
      <c r="E2224" s="626"/>
      <c r="F2224" s="626"/>
    </row>
    <row r="2225" spans="1:6">
      <c r="A2225" t="str">
        <f t="shared" si="34"/>
        <v/>
      </c>
      <c r="E2225" s="626"/>
      <c r="F2225" s="626"/>
    </row>
    <row r="2226" spans="1:6">
      <c r="A2226" t="str">
        <f t="shared" si="34"/>
        <v/>
      </c>
      <c r="E2226" s="626"/>
      <c r="F2226" s="626"/>
    </row>
    <row r="2227" spans="1:6">
      <c r="A2227" t="str">
        <f t="shared" si="34"/>
        <v/>
      </c>
      <c r="E2227" s="626"/>
      <c r="F2227" s="626"/>
    </row>
    <row r="2228" spans="1:6">
      <c r="A2228" t="str">
        <f t="shared" si="34"/>
        <v/>
      </c>
      <c r="E2228" s="626"/>
      <c r="F2228" s="626"/>
    </row>
    <row r="2229" spans="1:6">
      <c r="A2229" t="str">
        <f t="shared" si="34"/>
        <v/>
      </c>
      <c r="E2229" s="626"/>
      <c r="F2229" s="626"/>
    </row>
    <row r="2230" spans="1:6">
      <c r="A2230" t="str">
        <f t="shared" si="34"/>
        <v/>
      </c>
      <c r="E2230" s="626"/>
      <c r="F2230" s="626"/>
    </row>
    <row r="2231" spans="1:6">
      <c r="A2231" t="str">
        <f t="shared" si="34"/>
        <v/>
      </c>
      <c r="E2231" s="626"/>
      <c r="F2231" s="626"/>
    </row>
    <row r="2232" spans="1:6">
      <c r="A2232" t="str">
        <f t="shared" si="34"/>
        <v/>
      </c>
      <c r="E2232" s="626"/>
      <c r="F2232" s="626"/>
    </row>
    <row r="2233" spans="1:6">
      <c r="A2233" t="str">
        <f t="shared" si="34"/>
        <v/>
      </c>
      <c r="E2233" s="626"/>
      <c r="F2233" s="626"/>
    </row>
    <row r="2234" spans="1:6">
      <c r="A2234" t="str">
        <f t="shared" si="34"/>
        <v/>
      </c>
      <c r="E2234" s="626"/>
      <c r="F2234" s="626"/>
    </row>
    <row r="2235" spans="1:6">
      <c r="A2235" t="str">
        <f t="shared" si="34"/>
        <v/>
      </c>
      <c r="E2235" s="626"/>
      <c r="F2235" s="626"/>
    </row>
    <row r="2236" spans="1:6">
      <c r="A2236" t="str">
        <f t="shared" si="34"/>
        <v/>
      </c>
      <c r="E2236" s="626"/>
      <c r="F2236" s="626"/>
    </row>
    <row r="2237" spans="1:6">
      <c r="A2237" t="str">
        <f t="shared" si="34"/>
        <v/>
      </c>
      <c r="E2237" s="626"/>
      <c r="F2237" s="626"/>
    </row>
    <row r="2238" spans="1:6">
      <c r="A2238" t="str">
        <f t="shared" si="34"/>
        <v/>
      </c>
      <c r="E2238" s="626"/>
      <c r="F2238" s="626"/>
    </row>
    <row r="2239" spans="1:6">
      <c r="A2239" t="str">
        <f t="shared" si="34"/>
        <v/>
      </c>
      <c r="E2239" s="626"/>
      <c r="F2239" s="626"/>
    </row>
    <row r="2240" spans="1:6">
      <c r="A2240" t="str">
        <f t="shared" si="34"/>
        <v/>
      </c>
      <c r="E2240" s="626"/>
      <c r="F2240" s="626"/>
    </row>
    <row r="2241" spans="1:6">
      <c r="A2241" t="str">
        <f t="shared" si="34"/>
        <v/>
      </c>
      <c r="E2241" s="626"/>
      <c r="F2241" s="626"/>
    </row>
    <row r="2242" spans="1:6">
      <c r="A2242" t="str">
        <f t="shared" ref="A2242:A2305" si="35">B2242&amp;E2242&amp;J2242</f>
        <v/>
      </c>
      <c r="E2242" s="626"/>
      <c r="F2242" s="626"/>
    </row>
    <row r="2243" spans="1:6">
      <c r="A2243" t="str">
        <f t="shared" si="35"/>
        <v/>
      </c>
      <c r="E2243" s="626"/>
      <c r="F2243" s="626"/>
    </row>
    <row r="2244" spans="1:6">
      <c r="A2244" t="str">
        <f t="shared" si="35"/>
        <v/>
      </c>
      <c r="E2244" s="626"/>
      <c r="F2244" s="626"/>
    </row>
    <row r="2245" spans="1:6">
      <c r="A2245" t="str">
        <f t="shared" si="35"/>
        <v/>
      </c>
      <c r="E2245" s="626"/>
      <c r="F2245" s="626"/>
    </row>
    <row r="2246" spans="1:6">
      <c r="A2246" t="str">
        <f t="shared" si="35"/>
        <v/>
      </c>
      <c r="E2246" s="626"/>
      <c r="F2246" s="626"/>
    </row>
    <row r="2247" spans="1:6">
      <c r="A2247" t="str">
        <f t="shared" si="35"/>
        <v/>
      </c>
      <c r="E2247" s="626"/>
      <c r="F2247" s="626"/>
    </row>
    <row r="2248" spans="1:6">
      <c r="A2248" t="str">
        <f t="shared" si="35"/>
        <v/>
      </c>
      <c r="E2248" s="626"/>
      <c r="F2248" s="626"/>
    </row>
    <row r="2249" spans="1:6">
      <c r="A2249" t="str">
        <f t="shared" si="35"/>
        <v/>
      </c>
      <c r="E2249" s="626"/>
      <c r="F2249" s="626"/>
    </row>
    <row r="2250" spans="1:6">
      <c r="A2250" t="str">
        <f t="shared" si="35"/>
        <v/>
      </c>
      <c r="E2250" s="626"/>
      <c r="F2250" s="626"/>
    </row>
    <row r="2251" spans="1:6">
      <c r="A2251" t="str">
        <f t="shared" si="35"/>
        <v/>
      </c>
      <c r="E2251" s="626"/>
      <c r="F2251" s="626"/>
    </row>
    <row r="2252" spans="1:6">
      <c r="A2252" t="str">
        <f t="shared" si="35"/>
        <v/>
      </c>
      <c r="E2252" s="626"/>
      <c r="F2252" s="626"/>
    </row>
    <row r="2253" spans="1:6">
      <c r="A2253" t="str">
        <f t="shared" si="35"/>
        <v/>
      </c>
      <c r="E2253" s="626"/>
      <c r="F2253" s="626"/>
    </row>
    <row r="2254" spans="1:6">
      <c r="A2254" t="str">
        <f t="shared" si="35"/>
        <v/>
      </c>
      <c r="E2254" s="626"/>
      <c r="F2254" s="626"/>
    </row>
    <row r="2255" spans="1:6">
      <c r="A2255" t="str">
        <f t="shared" si="35"/>
        <v/>
      </c>
      <c r="E2255" s="626"/>
      <c r="F2255" s="626"/>
    </row>
    <row r="2256" spans="1:6">
      <c r="A2256" t="str">
        <f t="shared" si="35"/>
        <v/>
      </c>
      <c r="E2256" s="626"/>
      <c r="F2256" s="626"/>
    </row>
    <row r="2257" spans="1:6">
      <c r="A2257" t="str">
        <f t="shared" si="35"/>
        <v/>
      </c>
      <c r="E2257" s="626"/>
      <c r="F2257" s="626"/>
    </row>
    <row r="2258" spans="1:6">
      <c r="A2258" t="str">
        <f t="shared" si="35"/>
        <v/>
      </c>
      <c r="E2258" s="626"/>
      <c r="F2258" s="626"/>
    </row>
    <row r="2259" spans="1:6">
      <c r="A2259" t="str">
        <f t="shared" si="35"/>
        <v/>
      </c>
      <c r="E2259" s="626"/>
      <c r="F2259" s="626"/>
    </row>
    <row r="2260" spans="1:6">
      <c r="A2260" t="str">
        <f t="shared" si="35"/>
        <v/>
      </c>
      <c r="E2260" s="626"/>
      <c r="F2260" s="626"/>
    </row>
    <row r="2261" spans="1:6">
      <c r="A2261" t="str">
        <f t="shared" si="35"/>
        <v/>
      </c>
      <c r="E2261" s="626"/>
      <c r="F2261" s="626"/>
    </row>
    <row r="2262" spans="1:6">
      <c r="A2262" t="str">
        <f t="shared" si="35"/>
        <v/>
      </c>
      <c r="E2262" s="626"/>
      <c r="F2262" s="626"/>
    </row>
    <row r="2263" spans="1:6">
      <c r="A2263" t="str">
        <f t="shared" si="35"/>
        <v/>
      </c>
      <c r="E2263" s="626"/>
      <c r="F2263" s="626"/>
    </row>
    <row r="2264" spans="1:6">
      <c r="A2264" t="str">
        <f t="shared" si="35"/>
        <v/>
      </c>
      <c r="E2264" s="626"/>
      <c r="F2264" s="626"/>
    </row>
    <row r="2265" spans="1:6">
      <c r="A2265" t="str">
        <f t="shared" si="35"/>
        <v/>
      </c>
      <c r="E2265" s="626"/>
      <c r="F2265" s="626"/>
    </row>
    <row r="2266" spans="1:6">
      <c r="A2266" t="str">
        <f t="shared" si="35"/>
        <v/>
      </c>
      <c r="E2266" s="626"/>
      <c r="F2266" s="626"/>
    </row>
    <row r="2267" spans="1:6">
      <c r="A2267" t="str">
        <f t="shared" si="35"/>
        <v/>
      </c>
      <c r="E2267" s="626"/>
      <c r="F2267" s="626"/>
    </row>
    <row r="2268" spans="1:6">
      <c r="A2268" t="str">
        <f t="shared" si="35"/>
        <v/>
      </c>
      <c r="E2268" s="626"/>
      <c r="F2268" s="626"/>
    </row>
    <row r="2269" spans="1:6">
      <c r="A2269" t="str">
        <f t="shared" si="35"/>
        <v/>
      </c>
      <c r="E2269" s="626"/>
      <c r="F2269" s="626"/>
    </row>
    <row r="2270" spans="1:6">
      <c r="A2270" t="str">
        <f t="shared" si="35"/>
        <v/>
      </c>
      <c r="E2270" s="626"/>
      <c r="F2270" s="626"/>
    </row>
    <row r="2271" spans="1:6">
      <c r="A2271" t="str">
        <f t="shared" si="35"/>
        <v/>
      </c>
      <c r="E2271" s="626"/>
      <c r="F2271" s="626"/>
    </row>
    <row r="2272" spans="1:6">
      <c r="A2272" t="str">
        <f t="shared" si="35"/>
        <v/>
      </c>
      <c r="E2272" s="626"/>
      <c r="F2272" s="626"/>
    </row>
    <row r="2273" spans="1:6">
      <c r="A2273" t="str">
        <f t="shared" si="35"/>
        <v/>
      </c>
      <c r="E2273" s="626"/>
      <c r="F2273" s="626"/>
    </row>
    <row r="2274" spans="1:6">
      <c r="A2274" t="str">
        <f t="shared" si="35"/>
        <v/>
      </c>
      <c r="E2274" s="626"/>
      <c r="F2274" s="626"/>
    </row>
    <row r="2275" spans="1:6">
      <c r="A2275" t="str">
        <f t="shared" si="35"/>
        <v/>
      </c>
      <c r="E2275" s="626"/>
      <c r="F2275" s="626"/>
    </row>
    <row r="2276" spans="1:6">
      <c r="A2276" t="str">
        <f t="shared" si="35"/>
        <v/>
      </c>
      <c r="E2276" s="626"/>
      <c r="F2276" s="626"/>
    </row>
    <row r="2277" spans="1:6">
      <c r="A2277" t="str">
        <f t="shared" si="35"/>
        <v/>
      </c>
      <c r="E2277" s="626"/>
      <c r="F2277" s="626"/>
    </row>
    <row r="2278" spans="1:6">
      <c r="A2278" t="str">
        <f t="shared" si="35"/>
        <v/>
      </c>
      <c r="E2278" s="626"/>
      <c r="F2278" s="626"/>
    </row>
    <row r="2279" spans="1:6">
      <c r="A2279" t="str">
        <f t="shared" si="35"/>
        <v/>
      </c>
      <c r="E2279" s="626"/>
      <c r="F2279" s="626"/>
    </row>
    <row r="2280" spans="1:6">
      <c r="A2280" t="str">
        <f t="shared" si="35"/>
        <v/>
      </c>
      <c r="E2280" s="626"/>
      <c r="F2280" s="626"/>
    </row>
    <row r="2281" spans="1:6">
      <c r="A2281" t="str">
        <f t="shared" si="35"/>
        <v/>
      </c>
      <c r="E2281" s="626"/>
      <c r="F2281" s="626"/>
    </row>
    <row r="2282" spans="1:6">
      <c r="A2282" t="str">
        <f t="shared" si="35"/>
        <v/>
      </c>
      <c r="E2282" s="626"/>
      <c r="F2282" s="626"/>
    </row>
    <row r="2283" spans="1:6">
      <c r="A2283" t="str">
        <f t="shared" si="35"/>
        <v/>
      </c>
      <c r="E2283" s="626"/>
      <c r="F2283" s="626"/>
    </row>
    <row r="2284" spans="1:6">
      <c r="A2284" t="str">
        <f t="shared" si="35"/>
        <v/>
      </c>
      <c r="E2284" s="626"/>
      <c r="F2284" s="626"/>
    </row>
    <row r="2285" spans="1:6">
      <c r="A2285" t="str">
        <f t="shared" si="35"/>
        <v/>
      </c>
      <c r="E2285" s="626"/>
      <c r="F2285" s="626"/>
    </row>
    <row r="2286" spans="1:6">
      <c r="A2286" t="str">
        <f t="shared" si="35"/>
        <v/>
      </c>
      <c r="E2286" s="626"/>
      <c r="F2286" s="626"/>
    </row>
    <row r="2287" spans="1:6">
      <c r="A2287" t="str">
        <f t="shared" si="35"/>
        <v/>
      </c>
      <c r="E2287" s="626"/>
      <c r="F2287" s="626"/>
    </row>
    <row r="2288" spans="1:6">
      <c r="A2288" t="str">
        <f t="shared" si="35"/>
        <v/>
      </c>
      <c r="E2288" s="626"/>
      <c r="F2288" s="626"/>
    </row>
    <row r="2289" spans="1:6">
      <c r="A2289" t="str">
        <f t="shared" si="35"/>
        <v/>
      </c>
      <c r="E2289" s="626"/>
      <c r="F2289" s="626"/>
    </row>
    <row r="2290" spans="1:6">
      <c r="A2290" t="str">
        <f t="shared" si="35"/>
        <v/>
      </c>
      <c r="E2290" s="626"/>
      <c r="F2290" s="626"/>
    </row>
    <row r="2291" spans="1:6">
      <c r="A2291" t="str">
        <f t="shared" si="35"/>
        <v/>
      </c>
      <c r="E2291" s="626"/>
      <c r="F2291" s="626"/>
    </row>
    <row r="2292" spans="1:6">
      <c r="A2292" t="str">
        <f t="shared" si="35"/>
        <v/>
      </c>
      <c r="E2292" s="626"/>
      <c r="F2292" s="626"/>
    </row>
    <row r="2293" spans="1:6">
      <c r="A2293" t="str">
        <f t="shared" si="35"/>
        <v/>
      </c>
      <c r="E2293" s="626"/>
      <c r="F2293" s="626"/>
    </row>
    <row r="2294" spans="1:6">
      <c r="A2294" t="str">
        <f t="shared" si="35"/>
        <v/>
      </c>
      <c r="E2294" s="626"/>
      <c r="F2294" s="626"/>
    </row>
    <row r="2295" spans="1:6">
      <c r="A2295" t="str">
        <f t="shared" si="35"/>
        <v/>
      </c>
      <c r="E2295" s="626"/>
      <c r="F2295" s="626"/>
    </row>
    <row r="2296" spans="1:6">
      <c r="A2296" t="str">
        <f t="shared" si="35"/>
        <v/>
      </c>
      <c r="E2296" s="626"/>
      <c r="F2296" s="626"/>
    </row>
    <row r="2297" spans="1:6">
      <c r="A2297" t="str">
        <f t="shared" si="35"/>
        <v/>
      </c>
      <c r="E2297" s="626"/>
      <c r="F2297" s="626"/>
    </row>
    <row r="2298" spans="1:6">
      <c r="A2298" t="str">
        <f t="shared" si="35"/>
        <v/>
      </c>
      <c r="E2298" s="626"/>
      <c r="F2298" s="626"/>
    </row>
    <row r="2299" spans="1:6">
      <c r="A2299" t="str">
        <f t="shared" si="35"/>
        <v/>
      </c>
      <c r="E2299" s="626"/>
      <c r="F2299" s="626"/>
    </row>
    <row r="2300" spans="1:6">
      <c r="A2300" t="str">
        <f t="shared" si="35"/>
        <v/>
      </c>
      <c r="E2300" s="626"/>
      <c r="F2300" s="626"/>
    </row>
    <row r="2301" spans="1:6">
      <c r="A2301" t="str">
        <f t="shared" si="35"/>
        <v/>
      </c>
      <c r="E2301" s="626"/>
      <c r="F2301" s="626"/>
    </row>
    <row r="2302" spans="1:6">
      <c r="A2302" t="str">
        <f t="shared" si="35"/>
        <v/>
      </c>
      <c r="E2302" s="626"/>
      <c r="F2302" s="626"/>
    </row>
    <row r="2303" spans="1:6">
      <c r="A2303" t="str">
        <f t="shared" si="35"/>
        <v/>
      </c>
      <c r="E2303" s="626"/>
      <c r="F2303" s="626"/>
    </row>
    <row r="2304" spans="1:6">
      <c r="A2304" t="str">
        <f t="shared" si="35"/>
        <v/>
      </c>
      <c r="E2304" s="626"/>
      <c r="F2304" s="626"/>
    </row>
    <row r="2305" spans="1:6">
      <c r="A2305" t="str">
        <f t="shared" si="35"/>
        <v/>
      </c>
      <c r="E2305" s="626"/>
      <c r="F2305" s="626"/>
    </row>
    <row r="2306" spans="1:6">
      <c r="A2306" t="str">
        <f t="shared" ref="A2306:A2369" si="36">B2306&amp;E2306&amp;J2306</f>
        <v/>
      </c>
      <c r="E2306" s="626"/>
      <c r="F2306" s="626"/>
    </row>
    <row r="2307" spans="1:6">
      <c r="A2307" t="str">
        <f t="shared" si="36"/>
        <v/>
      </c>
      <c r="E2307" s="626"/>
      <c r="F2307" s="626"/>
    </row>
    <row r="2308" spans="1:6">
      <c r="A2308" t="str">
        <f t="shared" si="36"/>
        <v/>
      </c>
      <c r="E2308" s="626"/>
      <c r="F2308" s="626"/>
    </row>
    <row r="2309" spans="1:6">
      <c r="A2309" t="str">
        <f t="shared" si="36"/>
        <v/>
      </c>
      <c r="E2309" s="626"/>
      <c r="F2309" s="626"/>
    </row>
    <row r="2310" spans="1:6">
      <c r="A2310" t="str">
        <f t="shared" si="36"/>
        <v/>
      </c>
      <c r="E2310" s="626"/>
      <c r="F2310" s="626"/>
    </row>
    <row r="2311" spans="1:6">
      <c r="A2311" t="str">
        <f t="shared" si="36"/>
        <v/>
      </c>
      <c r="E2311" s="626"/>
      <c r="F2311" s="626"/>
    </row>
    <row r="2312" spans="1:6">
      <c r="A2312" t="str">
        <f t="shared" si="36"/>
        <v/>
      </c>
      <c r="E2312" s="626"/>
      <c r="F2312" s="626"/>
    </row>
    <row r="2313" spans="1:6">
      <c r="A2313" t="str">
        <f t="shared" si="36"/>
        <v/>
      </c>
      <c r="E2313" s="626"/>
      <c r="F2313" s="626"/>
    </row>
    <row r="2314" spans="1:6">
      <c r="A2314" t="str">
        <f t="shared" si="36"/>
        <v/>
      </c>
      <c r="E2314" s="626"/>
      <c r="F2314" s="626"/>
    </row>
    <row r="2315" spans="1:6">
      <c r="A2315" t="str">
        <f t="shared" si="36"/>
        <v/>
      </c>
      <c r="E2315" s="626"/>
      <c r="F2315" s="626"/>
    </row>
    <row r="2316" spans="1:6">
      <c r="A2316" t="str">
        <f t="shared" si="36"/>
        <v/>
      </c>
      <c r="E2316" s="626"/>
      <c r="F2316" s="626"/>
    </row>
    <row r="2317" spans="1:6">
      <c r="A2317" t="str">
        <f t="shared" si="36"/>
        <v/>
      </c>
      <c r="E2317" s="626"/>
      <c r="F2317" s="626"/>
    </row>
    <row r="2318" spans="1:6">
      <c r="A2318" t="str">
        <f t="shared" si="36"/>
        <v/>
      </c>
      <c r="E2318" s="626"/>
      <c r="F2318" s="626"/>
    </row>
    <row r="2319" spans="1:6">
      <c r="A2319" t="str">
        <f t="shared" si="36"/>
        <v/>
      </c>
      <c r="E2319" s="626"/>
      <c r="F2319" s="626"/>
    </row>
    <row r="2320" spans="1:6">
      <c r="A2320" t="str">
        <f t="shared" si="36"/>
        <v/>
      </c>
      <c r="E2320" s="626"/>
      <c r="F2320" s="626"/>
    </row>
    <row r="2321" spans="1:6">
      <c r="A2321" t="str">
        <f t="shared" si="36"/>
        <v/>
      </c>
      <c r="E2321" s="626"/>
      <c r="F2321" s="626"/>
    </row>
    <row r="2322" spans="1:6">
      <c r="A2322" t="str">
        <f t="shared" si="36"/>
        <v/>
      </c>
      <c r="E2322" s="626"/>
      <c r="F2322" s="626"/>
    </row>
    <row r="2323" spans="1:6">
      <c r="A2323" t="str">
        <f t="shared" si="36"/>
        <v/>
      </c>
      <c r="E2323" s="626"/>
      <c r="F2323" s="626"/>
    </row>
    <row r="2324" spans="1:6">
      <c r="A2324" t="str">
        <f t="shared" si="36"/>
        <v/>
      </c>
      <c r="E2324" s="626"/>
      <c r="F2324" s="626"/>
    </row>
    <row r="2325" spans="1:6">
      <c r="A2325" t="str">
        <f t="shared" si="36"/>
        <v/>
      </c>
      <c r="E2325" s="626"/>
      <c r="F2325" s="626"/>
    </row>
    <row r="2326" spans="1:6">
      <c r="A2326" t="str">
        <f t="shared" si="36"/>
        <v/>
      </c>
      <c r="E2326" s="626"/>
      <c r="F2326" s="626"/>
    </row>
    <row r="2327" spans="1:6">
      <c r="A2327" t="str">
        <f t="shared" si="36"/>
        <v/>
      </c>
      <c r="E2327" s="626"/>
      <c r="F2327" s="626"/>
    </row>
    <row r="2328" spans="1:6">
      <c r="A2328" t="str">
        <f t="shared" si="36"/>
        <v/>
      </c>
      <c r="E2328" s="626"/>
      <c r="F2328" s="626"/>
    </row>
    <row r="2329" spans="1:6">
      <c r="A2329" t="str">
        <f t="shared" si="36"/>
        <v/>
      </c>
      <c r="E2329" s="626"/>
      <c r="F2329" s="626"/>
    </row>
    <row r="2330" spans="1:6">
      <c r="A2330" t="str">
        <f t="shared" si="36"/>
        <v/>
      </c>
      <c r="E2330" s="626"/>
      <c r="F2330" s="626"/>
    </row>
    <row r="2331" spans="1:6">
      <c r="A2331" t="str">
        <f t="shared" si="36"/>
        <v/>
      </c>
      <c r="E2331" s="626"/>
      <c r="F2331" s="626"/>
    </row>
    <row r="2332" spans="1:6">
      <c r="A2332" t="str">
        <f t="shared" si="36"/>
        <v/>
      </c>
      <c r="E2332" s="626"/>
      <c r="F2332" s="626"/>
    </row>
    <row r="2333" spans="1:6">
      <c r="A2333" t="str">
        <f t="shared" si="36"/>
        <v/>
      </c>
      <c r="E2333" s="626"/>
      <c r="F2333" s="626"/>
    </row>
    <row r="2334" spans="1:6">
      <c r="A2334" t="str">
        <f t="shared" si="36"/>
        <v/>
      </c>
      <c r="E2334" s="626"/>
      <c r="F2334" s="626"/>
    </row>
    <row r="2335" spans="1:6">
      <c r="A2335" t="str">
        <f t="shared" si="36"/>
        <v/>
      </c>
      <c r="E2335" s="626"/>
      <c r="F2335" s="626"/>
    </row>
    <row r="2336" spans="1:6">
      <c r="A2336" t="str">
        <f t="shared" si="36"/>
        <v/>
      </c>
      <c r="E2336" s="626"/>
      <c r="F2336" s="626"/>
    </row>
    <row r="2337" spans="1:6">
      <c r="A2337" t="str">
        <f t="shared" si="36"/>
        <v/>
      </c>
      <c r="E2337" s="626"/>
      <c r="F2337" s="626"/>
    </row>
    <row r="2338" spans="1:6">
      <c r="A2338" t="str">
        <f t="shared" si="36"/>
        <v/>
      </c>
      <c r="E2338" s="626"/>
      <c r="F2338" s="626"/>
    </row>
    <row r="2339" spans="1:6">
      <c r="A2339" t="str">
        <f t="shared" si="36"/>
        <v/>
      </c>
      <c r="E2339" s="626"/>
      <c r="F2339" s="626"/>
    </row>
    <row r="2340" spans="1:6">
      <c r="A2340" t="str">
        <f t="shared" si="36"/>
        <v/>
      </c>
      <c r="E2340" s="626"/>
      <c r="F2340" s="626"/>
    </row>
    <row r="2341" spans="1:6">
      <c r="A2341" t="str">
        <f t="shared" si="36"/>
        <v/>
      </c>
      <c r="E2341" s="626"/>
      <c r="F2341" s="626"/>
    </row>
    <row r="2342" spans="1:6">
      <c r="A2342" t="str">
        <f t="shared" si="36"/>
        <v/>
      </c>
      <c r="E2342" s="626"/>
      <c r="F2342" s="626"/>
    </row>
    <row r="2343" spans="1:6">
      <c r="A2343" t="str">
        <f t="shared" si="36"/>
        <v/>
      </c>
      <c r="E2343" s="626"/>
      <c r="F2343" s="626"/>
    </row>
    <row r="2344" spans="1:6">
      <c r="A2344" t="str">
        <f t="shared" si="36"/>
        <v/>
      </c>
      <c r="E2344" s="626"/>
      <c r="F2344" s="626"/>
    </row>
    <row r="2345" spans="1:6">
      <c r="A2345" t="str">
        <f t="shared" si="36"/>
        <v/>
      </c>
      <c r="E2345" s="626"/>
      <c r="F2345" s="626"/>
    </row>
    <row r="2346" spans="1:6">
      <c r="A2346" t="str">
        <f t="shared" si="36"/>
        <v/>
      </c>
      <c r="E2346" s="626"/>
      <c r="F2346" s="626"/>
    </row>
    <row r="2347" spans="1:6">
      <c r="A2347" t="str">
        <f t="shared" si="36"/>
        <v/>
      </c>
      <c r="E2347" s="626"/>
      <c r="F2347" s="626"/>
    </row>
    <row r="2348" spans="1:6">
      <c r="A2348" t="str">
        <f t="shared" si="36"/>
        <v/>
      </c>
      <c r="E2348" s="626"/>
      <c r="F2348" s="626"/>
    </row>
    <row r="2349" spans="1:6">
      <c r="A2349" t="str">
        <f t="shared" si="36"/>
        <v/>
      </c>
      <c r="E2349" s="626"/>
      <c r="F2349" s="626"/>
    </row>
    <row r="2350" spans="1:6">
      <c r="A2350" t="str">
        <f t="shared" si="36"/>
        <v/>
      </c>
      <c r="E2350" s="626"/>
      <c r="F2350" s="626"/>
    </row>
    <row r="2351" spans="1:6">
      <c r="A2351" t="str">
        <f t="shared" si="36"/>
        <v/>
      </c>
      <c r="E2351" s="626"/>
      <c r="F2351" s="626"/>
    </row>
    <row r="2352" spans="1:6">
      <c r="A2352" t="str">
        <f t="shared" si="36"/>
        <v/>
      </c>
      <c r="E2352" s="626"/>
      <c r="F2352" s="626"/>
    </row>
    <row r="2353" spans="1:6">
      <c r="A2353" t="str">
        <f t="shared" si="36"/>
        <v/>
      </c>
      <c r="E2353" s="626"/>
      <c r="F2353" s="626"/>
    </row>
    <row r="2354" spans="1:6">
      <c r="A2354" t="str">
        <f t="shared" si="36"/>
        <v/>
      </c>
      <c r="E2354" s="626"/>
      <c r="F2354" s="626"/>
    </row>
    <row r="2355" spans="1:6">
      <c r="A2355" t="str">
        <f t="shared" si="36"/>
        <v/>
      </c>
      <c r="E2355" s="626"/>
      <c r="F2355" s="626"/>
    </row>
    <row r="2356" spans="1:6">
      <c r="A2356" t="str">
        <f t="shared" si="36"/>
        <v/>
      </c>
      <c r="E2356" s="626"/>
      <c r="F2356" s="626"/>
    </row>
    <row r="2357" spans="1:6">
      <c r="A2357" t="str">
        <f t="shared" si="36"/>
        <v/>
      </c>
      <c r="E2357" s="626"/>
      <c r="F2357" s="626"/>
    </row>
    <row r="2358" spans="1:6">
      <c r="A2358" t="str">
        <f t="shared" si="36"/>
        <v/>
      </c>
      <c r="E2358" s="626"/>
      <c r="F2358" s="626"/>
    </row>
    <row r="2359" spans="1:6">
      <c r="A2359" t="str">
        <f t="shared" si="36"/>
        <v/>
      </c>
      <c r="E2359" s="626"/>
      <c r="F2359" s="626"/>
    </row>
    <row r="2360" spans="1:6">
      <c r="A2360" t="str">
        <f t="shared" si="36"/>
        <v/>
      </c>
      <c r="E2360" s="626"/>
      <c r="F2360" s="626"/>
    </row>
    <row r="2361" spans="1:6">
      <c r="A2361" t="str">
        <f t="shared" si="36"/>
        <v/>
      </c>
      <c r="E2361" s="626"/>
      <c r="F2361" s="626"/>
    </row>
    <row r="2362" spans="1:6">
      <c r="A2362" t="str">
        <f t="shared" si="36"/>
        <v/>
      </c>
      <c r="E2362" s="626"/>
      <c r="F2362" s="626"/>
    </row>
    <row r="2363" spans="1:6">
      <c r="A2363" t="str">
        <f t="shared" si="36"/>
        <v/>
      </c>
      <c r="E2363" s="626"/>
      <c r="F2363" s="626"/>
    </row>
    <row r="2364" spans="1:6">
      <c r="A2364" t="str">
        <f t="shared" si="36"/>
        <v/>
      </c>
      <c r="E2364" s="626"/>
      <c r="F2364" s="626"/>
    </row>
    <row r="2365" spans="1:6">
      <c r="A2365" t="str">
        <f t="shared" si="36"/>
        <v/>
      </c>
      <c r="E2365" s="626"/>
      <c r="F2365" s="626"/>
    </row>
    <row r="2366" spans="1:6">
      <c r="A2366" t="str">
        <f t="shared" si="36"/>
        <v/>
      </c>
      <c r="E2366" s="626"/>
      <c r="F2366" s="626"/>
    </row>
    <row r="2367" spans="1:6">
      <c r="A2367" t="str">
        <f t="shared" si="36"/>
        <v/>
      </c>
      <c r="E2367" s="626"/>
      <c r="F2367" s="626"/>
    </row>
    <row r="2368" spans="1:6">
      <c r="A2368" t="str">
        <f t="shared" si="36"/>
        <v/>
      </c>
      <c r="E2368" s="626"/>
      <c r="F2368" s="626"/>
    </row>
    <row r="2369" spans="1:6">
      <c r="A2369" t="str">
        <f t="shared" si="36"/>
        <v/>
      </c>
      <c r="E2369" s="626"/>
      <c r="F2369" s="626"/>
    </row>
    <row r="2370" spans="1:6">
      <c r="A2370" t="str">
        <f t="shared" ref="A2370:A2433" si="37">B2370&amp;E2370&amp;J2370</f>
        <v/>
      </c>
      <c r="E2370" s="626"/>
      <c r="F2370" s="626"/>
    </row>
    <row r="2371" spans="1:6">
      <c r="A2371" t="str">
        <f t="shared" si="37"/>
        <v/>
      </c>
      <c r="E2371" s="626"/>
      <c r="F2371" s="626"/>
    </row>
    <row r="2372" spans="1:6">
      <c r="A2372" t="str">
        <f t="shared" si="37"/>
        <v/>
      </c>
      <c r="E2372" s="626"/>
      <c r="F2372" s="626"/>
    </row>
    <row r="2373" spans="1:6">
      <c r="A2373" t="str">
        <f t="shared" si="37"/>
        <v/>
      </c>
      <c r="E2373" s="626"/>
      <c r="F2373" s="626"/>
    </row>
    <row r="2374" spans="1:6">
      <c r="A2374" t="str">
        <f t="shared" si="37"/>
        <v/>
      </c>
      <c r="E2374" s="626"/>
      <c r="F2374" s="626"/>
    </row>
    <row r="2375" spans="1:6">
      <c r="A2375" t="str">
        <f t="shared" si="37"/>
        <v/>
      </c>
      <c r="E2375" s="626"/>
      <c r="F2375" s="626"/>
    </row>
    <row r="2376" spans="1:6">
      <c r="A2376" t="str">
        <f t="shared" si="37"/>
        <v/>
      </c>
      <c r="E2376" s="626"/>
      <c r="F2376" s="626"/>
    </row>
    <row r="2377" spans="1:6">
      <c r="A2377" t="str">
        <f t="shared" si="37"/>
        <v/>
      </c>
      <c r="E2377" s="626"/>
      <c r="F2377" s="626"/>
    </row>
    <row r="2378" spans="1:6">
      <c r="A2378" t="str">
        <f t="shared" si="37"/>
        <v/>
      </c>
      <c r="E2378" s="626"/>
      <c r="F2378" s="626"/>
    </row>
    <row r="2379" spans="1:6">
      <c r="A2379" t="str">
        <f t="shared" si="37"/>
        <v/>
      </c>
      <c r="E2379" s="626"/>
      <c r="F2379" s="626"/>
    </row>
    <row r="2380" spans="1:6">
      <c r="A2380" t="str">
        <f t="shared" si="37"/>
        <v/>
      </c>
      <c r="E2380" s="626"/>
      <c r="F2380" s="626"/>
    </row>
    <row r="2381" spans="1:6">
      <c r="A2381" t="str">
        <f t="shared" si="37"/>
        <v/>
      </c>
      <c r="E2381" s="626"/>
      <c r="F2381" s="626"/>
    </row>
    <row r="2382" spans="1:6">
      <c r="A2382" t="str">
        <f t="shared" si="37"/>
        <v/>
      </c>
      <c r="E2382" s="626"/>
      <c r="F2382" s="626"/>
    </row>
    <row r="2383" spans="1:6">
      <c r="A2383" t="str">
        <f t="shared" si="37"/>
        <v/>
      </c>
      <c r="E2383" s="626"/>
      <c r="F2383" s="626"/>
    </row>
    <row r="2384" spans="1:6">
      <c r="A2384" t="str">
        <f t="shared" si="37"/>
        <v/>
      </c>
      <c r="E2384" s="626"/>
      <c r="F2384" s="626"/>
    </row>
    <row r="2385" spans="1:6">
      <c r="A2385" t="str">
        <f t="shared" si="37"/>
        <v/>
      </c>
      <c r="E2385" s="626"/>
      <c r="F2385" s="626"/>
    </row>
    <row r="2386" spans="1:6">
      <c r="A2386" t="str">
        <f t="shared" si="37"/>
        <v/>
      </c>
      <c r="E2386" s="626"/>
      <c r="F2386" s="626"/>
    </row>
    <row r="2387" spans="1:6">
      <c r="A2387" t="str">
        <f t="shared" si="37"/>
        <v/>
      </c>
      <c r="E2387" s="626"/>
      <c r="F2387" s="626"/>
    </row>
    <row r="2388" spans="1:6">
      <c r="A2388" t="str">
        <f t="shared" si="37"/>
        <v/>
      </c>
      <c r="E2388" s="626"/>
      <c r="F2388" s="626"/>
    </row>
    <row r="2389" spans="1:6">
      <c r="A2389" t="str">
        <f t="shared" si="37"/>
        <v/>
      </c>
      <c r="E2389" s="626"/>
      <c r="F2389" s="626"/>
    </row>
    <row r="2390" spans="1:6">
      <c r="A2390" t="str">
        <f t="shared" si="37"/>
        <v/>
      </c>
      <c r="E2390" s="626"/>
      <c r="F2390" s="626"/>
    </row>
    <row r="2391" spans="1:6">
      <c r="A2391" t="str">
        <f t="shared" si="37"/>
        <v/>
      </c>
      <c r="E2391" s="626"/>
      <c r="F2391" s="626"/>
    </row>
    <row r="2392" spans="1:6">
      <c r="A2392" t="str">
        <f t="shared" si="37"/>
        <v/>
      </c>
      <c r="E2392" s="626"/>
      <c r="F2392" s="626"/>
    </row>
    <row r="2393" spans="1:6">
      <c r="A2393" t="str">
        <f t="shared" si="37"/>
        <v/>
      </c>
      <c r="E2393" s="626"/>
      <c r="F2393" s="626"/>
    </row>
    <row r="2394" spans="1:6">
      <c r="A2394" t="str">
        <f t="shared" si="37"/>
        <v/>
      </c>
      <c r="E2394" s="626"/>
      <c r="F2394" s="626"/>
    </row>
    <row r="2395" spans="1:6">
      <c r="A2395" t="str">
        <f t="shared" si="37"/>
        <v/>
      </c>
      <c r="E2395" s="626"/>
      <c r="F2395" s="626"/>
    </row>
    <row r="2396" spans="1:6">
      <c r="A2396" t="str">
        <f t="shared" si="37"/>
        <v/>
      </c>
      <c r="E2396" s="626"/>
      <c r="F2396" s="626"/>
    </row>
    <row r="2397" spans="1:6">
      <c r="A2397" t="str">
        <f t="shared" si="37"/>
        <v/>
      </c>
      <c r="E2397" s="626"/>
      <c r="F2397" s="626"/>
    </row>
    <row r="2398" spans="1:6">
      <c r="A2398" t="str">
        <f t="shared" si="37"/>
        <v/>
      </c>
      <c r="E2398" s="626"/>
      <c r="F2398" s="626"/>
    </row>
    <row r="2399" spans="1:6">
      <c r="A2399" t="str">
        <f t="shared" si="37"/>
        <v/>
      </c>
      <c r="E2399" s="626"/>
      <c r="F2399" s="626"/>
    </row>
    <row r="2400" spans="1:6">
      <c r="A2400" t="str">
        <f t="shared" si="37"/>
        <v/>
      </c>
      <c r="E2400" s="626"/>
      <c r="F2400" s="626"/>
    </row>
    <row r="2401" spans="1:6">
      <c r="A2401" t="str">
        <f t="shared" si="37"/>
        <v/>
      </c>
      <c r="E2401" s="626"/>
      <c r="F2401" s="626"/>
    </row>
    <row r="2402" spans="1:6">
      <c r="A2402" t="str">
        <f t="shared" si="37"/>
        <v/>
      </c>
      <c r="E2402" s="626"/>
      <c r="F2402" s="626"/>
    </row>
    <row r="2403" spans="1:6">
      <c r="A2403" t="str">
        <f t="shared" si="37"/>
        <v/>
      </c>
      <c r="E2403" s="626"/>
      <c r="F2403" s="626"/>
    </row>
    <row r="2404" spans="1:6">
      <c r="A2404" t="str">
        <f t="shared" si="37"/>
        <v/>
      </c>
      <c r="E2404" s="626"/>
      <c r="F2404" s="626"/>
    </row>
    <row r="2405" spans="1:6">
      <c r="A2405" t="str">
        <f t="shared" si="37"/>
        <v/>
      </c>
      <c r="E2405" s="626"/>
      <c r="F2405" s="626"/>
    </row>
    <row r="2406" spans="1:6">
      <c r="A2406" t="str">
        <f t="shared" si="37"/>
        <v/>
      </c>
      <c r="E2406" s="626"/>
      <c r="F2406" s="626"/>
    </row>
    <row r="2407" spans="1:6">
      <c r="A2407" t="str">
        <f t="shared" si="37"/>
        <v/>
      </c>
      <c r="E2407" s="626"/>
      <c r="F2407" s="626"/>
    </row>
    <row r="2408" spans="1:6">
      <c r="A2408" t="str">
        <f t="shared" si="37"/>
        <v/>
      </c>
      <c r="E2408" s="626"/>
      <c r="F2408" s="626"/>
    </row>
    <row r="2409" spans="1:6">
      <c r="A2409" t="str">
        <f t="shared" si="37"/>
        <v/>
      </c>
      <c r="E2409" s="626"/>
      <c r="F2409" s="626"/>
    </row>
    <row r="2410" spans="1:6">
      <c r="A2410" t="str">
        <f t="shared" si="37"/>
        <v/>
      </c>
      <c r="E2410" s="626"/>
      <c r="F2410" s="626"/>
    </row>
    <row r="2411" spans="1:6">
      <c r="A2411" t="str">
        <f t="shared" si="37"/>
        <v/>
      </c>
      <c r="E2411" s="626"/>
      <c r="F2411" s="626"/>
    </row>
    <row r="2412" spans="1:6">
      <c r="A2412" t="str">
        <f t="shared" si="37"/>
        <v/>
      </c>
      <c r="E2412" s="626"/>
      <c r="F2412" s="626"/>
    </row>
    <row r="2413" spans="1:6">
      <c r="A2413" t="str">
        <f t="shared" si="37"/>
        <v/>
      </c>
      <c r="E2413" s="626"/>
      <c r="F2413" s="626"/>
    </row>
    <row r="2414" spans="1:6">
      <c r="A2414" t="str">
        <f t="shared" si="37"/>
        <v/>
      </c>
      <c r="E2414" s="626"/>
      <c r="F2414" s="626"/>
    </row>
    <row r="2415" spans="1:6">
      <c r="A2415" t="str">
        <f t="shared" si="37"/>
        <v/>
      </c>
      <c r="E2415" s="626"/>
      <c r="F2415" s="626"/>
    </row>
    <row r="2416" spans="1:6">
      <c r="A2416" t="str">
        <f t="shared" si="37"/>
        <v/>
      </c>
      <c r="E2416" s="626"/>
      <c r="F2416" s="626"/>
    </row>
    <row r="2417" spans="1:6">
      <c r="A2417" t="str">
        <f t="shared" si="37"/>
        <v/>
      </c>
      <c r="E2417" s="626"/>
      <c r="F2417" s="626"/>
    </row>
    <row r="2418" spans="1:6">
      <c r="A2418" t="str">
        <f t="shared" si="37"/>
        <v/>
      </c>
      <c r="E2418" s="626"/>
      <c r="F2418" s="626"/>
    </row>
    <row r="2419" spans="1:6">
      <c r="A2419" t="str">
        <f t="shared" si="37"/>
        <v/>
      </c>
      <c r="E2419" s="626"/>
      <c r="F2419" s="626"/>
    </row>
    <row r="2420" spans="1:6">
      <c r="A2420" t="str">
        <f t="shared" si="37"/>
        <v/>
      </c>
      <c r="E2420" s="626"/>
      <c r="F2420" s="626"/>
    </row>
    <row r="2421" spans="1:6">
      <c r="A2421" t="str">
        <f t="shared" si="37"/>
        <v/>
      </c>
      <c r="E2421" s="626"/>
      <c r="F2421" s="626"/>
    </row>
    <row r="2422" spans="1:6">
      <c r="A2422" t="str">
        <f t="shared" si="37"/>
        <v/>
      </c>
      <c r="E2422" s="626"/>
      <c r="F2422" s="626"/>
    </row>
    <row r="2423" spans="1:6">
      <c r="A2423" t="str">
        <f t="shared" si="37"/>
        <v/>
      </c>
      <c r="E2423" s="626"/>
      <c r="F2423" s="626"/>
    </row>
    <row r="2424" spans="1:6">
      <c r="A2424" t="str">
        <f t="shared" si="37"/>
        <v/>
      </c>
      <c r="E2424" s="626"/>
      <c r="F2424" s="626"/>
    </row>
    <row r="2425" spans="1:6">
      <c r="A2425" t="str">
        <f t="shared" si="37"/>
        <v/>
      </c>
      <c r="E2425" s="626"/>
      <c r="F2425" s="626"/>
    </row>
    <row r="2426" spans="1:6">
      <c r="A2426" t="str">
        <f t="shared" si="37"/>
        <v/>
      </c>
      <c r="E2426" s="626"/>
      <c r="F2426" s="626"/>
    </row>
    <row r="2427" spans="1:6">
      <c r="A2427" t="str">
        <f t="shared" si="37"/>
        <v/>
      </c>
      <c r="E2427" s="626"/>
      <c r="F2427" s="626"/>
    </row>
    <row r="2428" spans="1:6">
      <c r="A2428" t="str">
        <f t="shared" si="37"/>
        <v/>
      </c>
      <c r="E2428" s="626"/>
      <c r="F2428" s="626"/>
    </row>
    <row r="2429" spans="1:6">
      <c r="A2429" t="str">
        <f t="shared" si="37"/>
        <v/>
      </c>
      <c r="E2429" s="626"/>
      <c r="F2429" s="626"/>
    </row>
    <row r="2430" spans="1:6">
      <c r="A2430" t="str">
        <f t="shared" si="37"/>
        <v/>
      </c>
      <c r="E2430" s="626"/>
      <c r="F2430" s="626"/>
    </row>
    <row r="2431" spans="1:6">
      <c r="A2431" t="str">
        <f t="shared" si="37"/>
        <v/>
      </c>
      <c r="E2431" s="626"/>
      <c r="F2431" s="626"/>
    </row>
    <row r="2432" spans="1:6">
      <c r="A2432" t="str">
        <f t="shared" si="37"/>
        <v/>
      </c>
      <c r="E2432" s="626"/>
      <c r="F2432" s="626"/>
    </row>
    <row r="2433" spans="1:6">
      <c r="A2433" t="str">
        <f t="shared" si="37"/>
        <v/>
      </c>
      <c r="E2433" s="626"/>
      <c r="F2433" s="626"/>
    </row>
    <row r="2434" spans="1:6">
      <c r="A2434" t="str">
        <f t="shared" ref="A2434:A2497" si="38">B2434&amp;E2434&amp;J2434</f>
        <v/>
      </c>
      <c r="E2434" s="626"/>
      <c r="F2434" s="626"/>
    </row>
    <row r="2435" spans="1:6">
      <c r="A2435" t="str">
        <f t="shared" si="38"/>
        <v/>
      </c>
      <c r="E2435" s="626"/>
      <c r="F2435" s="626"/>
    </row>
    <row r="2436" spans="1:6">
      <c r="A2436" t="str">
        <f t="shared" si="38"/>
        <v/>
      </c>
      <c r="E2436" s="626"/>
      <c r="F2436" s="626"/>
    </row>
    <row r="2437" spans="1:6">
      <c r="A2437" t="str">
        <f t="shared" si="38"/>
        <v/>
      </c>
      <c r="E2437" s="626"/>
      <c r="F2437" s="626"/>
    </row>
    <row r="2438" spans="1:6">
      <c r="A2438" t="str">
        <f t="shared" si="38"/>
        <v/>
      </c>
      <c r="E2438" s="626"/>
      <c r="F2438" s="626"/>
    </row>
    <row r="2439" spans="1:6">
      <c r="A2439" t="str">
        <f t="shared" si="38"/>
        <v/>
      </c>
      <c r="E2439" s="626"/>
      <c r="F2439" s="626"/>
    </row>
    <row r="2440" spans="1:6">
      <c r="A2440" t="str">
        <f t="shared" si="38"/>
        <v/>
      </c>
      <c r="E2440" s="626"/>
      <c r="F2440" s="626"/>
    </row>
    <row r="2441" spans="1:6">
      <c r="A2441" t="str">
        <f t="shared" si="38"/>
        <v/>
      </c>
      <c r="E2441" s="626"/>
      <c r="F2441" s="626"/>
    </row>
    <row r="2442" spans="1:6">
      <c r="A2442" t="str">
        <f t="shared" si="38"/>
        <v/>
      </c>
      <c r="E2442" s="626"/>
      <c r="F2442" s="626"/>
    </row>
    <row r="2443" spans="1:6">
      <c r="A2443" t="str">
        <f t="shared" si="38"/>
        <v/>
      </c>
      <c r="E2443" s="626"/>
      <c r="F2443" s="626"/>
    </row>
    <row r="2444" spans="1:6">
      <c r="A2444" t="str">
        <f t="shared" si="38"/>
        <v/>
      </c>
      <c r="E2444" s="626"/>
      <c r="F2444" s="626"/>
    </row>
    <row r="2445" spans="1:6">
      <c r="A2445" t="str">
        <f t="shared" si="38"/>
        <v/>
      </c>
      <c r="E2445" s="626"/>
      <c r="F2445" s="626"/>
    </row>
    <row r="2446" spans="1:6">
      <c r="A2446" t="str">
        <f t="shared" si="38"/>
        <v/>
      </c>
      <c r="E2446" s="626"/>
      <c r="F2446" s="626"/>
    </row>
    <row r="2447" spans="1:6">
      <c r="A2447" t="str">
        <f t="shared" si="38"/>
        <v/>
      </c>
      <c r="E2447" s="626"/>
      <c r="F2447" s="626"/>
    </row>
    <row r="2448" spans="1:6">
      <c r="A2448" t="str">
        <f t="shared" si="38"/>
        <v/>
      </c>
      <c r="E2448" s="626"/>
      <c r="F2448" s="626"/>
    </row>
    <row r="2449" spans="1:6">
      <c r="A2449" t="str">
        <f t="shared" si="38"/>
        <v/>
      </c>
      <c r="E2449" s="626"/>
      <c r="F2449" s="626"/>
    </row>
    <row r="2450" spans="1:6">
      <c r="A2450" t="str">
        <f t="shared" si="38"/>
        <v/>
      </c>
      <c r="E2450" s="626"/>
      <c r="F2450" s="626"/>
    </row>
    <row r="2451" spans="1:6">
      <c r="A2451" t="str">
        <f t="shared" si="38"/>
        <v/>
      </c>
      <c r="E2451" s="626"/>
      <c r="F2451" s="626"/>
    </row>
    <row r="2452" spans="1:6">
      <c r="A2452" t="str">
        <f t="shared" si="38"/>
        <v/>
      </c>
      <c r="E2452" s="626"/>
      <c r="F2452" s="626"/>
    </row>
    <row r="2453" spans="1:6">
      <c r="A2453" t="str">
        <f t="shared" si="38"/>
        <v/>
      </c>
      <c r="E2453" s="626"/>
      <c r="F2453" s="626"/>
    </row>
    <row r="2454" spans="1:6">
      <c r="A2454" t="str">
        <f t="shared" si="38"/>
        <v/>
      </c>
      <c r="E2454" s="626"/>
      <c r="F2454" s="626"/>
    </row>
    <row r="2455" spans="1:6">
      <c r="A2455" t="str">
        <f t="shared" si="38"/>
        <v/>
      </c>
      <c r="E2455" s="626"/>
      <c r="F2455" s="626"/>
    </row>
    <row r="2456" spans="1:6">
      <c r="A2456" t="str">
        <f t="shared" si="38"/>
        <v/>
      </c>
      <c r="E2456" s="626"/>
      <c r="F2456" s="626"/>
    </row>
    <row r="2457" spans="1:6">
      <c r="A2457" t="str">
        <f t="shared" si="38"/>
        <v/>
      </c>
      <c r="E2457" s="626"/>
      <c r="F2457" s="626"/>
    </row>
    <row r="2458" spans="1:6">
      <c r="A2458" t="str">
        <f t="shared" si="38"/>
        <v/>
      </c>
      <c r="E2458" s="626"/>
      <c r="F2458" s="626"/>
    </row>
    <row r="2459" spans="1:6">
      <c r="A2459" t="str">
        <f t="shared" si="38"/>
        <v/>
      </c>
      <c r="E2459" s="626"/>
      <c r="F2459" s="626"/>
    </row>
    <row r="2460" spans="1:6">
      <c r="A2460" t="str">
        <f t="shared" si="38"/>
        <v/>
      </c>
      <c r="E2460" s="626"/>
      <c r="F2460" s="626"/>
    </row>
    <row r="2461" spans="1:6">
      <c r="A2461" t="str">
        <f t="shared" si="38"/>
        <v/>
      </c>
      <c r="E2461" s="626"/>
      <c r="F2461" s="626"/>
    </row>
    <row r="2462" spans="1:6">
      <c r="A2462" t="str">
        <f t="shared" si="38"/>
        <v/>
      </c>
      <c r="E2462" s="626"/>
      <c r="F2462" s="626"/>
    </row>
    <row r="2463" spans="1:6">
      <c r="A2463" t="str">
        <f t="shared" si="38"/>
        <v/>
      </c>
      <c r="E2463" s="626"/>
      <c r="F2463" s="626"/>
    </row>
    <row r="2464" spans="1:6">
      <c r="A2464" t="str">
        <f t="shared" si="38"/>
        <v/>
      </c>
      <c r="E2464" s="626"/>
      <c r="F2464" s="626"/>
    </row>
    <row r="2465" spans="1:6">
      <c r="A2465" t="str">
        <f t="shared" si="38"/>
        <v/>
      </c>
      <c r="E2465" s="626"/>
      <c r="F2465" s="626"/>
    </row>
    <row r="2466" spans="1:6">
      <c r="A2466" t="str">
        <f t="shared" si="38"/>
        <v/>
      </c>
      <c r="E2466" s="626"/>
      <c r="F2466" s="626"/>
    </row>
    <row r="2467" spans="1:6">
      <c r="A2467" t="str">
        <f t="shared" si="38"/>
        <v/>
      </c>
      <c r="E2467" s="626"/>
      <c r="F2467" s="626"/>
    </row>
    <row r="2468" spans="1:6">
      <c r="A2468" t="str">
        <f t="shared" si="38"/>
        <v/>
      </c>
      <c r="E2468" s="626"/>
      <c r="F2468" s="626"/>
    </row>
    <row r="2469" spans="1:6">
      <c r="A2469" t="str">
        <f t="shared" si="38"/>
        <v/>
      </c>
      <c r="E2469" s="626"/>
      <c r="F2469" s="626"/>
    </row>
    <row r="2470" spans="1:6">
      <c r="A2470" t="str">
        <f t="shared" si="38"/>
        <v/>
      </c>
      <c r="E2470" s="626"/>
      <c r="F2470" s="626"/>
    </row>
    <row r="2471" spans="1:6">
      <c r="A2471" t="str">
        <f t="shared" si="38"/>
        <v/>
      </c>
      <c r="E2471" s="626"/>
      <c r="F2471" s="626"/>
    </row>
    <row r="2472" spans="1:6">
      <c r="A2472" t="str">
        <f t="shared" si="38"/>
        <v/>
      </c>
      <c r="E2472" s="626"/>
      <c r="F2472" s="626"/>
    </row>
    <row r="2473" spans="1:6">
      <c r="A2473" t="str">
        <f t="shared" si="38"/>
        <v/>
      </c>
      <c r="E2473" s="626"/>
      <c r="F2473" s="626"/>
    </row>
    <row r="2474" spans="1:6">
      <c r="A2474" t="str">
        <f t="shared" si="38"/>
        <v/>
      </c>
      <c r="E2474" s="626"/>
      <c r="F2474" s="626"/>
    </row>
    <row r="2475" spans="1:6">
      <c r="A2475" t="str">
        <f t="shared" si="38"/>
        <v/>
      </c>
      <c r="E2475" s="626"/>
      <c r="F2475" s="626"/>
    </row>
    <row r="2476" spans="1:6">
      <c r="A2476" t="str">
        <f t="shared" si="38"/>
        <v/>
      </c>
      <c r="E2476" s="626"/>
      <c r="F2476" s="626"/>
    </row>
    <row r="2477" spans="1:6">
      <c r="A2477" t="str">
        <f t="shared" si="38"/>
        <v/>
      </c>
      <c r="E2477" s="626"/>
      <c r="F2477" s="626"/>
    </row>
    <row r="2478" spans="1:6">
      <c r="A2478" t="str">
        <f t="shared" si="38"/>
        <v/>
      </c>
      <c r="E2478" s="626"/>
      <c r="F2478" s="626"/>
    </row>
    <row r="2479" spans="1:6">
      <c r="A2479" t="str">
        <f t="shared" si="38"/>
        <v/>
      </c>
      <c r="E2479" s="626"/>
      <c r="F2479" s="626"/>
    </row>
    <row r="2480" spans="1:6">
      <c r="A2480" t="str">
        <f t="shared" si="38"/>
        <v/>
      </c>
      <c r="E2480" s="626"/>
      <c r="F2480" s="626"/>
    </row>
    <row r="2481" spans="1:6">
      <c r="A2481" t="str">
        <f t="shared" si="38"/>
        <v/>
      </c>
      <c r="E2481" s="626"/>
      <c r="F2481" s="626"/>
    </row>
    <row r="2482" spans="1:6">
      <c r="A2482" t="str">
        <f t="shared" si="38"/>
        <v/>
      </c>
      <c r="E2482" s="626"/>
      <c r="F2482" s="626"/>
    </row>
    <row r="2483" spans="1:6">
      <c r="A2483" t="str">
        <f t="shared" si="38"/>
        <v/>
      </c>
      <c r="E2483" s="626"/>
      <c r="F2483" s="626"/>
    </row>
    <row r="2484" spans="1:6">
      <c r="A2484" t="str">
        <f t="shared" si="38"/>
        <v/>
      </c>
      <c r="E2484" s="626"/>
      <c r="F2484" s="626"/>
    </row>
    <row r="2485" spans="1:6">
      <c r="A2485" t="str">
        <f t="shared" si="38"/>
        <v/>
      </c>
      <c r="E2485" s="626"/>
      <c r="F2485" s="626"/>
    </row>
    <row r="2486" spans="1:6">
      <c r="A2486" t="str">
        <f t="shared" si="38"/>
        <v/>
      </c>
      <c r="E2486" s="626"/>
      <c r="F2486" s="626"/>
    </row>
    <row r="2487" spans="1:6">
      <c r="A2487" t="str">
        <f t="shared" si="38"/>
        <v/>
      </c>
      <c r="E2487" s="626"/>
      <c r="F2487" s="626"/>
    </row>
    <row r="2488" spans="1:6">
      <c r="A2488" t="str">
        <f t="shared" si="38"/>
        <v/>
      </c>
      <c r="E2488" s="626"/>
      <c r="F2488" s="626"/>
    </row>
    <row r="2489" spans="1:6">
      <c r="A2489" t="str">
        <f t="shared" si="38"/>
        <v/>
      </c>
      <c r="E2489" s="626"/>
      <c r="F2489" s="626"/>
    </row>
    <row r="2490" spans="1:6">
      <c r="A2490" t="str">
        <f t="shared" si="38"/>
        <v/>
      </c>
      <c r="E2490" s="626"/>
      <c r="F2490" s="626"/>
    </row>
    <row r="2491" spans="1:6">
      <c r="A2491" t="str">
        <f t="shared" si="38"/>
        <v/>
      </c>
      <c r="E2491" s="626"/>
      <c r="F2491" s="626"/>
    </row>
    <row r="2492" spans="1:6">
      <c r="A2492" t="str">
        <f t="shared" si="38"/>
        <v/>
      </c>
      <c r="E2492" s="626"/>
      <c r="F2492" s="626"/>
    </row>
    <row r="2493" spans="1:6">
      <c r="A2493" t="str">
        <f t="shared" si="38"/>
        <v/>
      </c>
      <c r="E2493" s="626"/>
      <c r="F2493" s="626"/>
    </row>
    <row r="2494" spans="1:6">
      <c r="A2494" t="str">
        <f t="shared" si="38"/>
        <v/>
      </c>
      <c r="E2494" s="626"/>
      <c r="F2494" s="626"/>
    </row>
    <row r="2495" spans="1:6">
      <c r="A2495" t="str">
        <f t="shared" si="38"/>
        <v/>
      </c>
      <c r="E2495" s="626"/>
      <c r="F2495" s="626"/>
    </row>
    <row r="2496" spans="1:6">
      <c r="A2496" t="str">
        <f t="shared" si="38"/>
        <v/>
      </c>
      <c r="E2496" s="626"/>
      <c r="F2496" s="626"/>
    </row>
    <row r="2497" spans="1:6">
      <c r="A2497" t="str">
        <f t="shared" si="38"/>
        <v/>
      </c>
      <c r="E2497" s="626"/>
      <c r="F2497" s="626"/>
    </row>
    <row r="2498" spans="1:6">
      <c r="A2498" t="str">
        <f t="shared" ref="A2498:A2561" si="39">B2498&amp;E2498&amp;J2498</f>
        <v/>
      </c>
      <c r="E2498" s="626"/>
      <c r="F2498" s="626"/>
    </row>
    <row r="2499" spans="1:6">
      <c r="A2499" t="str">
        <f t="shared" si="39"/>
        <v/>
      </c>
      <c r="E2499" s="626"/>
      <c r="F2499" s="626"/>
    </row>
    <row r="2500" spans="1:6">
      <c r="A2500" t="str">
        <f t="shared" si="39"/>
        <v/>
      </c>
      <c r="E2500" s="626"/>
      <c r="F2500" s="626"/>
    </row>
    <row r="2501" spans="1:6">
      <c r="A2501" t="str">
        <f t="shared" si="39"/>
        <v/>
      </c>
      <c r="E2501" s="626"/>
      <c r="F2501" s="626"/>
    </row>
    <row r="2502" spans="1:6">
      <c r="A2502" t="str">
        <f t="shared" si="39"/>
        <v/>
      </c>
      <c r="E2502" s="626"/>
      <c r="F2502" s="626"/>
    </row>
    <row r="2503" spans="1:6">
      <c r="A2503" t="str">
        <f t="shared" si="39"/>
        <v/>
      </c>
      <c r="E2503" s="626"/>
      <c r="F2503" s="626"/>
    </row>
    <row r="2504" spans="1:6">
      <c r="A2504" t="str">
        <f t="shared" si="39"/>
        <v/>
      </c>
      <c r="E2504" s="626"/>
      <c r="F2504" s="626"/>
    </row>
    <row r="2505" spans="1:6">
      <c r="A2505" t="str">
        <f t="shared" si="39"/>
        <v/>
      </c>
      <c r="E2505" s="626"/>
      <c r="F2505" s="626"/>
    </row>
    <row r="2506" spans="1:6">
      <c r="A2506" t="str">
        <f t="shared" si="39"/>
        <v/>
      </c>
      <c r="E2506" s="626"/>
      <c r="F2506" s="626"/>
    </row>
    <row r="2507" spans="1:6">
      <c r="A2507" t="str">
        <f t="shared" si="39"/>
        <v/>
      </c>
      <c r="E2507" s="626"/>
      <c r="F2507" s="626"/>
    </row>
    <row r="2508" spans="1:6">
      <c r="A2508" t="str">
        <f t="shared" si="39"/>
        <v/>
      </c>
      <c r="E2508" s="626"/>
      <c r="F2508" s="626"/>
    </row>
    <row r="2509" spans="1:6">
      <c r="A2509" t="str">
        <f t="shared" si="39"/>
        <v/>
      </c>
      <c r="E2509" s="626"/>
      <c r="F2509" s="626"/>
    </row>
    <row r="2510" spans="1:6">
      <c r="A2510" t="str">
        <f t="shared" si="39"/>
        <v/>
      </c>
      <c r="E2510" s="626"/>
      <c r="F2510" s="626"/>
    </row>
    <row r="2511" spans="1:6">
      <c r="A2511" t="str">
        <f t="shared" si="39"/>
        <v/>
      </c>
      <c r="E2511" s="626"/>
      <c r="F2511" s="626"/>
    </row>
    <row r="2512" spans="1:6">
      <c r="A2512" t="str">
        <f t="shared" si="39"/>
        <v/>
      </c>
      <c r="E2512" s="626"/>
      <c r="F2512" s="626"/>
    </row>
    <row r="2513" spans="1:6">
      <c r="A2513" t="str">
        <f t="shared" si="39"/>
        <v/>
      </c>
      <c r="E2513" s="626"/>
      <c r="F2513" s="626"/>
    </row>
    <row r="2514" spans="1:6">
      <c r="A2514" t="str">
        <f t="shared" si="39"/>
        <v/>
      </c>
      <c r="E2514" s="626"/>
      <c r="F2514" s="626"/>
    </row>
    <row r="2515" spans="1:6">
      <c r="A2515" t="str">
        <f t="shared" si="39"/>
        <v/>
      </c>
      <c r="E2515" s="626"/>
      <c r="F2515" s="626"/>
    </row>
    <row r="2516" spans="1:6">
      <c r="A2516" t="str">
        <f t="shared" si="39"/>
        <v/>
      </c>
      <c r="E2516" s="626"/>
      <c r="F2516" s="626"/>
    </row>
    <row r="2517" spans="1:6">
      <c r="A2517" t="str">
        <f t="shared" si="39"/>
        <v/>
      </c>
      <c r="E2517" s="626"/>
      <c r="F2517" s="626"/>
    </row>
    <row r="2518" spans="1:6">
      <c r="A2518" t="str">
        <f t="shared" si="39"/>
        <v/>
      </c>
      <c r="E2518" s="626"/>
      <c r="F2518" s="626"/>
    </row>
    <row r="2519" spans="1:6">
      <c r="A2519" t="str">
        <f t="shared" si="39"/>
        <v/>
      </c>
      <c r="E2519" s="626"/>
      <c r="F2519" s="626"/>
    </row>
    <row r="2520" spans="1:6">
      <c r="A2520" t="str">
        <f t="shared" si="39"/>
        <v/>
      </c>
      <c r="E2520" s="626"/>
      <c r="F2520" s="626"/>
    </row>
    <row r="2521" spans="1:6">
      <c r="A2521" t="str">
        <f t="shared" si="39"/>
        <v/>
      </c>
      <c r="E2521" s="626"/>
      <c r="F2521" s="626"/>
    </row>
    <row r="2522" spans="1:6">
      <c r="A2522" t="str">
        <f t="shared" si="39"/>
        <v/>
      </c>
      <c r="E2522" s="626"/>
      <c r="F2522" s="626"/>
    </row>
    <row r="2523" spans="1:6">
      <c r="A2523" t="str">
        <f t="shared" si="39"/>
        <v/>
      </c>
      <c r="E2523" s="626"/>
      <c r="F2523" s="626"/>
    </row>
    <row r="2524" spans="1:6">
      <c r="A2524" t="str">
        <f t="shared" si="39"/>
        <v/>
      </c>
      <c r="E2524" s="626"/>
      <c r="F2524" s="626"/>
    </row>
    <row r="2525" spans="1:6">
      <c r="A2525" t="str">
        <f t="shared" si="39"/>
        <v/>
      </c>
      <c r="E2525" s="626"/>
      <c r="F2525" s="626"/>
    </row>
    <row r="2526" spans="1:6">
      <c r="A2526" t="str">
        <f t="shared" si="39"/>
        <v/>
      </c>
      <c r="E2526" s="626"/>
      <c r="F2526" s="626"/>
    </row>
    <row r="2527" spans="1:6">
      <c r="A2527" t="str">
        <f t="shared" si="39"/>
        <v/>
      </c>
      <c r="E2527" s="626"/>
      <c r="F2527" s="626"/>
    </row>
    <row r="2528" spans="1:6">
      <c r="A2528" t="str">
        <f t="shared" si="39"/>
        <v/>
      </c>
      <c r="E2528" s="626"/>
      <c r="F2528" s="626"/>
    </row>
    <row r="2529" spans="1:6">
      <c r="A2529" t="str">
        <f t="shared" si="39"/>
        <v/>
      </c>
      <c r="E2529" s="626"/>
      <c r="F2529" s="626"/>
    </row>
    <row r="2530" spans="1:6">
      <c r="A2530" t="str">
        <f t="shared" si="39"/>
        <v/>
      </c>
      <c r="E2530" s="626"/>
      <c r="F2530" s="626"/>
    </row>
    <row r="2531" spans="1:6">
      <c r="A2531" t="str">
        <f t="shared" si="39"/>
        <v/>
      </c>
      <c r="E2531" s="626"/>
      <c r="F2531" s="626"/>
    </row>
    <row r="2532" spans="1:6">
      <c r="A2532" t="str">
        <f t="shared" si="39"/>
        <v/>
      </c>
      <c r="E2532" s="626"/>
      <c r="F2532" s="626"/>
    </row>
    <row r="2533" spans="1:6">
      <c r="A2533" t="str">
        <f t="shared" si="39"/>
        <v/>
      </c>
      <c r="E2533" s="626"/>
      <c r="F2533" s="626"/>
    </row>
    <row r="2534" spans="1:6">
      <c r="A2534" t="str">
        <f t="shared" si="39"/>
        <v/>
      </c>
      <c r="E2534" s="626"/>
      <c r="F2534" s="626"/>
    </row>
    <row r="2535" spans="1:6">
      <c r="A2535" t="str">
        <f t="shared" si="39"/>
        <v/>
      </c>
      <c r="E2535" s="626"/>
      <c r="F2535" s="626"/>
    </row>
    <row r="2536" spans="1:6">
      <c r="A2536" t="str">
        <f t="shared" si="39"/>
        <v/>
      </c>
      <c r="E2536" s="626"/>
      <c r="F2536" s="626"/>
    </row>
    <row r="2537" spans="1:6">
      <c r="A2537" t="str">
        <f t="shared" si="39"/>
        <v/>
      </c>
      <c r="E2537" s="626"/>
      <c r="F2537" s="626"/>
    </row>
    <row r="2538" spans="1:6">
      <c r="A2538" t="str">
        <f t="shared" si="39"/>
        <v/>
      </c>
      <c r="E2538" s="626"/>
      <c r="F2538" s="626"/>
    </row>
    <row r="2539" spans="1:6">
      <c r="A2539" t="str">
        <f t="shared" si="39"/>
        <v/>
      </c>
      <c r="E2539" s="626"/>
      <c r="F2539" s="626"/>
    </row>
    <row r="2540" spans="1:6">
      <c r="A2540" t="str">
        <f t="shared" si="39"/>
        <v/>
      </c>
      <c r="E2540" s="626"/>
      <c r="F2540" s="626"/>
    </row>
    <row r="2541" spans="1:6">
      <c r="A2541" t="str">
        <f t="shared" si="39"/>
        <v/>
      </c>
      <c r="E2541" s="626"/>
      <c r="F2541" s="626"/>
    </row>
    <row r="2542" spans="1:6">
      <c r="A2542" t="str">
        <f t="shared" si="39"/>
        <v/>
      </c>
      <c r="E2542" s="626"/>
      <c r="F2542" s="626"/>
    </row>
    <row r="2543" spans="1:6">
      <c r="A2543" t="str">
        <f t="shared" si="39"/>
        <v/>
      </c>
      <c r="E2543" s="626"/>
      <c r="F2543" s="626"/>
    </row>
    <row r="2544" spans="1:6">
      <c r="A2544" t="str">
        <f t="shared" si="39"/>
        <v/>
      </c>
      <c r="E2544" s="626"/>
      <c r="F2544" s="626"/>
    </row>
    <row r="2545" spans="1:6">
      <c r="A2545" t="str">
        <f t="shared" si="39"/>
        <v/>
      </c>
      <c r="E2545" s="626"/>
      <c r="F2545" s="626"/>
    </row>
    <row r="2546" spans="1:6">
      <c r="A2546" t="str">
        <f t="shared" si="39"/>
        <v/>
      </c>
      <c r="E2546" s="626"/>
      <c r="F2546" s="626"/>
    </row>
    <row r="2547" spans="1:6">
      <c r="A2547" t="str">
        <f t="shared" si="39"/>
        <v/>
      </c>
      <c r="E2547" s="626"/>
      <c r="F2547" s="626"/>
    </row>
    <row r="2548" spans="1:6">
      <c r="A2548" t="str">
        <f t="shared" si="39"/>
        <v/>
      </c>
      <c r="E2548" s="626"/>
      <c r="F2548" s="626"/>
    </row>
    <row r="2549" spans="1:6">
      <c r="A2549" t="str">
        <f t="shared" si="39"/>
        <v/>
      </c>
      <c r="E2549" s="626"/>
      <c r="F2549" s="626"/>
    </row>
    <row r="2550" spans="1:6">
      <c r="A2550" t="str">
        <f t="shared" si="39"/>
        <v/>
      </c>
      <c r="E2550" s="626"/>
      <c r="F2550" s="626"/>
    </row>
    <row r="2551" spans="1:6">
      <c r="A2551" t="str">
        <f t="shared" si="39"/>
        <v/>
      </c>
      <c r="E2551" s="626"/>
      <c r="F2551" s="626"/>
    </row>
    <row r="2552" spans="1:6">
      <c r="A2552" t="str">
        <f t="shared" si="39"/>
        <v/>
      </c>
      <c r="E2552" s="626"/>
      <c r="F2552" s="626"/>
    </row>
    <row r="2553" spans="1:6">
      <c r="A2553" t="str">
        <f t="shared" si="39"/>
        <v/>
      </c>
      <c r="E2553" s="626"/>
      <c r="F2553" s="626"/>
    </row>
    <row r="2554" spans="1:6">
      <c r="A2554" t="str">
        <f t="shared" si="39"/>
        <v/>
      </c>
      <c r="E2554" s="626"/>
      <c r="F2554" s="626"/>
    </row>
    <row r="2555" spans="1:6">
      <c r="A2555" t="str">
        <f t="shared" si="39"/>
        <v/>
      </c>
      <c r="E2555" s="626"/>
      <c r="F2555" s="626"/>
    </row>
    <row r="2556" spans="1:6">
      <c r="A2556" t="str">
        <f t="shared" si="39"/>
        <v/>
      </c>
      <c r="E2556" s="626"/>
      <c r="F2556" s="626"/>
    </row>
    <row r="2557" spans="1:6">
      <c r="A2557" t="str">
        <f t="shared" si="39"/>
        <v/>
      </c>
      <c r="E2557" s="626"/>
      <c r="F2557" s="626"/>
    </row>
    <row r="2558" spans="1:6">
      <c r="A2558" t="str">
        <f t="shared" si="39"/>
        <v/>
      </c>
      <c r="E2558" s="626"/>
      <c r="F2558" s="626"/>
    </row>
    <row r="2559" spans="1:6">
      <c r="A2559" t="str">
        <f t="shared" si="39"/>
        <v/>
      </c>
      <c r="E2559" s="626"/>
      <c r="F2559" s="626"/>
    </row>
    <row r="2560" spans="1:6">
      <c r="A2560" t="str">
        <f t="shared" si="39"/>
        <v/>
      </c>
      <c r="E2560" s="626"/>
      <c r="F2560" s="626"/>
    </row>
    <row r="2561" spans="1:6">
      <c r="A2561" t="str">
        <f t="shared" si="39"/>
        <v/>
      </c>
      <c r="E2561" s="626"/>
      <c r="F2561" s="626"/>
    </row>
    <row r="2562" spans="1:6">
      <c r="A2562" t="str">
        <f t="shared" ref="A2562:A2625" si="40">B2562&amp;E2562&amp;J2562</f>
        <v/>
      </c>
      <c r="E2562" s="626"/>
      <c r="F2562" s="626"/>
    </row>
    <row r="2563" spans="1:6">
      <c r="A2563" t="str">
        <f t="shared" si="40"/>
        <v/>
      </c>
      <c r="E2563" s="626"/>
      <c r="F2563" s="626"/>
    </row>
    <row r="2564" spans="1:6">
      <c r="A2564" t="str">
        <f t="shared" si="40"/>
        <v/>
      </c>
      <c r="E2564" s="626"/>
      <c r="F2564" s="626"/>
    </row>
    <row r="2565" spans="1:6">
      <c r="A2565" t="str">
        <f t="shared" si="40"/>
        <v/>
      </c>
      <c r="E2565" s="626"/>
      <c r="F2565" s="626"/>
    </row>
    <row r="2566" spans="1:6">
      <c r="A2566" t="str">
        <f t="shared" si="40"/>
        <v/>
      </c>
      <c r="E2566" s="626"/>
      <c r="F2566" s="626"/>
    </row>
    <row r="2567" spans="1:6">
      <c r="A2567" t="str">
        <f t="shared" si="40"/>
        <v/>
      </c>
      <c r="E2567" s="626"/>
      <c r="F2567" s="626"/>
    </row>
    <row r="2568" spans="1:6">
      <c r="A2568" t="str">
        <f t="shared" si="40"/>
        <v/>
      </c>
      <c r="E2568" s="626"/>
      <c r="F2568" s="626"/>
    </row>
    <row r="2569" spans="1:6">
      <c r="A2569" t="str">
        <f t="shared" si="40"/>
        <v/>
      </c>
      <c r="E2569" s="626"/>
      <c r="F2569" s="626"/>
    </row>
    <row r="2570" spans="1:6">
      <c r="A2570" t="str">
        <f t="shared" si="40"/>
        <v/>
      </c>
      <c r="E2570" s="626"/>
      <c r="F2570" s="626"/>
    </row>
    <row r="2571" spans="1:6">
      <c r="A2571" t="str">
        <f t="shared" si="40"/>
        <v/>
      </c>
      <c r="E2571" s="626"/>
      <c r="F2571" s="626"/>
    </row>
    <row r="2572" spans="1:6">
      <c r="A2572" t="str">
        <f t="shared" si="40"/>
        <v/>
      </c>
      <c r="E2572" s="626"/>
      <c r="F2572" s="626"/>
    </row>
    <row r="2573" spans="1:6">
      <c r="A2573" t="str">
        <f t="shared" si="40"/>
        <v/>
      </c>
      <c r="E2573" s="626"/>
      <c r="F2573" s="626"/>
    </row>
    <row r="2574" spans="1:6">
      <c r="A2574" t="str">
        <f t="shared" si="40"/>
        <v/>
      </c>
      <c r="E2574" s="626"/>
      <c r="F2574" s="626"/>
    </row>
    <row r="2575" spans="1:6">
      <c r="A2575" t="str">
        <f t="shared" si="40"/>
        <v/>
      </c>
      <c r="E2575" s="626"/>
      <c r="F2575" s="626"/>
    </row>
    <row r="2576" spans="1:6">
      <c r="A2576" t="str">
        <f t="shared" si="40"/>
        <v/>
      </c>
      <c r="E2576" s="626"/>
      <c r="F2576" s="626"/>
    </row>
    <row r="2577" spans="1:6">
      <c r="A2577" t="str">
        <f t="shared" si="40"/>
        <v/>
      </c>
      <c r="E2577" s="626"/>
      <c r="F2577" s="626"/>
    </row>
    <row r="2578" spans="1:6">
      <c r="A2578" t="str">
        <f t="shared" si="40"/>
        <v/>
      </c>
      <c r="E2578" s="626"/>
      <c r="F2578" s="626"/>
    </row>
    <row r="2579" spans="1:6">
      <c r="A2579" t="str">
        <f t="shared" si="40"/>
        <v/>
      </c>
      <c r="E2579" s="626"/>
      <c r="F2579" s="626"/>
    </row>
    <row r="2580" spans="1:6">
      <c r="A2580" t="str">
        <f t="shared" si="40"/>
        <v/>
      </c>
      <c r="E2580" s="626"/>
      <c r="F2580" s="626"/>
    </row>
    <row r="2581" spans="1:6">
      <c r="A2581" t="str">
        <f t="shared" si="40"/>
        <v/>
      </c>
      <c r="E2581" s="626"/>
      <c r="F2581" s="626"/>
    </row>
    <row r="2582" spans="1:6">
      <c r="A2582" t="str">
        <f t="shared" si="40"/>
        <v/>
      </c>
      <c r="E2582" s="626"/>
      <c r="F2582" s="626"/>
    </row>
    <row r="2583" spans="1:6">
      <c r="A2583" t="str">
        <f t="shared" si="40"/>
        <v/>
      </c>
      <c r="E2583" s="626"/>
      <c r="F2583" s="626"/>
    </row>
    <row r="2584" spans="1:6">
      <c r="A2584" t="str">
        <f t="shared" si="40"/>
        <v/>
      </c>
      <c r="E2584" s="626"/>
      <c r="F2584" s="626"/>
    </row>
    <row r="2585" spans="1:6">
      <c r="A2585" t="str">
        <f t="shared" si="40"/>
        <v/>
      </c>
      <c r="E2585" s="626"/>
      <c r="F2585" s="626"/>
    </row>
    <row r="2586" spans="1:6">
      <c r="A2586" t="str">
        <f t="shared" si="40"/>
        <v/>
      </c>
      <c r="E2586" s="626"/>
      <c r="F2586" s="626"/>
    </row>
    <row r="2587" spans="1:6">
      <c r="A2587" t="str">
        <f t="shared" si="40"/>
        <v/>
      </c>
      <c r="E2587" s="626"/>
      <c r="F2587" s="626"/>
    </row>
    <row r="2588" spans="1:6">
      <c r="A2588" t="str">
        <f t="shared" si="40"/>
        <v/>
      </c>
      <c r="E2588" s="626"/>
      <c r="F2588" s="626"/>
    </row>
    <row r="2589" spans="1:6">
      <c r="A2589" t="str">
        <f t="shared" si="40"/>
        <v/>
      </c>
      <c r="E2589" s="626"/>
      <c r="F2589" s="626"/>
    </row>
    <row r="2590" spans="1:6">
      <c r="A2590" t="str">
        <f t="shared" si="40"/>
        <v/>
      </c>
      <c r="E2590" s="626"/>
      <c r="F2590" s="626"/>
    </row>
    <row r="2591" spans="1:6">
      <c r="A2591" t="str">
        <f t="shared" si="40"/>
        <v/>
      </c>
      <c r="E2591" s="626"/>
      <c r="F2591" s="626"/>
    </row>
    <row r="2592" spans="1:6">
      <c r="A2592" t="str">
        <f t="shared" si="40"/>
        <v/>
      </c>
      <c r="E2592" s="626"/>
      <c r="F2592" s="626"/>
    </row>
    <row r="2593" spans="1:6">
      <c r="A2593" t="str">
        <f t="shared" si="40"/>
        <v/>
      </c>
      <c r="E2593" s="626"/>
      <c r="F2593" s="626"/>
    </row>
    <row r="2594" spans="1:6">
      <c r="A2594" t="str">
        <f t="shared" si="40"/>
        <v/>
      </c>
      <c r="E2594" s="626"/>
      <c r="F2594" s="626"/>
    </row>
    <row r="2595" spans="1:6">
      <c r="A2595" t="str">
        <f t="shared" si="40"/>
        <v/>
      </c>
      <c r="E2595" s="626"/>
      <c r="F2595" s="626"/>
    </row>
    <row r="2596" spans="1:6">
      <c r="A2596" t="str">
        <f t="shared" si="40"/>
        <v/>
      </c>
      <c r="E2596" s="626"/>
      <c r="F2596" s="626"/>
    </row>
    <row r="2597" spans="1:6">
      <c r="A2597" t="str">
        <f t="shared" si="40"/>
        <v/>
      </c>
      <c r="E2597" s="626"/>
      <c r="F2597" s="626"/>
    </row>
    <row r="2598" spans="1:6">
      <c r="A2598" t="str">
        <f t="shared" si="40"/>
        <v/>
      </c>
      <c r="E2598" s="626"/>
      <c r="F2598" s="626"/>
    </row>
    <row r="2599" spans="1:6">
      <c r="A2599" t="str">
        <f t="shared" si="40"/>
        <v/>
      </c>
      <c r="E2599" s="626"/>
      <c r="F2599" s="626"/>
    </row>
    <row r="2600" spans="1:6">
      <c r="A2600" t="str">
        <f t="shared" si="40"/>
        <v/>
      </c>
      <c r="E2600" s="626"/>
      <c r="F2600" s="626"/>
    </row>
    <row r="2601" spans="1:6">
      <c r="A2601" t="str">
        <f t="shared" si="40"/>
        <v/>
      </c>
      <c r="E2601" s="626"/>
      <c r="F2601" s="626"/>
    </row>
    <row r="2602" spans="1:6">
      <c r="A2602" t="str">
        <f t="shared" si="40"/>
        <v/>
      </c>
      <c r="E2602" s="626"/>
      <c r="F2602" s="626"/>
    </row>
    <row r="2603" spans="1:6">
      <c r="A2603" t="str">
        <f t="shared" si="40"/>
        <v/>
      </c>
      <c r="E2603" s="626"/>
      <c r="F2603" s="626"/>
    </row>
    <row r="2604" spans="1:6">
      <c r="A2604" t="str">
        <f t="shared" si="40"/>
        <v/>
      </c>
      <c r="E2604" s="626"/>
      <c r="F2604" s="626"/>
    </row>
    <row r="2605" spans="1:6">
      <c r="A2605" t="str">
        <f t="shared" si="40"/>
        <v/>
      </c>
      <c r="E2605" s="626"/>
      <c r="F2605" s="626"/>
    </row>
    <row r="2606" spans="1:6">
      <c r="A2606" t="str">
        <f t="shared" si="40"/>
        <v/>
      </c>
      <c r="E2606" s="626"/>
      <c r="F2606" s="626"/>
    </row>
    <row r="2607" spans="1:6">
      <c r="A2607" t="str">
        <f t="shared" si="40"/>
        <v/>
      </c>
      <c r="E2607" s="626"/>
      <c r="F2607" s="626"/>
    </row>
    <row r="2608" spans="1:6">
      <c r="A2608" t="str">
        <f t="shared" si="40"/>
        <v/>
      </c>
      <c r="E2608" s="626"/>
      <c r="F2608" s="626"/>
    </row>
    <row r="2609" spans="1:6">
      <c r="A2609" t="str">
        <f t="shared" si="40"/>
        <v/>
      </c>
      <c r="E2609" s="626"/>
      <c r="F2609" s="626"/>
    </row>
    <row r="2610" spans="1:6">
      <c r="A2610" t="str">
        <f t="shared" si="40"/>
        <v/>
      </c>
      <c r="E2610" s="626"/>
      <c r="F2610" s="626"/>
    </row>
    <row r="2611" spans="1:6">
      <c r="A2611" t="str">
        <f t="shared" si="40"/>
        <v/>
      </c>
      <c r="E2611" s="626"/>
      <c r="F2611" s="626"/>
    </row>
    <row r="2612" spans="1:6">
      <c r="A2612" t="str">
        <f t="shared" si="40"/>
        <v/>
      </c>
      <c r="E2612" s="626"/>
      <c r="F2612" s="626"/>
    </row>
    <row r="2613" spans="1:6">
      <c r="A2613" t="str">
        <f t="shared" si="40"/>
        <v/>
      </c>
      <c r="E2613" s="626"/>
      <c r="F2613" s="626"/>
    </row>
    <row r="2614" spans="1:6">
      <c r="A2614" t="str">
        <f t="shared" si="40"/>
        <v/>
      </c>
      <c r="E2614" s="626"/>
      <c r="F2614" s="626"/>
    </row>
    <row r="2615" spans="1:6">
      <c r="A2615" t="str">
        <f t="shared" si="40"/>
        <v/>
      </c>
      <c r="E2615" s="626"/>
      <c r="F2615" s="626"/>
    </row>
    <row r="2616" spans="1:6">
      <c r="A2616" t="str">
        <f t="shared" si="40"/>
        <v/>
      </c>
      <c r="E2616" s="626"/>
      <c r="F2616" s="626"/>
    </row>
    <row r="2617" spans="1:6">
      <c r="A2617" t="str">
        <f t="shared" si="40"/>
        <v/>
      </c>
      <c r="E2617" s="626"/>
      <c r="F2617" s="626"/>
    </row>
    <row r="2618" spans="1:6">
      <c r="A2618" t="str">
        <f t="shared" si="40"/>
        <v/>
      </c>
      <c r="E2618" s="626"/>
      <c r="F2618" s="626"/>
    </row>
    <row r="2619" spans="1:6">
      <c r="A2619" t="str">
        <f t="shared" si="40"/>
        <v/>
      </c>
      <c r="E2619" s="626"/>
      <c r="F2619" s="626"/>
    </row>
    <row r="2620" spans="1:6">
      <c r="A2620" t="str">
        <f t="shared" si="40"/>
        <v/>
      </c>
      <c r="E2620" s="626"/>
      <c r="F2620" s="626"/>
    </row>
    <row r="2621" spans="1:6">
      <c r="A2621" t="str">
        <f t="shared" si="40"/>
        <v/>
      </c>
      <c r="E2621" s="626"/>
      <c r="F2621" s="626"/>
    </row>
    <row r="2622" spans="1:6">
      <c r="A2622" t="str">
        <f t="shared" si="40"/>
        <v/>
      </c>
      <c r="E2622" s="626"/>
      <c r="F2622" s="626"/>
    </row>
    <row r="2623" spans="1:6">
      <c r="A2623" t="str">
        <f t="shared" si="40"/>
        <v/>
      </c>
      <c r="E2623" s="626"/>
      <c r="F2623" s="626"/>
    </row>
    <row r="2624" spans="1:6">
      <c r="A2624" t="str">
        <f t="shared" si="40"/>
        <v/>
      </c>
      <c r="E2624" s="626"/>
      <c r="F2624" s="626"/>
    </row>
    <row r="2625" spans="1:6">
      <c r="A2625" t="str">
        <f t="shared" si="40"/>
        <v/>
      </c>
      <c r="E2625" s="626"/>
      <c r="F2625" s="626"/>
    </row>
    <row r="2626" spans="1:6">
      <c r="A2626" t="str">
        <f t="shared" ref="A2626:A2689" si="41">B2626&amp;E2626&amp;J2626</f>
        <v/>
      </c>
      <c r="E2626" s="626"/>
      <c r="F2626" s="626"/>
    </row>
    <row r="2627" spans="1:6">
      <c r="A2627" t="str">
        <f t="shared" si="41"/>
        <v/>
      </c>
      <c r="E2627" s="626"/>
      <c r="F2627" s="626"/>
    </row>
    <row r="2628" spans="1:6">
      <c r="A2628" t="str">
        <f t="shared" si="41"/>
        <v/>
      </c>
      <c r="E2628" s="626"/>
      <c r="F2628" s="626"/>
    </row>
    <row r="2629" spans="1:6">
      <c r="A2629" t="str">
        <f t="shared" si="41"/>
        <v/>
      </c>
      <c r="E2629" s="626"/>
      <c r="F2629" s="626"/>
    </row>
    <row r="2630" spans="1:6">
      <c r="A2630" t="str">
        <f t="shared" si="41"/>
        <v/>
      </c>
      <c r="E2630" s="626"/>
      <c r="F2630" s="626"/>
    </row>
    <row r="2631" spans="1:6">
      <c r="A2631" t="str">
        <f t="shared" si="41"/>
        <v/>
      </c>
      <c r="E2631" s="626"/>
      <c r="F2631" s="626"/>
    </row>
    <row r="2632" spans="1:6">
      <c r="A2632" t="str">
        <f t="shared" si="41"/>
        <v/>
      </c>
      <c r="E2632" s="626"/>
      <c r="F2632" s="626"/>
    </row>
    <row r="2633" spans="1:6">
      <c r="A2633" t="str">
        <f t="shared" si="41"/>
        <v/>
      </c>
      <c r="E2633" s="626"/>
      <c r="F2633" s="626"/>
    </row>
    <row r="2634" spans="1:6">
      <c r="A2634" t="str">
        <f t="shared" si="41"/>
        <v/>
      </c>
      <c r="E2634" s="626"/>
      <c r="F2634" s="626"/>
    </row>
    <row r="2635" spans="1:6">
      <c r="A2635" t="str">
        <f t="shared" si="41"/>
        <v/>
      </c>
      <c r="E2635" s="626"/>
      <c r="F2635" s="626"/>
    </row>
    <row r="2636" spans="1:6">
      <c r="A2636" t="str">
        <f t="shared" si="41"/>
        <v/>
      </c>
      <c r="E2636" s="626"/>
      <c r="F2636" s="626"/>
    </row>
    <row r="2637" spans="1:6">
      <c r="A2637" t="str">
        <f t="shared" si="41"/>
        <v/>
      </c>
      <c r="E2637" s="626"/>
      <c r="F2637" s="626"/>
    </row>
    <row r="2638" spans="1:6">
      <c r="A2638" t="str">
        <f t="shared" si="41"/>
        <v/>
      </c>
      <c r="E2638" s="626"/>
      <c r="F2638" s="626"/>
    </row>
    <row r="2639" spans="1:6">
      <c r="A2639" t="str">
        <f t="shared" si="41"/>
        <v/>
      </c>
      <c r="E2639" s="626"/>
      <c r="F2639" s="626"/>
    </row>
    <row r="2640" spans="1:6">
      <c r="A2640" t="str">
        <f t="shared" si="41"/>
        <v/>
      </c>
      <c r="E2640" s="626"/>
      <c r="F2640" s="626"/>
    </row>
    <row r="2641" spans="1:6">
      <c r="A2641" t="str">
        <f t="shared" si="41"/>
        <v/>
      </c>
      <c r="E2641" s="626"/>
      <c r="F2641" s="626"/>
    </row>
    <row r="2642" spans="1:6">
      <c r="A2642" t="str">
        <f t="shared" si="41"/>
        <v/>
      </c>
      <c r="E2642" s="626"/>
      <c r="F2642" s="626"/>
    </row>
    <row r="2643" spans="1:6">
      <c r="A2643" t="str">
        <f t="shared" si="41"/>
        <v/>
      </c>
      <c r="E2643" s="626"/>
      <c r="F2643" s="626"/>
    </row>
    <row r="2644" spans="1:6">
      <c r="A2644" t="str">
        <f t="shared" si="41"/>
        <v/>
      </c>
      <c r="E2644" s="626"/>
      <c r="F2644" s="626"/>
    </row>
    <row r="2645" spans="1:6">
      <c r="A2645" t="str">
        <f t="shared" si="41"/>
        <v/>
      </c>
      <c r="E2645" s="626"/>
      <c r="F2645" s="626"/>
    </row>
    <row r="2646" spans="1:6">
      <c r="A2646" t="str">
        <f t="shared" si="41"/>
        <v/>
      </c>
      <c r="E2646" s="626"/>
      <c r="F2646" s="626"/>
    </row>
    <row r="2647" spans="1:6">
      <c r="A2647" t="str">
        <f t="shared" si="41"/>
        <v/>
      </c>
      <c r="E2647" s="626"/>
      <c r="F2647" s="626"/>
    </row>
    <row r="2648" spans="1:6">
      <c r="A2648" t="str">
        <f t="shared" si="41"/>
        <v/>
      </c>
      <c r="E2648" s="626"/>
      <c r="F2648" s="626"/>
    </row>
    <row r="2649" spans="1:6">
      <c r="A2649" t="str">
        <f t="shared" si="41"/>
        <v/>
      </c>
      <c r="E2649" s="626"/>
      <c r="F2649" s="626"/>
    </row>
    <row r="2650" spans="1:6">
      <c r="A2650" t="str">
        <f t="shared" si="41"/>
        <v/>
      </c>
      <c r="E2650" s="626"/>
      <c r="F2650" s="626"/>
    </row>
    <row r="2651" spans="1:6">
      <c r="A2651" t="str">
        <f t="shared" si="41"/>
        <v/>
      </c>
      <c r="E2651" s="626"/>
      <c r="F2651" s="626"/>
    </row>
    <row r="2652" spans="1:6">
      <c r="A2652" t="str">
        <f t="shared" si="41"/>
        <v/>
      </c>
      <c r="E2652" s="626"/>
      <c r="F2652" s="626"/>
    </row>
    <row r="2653" spans="1:6">
      <c r="A2653" t="str">
        <f t="shared" si="41"/>
        <v/>
      </c>
      <c r="E2653" s="626"/>
      <c r="F2653" s="626"/>
    </row>
    <row r="2654" spans="1:6">
      <c r="A2654" t="str">
        <f t="shared" si="41"/>
        <v/>
      </c>
      <c r="E2654" s="626"/>
      <c r="F2654" s="626"/>
    </row>
    <row r="2655" spans="1:6">
      <c r="A2655" t="str">
        <f t="shared" si="41"/>
        <v/>
      </c>
      <c r="E2655" s="626"/>
      <c r="F2655" s="626"/>
    </row>
    <row r="2656" spans="1:6">
      <c r="A2656" t="str">
        <f t="shared" si="41"/>
        <v/>
      </c>
      <c r="E2656" s="626"/>
      <c r="F2656" s="626"/>
    </row>
    <row r="2657" spans="1:6">
      <c r="A2657" t="str">
        <f t="shared" si="41"/>
        <v/>
      </c>
      <c r="E2657" s="626"/>
      <c r="F2657" s="626"/>
    </row>
    <row r="2658" spans="1:6">
      <c r="A2658" t="str">
        <f t="shared" si="41"/>
        <v/>
      </c>
      <c r="E2658" s="626"/>
      <c r="F2658" s="626"/>
    </row>
    <row r="2659" spans="1:6">
      <c r="A2659" t="str">
        <f t="shared" si="41"/>
        <v/>
      </c>
      <c r="E2659" s="626"/>
      <c r="F2659" s="626"/>
    </row>
    <row r="2660" spans="1:6">
      <c r="A2660" t="str">
        <f t="shared" si="41"/>
        <v/>
      </c>
      <c r="E2660" s="626"/>
      <c r="F2660" s="626"/>
    </row>
    <row r="2661" spans="1:6">
      <c r="A2661" t="str">
        <f t="shared" si="41"/>
        <v/>
      </c>
      <c r="E2661" s="626"/>
      <c r="F2661" s="626"/>
    </row>
    <row r="2662" spans="1:6">
      <c r="A2662" t="str">
        <f t="shared" si="41"/>
        <v/>
      </c>
      <c r="E2662" s="626"/>
      <c r="F2662" s="626"/>
    </row>
    <row r="2663" spans="1:6">
      <c r="A2663" t="str">
        <f t="shared" si="41"/>
        <v/>
      </c>
      <c r="E2663" s="626"/>
      <c r="F2663" s="626"/>
    </row>
    <row r="2664" spans="1:6">
      <c r="A2664" t="str">
        <f t="shared" si="41"/>
        <v/>
      </c>
      <c r="E2664" s="626"/>
      <c r="F2664" s="626"/>
    </row>
    <row r="2665" spans="1:6">
      <c r="A2665" t="str">
        <f t="shared" si="41"/>
        <v/>
      </c>
      <c r="E2665" s="626"/>
      <c r="F2665" s="626"/>
    </row>
    <row r="2666" spans="1:6">
      <c r="A2666" t="str">
        <f t="shared" si="41"/>
        <v/>
      </c>
      <c r="E2666" s="626"/>
      <c r="F2666" s="626"/>
    </row>
    <row r="2667" spans="1:6">
      <c r="A2667" t="str">
        <f t="shared" si="41"/>
        <v/>
      </c>
      <c r="E2667" s="626"/>
      <c r="F2667" s="626"/>
    </row>
    <row r="2668" spans="1:6">
      <c r="A2668" t="str">
        <f t="shared" si="41"/>
        <v/>
      </c>
      <c r="E2668" s="626"/>
      <c r="F2668" s="626"/>
    </row>
    <row r="2669" spans="1:6">
      <c r="A2669" t="str">
        <f t="shared" si="41"/>
        <v/>
      </c>
      <c r="E2669" s="626"/>
      <c r="F2669" s="626"/>
    </row>
    <row r="2670" spans="1:6">
      <c r="A2670" t="str">
        <f t="shared" si="41"/>
        <v/>
      </c>
      <c r="E2670" s="626"/>
      <c r="F2670" s="626"/>
    </row>
    <row r="2671" spans="1:6">
      <c r="A2671" t="str">
        <f t="shared" si="41"/>
        <v/>
      </c>
      <c r="E2671" s="626"/>
      <c r="F2671" s="626"/>
    </row>
    <row r="2672" spans="1:6">
      <c r="A2672" t="str">
        <f t="shared" si="41"/>
        <v/>
      </c>
      <c r="E2672" s="626"/>
      <c r="F2672" s="626"/>
    </row>
    <row r="2673" spans="1:6">
      <c r="A2673" t="str">
        <f t="shared" si="41"/>
        <v/>
      </c>
      <c r="E2673" s="626"/>
      <c r="F2673" s="626"/>
    </row>
    <row r="2674" spans="1:6">
      <c r="A2674" t="str">
        <f t="shared" si="41"/>
        <v/>
      </c>
      <c r="E2674" s="626"/>
      <c r="F2674" s="626"/>
    </row>
    <row r="2675" spans="1:6">
      <c r="A2675" t="str">
        <f t="shared" si="41"/>
        <v/>
      </c>
      <c r="E2675" s="626"/>
      <c r="F2675" s="626"/>
    </row>
    <row r="2676" spans="1:6">
      <c r="A2676" t="str">
        <f t="shared" si="41"/>
        <v/>
      </c>
      <c r="E2676" s="626"/>
      <c r="F2676" s="626"/>
    </row>
    <row r="2677" spans="1:6">
      <c r="A2677" t="str">
        <f t="shared" si="41"/>
        <v/>
      </c>
      <c r="E2677" s="626"/>
      <c r="F2677" s="626"/>
    </row>
    <row r="2678" spans="1:6">
      <c r="A2678" t="str">
        <f t="shared" si="41"/>
        <v/>
      </c>
      <c r="E2678" s="626"/>
      <c r="F2678" s="626"/>
    </row>
    <row r="2679" spans="1:6">
      <c r="A2679" t="str">
        <f t="shared" si="41"/>
        <v/>
      </c>
      <c r="E2679" s="626"/>
      <c r="F2679" s="626"/>
    </row>
    <row r="2680" spans="1:6">
      <c r="A2680" t="str">
        <f t="shared" si="41"/>
        <v/>
      </c>
      <c r="E2680" s="626"/>
      <c r="F2680" s="626"/>
    </row>
    <row r="2681" spans="1:6">
      <c r="A2681" t="str">
        <f t="shared" si="41"/>
        <v/>
      </c>
      <c r="E2681" s="626"/>
      <c r="F2681" s="626"/>
    </row>
    <row r="2682" spans="1:6">
      <c r="A2682" t="str">
        <f t="shared" si="41"/>
        <v/>
      </c>
      <c r="E2682" s="626"/>
      <c r="F2682" s="626"/>
    </row>
    <row r="2683" spans="1:6">
      <c r="A2683" t="str">
        <f t="shared" si="41"/>
        <v/>
      </c>
      <c r="E2683" s="626"/>
      <c r="F2683" s="626"/>
    </row>
    <row r="2684" spans="1:6">
      <c r="A2684" t="str">
        <f t="shared" si="41"/>
        <v/>
      </c>
      <c r="E2684" s="626"/>
      <c r="F2684" s="626"/>
    </row>
    <row r="2685" spans="1:6">
      <c r="A2685" t="str">
        <f t="shared" si="41"/>
        <v/>
      </c>
      <c r="E2685" s="626"/>
      <c r="F2685" s="626"/>
    </row>
    <row r="2686" spans="1:6">
      <c r="A2686" t="str">
        <f t="shared" si="41"/>
        <v/>
      </c>
      <c r="E2686" s="626"/>
      <c r="F2686" s="626"/>
    </row>
    <row r="2687" spans="1:6">
      <c r="A2687" t="str">
        <f t="shared" si="41"/>
        <v/>
      </c>
      <c r="E2687" s="626"/>
      <c r="F2687" s="626"/>
    </row>
    <row r="2688" spans="1:6">
      <c r="A2688" t="str">
        <f t="shared" si="41"/>
        <v/>
      </c>
      <c r="E2688" s="626"/>
      <c r="F2688" s="626"/>
    </row>
    <row r="2689" spans="1:6">
      <c r="A2689" t="str">
        <f t="shared" si="41"/>
        <v/>
      </c>
      <c r="E2689" s="626"/>
      <c r="F2689" s="626"/>
    </row>
    <row r="2690" spans="1:6">
      <c r="A2690" t="str">
        <f t="shared" ref="A2690:A2753" si="42">B2690&amp;E2690&amp;J2690</f>
        <v/>
      </c>
      <c r="E2690" s="626"/>
      <c r="F2690" s="626"/>
    </row>
    <row r="2691" spans="1:6">
      <c r="A2691" t="str">
        <f t="shared" si="42"/>
        <v/>
      </c>
      <c r="E2691" s="626"/>
      <c r="F2691" s="626"/>
    </row>
    <row r="2692" spans="1:6">
      <c r="A2692" t="str">
        <f t="shared" si="42"/>
        <v/>
      </c>
      <c r="E2692" s="626"/>
      <c r="F2692" s="626"/>
    </row>
    <row r="2693" spans="1:6">
      <c r="A2693" t="str">
        <f t="shared" si="42"/>
        <v/>
      </c>
      <c r="E2693" s="626"/>
      <c r="F2693" s="626"/>
    </row>
    <row r="2694" spans="1:6">
      <c r="A2694" t="str">
        <f t="shared" si="42"/>
        <v/>
      </c>
      <c r="E2694" s="626"/>
      <c r="F2694" s="626"/>
    </row>
    <row r="2695" spans="1:6">
      <c r="A2695" t="str">
        <f t="shared" si="42"/>
        <v/>
      </c>
      <c r="E2695" s="626"/>
      <c r="F2695" s="626"/>
    </row>
    <row r="2696" spans="1:6">
      <c r="A2696" t="str">
        <f t="shared" si="42"/>
        <v/>
      </c>
      <c r="E2696" s="626"/>
      <c r="F2696" s="626"/>
    </row>
    <row r="2697" spans="1:6">
      <c r="A2697" t="str">
        <f t="shared" si="42"/>
        <v/>
      </c>
      <c r="E2697" s="626"/>
      <c r="F2697" s="626"/>
    </row>
    <row r="2698" spans="1:6">
      <c r="A2698" t="str">
        <f t="shared" si="42"/>
        <v/>
      </c>
      <c r="E2698" s="626"/>
      <c r="F2698" s="626"/>
    </row>
    <row r="2699" spans="1:6">
      <c r="A2699" t="str">
        <f t="shared" si="42"/>
        <v/>
      </c>
      <c r="E2699" s="626"/>
      <c r="F2699" s="626"/>
    </row>
    <row r="2700" spans="1:6">
      <c r="A2700" t="str">
        <f t="shared" si="42"/>
        <v/>
      </c>
      <c r="E2700" s="626"/>
      <c r="F2700" s="626"/>
    </row>
    <row r="2701" spans="1:6">
      <c r="A2701" t="str">
        <f t="shared" si="42"/>
        <v/>
      </c>
      <c r="E2701" s="626"/>
      <c r="F2701" s="626"/>
    </row>
    <row r="2702" spans="1:6">
      <c r="A2702" t="str">
        <f t="shared" si="42"/>
        <v/>
      </c>
      <c r="E2702" s="626"/>
      <c r="F2702" s="626"/>
    </row>
    <row r="2703" spans="1:6">
      <c r="A2703" t="str">
        <f t="shared" si="42"/>
        <v/>
      </c>
      <c r="E2703" s="626"/>
      <c r="F2703" s="626"/>
    </row>
    <row r="2704" spans="1:6">
      <c r="A2704" t="str">
        <f t="shared" si="42"/>
        <v/>
      </c>
      <c r="E2704" s="626"/>
      <c r="F2704" s="626"/>
    </row>
    <row r="2705" spans="1:6">
      <c r="A2705" t="str">
        <f t="shared" si="42"/>
        <v/>
      </c>
      <c r="E2705" s="626"/>
      <c r="F2705" s="626"/>
    </row>
    <row r="2706" spans="1:6">
      <c r="A2706" t="str">
        <f t="shared" si="42"/>
        <v/>
      </c>
      <c r="E2706" s="626"/>
      <c r="F2706" s="626"/>
    </row>
    <row r="2707" spans="1:6">
      <c r="A2707" t="str">
        <f t="shared" si="42"/>
        <v/>
      </c>
      <c r="E2707" s="626"/>
      <c r="F2707" s="626"/>
    </row>
    <row r="2708" spans="1:6">
      <c r="A2708" t="str">
        <f t="shared" si="42"/>
        <v/>
      </c>
      <c r="E2708" s="626"/>
      <c r="F2708" s="626"/>
    </row>
    <row r="2709" spans="1:6">
      <c r="A2709" t="str">
        <f t="shared" si="42"/>
        <v/>
      </c>
      <c r="E2709" s="626"/>
      <c r="F2709" s="626"/>
    </row>
    <row r="2710" spans="1:6">
      <c r="A2710" t="str">
        <f t="shared" si="42"/>
        <v/>
      </c>
      <c r="E2710" s="626"/>
      <c r="F2710" s="626"/>
    </row>
    <row r="2711" spans="1:6">
      <c r="A2711" t="str">
        <f t="shared" si="42"/>
        <v/>
      </c>
      <c r="E2711" s="626"/>
      <c r="F2711" s="626"/>
    </row>
    <row r="2712" spans="1:6">
      <c r="A2712" t="str">
        <f t="shared" si="42"/>
        <v/>
      </c>
      <c r="E2712" s="626"/>
      <c r="F2712" s="626"/>
    </row>
    <row r="2713" spans="1:6">
      <c r="A2713" t="str">
        <f t="shared" si="42"/>
        <v/>
      </c>
      <c r="E2713" s="626"/>
      <c r="F2713" s="626"/>
    </row>
    <row r="2714" spans="1:6">
      <c r="A2714" t="str">
        <f t="shared" si="42"/>
        <v/>
      </c>
      <c r="E2714" s="626"/>
      <c r="F2714" s="626"/>
    </row>
    <row r="2715" spans="1:6">
      <c r="A2715" t="str">
        <f t="shared" si="42"/>
        <v/>
      </c>
      <c r="E2715" s="626"/>
      <c r="F2715" s="626"/>
    </row>
    <row r="2716" spans="1:6">
      <c r="A2716" t="str">
        <f t="shared" si="42"/>
        <v/>
      </c>
      <c r="E2716" s="626"/>
      <c r="F2716" s="626"/>
    </row>
    <row r="2717" spans="1:6">
      <c r="A2717" t="str">
        <f t="shared" si="42"/>
        <v/>
      </c>
      <c r="E2717" s="626"/>
      <c r="F2717" s="626"/>
    </row>
    <row r="2718" spans="1:6">
      <c r="A2718" t="str">
        <f t="shared" si="42"/>
        <v/>
      </c>
      <c r="E2718" s="626"/>
      <c r="F2718" s="626"/>
    </row>
    <row r="2719" spans="1:6">
      <c r="A2719" t="str">
        <f t="shared" si="42"/>
        <v/>
      </c>
      <c r="E2719" s="626"/>
      <c r="F2719" s="626"/>
    </row>
    <row r="2720" spans="1:6">
      <c r="A2720" t="str">
        <f t="shared" si="42"/>
        <v/>
      </c>
      <c r="E2720" s="626"/>
      <c r="F2720" s="626"/>
    </row>
    <row r="2721" spans="1:6">
      <c r="A2721" t="str">
        <f t="shared" si="42"/>
        <v/>
      </c>
      <c r="E2721" s="626"/>
      <c r="F2721" s="626"/>
    </row>
    <row r="2722" spans="1:6">
      <c r="A2722" t="str">
        <f t="shared" si="42"/>
        <v/>
      </c>
      <c r="E2722" s="626"/>
      <c r="F2722" s="626"/>
    </row>
    <row r="2723" spans="1:6">
      <c r="A2723" t="str">
        <f t="shared" si="42"/>
        <v/>
      </c>
      <c r="E2723" s="626"/>
      <c r="F2723" s="626"/>
    </row>
    <row r="2724" spans="1:6">
      <c r="A2724" t="str">
        <f t="shared" si="42"/>
        <v/>
      </c>
      <c r="E2724" s="626"/>
      <c r="F2724" s="626"/>
    </row>
    <row r="2725" spans="1:6">
      <c r="A2725" t="str">
        <f t="shared" si="42"/>
        <v/>
      </c>
      <c r="E2725" s="626"/>
      <c r="F2725" s="626"/>
    </row>
    <row r="2726" spans="1:6">
      <c r="A2726" t="str">
        <f t="shared" si="42"/>
        <v/>
      </c>
      <c r="E2726" s="626"/>
      <c r="F2726" s="626"/>
    </row>
    <row r="2727" spans="1:6">
      <c r="A2727" t="str">
        <f t="shared" si="42"/>
        <v/>
      </c>
      <c r="E2727" s="626"/>
      <c r="F2727" s="626"/>
    </row>
    <row r="2728" spans="1:6">
      <c r="A2728" t="str">
        <f t="shared" si="42"/>
        <v/>
      </c>
      <c r="E2728" s="626"/>
      <c r="F2728" s="626"/>
    </row>
    <row r="2729" spans="1:6">
      <c r="A2729" t="str">
        <f t="shared" si="42"/>
        <v/>
      </c>
      <c r="E2729" s="626"/>
      <c r="F2729" s="626"/>
    </row>
    <row r="2730" spans="1:6">
      <c r="A2730" t="str">
        <f t="shared" si="42"/>
        <v/>
      </c>
      <c r="E2730" s="626"/>
      <c r="F2730" s="626"/>
    </row>
    <row r="2731" spans="1:6">
      <c r="A2731" t="str">
        <f t="shared" si="42"/>
        <v/>
      </c>
      <c r="E2731" s="626"/>
      <c r="F2731" s="626"/>
    </row>
    <row r="2732" spans="1:6">
      <c r="A2732" t="str">
        <f t="shared" si="42"/>
        <v/>
      </c>
      <c r="E2732" s="626"/>
      <c r="F2732" s="626"/>
    </row>
    <row r="2733" spans="1:6">
      <c r="A2733" t="str">
        <f t="shared" si="42"/>
        <v/>
      </c>
      <c r="E2733" s="626"/>
      <c r="F2733" s="626"/>
    </row>
    <row r="2734" spans="1:6">
      <c r="A2734" t="str">
        <f t="shared" si="42"/>
        <v/>
      </c>
      <c r="E2734" s="626"/>
      <c r="F2734" s="626"/>
    </row>
    <row r="2735" spans="1:6">
      <c r="A2735" t="str">
        <f t="shared" si="42"/>
        <v/>
      </c>
      <c r="E2735" s="626"/>
      <c r="F2735" s="626"/>
    </row>
    <row r="2736" spans="1:6">
      <c r="A2736" t="str">
        <f t="shared" si="42"/>
        <v/>
      </c>
      <c r="E2736" s="626"/>
      <c r="F2736" s="626"/>
    </row>
    <row r="2737" spans="1:6">
      <c r="A2737" t="str">
        <f t="shared" si="42"/>
        <v/>
      </c>
      <c r="E2737" s="626"/>
      <c r="F2737" s="626"/>
    </row>
    <row r="2738" spans="1:6">
      <c r="A2738" t="str">
        <f t="shared" si="42"/>
        <v/>
      </c>
      <c r="E2738" s="626"/>
      <c r="F2738" s="626"/>
    </row>
    <row r="2739" spans="1:6">
      <c r="A2739" t="str">
        <f t="shared" si="42"/>
        <v/>
      </c>
      <c r="E2739" s="626"/>
      <c r="F2739" s="626"/>
    </row>
    <row r="2740" spans="1:6">
      <c r="A2740" t="str">
        <f t="shared" si="42"/>
        <v/>
      </c>
      <c r="E2740" s="626"/>
      <c r="F2740" s="626"/>
    </row>
    <row r="2741" spans="1:6">
      <c r="A2741" t="str">
        <f t="shared" si="42"/>
        <v/>
      </c>
      <c r="E2741" s="626"/>
      <c r="F2741" s="626"/>
    </row>
    <row r="2742" spans="1:6">
      <c r="A2742" t="str">
        <f t="shared" si="42"/>
        <v/>
      </c>
      <c r="E2742" s="626"/>
      <c r="F2742" s="626"/>
    </row>
    <row r="2743" spans="1:6">
      <c r="A2743" t="str">
        <f t="shared" si="42"/>
        <v/>
      </c>
      <c r="E2743" s="626"/>
      <c r="F2743" s="626"/>
    </row>
    <row r="2744" spans="1:6">
      <c r="A2744" t="str">
        <f t="shared" si="42"/>
        <v/>
      </c>
      <c r="E2744" s="626"/>
      <c r="F2744" s="626"/>
    </row>
    <row r="2745" spans="1:6">
      <c r="A2745" t="str">
        <f t="shared" si="42"/>
        <v/>
      </c>
      <c r="E2745" s="626"/>
      <c r="F2745" s="626"/>
    </row>
    <row r="2746" spans="1:6">
      <c r="A2746" t="str">
        <f t="shared" si="42"/>
        <v/>
      </c>
      <c r="E2746" s="626"/>
      <c r="F2746" s="626"/>
    </row>
    <row r="2747" spans="1:6">
      <c r="A2747" t="str">
        <f t="shared" si="42"/>
        <v/>
      </c>
      <c r="E2747" s="626"/>
      <c r="F2747" s="626"/>
    </row>
    <row r="2748" spans="1:6">
      <c r="A2748" t="str">
        <f t="shared" si="42"/>
        <v/>
      </c>
      <c r="E2748" s="626"/>
      <c r="F2748" s="626"/>
    </row>
    <row r="2749" spans="1:6">
      <c r="A2749" t="str">
        <f t="shared" si="42"/>
        <v/>
      </c>
      <c r="E2749" s="626"/>
      <c r="F2749" s="626"/>
    </row>
    <row r="2750" spans="1:6">
      <c r="A2750" t="str">
        <f t="shared" si="42"/>
        <v/>
      </c>
      <c r="E2750" s="626"/>
      <c r="F2750" s="626"/>
    </row>
    <row r="2751" spans="1:6">
      <c r="A2751" t="str">
        <f t="shared" si="42"/>
        <v/>
      </c>
      <c r="E2751" s="626"/>
      <c r="F2751" s="626"/>
    </row>
    <row r="2752" spans="1:6">
      <c r="A2752" t="str">
        <f t="shared" si="42"/>
        <v/>
      </c>
      <c r="E2752" s="626"/>
      <c r="F2752" s="626"/>
    </row>
    <row r="2753" spans="1:6">
      <c r="A2753" t="str">
        <f t="shared" si="42"/>
        <v/>
      </c>
      <c r="E2753" s="626"/>
      <c r="F2753" s="626"/>
    </row>
    <row r="2754" spans="1:6">
      <c r="A2754" t="str">
        <f t="shared" ref="A2754:A2817" si="43">B2754&amp;E2754&amp;J2754</f>
        <v/>
      </c>
      <c r="E2754" s="626"/>
      <c r="F2754" s="626"/>
    </row>
    <row r="2755" spans="1:6">
      <c r="A2755" t="str">
        <f t="shared" si="43"/>
        <v/>
      </c>
      <c r="E2755" s="626"/>
      <c r="F2755" s="626"/>
    </row>
    <row r="2756" spans="1:6">
      <c r="A2756" t="str">
        <f t="shared" si="43"/>
        <v/>
      </c>
      <c r="E2756" s="626"/>
      <c r="F2756" s="626"/>
    </row>
    <row r="2757" spans="1:6">
      <c r="A2757" t="str">
        <f t="shared" si="43"/>
        <v/>
      </c>
      <c r="E2757" s="626"/>
      <c r="F2757" s="626"/>
    </row>
    <row r="2758" spans="1:6">
      <c r="A2758" t="str">
        <f t="shared" si="43"/>
        <v/>
      </c>
      <c r="E2758" s="626"/>
      <c r="F2758" s="626"/>
    </row>
    <row r="2759" spans="1:6">
      <c r="A2759" t="str">
        <f t="shared" si="43"/>
        <v/>
      </c>
      <c r="E2759" s="626"/>
      <c r="F2759" s="626"/>
    </row>
    <row r="2760" spans="1:6">
      <c r="A2760" t="str">
        <f t="shared" si="43"/>
        <v/>
      </c>
      <c r="E2760" s="626"/>
      <c r="F2760" s="626"/>
    </row>
    <row r="2761" spans="1:6">
      <c r="A2761" t="str">
        <f t="shared" si="43"/>
        <v/>
      </c>
      <c r="E2761" s="626"/>
      <c r="F2761" s="626"/>
    </row>
    <row r="2762" spans="1:6">
      <c r="A2762" t="str">
        <f t="shared" si="43"/>
        <v/>
      </c>
      <c r="E2762" s="626"/>
      <c r="F2762" s="626"/>
    </row>
    <row r="2763" spans="1:6">
      <c r="A2763" t="str">
        <f t="shared" si="43"/>
        <v/>
      </c>
      <c r="E2763" s="626"/>
      <c r="F2763" s="626"/>
    </row>
    <row r="2764" spans="1:6">
      <c r="A2764" t="str">
        <f t="shared" si="43"/>
        <v/>
      </c>
      <c r="E2764" s="626"/>
      <c r="F2764" s="626"/>
    </row>
    <row r="2765" spans="1:6">
      <c r="A2765" t="str">
        <f t="shared" si="43"/>
        <v/>
      </c>
      <c r="E2765" s="626"/>
      <c r="F2765" s="626"/>
    </row>
    <row r="2766" spans="1:6">
      <c r="A2766" t="str">
        <f t="shared" si="43"/>
        <v/>
      </c>
      <c r="E2766" s="626"/>
      <c r="F2766" s="626"/>
    </row>
    <row r="2767" spans="1:6">
      <c r="A2767" t="str">
        <f t="shared" si="43"/>
        <v/>
      </c>
      <c r="E2767" s="626"/>
      <c r="F2767" s="626"/>
    </row>
    <row r="2768" spans="1:6">
      <c r="A2768" t="str">
        <f t="shared" si="43"/>
        <v/>
      </c>
      <c r="E2768" s="626"/>
      <c r="F2768" s="626"/>
    </row>
    <row r="2769" spans="1:6">
      <c r="A2769" t="str">
        <f t="shared" si="43"/>
        <v/>
      </c>
      <c r="E2769" s="626"/>
      <c r="F2769" s="626"/>
    </row>
    <row r="2770" spans="1:6">
      <c r="A2770" t="str">
        <f t="shared" si="43"/>
        <v/>
      </c>
      <c r="E2770" s="626"/>
      <c r="F2770" s="626"/>
    </row>
    <row r="2771" spans="1:6">
      <c r="A2771" t="str">
        <f t="shared" si="43"/>
        <v/>
      </c>
      <c r="E2771" s="626"/>
      <c r="F2771" s="626"/>
    </row>
    <row r="2772" spans="1:6">
      <c r="A2772" t="str">
        <f t="shared" si="43"/>
        <v/>
      </c>
      <c r="E2772" s="626"/>
      <c r="F2772" s="626"/>
    </row>
    <row r="2773" spans="1:6">
      <c r="A2773" t="str">
        <f t="shared" si="43"/>
        <v/>
      </c>
      <c r="E2773" s="626"/>
      <c r="F2773" s="626"/>
    </row>
    <row r="2774" spans="1:6">
      <c r="A2774" t="str">
        <f t="shared" si="43"/>
        <v/>
      </c>
      <c r="E2774" s="626"/>
      <c r="F2774" s="626"/>
    </row>
    <row r="2775" spans="1:6">
      <c r="A2775" t="str">
        <f t="shared" si="43"/>
        <v/>
      </c>
      <c r="E2775" s="626"/>
      <c r="F2775" s="626"/>
    </row>
    <row r="2776" spans="1:6">
      <c r="A2776" t="str">
        <f t="shared" si="43"/>
        <v/>
      </c>
      <c r="E2776" s="626"/>
      <c r="F2776" s="626"/>
    </row>
    <row r="2777" spans="1:6">
      <c r="A2777" t="str">
        <f t="shared" si="43"/>
        <v/>
      </c>
      <c r="E2777" s="626"/>
      <c r="F2777" s="626"/>
    </row>
    <row r="2778" spans="1:6">
      <c r="A2778" t="str">
        <f t="shared" si="43"/>
        <v/>
      </c>
      <c r="E2778" s="626"/>
      <c r="F2778" s="626"/>
    </row>
    <row r="2779" spans="1:6">
      <c r="A2779" t="str">
        <f t="shared" si="43"/>
        <v/>
      </c>
      <c r="E2779" s="626"/>
      <c r="F2779" s="626"/>
    </row>
    <row r="2780" spans="1:6">
      <c r="A2780" t="str">
        <f t="shared" si="43"/>
        <v/>
      </c>
      <c r="E2780" s="626"/>
      <c r="F2780" s="626"/>
    </row>
    <row r="2781" spans="1:6">
      <c r="A2781" t="str">
        <f t="shared" si="43"/>
        <v/>
      </c>
      <c r="E2781" s="626"/>
      <c r="F2781" s="626"/>
    </row>
    <row r="2782" spans="1:6">
      <c r="A2782" t="str">
        <f t="shared" si="43"/>
        <v/>
      </c>
      <c r="E2782" s="626"/>
      <c r="F2782" s="626"/>
    </row>
    <row r="2783" spans="1:6">
      <c r="A2783" t="str">
        <f t="shared" si="43"/>
        <v/>
      </c>
      <c r="E2783" s="626"/>
      <c r="F2783" s="626"/>
    </row>
    <row r="2784" spans="1:6">
      <c r="A2784" t="str">
        <f t="shared" si="43"/>
        <v/>
      </c>
      <c r="E2784" s="626"/>
      <c r="F2784" s="626"/>
    </row>
    <row r="2785" spans="1:6">
      <c r="A2785" t="str">
        <f t="shared" si="43"/>
        <v/>
      </c>
      <c r="E2785" s="626"/>
      <c r="F2785" s="626"/>
    </row>
    <row r="2786" spans="1:6">
      <c r="A2786" t="str">
        <f t="shared" si="43"/>
        <v/>
      </c>
      <c r="E2786" s="626"/>
      <c r="F2786" s="626"/>
    </row>
    <row r="2787" spans="1:6">
      <c r="A2787" t="str">
        <f t="shared" si="43"/>
        <v/>
      </c>
      <c r="E2787" s="626"/>
      <c r="F2787" s="626"/>
    </row>
    <row r="2788" spans="1:6">
      <c r="A2788" t="str">
        <f t="shared" si="43"/>
        <v/>
      </c>
      <c r="E2788" s="626"/>
      <c r="F2788" s="626"/>
    </row>
    <row r="2789" spans="1:6">
      <c r="A2789" t="str">
        <f t="shared" si="43"/>
        <v/>
      </c>
      <c r="E2789" s="626"/>
      <c r="F2789" s="626"/>
    </row>
    <row r="2790" spans="1:6">
      <c r="A2790" t="str">
        <f t="shared" si="43"/>
        <v/>
      </c>
      <c r="E2790" s="626"/>
      <c r="F2790" s="626"/>
    </row>
    <row r="2791" spans="1:6">
      <c r="A2791" t="str">
        <f t="shared" si="43"/>
        <v/>
      </c>
      <c r="E2791" s="626"/>
      <c r="F2791" s="626"/>
    </row>
    <row r="2792" spans="1:6">
      <c r="A2792" t="str">
        <f t="shared" si="43"/>
        <v/>
      </c>
      <c r="E2792" s="626"/>
      <c r="F2792" s="626"/>
    </row>
    <row r="2793" spans="1:6">
      <c r="A2793" t="str">
        <f t="shared" si="43"/>
        <v/>
      </c>
      <c r="E2793" s="626"/>
      <c r="F2793" s="626"/>
    </row>
    <row r="2794" spans="1:6">
      <c r="A2794" t="str">
        <f t="shared" si="43"/>
        <v/>
      </c>
      <c r="E2794" s="626"/>
      <c r="F2794" s="626"/>
    </row>
    <row r="2795" spans="1:6">
      <c r="A2795" t="str">
        <f t="shared" si="43"/>
        <v/>
      </c>
      <c r="E2795" s="626"/>
      <c r="F2795" s="626"/>
    </row>
    <row r="2796" spans="1:6">
      <c r="A2796" t="str">
        <f t="shared" si="43"/>
        <v/>
      </c>
      <c r="E2796" s="626"/>
      <c r="F2796" s="626"/>
    </row>
    <row r="2797" spans="1:6">
      <c r="A2797" t="str">
        <f t="shared" si="43"/>
        <v/>
      </c>
      <c r="E2797" s="626"/>
      <c r="F2797" s="626"/>
    </row>
    <row r="2798" spans="1:6">
      <c r="A2798" t="str">
        <f t="shared" si="43"/>
        <v/>
      </c>
      <c r="E2798" s="626"/>
      <c r="F2798" s="626"/>
    </row>
    <row r="2799" spans="1:6">
      <c r="A2799" t="str">
        <f t="shared" si="43"/>
        <v/>
      </c>
      <c r="E2799" s="626"/>
      <c r="F2799" s="626"/>
    </row>
    <row r="2800" spans="1:6">
      <c r="A2800" t="str">
        <f t="shared" si="43"/>
        <v/>
      </c>
      <c r="E2800" s="626"/>
      <c r="F2800" s="626"/>
    </row>
    <row r="2801" spans="1:6">
      <c r="A2801" t="str">
        <f t="shared" si="43"/>
        <v/>
      </c>
      <c r="E2801" s="626"/>
      <c r="F2801" s="626"/>
    </row>
    <row r="2802" spans="1:6">
      <c r="A2802" t="str">
        <f t="shared" si="43"/>
        <v/>
      </c>
      <c r="E2802" s="626"/>
      <c r="F2802" s="626"/>
    </row>
    <row r="2803" spans="1:6">
      <c r="A2803" t="str">
        <f t="shared" si="43"/>
        <v/>
      </c>
      <c r="E2803" s="626"/>
      <c r="F2803" s="626"/>
    </row>
    <row r="2804" spans="1:6">
      <c r="A2804" t="str">
        <f t="shared" si="43"/>
        <v/>
      </c>
      <c r="E2804" s="626"/>
      <c r="F2804" s="626"/>
    </row>
    <row r="2805" spans="1:6">
      <c r="A2805" t="str">
        <f t="shared" si="43"/>
        <v/>
      </c>
      <c r="E2805" s="626"/>
      <c r="F2805" s="626"/>
    </row>
    <row r="2806" spans="1:6">
      <c r="A2806" t="str">
        <f t="shared" si="43"/>
        <v/>
      </c>
      <c r="E2806" s="626"/>
      <c r="F2806" s="626"/>
    </row>
    <row r="2807" spans="1:6">
      <c r="A2807" t="str">
        <f t="shared" si="43"/>
        <v/>
      </c>
      <c r="E2807" s="626"/>
      <c r="F2807" s="626"/>
    </row>
    <row r="2808" spans="1:6">
      <c r="A2808" t="str">
        <f t="shared" si="43"/>
        <v/>
      </c>
      <c r="E2808" s="626"/>
      <c r="F2808" s="626"/>
    </row>
    <row r="2809" spans="1:6">
      <c r="A2809" t="str">
        <f t="shared" si="43"/>
        <v/>
      </c>
      <c r="E2809" s="626"/>
      <c r="F2809" s="626"/>
    </row>
    <row r="2810" spans="1:6">
      <c r="A2810" t="str">
        <f t="shared" si="43"/>
        <v/>
      </c>
      <c r="E2810" s="626"/>
      <c r="F2810" s="626"/>
    </row>
    <row r="2811" spans="1:6">
      <c r="A2811" t="str">
        <f t="shared" si="43"/>
        <v/>
      </c>
      <c r="E2811" s="626"/>
      <c r="F2811" s="626"/>
    </row>
    <row r="2812" spans="1:6">
      <c r="A2812" t="str">
        <f t="shared" si="43"/>
        <v/>
      </c>
      <c r="E2812" s="626"/>
      <c r="F2812" s="626"/>
    </row>
    <row r="2813" spans="1:6">
      <c r="A2813" t="str">
        <f t="shared" si="43"/>
        <v/>
      </c>
      <c r="E2813" s="626"/>
      <c r="F2813" s="626"/>
    </row>
    <row r="2814" spans="1:6">
      <c r="A2814" t="str">
        <f t="shared" si="43"/>
        <v/>
      </c>
      <c r="E2814" s="626"/>
      <c r="F2814" s="626"/>
    </row>
    <row r="2815" spans="1:6">
      <c r="A2815" t="str">
        <f t="shared" si="43"/>
        <v/>
      </c>
      <c r="E2815" s="626"/>
      <c r="F2815" s="626"/>
    </row>
    <row r="2816" spans="1:6">
      <c r="A2816" t="str">
        <f t="shared" si="43"/>
        <v/>
      </c>
      <c r="E2816" s="626"/>
      <c r="F2816" s="626"/>
    </row>
    <row r="2817" spans="1:6">
      <c r="A2817" t="str">
        <f t="shared" si="43"/>
        <v/>
      </c>
      <c r="E2817" s="626"/>
      <c r="F2817" s="626"/>
    </row>
    <row r="2818" spans="1:6">
      <c r="A2818" t="str">
        <f t="shared" ref="A2818:A2881" si="44">B2818&amp;E2818&amp;J2818</f>
        <v/>
      </c>
      <c r="E2818" s="626"/>
      <c r="F2818" s="626"/>
    </row>
    <row r="2819" spans="1:6">
      <c r="A2819" t="str">
        <f t="shared" si="44"/>
        <v/>
      </c>
      <c r="E2819" s="626"/>
      <c r="F2819" s="626"/>
    </row>
    <row r="2820" spans="1:6">
      <c r="A2820" t="str">
        <f t="shared" si="44"/>
        <v/>
      </c>
      <c r="E2820" s="626"/>
      <c r="F2820" s="626"/>
    </row>
    <row r="2821" spans="1:6">
      <c r="A2821" t="str">
        <f t="shared" si="44"/>
        <v/>
      </c>
      <c r="E2821" s="626"/>
      <c r="F2821" s="626"/>
    </row>
    <row r="2822" spans="1:6">
      <c r="A2822" t="str">
        <f t="shared" si="44"/>
        <v/>
      </c>
      <c r="E2822" s="626"/>
      <c r="F2822" s="626"/>
    </row>
    <row r="2823" spans="1:6">
      <c r="A2823" t="str">
        <f t="shared" si="44"/>
        <v/>
      </c>
      <c r="E2823" s="626"/>
      <c r="F2823" s="626"/>
    </row>
    <row r="2824" spans="1:6">
      <c r="A2824" t="str">
        <f t="shared" si="44"/>
        <v/>
      </c>
      <c r="E2824" s="626"/>
      <c r="F2824" s="626"/>
    </row>
    <row r="2825" spans="1:6">
      <c r="A2825" t="str">
        <f t="shared" si="44"/>
        <v/>
      </c>
      <c r="E2825" s="626"/>
      <c r="F2825" s="626"/>
    </row>
    <row r="2826" spans="1:6">
      <c r="A2826" t="str">
        <f t="shared" si="44"/>
        <v/>
      </c>
      <c r="E2826" s="626"/>
      <c r="F2826" s="626"/>
    </row>
    <row r="2827" spans="1:6">
      <c r="A2827" t="str">
        <f t="shared" si="44"/>
        <v/>
      </c>
      <c r="E2827" s="626"/>
      <c r="F2827" s="626"/>
    </row>
    <row r="2828" spans="1:6">
      <c r="A2828" t="str">
        <f t="shared" si="44"/>
        <v/>
      </c>
      <c r="E2828" s="626"/>
      <c r="F2828" s="626"/>
    </row>
    <row r="2829" spans="1:6">
      <c r="A2829" t="str">
        <f t="shared" si="44"/>
        <v/>
      </c>
      <c r="E2829" s="626"/>
      <c r="F2829" s="626"/>
    </row>
    <row r="2830" spans="1:6">
      <c r="A2830" t="str">
        <f t="shared" si="44"/>
        <v/>
      </c>
      <c r="E2830" s="626"/>
      <c r="F2830" s="626"/>
    </row>
    <row r="2831" spans="1:6">
      <c r="A2831" t="str">
        <f t="shared" si="44"/>
        <v/>
      </c>
      <c r="E2831" s="626"/>
      <c r="F2831" s="626"/>
    </row>
    <row r="2832" spans="1:6">
      <c r="A2832" t="str">
        <f t="shared" si="44"/>
        <v/>
      </c>
      <c r="E2832" s="626"/>
      <c r="F2832" s="626"/>
    </row>
    <row r="2833" spans="1:6">
      <c r="A2833" t="str">
        <f t="shared" si="44"/>
        <v/>
      </c>
      <c r="E2833" s="626"/>
      <c r="F2833" s="626"/>
    </row>
    <row r="2834" spans="1:6">
      <c r="A2834" t="str">
        <f t="shared" si="44"/>
        <v/>
      </c>
      <c r="E2834" s="626"/>
      <c r="F2834" s="626"/>
    </row>
    <row r="2835" spans="1:6">
      <c r="A2835" t="str">
        <f t="shared" si="44"/>
        <v/>
      </c>
      <c r="E2835" s="626"/>
      <c r="F2835" s="626"/>
    </row>
    <row r="2836" spans="1:6">
      <c r="A2836" t="str">
        <f t="shared" si="44"/>
        <v/>
      </c>
      <c r="E2836" s="626"/>
      <c r="F2836" s="626"/>
    </row>
    <row r="2837" spans="1:6">
      <c r="A2837" t="str">
        <f t="shared" si="44"/>
        <v/>
      </c>
      <c r="E2837" s="626"/>
      <c r="F2837" s="626"/>
    </row>
    <row r="2838" spans="1:6">
      <c r="A2838" t="str">
        <f t="shared" si="44"/>
        <v/>
      </c>
      <c r="E2838" s="626"/>
      <c r="F2838" s="626"/>
    </row>
    <row r="2839" spans="1:6">
      <c r="A2839" t="str">
        <f t="shared" si="44"/>
        <v/>
      </c>
      <c r="E2839" s="626"/>
      <c r="F2839" s="626"/>
    </row>
    <row r="2840" spans="1:6">
      <c r="A2840" t="str">
        <f t="shared" si="44"/>
        <v/>
      </c>
      <c r="E2840" s="626"/>
      <c r="F2840" s="626"/>
    </row>
    <row r="2841" spans="1:6">
      <c r="A2841" t="str">
        <f t="shared" si="44"/>
        <v/>
      </c>
      <c r="E2841" s="626"/>
      <c r="F2841" s="626"/>
    </row>
    <row r="2842" spans="1:6">
      <c r="A2842" t="str">
        <f t="shared" si="44"/>
        <v/>
      </c>
      <c r="E2842" s="626"/>
      <c r="F2842" s="626"/>
    </row>
    <row r="2843" spans="1:6">
      <c r="A2843" t="str">
        <f t="shared" si="44"/>
        <v/>
      </c>
      <c r="E2843" s="626"/>
      <c r="F2843" s="626"/>
    </row>
    <row r="2844" spans="1:6">
      <c r="A2844" t="str">
        <f t="shared" si="44"/>
        <v/>
      </c>
      <c r="E2844" s="626"/>
      <c r="F2844" s="626"/>
    </row>
    <row r="2845" spans="1:6">
      <c r="A2845" t="str">
        <f t="shared" si="44"/>
        <v/>
      </c>
      <c r="E2845" s="626"/>
      <c r="F2845" s="626"/>
    </row>
    <row r="2846" spans="1:6">
      <c r="A2846" t="str">
        <f t="shared" si="44"/>
        <v/>
      </c>
      <c r="E2846" s="626"/>
      <c r="F2846" s="626"/>
    </row>
    <row r="2847" spans="1:6">
      <c r="A2847" t="str">
        <f t="shared" si="44"/>
        <v/>
      </c>
      <c r="E2847" s="626"/>
      <c r="F2847" s="626"/>
    </row>
    <row r="2848" spans="1:6">
      <c r="A2848" t="str">
        <f t="shared" si="44"/>
        <v/>
      </c>
      <c r="E2848" s="626"/>
      <c r="F2848" s="626"/>
    </row>
    <row r="2849" spans="1:6">
      <c r="A2849" t="str">
        <f t="shared" si="44"/>
        <v/>
      </c>
      <c r="E2849" s="626"/>
      <c r="F2849" s="626"/>
    </row>
    <row r="2850" spans="1:6">
      <c r="A2850" t="str">
        <f t="shared" si="44"/>
        <v/>
      </c>
      <c r="E2850" s="626"/>
      <c r="F2850" s="626"/>
    </row>
    <row r="2851" spans="1:6">
      <c r="A2851" t="str">
        <f t="shared" si="44"/>
        <v/>
      </c>
      <c r="E2851" s="626"/>
      <c r="F2851" s="626"/>
    </row>
    <row r="2852" spans="1:6">
      <c r="A2852" t="str">
        <f t="shared" si="44"/>
        <v/>
      </c>
      <c r="E2852" s="626"/>
      <c r="F2852" s="626"/>
    </row>
    <row r="2853" spans="1:6">
      <c r="A2853" t="str">
        <f t="shared" si="44"/>
        <v/>
      </c>
      <c r="E2853" s="626"/>
      <c r="F2853" s="626"/>
    </row>
    <row r="2854" spans="1:6">
      <c r="A2854" t="str">
        <f t="shared" si="44"/>
        <v/>
      </c>
      <c r="E2854" s="626"/>
      <c r="F2854" s="626"/>
    </row>
    <row r="2855" spans="1:6">
      <c r="A2855" t="str">
        <f t="shared" si="44"/>
        <v/>
      </c>
      <c r="E2855" s="626"/>
      <c r="F2855" s="626"/>
    </row>
    <row r="2856" spans="1:6">
      <c r="A2856" t="str">
        <f t="shared" si="44"/>
        <v/>
      </c>
      <c r="E2856" s="626"/>
      <c r="F2856" s="626"/>
    </row>
    <row r="2857" spans="1:6">
      <c r="A2857" t="str">
        <f t="shared" si="44"/>
        <v/>
      </c>
      <c r="E2857" s="626"/>
      <c r="F2857" s="626"/>
    </row>
    <row r="2858" spans="1:6">
      <c r="A2858" t="str">
        <f t="shared" si="44"/>
        <v/>
      </c>
      <c r="E2858" s="626"/>
      <c r="F2858" s="626"/>
    </row>
    <row r="2859" spans="1:6">
      <c r="A2859" t="str">
        <f t="shared" si="44"/>
        <v/>
      </c>
      <c r="E2859" s="626"/>
      <c r="F2859" s="626"/>
    </row>
    <row r="2860" spans="1:6">
      <c r="A2860" t="str">
        <f t="shared" si="44"/>
        <v/>
      </c>
      <c r="E2860" s="626"/>
      <c r="F2860" s="626"/>
    </row>
    <row r="2861" spans="1:6">
      <c r="A2861" t="str">
        <f t="shared" si="44"/>
        <v/>
      </c>
      <c r="E2861" s="626"/>
      <c r="F2861" s="626"/>
    </row>
    <row r="2862" spans="1:6">
      <c r="A2862" t="str">
        <f t="shared" si="44"/>
        <v/>
      </c>
      <c r="E2862" s="626"/>
      <c r="F2862" s="626"/>
    </row>
    <row r="2863" spans="1:6">
      <c r="A2863" t="str">
        <f t="shared" si="44"/>
        <v/>
      </c>
      <c r="E2863" s="626"/>
      <c r="F2863" s="626"/>
    </row>
    <row r="2864" spans="1:6">
      <c r="A2864" t="str">
        <f t="shared" si="44"/>
        <v/>
      </c>
      <c r="E2864" s="626"/>
      <c r="F2864" s="626"/>
    </row>
    <row r="2865" spans="1:6">
      <c r="A2865" t="str">
        <f t="shared" si="44"/>
        <v/>
      </c>
      <c r="E2865" s="626"/>
      <c r="F2865" s="626"/>
    </row>
    <row r="2866" spans="1:6">
      <c r="A2866" t="str">
        <f t="shared" si="44"/>
        <v/>
      </c>
      <c r="E2866" s="626"/>
      <c r="F2866" s="626"/>
    </row>
    <row r="2867" spans="1:6">
      <c r="A2867" t="str">
        <f t="shared" si="44"/>
        <v/>
      </c>
      <c r="E2867" s="626"/>
      <c r="F2867" s="626"/>
    </row>
    <row r="2868" spans="1:6">
      <c r="A2868" t="str">
        <f t="shared" si="44"/>
        <v/>
      </c>
      <c r="E2868" s="626"/>
      <c r="F2868" s="626"/>
    </row>
    <row r="2869" spans="1:6">
      <c r="A2869" t="str">
        <f t="shared" si="44"/>
        <v/>
      </c>
      <c r="E2869" s="626"/>
      <c r="F2869" s="626"/>
    </row>
    <row r="2870" spans="1:6">
      <c r="A2870" t="str">
        <f t="shared" si="44"/>
        <v/>
      </c>
      <c r="E2870" s="626"/>
      <c r="F2870" s="626"/>
    </row>
    <row r="2871" spans="1:6">
      <c r="A2871" t="str">
        <f t="shared" si="44"/>
        <v/>
      </c>
      <c r="E2871" s="626"/>
      <c r="F2871" s="626"/>
    </row>
    <row r="2872" spans="1:6">
      <c r="A2872" t="str">
        <f t="shared" si="44"/>
        <v/>
      </c>
      <c r="E2872" s="626"/>
      <c r="F2872" s="626"/>
    </row>
    <row r="2873" spans="1:6">
      <c r="A2873" t="str">
        <f t="shared" si="44"/>
        <v/>
      </c>
      <c r="E2873" s="626"/>
      <c r="F2873" s="626"/>
    </row>
    <row r="2874" spans="1:6">
      <c r="A2874" t="str">
        <f t="shared" si="44"/>
        <v/>
      </c>
      <c r="E2874" s="626"/>
      <c r="F2874" s="626"/>
    </row>
    <row r="2875" spans="1:6">
      <c r="A2875" t="str">
        <f t="shared" si="44"/>
        <v/>
      </c>
      <c r="E2875" s="626"/>
      <c r="F2875" s="626"/>
    </row>
    <row r="2876" spans="1:6">
      <c r="A2876" t="str">
        <f t="shared" si="44"/>
        <v/>
      </c>
      <c r="E2876" s="626"/>
      <c r="F2876" s="626"/>
    </row>
    <row r="2877" spans="1:6">
      <c r="A2877" t="str">
        <f t="shared" si="44"/>
        <v/>
      </c>
      <c r="E2877" s="626"/>
      <c r="F2877" s="626"/>
    </row>
    <row r="2878" spans="1:6">
      <c r="A2878" t="str">
        <f t="shared" si="44"/>
        <v/>
      </c>
      <c r="E2878" s="626"/>
      <c r="F2878" s="626"/>
    </row>
    <row r="2879" spans="1:6">
      <c r="A2879" t="str">
        <f t="shared" si="44"/>
        <v/>
      </c>
      <c r="E2879" s="626"/>
      <c r="F2879" s="626"/>
    </row>
    <row r="2880" spans="1:6">
      <c r="A2880" t="str">
        <f t="shared" si="44"/>
        <v/>
      </c>
      <c r="E2880" s="626"/>
      <c r="F2880" s="626"/>
    </row>
    <row r="2881" spans="1:6">
      <c r="A2881" t="str">
        <f t="shared" si="44"/>
        <v/>
      </c>
      <c r="E2881" s="626"/>
      <c r="F2881" s="626"/>
    </row>
    <row r="2882" spans="1:6">
      <c r="A2882" t="str">
        <f t="shared" ref="A2882:A2945" si="45">B2882&amp;E2882&amp;J2882</f>
        <v/>
      </c>
      <c r="E2882" s="626"/>
      <c r="F2882" s="626"/>
    </row>
    <row r="2883" spans="1:6">
      <c r="A2883" t="str">
        <f t="shared" si="45"/>
        <v/>
      </c>
      <c r="E2883" s="626"/>
      <c r="F2883" s="626"/>
    </row>
    <row r="2884" spans="1:6">
      <c r="A2884" t="str">
        <f t="shared" si="45"/>
        <v/>
      </c>
      <c r="E2884" s="626"/>
      <c r="F2884" s="626"/>
    </row>
    <row r="2885" spans="1:6">
      <c r="A2885" t="str">
        <f t="shared" si="45"/>
        <v/>
      </c>
      <c r="E2885" s="626"/>
      <c r="F2885" s="626"/>
    </row>
    <row r="2886" spans="1:6">
      <c r="A2886" t="str">
        <f t="shared" si="45"/>
        <v/>
      </c>
      <c r="E2886" s="626"/>
      <c r="F2886" s="626"/>
    </row>
    <row r="2887" spans="1:6">
      <c r="A2887" t="str">
        <f t="shared" si="45"/>
        <v/>
      </c>
      <c r="E2887" s="626"/>
      <c r="F2887" s="626"/>
    </row>
    <row r="2888" spans="1:6">
      <c r="A2888" t="str">
        <f t="shared" si="45"/>
        <v/>
      </c>
      <c r="E2888" s="626"/>
      <c r="F2888" s="626"/>
    </row>
    <row r="2889" spans="1:6">
      <c r="A2889" t="str">
        <f t="shared" si="45"/>
        <v/>
      </c>
      <c r="E2889" s="626"/>
      <c r="F2889" s="626"/>
    </row>
    <row r="2890" spans="1:6">
      <c r="A2890" t="str">
        <f t="shared" si="45"/>
        <v/>
      </c>
      <c r="E2890" s="626"/>
      <c r="F2890" s="626"/>
    </row>
    <row r="2891" spans="1:6">
      <c r="A2891" t="str">
        <f t="shared" si="45"/>
        <v/>
      </c>
      <c r="E2891" s="626"/>
      <c r="F2891" s="626"/>
    </row>
    <row r="2892" spans="1:6">
      <c r="A2892" t="str">
        <f t="shared" si="45"/>
        <v/>
      </c>
      <c r="E2892" s="626"/>
      <c r="F2892" s="626"/>
    </row>
    <row r="2893" spans="1:6">
      <c r="A2893" t="str">
        <f t="shared" si="45"/>
        <v/>
      </c>
      <c r="E2893" s="626"/>
      <c r="F2893" s="626"/>
    </row>
    <row r="2894" spans="1:6">
      <c r="A2894" t="str">
        <f t="shared" si="45"/>
        <v/>
      </c>
      <c r="E2894" s="626"/>
      <c r="F2894" s="626"/>
    </row>
    <row r="2895" spans="1:6">
      <c r="A2895" t="str">
        <f t="shared" si="45"/>
        <v/>
      </c>
      <c r="E2895" s="626"/>
      <c r="F2895" s="626"/>
    </row>
    <row r="2896" spans="1:6">
      <c r="A2896" t="str">
        <f t="shared" si="45"/>
        <v/>
      </c>
      <c r="E2896" s="626"/>
      <c r="F2896" s="626"/>
    </row>
    <row r="2897" spans="1:6">
      <c r="A2897" t="str">
        <f t="shared" si="45"/>
        <v/>
      </c>
      <c r="E2897" s="626"/>
      <c r="F2897" s="626"/>
    </row>
    <row r="2898" spans="1:6">
      <c r="A2898" t="str">
        <f t="shared" si="45"/>
        <v/>
      </c>
      <c r="E2898" s="626"/>
      <c r="F2898" s="626"/>
    </row>
    <row r="2899" spans="1:6">
      <c r="A2899" t="str">
        <f t="shared" si="45"/>
        <v/>
      </c>
      <c r="E2899" s="626"/>
      <c r="F2899" s="626"/>
    </row>
    <row r="2900" spans="1:6">
      <c r="A2900" t="str">
        <f t="shared" si="45"/>
        <v/>
      </c>
      <c r="E2900" s="626"/>
      <c r="F2900" s="626"/>
    </row>
    <row r="2901" spans="1:6">
      <c r="A2901" t="str">
        <f t="shared" si="45"/>
        <v/>
      </c>
      <c r="E2901" s="626"/>
      <c r="F2901" s="626"/>
    </row>
    <row r="2902" spans="1:6">
      <c r="A2902" t="str">
        <f t="shared" si="45"/>
        <v/>
      </c>
      <c r="E2902" s="626"/>
      <c r="F2902" s="626"/>
    </row>
    <row r="2903" spans="1:6">
      <c r="A2903" t="str">
        <f t="shared" si="45"/>
        <v/>
      </c>
      <c r="E2903" s="626"/>
      <c r="F2903" s="626"/>
    </row>
    <row r="2904" spans="1:6">
      <c r="A2904" t="str">
        <f t="shared" si="45"/>
        <v/>
      </c>
      <c r="E2904" s="626"/>
      <c r="F2904" s="626"/>
    </row>
    <row r="2905" spans="1:6">
      <c r="A2905" t="str">
        <f t="shared" si="45"/>
        <v/>
      </c>
      <c r="E2905" s="626"/>
      <c r="F2905" s="626"/>
    </row>
    <row r="2906" spans="1:6">
      <c r="A2906" t="str">
        <f t="shared" si="45"/>
        <v/>
      </c>
      <c r="E2906" s="626"/>
      <c r="F2906" s="626"/>
    </row>
    <row r="2907" spans="1:6">
      <c r="A2907" t="str">
        <f t="shared" si="45"/>
        <v/>
      </c>
      <c r="E2907" s="626"/>
      <c r="F2907" s="626"/>
    </row>
    <row r="2908" spans="1:6">
      <c r="A2908" t="str">
        <f t="shared" si="45"/>
        <v/>
      </c>
      <c r="E2908" s="626"/>
      <c r="F2908" s="626"/>
    </row>
    <row r="2909" spans="1:6">
      <c r="A2909" t="str">
        <f t="shared" si="45"/>
        <v/>
      </c>
      <c r="E2909" s="626"/>
      <c r="F2909" s="626"/>
    </row>
    <row r="2910" spans="1:6">
      <c r="A2910" t="str">
        <f t="shared" si="45"/>
        <v/>
      </c>
      <c r="E2910" s="626"/>
      <c r="F2910" s="626"/>
    </row>
    <row r="2911" spans="1:6">
      <c r="A2911" t="str">
        <f t="shared" si="45"/>
        <v/>
      </c>
      <c r="E2911" s="626"/>
      <c r="F2911" s="626"/>
    </row>
    <row r="2912" spans="1:6">
      <c r="A2912" t="str">
        <f t="shared" si="45"/>
        <v/>
      </c>
      <c r="E2912" s="626"/>
      <c r="F2912" s="626"/>
    </row>
    <row r="2913" spans="1:6">
      <c r="A2913" t="str">
        <f t="shared" si="45"/>
        <v/>
      </c>
      <c r="E2913" s="626"/>
      <c r="F2913" s="626"/>
    </row>
    <row r="2914" spans="1:6">
      <c r="A2914" t="str">
        <f t="shared" si="45"/>
        <v/>
      </c>
      <c r="E2914" s="626"/>
      <c r="F2914" s="626"/>
    </row>
    <row r="2915" spans="1:6">
      <c r="A2915" t="str">
        <f t="shared" si="45"/>
        <v/>
      </c>
      <c r="E2915" s="626"/>
      <c r="F2915" s="626"/>
    </row>
    <row r="2916" spans="1:6">
      <c r="A2916" t="str">
        <f t="shared" si="45"/>
        <v/>
      </c>
      <c r="E2916" s="626"/>
      <c r="F2916" s="626"/>
    </row>
    <row r="2917" spans="1:6">
      <c r="A2917" t="str">
        <f t="shared" si="45"/>
        <v/>
      </c>
      <c r="E2917" s="626"/>
      <c r="F2917" s="626"/>
    </row>
    <row r="2918" spans="1:6">
      <c r="A2918" t="str">
        <f t="shared" si="45"/>
        <v/>
      </c>
      <c r="E2918" s="626"/>
      <c r="F2918" s="626"/>
    </row>
    <row r="2919" spans="1:6">
      <c r="A2919" t="str">
        <f t="shared" si="45"/>
        <v/>
      </c>
      <c r="E2919" s="626"/>
      <c r="F2919" s="626"/>
    </row>
    <row r="2920" spans="1:6">
      <c r="A2920" t="str">
        <f t="shared" si="45"/>
        <v/>
      </c>
      <c r="E2920" s="626"/>
      <c r="F2920" s="626"/>
    </row>
    <row r="2921" spans="1:6">
      <c r="A2921" t="str">
        <f t="shared" si="45"/>
        <v/>
      </c>
      <c r="E2921" s="626"/>
      <c r="F2921" s="626"/>
    </row>
    <row r="2922" spans="1:6">
      <c r="A2922" t="str">
        <f t="shared" si="45"/>
        <v/>
      </c>
      <c r="E2922" s="626"/>
      <c r="F2922" s="626"/>
    </row>
    <row r="2923" spans="1:6">
      <c r="A2923" t="str">
        <f t="shared" si="45"/>
        <v/>
      </c>
      <c r="E2923" s="626"/>
      <c r="F2923" s="626"/>
    </row>
    <row r="2924" spans="1:6">
      <c r="A2924" t="str">
        <f t="shared" si="45"/>
        <v/>
      </c>
      <c r="E2924" s="626"/>
      <c r="F2924" s="626"/>
    </row>
    <row r="2925" spans="1:6">
      <c r="A2925" t="str">
        <f t="shared" si="45"/>
        <v/>
      </c>
      <c r="E2925" s="626"/>
      <c r="F2925" s="626"/>
    </row>
    <row r="2926" spans="1:6">
      <c r="A2926" t="str">
        <f t="shared" si="45"/>
        <v/>
      </c>
      <c r="E2926" s="626"/>
      <c r="F2926" s="626"/>
    </row>
    <row r="2927" spans="1:6">
      <c r="A2927" t="str">
        <f t="shared" si="45"/>
        <v/>
      </c>
      <c r="E2927" s="626"/>
      <c r="F2927" s="626"/>
    </row>
    <row r="2928" spans="1:6">
      <c r="A2928" t="str">
        <f t="shared" si="45"/>
        <v/>
      </c>
      <c r="E2928" s="626"/>
      <c r="F2928" s="626"/>
    </row>
    <row r="2929" spans="1:6">
      <c r="A2929" t="str">
        <f t="shared" si="45"/>
        <v/>
      </c>
      <c r="E2929" s="626"/>
      <c r="F2929" s="626"/>
    </row>
    <row r="2930" spans="1:6">
      <c r="A2930" t="str">
        <f t="shared" si="45"/>
        <v/>
      </c>
      <c r="E2930" s="626"/>
      <c r="F2930" s="626"/>
    </row>
    <row r="2931" spans="1:6">
      <c r="A2931" t="str">
        <f t="shared" si="45"/>
        <v/>
      </c>
      <c r="E2931" s="626"/>
      <c r="F2931" s="626"/>
    </row>
    <row r="2932" spans="1:6">
      <c r="A2932" t="str">
        <f t="shared" si="45"/>
        <v/>
      </c>
      <c r="E2932" s="626"/>
      <c r="F2932" s="626"/>
    </row>
    <row r="2933" spans="1:6">
      <c r="A2933" t="str">
        <f t="shared" si="45"/>
        <v/>
      </c>
      <c r="E2933" s="626"/>
      <c r="F2933" s="626"/>
    </row>
    <row r="2934" spans="1:6">
      <c r="A2934" t="str">
        <f t="shared" si="45"/>
        <v/>
      </c>
      <c r="E2934" s="626"/>
      <c r="F2934" s="626"/>
    </row>
    <row r="2935" spans="1:6">
      <c r="A2935" t="str">
        <f t="shared" si="45"/>
        <v/>
      </c>
      <c r="E2935" s="626"/>
      <c r="F2935" s="626"/>
    </row>
    <row r="2936" spans="1:6">
      <c r="A2936" t="str">
        <f t="shared" si="45"/>
        <v/>
      </c>
      <c r="E2936" s="626"/>
      <c r="F2936" s="626"/>
    </row>
    <row r="2937" spans="1:6">
      <c r="A2937" t="str">
        <f t="shared" si="45"/>
        <v/>
      </c>
      <c r="E2937" s="626"/>
      <c r="F2937" s="626"/>
    </row>
    <row r="2938" spans="1:6">
      <c r="A2938" t="str">
        <f t="shared" si="45"/>
        <v/>
      </c>
      <c r="E2938" s="626"/>
      <c r="F2938" s="626"/>
    </row>
    <row r="2939" spans="1:6">
      <c r="A2939" t="str">
        <f t="shared" si="45"/>
        <v/>
      </c>
      <c r="E2939" s="626"/>
      <c r="F2939" s="626"/>
    </row>
    <row r="2940" spans="1:6">
      <c r="A2940" t="str">
        <f t="shared" si="45"/>
        <v/>
      </c>
      <c r="E2940" s="626"/>
      <c r="F2940" s="626"/>
    </row>
    <row r="2941" spans="1:6">
      <c r="A2941" t="str">
        <f t="shared" si="45"/>
        <v/>
      </c>
      <c r="E2941" s="626"/>
      <c r="F2941" s="626"/>
    </row>
    <row r="2942" spans="1:6">
      <c r="A2942" t="str">
        <f t="shared" si="45"/>
        <v/>
      </c>
      <c r="E2942" s="626"/>
      <c r="F2942" s="626"/>
    </row>
    <row r="2943" spans="1:6">
      <c r="A2943" t="str">
        <f t="shared" si="45"/>
        <v/>
      </c>
      <c r="E2943" s="626"/>
      <c r="F2943" s="626"/>
    </row>
    <row r="2944" spans="1:6">
      <c r="A2944" t="str">
        <f t="shared" si="45"/>
        <v/>
      </c>
      <c r="E2944" s="626"/>
      <c r="F2944" s="626"/>
    </row>
    <row r="2945" spans="1:6">
      <c r="A2945" t="str">
        <f t="shared" si="45"/>
        <v/>
      </c>
      <c r="E2945" s="626"/>
      <c r="F2945" s="626"/>
    </row>
    <row r="2946" spans="1:6">
      <c r="A2946" t="str">
        <f t="shared" ref="A2946:A3009" si="46">B2946&amp;E2946&amp;J2946</f>
        <v/>
      </c>
      <c r="E2946" s="626"/>
      <c r="F2946" s="626"/>
    </row>
    <row r="2947" spans="1:6">
      <c r="A2947" t="str">
        <f t="shared" si="46"/>
        <v/>
      </c>
      <c r="E2947" s="626"/>
      <c r="F2947" s="626"/>
    </row>
    <row r="2948" spans="1:6">
      <c r="A2948" t="str">
        <f t="shared" si="46"/>
        <v/>
      </c>
      <c r="E2948" s="626"/>
      <c r="F2948" s="626"/>
    </row>
    <row r="2949" spans="1:6">
      <c r="A2949" t="str">
        <f t="shared" si="46"/>
        <v/>
      </c>
      <c r="E2949" s="626"/>
      <c r="F2949" s="626"/>
    </row>
    <row r="2950" spans="1:6">
      <c r="A2950" t="str">
        <f t="shared" si="46"/>
        <v/>
      </c>
      <c r="E2950" s="626"/>
      <c r="F2950" s="626"/>
    </row>
    <row r="2951" spans="1:6">
      <c r="A2951" t="str">
        <f t="shared" si="46"/>
        <v/>
      </c>
      <c r="E2951" s="626"/>
      <c r="F2951" s="626"/>
    </row>
    <row r="2952" spans="1:6">
      <c r="A2952" t="str">
        <f t="shared" si="46"/>
        <v/>
      </c>
      <c r="E2952" s="626"/>
      <c r="F2952" s="626"/>
    </row>
    <row r="2953" spans="1:6">
      <c r="A2953" t="str">
        <f t="shared" si="46"/>
        <v/>
      </c>
      <c r="E2953" s="626"/>
      <c r="F2953" s="626"/>
    </row>
    <row r="2954" spans="1:6">
      <c r="A2954" t="str">
        <f t="shared" si="46"/>
        <v/>
      </c>
      <c r="E2954" s="626"/>
      <c r="F2954" s="626"/>
    </row>
    <row r="2955" spans="1:6">
      <c r="A2955" t="str">
        <f t="shared" si="46"/>
        <v/>
      </c>
      <c r="E2955" s="626"/>
      <c r="F2955" s="626"/>
    </row>
    <row r="2956" spans="1:6">
      <c r="A2956" t="str">
        <f t="shared" si="46"/>
        <v/>
      </c>
      <c r="E2956" s="626"/>
      <c r="F2956" s="626"/>
    </row>
    <row r="2957" spans="1:6">
      <c r="A2957" t="str">
        <f t="shared" si="46"/>
        <v/>
      </c>
      <c r="E2957" s="626"/>
      <c r="F2957" s="626"/>
    </row>
    <row r="2958" spans="1:6">
      <c r="A2958" t="str">
        <f t="shared" si="46"/>
        <v/>
      </c>
      <c r="E2958" s="626"/>
      <c r="F2958" s="626"/>
    </row>
    <row r="2959" spans="1:6">
      <c r="A2959" t="str">
        <f t="shared" si="46"/>
        <v/>
      </c>
      <c r="E2959" s="626"/>
      <c r="F2959" s="626"/>
    </row>
    <row r="2960" spans="1:6">
      <c r="A2960" t="str">
        <f t="shared" si="46"/>
        <v/>
      </c>
      <c r="E2960" s="626"/>
      <c r="F2960" s="626"/>
    </row>
    <row r="2961" spans="1:6">
      <c r="A2961" t="str">
        <f t="shared" si="46"/>
        <v/>
      </c>
      <c r="E2961" s="626"/>
      <c r="F2961" s="626"/>
    </row>
    <row r="2962" spans="1:6">
      <c r="A2962" t="str">
        <f t="shared" si="46"/>
        <v/>
      </c>
      <c r="E2962" s="626"/>
      <c r="F2962" s="626"/>
    </row>
    <row r="2963" spans="1:6">
      <c r="A2963" t="str">
        <f t="shared" si="46"/>
        <v/>
      </c>
      <c r="E2963" s="626"/>
      <c r="F2963" s="626"/>
    </row>
    <row r="2964" spans="1:6">
      <c r="A2964" t="str">
        <f t="shared" si="46"/>
        <v/>
      </c>
      <c r="E2964" s="626"/>
      <c r="F2964" s="626"/>
    </row>
    <row r="2965" spans="1:6">
      <c r="A2965" t="str">
        <f t="shared" si="46"/>
        <v/>
      </c>
      <c r="E2965" s="626"/>
      <c r="F2965" s="626"/>
    </row>
    <row r="2966" spans="1:6">
      <c r="A2966" t="str">
        <f t="shared" si="46"/>
        <v/>
      </c>
      <c r="E2966" s="626"/>
      <c r="F2966" s="626"/>
    </row>
    <row r="2967" spans="1:6">
      <c r="A2967" t="str">
        <f t="shared" si="46"/>
        <v/>
      </c>
      <c r="E2967" s="626"/>
      <c r="F2967" s="626"/>
    </row>
    <row r="2968" spans="1:6">
      <c r="A2968" t="str">
        <f t="shared" si="46"/>
        <v/>
      </c>
      <c r="E2968" s="626"/>
      <c r="F2968" s="626"/>
    </row>
    <row r="2969" spans="1:6">
      <c r="A2969" t="str">
        <f t="shared" si="46"/>
        <v/>
      </c>
      <c r="E2969" s="626"/>
      <c r="F2969" s="626"/>
    </row>
    <row r="2970" spans="1:6">
      <c r="A2970" t="str">
        <f t="shared" si="46"/>
        <v/>
      </c>
      <c r="E2970" s="626"/>
      <c r="F2970" s="626"/>
    </row>
    <row r="2971" spans="1:6">
      <c r="A2971" t="str">
        <f t="shared" si="46"/>
        <v/>
      </c>
      <c r="E2971" s="626"/>
      <c r="F2971" s="626"/>
    </row>
    <row r="2972" spans="1:6">
      <c r="A2972" t="str">
        <f t="shared" si="46"/>
        <v/>
      </c>
      <c r="E2972" s="626"/>
      <c r="F2972" s="626"/>
    </row>
    <row r="2973" spans="1:6">
      <c r="A2973" t="str">
        <f t="shared" si="46"/>
        <v/>
      </c>
      <c r="E2973" s="626"/>
      <c r="F2973" s="626"/>
    </row>
    <row r="2974" spans="1:6">
      <c r="A2974" t="str">
        <f t="shared" si="46"/>
        <v/>
      </c>
      <c r="E2974" s="626"/>
      <c r="F2974" s="626"/>
    </row>
    <row r="2975" spans="1:6">
      <c r="A2975" t="str">
        <f t="shared" si="46"/>
        <v/>
      </c>
      <c r="E2975" s="626"/>
      <c r="F2975" s="626"/>
    </row>
    <row r="2976" spans="1:6">
      <c r="A2976" t="str">
        <f t="shared" si="46"/>
        <v/>
      </c>
      <c r="E2976" s="626"/>
      <c r="F2976" s="626"/>
    </row>
    <row r="2977" spans="1:6">
      <c r="A2977" t="str">
        <f t="shared" si="46"/>
        <v/>
      </c>
      <c r="E2977" s="626"/>
      <c r="F2977" s="626"/>
    </row>
    <row r="2978" spans="1:6">
      <c r="A2978" t="str">
        <f t="shared" si="46"/>
        <v/>
      </c>
      <c r="E2978" s="626"/>
      <c r="F2978" s="626"/>
    </row>
    <row r="2979" spans="1:6">
      <c r="A2979" t="str">
        <f t="shared" si="46"/>
        <v/>
      </c>
      <c r="E2979" s="626"/>
      <c r="F2979" s="626"/>
    </row>
    <row r="2980" spans="1:6">
      <c r="A2980" t="str">
        <f t="shared" si="46"/>
        <v/>
      </c>
      <c r="E2980" s="626"/>
      <c r="F2980" s="626"/>
    </row>
    <row r="2981" spans="1:6">
      <c r="A2981" t="str">
        <f t="shared" si="46"/>
        <v/>
      </c>
      <c r="E2981" s="626"/>
      <c r="F2981" s="626"/>
    </row>
    <row r="2982" spans="1:6">
      <c r="A2982" t="str">
        <f t="shared" si="46"/>
        <v/>
      </c>
      <c r="E2982" s="626"/>
      <c r="F2982" s="626"/>
    </row>
    <row r="2983" spans="1:6">
      <c r="A2983" t="str">
        <f t="shared" si="46"/>
        <v/>
      </c>
      <c r="E2983" s="626"/>
      <c r="F2983" s="626"/>
    </row>
    <row r="2984" spans="1:6">
      <c r="A2984" t="str">
        <f t="shared" si="46"/>
        <v/>
      </c>
      <c r="E2984" s="626"/>
      <c r="F2984" s="626"/>
    </row>
    <row r="2985" spans="1:6">
      <c r="A2985" t="str">
        <f t="shared" si="46"/>
        <v/>
      </c>
      <c r="E2985" s="626"/>
      <c r="F2985" s="626"/>
    </row>
    <row r="2986" spans="1:6">
      <c r="A2986" t="str">
        <f t="shared" si="46"/>
        <v/>
      </c>
      <c r="E2986" s="626"/>
      <c r="F2986" s="626"/>
    </row>
    <row r="2987" spans="1:6">
      <c r="A2987" t="str">
        <f t="shared" si="46"/>
        <v/>
      </c>
      <c r="E2987" s="626"/>
      <c r="F2987" s="626"/>
    </row>
    <row r="2988" spans="1:6">
      <c r="A2988" t="str">
        <f t="shared" si="46"/>
        <v/>
      </c>
      <c r="E2988" s="626"/>
      <c r="F2988" s="626"/>
    </row>
    <row r="2989" spans="1:6">
      <c r="A2989" t="str">
        <f t="shared" si="46"/>
        <v/>
      </c>
      <c r="E2989" s="626"/>
      <c r="F2989" s="626"/>
    </row>
    <row r="2990" spans="1:6">
      <c r="A2990" t="str">
        <f t="shared" si="46"/>
        <v/>
      </c>
      <c r="E2990" s="626"/>
      <c r="F2990" s="626"/>
    </row>
    <row r="2991" spans="1:6">
      <c r="A2991" t="str">
        <f t="shared" si="46"/>
        <v/>
      </c>
      <c r="E2991" s="626"/>
      <c r="F2991" s="626"/>
    </row>
    <row r="2992" spans="1:6">
      <c r="A2992" t="str">
        <f t="shared" si="46"/>
        <v/>
      </c>
      <c r="E2992" s="626"/>
      <c r="F2992" s="626"/>
    </row>
    <row r="2993" spans="1:6">
      <c r="A2993" t="str">
        <f t="shared" si="46"/>
        <v/>
      </c>
      <c r="E2993" s="626"/>
      <c r="F2993" s="626"/>
    </row>
    <row r="2994" spans="1:6">
      <c r="A2994" t="str">
        <f t="shared" si="46"/>
        <v/>
      </c>
      <c r="E2994" s="626"/>
      <c r="F2994" s="626"/>
    </row>
    <row r="2995" spans="1:6">
      <c r="A2995" t="str">
        <f t="shared" si="46"/>
        <v/>
      </c>
      <c r="E2995" s="626"/>
      <c r="F2995" s="626"/>
    </row>
    <row r="2996" spans="1:6">
      <c r="A2996" t="str">
        <f t="shared" si="46"/>
        <v/>
      </c>
      <c r="E2996" s="626"/>
      <c r="F2996" s="626"/>
    </row>
    <row r="2997" spans="1:6">
      <c r="A2997" t="str">
        <f t="shared" si="46"/>
        <v/>
      </c>
      <c r="E2997" s="626"/>
      <c r="F2997" s="626"/>
    </row>
    <row r="2998" spans="1:6">
      <c r="A2998" t="str">
        <f t="shared" si="46"/>
        <v/>
      </c>
      <c r="E2998" s="626"/>
      <c r="F2998" s="626"/>
    </row>
    <row r="2999" spans="1:6">
      <c r="A2999" t="str">
        <f t="shared" si="46"/>
        <v/>
      </c>
      <c r="E2999" s="626"/>
      <c r="F2999" s="626"/>
    </row>
    <row r="3000" spans="1:6">
      <c r="A3000" t="str">
        <f t="shared" si="46"/>
        <v/>
      </c>
      <c r="E3000" s="626"/>
      <c r="F3000" s="626"/>
    </row>
    <row r="3001" spans="1:6">
      <c r="A3001" t="str">
        <f t="shared" si="46"/>
        <v/>
      </c>
      <c r="E3001" s="626"/>
      <c r="F3001" s="626"/>
    </row>
    <row r="3002" spans="1:6">
      <c r="A3002" t="str">
        <f t="shared" si="46"/>
        <v/>
      </c>
      <c r="E3002" s="626"/>
      <c r="F3002" s="626"/>
    </row>
    <row r="3003" spans="1:6">
      <c r="A3003" t="str">
        <f t="shared" si="46"/>
        <v/>
      </c>
      <c r="E3003" s="626"/>
      <c r="F3003" s="626"/>
    </row>
    <row r="3004" spans="1:6">
      <c r="A3004" t="str">
        <f t="shared" si="46"/>
        <v/>
      </c>
      <c r="E3004" s="626"/>
      <c r="F3004" s="626"/>
    </row>
    <row r="3005" spans="1:6">
      <c r="A3005" t="str">
        <f t="shared" si="46"/>
        <v/>
      </c>
      <c r="E3005" s="626"/>
      <c r="F3005" s="626"/>
    </row>
    <row r="3006" spans="1:6">
      <c r="A3006" t="str">
        <f t="shared" si="46"/>
        <v/>
      </c>
      <c r="E3006" s="626"/>
      <c r="F3006" s="626"/>
    </row>
    <row r="3007" spans="1:6">
      <c r="A3007" t="str">
        <f t="shared" si="46"/>
        <v/>
      </c>
      <c r="E3007" s="626"/>
      <c r="F3007" s="626"/>
    </row>
    <row r="3008" spans="1:6">
      <c r="A3008" t="str">
        <f t="shared" si="46"/>
        <v/>
      </c>
      <c r="E3008" s="626"/>
      <c r="F3008" s="626"/>
    </row>
    <row r="3009" spans="1:6">
      <c r="A3009" t="str">
        <f t="shared" si="46"/>
        <v/>
      </c>
      <c r="E3009" s="626"/>
      <c r="F3009" s="626"/>
    </row>
    <row r="3010" spans="1:6">
      <c r="A3010" t="str">
        <f t="shared" ref="A3010:A3073" si="47">B3010&amp;E3010&amp;J3010</f>
        <v/>
      </c>
      <c r="E3010" s="626"/>
      <c r="F3010" s="626"/>
    </row>
    <row r="3011" spans="1:6">
      <c r="A3011" t="str">
        <f t="shared" si="47"/>
        <v/>
      </c>
      <c r="E3011" s="626"/>
      <c r="F3011" s="626"/>
    </row>
    <row r="3012" spans="1:6">
      <c r="A3012" t="str">
        <f t="shared" si="47"/>
        <v/>
      </c>
      <c r="E3012" s="626"/>
      <c r="F3012" s="626"/>
    </row>
    <row r="3013" spans="1:6">
      <c r="A3013" t="str">
        <f t="shared" si="47"/>
        <v/>
      </c>
      <c r="E3013" s="626"/>
      <c r="F3013" s="626"/>
    </row>
    <row r="3014" spans="1:6">
      <c r="A3014" t="str">
        <f t="shared" si="47"/>
        <v/>
      </c>
      <c r="E3014" s="626"/>
      <c r="F3014" s="626"/>
    </row>
    <row r="3015" spans="1:6">
      <c r="A3015" t="str">
        <f t="shared" si="47"/>
        <v/>
      </c>
      <c r="E3015" s="626"/>
      <c r="F3015" s="626"/>
    </row>
    <row r="3016" spans="1:6">
      <c r="A3016" t="str">
        <f t="shared" si="47"/>
        <v/>
      </c>
      <c r="E3016" s="626"/>
      <c r="F3016" s="626"/>
    </row>
    <row r="3017" spans="1:6">
      <c r="A3017" t="str">
        <f t="shared" si="47"/>
        <v/>
      </c>
      <c r="E3017" s="626"/>
      <c r="F3017" s="626"/>
    </row>
    <row r="3018" spans="1:6">
      <c r="A3018" t="str">
        <f t="shared" si="47"/>
        <v/>
      </c>
      <c r="E3018" s="626"/>
      <c r="F3018" s="626"/>
    </row>
    <row r="3019" spans="1:6">
      <c r="A3019" t="str">
        <f t="shared" si="47"/>
        <v/>
      </c>
      <c r="E3019" s="626"/>
      <c r="F3019" s="626"/>
    </row>
    <row r="3020" spans="1:6">
      <c r="A3020" t="str">
        <f t="shared" si="47"/>
        <v/>
      </c>
      <c r="E3020" s="626"/>
      <c r="F3020" s="626"/>
    </row>
    <row r="3021" spans="1:6">
      <c r="A3021" t="str">
        <f t="shared" si="47"/>
        <v/>
      </c>
      <c r="E3021" s="626"/>
      <c r="F3021" s="626"/>
    </row>
    <row r="3022" spans="1:6">
      <c r="A3022" t="str">
        <f t="shared" si="47"/>
        <v/>
      </c>
      <c r="E3022" s="626"/>
      <c r="F3022" s="626"/>
    </row>
    <row r="3023" spans="1:6">
      <c r="A3023" t="str">
        <f t="shared" si="47"/>
        <v/>
      </c>
      <c r="E3023" s="626"/>
      <c r="F3023" s="626"/>
    </row>
    <row r="3024" spans="1:6">
      <c r="A3024" t="str">
        <f t="shared" si="47"/>
        <v/>
      </c>
      <c r="E3024" s="626"/>
      <c r="F3024" s="626"/>
    </row>
    <row r="3025" spans="1:6">
      <c r="A3025" t="str">
        <f t="shared" si="47"/>
        <v/>
      </c>
      <c r="E3025" s="626"/>
      <c r="F3025" s="626"/>
    </row>
    <row r="3026" spans="1:6">
      <c r="A3026" t="str">
        <f t="shared" si="47"/>
        <v/>
      </c>
      <c r="E3026" s="626"/>
      <c r="F3026" s="626"/>
    </row>
    <row r="3027" spans="1:6">
      <c r="A3027" t="str">
        <f t="shared" si="47"/>
        <v/>
      </c>
      <c r="E3027" s="626"/>
      <c r="F3027" s="626"/>
    </row>
    <row r="3028" spans="1:6">
      <c r="A3028" t="str">
        <f t="shared" si="47"/>
        <v/>
      </c>
      <c r="E3028" s="626"/>
      <c r="F3028" s="626"/>
    </row>
    <row r="3029" spans="1:6">
      <c r="A3029" t="str">
        <f t="shared" si="47"/>
        <v/>
      </c>
      <c r="E3029" s="626"/>
      <c r="F3029" s="626"/>
    </row>
    <row r="3030" spans="1:6">
      <c r="A3030" t="str">
        <f t="shared" si="47"/>
        <v/>
      </c>
      <c r="E3030" s="626"/>
      <c r="F3030" s="626"/>
    </row>
    <row r="3031" spans="1:6">
      <c r="A3031" t="str">
        <f t="shared" si="47"/>
        <v/>
      </c>
      <c r="E3031" s="626"/>
      <c r="F3031" s="626"/>
    </row>
    <row r="3032" spans="1:6">
      <c r="A3032" t="str">
        <f t="shared" si="47"/>
        <v/>
      </c>
      <c r="E3032" s="626"/>
      <c r="F3032" s="626"/>
    </row>
    <row r="3033" spans="1:6">
      <c r="A3033" t="str">
        <f t="shared" si="47"/>
        <v/>
      </c>
      <c r="E3033" s="626"/>
      <c r="F3033" s="626"/>
    </row>
    <row r="3034" spans="1:6">
      <c r="A3034" t="str">
        <f t="shared" si="47"/>
        <v/>
      </c>
      <c r="E3034" s="626"/>
      <c r="F3034" s="626"/>
    </row>
    <row r="3035" spans="1:6">
      <c r="A3035" t="str">
        <f t="shared" si="47"/>
        <v/>
      </c>
      <c r="E3035" s="626"/>
      <c r="F3035" s="626"/>
    </row>
    <row r="3036" spans="1:6">
      <c r="A3036" t="str">
        <f t="shared" si="47"/>
        <v/>
      </c>
      <c r="E3036" s="626"/>
      <c r="F3036" s="626"/>
    </row>
    <row r="3037" spans="1:6">
      <c r="A3037" t="str">
        <f t="shared" si="47"/>
        <v/>
      </c>
      <c r="E3037" s="626"/>
      <c r="F3037" s="626"/>
    </row>
    <row r="3038" spans="1:6">
      <c r="A3038" t="str">
        <f t="shared" si="47"/>
        <v/>
      </c>
      <c r="E3038" s="626"/>
      <c r="F3038" s="626"/>
    </row>
    <row r="3039" spans="1:6">
      <c r="A3039" t="str">
        <f t="shared" si="47"/>
        <v/>
      </c>
      <c r="E3039" s="626"/>
      <c r="F3039" s="626"/>
    </row>
    <row r="3040" spans="1:6">
      <c r="A3040" t="str">
        <f t="shared" si="47"/>
        <v/>
      </c>
      <c r="E3040" s="626"/>
      <c r="F3040" s="626"/>
    </row>
    <row r="3041" spans="1:6">
      <c r="A3041" t="str">
        <f t="shared" si="47"/>
        <v/>
      </c>
      <c r="E3041" s="626"/>
      <c r="F3041" s="626"/>
    </row>
    <row r="3042" spans="1:6">
      <c r="A3042" t="str">
        <f t="shared" si="47"/>
        <v/>
      </c>
      <c r="E3042" s="626"/>
      <c r="F3042" s="626"/>
    </row>
    <row r="3043" spans="1:6">
      <c r="A3043" t="str">
        <f t="shared" si="47"/>
        <v/>
      </c>
      <c r="E3043" s="626"/>
      <c r="F3043" s="626"/>
    </row>
    <row r="3044" spans="1:6">
      <c r="A3044" t="str">
        <f t="shared" si="47"/>
        <v/>
      </c>
      <c r="E3044" s="626"/>
      <c r="F3044" s="626"/>
    </row>
    <row r="3045" spans="1:6">
      <c r="A3045" t="str">
        <f t="shared" si="47"/>
        <v/>
      </c>
      <c r="E3045" s="626"/>
      <c r="F3045" s="626"/>
    </row>
    <row r="3046" spans="1:6">
      <c r="A3046" t="str">
        <f t="shared" si="47"/>
        <v/>
      </c>
      <c r="E3046" s="626"/>
      <c r="F3046" s="626"/>
    </row>
    <row r="3047" spans="1:6">
      <c r="A3047" t="str">
        <f t="shared" si="47"/>
        <v/>
      </c>
      <c r="E3047" s="626"/>
      <c r="F3047" s="626"/>
    </row>
    <row r="3048" spans="1:6">
      <c r="A3048" t="str">
        <f t="shared" si="47"/>
        <v/>
      </c>
      <c r="E3048" s="626"/>
      <c r="F3048" s="626"/>
    </row>
    <row r="3049" spans="1:6">
      <c r="A3049" t="str">
        <f t="shared" si="47"/>
        <v/>
      </c>
      <c r="E3049" s="626"/>
      <c r="F3049" s="626"/>
    </row>
    <row r="3050" spans="1:6">
      <c r="A3050" t="str">
        <f t="shared" si="47"/>
        <v/>
      </c>
      <c r="E3050" s="626"/>
      <c r="F3050" s="626"/>
    </row>
    <row r="3051" spans="1:6">
      <c r="A3051" t="str">
        <f t="shared" si="47"/>
        <v/>
      </c>
      <c r="E3051" s="626"/>
      <c r="F3051" s="626"/>
    </row>
    <row r="3052" spans="1:6">
      <c r="A3052" t="str">
        <f t="shared" si="47"/>
        <v/>
      </c>
      <c r="E3052" s="626"/>
      <c r="F3052" s="626"/>
    </row>
    <row r="3053" spans="1:6">
      <c r="A3053" t="str">
        <f t="shared" si="47"/>
        <v/>
      </c>
      <c r="E3053" s="626"/>
      <c r="F3053" s="626"/>
    </row>
    <row r="3054" spans="1:6">
      <c r="A3054" t="str">
        <f t="shared" si="47"/>
        <v/>
      </c>
      <c r="E3054" s="626"/>
      <c r="F3054" s="626"/>
    </row>
    <row r="3055" spans="1:6">
      <c r="A3055" t="str">
        <f t="shared" si="47"/>
        <v/>
      </c>
      <c r="E3055" s="626"/>
      <c r="F3055" s="626"/>
    </row>
    <row r="3056" spans="1:6">
      <c r="A3056" t="str">
        <f t="shared" si="47"/>
        <v/>
      </c>
      <c r="E3056" s="626"/>
      <c r="F3056" s="626"/>
    </row>
    <row r="3057" spans="1:6">
      <c r="A3057" t="str">
        <f t="shared" si="47"/>
        <v/>
      </c>
      <c r="E3057" s="626"/>
      <c r="F3057" s="626"/>
    </row>
    <row r="3058" spans="1:6">
      <c r="A3058" t="str">
        <f t="shared" si="47"/>
        <v/>
      </c>
      <c r="E3058" s="626"/>
      <c r="F3058" s="626"/>
    </row>
    <row r="3059" spans="1:6">
      <c r="A3059" t="str">
        <f t="shared" si="47"/>
        <v/>
      </c>
      <c r="E3059" s="626"/>
      <c r="F3059" s="626"/>
    </row>
    <row r="3060" spans="1:6">
      <c r="A3060" t="str">
        <f t="shared" si="47"/>
        <v/>
      </c>
      <c r="E3060" s="626"/>
      <c r="F3060" s="626"/>
    </row>
    <row r="3061" spans="1:6">
      <c r="A3061" t="str">
        <f t="shared" si="47"/>
        <v/>
      </c>
      <c r="E3061" s="626"/>
      <c r="F3061" s="626"/>
    </row>
    <row r="3062" spans="1:6">
      <c r="A3062" t="str">
        <f t="shared" si="47"/>
        <v/>
      </c>
      <c r="E3062" s="626"/>
      <c r="F3062" s="626"/>
    </row>
    <row r="3063" spans="1:6">
      <c r="A3063" t="str">
        <f t="shared" si="47"/>
        <v/>
      </c>
      <c r="E3063" s="626"/>
      <c r="F3063" s="626"/>
    </row>
    <row r="3064" spans="1:6">
      <c r="A3064" t="str">
        <f t="shared" si="47"/>
        <v/>
      </c>
      <c r="E3064" s="626"/>
      <c r="F3064" s="626"/>
    </row>
    <row r="3065" spans="1:6">
      <c r="A3065" t="str">
        <f t="shared" si="47"/>
        <v/>
      </c>
      <c r="E3065" s="626"/>
      <c r="F3065" s="626"/>
    </row>
    <row r="3066" spans="1:6">
      <c r="A3066" t="str">
        <f t="shared" si="47"/>
        <v/>
      </c>
      <c r="E3066" s="626"/>
      <c r="F3066" s="626"/>
    </row>
    <row r="3067" spans="1:6">
      <c r="A3067" t="str">
        <f t="shared" si="47"/>
        <v/>
      </c>
      <c r="E3067" s="626"/>
      <c r="F3067" s="626"/>
    </row>
    <row r="3068" spans="1:6">
      <c r="A3068" t="str">
        <f t="shared" si="47"/>
        <v/>
      </c>
      <c r="E3068" s="626"/>
      <c r="F3068" s="626"/>
    </row>
    <row r="3069" spans="1:6">
      <c r="A3069" t="str">
        <f t="shared" si="47"/>
        <v/>
      </c>
      <c r="E3069" s="626"/>
      <c r="F3069" s="626"/>
    </row>
    <row r="3070" spans="1:6">
      <c r="A3070" t="str">
        <f t="shared" si="47"/>
        <v/>
      </c>
      <c r="E3070" s="626"/>
      <c r="F3070" s="626"/>
    </row>
    <row r="3071" spans="1:6">
      <c r="A3071" t="str">
        <f t="shared" si="47"/>
        <v/>
      </c>
      <c r="E3071" s="626"/>
      <c r="F3071" s="626"/>
    </row>
    <row r="3072" spans="1:6">
      <c r="A3072" t="str">
        <f t="shared" si="47"/>
        <v/>
      </c>
      <c r="E3072" s="626"/>
      <c r="F3072" s="626"/>
    </row>
    <row r="3073" spans="1:6">
      <c r="A3073" t="str">
        <f t="shared" si="47"/>
        <v/>
      </c>
      <c r="E3073" s="626"/>
      <c r="F3073" s="626"/>
    </row>
    <row r="3074" spans="1:6">
      <c r="A3074" t="str">
        <f t="shared" ref="A3074:A3137" si="48">B3074&amp;E3074&amp;J3074</f>
        <v/>
      </c>
      <c r="E3074" s="626"/>
      <c r="F3074" s="626"/>
    </row>
    <row r="3075" spans="1:6">
      <c r="A3075" t="str">
        <f t="shared" si="48"/>
        <v/>
      </c>
      <c r="E3075" s="626"/>
      <c r="F3075" s="626"/>
    </row>
    <row r="3076" spans="1:6">
      <c r="A3076" t="str">
        <f t="shared" si="48"/>
        <v/>
      </c>
      <c r="E3076" s="626"/>
      <c r="F3076" s="626"/>
    </row>
    <row r="3077" spans="1:6">
      <c r="A3077" t="str">
        <f t="shared" si="48"/>
        <v/>
      </c>
      <c r="E3077" s="626"/>
      <c r="F3077" s="626"/>
    </row>
    <row r="3078" spans="1:6">
      <c r="A3078" t="str">
        <f t="shared" si="48"/>
        <v/>
      </c>
      <c r="E3078" s="626"/>
      <c r="F3078" s="626"/>
    </row>
    <row r="3079" spans="1:6">
      <c r="A3079" t="str">
        <f t="shared" si="48"/>
        <v/>
      </c>
      <c r="E3079" s="626"/>
      <c r="F3079" s="626"/>
    </row>
    <row r="3080" spans="1:6">
      <c r="A3080" t="str">
        <f t="shared" si="48"/>
        <v/>
      </c>
      <c r="E3080" s="626"/>
      <c r="F3080" s="626"/>
    </row>
    <row r="3081" spans="1:6">
      <c r="A3081" t="str">
        <f t="shared" si="48"/>
        <v/>
      </c>
      <c r="E3081" s="626"/>
      <c r="F3081" s="626"/>
    </row>
    <row r="3082" spans="1:6">
      <c r="A3082" t="str">
        <f t="shared" si="48"/>
        <v/>
      </c>
      <c r="E3082" s="626"/>
      <c r="F3082" s="626"/>
    </row>
    <row r="3083" spans="1:6">
      <c r="A3083" t="str">
        <f t="shared" si="48"/>
        <v/>
      </c>
      <c r="E3083" s="626"/>
      <c r="F3083" s="626"/>
    </row>
    <row r="3084" spans="1:6">
      <c r="A3084" t="str">
        <f t="shared" si="48"/>
        <v/>
      </c>
      <c r="E3084" s="626"/>
      <c r="F3084" s="626"/>
    </row>
    <row r="3085" spans="1:6">
      <c r="A3085" t="str">
        <f t="shared" si="48"/>
        <v/>
      </c>
      <c r="E3085" s="626"/>
      <c r="F3085" s="626"/>
    </row>
    <row r="3086" spans="1:6">
      <c r="A3086" t="str">
        <f t="shared" si="48"/>
        <v/>
      </c>
      <c r="E3086" s="626"/>
      <c r="F3086" s="626"/>
    </row>
    <row r="3087" spans="1:6">
      <c r="A3087" t="str">
        <f t="shared" si="48"/>
        <v/>
      </c>
      <c r="E3087" s="626"/>
      <c r="F3087" s="626"/>
    </row>
    <row r="3088" spans="1:6">
      <c r="A3088" t="str">
        <f t="shared" si="48"/>
        <v/>
      </c>
      <c r="E3088" s="626"/>
      <c r="F3088" s="626"/>
    </row>
    <row r="3089" spans="1:6">
      <c r="A3089" t="str">
        <f t="shared" si="48"/>
        <v/>
      </c>
      <c r="E3089" s="626"/>
      <c r="F3089" s="626"/>
    </row>
    <row r="3090" spans="1:6">
      <c r="A3090" t="str">
        <f t="shared" si="48"/>
        <v/>
      </c>
      <c r="E3090" s="626"/>
      <c r="F3090" s="626"/>
    </row>
    <row r="3091" spans="1:6">
      <c r="A3091" t="str">
        <f t="shared" si="48"/>
        <v/>
      </c>
      <c r="E3091" s="626"/>
      <c r="F3091" s="626"/>
    </row>
    <row r="3092" spans="1:6">
      <c r="A3092" t="str">
        <f t="shared" si="48"/>
        <v/>
      </c>
      <c r="E3092" s="626"/>
      <c r="F3092" s="626"/>
    </row>
    <row r="3093" spans="1:6">
      <c r="A3093" t="str">
        <f t="shared" si="48"/>
        <v/>
      </c>
      <c r="E3093" s="626"/>
      <c r="F3093" s="626"/>
    </row>
    <row r="3094" spans="1:6">
      <c r="A3094" t="str">
        <f t="shared" si="48"/>
        <v/>
      </c>
      <c r="E3094" s="626"/>
      <c r="F3094" s="626"/>
    </row>
    <row r="3095" spans="1:6">
      <c r="A3095" t="str">
        <f t="shared" si="48"/>
        <v/>
      </c>
      <c r="E3095" s="626"/>
      <c r="F3095" s="626"/>
    </row>
    <row r="3096" spans="1:6">
      <c r="A3096" t="str">
        <f t="shared" si="48"/>
        <v/>
      </c>
      <c r="E3096" s="626"/>
      <c r="F3096" s="626"/>
    </row>
    <row r="3097" spans="1:6">
      <c r="A3097" t="str">
        <f t="shared" si="48"/>
        <v/>
      </c>
      <c r="E3097" s="626"/>
      <c r="F3097" s="626"/>
    </row>
    <row r="3098" spans="1:6">
      <c r="A3098" t="str">
        <f t="shared" si="48"/>
        <v/>
      </c>
      <c r="E3098" s="626"/>
      <c r="F3098" s="626"/>
    </row>
    <row r="3099" spans="1:6">
      <c r="A3099" t="str">
        <f t="shared" si="48"/>
        <v/>
      </c>
      <c r="E3099" s="626"/>
      <c r="F3099" s="626"/>
    </row>
    <row r="3100" spans="1:6">
      <c r="A3100" t="str">
        <f t="shared" si="48"/>
        <v/>
      </c>
      <c r="E3100" s="626"/>
      <c r="F3100" s="626"/>
    </row>
    <row r="3101" spans="1:6">
      <c r="A3101" t="str">
        <f t="shared" si="48"/>
        <v/>
      </c>
      <c r="E3101" s="626"/>
      <c r="F3101" s="626"/>
    </row>
    <row r="3102" spans="1:6">
      <c r="A3102" t="str">
        <f t="shared" si="48"/>
        <v/>
      </c>
      <c r="E3102" s="626"/>
      <c r="F3102" s="626"/>
    </row>
    <row r="3103" spans="1:6">
      <c r="A3103" t="str">
        <f t="shared" si="48"/>
        <v/>
      </c>
      <c r="E3103" s="626"/>
      <c r="F3103" s="626"/>
    </row>
    <row r="3104" spans="1:6">
      <c r="A3104" t="str">
        <f t="shared" si="48"/>
        <v/>
      </c>
      <c r="E3104" s="626"/>
      <c r="F3104" s="626"/>
    </row>
    <row r="3105" spans="1:6">
      <c r="A3105" t="str">
        <f t="shared" si="48"/>
        <v/>
      </c>
      <c r="E3105" s="626"/>
      <c r="F3105" s="626"/>
    </row>
    <row r="3106" spans="1:6">
      <c r="A3106" t="str">
        <f t="shared" si="48"/>
        <v/>
      </c>
      <c r="E3106" s="626"/>
      <c r="F3106" s="626"/>
    </row>
    <row r="3107" spans="1:6">
      <c r="A3107" t="str">
        <f t="shared" si="48"/>
        <v/>
      </c>
      <c r="E3107" s="626"/>
      <c r="F3107" s="626"/>
    </row>
    <row r="3108" spans="1:6">
      <c r="A3108" t="str">
        <f t="shared" si="48"/>
        <v/>
      </c>
      <c r="E3108" s="626"/>
      <c r="F3108" s="626"/>
    </row>
    <row r="3109" spans="1:6">
      <c r="A3109" t="str">
        <f t="shared" si="48"/>
        <v/>
      </c>
      <c r="E3109" s="626"/>
      <c r="F3109" s="626"/>
    </row>
    <row r="3110" spans="1:6">
      <c r="A3110" t="str">
        <f t="shared" si="48"/>
        <v/>
      </c>
      <c r="E3110" s="626"/>
      <c r="F3110" s="626"/>
    </row>
    <row r="3111" spans="1:6">
      <c r="A3111" t="str">
        <f t="shared" si="48"/>
        <v/>
      </c>
      <c r="E3111" s="626"/>
      <c r="F3111" s="626"/>
    </row>
    <row r="3112" spans="1:6">
      <c r="A3112" t="str">
        <f t="shared" si="48"/>
        <v/>
      </c>
      <c r="E3112" s="626"/>
      <c r="F3112" s="626"/>
    </row>
    <row r="3113" spans="1:6">
      <c r="A3113" t="str">
        <f t="shared" si="48"/>
        <v/>
      </c>
      <c r="E3113" s="626"/>
      <c r="F3113" s="626"/>
    </row>
    <row r="3114" spans="1:6">
      <c r="A3114" t="str">
        <f t="shared" si="48"/>
        <v/>
      </c>
      <c r="E3114" s="626"/>
      <c r="F3114" s="626"/>
    </row>
    <row r="3115" spans="1:6">
      <c r="A3115" t="str">
        <f t="shared" si="48"/>
        <v/>
      </c>
      <c r="E3115" s="626"/>
      <c r="F3115" s="626"/>
    </row>
    <row r="3116" spans="1:6">
      <c r="A3116" t="str">
        <f t="shared" si="48"/>
        <v/>
      </c>
      <c r="E3116" s="626"/>
      <c r="F3116" s="626"/>
    </row>
    <row r="3117" spans="1:6">
      <c r="A3117" t="str">
        <f t="shared" si="48"/>
        <v/>
      </c>
      <c r="E3117" s="626"/>
      <c r="F3117" s="626"/>
    </row>
    <row r="3118" spans="1:6">
      <c r="A3118" t="str">
        <f t="shared" si="48"/>
        <v/>
      </c>
      <c r="E3118" s="626"/>
      <c r="F3118" s="626"/>
    </row>
    <row r="3119" spans="1:6">
      <c r="A3119" t="str">
        <f t="shared" si="48"/>
        <v/>
      </c>
      <c r="E3119" s="626"/>
      <c r="F3119" s="626"/>
    </row>
    <row r="3120" spans="1:6">
      <c r="A3120" t="str">
        <f t="shared" si="48"/>
        <v/>
      </c>
      <c r="E3120" s="626"/>
      <c r="F3120" s="626"/>
    </row>
    <row r="3121" spans="1:6">
      <c r="A3121" t="str">
        <f t="shared" si="48"/>
        <v/>
      </c>
      <c r="E3121" s="626"/>
      <c r="F3121" s="626"/>
    </row>
    <row r="3122" spans="1:6">
      <c r="A3122" t="str">
        <f t="shared" si="48"/>
        <v/>
      </c>
      <c r="E3122" s="626"/>
      <c r="F3122" s="626"/>
    </row>
    <row r="3123" spans="1:6">
      <c r="A3123" t="str">
        <f t="shared" si="48"/>
        <v/>
      </c>
      <c r="E3123" s="626"/>
      <c r="F3123" s="626"/>
    </row>
    <row r="3124" spans="1:6">
      <c r="A3124" t="str">
        <f t="shared" si="48"/>
        <v/>
      </c>
      <c r="E3124" s="626"/>
      <c r="F3124" s="626"/>
    </row>
    <row r="3125" spans="1:6">
      <c r="A3125" t="str">
        <f t="shared" si="48"/>
        <v/>
      </c>
      <c r="E3125" s="626"/>
      <c r="F3125" s="626"/>
    </row>
    <row r="3126" spans="1:6">
      <c r="A3126" t="str">
        <f t="shared" si="48"/>
        <v/>
      </c>
      <c r="E3126" s="626"/>
      <c r="F3126" s="626"/>
    </row>
    <row r="3127" spans="1:6">
      <c r="A3127" t="str">
        <f t="shared" si="48"/>
        <v/>
      </c>
      <c r="E3127" s="626"/>
      <c r="F3127" s="626"/>
    </row>
    <row r="3128" spans="1:6">
      <c r="A3128" t="str">
        <f t="shared" si="48"/>
        <v/>
      </c>
      <c r="E3128" s="626"/>
      <c r="F3128" s="626"/>
    </row>
    <row r="3129" spans="1:6">
      <c r="A3129" t="str">
        <f t="shared" si="48"/>
        <v/>
      </c>
      <c r="E3129" s="626"/>
      <c r="F3129" s="626"/>
    </row>
    <row r="3130" spans="1:6">
      <c r="A3130" t="str">
        <f t="shared" si="48"/>
        <v/>
      </c>
      <c r="E3130" s="626"/>
      <c r="F3130" s="626"/>
    </row>
    <row r="3131" spans="1:6">
      <c r="A3131" t="str">
        <f t="shared" si="48"/>
        <v/>
      </c>
      <c r="E3131" s="626"/>
      <c r="F3131" s="626"/>
    </row>
    <row r="3132" spans="1:6">
      <c r="A3132" t="str">
        <f t="shared" si="48"/>
        <v/>
      </c>
      <c r="E3132" s="626"/>
      <c r="F3132" s="626"/>
    </row>
    <row r="3133" spans="1:6">
      <c r="A3133" t="str">
        <f t="shared" si="48"/>
        <v/>
      </c>
      <c r="E3133" s="626"/>
      <c r="F3133" s="626"/>
    </row>
    <row r="3134" spans="1:6">
      <c r="A3134" t="str">
        <f t="shared" si="48"/>
        <v/>
      </c>
      <c r="E3134" s="626"/>
      <c r="F3134" s="626"/>
    </row>
    <row r="3135" spans="1:6">
      <c r="A3135" t="str">
        <f t="shared" si="48"/>
        <v/>
      </c>
      <c r="E3135" s="626"/>
      <c r="F3135" s="626"/>
    </row>
    <row r="3136" spans="1:6">
      <c r="A3136" t="str">
        <f t="shared" si="48"/>
        <v/>
      </c>
      <c r="E3136" s="626"/>
      <c r="F3136" s="626"/>
    </row>
    <row r="3137" spans="1:6">
      <c r="A3137" t="str">
        <f t="shared" si="48"/>
        <v/>
      </c>
      <c r="E3137" s="626"/>
      <c r="F3137" s="626"/>
    </row>
    <row r="3138" spans="1:6">
      <c r="A3138" t="str">
        <f t="shared" ref="A3138:A3201" si="49">B3138&amp;E3138&amp;J3138</f>
        <v/>
      </c>
      <c r="E3138" s="626"/>
      <c r="F3138" s="626"/>
    </row>
    <row r="3139" spans="1:6">
      <c r="A3139" t="str">
        <f t="shared" si="49"/>
        <v/>
      </c>
      <c r="E3139" s="626"/>
      <c r="F3139" s="626"/>
    </row>
    <row r="3140" spans="1:6">
      <c r="A3140" t="str">
        <f t="shared" si="49"/>
        <v/>
      </c>
      <c r="E3140" s="626"/>
      <c r="F3140" s="626"/>
    </row>
    <row r="3141" spans="1:6">
      <c r="A3141" t="str">
        <f t="shared" si="49"/>
        <v/>
      </c>
      <c r="E3141" s="626"/>
      <c r="F3141" s="626"/>
    </row>
    <row r="3142" spans="1:6">
      <c r="A3142" t="str">
        <f t="shared" si="49"/>
        <v/>
      </c>
      <c r="E3142" s="626"/>
      <c r="F3142" s="626"/>
    </row>
    <row r="3143" spans="1:6">
      <c r="A3143" t="str">
        <f t="shared" si="49"/>
        <v/>
      </c>
      <c r="E3143" s="626"/>
      <c r="F3143" s="626"/>
    </row>
    <row r="3144" spans="1:6">
      <c r="A3144" t="str">
        <f t="shared" si="49"/>
        <v/>
      </c>
      <c r="E3144" s="626"/>
      <c r="F3144" s="626"/>
    </row>
    <row r="3145" spans="1:6">
      <c r="A3145" t="str">
        <f t="shared" si="49"/>
        <v/>
      </c>
      <c r="E3145" s="626"/>
      <c r="F3145" s="626"/>
    </row>
    <row r="3146" spans="1:6">
      <c r="A3146" t="str">
        <f t="shared" si="49"/>
        <v/>
      </c>
      <c r="E3146" s="626"/>
      <c r="F3146" s="626"/>
    </row>
    <row r="3147" spans="1:6">
      <c r="A3147" t="str">
        <f t="shared" si="49"/>
        <v/>
      </c>
      <c r="E3147" s="626"/>
      <c r="F3147" s="626"/>
    </row>
    <row r="3148" spans="1:6">
      <c r="A3148" t="str">
        <f t="shared" si="49"/>
        <v/>
      </c>
      <c r="E3148" s="626"/>
      <c r="F3148" s="626"/>
    </row>
    <row r="3149" spans="1:6">
      <c r="A3149" t="str">
        <f t="shared" si="49"/>
        <v/>
      </c>
      <c r="E3149" s="626"/>
      <c r="F3149" s="626"/>
    </row>
    <row r="3150" spans="1:6">
      <c r="A3150" t="str">
        <f t="shared" si="49"/>
        <v/>
      </c>
      <c r="E3150" s="626"/>
      <c r="F3150" s="626"/>
    </row>
    <row r="3151" spans="1:6">
      <c r="A3151" t="str">
        <f t="shared" si="49"/>
        <v/>
      </c>
      <c r="E3151" s="626"/>
      <c r="F3151" s="626"/>
    </row>
    <row r="3152" spans="1:6">
      <c r="A3152" t="str">
        <f t="shared" si="49"/>
        <v/>
      </c>
      <c r="E3152" s="626"/>
      <c r="F3152" s="626"/>
    </row>
    <row r="3153" spans="1:6">
      <c r="A3153" t="str">
        <f t="shared" si="49"/>
        <v/>
      </c>
      <c r="E3153" s="626"/>
      <c r="F3153" s="626"/>
    </row>
    <row r="3154" spans="1:6">
      <c r="A3154" t="str">
        <f t="shared" si="49"/>
        <v/>
      </c>
      <c r="E3154" s="626"/>
      <c r="F3154" s="626"/>
    </row>
    <row r="3155" spans="1:6">
      <c r="A3155" t="str">
        <f t="shared" si="49"/>
        <v/>
      </c>
      <c r="E3155" s="626"/>
      <c r="F3155" s="626"/>
    </row>
    <row r="3156" spans="1:6">
      <c r="A3156" t="str">
        <f t="shared" si="49"/>
        <v/>
      </c>
      <c r="E3156" s="626"/>
      <c r="F3156" s="626"/>
    </row>
    <row r="3157" spans="1:6">
      <c r="A3157" t="str">
        <f t="shared" si="49"/>
        <v/>
      </c>
      <c r="E3157" s="626"/>
      <c r="F3157" s="626"/>
    </row>
    <row r="3158" spans="1:6">
      <c r="A3158" t="str">
        <f t="shared" si="49"/>
        <v/>
      </c>
      <c r="E3158" s="626"/>
      <c r="F3158" s="626"/>
    </row>
    <row r="3159" spans="1:6">
      <c r="A3159" t="str">
        <f t="shared" si="49"/>
        <v/>
      </c>
      <c r="E3159" s="626"/>
      <c r="F3159" s="626"/>
    </row>
    <row r="3160" spans="1:6">
      <c r="A3160" t="str">
        <f t="shared" si="49"/>
        <v/>
      </c>
      <c r="E3160" s="626"/>
      <c r="F3160" s="626"/>
    </row>
    <row r="3161" spans="1:6">
      <c r="A3161" t="str">
        <f t="shared" si="49"/>
        <v/>
      </c>
      <c r="E3161" s="626"/>
      <c r="F3161" s="626"/>
    </row>
    <row r="3162" spans="1:6">
      <c r="A3162" t="str">
        <f t="shared" si="49"/>
        <v/>
      </c>
      <c r="E3162" s="626"/>
      <c r="F3162" s="626"/>
    </row>
    <row r="3163" spans="1:6">
      <c r="A3163" t="str">
        <f t="shared" si="49"/>
        <v/>
      </c>
      <c r="E3163" s="626"/>
      <c r="F3163" s="626"/>
    </row>
    <row r="3164" spans="1:6">
      <c r="A3164" t="str">
        <f t="shared" si="49"/>
        <v/>
      </c>
      <c r="E3164" s="626"/>
      <c r="F3164" s="626"/>
    </row>
    <row r="3165" spans="1:6">
      <c r="A3165" t="str">
        <f t="shared" si="49"/>
        <v/>
      </c>
      <c r="E3165" s="626"/>
      <c r="F3165" s="626"/>
    </row>
    <row r="3166" spans="1:6">
      <c r="A3166" t="str">
        <f t="shared" si="49"/>
        <v/>
      </c>
      <c r="E3166" s="626"/>
      <c r="F3166" s="626"/>
    </row>
    <row r="3167" spans="1:6">
      <c r="A3167" t="str">
        <f t="shared" si="49"/>
        <v/>
      </c>
      <c r="E3167" s="626"/>
      <c r="F3167" s="626"/>
    </row>
    <row r="3168" spans="1:6">
      <c r="A3168" t="str">
        <f t="shared" si="49"/>
        <v/>
      </c>
      <c r="E3168" s="626"/>
      <c r="F3168" s="626"/>
    </row>
    <row r="3169" spans="1:6">
      <c r="A3169" t="str">
        <f t="shared" si="49"/>
        <v/>
      </c>
      <c r="E3169" s="626"/>
      <c r="F3169" s="626"/>
    </row>
    <row r="3170" spans="1:6">
      <c r="A3170" t="str">
        <f t="shared" si="49"/>
        <v/>
      </c>
      <c r="E3170" s="626"/>
      <c r="F3170" s="626"/>
    </row>
    <row r="3171" spans="1:6">
      <c r="A3171" t="str">
        <f t="shared" si="49"/>
        <v/>
      </c>
      <c r="E3171" s="626"/>
      <c r="F3171" s="626"/>
    </row>
    <row r="3172" spans="1:6">
      <c r="A3172" t="str">
        <f t="shared" si="49"/>
        <v/>
      </c>
      <c r="E3172" s="626"/>
      <c r="F3172" s="626"/>
    </row>
    <row r="3173" spans="1:6">
      <c r="A3173" t="str">
        <f t="shared" si="49"/>
        <v/>
      </c>
      <c r="E3173" s="626"/>
      <c r="F3173" s="626"/>
    </row>
    <row r="3174" spans="1:6">
      <c r="A3174" t="str">
        <f t="shared" si="49"/>
        <v/>
      </c>
      <c r="E3174" s="626"/>
      <c r="F3174" s="626"/>
    </row>
    <row r="3175" spans="1:6">
      <c r="A3175" t="str">
        <f t="shared" si="49"/>
        <v/>
      </c>
      <c r="E3175" s="626"/>
      <c r="F3175" s="626"/>
    </row>
    <row r="3176" spans="1:6">
      <c r="A3176" t="str">
        <f t="shared" si="49"/>
        <v/>
      </c>
      <c r="E3176" s="626"/>
      <c r="F3176" s="626"/>
    </row>
    <row r="3177" spans="1:6">
      <c r="A3177" t="str">
        <f t="shared" si="49"/>
        <v/>
      </c>
      <c r="E3177" s="626"/>
      <c r="F3177" s="626"/>
    </row>
    <row r="3178" spans="1:6">
      <c r="A3178" t="str">
        <f t="shared" si="49"/>
        <v/>
      </c>
      <c r="E3178" s="626"/>
      <c r="F3178" s="626"/>
    </row>
    <row r="3179" spans="1:6">
      <c r="A3179" t="str">
        <f t="shared" si="49"/>
        <v/>
      </c>
      <c r="E3179" s="626"/>
      <c r="F3179" s="626"/>
    </row>
    <row r="3180" spans="1:6">
      <c r="A3180" t="str">
        <f t="shared" si="49"/>
        <v/>
      </c>
      <c r="E3180" s="626"/>
      <c r="F3180" s="626"/>
    </row>
    <row r="3181" spans="1:6">
      <c r="A3181" t="str">
        <f t="shared" si="49"/>
        <v/>
      </c>
      <c r="E3181" s="626"/>
      <c r="F3181" s="626"/>
    </row>
    <row r="3182" spans="1:6">
      <c r="A3182" t="str">
        <f t="shared" si="49"/>
        <v/>
      </c>
      <c r="E3182" s="626"/>
      <c r="F3182" s="626"/>
    </row>
    <row r="3183" spans="1:6">
      <c r="A3183" t="str">
        <f t="shared" si="49"/>
        <v/>
      </c>
      <c r="E3183" s="626"/>
      <c r="F3183" s="626"/>
    </row>
    <row r="3184" spans="1:6">
      <c r="A3184" t="str">
        <f t="shared" si="49"/>
        <v/>
      </c>
      <c r="E3184" s="626"/>
      <c r="F3184" s="626"/>
    </row>
    <row r="3185" spans="1:6">
      <c r="A3185" t="str">
        <f t="shared" si="49"/>
        <v/>
      </c>
      <c r="E3185" s="626"/>
      <c r="F3185" s="626"/>
    </row>
    <row r="3186" spans="1:6">
      <c r="A3186" t="str">
        <f t="shared" si="49"/>
        <v/>
      </c>
      <c r="E3186" s="626"/>
      <c r="F3186" s="626"/>
    </row>
    <row r="3187" spans="1:6">
      <c r="A3187" t="str">
        <f t="shared" si="49"/>
        <v/>
      </c>
      <c r="E3187" s="626"/>
      <c r="F3187" s="626"/>
    </row>
    <row r="3188" spans="1:6">
      <c r="A3188" t="str">
        <f t="shared" si="49"/>
        <v/>
      </c>
      <c r="E3188" s="626"/>
      <c r="F3188" s="626"/>
    </row>
    <row r="3189" spans="1:6">
      <c r="A3189" t="str">
        <f t="shared" si="49"/>
        <v/>
      </c>
      <c r="E3189" s="626"/>
      <c r="F3189" s="626"/>
    </row>
    <row r="3190" spans="1:6">
      <c r="A3190" t="str">
        <f t="shared" si="49"/>
        <v/>
      </c>
      <c r="E3190" s="626"/>
      <c r="F3190" s="626"/>
    </row>
    <row r="3191" spans="1:6">
      <c r="A3191" t="str">
        <f t="shared" si="49"/>
        <v/>
      </c>
      <c r="E3191" s="626"/>
      <c r="F3191" s="626"/>
    </row>
    <row r="3192" spans="1:6">
      <c r="A3192" t="str">
        <f t="shared" si="49"/>
        <v/>
      </c>
      <c r="E3192" s="626"/>
      <c r="F3192" s="626"/>
    </row>
    <row r="3193" spans="1:6">
      <c r="A3193" t="str">
        <f t="shared" si="49"/>
        <v/>
      </c>
      <c r="E3193" s="626"/>
      <c r="F3193" s="626"/>
    </row>
    <row r="3194" spans="1:6">
      <c r="A3194" t="str">
        <f t="shared" si="49"/>
        <v/>
      </c>
      <c r="E3194" s="626"/>
      <c r="F3194" s="626"/>
    </row>
    <row r="3195" spans="1:6">
      <c r="A3195" t="str">
        <f t="shared" si="49"/>
        <v/>
      </c>
      <c r="E3195" s="626"/>
      <c r="F3195" s="626"/>
    </row>
    <row r="3196" spans="1:6">
      <c r="A3196" t="str">
        <f t="shared" si="49"/>
        <v/>
      </c>
      <c r="E3196" s="626"/>
      <c r="F3196" s="626"/>
    </row>
    <row r="3197" spans="1:6">
      <c r="A3197" t="str">
        <f t="shared" si="49"/>
        <v/>
      </c>
      <c r="E3197" s="626"/>
      <c r="F3197" s="626"/>
    </row>
    <row r="3198" spans="1:6">
      <c r="A3198" t="str">
        <f t="shared" si="49"/>
        <v/>
      </c>
      <c r="E3198" s="626"/>
      <c r="F3198" s="626"/>
    </row>
    <row r="3199" spans="1:6">
      <c r="A3199" t="str">
        <f t="shared" si="49"/>
        <v/>
      </c>
      <c r="E3199" s="626"/>
      <c r="F3199" s="626"/>
    </row>
    <row r="3200" spans="1:6">
      <c r="A3200" t="str">
        <f t="shared" si="49"/>
        <v/>
      </c>
      <c r="E3200" s="626"/>
      <c r="F3200" s="626"/>
    </row>
    <row r="3201" spans="1:6">
      <c r="A3201" t="str">
        <f t="shared" si="49"/>
        <v/>
      </c>
      <c r="E3201" s="626"/>
      <c r="F3201" s="626"/>
    </row>
    <row r="3202" spans="1:6">
      <c r="A3202" t="str">
        <f t="shared" ref="A3202:A3265" si="50">B3202&amp;E3202&amp;J3202</f>
        <v/>
      </c>
      <c r="E3202" s="626"/>
      <c r="F3202" s="626"/>
    </row>
    <row r="3203" spans="1:6">
      <c r="A3203" t="str">
        <f t="shared" si="50"/>
        <v/>
      </c>
      <c r="E3203" s="626"/>
      <c r="F3203" s="626"/>
    </row>
    <row r="3204" spans="1:6">
      <c r="A3204" t="str">
        <f t="shared" si="50"/>
        <v/>
      </c>
      <c r="E3204" s="626"/>
      <c r="F3204" s="626"/>
    </row>
    <row r="3205" spans="1:6">
      <c r="A3205" t="str">
        <f t="shared" si="50"/>
        <v/>
      </c>
      <c r="E3205" s="626"/>
      <c r="F3205" s="626"/>
    </row>
    <row r="3206" spans="1:6">
      <c r="A3206" t="str">
        <f t="shared" si="50"/>
        <v/>
      </c>
      <c r="E3206" s="626"/>
      <c r="F3206" s="626"/>
    </row>
    <row r="3207" spans="1:6">
      <c r="A3207" t="str">
        <f t="shared" si="50"/>
        <v/>
      </c>
      <c r="E3207" s="626"/>
      <c r="F3207" s="626"/>
    </row>
    <row r="3208" spans="1:6">
      <c r="A3208" t="str">
        <f t="shared" si="50"/>
        <v/>
      </c>
      <c r="E3208" s="626"/>
      <c r="F3208" s="626"/>
    </row>
    <row r="3209" spans="1:6">
      <c r="A3209" t="str">
        <f t="shared" si="50"/>
        <v/>
      </c>
      <c r="E3209" s="626"/>
      <c r="F3209" s="626"/>
    </row>
    <row r="3210" spans="1:6">
      <c r="A3210" t="str">
        <f t="shared" si="50"/>
        <v/>
      </c>
      <c r="E3210" s="626"/>
      <c r="F3210" s="626"/>
    </row>
    <row r="3211" spans="1:6">
      <c r="A3211" t="str">
        <f t="shared" si="50"/>
        <v/>
      </c>
      <c r="E3211" s="626"/>
      <c r="F3211" s="626"/>
    </row>
    <row r="3212" spans="1:6">
      <c r="A3212" t="str">
        <f t="shared" si="50"/>
        <v/>
      </c>
      <c r="E3212" s="626"/>
      <c r="F3212" s="626"/>
    </row>
    <row r="3213" spans="1:6">
      <c r="A3213" t="str">
        <f t="shared" si="50"/>
        <v/>
      </c>
      <c r="E3213" s="626"/>
      <c r="F3213" s="626"/>
    </row>
    <row r="3214" spans="1:6">
      <c r="A3214" t="str">
        <f t="shared" si="50"/>
        <v/>
      </c>
      <c r="E3214" s="626"/>
      <c r="F3214" s="626"/>
    </row>
    <row r="3215" spans="1:6">
      <c r="A3215" t="str">
        <f t="shared" si="50"/>
        <v/>
      </c>
      <c r="E3215" s="626"/>
      <c r="F3215" s="626"/>
    </row>
    <row r="3216" spans="1:6">
      <c r="A3216" t="str">
        <f t="shared" si="50"/>
        <v/>
      </c>
      <c r="E3216" s="626"/>
      <c r="F3216" s="626"/>
    </row>
    <row r="3217" spans="1:6">
      <c r="A3217" t="str">
        <f t="shared" si="50"/>
        <v/>
      </c>
      <c r="E3217" s="626"/>
      <c r="F3217" s="626"/>
    </row>
    <row r="3218" spans="1:6">
      <c r="A3218" t="str">
        <f t="shared" si="50"/>
        <v/>
      </c>
      <c r="E3218" s="626"/>
      <c r="F3218" s="626"/>
    </row>
    <row r="3219" spans="1:6">
      <c r="A3219" t="str">
        <f t="shared" si="50"/>
        <v/>
      </c>
      <c r="E3219" s="626"/>
      <c r="F3219" s="626"/>
    </row>
    <row r="3220" spans="1:6">
      <c r="A3220" t="str">
        <f t="shared" si="50"/>
        <v/>
      </c>
      <c r="E3220" s="626"/>
      <c r="F3220" s="626"/>
    </row>
    <row r="3221" spans="1:6">
      <c r="A3221" t="str">
        <f t="shared" si="50"/>
        <v/>
      </c>
      <c r="E3221" s="626"/>
      <c r="F3221" s="626"/>
    </row>
    <row r="3222" spans="1:6">
      <c r="A3222" t="str">
        <f t="shared" si="50"/>
        <v/>
      </c>
      <c r="E3222" s="626"/>
      <c r="F3222" s="626"/>
    </row>
    <row r="3223" spans="1:6">
      <c r="A3223" t="str">
        <f t="shared" si="50"/>
        <v/>
      </c>
      <c r="E3223" s="626"/>
      <c r="F3223" s="626"/>
    </row>
    <row r="3224" spans="1:6">
      <c r="A3224" t="str">
        <f t="shared" si="50"/>
        <v/>
      </c>
      <c r="E3224" s="626"/>
      <c r="F3224" s="626"/>
    </row>
    <row r="3225" spans="1:6">
      <c r="A3225" t="str">
        <f t="shared" si="50"/>
        <v/>
      </c>
      <c r="E3225" s="626"/>
      <c r="F3225" s="626"/>
    </row>
    <row r="3226" spans="1:6">
      <c r="A3226" t="str">
        <f t="shared" si="50"/>
        <v/>
      </c>
      <c r="E3226" s="626"/>
      <c r="F3226" s="626"/>
    </row>
    <row r="3227" spans="1:6">
      <c r="A3227" t="str">
        <f t="shared" si="50"/>
        <v/>
      </c>
      <c r="E3227" s="626"/>
      <c r="F3227" s="626"/>
    </row>
    <row r="3228" spans="1:6">
      <c r="A3228" t="str">
        <f t="shared" si="50"/>
        <v/>
      </c>
      <c r="E3228" s="626"/>
      <c r="F3228" s="626"/>
    </row>
    <row r="3229" spans="1:6">
      <c r="A3229" t="str">
        <f t="shared" si="50"/>
        <v/>
      </c>
      <c r="E3229" s="626"/>
      <c r="F3229" s="626"/>
    </row>
    <row r="3230" spans="1:6">
      <c r="A3230" t="str">
        <f t="shared" si="50"/>
        <v/>
      </c>
      <c r="E3230" s="626"/>
      <c r="F3230" s="626"/>
    </row>
    <row r="3231" spans="1:6">
      <c r="A3231" t="str">
        <f t="shared" si="50"/>
        <v/>
      </c>
      <c r="E3231" s="626"/>
      <c r="F3231" s="626"/>
    </row>
    <row r="3232" spans="1:6">
      <c r="A3232" t="str">
        <f t="shared" si="50"/>
        <v/>
      </c>
      <c r="E3232" s="626"/>
      <c r="F3232" s="626"/>
    </row>
    <row r="3233" spans="1:6">
      <c r="A3233" t="str">
        <f t="shared" si="50"/>
        <v/>
      </c>
      <c r="E3233" s="626"/>
      <c r="F3233" s="626"/>
    </row>
    <row r="3234" spans="1:6">
      <c r="A3234" t="str">
        <f t="shared" si="50"/>
        <v/>
      </c>
      <c r="E3234" s="626"/>
      <c r="F3234" s="626"/>
    </row>
    <row r="3235" spans="1:6">
      <c r="A3235" t="str">
        <f t="shared" si="50"/>
        <v/>
      </c>
      <c r="E3235" s="626"/>
      <c r="F3235" s="626"/>
    </row>
    <row r="3236" spans="1:6">
      <c r="A3236" t="str">
        <f t="shared" si="50"/>
        <v/>
      </c>
      <c r="E3236" s="626"/>
      <c r="F3236" s="626"/>
    </row>
    <row r="3237" spans="1:6">
      <c r="A3237" t="str">
        <f t="shared" si="50"/>
        <v/>
      </c>
      <c r="E3237" s="626"/>
      <c r="F3237" s="626"/>
    </row>
    <row r="3238" spans="1:6">
      <c r="A3238" t="str">
        <f t="shared" si="50"/>
        <v/>
      </c>
      <c r="E3238" s="626"/>
      <c r="F3238" s="626"/>
    </row>
    <row r="3239" spans="1:6">
      <c r="A3239" t="str">
        <f t="shared" si="50"/>
        <v/>
      </c>
      <c r="E3239" s="626"/>
      <c r="F3239" s="626"/>
    </row>
    <row r="3240" spans="1:6">
      <c r="A3240" t="str">
        <f t="shared" si="50"/>
        <v/>
      </c>
      <c r="E3240" s="626"/>
      <c r="F3240" s="626"/>
    </row>
    <row r="3241" spans="1:6">
      <c r="A3241" t="str">
        <f t="shared" si="50"/>
        <v/>
      </c>
      <c r="E3241" s="626"/>
      <c r="F3241" s="626"/>
    </row>
    <row r="3242" spans="1:6">
      <c r="A3242" t="str">
        <f t="shared" si="50"/>
        <v/>
      </c>
      <c r="E3242" s="626"/>
      <c r="F3242" s="626"/>
    </row>
    <row r="3243" spans="1:6">
      <c r="A3243" t="str">
        <f t="shared" si="50"/>
        <v/>
      </c>
      <c r="E3243" s="626"/>
      <c r="F3243" s="626"/>
    </row>
    <row r="3244" spans="1:6">
      <c r="A3244" t="str">
        <f t="shared" si="50"/>
        <v/>
      </c>
      <c r="E3244" s="626"/>
      <c r="F3244" s="626"/>
    </row>
    <row r="3245" spans="1:6">
      <c r="A3245" t="str">
        <f t="shared" si="50"/>
        <v/>
      </c>
      <c r="E3245" s="626"/>
      <c r="F3245" s="626"/>
    </row>
    <row r="3246" spans="1:6">
      <c r="A3246" t="str">
        <f t="shared" si="50"/>
        <v/>
      </c>
      <c r="E3246" s="626"/>
      <c r="F3246" s="626"/>
    </row>
    <row r="3247" spans="1:6">
      <c r="A3247" t="str">
        <f t="shared" si="50"/>
        <v/>
      </c>
      <c r="E3247" s="626"/>
      <c r="F3247" s="626"/>
    </row>
    <row r="3248" spans="1:6">
      <c r="A3248" t="str">
        <f t="shared" si="50"/>
        <v/>
      </c>
      <c r="E3248" s="626"/>
      <c r="F3248" s="626"/>
    </row>
    <row r="3249" spans="1:6">
      <c r="A3249" t="str">
        <f t="shared" si="50"/>
        <v/>
      </c>
      <c r="E3249" s="626"/>
      <c r="F3249" s="626"/>
    </row>
    <row r="3250" spans="1:6">
      <c r="A3250" t="str">
        <f t="shared" si="50"/>
        <v/>
      </c>
      <c r="E3250" s="626"/>
      <c r="F3250" s="626"/>
    </row>
    <row r="3251" spans="1:6">
      <c r="A3251" t="str">
        <f t="shared" si="50"/>
        <v/>
      </c>
      <c r="E3251" s="626"/>
      <c r="F3251" s="626"/>
    </row>
    <row r="3252" spans="1:6">
      <c r="A3252" t="str">
        <f t="shared" si="50"/>
        <v/>
      </c>
      <c r="E3252" s="626"/>
      <c r="F3252" s="626"/>
    </row>
    <row r="3253" spans="1:6">
      <c r="A3253" t="str">
        <f t="shared" si="50"/>
        <v/>
      </c>
      <c r="E3253" s="626"/>
      <c r="F3253" s="626"/>
    </row>
    <row r="3254" spans="1:6">
      <c r="A3254" t="str">
        <f t="shared" si="50"/>
        <v/>
      </c>
      <c r="E3254" s="626"/>
      <c r="F3254" s="626"/>
    </row>
    <row r="3255" spans="1:6">
      <c r="A3255" t="str">
        <f t="shared" si="50"/>
        <v/>
      </c>
      <c r="E3255" s="626"/>
      <c r="F3255" s="626"/>
    </row>
    <row r="3256" spans="1:6">
      <c r="A3256" t="str">
        <f t="shared" si="50"/>
        <v/>
      </c>
      <c r="E3256" s="626"/>
      <c r="F3256" s="626"/>
    </row>
    <row r="3257" spans="1:6">
      <c r="A3257" t="str">
        <f t="shared" si="50"/>
        <v/>
      </c>
      <c r="E3257" s="626"/>
      <c r="F3257" s="626"/>
    </row>
    <row r="3258" spans="1:6">
      <c r="A3258" t="str">
        <f t="shared" si="50"/>
        <v/>
      </c>
      <c r="E3258" s="626"/>
      <c r="F3258" s="626"/>
    </row>
    <row r="3259" spans="1:6">
      <c r="A3259" t="str">
        <f t="shared" si="50"/>
        <v/>
      </c>
      <c r="E3259" s="626"/>
      <c r="F3259" s="626"/>
    </row>
    <row r="3260" spans="1:6">
      <c r="A3260" t="str">
        <f t="shared" si="50"/>
        <v/>
      </c>
      <c r="E3260" s="626"/>
      <c r="F3260" s="626"/>
    </row>
    <row r="3261" spans="1:6">
      <c r="A3261" t="str">
        <f t="shared" si="50"/>
        <v/>
      </c>
      <c r="E3261" s="626"/>
      <c r="F3261" s="626"/>
    </row>
    <row r="3262" spans="1:6">
      <c r="A3262" t="str">
        <f t="shared" si="50"/>
        <v/>
      </c>
      <c r="E3262" s="626"/>
      <c r="F3262" s="626"/>
    </row>
    <row r="3263" spans="1:6">
      <c r="A3263" t="str">
        <f t="shared" si="50"/>
        <v/>
      </c>
      <c r="E3263" s="626"/>
      <c r="F3263" s="626"/>
    </row>
    <row r="3264" spans="1:6">
      <c r="A3264" t="str">
        <f t="shared" si="50"/>
        <v/>
      </c>
      <c r="E3264" s="626"/>
      <c r="F3264" s="626"/>
    </row>
    <row r="3265" spans="1:6">
      <c r="A3265" t="str">
        <f t="shared" si="50"/>
        <v/>
      </c>
      <c r="E3265" s="626"/>
      <c r="F3265" s="626"/>
    </row>
    <row r="3266" spans="1:6">
      <c r="A3266" t="str">
        <f t="shared" ref="A3266:A3329" si="51">B3266&amp;E3266&amp;J3266</f>
        <v/>
      </c>
      <c r="E3266" s="626"/>
      <c r="F3266" s="626"/>
    </row>
    <row r="3267" spans="1:6">
      <c r="A3267" t="str">
        <f t="shared" si="51"/>
        <v/>
      </c>
      <c r="E3267" s="626"/>
      <c r="F3267" s="626"/>
    </row>
    <row r="3268" spans="1:6">
      <c r="A3268" t="str">
        <f t="shared" si="51"/>
        <v/>
      </c>
      <c r="E3268" s="626"/>
      <c r="F3268" s="626"/>
    </row>
    <row r="3269" spans="1:6">
      <c r="A3269" t="str">
        <f t="shared" si="51"/>
        <v/>
      </c>
      <c r="E3269" s="626"/>
      <c r="F3269" s="626"/>
    </row>
    <row r="3270" spans="1:6">
      <c r="A3270" t="str">
        <f t="shared" si="51"/>
        <v/>
      </c>
      <c r="E3270" s="626"/>
      <c r="F3270" s="626"/>
    </row>
    <row r="3271" spans="1:6">
      <c r="A3271" t="str">
        <f t="shared" si="51"/>
        <v/>
      </c>
      <c r="E3271" s="626"/>
      <c r="F3271" s="626"/>
    </row>
    <row r="3272" spans="1:6">
      <c r="A3272" t="str">
        <f t="shared" si="51"/>
        <v/>
      </c>
      <c r="E3272" s="626"/>
      <c r="F3272" s="626"/>
    </row>
    <row r="3273" spans="1:6">
      <c r="A3273" t="str">
        <f t="shared" si="51"/>
        <v/>
      </c>
      <c r="E3273" s="626"/>
      <c r="F3273" s="626"/>
    </row>
    <row r="3274" spans="1:6">
      <c r="A3274" t="str">
        <f t="shared" si="51"/>
        <v/>
      </c>
      <c r="E3274" s="626"/>
      <c r="F3274" s="626"/>
    </row>
    <row r="3275" spans="1:6">
      <c r="A3275" t="str">
        <f t="shared" si="51"/>
        <v/>
      </c>
      <c r="E3275" s="626"/>
      <c r="F3275" s="626"/>
    </row>
    <row r="3276" spans="1:6">
      <c r="A3276" t="str">
        <f t="shared" si="51"/>
        <v/>
      </c>
      <c r="E3276" s="626"/>
      <c r="F3276" s="626"/>
    </row>
    <row r="3277" spans="1:6">
      <c r="A3277" t="str">
        <f t="shared" si="51"/>
        <v/>
      </c>
      <c r="E3277" s="626"/>
      <c r="F3277" s="626"/>
    </row>
    <row r="3278" spans="1:6">
      <c r="A3278" t="str">
        <f t="shared" si="51"/>
        <v/>
      </c>
      <c r="E3278" s="626"/>
      <c r="F3278" s="626"/>
    </row>
    <row r="3279" spans="1:6">
      <c r="A3279" t="str">
        <f t="shared" si="51"/>
        <v/>
      </c>
      <c r="E3279" s="626"/>
      <c r="F3279" s="626"/>
    </row>
    <row r="3280" spans="1:6">
      <c r="A3280" t="str">
        <f t="shared" si="51"/>
        <v/>
      </c>
      <c r="E3280" s="626"/>
      <c r="F3280" s="626"/>
    </row>
    <row r="3281" spans="1:6">
      <c r="A3281" t="str">
        <f t="shared" si="51"/>
        <v/>
      </c>
      <c r="E3281" s="626"/>
      <c r="F3281" s="626"/>
    </row>
    <row r="3282" spans="1:6">
      <c r="A3282" t="str">
        <f t="shared" si="51"/>
        <v/>
      </c>
      <c r="E3282" s="626"/>
      <c r="F3282" s="626"/>
    </row>
    <row r="3283" spans="1:6">
      <c r="A3283" t="str">
        <f t="shared" si="51"/>
        <v/>
      </c>
      <c r="E3283" s="626"/>
      <c r="F3283" s="626"/>
    </row>
    <row r="3284" spans="1:6">
      <c r="A3284" t="str">
        <f t="shared" si="51"/>
        <v/>
      </c>
      <c r="E3284" s="626"/>
      <c r="F3284" s="626"/>
    </row>
    <row r="3285" spans="1:6">
      <c r="A3285" t="str">
        <f t="shared" si="51"/>
        <v/>
      </c>
      <c r="E3285" s="626"/>
      <c r="F3285" s="626"/>
    </row>
    <row r="3286" spans="1:6">
      <c r="A3286" t="str">
        <f t="shared" si="51"/>
        <v/>
      </c>
      <c r="E3286" s="626"/>
      <c r="F3286" s="626"/>
    </row>
    <row r="3287" spans="1:6">
      <c r="A3287" t="str">
        <f t="shared" si="51"/>
        <v/>
      </c>
      <c r="E3287" s="626"/>
      <c r="F3287" s="626"/>
    </row>
    <row r="3288" spans="1:6">
      <c r="A3288" t="str">
        <f t="shared" si="51"/>
        <v/>
      </c>
      <c r="E3288" s="626"/>
      <c r="F3288" s="626"/>
    </row>
    <row r="3289" spans="1:6">
      <c r="A3289" t="str">
        <f t="shared" si="51"/>
        <v/>
      </c>
      <c r="E3289" s="626"/>
      <c r="F3289" s="626"/>
    </row>
    <row r="3290" spans="1:6">
      <c r="A3290" t="str">
        <f t="shared" si="51"/>
        <v/>
      </c>
      <c r="E3290" s="626"/>
      <c r="F3290" s="626"/>
    </row>
    <row r="3291" spans="1:6">
      <c r="A3291" t="str">
        <f t="shared" si="51"/>
        <v/>
      </c>
      <c r="E3291" s="626"/>
      <c r="F3291" s="626"/>
    </row>
    <row r="3292" spans="1:6">
      <c r="A3292" t="str">
        <f t="shared" si="51"/>
        <v/>
      </c>
      <c r="E3292" s="626"/>
      <c r="F3292" s="626"/>
    </row>
    <row r="3293" spans="1:6">
      <c r="A3293" t="str">
        <f t="shared" si="51"/>
        <v/>
      </c>
      <c r="E3293" s="626"/>
      <c r="F3293" s="626"/>
    </row>
    <row r="3294" spans="1:6">
      <c r="A3294" t="str">
        <f t="shared" si="51"/>
        <v/>
      </c>
      <c r="E3294" s="626"/>
      <c r="F3294" s="626"/>
    </row>
    <row r="3295" spans="1:6">
      <c r="A3295" t="str">
        <f t="shared" si="51"/>
        <v/>
      </c>
      <c r="E3295" s="626"/>
      <c r="F3295" s="626"/>
    </row>
    <row r="3296" spans="1:6">
      <c r="A3296" t="str">
        <f t="shared" si="51"/>
        <v/>
      </c>
      <c r="E3296" s="626"/>
      <c r="F3296" s="626"/>
    </row>
    <row r="3297" spans="1:6">
      <c r="A3297" t="str">
        <f t="shared" si="51"/>
        <v/>
      </c>
      <c r="E3297" s="626"/>
      <c r="F3297" s="626"/>
    </row>
    <row r="3298" spans="1:6">
      <c r="A3298" t="str">
        <f t="shared" si="51"/>
        <v/>
      </c>
      <c r="E3298" s="626"/>
      <c r="F3298" s="626"/>
    </row>
    <row r="3299" spans="1:6">
      <c r="A3299" t="str">
        <f t="shared" si="51"/>
        <v/>
      </c>
      <c r="E3299" s="626"/>
      <c r="F3299" s="626"/>
    </row>
    <row r="3300" spans="1:6">
      <c r="A3300" t="str">
        <f t="shared" si="51"/>
        <v/>
      </c>
      <c r="E3300" s="626"/>
      <c r="F3300" s="626"/>
    </row>
    <row r="3301" spans="1:6">
      <c r="A3301" t="str">
        <f t="shared" si="51"/>
        <v/>
      </c>
      <c r="E3301" s="626"/>
      <c r="F3301" s="626"/>
    </row>
    <row r="3302" spans="1:6">
      <c r="A3302" t="str">
        <f t="shared" si="51"/>
        <v/>
      </c>
      <c r="E3302" s="626"/>
      <c r="F3302" s="626"/>
    </row>
    <row r="3303" spans="1:6">
      <c r="A3303" t="str">
        <f t="shared" si="51"/>
        <v/>
      </c>
      <c r="E3303" s="626"/>
      <c r="F3303" s="626"/>
    </row>
    <row r="3304" spans="1:6">
      <c r="A3304" t="str">
        <f t="shared" si="51"/>
        <v/>
      </c>
      <c r="E3304" s="626"/>
      <c r="F3304" s="626"/>
    </row>
    <row r="3305" spans="1:6">
      <c r="A3305" t="str">
        <f t="shared" si="51"/>
        <v/>
      </c>
      <c r="E3305" s="626"/>
      <c r="F3305" s="626"/>
    </row>
    <row r="3306" spans="1:6">
      <c r="A3306" t="str">
        <f t="shared" si="51"/>
        <v/>
      </c>
      <c r="E3306" s="626"/>
      <c r="F3306" s="626"/>
    </row>
    <row r="3307" spans="1:6">
      <c r="A3307" t="str">
        <f t="shared" si="51"/>
        <v/>
      </c>
      <c r="E3307" s="626"/>
      <c r="F3307" s="626"/>
    </row>
    <row r="3308" spans="1:6">
      <c r="A3308" t="str">
        <f t="shared" si="51"/>
        <v/>
      </c>
      <c r="E3308" s="626"/>
      <c r="F3308" s="626"/>
    </row>
    <row r="3309" spans="1:6">
      <c r="A3309" t="str">
        <f t="shared" si="51"/>
        <v/>
      </c>
      <c r="E3309" s="626"/>
      <c r="F3309" s="626"/>
    </row>
    <row r="3310" spans="1:6">
      <c r="A3310" t="str">
        <f t="shared" si="51"/>
        <v/>
      </c>
      <c r="E3310" s="626"/>
      <c r="F3310" s="626"/>
    </row>
    <row r="3311" spans="1:6">
      <c r="A3311" t="str">
        <f t="shared" si="51"/>
        <v/>
      </c>
      <c r="E3311" s="626"/>
      <c r="F3311" s="626"/>
    </row>
    <row r="3312" spans="1:6">
      <c r="A3312" t="str">
        <f t="shared" si="51"/>
        <v/>
      </c>
      <c r="E3312" s="626"/>
      <c r="F3312" s="626"/>
    </row>
    <row r="3313" spans="1:6">
      <c r="A3313" t="str">
        <f t="shared" si="51"/>
        <v/>
      </c>
      <c r="E3313" s="626"/>
      <c r="F3313" s="626"/>
    </row>
    <row r="3314" spans="1:6">
      <c r="A3314" t="str">
        <f t="shared" si="51"/>
        <v/>
      </c>
      <c r="E3314" s="626"/>
      <c r="F3314" s="626"/>
    </row>
    <row r="3315" spans="1:6">
      <c r="A3315" t="str">
        <f t="shared" si="51"/>
        <v/>
      </c>
      <c r="E3315" s="626"/>
      <c r="F3315" s="626"/>
    </row>
    <row r="3316" spans="1:6">
      <c r="A3316" t="str">
        <f t="shared" si="51"/>
        <v/>
      </c>
      <c r="E3316" s="626"/>
      <c r="F3316" s="626"/>
    </row>
    <row r="3317" spans="1:6">
      <c r="A3317" t="str">
        <f t="shared" si="51"/>
        <v/>
      </c>
      <c r="E3317" s="626"/>
      <c r="F3317" s="626"/>
    </row>
    <row r="3318" spans="1:6">
      <c r="A3318" t="str">
        <f t="shared" si="51"/>
        <v/>
      </c>
      <c r="E3318" s="626"/>
      <c r="F3318" s="626"/>
    </row>
    <row r="3319" spans="1:6">
      <c r="A3319" t="str">
        <f t="shared" si="51"/>
        <v/>
      </c>
      <c r="E3319" s="626"/>
      <c r="F3319" s="626"/>
    </row>
    <row r="3320" spans="1:6">
      <c r="A3320" t="str">
        <f t="shared" si="51"/>
        <v/>
      </c>
      <c r="E3320" s="626"/>
      <c r="F3320" s="626"/>
    </row>
    <row r="3321" spans="1:6">
      <c r="A3321" t="str">
        <f t="shared" si="51"/>
        <v/>
      </c>
      <c r="E3321" s="626"/>
      <c r="F3321" s="626"/>
    </row>
    <row r="3322" spans="1:6">
      <c r="A3322" t="str">
        <f t="shared" si="51"/>
        <v/>
      </c>
      <c r="E3322" s="626"/>
      <c r="F3322" s="626"/>
    </row>
    <row r="3323" spans="1:6">
      <c r="A3323" t="str">
        <f t="shared" si="51"/>
        <v/>
      </c>
      <c r="E3323" s="626"/>
      <c r="F3323" s="626"/>
    </row>
    <row r="3324" spans="1:6">
      <c r="A3324" t="str">
        <f t="shared" si="51"/>
        <v/>
      </c>
      <c r="E3324" s="626"/>
      <c r="F3324" s="626"/>
    </row>
    <row r="3325" spans="1:6">
      <c r="A3325" t="str">
        <f t="shared" si="51"/>
        <v/>
      </c>
      <c r="E3325" s="626"/>
      <c r="F3325" s="626"/>
    </row>
    <row r="3326" spans="1:6">
      <c r="A3326" t="str">
        <f t="shared" si="51"/>
        <v/>
      </c>
      <c r="E3326" s="626"/>
      <c r="F3326" s="626"/>
    </row>
    <row r="3327" spans="1:6">
      <c r="A3327" t="str">
        <f t="shared" si="51"/>
        <v/>
      </c>
      <c r="E3327" s="626"/>
      <c r="F3327" s="626"/>
    </row>
    <row r="3328" spans="1:6">
      <c r="A3328" t="str">
        <f t="shared" si="51"/>
        <v/>
      </c>
      <c r="E3328" s="626"/>
      <c r="F3328" s="626"/>
    </row>
    <row r="3329" spans="1:6">
      <c r="A3329" t="str">
        <f t="shared" si="51"/>
        <v/>
      </c>
      <c r="E3329" s="626"/>
      <c r="F3329" s="626"/>
    </row>
    <row r="3330" spans="1:6">
      <c r="A3330" t="str">
        <f t="shared" ref="A3330:A3393" si="52">B3330&amp;E3330&amp;J3330</f>
        <v/>
      </c>
      <c r="E3330" s="626"/>
      <c r="F3330" s="626"/>
    </row>
    <row r="3331" spans="1:6">
      <c r="A3331" t="str">
        <f t="shared" si="52"/>
        <v/>
      </c>
      <c r="E3331" s="626"/>
      <c r="F3331" s="626"/>
    </row>
    <row r="3332" spans="1:6">
      <c r="A3332" t="str">
        <f t="shared" si="52"/>
        <v/>
      </c>
      <c r="E3332" s="626"/>
      <c r="F3332" s="626"/>
    </row>
    <row r="3333" spans="1:6">
      <c r="A3333" t="str">
        <f t="shared" si="52"/>
        <v/>
      </c>
      <c r="E3333" s="626"/>
      <c r="F3333" s="626"/>
    </row>
    <row r="3334" spans="1:6">
      <c r="A3334" t="str">
        <f t="shared" si="52"/>
        <v/>
      </c>
      <c r="E3334" s="626"/>
      <c r="F3334" s="626"/>
    </row>
    <row r="3335" spans="1:6">
      <c r="A3335" t="str">
        <f t="shared" si="52"/>
        <v/>
      </c>
      <c r="E3335" s="626"/>
      <c r="F3335" s="626"/>
    </row>
    <row r="3336" spans="1:6">
      <c r="A3336" t="str">
        <f t="shared" si="52"/>
        <v/>
      </c>
      <c r="E3336" s="626"/>
      <c r="F3336" s="626"/>
    </row>
    <row r="3337" spans="1:6">
      <c r="A3337" t="str">
        <f t="shared" si="52"/>
        <v/>
      </c>
      <c r="E3337" s="626"/>
      <c r="F3337" s="626"/>
    </row>
    <row r="3338" spans="1:6">
      <c r="A3338" t="str">
        <f t="shared" si="52"/>
        <v/>
      </c>
      <c r="E3338" s="626"/>
      <c r="F3338" s="626"/>
    </row>
    <row r="3339" spans="1:6">
      <c r="A3339" t="str">
        <f t="shared" si="52"/>
        <v/>
      </c>
      <c r="E3339" s="626"/>
      <c r="F3339" s="626"/>
    </row>
    <row r="3340" spans="1:6">
      <c r="A3340" t="str">
        <f t="shared" si="52"/>
        <v/>
      </c>
      <c r="E3340" s="626"/>
      <c r="F3340" s="626"/>
    </row>
    <row r="3341" spans="1:6">
      <c r="A3341" t="str">
        <f t="shared" si="52"/>
        <v/>
      </c>
      <c r="E3341" s="626"/>
      <c r="F3341" s="626"/>
    </row>
    <row r="3342" spans="1:6">
      <c r="A3342" t="str">
        <f t="shared" si="52"/>
        <v/>
      </c>
      <c r="E3342" s="626"/>
      <c r="F3342" s="626"/>
    </row>
    <row r="3343" spans="1:6">
      <c r="A3343" t="str">
        <f t="shared" si="52"/>
        <v/>
      </c>
      <c r="E3343" s="626"/>
      <c r="F3343" s="626"/>
    </row>
    <row r="3344" spans="1:6">
      <c r="A3344" t="str">
        <f t="shared" si="52"/>
        <v/>
      </c>
      <c r="E3344" s="626"/>
      <c r="F3344" s="626"/>
    </row>
    <row r="3345" spans="1:6">
      <c r="A3345" t="str">
        <f t="shared" si="52"/>
        <v/>
      </c>
      <c r="E3345" s="626"/>
      <c r="F3345" s="626"/>
    </row>
    <row r="3346" spans="1:6">
      <c r="A3346" t="str">
        <f t="shared" si="52"/>
        <v/>
      </c>
      <c r="E3346" s="626"/>
      <c r="F3346" s="626"/>
    </row>
    <row r="3347" spans="1:6">
      <c r="A3347" t="str">
        <f t="shared" si="52"/>
        <v/>
      </c>
      <c r="E3347" s="626"/>
      <c r="F3347" s="626"/>
    </row>
    <row r="3348" spans="1:6">
      <c r="A3348" t="str">
        <f t="shared" si="52"/>
        <v/>
      </c>
      <c r="E3348" s="626"/>
      <c r="F3348" s="626"/>
    </row>
    <row r="3349" spans="1:6">
      <c r="A3349" t="str">
        <f t="shared" si="52"/>
        <v/>
      </c>
      <c r="E3349" s="626"/>
      <c r="F3349" s="626"/>
    </row>
    <row r="3350" spans="1:6">
      <c r="A3350" t="str">
        <f t="shared" si="52"/>
        <v/>
      </c>
      <c r="E3350" s="626"/>
      <c r="F3350" s="626"/>
    </row>
    <row r="3351" spans="1:6">
      <c r="A3351" t="str">
        <f t="shared" si="52"/>
        <v/>
      </c>
      <c r="E3351" s="626"/>
      <c r="F3351" s="626"/>
    </row>
    <row r="3352" spans="1:6">
      <c r="A3352" t="str">
        <f t="shared" si="52"/>
        <v/>
      </c>
      <c r="E3352" s="626"/>
      <c r="F3352" s="626"/>
    </row>
    <row r="3353" spans="1:6">
      <c r="A3353" t="str">
        <f t="shared" si="52"/>
        <v/>
      </c>
      <c r="E3353" s="626"/>
      <c r="F3353" s="626"/>
    </row>
    <row r="3354" spans="1:6">
      <c r="A3354" t="str">
        <f t="shared" si="52"/>
        <v/>
      </c>
      <c r="E3354" s="626"/>
      <c r="F3354" s="626"/>
    </row>
    <row r="3355" spans="1:6">
      <c r="A3355" t="str">
        <f t="shared" si="52"/>
        <v/>
      </c>
      <c r="E3355" s="626"/>
      <c r="F3355" s="626"/>
    </row>
    <row r="3356" spans="1:6">
      <c r="A3356" t="str">
        <f t="shared" si="52"/>
        <v/>
      </c>
      <c r="E3356" s="626"/>
      <c r="F3356" s="626"/>
    </row>
    <row r="3357" spans="1:6">
      <c r="A3357" t="str">
        <f t="shared" si="52"/>
        <v/>
      </c>
      <c r="E3357" s="626"/>
      <c r="F3357" s="626"/>
    </row>
    <row r="3358" spans="1:6">
      <c r="A3358" t="str">
        <f t="shared" si="52"/>
        <v/>
      </c>
      <c r="E3358" s="626"/>
      <c r="F3358" s="626"/>
    </row>
    <row r="3359" spans="1:6">
      <c r="A3359" t="str">
        <f t="shared" si="52"/>
        <v/>
      </c>
      <c r="E3359" s="626"/>
      <c r="F3359" s="626"/>
    </row>
    <row r="3360" spans="1:6">
      <c r="A3360" t="str">
        <f t="shared" si="52"/>
        <v/>
      </c>
      <c r="E3360" s="626"/>
      <c r="F3360" s="626"/>
    </row>
    <row r="3361" spans="1:6">
      <c r="A3361" t="str">
        <f t="shared" si="52"/>
        <v/>
      </c>
      <c r="E3361" s="626"/>
      <c r="F3361" s="626"/>
    </row>
    <row r="3362" spans="1:6">
      <c r="A3362" t="str">
        <f t="shared" si="52"/>
        <v/>
      </c>
      <c r="E3362" s="626"/>
      <c r="F3362" s="626"/>
    </row>
    <row r="3363" spans="1:6">
      <c r="A3363" t="str">
        <f t="shared" si="52"/>
        <v/>
      </c>
      <c r="E3363" s="626"/>
      <c r="F3363" s="626"/>
    </row>
    <row r="3364" spans="1:6">
      <c r="A3364" t="str">
        <f t="shared" si="52"/>
        <v/>
      </c>
      <c r="E3364" s="626"/>
      <c r="F3364" s="626"/>
    </row>
    <row r="3365" spans="1:6">
      <c r="A3365" t="str">
        <f t="shared" si="52"/>
        <v/>
      </c>
      <c r="E3365" s="626"/>
      <c r="F3365" s="626"/>
    </row>
    <row r="3366" spans="1:6">
      <c r="A3366" t="str">
        <f t="shared" si="52"/>
        <v/>
      </c>
      <c r="E3366" s="626"/>
      <c r="F3366" s="626"/>
    </row>
    <row r="3367" spans="1:6">
      <c r="A3367" t="str">
        <f t="shared" si="52"/>
        <v/>
      </c>
      <c r="E3367" s="626"/>
      <c r="F3367" s="626"/>
    </row>
    <row r="3368" spans="1:6">
      <c r="A3368" t="str">
        <f t="shared" si="52"/>
        <v/>
      </c>
      <c r="E3368" s="626"/>
      <c r="F3368" s="626"/>
    </row>
    <row r="3369" spans="1:6">
      <c r="A3369" t="str">
        <f t="shared" si="52"/>
        <v/>
      </c>
      <c r="E3369" s="626"/>
      <c r="F3369" s="626"/>
    </row>
    <row r="3370" spans="1:6">
      <c r="A3370" t="str">
        <f t="shared" si="52"/>
        <v/>
      </c>
      <c r="E3370" s="626"/>
      <c r="F3370" s="626"/>
    </row>
    <row r="3371" spans="1:6">
      <c r="A3371" t="str">
        <f t="shared" si="52"/>
        <v/>
      </c>
      <c r="E3371" s="626"/>
      <c r="F3371" s="626"/>
    </row>
    <row r="3372" spans="1:6">
      <c r="A3372" t="str">
        <f t="shared" si="52"/>
        <v/>
      </c>
      <c r="E3372" s="626"/>
      <c r="F3372" s="626"/>
    </row>
    <row r="3373" spans="1:6">
      <c r="A3373" t="str">
        <f t="shared" si="52"/>
        <v/>
      </c>
      <c r="E3373" s="626"/>
      <c r="F3373" s="626"/>
    </row>
    <row r="3374" spans="1:6">
      <c r="A3374" t="str">
        <f t="shared" si="52"/>
        <v/>
      </c>
      <c r="E3374" s="626"/>
      <c r="F3374" s="626"/>
    </row>
    <row r="3375" spans="1:6">
      <c r="A3375" t="str">
        <f t="shared" si="52"/>
        <v/>
      </c>
      <c r="E3375" s="626"/>
      <c r="F3375" s="626"/>
    </row>
    <row r="3376" spans="1:6">
      <c r="A3376" t="str">
        <f t="shared" si="52"/>
        <v/>
      </c>
      <c r="E3376" s="626"/>
      <c r="F3376" s="626"/>
    </row>
    <row r="3377" spans="1:6">
      <c r="A3377" t="str">
        <f t="shared" si="52"/>
        <v/>
      </c>
      <c r="E3377" s="626"/>
      <c r="F3377" s="626"/>
    </row>
    <row r="3378" spans="1:6">
      <c r="A3378" t="str">
        <f t="shared" si="52"/>
        <v/>
      </c>
      <c r="E3378" s="626"/>
      <c r="F3378" s="626"/>
    </row>
    <row r="3379" spans="1:6">
      <c r="A3379" t="str">
        <f t="shared" si="52"/>
        <v/>
      </c>
      <c r="E3379" s="626"/>
      <c r="F3379" s="626"/>
    </row>
    <row r="3380" spans="1:6">
      <c r="A3380" t="str">
        <f t="shared" si="52"/>
        <v/>
      </c>
      <c r="E3380" s="626"/>
      <c r="F3380" s="626"/>
    </row>
    <row r="3381" spans="1:6">
      <c r="A3381" t="str">
        <f t="shared" si="52"/>
        <v/>
      </c>
      <c r="E3381" s="626"/>
      <c r="F3381" s="626"/>
    </row>
    <row r="3382" spans="1:6">
      <c r="A3382" t="str">
        <f t="shared" si="52"/>
        <v/>
      </c>
      <c r="E3382" s="626"/>
      <c r="F3382" s="626"/>
    </row>
    <row r="3383" spans="1:6">
      <c r="A3383" t="str">
        <f t="shared" si="52"/>
        <v/>
      </c>
      <c r="E3383" s="626"/>
      <c r="F3383" s="626"/>
    </row>
    <row r="3384" spans="1:6">
      <c r="A3384" t="str">
        <f t="shared" si="52"/>
        <v/>
      </c>
      <c r="E3384" s="626"/>
      <c r="F3384" s="626"/>
    </row>
    <row r="3385" spans="1:6">
      <c r="A3385" t="str">
        <f t="shared" si="52"/>
        <v/>
      </c>
      <c r="E3385" s="626"/>
      <c r="F3385" s="626"/>
    </row>
    <row r="3386" spans="1:6">
      <c r="A3386" t="str">
        <f t="shared" si="52"/>
        <v/>
      </c>
      <c r="E3386" s="626"/>
      <c r="F3386" s="626"/>
    </row>
    <row r="3387" spans="1:6">
      <c r="A3387" t="str">
        <f t="shared" si="52"/>
        <v/>
      </c>
      <c r="E3387" s="626"/>
      <c r="F3387" s="626"/>
    </row>
    <row r="3388" spans="1:6">
      <c r="A3388" t="str">
        <f t="shared" si="52"/>
        <v/>
      </c>
      <c r="E3388" s="626"/>
      <c r="F3388" s="626"/>
    </row>
    <row r="3389" spans="1:6">
      <c r="A3389" t="str">
        <f t="shared" si="52"/>
        <v/>
      </c>
      <c r="E3389" s="626"/>
      <c r="F3389" s="626"/>
    </row>
    <row r="3390" spans="1:6">
      <c r="A3390" t="str">
        <f t="shared" si="52"/>
        <v/>
      </c>
      <c r="E3390" s="626"/>
      <c r="F3390" s="626"/>
    </row>
    <row r="3391" spans="1:6">
      <c r="A3391" t="str">
        <f t="shared" si="52"/>
        <v/>
      </c>
      <c r="E3391" s="626"/>
      <c r="F3391" s="626"/>
    </row>
    <row r="3392" spans="1:6">
      <c r="A3392" t="str">
        <f t="shared" si="52"/>
        <v/>
      </c>
      <c r="E3392" s="626"/>
      <c r="F3392" s="626"/>
    </row>
    <row r="3393" spans="1:6">
      <c r="A3393" t="str">
        <f t="shared" si="52"/>
        <v/>
      </c>
      <c r="E3393" s="626"/>
      <c r="F3393" s="626"/>
    </row>
    <row r="3394" spans="1:6">
      <c r="A3394" t="str">
        <f t="shared" ref="A3394:A3457" si="53">B3394&amp;E3394&amp;J3394</f>
        <v/>
      </c>
      <c r="E3394" s="626"/>
      <c r="F3394" s="626"/>
    </row>
    <row r="3395" spans="1:6">
      <c r="A3395" t="str">
        <f t="shared" si="53"/>
        <v/>
      </c>
      <c r="E3395" s="626"/>
      <c r="F3395" s="626"/>
    </row>
    <row r="3396" spans="1:6">
      <c r="A3396" t="str">
        <f t="shared" si="53"/>
        <v/>
      </c>
      <c r="E3396" s="626"/>
      <c r="F3396" s="626"/>
    </row>
    <row r="3397" spans="1:6">
      <c r="A3397" t="str">
        <f t="shared" si="53"/>
        <v/>
      </c>
      <c r="E3397" s="626"/>
      <c r="F3397" s="626"/>
    </row>
    <row r="3398" spans="1:6">
      <c r="A3398" t="str">
        <f t="shared" si="53"/>
        <v/>
      </c>
      <c r="E3398" s="626"/>
      <c r="F3398" s="626"/>
    </row>
    <row r="3399" spans="1:6">
      <c r="A3399" t="str">
        <f t="shared" si="53"/>
        <v/>
      </c>
      <c r="E3399" s="626"/>
      <c r="F3399" s="626"/>
    </row>
    <row r="3400" spans="1:6">
      <c r="A3400" t="str">
        <f t="shared" si="53"/>
        <v/>
      </c>
      <c r="E3400" s="626"/>
      <c r="F3400" s="626"/>
    </row>
    <row r="3401" spans="1:6">
      <c r="A3401" t="str">
        <f t="shared" si="53"/>
        <v/>
      </c>
      <c r="E3401" s="626"/>
      <c r="F3401" s="626"/>
    </row>
    <row r="3402" spans="1:6">
      <c r="A3402" t="str">
        <f t="shared" si="53"/>
        <v/>
      </c>
      <c r="E3402" s="626"/>
      <c r="F3402" s="626"/>
    </row>
    <row r="3403" spans="1:6">
      <c r="A3403" t="str">
        <f t="shared" si="53"/>
        <v/>
      </c>
      <c r="E3403" s="626"/>
      <c r="F3403" s="626"/>
    </row>
    <row r="3404" spans="1:6">
      <c r="A3404" t="str">
        <f t="shared" si="53"/>
        <v/>
      </c>
      <c r="E3404" s="626"/>
      <c r="F3404" s="626"/>
    </row>
    <row r="3405" spans="1:6">
      <c r="A3405" t="str">
        <f t="shared" si="53"/>
        <v/>
      </c>
      <c r="E3405" s="626"/>
      <c r="F3405" s="626"/>
    </row>
    <row r="3406" spans="1:6">
      <c r="A3406" t="str">
        <f t="shared" si="53"/>
        <v/>
      </c>
      <c r="E3406" s="626"/>
      <c r="F3406" s="626"/>
    </row>
    <row r="3407" spans="1:6">
      <c r="A3407" t="str">
        <f t="shared" si="53"/>
        <v/>
      </c>
      <c r="E3407" s="626"/>
      <c r="F3407" s="626"/>
    </row>
    <row r="3408" spans="1:6">
      <c r="A3408" t="str">
        <f t="shared" si="53"/>
        <v/>
      </c>
      <c r="E3408" s="626"/>
      <c r="F3408" s="626"/>
    </row>
    <row r="3409" spans="1:6">
      <c r="A3409" t="str">
        <f t="shared" si="53"/>
        <v/>
      </c>
      <c r="E3409" s="626"/>
      <c r="F3409" s="626"/>
    </row>
    <row r="3410" spans="1:6">
      <c r="A3410" t="str">
        <f t="shared" si="53"/>
        <v/>
      </c>
      <c r="E3410" s="626"/>
      <c r="F3410" s="626"/>
    </row>
    <row r="3411" spans="1:6">
      <c r="A3411" t="str">
        <f t="shared" si="53"/>
        <v/>
      </c>
      <c r="E3411" s="626"/>
      <c r="F3411" s="626"/>
    </row>
    <row r="3412" spans="1:6">
      <c r="A3412" t="str">
        <f t="shared" si="53"/>
        <v/>
      </c>
      <c r="E3412" s="626"/>
      <c r="F3412" s="626"/>
    </row>
    <row r="3413" spans="1:6">
      <c r="A3413" t="str">
        <f t="shared" si="53"/>
        <v/>
      </c>
      <c r="E3413" s="626"/>
      <c r="F3413" s="626"/>
    </row>
    <row r="3414" spans="1:6">
      <c r="A3414" t="str">
        <f t="shared" si="53"/>
        <v/>
      </c>
      <c r="E3414" s="626"/>
      <c r="F3414" s="626"/>
    </row>
    <row r="3415" spans="1:6">
      <c r="A3415" t="str">
        <f t="shared" si="53"/>
        <v/>
      </c>
      <c r="E3415" s="626"/>
      <c r="F3415" s="626"/>
    </row>
    <row r="3416" spans="1:6">
      <c r="A3416" t="str">
        <f t="shared" si="53"/>
        <v/>
      </c>
      <c r="E3416" s="626"/>
      <c r="F3416" s="626"/>
    </row>
    <row r="3417" spans="1:6">
      <c r="A3417" t="str">
        <f t="shared" si="53"/>
        <v/>
      </c>
      <c r="E3417" s="626"/>
      <c r="F3417" s="626"/>
    </row>
    <row r="3418" spans="1:6">
      <c r="A3418" t="str">
        <f t="shared" si="53"/>
        <v/>
      </c>
      <c r="E3418" s="626"/>
      <c r="F3418" s="626"/>
    </row>
    <row r="3419" spans="1:6">
      <c r="A3419" t="str">
        <f t="shared" si="53"/>
        <v/>
      </c>
      <c r="E3419" s="626"/>
      <c r="F3419" s="626"/>
    </row>
    <row r="3420" spans="1:6">
      <c r="A3420" t="str">
        <f t="shared" si="53"/>
        <v/>
      </c>
      <c r="E3420" s="626"/>
      <c r="F3420" s="626"/>
    </row>
    <row r="3421" spans="1:6">
      <c r="A3421" t="str">
        <f t="shared" si="53"/>
        <v/>
      </c>
      <c r="E3421" s="626"/>
      <c r="F3421" s="626"/>
    </row>
    <row r="3422" spans="1:6">
      <c r="A3422" t="str">
        <f t="shared" si="53"/>
        <v/>
      </c>
      <c r="E3422" s="626"/>
      <c r="F3422" s="626"/>
    </row>
    <row r="3423" spans="1:6">
      <c r="A3423" t="str">
        <f t="shared" si="53"/>
        <v/>
      </c>
      <c r="E3423" s="626"/>
      <c r="F3423" s="626"/>
    </row>
    <row r="3424" spans="1:6">
      <c r="A3424" t="str">
        <f t="shared" si="53"/>
        <v/>
      </c>
      <c r="E3424" s="626"/>
      <c r="F3424" s="626"/>
    </row>
    <row r="3425" spans="1:6">
      <c r="A3425" t="str">
        <f t="shared" si="53"/>
        <v/>
      </c>
      <c r="E3425" s="626"/>
      <c r="F3425" s="626"/>
    </row>
    <row r="3426" spans="1:6">
      <c r="A3426" t="str">
        <f t="shared" si="53"/>
        <v/>
      </c>
      <c r="E3426" s="626"/>
      <c r="F3426" s="626"/>
    </row>
    <row r="3427" spans="1:6">
      <c r="A3427" t="str">
        <f t="shared" si="53"/>
        <v/>
      </c>
      <c r="E3427" s="626"/>
      <c r="F3427" s="626"/>
    </row>
    <row r="3428" spans="1:6">
      <c r="A3428" t="str">
        <f t="shared" si="53"/>
        <v/>
      </c>
      <c r="E3428" s="626"/>
      <c r="F3428" s="626"/>
    </row>
    <row r="3429" spans="1:6">
      <c r="A3429" t="str">
        <f t="shared" si="53"/>
        <v/>
      </c>
      <c r="E3429" s="626"/>
      <c r="F3429" s="626"/>
    </row>
    <row r="3430" spans="1:6">
      <c r="A3430" t="str">
        <f t="shared" si="53"/>
        <v/>
      </c>
      <c r="E3430" s="626"/>
      <c r="F3430" s="626"/>
    </row>
    <row r="3431" spans="1:6">
      <c r="A3431" t="str">
        <f t="shared" si="53"/>
        <v/>
      </c>
      <c r="E3431" s="626"/>
      <c r="F3431" s="626"/>
    </row>
    <row r="3432" spans="1:6">
      <c r="A3432" t="str">
        <f t="shared" si="53"/>
        <v/>
      </c>
      <c r="E3432" s="626"/>
      <c r="F3432" s="626"/>
    </row>
    <row r="3433" spans="1:6">
      <c r="A3433" t="str">
        <f t="shared" si="53"/>
        <v/>
      </c>
      <c r="E3433" s="626"/>
      <c r="F3433" s="626"/>
    </row>
    <row r="3434" spans="1:6">
      <c r="A3434" t="str">
        <f t="shared" si="53"/>
        <v/>
      </c>
      <c r="E3434" s="626"/>
      <c r="F3434" s="626"/>
    </row>
    <row r="3435" spans="1:6">
      <c r="A3435" t="str">
        <f t="shared" si="53"/>
        <v/>
      </c>
      <c r="E3435" s="626"/>
      <c r="F3435" s="626"/>
    </row>
    <row r="3436" spans="1:6">
      <c r="A3436" t="str">
        <f t="shared" si="53"/>
        <v/>
      </c>
      <c r="E3436" s="626"/>
      <c r="F3436" s="626"/>
    </row>
    <row r="3437" spans="1:6">
      <c r="A3437" t="str">
        <f t="shared" si="53"/>
        <v/>
      </c>
      <c r="E3437" s="626"/>
      <c r="F3437" s="626"/>
    </row>
    <row r="3438" spans="1:6">
      <c r="A3438" t="str">
        <f t="shared" si="53"/>
        <v/>
      </c>
      <c r="E3438" s="626"/>
      <c r="F3438" s="626"/>
    </row>
    <row r="3439" spans="1:6">
      <c r="A3439" t="str">
        <f t="shared" si="53"/>
        <v/>
      </c>
      <c r="E3439" s="626"/>
      <c r="F3439" s="626"/>
    </row>
    <row r="3440" spans="1:6">
      <c r="A3440" t="str">
        <f t="shared" si="53"/>
        <v/>
      </c>
      <c r="E3440" s="626"/>
      <c r="F3440" s="626"/>
    </row>
    <row r="3441" spans="1:6">
      <c r="A3441" t="str">
        <f t="shared" si="53"/>
        <v/>
      </c>
      <c r="E3441" s="626"/>
      <c r="F3441" s="626"/>
    </row>
    <row r="3442" spans="1:6">
      <c r="A3442" t="str">
        <f t="shared" si="53"/>
        <v/>
      </c>
      <c r="E3442" s="626"/>
      <c r="F3442" s="626"/>
    </row>
    <row r="3443" spans="1:6">
      <c r="A3443" t="str">
        <f t="shared" si="53"/>
        <v/>
      </c>
      <c r="E3443" s="626"/>
      <c r="F3443" s="626"/>
    </row>
    <row r="3444" spans="1:6">
      <c r="A3444" t="str">
        <f t="shared" si="53"/>
        <v/>
      </c>
      <c r="E3444" s="626"/>
      <c r="F3444" s="626"/>
    </row>
    <row r="3445" spans="1:6">
      <c r="A3445" t="str">
        <f t="shared" si="53"/>
        <v/>
      </c>
      <c r="E3445" s="626"/>
      <c r="F3445" s="626"/>
    </row>
    <row r="3446" spans="1:6">
      <c r="A3446" t="str">
        <f t="shared" si="53"/>
        <v/>
      </c>
      <c r="E3446" s="626"/>
      <c r="F3446" s="626"/>
    </row>
    <row r="3447" spans="1:6">
      <c r="A3447" t="str">
        <f t="shared" si="53"/>
        <v/>
      </c>
      <c r="E3447" s="626"/>
      <c r="F3447" s="626"/>
    </row>
    <row r="3448" spans="1:6">
      <c r="A3448" t="str">
        <f t="shared" si="53"/>
        <v/>
      </c>
      <c r="E3448" s="626"/>
      <c r="F3448" s="626"/>
    </row>
    <row r="3449" spans="1:6">
      <c r="A3449" t="str">
        <f t="shared" si="53"/>
        <v/>
      </c>
      <c r="E3449" s="626"/>
      <c r="F3449" s="626"/>
    </row>
    <row r="3450" spans="1:6">
      <c r="A3450" t="str">
        <f t="shared" si="53"/>
        <v/>
      </c>
      <c r="E3450" s="626"/>
      <c r="F3450" s="626"/>
    </row>
    <row r="3451" spans="1:6">
      <c r="A3451" t="str">
        <f t="shared" si="53"/>
        <v/>
      </c>
      <c r="E3451" s="626"/>
      <c r="F3451" s="626"/>
    </row>
    <row r="3452" spans="1:6">
      <c r="A3452" t="str">
        <f t="shared" si="53"/>
        <v/>
      </c>
      <c r="E3452" s="626"/>
      <c r="F3452" s="626"/>
    </row>
    <row r="3453" spans="1:6">
      <c r="A3453" t="str">
        <f t="shared" si="53"/>
        <v/>
      </c>
      <c r="E3453" s="626"/>
      <c r="F3453" s="626"/>
    </row>
    <row r="3454" spans="1:6">
      <c r="A3454" t="str">
        <f t="shared" si="53"/>
        <v/>
      </c>
      <c r="E3454" s="626"/>
      <c r="F3454" s="626"/>
    </row>
    <row r="3455" spans="1:6">
      <c r="A3455" t="str">
        <f t="shared" si="53"/>
        <v/>
      </c>
      <c r="E3455" s="626"/>
      <c r="F3455" s="626"/>
    </row>
    <row r="3456" spans="1:6">
      <c r="A3456" t="str">
        <f t="shared" si="53"/>
        <v/>
      </c>
      <c r="E3456" s="626"/>
      <c r="F3456" s="626"/>
    </row>
    <row r="3457" spans="1:6">
      <c r="A3457" t="str">
        <f t="shared" si="53"/>
        <v/>
      </c>
      <c r="E3457" s="626"/>
      <c r="F3457" s="626"/>
    </row>
    <row r="3458" spans="1:6">
      <c r="A3458" t="str">
        <f t="shared" ref="A3458:A3521" si="54">B3458&amp;E3458&amp;J3458</f>
        <v/>
      </c>
      <c r="E3458" s="626"/>
      <c r="F3458" s="626"/>
    </row>
    <row r="3459" spans="1:6">
      <c r="A3459" t="str">
        <f t="shared" si="54"/>
        <v/>
      </c>
      <c r="E3459" s="626"/>
      <c r="F3459" s="626"/>
    </row>
    <row r="3460" spans="1:6">
      <c r="A3460" t="str">
        <f t="shared" si="54"/>
        <v/>
      </c>
      <c r="E3460" s="626"/>
      <c r="F3460" s="626"/>
    </row>
    <row r="3461" spans="1:6">
      <c r="A3461" t="str">
        <f t="shared" si="54"/>
        <v/>
      </c>
      <c r="E3461" s="626"/>
      <c r="F3461" s="626"/>
    </row>
    <row r="3462" spans="1:6">
      <c r="A3462" t="str">
        <f t="shared" si="54"/>
        <v/>
      </c>
      <c r="E3462" s="626"/>
      <c r="F3462" s="626"/>
    </row>
    <row r="3463" spans="1:6">
      <c r="A3463" t="str">
        <f t="shared" si="54"/>
        <v/>
      </c>
      <c r="E3463" s="626"/>
      <c r="F3463" s="626"/>
    </row>
    <row r="3464" spans="1:6">
      <c r="A3464" t="str">
        <f t="shared" si="54"/>
        <v/>
      </c>
      <c r="E3464" s="626"/>
      <c r="F3464" s="626"/>
    </row>
    <row r="3465" spans="1:6">
      <c r="A3465" t="str">
        <f t="shared" si="54"/>
        <v/>
      </c>
      <c r="E3465" s="626"/>
      <c r="F3465" s="626"/>
    </row>
    <row r="3466" spans="1:6">
      <c r="A3466" t="str">
        <f t="shared" si="54"/>
        <v/>
      </c>
      <c r="E3466" s="626"/>
      <c r="F3466" s="626"/>
    </row>
    <row r="3467" spans="1:6">
      <c r="A3467" t="str">
        <f t="shared" si="54"/>
        <v/>
      </c>
      <c r="E3467" s="626"/>
      <c r="F3467" s="626"/>
    </row>
    <row r="3468" spans="1:6">
      <c r="A3468" t="str">
        <f t="shared" si="54"/>
        <v/>
      </c>
      <c r="E3468" s="626"/>
      <c r="F3468" s="626"/>
    </row>
    <row r="3469" spans="1:6">
      <c r="A3469" t="str">
        <f t="shared" si="54"/>
        <v/>
      </c>
      <c r="E3469" s="626"/>
      <c r="F3469" s="626"/>
    </row>
    <row r="3470" spans="1:6">
      <c r="A3470" t="str">
        <f t="shared" si="54"/>
        <v/>
      </c>
      <c r="E3470" s="626"/>
      <c r="F3470" s="626"/>
    </row>
    <row r="3471" spans="1:6">
      <c r="A3471" t="str">
        <f t="shared" si="54"/>
        <v/>
      </c>
      <c r="E3471" s="626"/>
      <c r="F3471" s="626"/>
    </row>
    <row r="3472" spans="1:6">
      <c r="A3472" t="str">
        <f t="shared" si="54"/>
        <v/>
      </c>
      <c r="E3472" s="626"/>
      <c r="F3472" s="626"/>
    </row>
    <row r="3473" spans="1:6">
      <c r="A3473" t="str">
        <f t="shared" si="54"/>
        <v/>
      </c>
      <c r="E3473" s="626"/>
      <c r="F3473" s="626"/>
    </row>
    <row r="3474" spans="1:6">
      <c r="A3474" t="str">
        <f t="shared" si="54"/>
        <v/>
      </c>
      <c r="E3474" s="626"/>
      <c r="F3474" s="626"/>
    </row>
    <row r="3475" spans="1:6">
      <c r="A3475" t="str">
        <f t="shared" si="54"/>
        <v/>
      </c>
      <c r="E3475" s="626"/>
      <c r="F3475" s="626"/>
    </row>
    <row r="3476" spans="1:6">
      <c r="A3476" t="str">
        <f t="shared" si="54"/>
        <v/>
      </c>
      <c r="E3476" s="626"/>
      <c r="F3476" s="626"/>
    </row>
    <row r="3477" spans="1:6">
      <c r="A3477" t="str">
        <f t="shared" si="54"/>
        <v/>
      </c>
      <c r="E3477" s="626"/>
      <c r="F3477" s="626"/>
    </row>
    <row r="3478" spans="1:6">
      <c r="A3478" t="str">
        <f t="shared" si="54"/>
        <v/>
      </c>
      <c r="E3478" s="626"/>
      <c r="F3478" s="626"/>
    </row>
    <row r="3479" spans="1:6">
      <c r="A3479" t="str">
        <f t="shared" si="54"/>
        <v/>
      </c>
      <c r="E3479" s="626"/>
      <c r="F3479" s="626"/>
    </row>
    <row r="3480" spans="1:6">
      <c r="A3480" t="str">
        <f t="shared" si="54"/>
        <v/>
      </c>
      <c r="E3480" s="626"/>
      <c r="F3480" s="626"/>
    </row>
    <row r="3481" spans="1:6">
      <c r="A3481" t="str">
        <f t="shared" si="54"/>
        <v/>
      </c>
      <c r="E3481" s="626"/>
      <c r="F3481" s="626"/>
    </row>
    <row r="3482" spans="1:6">
      <c r="A3482" t="str">
        <f t="shared" si="54"/>
        <v/>
      </c>
      <c r="E3482" s="626"/>
      <c r="F3482" s="626"/>
    </row>
    <row r="3483" spans="1:6">
      <c r="A3483" t="str">
        <f t="shared" si="54"/>
        <v/>
      </c>
      <c r="E3483" s="626"/>
      <c r="F3483" s="626"/>
    </row>
    <row r="3484" spans="1:6">
      <c r="A3484" t="str">
        <f t="shared" si="54"/>
        <v/>
      </c>
      <c r="E3484" s="626"/>
      <c r="F3484" s="626"/>
    </row>
    <row r="3485" spans="1:6">
      <c r="A3485" t="str">
        <f t="shared" si="54"/>
        <v/>
      </c>
      <c r="E3485" s="626"/>
      <c r="F3485" s="626"/>
    </row>
    <row r="3486" spans="1:6">
      <c r="A3486" t="str">
        <f t="shared" si="54"/>
        <v/>
      </c>
      <c r="E3486" s="626"/>
      <c r="F3486" s="626"/>
    </row>
    <row r="3487" spans="1:6">
      <c r="A3487" t="str">
        <f t="shared" si="54"/>
        <v/>
      </c>
      <c r="E3487" s="626"/>
      <c r="F3487" s="626"/>
    </row>
    <row r="3488" spans="1:6">
      <c r="A3488" t="str">
        <f t="shared" si="54"/>
        <v/>
      </c>
      <c r="E3488" s="626"/>
      <c r="F3488" s="626"/>
    </row>
    <row r="3489" spans="1:6">
      <c r="A3489" t="str">
        <f t="shared" si="54"/>
        <v/>
      </c>
      <c r="E3489" s="626"/>
      <c r="F3489" s="626"/>
    </row>
    <row r="3490" spans="1:6">
      <c r="A3490" t="str">
        <f t="shared" si="54"/>
        <v/>
      </c>
      <c r="E3490" s="626"/>
      <c r="F3490" s="626"/>
    </row>
    <row r="3491" spans="1:6">
      <c r="A3491" t="str">
        <f t="shared" si="54"/>
        <v/>
      </c>
      <c r="E3491" s="626"/>
      <c r="F3491" s="626"/>
    </row>
    <row r="3492" spans="1:6">
      <c r="A3492" t="str">
        <f t="shared" si="54"/>
        <v/>
      </c>
      <c r="E3492" s="626"/>
      <c r="F3492" s="626"/>
    </row>
    <row r="3493" spans="1:6">
      <c r="A3493" t="str">
        <f t="shared" si="54"/>
        <v/>
      </c>
      <c r="E3493" s="626"/>
      <c r="F3493" s="626"/>
    </row>
    <row r="3494" spans="1:6">
      <c r="A3494" t="str">
        <f t="shared" si="54"/>
        <v/>
      </c>
      <c r="E3494" s="626"/>
      <c r="F3494" s="626"/>
    </row>
    <row r="3495" spans="1:6">
      <c r="A3495" t="str">
        <f t="shared" si="54"/>
        <v/>
      </c>
      <c r="E3495" s="626"/>
      <c r="F3495" s="626"/>
    </row>
    <row r="3496" spans="1:6">
      <c r="A3496" t="str">
        <f t="shared" si="54"/>
        <v/>
      </c>
      <c r="E3496" s="626"/>
      <c r="F3496" s="626"/>
    </row>
    <row r="3497" spans="1:6">
      <c r="A3497" t="str">
        <f t="shared" si="54"/>
        <v/>
      </c>
      <c r="E3497" s="626"/>
      <c r="F3497" s="626"/>
    </row>
    <row r="3498" spans="1:6">
      <c r="A3498" t="str">
        <f t="shared" si="54"/>
        <v/>
      </c>
      <c r="E3498" s="626"/>
      <c r="F3498" s="626"/>
    </row>
    <row r="3499" spans="1:6">
      <c r="A3499" t="str">
        <f t="shared" si="54"/>
        <v/>
      </c>
      <c r="E3499" s="626"/>
      <c r="F3499" s="626"/>
    </row>
    <row r="3500" spans="1:6">
      <c r="A3500" t="str">
        <f t="shared" si="54"/>
        <v/>
      </c>
      <c r="E3500" s="626"/>
      <c r="F3500" s="626"/>
    </row>
    <row r="3501" spans="1:6">
      <c r="A3501" t="str">
        <f t="shared" si="54"/>
        <v/>
      </c>
      <c r="E3501" s="626"/>
      <c r="F3501" s="626"/>
    </row>
    <row r="3502" spans="1:6">
      <c r="A3502" t="str">
        <f t="shared" si="54"/>
        <v/>
      </c>
      <c r="E3502" s="626"/>
      <c r="F3502" s="626"/>
    </row>
    <row r="3503" spans="1:6">
      <c r="A3503" t="str">
        <f t="shared" si="54"/>
        <v/>
      </c>
      <c r="E3503" s="626"/>
      <c r="F3503" s="626"/>
    </row>
    <row r="3504" spans="1:6">
      <c r="A3504" t="str">
        <f t="shared" si="54"/>
        <v/>
      </c>
      <c r="E3504" s="626"/>
      <c r="F3504" s="626"/>
    </row>
    <row r="3505" spans="1:6">
      <c r="A3505" t="str">
        <f t="shared" si="54"/>
        <v/>
      </c>
      <c r="E3505" s="626"/>
      <c r="F3505" s="626"/>
    </row>
    <row r="3506" spans="1:6">
      <c r="A3506" t="str">
        <f t="shared" si="54"/>
        <v/>
      </c>
      <c r="E3506" s="626"/>
      <c r="F3506" s="626"/>
    </row>
    <row r="3507" spans="1:6">
      <c r="A3507" t="str">
        <f t="shared" si="54"/>
        <v/>
      </c>
      <c r="E3507" s="626"/>
      <c r="F3507" s="626"/>
    </row>
    <row r="3508" spans="1:6">
      <c r="A3508" t="str">
        <f t="shared" si="54"/>
        <v/>
      </c>
      <c r="E3508" s="626"/>
      <c r="F3508" s="626"/>
    </row>
    <row r="3509" spans="1:6">
      <c r="A3509" t="str">
        <f t="shared" si="54"/>
        <v/>
      </c>
      <c r="E3509" s="626"/>
      <c r="F3509" s="626"/>
    </row>
    <row r="3510" spans="1:6">
      <c r="A3510" t="str">
        <f t="shared" si="54"/>
        <v/>
      </c>
      <c r="E3510" s="626"/>
      <c r="F3510" s="626"/>
    </row>
    <row r="3511" spans="1:6">
      <c r="A3511" t="str">
        <f t="shared" si="54"/>
        <v/>
      </c>
      <c r="E3511" s="626"/>
      <c r="F3511" s="626"/>
    </row>
    <row r="3512" spans="1:6">
      <c r="A3512" t="str">
        <f t="shared" si="54"/>
        <v/>
      </c>
      <c r="E3512" s="626"/>
      <c r="F3512" s="626"/>
    </row>
    <row r="3513" spans="1:6">
      <c r="A3513" t="str">
        <f t="shared" si="54"/>
        <v/>
      </c>
      <c r="E3513" s="626"/>
      <c r="F3513" s="626"/>
    </row>
    <row r="3514" spans="1:6">
      <c r="A3514" t="str">
        <f t="shared" si="54"/>
        <v/>
      </c>
      <c r="E3514" s="626"/>
      <c r="F3514" s="626"/>
    </row>
    <row r="3515" spans="1:6">
      <c r="A3515" t="str">
        <f t="shared" si="54"/>
        <v/>
      </c>
      <c r="E3515" s="626"/>
      <c r="F3515" s="626"/>
    </row>
    <row r="3516" spans="1:6">
      <c r="A3516" t="str">
        <f t="shared" si="54"/>
        <v/>
      </c>
      <c r="E3516" s="626"/>
      <c r="F3516" s="626"/>
    </row>
    <row r="3517" spans="1:6">
      <c r="A3517" t="str">
        <f t="shared" si="54"/>
        <v/>
      </c>
      <c r="E3517" s="626"/>
      <c r="F3517" s="626"/>
    </row>
    <row r="3518" spans="1:6">
      <c r="A3518" t="str">
        <f t="shared" si="54"/>
        <v/>
      </c>
      <c r="E3518" s="626"/>
      <c r="F3518" s="626"/>
    </row>
    <row r="3519" spans="1:6">
      <c r="A3519" t="str">
        <f t="shared" si="54"/>
        <v/>
      </c>
      <c r="E3519" s="626"/>
      <c r="F3519" s="626"/>
    </row>
    <row r="3520" spans="1:6">
      <c r="A3520" t="str">
        <f t="shared" si="54"/>
        <v/>
      </c>
      <c r="E3520" s="626"/>
      <c r="F3520" s="626"/>
    </row>
    <row r="3521" spans="1:6">
      <c r="A3521" t="str">
        <f t="shared" si="54"/>
        <v/>
      </c>
      <c r="E3521" s="626"/>
      <c r="F3521" s="626"/>
    </row>
    <row r="3522" spans="1:6">
      <c r="A3522" t="str">
        <f t="shared" ref="A3522:A3585" si="55">B3522&amp;E3522&amp;J3522</f>
        <v/>
      </c>
      <c r="E3522" s="626"/>
      <c r="F3522" s="626"/>
    </row>
    <row r="3523" spans="1:6">
      <c r="A3523" t="str">
        <f t="shared" si="55"/>
        <v/>
      </c>
      <c r="E3523" s="626"/>
      <c r="F3523" s="626"/>
    </row>
    <row r="3524" spans="1:6">
      <c r="A3524" t="str">
        <f t="shared" si="55"/>
        <v/>
      </c>
      <c r="E3524" s="626"/>
      <c r="F3524" s="626"/>
    </row>
    <row r="3525" spans="1:6">
      <c r="A3525" t="str">
        <f t="shared" si="55"/>
        <v/>
      </c>
      <c r="E3525" s="626"/>
      <c r="F3525" s="626"/>
    </row>
    <row r="3526" spans="1:6">
      <c r="A3526" t="str">
        <f t="shared" si="55"/>
        <v/>
      </c>
      <c r="E3526" s="626"/>
      <c r="F3526" s="626"/>
    </row>
    <row r="3527" spans="1:6">
      <c r="A3527" t="str">
        <f t="shared" si="55"/>
        <v/>
      </c>
      <c r="E3527" s="626"/>
      <c r="F3527" s="626"/>
    </row>
    <row r="3528" spans="1:6">
      <c r="A3528" t="str">
        <f t="shared" si="55"/>
        <v/>
      </c>
      <c r="E3528" s="626"/>
      <c r="F3528" s="626"/>
    </row>
    <row r="3529" spans="1:6">
      <c r="A3529" t="str">
        <f t="shared" si="55"/>
        <v/>
      </c>
      <c r="E3529" s="626"/>
      <c r="F3529" s="626"/>
    </row>
    <row r="3530" spans="1:6">
      <c r="A3530" t="str">
        <f t="shared" si="55"/>
        <v/>
      </c>
      <c r="E3530" s="626"/>
      <c r="F3530" s="626"/>
    </row>
    <row r="3531" spans="1:6">
      <c r="A3531" t="str">
        <f t="shared" si="55"/>
        <v/>
      </c>
      <c r="E3531" s="626"/>
      <c r="F3531" s="626"/>
    </row>
    <row r="3532" spans="1:6">
      <c r="A3532" t="str">
        <f t="shared" si="55"/>
        <v/>
      </c>
      <c r="E3532" s="626"/>
      <c r="F3532" s="626"/>
    </row>
    <row r="3533" spans="1:6">
      <c r="A3533" t="str">
        <f t="shared" si="55"/>
        <v/>
      </c>
      <c r="E3533" s="626"/>
      <c r="F3533" s="626"/>
    </row>
    <row r="3534" spans="1:6">
      <c r="A3534" t="str">
        <f t="shared" si="55"/>
        <v/>
      </c>
      <c r="E3534" s="626"/>
      <c r="F3534" s="626"/>
    </row>
    <row r="3535" spans="1:6">
      <c r="A3535" t="str">
        <f t="shared" si="55"/>
        <v/>
      </c>
      <c r="E3535" s="626"/>
      <c r="F3535" s="626"/>
    </row>
    <row r="3536" spans="1:6">
      <c r="A3536" t="str">
        <f t="shared" si="55"/>
        <v/>
      </c>
      <c r="E3536" s="626"/>
      <c r="F3536" s="626"/>
    </row>
    <row r="3537" spans="1:6">
      <c r="A3537" t="str">
        <f t="shared" si="55"/>
        <v/>
      </c>
      <c r="E3537" s="626"/>
      <c r="F3537" s="626"/>
    </row>
    <row r="3538" spans="1:6">
      <c r="A3538" t="str">
        <f t="shared" si="55"/>
        <v/>
      </c>
      <c r="E3538" s="626"/>
      <c r="F3538" s="626"/>
    </row>
    <row r="3539" spans="1:6">
      <c r="A3539" t="str">
        <f t="shared" si="55"/>
        <v/>
      </c>
      <c r="E3539" s="626"/>
      <c r="F3539" s="626"/>
    </row>
    <row r="3540" spans="1:6">
      <c r="A3540" t="str">
        <f t="shared" si="55"/>
        <v/>
      </c>
      <c r="E3540" s="626"/>
      <c r="F3540" s="626"/>
    </row>
    <row r="3541" spans="1:6">
      <c r="A3541" t="str">
        <f t="shared" si="55"/>
        <v/>
      </c>
      <c r="E3541" s="626"/>
      <c r="F3541" s="626"/>
    </row>
    <row r="3542" spans="1:6">
      <c r="A3542" t="str">
        <f t="shared" si="55"/>
        <v/>
      </c>
      <c r="E3542" s="626"/>
      <c r="F3542" s="626"/>
    </row>
    <row r="3543" spans="1:6">
      <c r="A3543" t="str">
        <f t="shared" si="55"/>
        <v/>
      </c>
      <c r="E3543" s="626"/>
      <c r="F3543" s="626"/>
    </row>
    <row r="3544" spans="1:6">
      <c r="A3544" t="str">
        <f t="shared" si="55"/>
        <v/>
      </c>
      <c r="E3544" s="626"/>
      <c r="F3544" s="626"/>
    </row>
    <row r="3545" spans="1:6">
      <c r="A3545" t="str">
        <f t="shared" si="55"/>
        <v/>
      </c>
      <c r="E3545" s="626"/>
      <c r="F3545" s="626"/>
    </row>
    <row r="3546" spans="1:6">
      <c r="A3546" t="str">
        <f t="shared" si="55"/>
        <v/>
      </c>
      <c r="E3546" s="626"/>
      <c r="F3546" s="626"/>
    </row>
    <row r="3547" spans="1:6">
      <c r="A3547" t="str">
        <f t="shared" si="55"/>
        <v/>
      </c>
      <c r="E3547" s="626"/>
      <c r="F3547" s="626"/>
    </row>
    <row r="3548" spans="1:6">
      <c r="A3548" t="str">
        <f t="shared" si="55"/>
        <v/>
      </c>
      <c r="E3548" s="626"/>
      <c r="F3548" s="626"/>
    </row>
    <row r="3549" spans="1:6">
      <c r="A3549" t="str">
        <f t="shared" si="55"/>
        <v/>
      </c>
      <c r="E3549" s="626"/>
      <c r="F3549" s="626"/>
    </row>
    <row r="3550" spans="1:6">
      <c r="A3550" t="str">
        <f t="shared" si="55"/>
        <v/>
      </c>
      <c r="E3550" s="626"/>
      <c r="F3550" s="626"/>
    </row>
    <row r="3551" spans="1:6">
      <c r="A3551" t="str">
        <f t="shared" si="55"/>
        <v/>
      </c>
      <c r="E3551" s="626"/>
      <c r="F3551" s="626"/>
    </row>
    <row r="3552" spans="1:6">
      <c r="A3552" t="str">
        <f t="shared" si="55"/>
        <v/>
      </c>
      <c r="E3552" s="626"/>
      <c r="F3552" s="626"/>
    </row>
    <row r="3553" spans="1:6">
      <c r="A3553" t="str">
        <f t="shared" si="55"/>
        <v/>
      </c>
      <c r="E3553" s="626"/>
      <c r="F3553" s="626"/>
    </row>
    <row r="3554" spans="1:6">
      <c r="A3554" t="str">
        <f t="shared" si="55"/>
        <v/>
      </c>
      <c r="E3554" s="626"/>
      <c r="F3554" s="626"/>
    </row>
    <row r="3555" spans="1:6">
      <c r="A3555" t="str">
        <f t="shared" si="55"/>
        <v/>
      </c>
      <c r="E3555" s="626"/>
      <c r="F3555" s="626"/>
    </row>
    <row r="3556" spans="1:6">
      <c r="A3556" t="str">
        <f t="shared" si="55"/>
        <v/>
      </c>
      <c r="E3556" s="626"/>
      <c r="F3556" s="626"/>
    </row>
    <row r="3557" spans="1:6">
      <c r="A3557" t="str">
        <f t="shared" si="55"/>
        <v/>
      </c>
      <c r="E3557" s="626"/>
      <c r="F3557" s="626"/>
    </row>
    <row r="3558" spans="1:6">
      <c r="A3558" t="str">
        <f t="shared" si="55"/>
        <v/>
      </c>
      <c r="E3558" s="626"/>
      <c r="F3558" s="626"/>
    </row>
    <row r="3559" spans="1:6">
      <c r="A3559" t="str">
        <f t="shared" si="55"/>
        <v/>
      </c>
      <c r="E3559" s="626"/>
      <c r="F3559" s="626"/>
    </row>
    <row r="3560" spans="1:6">
      <c r="A3560" t="str">
        <f t="shared" si="55"/>
        <v/>
      </c>
      <c r="E3560" s="626"/>
      <c r="F3560" s="626"/>
    </row>
    <row r="3561" spans="1:6">
      <c r="A3561" t="str">
        <f t="shared" si="55"/>
        <v/>
      </c>
      <c r="E3561" s="626"/>
      <c r="F3561" s="626"/>
    </row>
    <row r="3562" spans="1:6">
      <c r="A3562" t="str">
        <f t="shared" si="55"/>
        <v/>
      </c>
      <c r="E3562" s="626"/>
      <c r="F3562" s="626"/>
    </row>
    <row r="3563" spans="1:6">
      <c r="A3563" t="str">
        <f t="shared" si="55"/>
        <v/>
      </c>
      <c r="E3563" s="626"/>
      <c r="F3563" s="626"/>
    </row>
    <row r="3564" spans="1:6">
      <c r="A3564" t="str">
        <f t="shared" si="55"/>
        <v/>
      </c>
      <c r="E3564" s="626"/>
      <c r="F3564" s="626"/>
    </row>
    <row r="3565" spans="1:6">
      <c r="A3565" t="str">
        <f t="shared" si="55"/>
        <v/>
      </c>
      <c r="E3565" s="626"/>
      <c r="F3565" s="626"/>
    </row>
    <row r="3566" spans="1:6">
      <c r="A3566" t="str">
        <f t="shared" si="55"/>
        <v/>
      </c>
      <c r="E3566" s="626"/>
      <c r="F3566" s="626"/>
    </row>
    <row r="3567" spans="1:6">
      <c r="A3567" t="str">
        <f t="shared" si="55"/>
        <v/>
      </c>
      <c r="E3567" s="626"/>
      <c r="F3567" s="626"/>
    </row>
    <row r="3568" spans="1:6">
      <c r="A3568" t="str">
        <f t="shared" si="55"/>
        <v/>
      </c>
      <c r="E3568" s="626"/>
      <c r="F3568" s="626"/>
    </row>
    <row r="3569" spans="1:6">
      <c r="A3569" t="str">
        <f t="shared" si="55"/>
        <v/>
      </c>
      <c r="E3569" s="626"/>
      <c r="F3569" s="626"/>
    </row>
    <row r="3570" spans="1:6">
      <c r="A3570" t="str">
        <f t="shared" si="55"/>
        <v/>
      </c>
      <c r="E3570" s="626"/>
      <c r="F3570" s="626"/>
    </row>
    <row r="3571" spans="1:6">
      <c r="A3571" t="str">
        <f t="shared" si="55"/>
        <v/>
      </c>
      <c r="E3571" s="626"/>
      <c r="F3571" s="626"/>
    </row>
    <row r="3572" spans="1:6">
      <c r="A3572" t="str">
        <f t="shared" si="55"/>
        <v/>
      </c>
      <c r="E3572" s="626"/>
      <c r="F3572" s="626"/>
    </row>
    <row r="3573" spans="1:6">
      <c r="A3573" t="str">
        <f t="shared" si="55"/>
        <v/>
      </c>
      <c r="E3573" s="626"/>
      <c r="F3573" s="626"/>
    </row>
    <row r="3574" spans="1:6">
      <c r="A3574" t="str">
        <f t="shared" si="55"/>
        <v/>
      </c>
      <c r="E3574" s="626"/>
      <c r="F3574" s="626"/>
    </row>
    <row r="3575" spans="1:6">
      <c r="A3575" t="str">
        <f t="shared" si="55"/>
        <v/>
      </c>
      <c r="E3575" s="626"/>
      <c r="F3575" s="626"/>
    </row>
    <row r="3576" spans="1:6">
      <c r="A3576" t="str">
        <f t="shared" si="55"/>
        <v/>
      </c>
      <c r="E3576" s="626"/>
      <c r="F3576" s="626"/>
    </row>
    <row r="3577" spans="1:6">
      <c r="A3577" t="str">
        <f t="shared" si="55"/>
        <v/>
      </c>
      <c r="E3577" s="626"/>
      <c r="F3577" s="626"/>
    </row>
    <row r="3578" spans="1:6">
      <c r="A3578" t="str">
        <f t="shared" si="55"/>
        <v/>
      </c>
      <c r="E3578" s="626"/>
      <c r="F3578" s="626"/>
    </row>
    <row r="3579" spans="1:6">
      <c r="A3579" t="str">
        <f t="shared" si="55"/>
        <v/>
      </c>
      <c r="E3579" s="626"/>
      <c r="F3579" s="626"/>
    </row>
    <row r="3580" spans="1:6">
      <c r="A3580" t="str">
        <f t="shared" si="55"/>
        <v/>
      </c>
      <c r="E3580" s="626"/>
      <c r="F3580" s="626"/>
    </row>
    <row r="3581" spans="1:6">
      <c r="A3581" t="str">
        <f t="shared" si="55"/>
        <v/>
      </c>
      <c r="E3581" s="626"/>
      <c r="F3581" s="626"/>
    </row>
    <row r="3582" spans="1:6">
      <c r="A3582" t="str">
        <f t="shared" si="55"/>
        <v/>
      </c>
      <c r="E3582" s="626"/>
      <c r="F3582" s="626"/>
    </row>
    <row r="3583" spans="1:6">
      <c r="A3583" t="str">
        <f t="shared" si="55"/>
        <v/>
      </c>
      <c r="E3583" s="626"/>
      <c r="F3583" s="626"/>
    </row>
    <row r="3584" spans="1:6">
      <c r="A3584" t="str">
        <f t="shared" si="55"/>
        <v/>
      </c>
      <c r="E3584" s="626"/>
      <c r="F3584" s="626"/>
    </row>
    <row r="3585" spans="1:6">
      <c r="A3585" t="str">
        <f t="shared" si="55"/>
        <v/>
      </c>
      <c r="E3585" s="626"/>
      <c r="F3585" s="626"/>
    </row>
    <row r="3586" spans="1:6">
      <c r="A3586" t="str">
        <f t="shared" ref="A3586:A3649" si="56">B3586&amp;E3586&amp;J3586</f>
        <v/>
      </c>
      <c r="E3586" s="626"/>
      <c r="F3586" s="626"/>
    </row>
    <row r="3587" spans="1:6">
      <c r="A3587" t="str">
        <f t="shared" si="56"/>
        <v/>
      </c>
      <c r="E3587" s="626"/>
      <c r="F3587" s="626"/>
    </row>
    <row r="3588" spans="1:6">
      <c r="A3588" t="str">
        <f t="shared" si="56"/>
        <v/>
      </c>
      <c r="E3588" s="626"/>
      <c r="F3588" s="626"/>
    </row>
    <row r="3589" spans="1:6">
      <c r="A3589" t="str">
        <f t="shared" si="56"/>
        <v/>
      </c>
      <c r="E3589" s="626"/>
      <c r="F3589" s="626"/>
    </row>
    <row r="3590" spans="1:6">
      <c r="A3590" t="str">
        <f t="shared" si="56"/>
        <v/>
      </c>
      <c r="E3590" s="626"/>
      <c r="F3590" s="626"/>
    </row>
    <row r="3591" spans="1:6">
      <c r="A3591" t="str">
        <f t="shared" si="56"/>
        <v/>
      </c>
      <c r="E3591" s="626"/>
      <c r="F3591" s="626"/>
    </row>
    <row r="3592" spans="1:6">
      <c r="A3592" t="str">
        <f t="shared" si="56"/>
        <v/>
      </c>
      <c r="E3592" s="626"/>
      <c r="F3592" s="626"/>
    </row>
    <row r="3593" spans="1:6">
      <c r="A3593" t="str">
        <f t="shared" si="56"/>
        <v/>
      </c>
      <c r="E3593" s="626"/>
      <c r="F3593" s="626"/>
    </row>
    <row r="3594" spans="1:6">
      <c r="A3594" t="str">
        <f t="shared" si="56"/>
        <v/>
      </c>
      <c r="E3594" s="626"/>
      <c r="F3594" s="626"/>
    </row>
    <row r="3595" spans="1:6">
      <c r="A3595" t="str">
        <f t="shared" si="56"/>
        <v/>
      </c>
      <c r="E3595" s="626"/>
      <c r="F3595" s="626"/>
    </row>
    <row r="3596" spans="1:6">
      <c r="A3596" t="str">
        <f t="shared" si="56"/>
        <v/>
      </c>
      <c r="E3596" s="626"/>
      <c r="F3596" s="626"/>
    </row>
    <row r="3597" spans="1:6">
      <c r="A3597" t="str">
        <f t="shared" si="56"/>
        <v/>
      </c>
      <c r="E3597" s="626"/>
      <c r="F3597" s="626"/>
    </row>
    <row r="3598" spans="1:6">
      <c r="A3598" t="str">
        <f t="shared" si="56"/>
        <v/>
      </c>
      <c r="E3598" s="626"/>
      <c r="F3598" s="626"/>
    </row>
    <row r="3599" spans="1:6">
      <c r="A3599" t="str">
        <f t="shared" si="56"/>
        <v/>
      </c>
      <c r="E3599" s="626"/>
      <c r="F3599" s="626"/>
    </row>
    <row r="3600" spans="1:6">
      <c r="A3600" t="str">
        <f t="shared" si="56"/>
        <v/>
      </c>
      <c r="E3600" s="626"/>
      <c r="F3600" s="626"/>
    </row>
    <row r="3601" spans="1:6">
      <c r="A3601" t="str">
        <f t="shared" si="56"/>
        <v/>
      </c>
      <c r="E3601" s="626"/>
      <c r="F3601" s="626"/>
    </row>
    <row r="3602" spans="1:6">
      <c r="A3602" t="str">
        <f t="shared" si="56"/>
        <v/>
      </c>
      <c r="E3602" s="626"/>
      <c r="F3602" s="626"/>
    </row>
    <row r="3603" spans="1:6">
      <c r="A3603" t="str">
        <f t="shared" si="56"/>
        <v/>
      </c>
      <c r="E3603" s="626"/>
      <c r="F3603" s="626"/>
    </row>
    <row r="3604" spans="1:6">
      <c r="A3604" t="str">
        <f t="shared" si="56"/>
        <v/>
      </c>
      <c r="E3604" s="626"/>
      <c r="F3604" s="626"/>
    </row>
    <row r="3605" spans="1:6">
      <c r="A3605" t="str">
        <f t="shared" si="56"/>
        <v/>
      </c>
      <c r="E3605" s="626"/>
      <c r="F3605" s="626"/>
    </row>
    <row r="3606" spans="1:6">
      <c r="A3606" t="str">
        <f t="shared" si="56"/>
        <v/>
      </c>
      <c r="E3606" s="626"/>
      <c r="F3606" s="626"/>
    </row>
    <row r="3607" spans="1:6">
      <c r="A3607" t="str">
        <f t="shared" si="56"/>
        <v/>
      </c>
      <c r="E3607" s="626"/>
      <c r="F3607" s="626"/>
    </row>
    <row r="3608" spans="1:6">
      <c r="A3608" t="str">
        <f t="shared" si="56"/>
        <v/>
      </c>
      <c r="E3608" s="626"/>
      <c r="F3608" s="626"/>
    </row>
    <row r="3609" spans="1:6">
      <c r="A3609" t="str">
        <f t="shared" si="56"/>
        <v/>
      </c>
      <c r="E3609" s="626"/>
      <c r="F3609" s="626"/>
    </row>
    <row r="3610" spans="1:6">
      <c r="A3610" t="str">
        <f t="shared" si="56"/>
        <v/>
      </c>
      <c r="E3610" s="626"/>
      <c r="F3610" s="626"/>
    </row>
    <row r="3611" spans="1:6">
      <c r="A3611" t="str">
        <f t="shared" si="56"/>
        <v/>
      </c>
      <c r="E3611" s="626"/>
      <c r="F3611" s="626"/>
    </row>
    <row r="3612" spans="1:6">
      <c r="A3612" t="str">
        <f t="shared" si="56"/>
        <v/>
      </c>
      <c r="E3612" s="626"/>
      <c r="F3612" s="626"/>
    </row>
    <row r="3613" spans="1:6">
      <c r="A3613" t="str">
        <f t="shared" si="56"/>
        <v/>
      </c>
      <c r="E3613" s="626"/>
      <c r="F3613" s="626"/>
    </row>
    <row r="3614" spans="1:6">
      <c r="A3614" t="str">
        <f t="shared" si="56"/>
        <v/>
      </c>
      <c r="E3614" s="626"/>
      <c r="F3614" s="626"/>
    </row>
    <row r="3615" spans="1:6">
      <c r="A3615" t="str">
        <f t="shared" si="56"/>
        <v/>
      </c>
      <c r="E3615" s="626"/>
      <c r="F3615" s="626"/>
    </row>
    <row r="3616" spans="1:6">
      <c r="A3616" t="str">
        <f t="shared" si="56"/>
        <v/>
      </c>
      <c r="E3616" s="626"/>
      <c r="F3616" s="626"/>
    </row>
    <row r="3617" spans="1:6">
      <c r="A3617" t="str">
        <f t="shared" si="56"/>
        <v/>
      </c>
      <c r="E3617" s="626"/>
      <c r="F3617" s="626"/>
    </row>
    <row r="3618" spans="1:6">
      <c r="A3618" t="str">
        <f t="shared" si="56"/>
        <v/>
      </c>
      <c r="E3618" s="626"/>
      <c r="F3618" s="626"/>
    </row>
    <row r="3619" spans="1:6">
      <c r="A3619" t="str">
        <f t="shared" si="56"/>
        <v/>
      </c>
      <c r="E3619" s="626"/>
      <c r="F3619" s="626"/>
    </row>
    <row r="3620" spans="1:6">
      <c r="A3620" t="str">
        <f t="shared" si="56"/>
        <v/>
      </c>
      <c r="E3620" s="626"/>
      <c r="F3620" s="626"/>
    </row>
    <row r="3621" spans="1:6">
      <c r="A3621" t="str">
        <f t="shared" si="56"/>
        <v/>
      </c>
      <c r="E3621" s="626"/>
      <c r="F3621" s="626"/>
    </row>
    <row r="3622" spans="1:6">
      <c r="A3622" t="str">
        <f t="shared" si="56"/>
        <v/>
      </c>
      <c r="E3622" s="626"/>
      <c r="F3622" s="626"/>
    </row>
    <row r="3623" spans="1:6">
      <c r="A3623" t="str">
        <f t="shared" si="56"/>
        <v/>
      </c>
      <c r="E3623" s="626"/>
      <c r="F3623" s="626"/>
    </row>
    <row r="3624" spans="1:6">
      <c r="A3624" t="str">
        <f t="shared" si="56"/>
        <v/>
      </c>
      <c r="E3624" s="626"/>
      <c r="F3624" s="626"/>
    </row>
    <row r="3625" spans="1:6">
      <c r="A3625" t="str">
        <f t="shared" si="56"/>
        <v/>
      </c>
      <c r="E3625" s="626"/>
      <c r="F3625" s="626"/>
    </row>
    <row r="3626" spans="1:6">
      <c r="A3626" t="str">
        <f t="shared" si="56"/>
        <v/>
      </c>
      <c r="E3626" s="626"/>
      <c r="F3626" s="626"/>
    </row>
    <row r="3627" spans="1:6">
      <c r="A3627" t="str">
        <f t="shared" si="56"/>
        <v/>
      </c>
      <c r="E3627" s="626"/>
      <c r="F3627" s="626"/>
    </row>
    <row r="3628" spans="1:6">
      <c r="A3628" t="str">
        <f t="shared" si="56"/>
        <v/>
      </c>
      <c r="E3628" s="626"/>
      <c r="F3628" s="626"/>
    </row>
    <row r="3629" spans="1:6">
      <c r="A3629" t="str">
        <f t="shared" si="56"/>
        <v/>
      </c>
      <c r="E3629" s="626"/>
      <c r="F3629" s="626"/>
    </row>
    <row r="3630" spans="1:6">
      <c r="A3630" t="str">
        <f t="shared" si="56"/>
        <v/>
      </c>
      <c r="E3630" s="626"/>
      <c r="F3630" s="626"/>
    </row>
    <row r="3631" spans="1:6">
      <c r="A3631" t="str">
        <f t="shared" si="56"/>
        <v/>
      </c>
      <c r="E3631" s="626"/>
      <c r="F3631" s="626"/>
    </row>
    <row r="3632" spans="1:6">
      <c r="A3632" t="str">
        <f t="shared" si="56"/>
        <v/>
      </c>
      <c r="E3632" s="626"/>
      <c r="F3632" s="626"/>
    </row>
    <row r="3633" spans="1:6">
      <c r="A3633" t="str">
        <f t="shared" si="56"/>
        <v/>
      </c>
      <c r="E3633" s="626"/>
      <c r="F3633" s="626"/>
    </row>
    <row r="3634" spans="1:6">
      <c r="A3634" t="str">
        <f t="shared" si="56"/>
        <v/>
      </c>
      <c r="E3634" s="626"/>
      <c r="F3634" s="626"/>
    </row>
    <row r="3635" spans="1:6">
      <c r="A3635" t="str">
        <f t="shared" si="56"/>
        <v/>
      </c>
      <c r="E3635" s="626"/>
      <c r="F3635" s="626"/>
    </row>
    <row r="3636" spans="1:6">
      <c r="A3636" t="str">
        <f t="shared" si="56"/>
        <v/>
      </c>
      <c r="E3636" s="626"/>
      <c r="F3636" s="626"/>
    </row>
    <row r="3637" spans="1:6">
      <c r="A3637" t="str">
        <f t="shared" si="56"/>
        <v/>
      </c>
      <c r="E3637" s="626"/>
      <c r="F3637" s="626"/>
    </row>
    <row r="3638" spans="1:6">
      <c r="A3638" t="str">
        <f t="shared" si="56"/>
        <v/>
      </c>
      <c r="E3638" s="626"/>
      <c r="F3638" s="626"/>
    </row>
    <row r="3639" spans="1:6">
      <c r="A3639" t="str">
        <f t="shared" si="56"/>
        <v/>
      </c>
      <c r="E3639" s="626"/>
      <c r="F3639" s="626"/>
    </row>
    <row r="3640" spans="1:6">
      <c r="A3640" t="str">
        <f t="shared" si="56"/>
        <v/>
      </c>
      <c r="E3640" s="626"/>
      <c r="F3640" s="626"/>
    </row>
    <row r="3641" spans="1:6">
      <c r="A3641" t="str">
        <f t="shared" si="56"/>
        <v/>
      </c>
      <c r="E3641" s="626"/>
      <c r="F3641" s="626"/>
    </row>
    <row r="3642" spans="1:6">
      <c r="A3642" t="str">
        <f t="shared" si="56"/>
        <v/>
      </c>
      <c r="E3642" s="626"/>
      <c r="F3642" s="626"/>
    </row>
    <row r="3643" spans="1:6">
      <c r="A3643" t="str">
        <f t="shared" si="56"/>
        <v/>
      </c>
      <c r="E3643" s="626"/>
      <c r="F3643" s="626"/>
    </row>
    <row r="3644" spans="1:6">
      <c r="A3644" t="str">
        <f t="shared" si="56"/>
        <v/>
      </c>
      <c r="E3644" s="626"/>
      <c r="F3644" s="626"/>
    </row>
    <row r="3645" spans="1:6">
      <c r="A3645" t="str">
        <f t="shared" si="56"/>
        <v/>
      </c>
      <c r="E3645" s="626"/>
      <c r="F3645" s="626"/>
    </row>
    <row r="3646" spans="1:6">
      <c r="A3646" t="str">
        <f t="shared" si="56"/>
        <v/>
      </c>
      <c r="E3646" s="626"/>
      <c r="F3646" s="626"/>
    </row>
    <row r="3647" spans="1:6">
      <c r="A3647" t="str">
        <f t="shared" si="56"/>
        <v/>
      </c>
      <c r="E3647" s="626"/>
      <c r="F3647" s="626"/>
    </row>
    <row r="3648" spans="1:6">
      <c r="A3648" t="str">
        <f t="shared" si="56"/>
        <v/>
      </c>
      <c r="E3648" s="626"/>
      <c r="F3648" s="626"/>
    </row>
    <row r="3649" spans="1:6">
      <c r="A3649" t="str">
        <f t="shared" si="56"/>
        <v/>
      </c>
      <c r="E3649" s="626"/>
      <c r="F3649" s="626"/>
    </row>
    <row r="3650" spans="1:6">
      <c r="A3650" t="str">
        <f t="shared" ref="A3650:A3713" si="57">B3650&amp;E3650&amp;J3650</f>
        <v/>
      </c>
      <c r="E3650" s="626"/>
      <c r="F3650" s="626"/>
    </row>
    <row r="3651" spans="1:6">
      <c r="A3651" t="str">
        <f t="shared" si="57"/>
        <v/>
      </c>
      <c r="E3651" s="626"/>
      <c r="F3651" s="626"/>
    </row>
    <row r="3652" spans="1:6">
      <c r="A3652" t="str">
        <f t="shared" si="57"/>
        <v/>
      </c>
      <c r="E3652" s="626"/>
      <c r="F3652" s="626"/>
    </row>
    <row r="3653" spans="1:6">
      <c r="A3653" t="str">
        <f t="shared" si="57"/>
        <v/>
      </c>
      <c r="E3653" s="626"/>
      <c r="F3653" s="626"/>
    </row>
    <row r="3654" spans="1:6">
      <c r="A3654" t="str">
        <f t="shared" si="57"/>
        <v/>
      </c>
      <c r="E3654" s="626"/>
      <c r="F3654" s="626"/>
    </row>
    <row r="3655" spans="1:6">
      <c r="A3655" t="str">
        <f t="shared" si="57"/>
        <v/>
      </c>
      <c r="E3655" s="626"/>
      <c r="F3655" s="626"/>
    </row>
    <row r="3656" spans="1:6">
      <c r="A3656" t="str">
        <f t="shared" si="57"/>
        <v/>
      </c>
      <c r="E3656" s="626"/>
      <c r="F3656" s="626"/>
    </row>
    <row r="3657" spans="1:6">
      <c r="A3657" t="str">
        <f t="shared" si="57"/>
        <v/>
      </c>
      <c r="E3657" s="626"/>
      <c r="F3657" s="626"/>
    </row>
    <row r="3658" spans="1:6">
      <c r="A3658" t="str">
        <f t="shared" si="57"/>
        <v/>
      </c>
      <c r="E3658" s="626"/>
      <c r="F3658" s="626"/>
    </row>
    <row r="3659" spans="1:6">
      <c r="A3659" t="str">
        <f t="shared" si="57"/>
        <v/>
      </c>
      <c r="E3659" s="626"/>
      <c r="F3659" s="626"/>
    </row>
    <row r="3660" spans="1:6">
      <c r="A3660" t="str">
        <f t="shared" si="57"/>
        <v/>
      </c>
      <c r="E3660" s="626"/>
      <c r="F3660" s="626"/>
    </row>
    <row r="3661" spans="1:6">
      <c r="A3661" t="str">
        <f t="shared" si="57"/>
        <v/>
      </c>
      <c r="E3661" s="626"/>
      <c r="F3661" s="626"/>
    </row>
    <row r="3662" spans="1:6">
      <c r="A3662" t="str">
        <f t="shared" si="57"/>
        <v/>
      </c>
      <c r="E3662" s="626"/>
      <c r="F3662" s="626"/>
    </row>
    <row r="3663" spans="1:6">
      <c r="A3663" t="str">
        <f t="shared" si="57"/>
        <v/>
      </c>
      <c r="E3663" s="626"/>
      <c r="F3663" s="626"/>
    </row>
    <row r="3664" spans="1:6">
      <c r="A3664" t="str">
        <f t="shared" si="57"/>
        <v/>
      </c>
      <c r="E3664" s="626"/>
      <c r="F3664" s="626"/>
    </row>
    <row r="3665" spans="1:6">
      <c r="A3665" t="str">
        <f t="shared" si="57"/>
        <v/>
      </c>
      <c r="E3665" s="626"/>
      <c r="F3665" s="626"/>
    </row>
    <row r="3666" spans="1:6">
      <c r="A3666" t="str">
        <f t="shared" si="57"/>
        <v/>
      </c>
      <c r="E3666" s="626"/>
      <c r="F3666" s="626"/>
    </row>
    <row r="3667" spans="1:6">
      <c r="A3667" t="str">
        <f t="shared" si="57"/>
        <v/>
      </c>
      <c r="E3667" s="626"/>
      <c r="F3667" s="626"/>
    </row>
    <row r="3668" spans="1:6">
      <c r="A3668" t="str">
        <f t="shared" si="57"/>
        <v/>
      </c>
      <c r="E3668" s="626"/>
      <c r="F3668" s="626"/>
    </row>
    <row r="3669" spans="1:6">
      <c r="A3669" t="str">
        <f t="shared" si="57"/>
        <v/>
      </c>
      <c r="E3669" s="626"/>
      <c r="F3669" s="626"/>
    </row>
    <row r="3670" spans="1:6">
      <c r="A3670" t="str">
        <f t="shared" si="57"/>
        <v/>
      </c>
      <c r="E3670" s="626"/>
      <c r="F3670" s="626"/>
    </row>
    <row r="3671" spans="1:6">
      <c r="A3671" t="str">
        <f t="shared" si="57"/>
        <v/>
      </c>
      <c r="E3671" s="626"/>
      <c r="F3671" s="626"/>
    </row>
    <row r="3672" spans="1:6">
      <c r="A3672" t="str">
        <f t="shared" si="57"/>
        <v/>
      </c>
      <c r="E3672" s="626"/>
      <c r="F3672" s="626"/>
    </row>
    <row r="3673" spans="1:6">
      <c r="A3673" t="str">
        <f t="shared" si="57"/>
        <v/>
      </c>
      <c r="E3673" s="626"/>
      <c r="F3673" s="626"/>
    </row>
    <row r="3674" spans="1:6">
      <c r="A3674" t="str">
        <f t="shared" si="57"/>
        <v/>
      </c>
      <c r="E3674" s="626"/>
      <c r="F3674" s="626"/>
    </row>
    <row r="3675" spans="1:6">
      <c r="A3675" t="str">
        <f t="shared" si="57"/>
        <v/>
      </c>
      <c r="E3675" s="626"/>
      <c r="F3675" s="626"/>
    </row>
    <row r="3676" spans="1:6">
      <c r="A3676" t="str">
        <f t="shared" si="57"/>
        <v/>
      </c>
      <c r="E3676" s="626"/>
      <c r="F3676" s="626"/>
    </row>
    <row r="3677" spans="1:6">
      <c r="A3677" t="str">
        <f t="shared" si="57"/>
        <v/>
      </c>
      <c r="E3677" s="626"/>
      <c r="F3677" s="626"/>
    </row>
    <row r="3678" spans="1:6">
      <c r="A3678" t="str">
        <f t="shared" si="57"/>
        <v/>
      </c>
      <c r="E3678" s="626"/>
      <c r="F3678" s="626"/>
    </row>
    <row r="3679" spans="1:6">
      <c r="A3679" t="str">
        <f t="shared" si="57"/>
        <v/>
      </c>
      <c r="E3679" s="626"/>
      <c r="F3679" s="626"/>
    </row>
    <row r="3680" spans="1:6">
      <c r="A3680" t="str">
        <f t="shared" si="57"/>
        <v/>
      </c>
      <c r="E3680" s="626"/>
      <c r="F3680" s="626"/>
    </row>
    <row r="3681" spans="1:6">
      <c r="A3681" t="str">
        <f t="shared" si="57"/>
        <v/>
      </c>
      <c r="E3681" s="626"/>
      <c r="F3681" s="626"/>
    </row>
    <row r="3682" spans="1:6">
      <c r="A3682" t="str">
        <f t="shared" si="57"/>
        <v/>
      </c>
      <c r="E3682" s="626"/>
      <c r="F3682" s="626"/>
    </row>
    <row r="3683" spans="1:6">
      <c r="A3683" t="str">
        <f t="shared" si="57"/>
        <v/>
      </c>
      <c r="E3683" s="626"/>
      <c r="F3683" s="626"/>
    </row>
    <row r="3684" spans="1:6">
      <c r="A3684" t="str">
        <f t="shared" si="57"/>
        <v/>
      </c>
      <c r="E3684" s="626"/>
      <c r="F3684" s="626"/>
    </row>
    <row r="3685" spans="1:6">
      <c r="A3685" t="str">
        <f t="shared" si="57"/>
        <v/>
      </c>
      <c r="E3685" s="626"/>
      <c r="F3685" s="626"/>
    </row>
    <row r="3686" spans="1:6">
      <c r="A3686" t="str">
        <f t="shared" si="57"/>
        <v/>
      </c>
      <c r="E3686" s="626"/>
      <c r="F3686" s="626"/>
    </row>
    <row r="3687" spans="1:6">
      <c r="A3687" t="str">
        <f t="shared" si="57"/>
        <v/>
      </c>
      <c r="E3687" s="626"/>
      <c r="F3687" s="626"/>
    </row>
    <row r="3688" spans="1:6">
      <c r="A3688" t="str">
        <f t="shared" si="57"/>
        <v/>
      </c>
      <c r="E3688" s="626"/>
      <c r="F3688" s="626"/>
    </row>
    <row r="3689" spans="1:6">
      <c r="A3689" t="str">
        <f t="shared" si="57"/>
        <v/>
      </c>
      <c r="E3689" s="626"/>
      <c r="F3689" s="626"/>
    </row>
    <row r="3690" spans="1:6">
      <c r="A3690" t="str">
        <f t="shared" si="57"/>
        <v/>
      </c>
      <c r="E3690" s="626"/>
      <c r="F3690" s="626"/>
    </row>
    <row r="3691" spans="1:6">
      <c r="A3691" t="str">
        <f t="shared" si="57"/>
        <v/>
      </c>
      <c r="E3691" s="626"/>
      <c r="F3691" s="626"/>
    </row>
    <row r="3692" spans="1:6">
      <c r="A3692" t="str">
        <f t="shared" si="57"/>
        <v/>
      </c>
      <c r="E3692" s="626"/>
      <c r="F3692" s="626"/>
    </row>
    <row r="3693" spans="1:6">
      <c r="A3693" t="str">
        <f t="shared" si="57"/>
        <v/>
      </c>
      <c r="E3693" s="626"/>
      <c r="F3693" s="626"/>
    </row>
    <row r="3694" spans="1:6">
      <c r="A3694" t="str">
        <f t="shared" si="57"/>
        <v/>
      </c>
      <c r="E3694" s="626"/>
      <c r="F3694" s="626"/>
    </row>
    <row r="3695" spans="1:6">
      <c r="A3695" t="str">
        <f t="shared" si="57"/>
        <v/>
      </c>
      <c r="E3695" s="626"/>
      <c r="F3695" s="626"/>
    </row>
    <row r="3696" spans="1:6">
      <c r="A3696" t="str">
        <f t="shared" si="57"/>
        <v/>
      </c>
      <c r="E3696" s="626"/>
      <c r="F3696" s="626"/>
    </row>
    <row r="3697" spans="1:6">
      <c r="A3697" t="str">
        <f t="shared" si="57"/>
        <v/>
      </c>
      <c r="E3697" s="626"/>
      <c r="F3697" s="626"/>
    </row>
    <row r="3698" spans="1:6">
      <c r="A3698" t="str">
        <f t="shared" si="57"/>
        <v/>
      </c>
      <c r="E3698" s="626"/>
      <c r="F3698" s="626"/>
    </row>
    <row r="3699" spans="1:6">
      <c r="A3699" t="str">
        <f t="shared" si="57"/>
        <v/>
      </c>
      <c r="E3699" s="626"/>
      <c r="F3699" s="626"/>
    </row>
    <row r="3700" spans="1:6">
      <c r="A3700" t="str">
        <f t="shared" si="57"/>
        <v/>
      </c>
      <c r="E3700" s="626"/>
      <c r="F3700" s="626"/>
    </row>
    <row r="3701" spans="1:6">
      <c r="A3701" t="str">
        <f t="shared" si="57"/>
        <v/>
      </c>
      <c r="E3701" s="626"/>
      <c r="F3701" s="626"/>
    </row>
    <row r="3702" spans="1:6">
      <c r="A3702" t="str">
        <f t="shared" si="57"/>
        <v/>
      </c>
      <c r="E3702" s="626"/>
      <c r="F3702" s="626"/>
    </row>
    <row r="3703" spans="1:6">
      <c r="A3703" t="str">
        <f t="shared" si="57"/>
        <v/>
      </c>
      <c r="E3703" s="626"/>
      <c r="F3703" s="626"/>
    </row>
    <row r="3704" spans="1:6">
      <c r="A3704" t="str">
        <f t="shared" si="57"/>
        <v/>
      </c>
      <c r="E3704" s="626"/>
      <c r="F3704" s="626"/>
    </row>
    <row r="3705" spans="1:6">
      <c r="A3705" t="str">
        <f t="shared" si="57"/>
        <v/>
      </c>
      <c r="E3705" s="626"/>
      <c r="F3705" s="626"/>
    </row>
    <row r="3706" spans="1:6">
      <c r="A3706" t="str">
        <f t="shared" si="57"/>
        <v/>
      </c>
      <c r="E3706" s="626"/>
      <c r="F3706" s="626"/>
    </row>
    <row r="3707" spans="1:6">
      <c r="A3707" t="str">
        <f t="shared" si="57"/>
        <v/>
      </c>
      <c r="E3707" s="626"/>
      <c r="F3707" s="626"/>
    </row>
    <row r="3708" spans="1:6">
      <c r="A3708" t="str">
        <f t="shared" si="57"/>
        <v/>
      </c>
      <c r="E3708" s="626"/>
      <c r="F3708" s="626"/>
    </row>
    <row r="3709" spans="1:6">
      <c r="A3709" t="str">
        <f t="shared" si="57"/>
        <v/>
      </c>
      <c r="E3709" s="626"/>
      <c r="F3709" s="626"/>
    </row>
    <row r="3710" spans="1:6">
      <c r="A3710" t="str">
        <f t="shared" si="57"/>
        <v/>
      </c>
      <c r="E3710" s="626"/>
      <c r="F3710" s="626"/>
    </row>
    <row r="3711" spans="1:6">
      <c r="A3711" t="str">
        <f t="shared" si="57"/>
        <v/>
      </c>
      <c r="E3711" s="626"/>
      <c r="F3711" s="626"/>
    </row>
    <row r="3712" spans="1:6">
      <c r="A3712" t="str">
        <f t="shared" si="57"/>
        <v/>
      </c>
      <c r="E3712" s="626"/>
      <c r="F3712" s="626"/>
    </row>
    <row r="3713" spans="1:6">
      <c r="A3713" t="str">
        <f t="shared" si="57"/>
        <v/>
      </c>
      <c r="E3713" s="626"/>
      <c r="F3713" s="626"/>
    </row>
    <row r="3714" spans="1:6">
      <c r="A3714" t="str">
        <f t="shared" ref="A3714:A3777" si="58">B3714&amp;E3714&amp;J3714</f>
        <v/>
      </c>
      <c r="E3714" s="626"/>
      <c r="F3714" s="626"/>
    </row>
    <row r="3715" spans="1:6">
      <c r="A3715" t="str">
        <f t="shared" si="58"/>
        <v/>
      </c>
      <c r="E3715" s="626"/>
      <c r="F3715" s="626"/>
    </row>
    <row r="3716" spans="1:6">
      <c r="A3716" t="str">
        <f t="shared" si="58"/>
        <v/>
      </c>
      <c r="E3716" s="626"/>
      <c r="F3716" s="626"/>
    </row>
    <row r="3717" spans="1:6">
      <c r="A3717" t="str">
        <f t="shared" si="58"/>
        <v/>
      </c>
      <c r="E3717" s="626"/>
      <c r="F3717" s="626"/>
    </row>
    <row r="3718" spans="1:6">
      <c r="A3718" t="str">
        <f t="shared" si="58"/>
        <v/>
      </c>
      <c r="E3718" s="626"/>
      <c r="F3718" s="626"/>
    </row>
    <row r="3719" spans="1:6">
      <c r="A3719" t="str">
        <f t="shared" si="58"/>
        <v/>
      </c>
      <c r="E3719" s="626"/>
      <c r="F3719" s="626"/>
    </row>
    <row r="3720" spans="1:6">
      <c r="A3720" t="str">
        <f t="shared" si="58"/>
        <v/>
      </c>
      <c r="E3720" s="626"/>
      <c r="F3720" s="626"/>
    </row>
    <row r="3721" spans="1:6">
      <c r="A3721" t="str">
        <f t="shared" si="58"/>
        <v/>
      </c>
      <c r="E3721" s="626"/>
      <c r="F3721" s="626"/>
    </row>
    <row r="3722" spans="1:6">
      <c r="A3722" t="str">
        <f t="shared" si="58"/>
        <v/>
      </c>
      <c r="E3722" s="626"/>
      <c r="F3722" s="626"/>
    </row>
    <row r="3723" spans="1:6">
      <c r="A3723" t="str">
        <f t="shared" si="58"/>
        <v/>
      </c>
      <c r="E3723" s="626"/>
      <c r="F3723" s="626"/>
    </row>
    <row r="3724" spans="1:6">
      <c r="A3724" t="str">
        <f t="shared" si="58"/>
        <v/>
      </c>
      <c r="E3724" s="626"/>
      <c r="F3724" s="626"/>
    </row>
    <row r="3725" spans="1:6">
      <c r="A3725" t="str">
        <f t="shared" si="58"/>
        <v/>
      </c>
      <c r="E3725" s="626"/>
      <c r="F3725" s="626"/>
    </row>
    <row r="3726" spans="1:6">
      <c r="A3726" t="str">
        <f t="shared" si="58"/>
        <v/>
      </c>
      <c r="E3726" s="626"/>
      <c r="F3726" s="626"/>
    </row>
    <row r="3727" spans="1:6">
      <c r="A3727" t="str">
        <f t="shared" si="58"/>
        <v/>
      </c>
      <c r="E3727" s="626"/>
      <c r="F3727" s="626"/>
    </row>
    <row r="3728" spans="1:6">
      <c r="A3728" t="str">
        <f t="shared" si="58"/>
        <v/>
      </c>
      <c r="E3728" s="626"/>
      <c r="F3728" s="626"/>
    </row>
    <row r="3729" spans="1:6">
      <c r="A3729" t="str">
        <f t="shared" si="58"/>
        <v/>
      </c>
      <c r="E3729" s="626"/>
      <c r="F3729" s="626"/>
    </row>
    <row r="3730" spans="1:6">
      <c r="A3730" t="str">
        <f t="shared" si="58"/>
        <v/>
      </c>
      <c r="E3730" s="626"/>
      <c r="F3730" s="626"/>
    </row>
    <row r="3731" spans="1:6">
      <c r="A3731" t="str">
        <f t="shared" si="58"/>
        <v/>
      </c>
      <c r="E3731" s="626"/>
      <c r="F3731" s="626"/>
    </row>
    <row r="3732" spans="1:6">
      <c r="A3732" t="str">
        <f t="shared" si="58"/>
        <v/>
      </c>
      <c r="E3732" s="626"/>
      <c r="F3732" s="626"/>
    </row>
    <row r="3733" spans="1:6">
      <c r="A3733" t="str">
        <f t="shared" si="58"/>
        <v/>
      </c>
      <c r="E3733" s="626"/>
      <c r="F3733" s="626"/>
    </row>
    <row r="3734" spans="1:6">
      <c r="A3734" t="str">
        <f t="shared" si="58"/>
        <v/>
      </c>
      <c r="E3734" s="626"/>
      <c r="F3734" s="626"/>
    </row>
    <row r="3735" spans="1:6">
      <c r="A3735" t="str">
        <f t="shared" si="58"/>
        <v/>
      </c>
      <c r="E3735" s="626"/>
      <c r="F3735" s="626"/>
    </row>
    <row r="3736" spans="1:6">
      <c r="A3736" t="str">
        <f t="shared" si="58"/>
        <v/>
      </c>
      <c r="E3736" s="626"/>
      <c r="F3736" s="626"/>
    </row>
    <row r="3737" spans="1:6">
      <c r="A3737" t="str">
        <f t="shared" si="58"/>
        <v/>
      </c>
      <c r="E3737" s="626"/>
      <c r="F3737" s="626"/>
    </row>
    <row r="3738" spans="1:6">
      <c r="A3738" t="str">
        <f t="shared" si="58"/>
        <v/>
      </c>
      <c r="E3738" s="626"/>
      <c r="F3738" s="626"/>
    </row>
    <row r="3739" spans="1:6">
      <c r="A3739" t="str">
        <f t="shared" si="58"/>
        <v/>
      </c>
      <c r="E3739" s="626"/>
      <c r="F3739" s="626"/>
    </row>
    <row r="3740" spans="1:6">
      <c r="A3740" t="str">
        <f t="shared" si="58"/>
        <v/>
      </c>
      <c r="E3740" s="626"/>
      <c r="F3740" s="626"/>
    </row>
    <row r="3741" spans="1:6">
      <c r="A3741" t="str">
        <f t="shared" si="58"/>
        <v/>
      </c>
      <c r="E3741" s="626"/>
      <c r="F3741" s="626"/>
    </row>
    <row r="3742" spans="1:6">
      <c r="A3742" t="str">
        <f t="shared" si="58"/>
        <v/>
      </c>
      <c r="E3742" s="626"/>
      <c r="F3742" s="626"/>
    </row>
    <row r="3743" spans="1:6">
      <c r="A3743" t="str">
        <f t="shared" si="58"/>
        <v/>
      </c>
      <c r="E3743" s="626"/>
      <c r="F3743" s="626"/>
    </row>
    <row r="3744" spans="1:6">
      <c r="A3744" t="str">
        <f t="shared" si="58"/>
        <v/>
      </c>
      <c r="E3744" s="626"/>
      <c r="F3744" s="626"/>
    </row>
    <row r="3745" spans="1:6">
      <c r="A3745" t="str">
        <f t="shared" si="58"/>
        <v/>
      </c>
      <c r="E3745" s="626"/>
      <c r="F3745" s="626"/>
    </row>
    <row r="3746" spans="1:6">
      <c r="A3746" t="str">
        <f t="shared" si="58"/>
        <v/>
      </c>
      <c r="E3746" s="626"/>
      <c r="F3746" s="626"/>
    </row>
    <row r="3747" spans="1:6">
      <c r="A3747" t="str">
        <f t="shared" si="58"/>
        <v/>
      </c>
      <c r="E3747" s="626"/>
      <c r="F3747" s="626"/>
    </row>
    <row r="3748" spans="1:6">
      <c r="A3748" t="str">
        <f t="shared" si="58"/>
        <v/>
      </c>
      <c r="E3748" s="626"/>
      <c r="F3748" s="626"/>
    </row>
    <row r="3749" spans="1:6">
      <c r="A3749" t="str">
        <f t="shared" si="58"/>
        <v/>
      </c>
      <c r="E3749" s="626"/>
      <c r="F3749" s="626"/>
    </row>
    <row r="3750" spans="1:6">
      <c r="A3750" t="str">
        <f t="shared" si="58"/>
        <v/>
      </c>
      <c r="E3750" s="626"/>
      <c r="F3750" s="626"/>
    </row>
    <row r="3751" spans="1:6">
      <c r="A3751" t="str">
        <f t="shared" si="58"/>
        <v/>
      </c>
      <c r="E3751" s="626"/>
      <c r="F3751" s="626"/>
    </row>
    <row r="3752" spans="1:6">
      <c r="A3752" t="str">
        <f t="shared" si="58"/>
        <v/>
      </c>
      <c r="E3752" s="626"/>
      <c r="F3752" s="626"/>
    </row>
    <row r="3753" spans="1:6">
      <c r="A3753" t="str">
        <f t="shared" si="58"/>
        <v/>
      </c>
      <c r="E3753" s="626"/>
      <c r="F3753" s="626"/>
    </row>
    <row r="3754" spans="1:6">
      <c r="A3754" t="str">
        <f t="shared" si="58"/>
        <v/>
      </c>
      <c r="E3754" s="626"/>
      <c r="F3754" s="626"/>
    </row>
    <row r="3755" spans="1:6">
      <c r="A3755" t="str">
        <f t="shared" si="58"/>
        <v/>
      </c>
      <c r="E3755" s="626"/>
      <c r="F3755" s="626"/>
    </row>
    <row r="3756" spans="1:6">
      <c r="A3756" t="str">
        <f t="shared" si="58"/>
        <v/>
      </c>
      <c r="E3756" s="626"/>
      <c r="F3756" s="626"/>
    </row>
    <row r="3757" spans="1:6">
      <c r="A3757" t="str">
        <f t="shared" si="58"/>
        <v/>
      </c>
      <c r="E3757" s="626"/>
      <c r="F3757" s="626"/>
    </row>
    <row r="3758" spans="1:6">
      <c r="A3758" t="str">
        <f t="shared" si="58"/>
        <v/>
      </c>
      <c r="E3758" s="626"/>
      <c r="F3758" s="626"/>
    </row>
    <row r="3759" spans="1:6">
      <c r="A3759" t="str">
        <f t="shared" si="58"/>
        <v/>
      </c>
      <c r="E3759" s="626"/>
      <c r="F3759" s="626"/>
    </row>
    <row r="3760" spans="1:6">
      <c r="A3760" t="str">
        <f t="shared" si="58"/>
        <v/>
      </c>
      <c r="E3760" s="626"/>
      <c r="F3760" s="626"/>
    </row>
    <row r="3761" spans="1:6">
      <c r="A3761" t="str">
        <f t="shared" si="58"/>
        <v/>
      </c>
      <c r="E3761" s="626"/>
      <c r="F3761" s="626"/>
    </row>
    <row r="3762" spans="1:6">
      <c r="A3762" t="str">
        <f t="shared" si="58"/>
        <v/>
      </c>
      <c r="E3762" s="626"/>
      <c r="F3762" s="626"/>
    </row>
    <row r="3763" spans="1:6">
      <c r="A3763" t="str">
        <f t="shared" si="58"/>
        <v/>
      </c>
      <c r="E3763" s="626"/>
      <c r="F3763" s="626"/>
    </row>
    <row r="3764" spans="1:6">
      <c r="A3764" t="str">
        <f t="shared" si="58"/>
        <v/>
      </c>
      <c r="E3764" s="626"/>
      <c r="F3764" s="626"/>
    </row>
    <row r="3765" spans="1:6">
      <c r="A3765" t="str">
        <f t="shared" si="58"/>
        <v/>
      </c>
      <c r="E3765" s="626"/>
      <c r="F3765" s="626"/>
    </row>
    <row r="3766" spans="1:6">
      <c r="A3766" t="str">
        <f t="shared" si="58"/>
        <v/>
      </c>
      <c r="E3766" s="626"/>
      <c r="F3766" s="626"/>
    </row>
    <row r="3767" spans="1:6">
      <c r="A3767" t="str">
        <f t="shared" si="58"/>
        <v/>
      </c>
      <c r="E3767" s="626"/>
      <c r="F3767" s="626"/>
    </row>
    <row r="3768" spans="1:6">
      <c r="A3768" t="str">
        <f t="shared" si="58"/>
        <v/>
      </c>
      <c r="E3768" s="626"/>
      <c r="F3768" s="626"/>
    </row>
    <row r="3769" spans="1:6">
      <c r="A3769" t="str">
        <f t="shared" si="58"/>
        <v/>
      </c>
      <c r="E3769" s="626"/>
      <c r="F3769" s="626"/>
    </row>
    <row r="3770" spans="1:6">
      <c r="A3770" t="str">
        <f t="shared" si="58"/>
        <v/>
      </c>
      <c r="E3770" s="626"/>
      <c r="F3770" s="626"/>
    </row>
    <row r="3771" spans="1:6">
      <c r="A3771" t="str">
        <f t="shared" si="58"/>
        <v/>
      </c>
      <c r="E3771" s="626"/>
      <c r="F3771" s="626"/>
    </row>
    <row r="3772" spans="1:6">
      <c r="A3772" t="str">
        <f t="shared" si="58"/>
        <v/>
      </c>
      <c r="E3772" s="626"/>
      <c r="F3772" s="626"/>
    </row>
    <row r="3773" spans="1:6">
      <c r="A3773" t="str">
        <f t="shared" si="58"/>
        <v/>
      </c>
      <c r="E3773" s="626"/>
      <c r="F3773" s="626"/>
    </row>
    <row r="3774" spans="1:6">
      <c r="A3774" t="str">
        <f t="shared" si="58"/>
        <v/>
      </c>
      <c r="E3774" s="626"/>
      <c r="F3774" s="626"/>
    </row>
    <row r="3775" spans="1:6">
      <c r="A3775" t="str">
        <f t="shared" si="58"/>
        <v/>
      </c>
      <c r="E3775" s="626"/>
      <c r="F3775" s="626"/>
    </row>
    <row r="3776" spans="1:6">
      <c r="A3776" t="str">
        <f t="shared" si="58"/>
        <v/>
      </c>
      <c r="E3776" s="626"/>
      <c r="F3776" s="626"/>
    </row>
    <row r="3777" spans="1:6">
      <c r="A3777" t="str">
        <f t="shared" si="58"/>
        <v/>
      </c>
      <c r="E3777" s="626"/>
      <c r="F3777" s="626"/>
    </row>
    <row r="3778" spans="1:6">
      <c r="A3778" t="str">
        <f t="shared" ref="A3778:A3841" si="59">B3778&amp;E3778&amp;J3778</f>
        <v/>
      </c>
      <c r="E3778" s="626"/>
      <c r="F3778" s="626"/>
    </row>
    <row r="3779" spans="1:6">
      <c r="A3779" t="str">
        <f t="shared" si="59"/>
        <v/>
      </c>
      <c r="E3779" s="626"/>
      <c r="F3779" s="626"/>
    </row>
    <row r="3780" spans="1:6">
      <c r="A3780" t="str">
        <f t="shared" si="59"/>
        <v/>
      </c>
      <c r="E3780" s="626"/>
      <c r="F3780" s="626"/>
    </row>
    <row r="3781" spans="1:6">
      <c r="A3781" t="str">
        <f t="shared" si="59"/>
        <v/>
      </c>
      <c r="E3781" s="626"/>
      <c r="F3781" s="626"/>
    </row>
    <row r="3782" spans="1:6">
      <c r="A3782" t="str">
        <f t="shared" si="59"/>
        <v/>
      </c>
      <c r="E3782" s="626"/>
      <c r="F3782" s="626"/>
    </row>
    <row r="3783" spans="1:6">
      <c r="A3783" t="str">
        <f t="shared" si="59"/>
        <v/>
      </c>
      <c r="E3783" s="626"/>
      <c r="F3783" s="626"/>
    </row>
    <row r="3784" spans="1:6">
      <c r="A3784" t="str">
        <f t="shared" si="59"/>
        <v/>
      </c>
      <c r="E3784" s="626"/>
      <c r="F3784" s="626"/>
    </row>
    <row r="3785" spans="1:6">
      <c r="A3785" t="str">
        <f t="shared" si="59"/>
        <v/>
      </c>
      <c r="E3785" s="626"/>
      <c r="F3785" s="626"/>
    </row>
    <row r="3786" spans="1:6">
      <c r="A3786" t="str">
        <f t="shared" si="59"/>
        <v/>
      </c>
      <c r="E3786" s="626"/>
      <c r="F3786" s="626"/>
    </row>
    <row r="3787" spans="1:6">
      <c r="A3787" t="str">
        <f t="shared" si="59"/>
        <v/>
      </c>
      <c r="E3787" s="626"/>
      <c r="F3787" s="626"/>
    </row>
    <row r="3788" spans="1:6">
      <c r="A3788" t="str">
        <f t="shared" si="59"/>
        <v/>
      </c>
      <c r="E3788" s="626"/>
      <c r="F3788" s="626"/>
    </row>
    <row r="3789" spans="1:6">
      <c r="A3789" t="str">
        <f t="shared" si="59"/>
        <v/>
      </c>
      <c r="E3789" s="626"/>
      <c r="F3789" s="626"/>
    </row>
    <row r="3790" spans="1:6">
      <c r="A3790" t="str">
        <f t="shared" si="59"/>
        <v/>
      </c>
      <c r="E3790" s="626"/>
      <c r="F3790" s="626"/>
    </row>
    <row r="3791" spans="1:6">
      <c r="A3791" t="str">
        <f t="shared" si="59"/>
        <v/>
      </c>
      <c r="E3791" s="626"/>
      <c r="F3791" s="626"/>
    </row>
    <row r="3792" spans="1:6">
      <c r="A3792" t="str">
        <f t="shared" si="59"/>
        <v/>
      </c>
      <c r="E3792" s="626"/>
      <c r="F3792" s="626"/>
    </row>
    <row r="3793" spans="1:6">
      <c r="A3793" t="str">
        <f t="shared" si="59"/>
        <v/>
      </c>
      <c r="E3793" s="626"/>
      <c r="F3793" s="626"/>
    </row>
    <row r="3794" spans="1:6">
      <c r="A3794" t="str">
        <f t="shared" si="59"/>
        <v/>
      </c>
      <c r="E3794" s="626"/>
      <c r="F3794" s="626"/>
    </row>
    <row r="3795" spans="1:6">
      <c r="A3795" t="str">
        <f t="shared" si="59"/>
        <v/>
      </c>
      <c r="E3795" s="626"/>
      <c r="F3795" s="626"/>
    </row>
    <row r="3796" spans="1:6">
      <c r="A3796" t="str">
        <f t="shared" si="59"/>
        <v/>
      </c>
      <c r="E3796" s="626"/>
      <c r="F3796" s="626"/>
    </row>
    <row r="3797" spans="1:6">
      <c r="A3797" t="str">
        <f t="shared" si="59"/>
        <v/>
      </c>
      <c r="E3797" s="626"/>
      <c r="F3797" s="626"/>
    </row>
    <row r="3798" spans="1:6">
      <c r="A3798" t="str">
        <f t="shared" si="59"/>
        <v/>
      </c>
      <c r="E3798" s="626"/>
      <c r="F3798" s="626"/>
    </row>
    <row r="3799" spans="1:6">
      <c r="A3799" t="str">
        <f t="shared" si="59"/>
        <v/>
      </c>
      <c r="E3799" s="626"/>
      <c r="F3799" s="626"/>
    </row>
    <row r="3800" spans="1:6">
      <c r="A3800" t="str">
        <f t="shared" si="59"/>
        <v/>
      </c>
      <c r="E3800" s="626"/>
      <c r="F3800" s="626"/>
    </row>
    <row r="3801" spans="1:6">
      <c r="A3801" t="str">
        <f t="shared" si="59"/>
        <v/>
      </c>
      <c r="E3801" s="626"/>
      <c r="F3801" s="626"/>
    </row>
    <row r="3802" spans="1:6">
      <c r="A3802" t="str">
        <f t="shared" si="59"/>
        <v/>
      </c>
      <c r="E3802" s="626"/>
      <c r="F3802" s="626"/>
    </row>
    <row r="3803" spans="1:6">
      <c r="A3803" t="str">
        <f t="shared" si="59"/>
        <v/>
      </c>
      <c r="E3803" s="626"/>
      <c r="F3803" s="626"/>
    </row>
    <row r="3804" spans="1:6">
      <c r="A3804" t="str">
        <f t="shared" si="59"/>
        <v/>
      </c>
      <c r="E3804" s="626"/>
      <c r="F3804" s="626"/>
    </row>
    <row r="3805" spans="1:6">
      <c r="A3805" t="str">
        <f t="shared" si="59"/>
        <v/>
      </c>
      <c r="E3805" s="626"/>
      <c r="F3805" s="626"/>
    </row>
    <row r="3806" spans="1:6">
      <c r="A3806" t="str">
        <f t="shared" si="59"/>
        <v/>
      </c>
      <c r="E3806" s="626"/>
      <c r="F3806" s="626"/>
    </row>
    <row r="3807" spans="1:6">
      <c r="A3807" t="str">
        <f t="shared" si="59"/>
        <v/>
      </c>
      <c r="E3807" s="626"/>
      <c r="F3807" s="626"/>
    </row>
    <row r="3808" spans="1:6">
      <c r="A3808" t="str">
        <f t="shared" si="59"/>
        <v/>
      </c>
      <c r="E3808" s="626"/>
      <c r="F3808" s="626"/>
    </row>
    <row r="3809" spans="1:6">
      <c r="A3809" t="str">
        <f t="shared" si="59"/>
        <v/>
      </c>
      <c r="E3809" s="626"/>
      <c r="F3809" s="626"/>
    </row>
    <row r="3810" spans="1:6">
      <c r="A3810" t="str">
        <f t="shared" si="59"/>
        <v/>
      </c>
      <c r="E3810" s="626"/>
      <c r="F3810" s="626"/>
    </row>
    <row r="3811" spans="1:6">
      <c r="A3811" t="str">
        <f t="shared" si="59"/>
        <v/>
      </c>
      <c r="E3811" s="626"/>
      <c r="F3811" s="626"/>
    </row>
    <row r="3812" spans="1:6">
      <c r="A3812" t="str">
        <f t="shared" si="59"/>
        <v/>
      </c>
      <c r="E3812" s="626"/>
      <c r="F3812" s="626"/>
    </row>
    <row r="3813" spans="1:6">
      <c r="A3813" t="str">
        <f t="shared" si="59"/>
        <v/>
      </c>
      <c r="E3813" s="626"/>
      <c r="F3813" s="626"/>
    </row>
    <row r="3814" spans="1:6">
      <c r="A3814" t="str">
        <f t="shared" si="59"/>
        <v/>
      </c>
      <c r="E3814" s="626"/>
      <c r="F3814" s="626"/>
    </row>
    <row r="3815" spans="1:6">
      <c r="A3815" t="str">
        <f t="shared" si="59"/>
        <v/>
      </c>
      <c r="E3815" s="626"/>
      <c r="F3815" s="626"/>
    </row>
    <row r="3816" spans="1:6">
      <c r="A3816" t="str">
        <f t="shared" si="59"/>
        <v/>
      </c>
      <c r="E3816" s="626"/>
      <c r="F3816" s="626"/>
    </row>
    <row r="3817" spans="1:6">
      <c r="A3817" t="str">
        <f t="shared" si="59"/>
        <v/>
      </c>
      <c r="E3817" s="626"/>
      <c r="F3817" s="626"/>
    </row>
    <row r="3818" spans="1:6">
      <c r="A3818" t="str">
        <f t="shared" si="59"/>
        <v/>
      </c>
      <c r="E3818" s="626"/>
      <c r="F3818" s="626"/>
    </row>
    <row r="3819" spans="1:6">
      <c r="A3819" t="str">
        <f t="shared" si="59"/>
        <v/>
      </c>
      <c r="E3819" s="626"/>
      <c r="F3819" s="626"/>
    </row>
    <row r="3820" spans="1:6">
      <c r="A3820" t="str">
        <f t="shared" si="59"/>
        <v/>
      </c>
      <c r="E3820" s="626"/>
      <c r="F3820" s="626"/>
    </row>
    <row r="3821" spans="1:6">
      <c r="A3821" t="str">
        <f t="shared" si="59"/>
        <v/>
      </c>
      <c r="E3821" s="626"/>
      <c r="F3821" s="626"/>
    </row>
    <row r="3822" spans="1:6">
      <c r="A3822" t="str">
        <f t="shared" si="59"/>
        <v/>
      </c>
      <c r="E3822" s="626"/>
      <c r="F3822" s="626"/>
    </row>
    <row r="3823" spans="1:6">
      <c r="A3823" t="str">
        <f t="shared" si="59"/>
        <v/>
      </c>
      <c r="E3823" s="626"/>
      <c r="F3823" s="626"/>
    </row>
    <row r="3824" spans="1:6">
      <c r="A3824" t="str">
        <f t="shared" si="59"/>
        <v/>
      </c>
      <c r="E3824" s="626"/>
      <c r="F3824" s="626"/>
    </row>
    <row r="3825" spans="1:6">
      <c r="A3825" t="str">
        <f t="shared" si="59"/>
        <v/>
      </c>
      <c r="E3825" s="626"/>
      <c r="F3825" s="626"/>
    </row>
    <row r="3826" spans="1:6">
      <c r="A3826" t="str">
        <f t="shared" si="59"/>
        <v/>
      </c>
      <c r="E3826" s="626"/>
      <c r="F3826" s="626"/>
    </row>
    <row r="3827" spans="1:6">
      <c r="A3827" t="str">
        <f t="shared" si="59"/>
        <v/>
      </c>
      <c r="E3827" s="626"/>
      <c r="F3827" s="626"/>
    </row>
    <row r="3828" spans="1:6">
      <c r="A3828" t="str">
        <f t="shared" si="59"/>
        <v/>
      </c>
      <c r="E3828" s="626"/>
      <c r="F3828" s="626"/>
    </row>
    <row r="3829" spans="1:6">
      <c r="A3829" t="str">
        <f t="shared" si="59"/>
        <v/>
      </c>
      <c r="E3829" s="626"/>
      <c r="F3829" s="626"/>
    </row>
    <row r="3830" spans="1:6">
      <c r="A3830" t="str">
        <f t="shared" si="59"/>
        <v/>
      </c>
      <c r="E3830" s="626"/>
      <c r="F3830" s="626"/>
    </row>
    <row r="3831" spans="1:6">
      <c r="A3831" t="str">
        <f t="shared" si="59"/>
        <v/>
      </c>
      <c r="E3831" s="626"/>
      <c r="F3831" s="626"/>
    </row>
    <row r="3832" spans="1:6">
      <c r="A3832" t="str">
        <f t="shared" si="59"/>
        <v/>
      </c>
      <c r="E3832" s="626"/>
      <c r="F3832" s="626"/>
    </row>
    <row r="3833" spans="1:6">
      <c r="A3833" t="str">
        <f t="shared" si="59"/>
        <v/>
      </c>
      <c r="E3833" s="626"/>
      <c r="F3833" s="626"/>
    </row>
    <row r="3834" spans="1:6">
      <c r="A3834" t="str">
        <f t="shared" si="59"/>
        <v/>
      </c>
      <c r="E3834" s="626"/>
      <c r="F3834" s="626"/>
    </row>
    <row r="3835" spans="1:6">
      <c r="A3835" t="str">
        <f t="shared" si="59"/>
        <v/>
      </c>
      <c r="E3835" s="626"/>
      <c r="F3835" s="626"/>
    </row>
    <row r="3836" spans="1:6">
      <c r="A3836" t="str">
        <f t="shared" si="59"/>
        <v/>
      </c>
      <c r="E3836" s="626"/>
      <c r="F3836" s="626"/>
    </row>
    <row r="3837" spans="1:6">
      <c r="A3837" t="str">
        <f t="shared" si="59"/>
        <v/>
      </c>
      <c r="E3837" s="626"/>
      <c r="F3837" s="626"/>
    </row>
    <row r="3838" spans="1:6">
      <c r="A3838" t="str">
        <f t="shared" si="59"/>
        <v/>
      </c>
      <c r="E3838" s="626"/>
      <c r="F3838" s="626"/>
    </row>
    <row r="3839" spans="1:6">
      <c r="A3839" t="str">
        <f t="shared" si="59"/>
        <v/>
      </c>
      <c r="E3839" s="626"/>
      <c r="F3839" s="626"/>
    </row>
    <row r="3840" spans="1:6">
      <c r="A3840" t="str">
        <f t="shared" si="59"/>
        <v/>
      </c>
      <c r="E3840" s="626"/>
      <c r="F3840" s="626"/>
    </row>
    <row r="3841" spans="1:6">
      <c r="A3841" t="str">
        <f t="shared" si="59"/>
        <v/>
      </c>
      <c r="E3841" s="626"/>
      <c r="F3841" s="626"/>
    </row>
    <row r="3842" spans="1:6">
      <c r="A3842" t="str">
        <f t="shared" ref="A3842:A3905" si="60">B3842&amp;E3842&amp;J3842</f>
        <v/>
      </c>
      <c r="E3842" s="626"/>
      <c r="F3842" s="626"/>
    </row>
    <row r="3843" spans="1:6">
      <c r="A3843" t="str">
        <f t="shared" si="60"/>
        <v/>
      </c>
      <c r="E3843" s="626"/>
      <c r="F3843" s="626"/>
    </row>
    <row r="3844" spans="1:6">
      <c r="A3844" t="str">
        <f t="shared" si="60"/>
        <v/>
      </c>
      <c r="E3844" s="626"/>
      <c r="F3844" s="626"/>
    </row>
    <row r="3845" spans="1:6">
      <c r="A3845" t="str">
        <f t="shared" si="60"/>
        <v/>
      </c>
      <c r="E3845" s="626"/>
      <c r="F3845" s="626"/>
    </row>
    <row r="3846" spans="1:6">
      <c r="A3846" t="str">
        <f t="shared" si="60"/>
        <v/>
      </c>
      <c r="E3846" s="626"/>
      <c r="F3846" s="626"/>
    </row>
    <row r="3847" spans="1:6">
      <c r="A3847" t="str">
        <f t="shared" si="60"/>
        <v/>
      </c>
      <c r="E3847" s="626"/>
      <c r="F3847" s="626"/>
    </row>
    <row r="3848" spans="1:6">
      <c r="A3848" t="str">
        <f t="shared" si="60"/>
        <v/>
      </c>
      <c r="E3848" s="626"/>
      <c r="F3848" s="626"/>
    </row>
    <row r="3849" spans="1:6">
      <c r="A3849" t="str">
        <f t="shared" si="60"/>
        <v/>
      </c>
      <c r="E3849" s="626"/>
      <c r="F3849" s="626"/>
    </row>
    <row r="3850" spans="1:6">
      <c r="A3850" t="str">
        <f t="shared" si="60"/>
        <v/>
      </c>
      <c r="E3850" s="626"/>
      <c r="F3850" s="626"/>
    </row>
    <row r="3851" spans="1:6">
      <c r="A3851" t="str">
        <f t="shared" si="60"/>
        <v/>
      </c>
      <c r="E3851" s="626"/>
      <c r="F3851" s="626"/>
    </row>
    <row r="3852" spans="1:6">
      <c r="A3852" t="str">
        <f t="shared" si="60"/>
        <v/>
      </c>
      <c r="E3852" s="626"/>
      <c r="F3852" s="626"/>
    </row>
    <row r="3853" spans="1:6">
      <c r="A3853" t="str">
        <f t="shared" si="60"/>
        <v/>
      </c>
      <c r="E3853" s="626"/>
      <c r="F3853" s="626"/>
    </row>
    <row r="3854" spans="1:6">
      <c r="A3854" t="str">
        <f t="shared" si="60"/>
        <v/>
      </c>
      <c r="E3854" s="626"/>
      <c r="F3854" s="626"/>
    </row>
    <row r="3855" spans="1:6">
      <c r="A3855" t="str">
        <f t="shared" si="60"/>
        <v/>
      </c>
      <c r="E3855" s="626"/>
      <c r="F3855" s="626"/>
    </row>
    <row r="3856" spans="1:6">
      <c r="A3856" t="str">
        <f t="shared" si="60"/>
        <v/>
      </c>
      <c r="E3856" s="626"/>
      <c r="F3856" s="626"/>
    </row>
    <row r="3857" spans="1:6">
      <c r="A3857" t="str">
        <f t="shared" si="60"/>
        <v/>
      </c>
      <c r="E3857" s="626"/>
      <c r="F3857" s="626"/>
    </row>
    <row r="3858" spans="1:6">
      <c r="A3858" t="str">
        <f t="shared" si="60"/>
        <v/>
      </c>
      <c r="E3858" s="626"/>
      <c r="F3858" s="626"/>
    </row>
    <row r="3859" spans="1:6">
      <c r="A3859" t="str">
        <f t="shared" si="60"/>
        <v/>
      </c>
      <c r="E3859" s="626"/>
      <c r="F3859" s="626"/>
    </row>
    <row r="3860" spans="1:6">
      <c r="A3860" t="str">
        <f t="shared" si="60"/>
        <v/>
      </c>
      <c r="E3860" s="626"/>
      <c r="F3860" s="626"/>
    </row>
    <row r="3861" spans="1:6">
      <c r="A3861" t="str">
        <f t="shared" si="60"/>
        <v/>
      </c>
      <c r="E3861" s="626"/>
      <c r="F3861" s="626"/>
    </row>
    <row r="3862" spans="1:6">
      <c r="A3862" t="str">
        <f t="shared" si="60"/>
        <v/>
      </c>
      <c r="E3862" s="626"/>
      <c r="F3862" s="626"/>
    </row>
    <row r="3863" spans="1:6">
      <c r="A3863" t="str">
        <f t="shared" si="60"/>
        <v/>
      </c>
      <c r="E3863" s="626"/>
      <c r="F3863" s="626"/>
    </row>
    <row r="3864" spans="1:6">
      <c r="A3864" t="str">
        <f t="shared" si="60"/>
        <v/>
      </c>
      <c r="E3864" s="626"/>
      <c r="F3864" s="626"/>
    </row>
    <row r="3865" spans="1:6">
      <c r="A3865" t="str">
        <f t="shared" si="60"/>
        <v/>
      </c>
      <c r="E3865" s="626"/>
      <c r="F3865" s="626"/>
    </row>
    <row r="3866" spans="1:6">
      <c r="A3866" t="str">
        <f t="shared" si="60"/>
        <v/>
      </c>
      <c r="E3866" s="626"/>
      <c r="F3866" s="626"/>
    </row>
    <row r="3867" spans="1:6">
      <c r="A3867" t="str">
        <f t="shared" si="60"/>
        <v/>
      </c>
      <c r="E3867" s="626"/>
      <c r="F3867" s="626"/>
    </row>
    <row r="3868" spans="1:6">
      <c r="A3868" t="str">
        <f t="shared" si="60"/>
        <v/>
      </c>
      <c r="E3868" s="626"/>
      <c r="F3868" s="626"/>
    </row>
    <row r="3869" spans="1:6">
      <c r="A3869" t="str">
        <f t="shared" si="60"/>
        <v/>
      </c>
      <c r="E3869" s="626"/>
      <c r="F3869" s="626"/>
    </row>
    <row r="3870" spans="1:6">
      <c r="A3870" t="str">
        <f t="shared" si="60"/>
        <v/>
      </c>
      <c r="E3870" s="626"/>
      <c r="F3870" s="626"/>
    </row>
    <row r="3871" spans="1:6">
      <c r="A3871" t="str">
        <f t="shared" si="60"/>
        <v/>
      </c>
      <c r="E3871" s="626"/>
      <c r="F3871" s="626"/>
    </row>
    <row r="3872" spans="1:6">
      <c r="A3872" t="str">
        <f t="shared" si="60"/>
        <v/>
      </c>
      <c r="E3872" s="626"/>
      <c r="F3872" s="626"/>
    </row>
    <row r="3873" spans="1:6">
      <c r="A3873" t="str">
        <f t="shared" si="60"/>
        <v/>
      </c>
      <c r="E3873" s="626"/>
      <c r="F3873" s="626"/>
    </row>
    <row r="3874" spans="1:6">
      <c r="A3874" t="str">
        <f t="shared" si="60"/>
        <v/>
      </c>
      <c r="E3874" s="626"/>
      <c r="F3874" s="626"/>
    </row>
    <row r="3875" spans="1:6">
      <c r="A3875" t="str">
        <f t="shared" si="60"/>
        <v/>
      </c>
      <c r="E3875" s="626"/>
      <c r="F3875" s="626"/>
    </row>
    <row r="3876" spans="1:6">
      <c r="A3876" t="str">
        <f t="shared" si="60"/>
        <v/>
      </c>
      <c r="E3876" s="626"/>
      <c r="F3876" s="626"/>
    </row>
    <row r="3877" spans="1:6">
      <c r="A3877" t="str">
        <f t="shared" si="60"/>
        <v/>
      </c>
      <c r="E3877" s="626"/>
      <c r="F3877" s="626"/>
    </row>
    <row r="3878" spans="1:6">
      <c r="A3878" t="str">
        <f t="shared" si="60"/>
        <v/>
      </c>
      <c r="E3878" s="626"/>
      <c r="F3878" s="626"/>
    </row>
    <row r="3879" spans="1:6">
      <c r="A3879" t="str">
        <f t="shared" si="60"/>
        <v/>
      </c>
      <c r="E3879" s="626"/>
      <c r="F3879" s="626"/>
    </row>
    <row r="3880" spans="1:6">
      <c r="A3880" t="str">
        <f t="shared" si="60"/>
        <v/>
      </c>
      <c r="E3880" s="626"/>
      <c r="F3880" s="626"/>
    </row>
    <row r="3881" spans="1:6">
      <c r="A3881" t="str">
        <f t="shared" si="60"/>
        <v/>
      </c>
      <c r="E3881" s="626"/>
      <c r="F3881" s="626"/>
    </row>
    <row r="3882" spans="1:6">
      <c r="A3882" t="str">
        <f t="shared" si="60"/>
        <v/>
      </c>
      <c r="E3882" s="626"/>
      <c r="F3882" s="626"/>
    </row>
    <row r="3883" spans="1:6">
      <c r="A3883" t="str">
        <f t="shared" si="60"/>
        <v/>
      </c>
      <c r="E3883" s="626"/>
      <c r="F3883" s="626"/>
    </row>
    <row r="3884" spans="1:6">
      <c r="A3884" t="str">
        <f t="shared" si="60"/>
        <v/>
      </c>
      <c r="E3884" s="626"/>
      <c r="F3884" s="626"/>
    </row>
    <row r="3885" spans="1:6">
      <c r="A3885" t="str">
        <f t="shared" si="60"/>
        <v/>
      </c>
      <c r="E3885" s="626"/>
      <c r="F3885" s="626"/>
    </row>
    <row r="3886" spans="1:6">
      <c r="A3886" t="str">
        <f t="shared" si="60"/>
        <v/>
      </c>
      <c r="E3886" s="626"/>
      <c r="F3886" s="626"/>
    </row>
    <row r="3887" spans="1:6">
      <c r="A3887" t="str">
        <f t="shared" si="60"/>
        <v/>
      </c>
      <c r="E3887" s="626"/>
      <c r="F3887" s="626"/>
    </row>
    <row r="3888" spans="1:6">
      <c r="A3888" t="str">
        <f t="shared" si="60"/>
        <v/>
      </c>
      <c r="E3888" s="626"/>
      <c r="F3888" s="626"/>
    </row>
    <row r="3889" spans="1:6">
      <c r="A3889" t="str">
        <f t="shared" si="60"/>
        <v/>
      </c>
      <c r="E3889" s="626"/>
      <c r="F3889" s="626"/>
    </row>
    <row r="3890" spans="1:6">
      <c r="A3890" t="str">
        <f t="shared" si="60"/>
        <v/>
      </c>
      <c r="E3890" s="626"/>
      <c r="F3890" s="626"/>
    </row>
    <row r="3891" spans="1:6">
      <c r="A3891" t="str">
        <f t="shared" si="60"/>
        <v/>
      </c>
      <c r="E3891" s="626"/>
      <c r="F3891" s="626"/>
    </row>
    <row r="3892" spans="1:6">
      <c r="A3892" t="str">
        <f t="shared" si="60"/>
        <v/>
      </c>
      <c r="E3892" s="626"/>
      <c r="F3892" s="626"/>
    </row>
    <row r="3893" spans="1:6">
      <c r="A3893" t="str">
        <f t="shared" si="60"/>
        <v/>
      </c>
      <c r="E3893" s="626"/>
      <c r="F3893" s="626"/>
    </row>
    <row r="3894" spans="1:6">
      <c r="A3894" t="str">
        <f t="shared" si="60"/>
        <v/>
      </c>
      <c r="E3894" s="626"/>
      <c r="F3894" s="626"/>
    </row>
    <row r="3895" spans="1:6">
      <c r="A3895" t="str">
        <f t="shared" si="60"/>
        <v/>
      </c>
      <c r="E3895" s="626"/>
      <c r="F3895" s="626"/>
    </row>
    <row r="3896" spans="1:6">
      <c r="A3896" t="str">
        <f t="shared" si="60"/>
        <v/>
      </c>
      <c r="E3896" s="626"/>
      <c r="F3896" s="626"/>
    </row>
    <row r="3897" spans="1:6">
      <c r="A3897" t="str">
        <f t="shared" si="60"/>
        <v/>
      </c>
      <c r="E3897" s="626"/>
      <c r="F3897" s="626"/>
    </row>
    <row r="3898" spans="1:6">
      <c r="A3898" t="str">
        <f t="shared" si="60"/>
        <v/>
      </c>
      <c r="E3898" s="626"/>
      <c r="F3898" s="626"/>
    </row>
    <row r="3899" spans="1:6">
      <c r="A3899" t="str">
        <f t="shared" si="60"/>
        <v/>
      </c>
      <c r="E3899" s="626"/>
      <c r="F3899" s="626"/>
    </row>
    <row r="3900" spans="1:6">
      <c r="A3900" t="str">
        <f t="shared" si="60"/>
        <v/>
      </c>
      <c r="E3900" s="626"/>
      <c r="F3900" s="626"/>
    </row>
    <row r="3901" spans="1:6">
      <c r="A3901" t="str">
        <f t="shared" si="60"/>
        <v/>
      </c>
      <c r="E3901" s="626"/>
      <c r="F3901" s="626"/>
    </row>
    <row r="3902" spans="1:6">
      <c r="A3902" t="str">
        <f t="shared" si="60"/>
        <v/>
      </c>
      <c r="E3902" s="626"/>
      <c r="F3902" s="626"/>
    </row>
    <row r="3903" spans="1:6">
      <c r="A3903" t="str">
        <f t="shared" si="60"/>
        <v/>
      </c>
      <c r="E3903" s="626"/>
      <c r="F3903" s="626"/>
    </row>
    <row r="3904" spans="1:6">
      <c r="A3904" t="str">
        <f t="shared" si="60"/>
        <v/>
      </c>
      <c r="E3904" s="626"/>
      <c r="F3904" s="626"/>
    </row>
    <row r="3905" spans="1:6">
      <c r="A3905" t="str">
        <f t="shared" si="60"/>
        <v/>
      </c>
      <c r="E3905" s="626"/>
      <c r="F3905" s="626"/>
    </row>
    <row r="3906" spans="1:6">
      <c r="A3906" t="str">
        <f t="shared" ref="A3906:A3969" si="61">B3906&amp;E3906&amp;J3906</f>
        <v/>
      </c>
      <c r="E3906" s="626"/>
      <c r="F3906" s="626"/>
    </row>
    <row r="3907" spans="1:6">
      <c r="A3907" t="str">
        <f t="shared" si="61"/>
        <v/>
      </c>
      <c r="E3907" s="626"/>
      <c r="F3907" s="626"/>
    </row>
    <row r="3908" spans="1:6">
      <c r="A3908" t="str">
        <f t="shared" si="61"/>
        <v/>
      </c>
      <c r="E3908" s="626"/>
      <c r="F3908" s="626"/>
    </row>
    <row r="3909" spans="1:6">
      <c r="A3909" t="str">
        <f t="shared" si="61"/>
        <v/>
      </c>
      <c r="E3909" s="626"/>
      <c r="F3909" s="626"/>
    </row>
    <row r="3910" spans="1:6">
      <c r="A3910" t="str">
        <f t="shared" si="61"/>
        <v/>
      </c>
      <c r="E3910" s="626"/>
      <c r="F3910" s="626"/>
    </row>
    <row r="3911" spans="1:6">
      <c r="A3911" t="str">
        <f t="shared" si="61"/>
        <v/>
      </c>
      <c r="E3911" s="626"/>
      <c r="F3911" s="626"/>
    </row>
    <row r="3912" spans="1:6">
      <c r="A3912" t="str">
        <f t="shared" si="61"/>
        <v/>
      </c>
      <c r="E3912" s="626"/>
      <c r="F3912" s="626"/>
    </row>
    <row r="3913" spans="1:6">
      <c r="A3913" t="str">
        <f t="shared" si="61"/>
        <v/>
      </c>
      <c r="E3913" s="626"/>
      <c r="F3913" s="626"/>
    </row>
    <row r="3914" spans="1:6">
      <c r="A3914" t="str">
        <f t="shared" si="61"/>
        <v/>
      </c>
      <c r="E3914" s="626"/>
      <c r="F3914" s="626"/>
    </row>
    <row r="3915" spans="1:6">
      <c r="A3915" t="str">
        <f t="shared" si="61"/>
        <v/>
      </c>
      <c r="E3915" s="626"/>
      <c r="F3915" s="626"/>
    </row>
    <row r="3916" spans="1:6">
      <c r="A3916" t="str">
        <f t="shared" si="61"/>
        <v/>
      </c>
      <c r="E3916" s="626"/>
      <c r="F3916" s="626"/>
    </row>
    <row r="3917" spans="1:6">
      <c r="A3917" t="str">
        <f t="shared" si="61"/>
        <v/>
      </c>
      <c r="E3917" s="626"/>
      <c r="F3917" s="626"/>
    </row>
    <row r="3918" spans="1:6">
      <c r="A3918" t="str">
        <f t="shared" si="61"/>
        <v/>
      </c>
      <c r="E3918" s="626"/>
      <c r="F3918" s="626"/>
    </row>
    <row r="3919" spans="1:6">
      <c r="A3919" t="str">
        <f t="shared" si="61"/>
        <v/>
      </c>
      <c r="E3919" s="626"/>
      <c r="F3919" s="626"/>
    </row>
    <row r="3920" spans="1:6">
      <c r="A3920" t="str">
        <f t="shared" si="61"/>
        <v/>
      </c>
      <c r="E3920" s="626"/>
      <c r="F3920" s="626"/>
    </row>
    <row r="3921" spans="1:6">
      <c r="A3921" t="str">
        <f t="shared" si="61"/>
        <v/>
      </c>
      <c r="E3921" s="626"/>
      <c r="F3921" s="626"/>
    </row>
    <row r="3922" spans="1:6">
      <c r="A3922" t="str">
        <f t="shared" si="61"/>
        <v/>
      </c>
      <c r="E3922" s="626"/>
      <c r="F3922" s="626"/>
    </row>
    <row r="3923" spans="1:6">
      <c r="A3923" t="str">
        <f t="shared" si="61"/>
        <v/>
      </c>
      <c r="E3923" s="626"/>
      <c r="F3923" s="626"/>
    </row>
    <row r="3924" spans="1:6">
      <c r="A3924" t="str">
        <f t="shared" si="61"/>
        <v/>
      </c>
      <c r="E3924" s="626"/>
      <c r="F3924" s="626"/>
    </row>
    <row r="3925" spans="1:6">
      <c r="A3925" t="str">
        <f t="shared" si="61"/>
        <v/>
      </c>
      <c r="E3925" s="626"/>
      <c r="F3925" s="626"/>
    </row>
    <row r="3926" spans="1:6">
      <c r="A3926" t="str">
        <f t="shared" si="61"/>
        <v/>
      </c>
      <c r="E3926" s="626"/>
      <c r="F3926" s="626"/>
    </row>
    <row r="3927" spans="1:6">
      <c r="A3927" t="str">
        <f t="shared" si="61"/>
        <v/>
      </c>
      <c r="E3927" s="626"/>
      <c r="F3927" s="626"/>
    </row>
    <row r="3928" spans="1:6">
      <c r="A3928" t="str">
        <f t="shared" si="61"/>
        <v/>
      </c>
      <c r="E3928" s="626"/>
      <c r="F3928" s="626"/>
    </row>
    <row r="3929" spans="1:6">
      <c r="A3929" t="str">
        <f t="shared" si="61"/>
        <v/>
      </c>
      <c r="E3929" s="626"/>
      <c r="F3929" s="626"/>
    </row>
    <row r="3930" spans="1:6">
      <c r="A3930" t="str">
        <f t="shared" si="61"/>
        <v/>
      </c>
      <c r="E3930" s="626"/>
      <c r="F3930" s="626"/>
    </row>
    <row r="3931" spans="1:6">
      <c r="A3931" t="str">
        <f t="shared" si="61"/>
        <v/>
      </c>
      <c r="E3931" s="626"/>
      <c r="F3931" s="626"/>
    </row>
    <row r="3932" spans="1:6">
      <c r="A3932" t="str">
        <f t="shared" si="61"/>
        <v/>
      </c>
      <c r="E3932" s="626"/>
      <c r="F3932" s="626"/>
    </row>
    <row r="3933" spans="1:6">
      <c r="A3933" t="str">
        <f t="shared" si="61"/>
        <v/>
      </c>
      <c r="E3933" s="626"/>
      <c r="F3933" s="626"/>
    </row>
    <row r="3934" spans="1:6">
      <c r="A3934" t="str">
        <f t="shared" si="61"/>
        <v/>
      </c>
      <c r="E3934" s="626"/>
      <c r="F3934" s="626"/>
    </row>
    <row r="3935" spans="1:6">
      <c r="A3935" t="str">
        <f t="shared" si="61"/>
        <v/>
      </c>
      <c r="E3935" s="626"/>
      <c r="F3935" s="626"/>
    </row>
    <row r="3936" spans="1:6">
      <c r="A3936" t="str">
        <f t="shared" si="61"/>
        <v/>
      </c>
      <c r="E3936" s="626"/>
      <c r="F3936" s="626"/>
    </row>
    <row r="3937" spans="1:6">
      <c r="A3937" t="str">
        <f t="shared" si="61"/>
        <v/>
      </c>
      <c r="E3937" s="626"/>
      <c r="F3937" s="626"/>
    </row>
    <row r="3938" spans="1:6">
      <c r="A3938" t="str">
        <f t="shared" si="61"/>
        <v/>
      </c>
      <c r="E3938" s="626"/>
      <c r="F3938" s="626"/>
    </row>
    <row r="3939" spans="1:6">
      <c r="A3939" t="str">
        <f t="shared" si="61"/>
        <v/>
      </c>
      <c r="E3939" s="626"/>
      <c r="F3939" s="626"/>
    </row>
    <row r="3940" spans="1:6">
      <c r="A3940" t="str">
        <f t="shared" si="61"/>
        <v/>
      </c>
      <c r="E3940" s="626"/>
      <c r="F3940" s="626"/>
    </row>
    <row r="3941" spans="1:6">
      <c r="A3941" t="str">
        <f t="shared" si="61"/>
        <v/>
      </c>
      <c r="E3941" s="626"/>
      <c r="F3941" s="626"/>
    </row>
    <row r="3942" spans="1:6">
      <c r="A3942" t="str">
        <f t="shared" si="61"/>
        <v/>
      </c>
      <c r="E3942" s="626"/>
      <c r="F3942" s="626"/>
    </row>
    <row r="3943" spans="1:6">
      <c r="A3943" t="str">
        <f t="shared" si="61"/>
        <v/>
      </c>
      <c r="E3943" s="626"/>
      <c r="F3943" s="626"/>
    </row>
    <row r="3944" spans="1:6">
      <c r="A3944" t="str">
        <f t="shared" si="61"/>
        <v/>
      </c>
      <c r="E3944" s="626"/>
      <c r="F3944" s="626"/>
    </row>
    <row r="3945" spans="1:6">
      <c r="A3945" t="str">
        <f t="shared" si="61"/>
        <v/>
      </c>
      <c r="E3945" s="626"/>
      <c r="F3945" s="626"/>
    </row>
    <row r="3946" spans="1:6">
      <c r="A3946" t="str">
        <f t="shared" si="61"/>
        <v/>
      </c>
      <c r="E3946" s="626"/>
      <c r="F3946" s="626"/>
    </row>
    <row r="3947" spans="1:6">
      <c r="A3947" t="str">
        <f t="shared" si="61"/>
        <v/>
      </c>
      <c r="E3947" s="626"/>
      <c r="F3947" s="626"/>
    </row>
    <row r="3948" spans="1:6">
      <c r="A3948" t="str">
        <f t="shared" si="61"/>
        <v/>
      </c>
      <c r="E3948" s="626"/>
      <c r="F3948" s="626"/>
    </row>
    <row r="3949" spans="1:6">
      <c r="A3949" t="str">
        <f t="shared" si="61"/>
        <v/>
      </c>
      <c r="E3949" s="626"/>
      <c r="F3949" s="626"/>
    </row>
    <row r="3950" spans="1:6">
      <c r="A3950" t="str">
        <f t="shared" si="61"/>
        <v/>
      </c>
      <c r="E3950" s="626"/>
      <c r="F3950" s="626"/>
    </row>
    <row r="3951" spans="1:6">
      <c r="A3951" t="str">
        <f t="shared" si="61"/>
        <v/>
      </c>
      <c r="E3951" s="626"/>
      <c r="F3951" s="626"/>
    </row>
    <row r="3952" spans="1:6">
      <c r="A3952" t="str">
        <f t="shared" si="61"/>
        <v/>
      </c>
      <c r="E3952" s="626"/>
      <c r="F3952" s="626"/>
    </row>
    <row r="3953" spans="1:6">
      <c r="A3953" t="str">
        <f t="shared" si="61"/>
        <v/>
      </c>
      <c r="E3953" s="626"/>
      <c r="F3953" s="626"/>
    </row>
    <row r="3954" spans="1:6">
      <c r="A3954" t="str">
        <f t="shared" si="61"/>
        <v/>
      </c>
      <c r="E3954" s="626"/>
      <c r="F3954" s="626"/>
    </row>
    <row r="3955" spans="1:6">
      <c r="A3955" t="str">
        <f t="shared" si="61"/>
        <v/>
      </c>
      <c r="E3955" s="626"/>
      <c r="F3955" s="626"/>
    </row>
    <row r="3956" spans="1:6">
      <c r="A3956" t="str">
        <f t="shared" si="61"/>
        <v/>
      </c>
      <c r="E3956" s="626"/>
      <c r="F3956" s="626"/>
    </row>
    <row r="3957" spans="1:6">
      <c r="A3957" t="str">
        <f t="shared" si="61"/>
        <v/>
      </c>
      <c r="E3957" s="626"/>
      <c r="F3957" s="626"/>
    </row>
    <row r="3958" spans="1:6">
      <c r="A3958" t="str">
        <f t="shared" si="61"/>
        <v/>
      </c>
      <c r="E3958" s="626"/>
      <c r="F3958" s="626"/>
    </row>
    <row r="3959" spans="1:6">
      <c r="A3959" t="str">
        <f t="shared" si="61"/>
        <v/>
      </c>
      <c r="E3959" s="626"/>
      <c r="F3959" s="626"/>
    </row>
    <row r="3960" spans="1:6">
      <c r="A3960" t="str">
        <f t="shared" si="61"/>
        <v/>
      </c>
      <c r="E3960" s="626"/>
      <c r="F3960" s="626"/>
    </row>
    <row r="3961" spans="1:6">
      <c r="A3961" t="str">
        <f t="shared" si="61"/>
        <v/>
      </c>
      <c r="E3961" s="626"/>
      <c r="F3961" s="626"/>
    </row>
    <row r="3962" spans="1:6">
      <c r="A3962" t="str">
        <f t="shared" si="61"/>
        <v/>
      </c>
      <c r="E3962" s="626"/>
      <c r="F3962" s="626"/>
    </row>
    <row r="3963" spans="1:6">
      <c r="A3963" t="str">
        <f t="shared" si="61"/>
        <v/>
      </c>
      <c r="E3963" s="626"/>
      <c r="F3963" s="626"/>
    </row>
    <row r="3964" spans="1:6">
      <c r="A3964" t="str">
        <f t="shared" si="61"/>
        <v/>
      </c>
      <c r="E3964" s="626"/>
      <c r="F3964" s="626"/>
    </row>
    <row r="3965" spans="1:6">
      <c r="A3965" t="str">
        <f t="shared" si="61"/>
        <v/>
      </c>
      <c r="E3965" s="626"/>
      <c r="F3965" s="626"/>
    </row>
    <row r="3966" spans="1:6">
      <c r="A3966" t="str">
        <f t="shared" si="61"/>
        <v/>
      </c>
      <c r="E3966" s="626"/>
      <c r="F3966" s="626"/>
    </row>
    <row r="3967" spans="1:6">
      <c r="A3967" t="str">
        <f t="shared" si="61"/>
        <v/>
      </c>
      <c r="E3967" s="626"/>
      <c r="F3967" s="626"/>
    </row>
    <row r="3968" spans="1:6">
      <c r="A3968" t="str">
        <f t="shared" si="61"/>
        <v/>
      </c>
      <c r="E3968" s="626"/>
      <c r="F3968" s="626"/>
    </row>
    <row r="3969" spans="1:6">
      <c r="A3969" t="str">
        <f t="shared" si="61"/>
        <v/>
      </c>
      <c r="E3969" s="626"/>
      <c r="F3969" s="626"/>
    </row>
    <row r="3970" spans="1:6">
      <c r="A3970" t="str">
        <f t="shared" ref="A3970:A4033" si="62">B3970&amp;E3970&amp;J3970</f>
        <v/>
      </c>
      <c r="E3970" s="626"/>
      <c r="F3970" s="626"/>
    </row>
    <row r="3971" spans="1:6">
      <c r="A3971" t="str">
        <f t="shared" si="62"/>
        <v/>
      </c>
      <c r="E3971" s="626"/>
      <c r="F3971" s="626"/>
    </row>
    <row r="3972" spans="1:6">
      <c r="A3972" t="str">
        <f t="shared" si="62"/>
        <v/>
      </c>
      <c r="E3972" s="626"/>
      <c r="F3972" s="626"/>
    </row>
    <row r="3973" spans="1:6">
      <c r="A3973" t="str">
        <f t="shared" si="62"/>
        <v/>
      </c>
      <c r="E3973" s="626"/>
      <c r="F3973" s="626"/>
    </row>
    <row r="3974" spans="1:6">
      <c r="A3974" t="str">
        <f t="shared" si="62"/>
        <v/>
      </c>
      <c r="E3974" s="626"/>
      <c r="F3974" s="626"/>
    </row>
    <row r="3975" spans="1:6">
      <c r="A3975" t="str">
        <f t="shared" si="62"/>
        <v/>
      </c>
      <c r="E3975" s="626"/>
      <c r="F3975" s="626"/>
    </row>
    <row r="3976" spans="1:6">
      <c r="A3976" t="str">
        <f t="shared" si="62"/>
        <v/>
      </c>
      <c r="E3976" s="626"/>
      <c r="F3976" s="626"/>
    </row>
    <row r="3977" spans="1:6">
      <c r="A3977" t="str">
        <f t="shared" si="62"/>
        <v/>
      </c>
      <c r="E3977" s="626"/>
      <c r="F3977" s="626"/>
    </row>
    <row r="3978" spans="1:6">
      <c r="A3978" t="str">
        <f t="shared" si="62"/>
        <v/>
      </c>
      <c r="E3978" s="626"/>
      <c r="F3978" s="626"/>
    </row>
    <row r="3979" spans="1:6">
      <c r="A3979" t="str">
        <f t="shared" si="62"/>
        <v/>
      </c>
      <c r="E3979" s="626"/>
      <c r="F3979" s="626"/>
    </row>
    <row r="3980" spans="1:6">
      <c r="A3980" t="str">
        <f t="shared" si="62"/>
        <v/>
      </c>
      <c r="E3980" s="626"/>
      <c r="F3980" s="626"/>
    </row>
    <row r="3981" spans="1:6">
      <c r="A3981" t="str">
        <f t="shared" si="62"/>
        <v/>
      </c>
      <c r="E3981" s="626"/>
      <c r="F3981" s="626"/>
    </row>
    <row r="3982" spans="1:6">
      <c r="A3982" t="str">
        <f t="shared" si="62"/>
        <v/>
      </c>
      <c r="E3982" s="626"/>
      <c r="F3982" s="626"/>
    </row>
    <row r="3983" spans="1:6">
      <c r="A3983" t="str">
        <f t="shared" si="62"/>
        <v/>
      </c>
      <c r="E3983" s="626"/>
      <c r="F3983" s="626"/>
    </row>
    <row r="3984" spans="1:6">
      <c r="A3984" t="str">
        <f t="shared" si="62"/>
        <v/>
      </c>
      <c r="E3984" s="626"/>
      <c r="F3984" s="626"/>
    </row>
    <row r="3985" spans="1:6">
      <c r="A3985" t="str">
        <f t="shared" si="62"/>
        <v/>
      </c>
      <c r="E3985" s="626"/>
      <c r="F3985" s="626"/>
    </row>
    <row r="3986" spans="1:6">
      <c r="A3986" t="str">
        <f t="shared" si="62"/>
        <v/>
      </c>
      <c r="E3986" s="626"/>
      <c r="F3986" s="626"/>
    </row>
    <row r="3987" spans="1:6">
      <c r="A3987" t="str">
        <f t="shared" si="62"/>
        <v/>
      </c>
      <c r="E3987" s="626"/>
      <c r="F3987" s="626"/>
    </row>
    <row r="3988" spans="1:6">
      <c r="A3988" t="str">
        <f t="shared" si="62"/>
        <v/>
      </c>
      <c r="E3988" s="626"/>
      <c r="F3988" s="626"/>
    </row>
    <row r="3989" spans="1:6">
      <c r="A3989" t="str">
        <f t="shared" si="62"/>
        <v/>
      </c>
      <c r="E3989" s="626"/>
      <c r="F3989" s="626"/>
    </row>
    <row r="3990" spans="1:6">
      <c r="A3990" t="str">
        <f t="shared" si="62"/>
        <v/>
      </c>
      <c r="E3990" s="626"/>
      <c r="F3990" s="626"/>
    </row>
    <row r="3991" spans="1:6">
      <c r="A3991" t="str">
        <f t="shared" si="62"/>
        <v/>
      </c>
      <c r="E3991" s="626"/>
      <c r="F3991" s="626"/>
    </row>
    <row r="3992" spans="1:6">
      <c r="A3992" t="str">
        <f t="shared" si="62"/>
        <v/>
      </c>
      <c r="E3992" s="626"/>
      <c r="F3992" s="626"/>
    </row>
    <row r="3993" spans="1:6">
      <c r="A3993" t="str">
        <f t="shared" si="62"/>
        <v/>
      </c>
      <c r="E3993" s="626"/>
      <c r="F3993" s="626"/>
    </row>
    <row r="3994" spans="1:6">
      <c r="A3994" t="str">
        <f t="shared" si="62"/>
        <v/>
      </c>
      <c r="E3994" s="626"/>
      <c r="F3994" s="626"/>
    </row>
    <row r="3995" spans="1:6">
      <c r="A3995" t="str">
        <f t="shared" si="62"/>
        <v/>
      </c>
      <c r="E3995" s="626"/>
      <c r="F3995" s="626"/>
    </row>
    <row r="3996" spans="1:6">
      <c r="A3996" t="str">
        <f t="shared" si="62"/>
        <v/>
      </c>
      <c r="E3996" s="626"/>
      <c r="F3996" s="626"/>
    </row>
    <row r="3997" spans="1:6">
      <c r="A3997" t="str">
        <f t="shared" si="62"/>
        <v/>
      </c>
      <c r="E3997" s="626"/>
      <c r="F3997" s="626"/>
    </row>
    <row r="3998" spans="1:6">
      <c r="A3998" t="str">
        <f t="shared" si="62"/>
        <v/>
      </c>
      <c r="E3998" s="626"/>
      <c r="F3998" s="626"/>
    </row>
    <row r="3999" spans="1:6">
      <c r="A3999" t="str">
        <f t="shared" si="62"/>
        <v/>
      </c>
      <c r="E3999" s="626"/>
      <c r="F3999" s="626"/>
    </row>
    <row r="4000" spans="1:6">
      <c r="A4000" t="str">
        <f t="shared" si="62"/>
        <v/>
      </c>
      <c r="E4000" s="626"/>
      <c r="F4000" s="626"/>
    </row>
    <row r="4001" spans="1:6">
      <c r="A4001" t="str">
        <f t="shared" si="62"/>
        <v/>
      </c>
      <c r="E4001" s="626"/>
      <c r="F4001" s="626"/>
    </row>
    <row r="4002" spans="1:6">
      <c r="A4002" t="str">
        <f t="shared" si="62"/>
        <v/>
      </c>
      <c r="E4002" s="626"/>
      <c r="F4002" s="626"/>
    </row>
    <row r="4003" spans="1:6">
      <c r="A4003" t="str">
        <f t="shared" si="62"/>
        <v/>
      </c>
      <c r="E4003" s="626"/>
      <c r="F4003" s="626"/>
    </row>
    <row r="4004" spans="1:6">
      <c r="A4004" t="str">
        <f t="shared" si="62"/>
        <v/>
      </c>
      <c r="E4004" s="626"/>
      <c r="F4004" s="626"/>
    </row>
    <row r="4005" spans="1:6">
      <c r="A4005" t="str">
        <f t="shared" si="62"/>
        <v/>
      </c>
      <c r="E4005" s="626"/>
      <c r="F4005" s="626"/>
    </row>
    <row r="4006" spans="1:6">
      <c r="A4006" t="str">
        <f t="shared" si="62"/>
        <v/>
      </c>
      <c r="E4006" s="626"/>
      <c r="F4006" s="626"/>
    </row>
    <row r="4007" spans="1:6">
      <c r="A4007" t="str">
        <f t="shared" si="62"/>
        <v/>
      </c>
      <c r="E4007" s="626"/>
      <c r="F4007" s="626"/>
    </row>
    <row r="4008" spans="1:6">
      <c r="A4008" t="str">
        <f t="shared" si="62"/>
        <v/>
      </c>
      <c r="E4008" s="626"/>
      <c r="F4008" s="626"/>
    </row>
    <row r="4009" spans="1:6">
      <c r="A4009" t="str">
        <f t="shared" si="62"/>
        <v/>
      </c>
      <c r="E4009" s="626"/>
      <c r="F4009" s="626"/>
    </row>
    <row r="4010" spans="1:6">
      <c r="A4010" t="str">
        <f t="shared" si="62"/>
        <v/>
      </c>
      <c r="E4010" s="626"/>
      <c r="F4010" s="626"/>
    </row>
    <row r="4011" spans="1:6">
      <c r="A4011" t="str">
        <f t="shared" si="62"/>
        <v/>
      </c>
      <c r="E4011" s="626"/>
      <c r="F4011" s="626"/>
    </row>
    <row r="4012" spans="1:6">
      <c r="A4012" t="str">
        <f t="shared" si="62"/>
        <v/>
      </c>
      <c r="E4012" s="626"/>
      <c r="F4012" s="626"/>
    </row>
    <row r="4013" spans="1:6">
      <c r="A4013" t="str">
        <f t="shared" si="62"/>
        <v/>
      </c>
      <c r="E4013" s="626"/>
      <c r="F4013" s="626"/>
    </row>
    <row r="4014" spans="1:6">
      <c r="A4014" t="str">
        <f t="shared" si="62"/>
        <v/>
      </c>
      <c r="E4014" s="626"/>
      <c r="F4014" s="626"/>
    </row>
    <row r="4015" spans="1:6">
      <c r="A4015" t="str">
        <f t="shared" si="62"/>
        <v/>
      </c>
      <c r="E4015" s="626"/>
      <c r="F4015" s="626"/>
    </row>
    <row r="4016" spans="1:6">
      <c r="A4016" t="str">
        <f t="shared" si="62"/>
        <v/>
      </c>
      <c r="E4016" s="626"/>
      <c r="F4016" s="626"/>
    </row>
    <row r="4017" spans="1:6">
      <c r="A4017" t="str">
        <f t="shared" si="62"/>
        <v/>
      </c>
      <c r="E4017" s="626"/>
      <c r="F4017" s="626"/>
    </row>
    <row r="4018" spans="1:6">
      <c r="A4018" t="str">
        <f t="shared" si="62"/>
        <v/>
      </c>
      <c r="E4018" s="626"/>
      <c r="F4018" s="626"/>
    </row>
    <row r="4019" spans="1:6">
      <c r="A4019" t="str">
        <f t="shared" si="62"/>
        <v/>
      </c>
      <c r="E4019" s="626"/>
      <c r="F4019" s="626"/>
    </row>
    <row r="4020" spans="1:6">
      <c r="A4020" t="str">
        <f t="shared" si="62"/>
        <v/>
      </c>
      <c r="E4020" s="626"/>
      <c r="F4020" s="626"/>
    </row>
    <row r="4021" spans="1:6">
      <c r="A4021" t="str">
        <f t="shared" si="62"/>
        <v/>
      </c>
      <c r="E4021" s="626"/>
      <c r="F4021" s="626"/>
    </row>
    <row r="4022" spans="1:6">
      <c r="A4022" t="str">
        <f t="shared" si="62"/>
        <v/>
      </c>
      <c r="E4022" s="626"/>
      <c r="F4022" s="626"/>
    </row>
    <row r="4023" spans="1:6">
      <c r="A4023" t="str">
        <f t="shared" si="62"/>
        <v/>
      </c>
      <c r="E4023" s="626"/>
      <c r="F4023" s="626"/>
    </row>
    <row r="4024" spans="1:6">
      <c r="A4024" t="str">
        <f t="shared" si="62"/>
        <v/>
      </c>
      <c r="E4024" s="626"/>
      <c r="F4024" s="626"/>
    </row>
    <row r="4025" spans="1:6">
      <c r="A4025" t="str">
        <f t="shared" si="62"/>
        <v/>
      </c>
      <c r="E4025" s="626"/>
      <c r="F4025" s="626"/>
    </row>
    <row r="4026" spans="1:6">
      <c r="A4026" t="str">
        <f t="shared" si="62"/>
        <v/>
      </c>
      <c r="E4026" s="626"/>
      <c r="F4026" s="626"/>
    </row>
    <row r="4027" spans="1:6">
      <c r="A4027" t="str">
        <f t="shared" si="62"/>
        <v/>
      </c>
      <c r="E4027" s="626"/>
      <c r="F4027" s="626"/>
    </row>
    <row r="4028" spans="1:6">
      <c r="A4028" t="str">
        <f t="shared" si="62"/>
        <v/>
      </c>
      <c r="E4028" s="626"/>
      <c r="F4028" s="626"/>
    </row>
    <row r="4029" spans="1:6">
      <c r="A4029" t="str">
        <f t="shared" si="62"/>
        <v/>
      </c>
      <c r="E4029" s="626"/>
      <c r="F4029" s="626"/>
    </row>
    <row r="4030" spans="1:6">
      <c r="A4030" t="str">
        <f t="shared" si="62"/>
        <v/>
      </c>
      <c r="E4030" s="626"/>
      <c r="F4030" s="626"/>
    </row>
    <row r="4031" spans="1:6">
      <c r="A4031" t="str">
        <f t="shared" si="62"/>
        <v/>
      </c>
      <c r="E4031" s="626"/>
      <c r="F4031" s="626"/>
    </row>
    <row r="4032" spans="1:6">
      <c r="A4032" t="str">
        <f t="shared" si="62"/>
        <v/>
      </c>
      <c r="E4032" s="626"/>
      <c r="F4032" s="626"/>
    </row>
    <row r="4033" spans="1:6">
      <c r="A4033" t="str">
        <f t="shared" si="62"/>
        <v/>
      </c>
      <c r="E4033" s="626"/>
      <c r="F4033" s="626"/>
    </row>
    <row r="4034" spans="1:6">
      <c r="A4034" t="str">
        <f t="shared" ref="A4034:A4097" si="63">B4034&amp;E4034&amp;J4034</f>
        <v/>
      </c>
      <c r="E4034" s="626"/>
      <c r="F4034" s="626"/>
    </row>
    <row r="4035" spans="1:6">
      <c r="A4035" t="str">
        <f t="shared" si="63"/>
        <v/>
      </c>
      <c r="E4035" s="626"/>
      <c r="F4035" s="626"/>
    </row>
    <row r="4036" spans="1:6">
      <c r="A4036" t="str">
        <f t="shared" si="63"/>
        <v/>
      </c>
      <c r="E4036" s="626"/>
      <c r="F4036" s="626"/>
    </row>
    <row r="4037" spans="1:6">
      <c r="A4037" t="str">
        <f t="shared" si="63"/>
        <v/>
      </c>
      <c r="E4037" s="626"/>
      <c r="F4037" s="626"/>
    </row>
    <row r="4038" spans="1:6">
      <c r="A4038" t="str">
        <f t="shared" si="63"/>
        <v/>
      </c>
      <c r="E4038" s="626"/>
      <c r="F4038" s="626"/>
    </row>
    <row r="4039" spans="1:6">
      <c r="A4039" t="str">
        <f t="shared" si="63"/>
        <v/>
      </c>
      <c r="E4039" s="626"/>
      <c r="F4039" s="626"/>
    </row>
    <row r="4040" spans="1:6">
      <c r="A4040" t="str">
        <f t="shared" si="63"/>
        <v/>
      </c>
      <c r="E4040" s="626"/>
      <c r="F4040" s="626"/>
    </row>
    <row r="4041" spans="1:6">
      <c r="A4041" t="str">
        <f t="shared" si="63"/>
        <v/>
      </c>
      <c r="E4041" s="626"/>
      <c r="F4041" s="626"/>
    </row>
    <row r="4042" spans="1:6">
      <c r="A4042" t="str">
        <f t="shared" si="63"/>
        <v/>
      </c>
      <c r="E4042" s="626"/>
      <c r="F4042" s="626"/>
    </row>
    <row r="4043" spans="1:6">
      <c r="A4043" t="str">
        <f t="shared" si="63"/>
        <v/>
      </c>
      <c r="E4043" s="626"/>
      <c r="F4043" s="626"/>
    </row>
    <row r="4044" spans="1:6">
      <c r="A4044" t="str">
        <f t="shared" si="63"/>
        <v/>
      </c>
      <c r="E4044" s="626"/>
      <c r="F4044" s="626"/>
    </row>
    <row r="4045" spans="1:6">
      <c r="A4045" t="str">
        <f t="shared" si="63"/>
        <v/>
      </c>
      <c r="E4045" s="626"/>
      <c r="F4045" s="626"/>
    </row>
    <row r="4046" spans="1:6">
      <c r="A4046" t="str">
        <f t="shared" si="63"/>
        <v/>
      </c>
      <c r="E4046" s="626"/>
      <c r="F4046" s="626"/>
    </row>
    <row r="4047" spans="1:6">
      <c r="A4047" t="str">
        <f t="shared" si="63"/>
        <v/>
      </c>
      <c r="E4047" s="626"/>
      <c r="F4047" s="626"/>
    </row>
    <row r="4048" spans="1:6">
      <c r="A4048" t="str">
        <f t="shared" si="63"/>
        <v/>
      </c>
      <c r="E4048" s="626"/>
      <c r="F4048" s="626"/>
    </row>
    <row r="4049" spans="1:6">
      <c r="A4049" t="str">
        <f t="shared" si="63"/>
        <v/>
      </c>
      <c r="E4049" s="626"/>
      <c r="F4049" s="626"/>
    </row>
    <row r="4050" spans="1:6">
      <c r="A4050" t="str">
        <f t="shared" si="63"/>
        <v/>
      </c>
      <c r="E4050" s="626"/>
      <c r="F4050" s="626"/>
    </row>
    <row r="4051" spans="1:6">
      <c r="A4051" t="str">
        <f t="shared" si="63"/>
        <v/>
      </c>
      <c r="E4051" s="626"/>
      <c r="F4051" s="626"/>
    </row>
    <row r="4052" spans="1:6">
      <c r="A4052" t="str">
        <f t="shared" si="63"/>
        <v/>
      </c>
      <c r="E4052" s="626"/>
      <c r="F4052" s="626"/>
    </row>
    <row r="4053" spans="1:6">
      <c r="A4053" t="str">
        <f t="shared" si="63"/>
        <v/>
      </c>
      <c r="E4053" s="626"/>
      <c r="F4053" s="626"/>
    </row>
    <row r="4054" spans="1:6">
      <c r="A4054" t="str">
        <f t="shared" si="63"/>
        <v/>
      </c>
      <c r="E4054" s="626"/>
      <c r="F4054" s="626"/>
    </row>
    <row r="4055" spans="1:6">
      <c r="A4055" t="str">
        <f t="shared" si="63"/>
        <v/>
      </c>
      <c r="E4055" s="626"/>
      <c r="F4055" s="626"/>
    </row>
    <row r="4056" spans="1:6">
      <c r="A4056" t="str">
        <f t="shared" si="63"/>
        <v/>
      </c>
      <c r="E4056" s="626"/>
      <c r="F4056" s="626"/>
    </row>
    <row r="4057" spans="1:6">
      <c r="A4057" t="str">
        <f t="shared" si="63"/>
        <v/>
      </c>
      <c r="E4057" s="626"/>
      <c r="F4057" s="626"/>
    </row>
    <row r="4058" spans="1:6">
      <c r="A4058" t="str">
        <f t="shared" si="63"/>
        <v/>
      </c>
      <c r="E4058" s="626"/>
      <c r="F4058" s="626"/>
    </row>
    <row r="4059" spans="1:6">
      <c r="A4059" t="str">
        <f t="shared" si="63"/>
        <v/>
      </c>
      <c r="E4059" s="626"/>
      <c r="F4059" s="626"/>
    </row>
    <row r="4060" spans="1:6">
      <c r="A4060" t="str">
        <f t="shared" si="63"/>
        <v/>
      </c>
      <c r="E4060" s="626"/>
      <c r="F4060" s="626"/>
    </row>
    <row r="4061" spans="1:6">
      <c r="A4061" t="str">
        <f t="shared" si="63"/>
        <v/>
      </c>
      <c r="E4061" s="626"/>
      <c r="F4061" s="626"/>
    </row>
    <row r="4062" spans="1:6">
      <c r="A4062" t="str">
        <f t="shared" si="63"/>
        <v/>
      </c>
      <c r="E4062" s="626"/>
      <c r="F4062" s="626"/>
    </row>
    <row r="4063" spans="1:6">
      <c r="A4063" t="str">
        <f t="shared" si="63"/>
        <v/>
      </c>
      <c r="E4063" s="626"/>
      <c r="F4063" s="626"/>
    </row>
    <row r="4064" spans="1:6">
      <c r="A4064" t="str">
        <f t="shared" si="63"/>
        <v/>
      </c>
      <c r="E4064" s="626"/>
      <c r="F4064" s="626"/>
    </row>
    <row r="4065" spans="1:6">
      <c r="A4065" t="str">
        <f t="shared" si="63"/>
        <v/>
      </c>
      <c r="E4065" s="626"/>
      <c r="F4065" s="626"/>
    </row>
    <row r="4066" spans="1:6">
      <c r="A4066" t="str">
        <f t="shared" si="63"/>
        <v/>
      </c>
      <c r="E4066" s="626"/>
      <c r="F4066" s="626"/>
    </row>
    <row r="4067" spans="1:6">
      <c r="A4067" t="str">
        <f t="shared" si="63"/>
        <v/>
      </c>
      <c r="E4067" s="626"/>
      <c r="F4067" s="626"/>
    </row>
    <row r="4068" spans="1:6">
      <c r="A4068" t="str">
        <f t="shared" si="63"/>
        <v/>
      </c>
      <c r="E4068" s="626"/>
      <c r="F4068" s="626"/>
    </row>
    <row r="4069" spans="1:6">
      <c r="A4069" t="str">
        <f t="shared" si="63"/>
        <v/>
      </c>
      <c r="E4069" s="626"/>
      <c r="F4069" s="626"/>
    </row>
    <row r="4070" spans="1:6">
      <c r="A4070" t="str">
        <f t="shared" si="63"/>
        <v/>
      </c>
      <c r="E4070" s="626"/>
      <c r="F4070" s="626"/>
    </row>
    <row r="4071" spans="1:6">
      <c r="A4071" t="str">
        <f t="shared" si="63"/>
        <v/>
      </c>
      <c r="E4071" s="626"/>
      <c r="F4071" s="626"/>
    </row>
    <row r="4072" spans="1:6">
      <c r="A4072" t="str">
        <f t="shared" si="63"/>
        <v/>
      </c>
      <c r="E4072" s="626"/>
      <c r="F4072" s="626"/>
    </row>
    <row r="4073" spans="1:6">
      <c r="A4073" t="str">
        <f t="shared" si="63"/>
        <v/>
      </c>
      <c r="E4073" s="626"/>
      <c r="F4073" s="626"/>
    </row>
    <row r="4074" spans="1:6">
      <c r="A4074" t="str">
        <f t="shared" si="63"/>
        <v/>
      </c>
      <c r="E4074" s="626"/>
      <c r="F4074" s="626"/>
    </row>
    <row r="4075" spans="1:6">
      <c r="A4075" t="str">
        <f t="shared" si="63"/>
        <v/>
      </c>
      <c r="E4075" s="626"/>
      <c r="F4075" s="626"/>
    </row>
    <row r="4076" spans="1:6">
      <c r="A4076" t="str">
        <f t="shared" si="63"/>
        <v/>
      </c>
      <c r="E4076" s="626"/>
      <c r="F4076" s="626"/>
    </row>
    <row r="4077" spans="1:6">
      <c r="A4077" t="str">
        <f t="shared" si="63"/>
        <v/>
      </c>
      <c r="E4077" s="626"/>
      <c r="F4077" s="626"/>
    </row>
    <row r="4078" spans="1:6">
      <c r="A4078" t="str">
        <f t="shared" si="63"/>
        <v/>
      </c>
      <c r="E4078" s="626"/>
      <c r="F4078" s="626"/>
    </row>
    <row r="4079" spans="1:6">
      <c r="A4079" t="str">
        <f t="shared" si="63"/>
        <v/>
      </c>
      <c r="E4079" s="626"/>
      <c r="F4079" s="626"/>
    </row>
    <row r="4080" spans="1:6">
      <c r="A4080" t="str">
        <f t="shared" si="63"/>
        <v/>
      </c>
      <c r="E4080" s="626"/>
      <c r="F4080" s="626"/>
    </row>
    <row r="4081" spans="1:6">
      <c r="A4081" t="str">
        <f t="shared" si="63"/>
        <v/>
      </c>
      <c r="E4081" s="626"/>
      <c r="F4081" s="626"/>
    </row>
    <row r="4082" spans="1:6">
      <c r="A4082" t="str">
        <f t="shared" si="63"/>
        <v/>
      </c>
      <c r="E4082" s="626"/>
      <c r="F4082" s="626"/>
    </row>
    <row r="4083" spans="1:6">
      <c r="A4083" t="str">
        <f t="shared" si="63"/>
        <v/>
      </c>
      <c r="E4083" s="626"/>
      <c r="F4083" s="626"/>
    </row>
    <row r="4084" spans="1:6">
      <c r="A4084" t="str">
        <f t="shared" si="63"/>
        <v/>
      </c>
      <c r="E4084" s="626"/>
      <c r="F4084" s="626"/>
    </row>
    <row r="4085" spans="1:6">
      <c r="A4085" t="str">
        <f t="shared" si="63"/>
        <v/>
      </c>
      <c r="E4085" s="626"/>
      <c r="F4085" s="626"/>
    </row>
    <row r="4086" spans="1:6">
      <c r="A4086" t="str">
        <f t="shared" si="63"/>
        <v/>
      </c>
      <c r="E4086" s="626"/>
      <c r="F4086" s="626"/>
    </row>
    <row r="4087" spans="1:6">
      <c r="A4087" t="str">
        <f t="shared" si="63"/>
        <v/>
      </c>
      <c r="E4087" s="626"/>
      <c r="F4087" s="626"/>
    </row>
    <row r="4088" spans="1:6">
      <c r="A4088" t="str">
        <f t="shared" si="63"/>
        <v/>
      </c>
      <c r="E4088" s="626"/>
      <c r="F4088" s="626"/>
    </row>
    <row r="4089" spans="1:6">
      <c r="A4089" t="str">
        <f t="shared" si="63"/>
        <v/>
      </c>
      <c r="E4089" s="626"/>
      <c r="F4089" s="626"/>
    </row>
    <row r="4090" spans="1:6">
      <c r="A4090" t="str">
        <f t="shared" si="63"/>
        <v/>
      </c>
      <c r="E4090" s="626"/>
      <c r="F4090" s="626"/>
    </row>
    <row r="4091" spans="1:6">
      <c r="A4091" t="str">
        <f t="shared" si="63"/>
        <v/>
      </c>
      <c r="E4091" s="626"/>
      <c r="F4091" s="626"/>
    </row>
    <row r="4092" spans="1:6">
      <c r="A4092" t="str">
        <f t="shared" si="63"/>
        <v/>
      </c>
      <c r="E4092" s="626"/>
      <c r="F4092" s="626"/>
    </row>
    <row r="4093" spans="1:6">
      <c r="A4093" t="str">
        <f t="shared" si="63"/>
        <v/>
      </c>
      <c r="E4093" s="626"/>
      <c r="F4093" s="626"/>
    </row>
    <row r="4094" spans="1:6">
      <c r="A4094" t="str">
        <f t="shared" si="63"/>
        <v/>
      </c>
      <c r="E4094" s="626"/>
      <c r="F4094" s="626"/>
    </row>
    <row r="4095" spans="1:6">
      <c r="A4095" t="str">
        <f t="shared" si="63"/>
        <v/>
      </c>
      <c r="E4095" s="626"/>
      <c r="F4095" s="626"/>
    </row>
    <row r="4096" spans="1:6">
      <c r="A4096" t="str">
        <f t="shared" si="63"/>
        <v/>
      </c>
      <c r="E4096" s="626"/>
      <c r="F4096" s="626"/>
    </row>
    <row r="4097" spans="1:6">
      <c r="A4097" t="str">
        <f t="shared" si="63"/>
        <v/>
      </c>
      <c r="E4097" s="626"/>
      <c r="F4097" s="626"/>
    </row>
    <row r="4098" spans="1:6">
      <c r="A4098" t="str">
        <f t="shared" ref="A4098:A4161" si="64">B4098&amp;E4098&amp;J4098</f>
        <v/>
      </c>
      <c r="E4098" s="626"/>
      <c r="F4098" s="626"/>
    </row>
    <row r="4099" spans="1:6">
      <c r="A4099" t="str">
        <f t="shared" si="64"/>
        <v/>
      </c>
      <c r="E4099" s="626"/>
      <c r="F4099" s="626"/>
    </row>
    <row r="4100" spans="1:6">
      <c r="A4100" t="str">
        <f t="shared" si="64"/>
        <v/>
      </c>
      <c r="E4100" s="626"/>
      <c r="F4100" s="626"/>
    </row>
    <row r="4101" spans="1:6">
      <c r="A4101" t="str">
        <f t="shared" si="64"/>
        <v/>
      </c>
      <c r="E4101" s="626"/>
      <c r="F4101" s="626"/>
    </row>
    <row r="4102" spans="1:6">
      <c r="A4102" t="str">
        <f t="shared" si="64"/>
        <v/>
      </c>
      <c r="E4102" s="626"/>
      <c r="F4102" s="626"/>
    </row>
    <row r="4103" spans="1:6">
      <c r="A4103" t="str">
        <f t="shared" si="64"/>
        <v/>
      </c>
      <c r="E4103" s="626"/>
      <c r="F4103" s="626"/>
    </row>
    <row r="4104" spans="1:6">
      <c r="A4104" t="str">
        <f t="shared" si="64"/>
        <v/>
      </c>
      <c r="E4104" s="626"/>
      <c r="F4104" s="626"/>
    </row>
    <row r="4105" spans="1:6">
      <c r="A4105" t="str">
        <f t="shared" si="64"/>
        <v/>
      </c>
      <c r="E4105" s="626"/>
      <c r="F4105" s="626"/>
    </row>
    <row r="4106" spans="1:6">
      <c r="A4106" t="str">
        <f t="shared" si="64"/>
        <v/>
      </c>
      <c r="E4106" s="626"/>
      <c r="F4106" s="626"/>
    </row>
    <row r="4107" spans="1:6">
      <c r="A4107" t="str">
        <f t="shared" si="64"/>
        <v/>
      </c>
      <c r="E4107" s="626"/>
      <c r="F4107" s="626"/>
    </row>
    <row r="4108" spans="1:6">
      <c r="A4108" t="str">
        <f t="shared" si="64"/>
        <v/>
      </c>
      <c r="E4108" s="626"/>
      <c r="F4108" s="626"/>
    </row>
    <row r="4109" spans="1:6">
      <c r="A4109" t="str">
        <f t="shared" si="64"/>
        <v/>
      </c>
      <c r="E4109" s="626"/>
      <c r="F4109" s="626"/>
    </row>
    <row r="4110" spans="1:6">
      <c r="A4110" t="str">
        <f t="shared" si="64"/>
        <v/>
      </c>
      <c r="E4110" s="626"/>
      <c r="F4110" s="626"/>
    </row>
    <row r="4111" spans="1:6">
      <c r="A4111" t="str">
        <f t="shared" si="64"/>
        <v/>
      </c>
      <c r="E4111" s="626"/>
      <c r="F4111" s="626"/>
    </row>
    <row r="4112" spans="1:6">
      <c r="A4112" t="str">
        <f t="shared" si="64"/>
        <v/>
      </c>
      <c r="E4112" s="626"/>
      <c r="F4112" s="626"/>
    </row>
    <row r="4113" spans="1:6">
      <c r="A4113" t="str">
        <f t="shared" si="64"/>
        <v/>
      </c>
      <c r="E4113" s="626"/>
      <c r="F4113" s="626"/>
    </row>
    <row r="4114" spans="1:6">
      <c r="A4114" t="str">
        <f t="shared" si="64"/>
        <v/>
      </c>
      <c r="E4114" s="626"/>
      <c r="F4114" s="626"/>
    </row>
    <row r="4115" spans="1:6">
      <c r="A4115" t="str">
        <f t="shared" si="64"/>
        <v/>
      </c>
      <c r="E4115" s="626"/>
      <c r="F4115" s="626"/>
    </row>
    <row r="4116" spans="1:6">
      <c r="A4116" t="str">
        <f t="shared" si="64"/>
        <v/>
      </c>
      <c r="E4116" s="626"/>
      <c r="F4116" s="626"/>
    </row>
    <row r="4117" spans="1:6">
      <c r="A4117" t="str">
        <f t="shared" si="64"/>
        <v/>
      </c>
      <c r="E4117" s="626"/>
      <c r="F4117" s="626"/>
    </row>
    <row r="4118" spans="1:6">
      <c r="A4118" t="str">
        <f t="shared" si="64"/>
        <v/>
      </c>
      <c r="E4118" s="626"/>
      <c r="F4118" s="626"/>
    </row>
    <row r="4119" spans="1:6">
      <c r="A4119" t="str">
        <f t="shared" si="64"/>
        <v/>
      </c>
      <c r="E4119" s="626"/>
      <c r="F4119" s="626"/>
    </row>
    <row r="4120" spans="1:6">
      <c r="A4120" t="str">
        <f t="shared" si="64"/>
        <v/>
      </c>
      <c r="E4120" s="626"/>
      <c r="F4120" s="626"/>
    </row>
    <row r="4121" spans="1:6">
      <c r="A4121" t="str">
        <f t="shared" si="64"/>
        <v/>
      </c>
      <c r="E4121" s="626"/>
      <c r="F4121" s="626"/>
    </row>
    <row r="4122" spans="1:6">
      <c r="A4122" t="str">
        <f t="shared" si="64"/>
        <v/>
      </c>
      <c r="E4122" s="626"/>
      <c r="F4122" s="626"/>
    </row>
    <row r="4123" spans="1:6">
      <c r="A4123" t="str">
        <f t="shared" si="64"/>
        <v/>
      </c>
      <c r="E4123" s="626"/>
      <c r="F4123" s="626"/>
    </row>
    <row r="4124" spans="1:6">
      <c r="A4124" t="str">
        <f t="shared" si="64"/>
        <v/>
      </c>
      <c r="E4124" s="626"/>
      <c r="F4124" s="626"/>
    </row>
    <row r="4125" spans="1:6">
      <c r="A4125" t="str">
        <f t="shared" si="64"/>
        <v/>
      </c>
      <c r="E4125" s="626"/>
      <c r="F4125" s="626"/>
    </row>
    <row r="4126" spans="1:6">
      <c r="A4126" t="str">
        <f t="shared" si="64"/>
        <v/>
      </c>
      <c r="E4126" s="626"/>
      <c r="F4126" s="626"/>
    </row>
    <row r="4127" spans="1:6">
      <c r="A4127" t="str">
        <f t="shared" si="64"/>
        <v/>
      </c>
      <c r="E4127" s="626"/>
      <c r="F4127" s="626"/>
    </row>
    <row r="4128" spans="1:6">
      <c r="A4128" t="str">
        <f t="shared" si="64"/>
        <v/>
      </c>
      <c r="E4128" s="626"/>
      <c r="F4128" s="626"/>
    </row>
    <row r="4129" spans="1:6">
      <c r="A4129" t="str">
        <f t="shared" si="64"/>
        <v/>
      </c>
      <c r="E4129" s="626"/>
      <c r="F4129" s="626"/>
    </row>
    <row r="4130" spans="1:6">
      <c r="A4130" t="str">
        <f t="shared" si="64"/>
        <v/>
      </c>
      <c r="E4130" s="626"/>
      <c r="F4130" s="626"/>
    </row>
    <row r="4131" spans="1:6">
      <c r="A4131" t="str">
        <f t="shared" si="64"/>
        <v/>
      </c>
      <c r="E4131" s="626"/>
      <c r="F4131" s="626"/>
    </row>
    <row r="4132" spans="1:6">
      <c r="A4132" t="str">
        <f t="shared" si="64"/>
        <v/>
      </c>
      <c r="E4132" s="626"/>
      <c r="F4132" s="626"/>
    </row>
    <row r="4133" spans="1:6">
      <c r="A4133" t="str">
        <f t="shared" si="64"/>
        <v/>
      </c>
      <c r="E4133" s="626"/>
      <c r="F4133" s="626"/>
    </row>
    <row r="4134" spans="1:6">
      <c r="A4134" t="str">
        <f t="shared" si="64"/>
        <v/>
      </c>
      <c r="E4134" s="626"/>
      <c r="F4134" s="626"/>
    </row>
    <row r="4135" spans="1:6">
      <c r="A4135" t="str">
        <f t="shared" si="64"/>
        <v/>
      </c>
      <c r="E4135" s="626"/>
      <c r="F4135" s="626"/>
    </row>
    <row r="4136" spans="1:6">
      <c r="A4136" t="str">
        <f t="shared" si="64"/>
        <v/>
      </c>
      <c r="E4136" s="626"/>
      <c r="F4136" s="626"/>
    </row>
    <row r="4137" spans="1:6">
      <c r="A4137" t="str">
        <f t="shared" si="64"/>
        <v/>
      </c>
      <c r="E4137" s="626"/>
      <c r="F4137" s="626"/>
    </row>
    <row r="4138" spans="1:6">
      <c r="A4138" t="str">
        <f t="shared" si="64"/>
        <v/>
      </c>
      <c r="E4138" s="626"/>
      <c r="F4138" s="626"/>
    </row>
    <row r="4139" spans="1:6">
      <c r="A4139" t="str">
        <f t="shared" si="64"/>
        <v/>
      </c>
      <c r="E4139" s="626"/>
      <c r="F4139" s="626"/>
    </row>
    <row r="4140" spans="1:6">
      <c r="A4140" t="str">
        <f t="shared" si="64"/>
        <v/>
      </c>
      <c r="E4140" s="626"/>
      <c r="F4140" s="626"/>
    </row>
    <row r="4141" spans="1:6">
      <c r="A4141" t="str">
        <f t="shared" si="64"/>
        <v/>
      </c>
      <c r="E4141" s="626"/>
      <c r="F4141" s="626"/>
    </row>
    <row r="4142" spans="1:6">
      <c r="A4142" t="str">
        <f t="shared" si="64"/>
        <v/>
      </c>
      <c r="E4142" s="626"/>
      <c r="F4142" s="626"/>
    </row>
    <row r="4143" spans="1:6">
      <c r="A4143" t="str">
        <f t="shared" si="64"/>
        <v/>
      </c>
      <c r="E4143" s="626"/>
      <c r="F4143" s="626"/>
    </row>
    <row r="4144" spans="1:6">
      <c r="A4144" t="str">
        <f t="shared" si="64"/>
        <v/>
      </c>
      <c r="E4144" s="626"/>
      <c r="F4144" s="626"/>
    </row>
    <row r="4145" spans="1:6">
      <c r="A4145" t="str">
        <f t="shared" si="64"/>
        <v/>
      </c>
      <c r="E4145" s="626"/>
      <c r="F4145" s="626"/>
    </row>
    <row r="4146" spans="1:6">
      <c r="A4146" t="str">
        <f t="shared" si="64"/>
        <v/>
      </c>
      <c r="E4146" s="626"/>
      <c r="F4146" s="626"/>
    </row>
    <row r="4147" spans="1:6">
      <c r="A4147" t="str">
        <f t="shared" si="64"/>
        <v/>
      </c>
      <c r="E4147" s="626"/>
      <c r="F4147" s="626"/>
    </row>
    <row r="4148" spans="1:6">
      <c r="A4148" t="str">
        <f t="shared" si="64"/>
        <v/>
      </c>
      <c r="E4148" s="626"/>
      <c r="F4148" s="626"/>
    </row>
    <row r="4149" spans="1:6">
      <c r="A4149" t="str">
        <f t="shared" si="64"/>
        <v/>
      </c>
      <c r="E4149" s="626"/>
      <c r="F4149" s="626"/>
    </row>
    <row r="4150" spans="1:6">
      <c r="A4150" t="str">
        <f t="shared" si="64"/>
        <v/>
      </c>
      <c r="E4150" s="626"/>
      <c r="F4150" s="626"/>
    </row>
    <row r="4151" spans="1:6">
      <c r="A4151" t="str">
        <f t="shared" si="64"/>
        <v/>
      </c>
      <c r="E4151" s="626"/>
      <c r="F4151" s="626"/>
    </row>
    <row r="4152" spans="1:6">
      <c r="A4152" t="str">
        <f t="shared" si="64"/>
        <v/>
      </c>
      <c r="E4152" s="626"/>
      <c r="F4152" s="626"/>
    </row>
    <row r="4153" spans="1:6">
      <c r="A4153" t="str">
        <f t="shared" si="64"/>
        <v/>
      </c>
      <c r="E4153" s="626"/>
      <c r="F4153" s="626"/>
    </row>
    <row r="4154" spans="1:6">
      <c r="A4154" t="str">
        <f t="shared" si="64"/>
        <v/>
      </c>
      <c r="E4154" s="626"/>
      <c r="F4154" s="626"/>
    </row>
    <row r="4155" spans="1:6">
      <c r="A4155" t="str">
        <f t="shared" si="64"/>
        <v/>
      </c>
      <c r="E4155" s="626"/>
      <c r="F4155" s="626"/>
    </row>
    <row r="4156" spans="1:6">
      <c r="A4156" t="str">
        <f t="shared" si="64"/>
        <v/>
      </c>
      <c r="E4156" s="626"/>
      <c r="F4156" s="626"/>
    </row>
    <row r="4157" spans="1:6">
      <c r="A4157" t="str">
        <f t="shared" si="64"/>
        <v/>
      </c>
      <c r="E4157" s="626"/>
      <c r="F4157" s="626"/>
    </row>
    <row r="4158" spans="1:6">
      <c r="A4158" t="str">
        <f t="shared" si="64"/>
        <v/>
      </c>
      <c r="E4158" s="626"/>
      <c r="F4158" s="626"/>
    </row>
    <row r="4159" spans="1:6">
      <c r="A4159" t="str">
        <f t="shared" si="64"/>
        <v/>
      </c>
      <c r="E4159" s="626"/>
      <c r="F4159" s="626"/>
    </row>
    <row r="4160" spans="1:6">
      <c r="A4160" t="str">
        <f t="shared" si="64"/>
        <v/>
      </c>
      <c r="E4160" s="626"/>
      <c r="F4160" s="626"/>
    </row>
    <row r="4161" spans="1:6">
      <c r="A4161" t="str">
        <f t="shared" si="64"/>
        <v/>
      </c>
      <c r="E4161" s="626"/>
      <c r="F4161" s="626"/>
    </row>
    <row r="4162" spans="1:6">
      <c r="A4162" t="str">
        <f t="shared" ref="A4162:A4225" si="65">B4162&amp;E4162&amp;J4162</f>
        <v/>
      </c>
      <c r="E4162" s="626"/>
      <c r="F4162" s="626"/>
    </row>
    <row r="4163" spans="1:6">
      <c r="A4163" t="str">
        <f t="shared" si="65"/>
        <v/>
      </c>
      <c r="E4163" s="626"/>
      <c r="F4163" s="626"/>
    </row>
    <row r="4164" spans="1:6">
      <c r="A4164" t="str">
        <f t="shared" si="65"/>
        <v/>
      </c>
      <c r="E4164" s="626"/>
      <c r="F4164" s="626"/>
    </row>
    <row r="4165" spans="1:6">
      <c r="A4165" t="str">
        <f t="shared" si="65"/>
        <v/>
      </c>
      <c r="E4165" s="626"/>
      <c r="F4165" s="626"/>
    </row>
    <row r="4166" spans="1:6">
      <c r="A4166" t="str">
        <f t="shared" si="65"/>
        <v/>
      </c>
      <c r="E4166" s="626"/>
      <c r="F4166" s="626"/>
    </row>
    <row r="4167" spans="1:6">
      <c r="A4167" t="str">
        <f t="shared" si="65"/>
        <v/>
      </c>
      <c r="E4167" s="626"/>
      <c r="F4167" s="626"/>
    </row>
    <row r="4168" spans="1:6">
      <c r="A4168" t="str">
        <f t="shared" si="65"/>
        <v/>
      </c>
      <c r="E4168" s="626"/>
      <c r="F4168" s="626"/>
    </row>
    <row r="4169" spans="1:6">
      <c r="A4169" t="str">
        <f t="shared" si="65"/>
        <v/>
      </c>
      <c r="E4169" s="626"/>
      <c r="F4169" s="626"/>
    </row>
    <row r="4170" spans="1:6">
      <c r="A4170" t="str">
        <f t="shared" si="65"/>
        <v/>
      </c>
      <c r="E4170" s="626"/>
      <c r="F4170" s="626"/>
    </row>
    <row r="4171" spans="1:6">
      <c r="A4171" t="str">
        <f t="shared" si="65"/>
        <v/>
      </c>
      <c r="E4171" s="626"/>
      <c r="F4171" s="626"/>
    </row>
    <row r="4172" spans="1:6">
      <c r="A4172" t="str">
        <f t="shared" si="65"/>
        <v/>
      </c>
      <c r="E4172" s="626"/>
      <c r="F4172" s="626"/>
    </row>
    <row r="4173" spans="1:6">
      <c r="A4173" t="str">
        <f t="shared" si="65"/>
        <v/>
      </c>
      <c r="E4173" s="626"/>
      <c r="F4173" s="626"/>
    </row>
    <row r="4174" spans="1:6">
      <c r="A4174" t="str">
        <f t="shared" si="65"/>
        <v/>
      </c>
      <c r="E4174" s="626"/>
      <c r="F4174" s="626"/>
    </row>
    <row r="4175" spans="1:6">
      <c r="A4175" t="str">
        <f t="shared" si="65"/>
        <v/>
      </c>
      <c r="E4175" s="626"/>
      <c r="F4175" s="626"/>
    </row>
    <row r="4176" spans="1:6">
      <c r="A4176" t="str">
        <f t="shared" si="65"/>
        <v/>
      </c>
      <c r="E4176" s="626"/>
      <c r="F4176" s="626"/>
    </row>
    <row r="4177" spans="1:6">
      <c r="A4177" t="str">
        <f t="shared" si="65"/>
        <v/>
      </c>
      <c r="E4177" s="626"/>
      <c r="F4177" s="626"/>
    </row>
    <row r="4178" spans="1:6">
      <c r="A4178" t="str">
        <f t="shared" si="65"/>
        <v/>
      </c>
      <c r="E4178" s="626"/>
      <c r="F4178" s="626"/>
    </row>
    <row r="4179" spans="1:6">
      <c r="A4179" t="str">
        <f t="shared" si="65"/>
        <v/>
      </c>
      <c r="E4179" s="626"/>
      <c r="F4179" s="626"/>
    </row>
    <row r="4180" spans="1:6">
      <c r="A4180" t="str">
        <f t="shared" si="65"/>
        <v/>
      </c>
      <c r="E4180" s="626"/>
      <c r="F4180" s="626"/>
    </row>
    <row r="4181" spans="1:6">
      <c r="A4181" t="str">
        <f t="shared" si="65"/>
        <v/>
      </c>
      <c r="E4181" s="626"/>
      <c r="F4181" s="626"/>
    </row>
    <row r="4182" spans="1:6">
      <c r="A4182" t="str">
        <f t="shared" si="65"/>
        <v/>
      </c>
      <c r="E4182" s="626"/>
      <c r="F4182" s="626"/>
    </row>
    <row r="4183" spans="1:6">
      <c r="A4183" t="str">
        <f t="shared" si="65"/>
        <v/>
      </c>
      <c r="E4183" s="626"/>
      <c r="F4183" s="626"/>
    </row>
    <row r="4184" spans="1:6">
      <c r="A4184" t="str">
        <f t="shared" si="65"/>
        <v/>
      </c>
      <c r="E4184" s="626"/>
      <c r="F4184" s="626"/>
    </row>
    <row r="4185" spans="1:6">
      <c r="A4185" t="str">
        <f t="shared" si="65"/>
        <v/>
      </c>
      <c r="E4185" s="626"/>
      <c r="F4185" s="626"/>
    </row>
    <row r="4186" spans="1:6">
      <c r="A4186" t="str">
        <f t="shared" si="65"/>
        <v/>
      </c>
      <c r="E4186" s="626"/>
      <c r="F4186" s="626"/>
    </row>
    <row r="4187" spans="1:6">
      <c r="A4187" t="str">
        <f t="shared" si="65"/>
        <v/>
      </c>
      <c r="E4187" s="626"/>
      <c r="F4187" s="626"/>
    </row>
    <row r="4188" spans="1:6">
      <c r="A4188" t="str">
        <f t="shared" si="65"/>
        <v/>
      </c>
      <c r="E4188" s="626"/>
      <c r="F4188" s="626"/>
    </row>
    <row r="4189" spans="1:6">
      <c r="A4189" t="str">
        <f t="shared" si="65"/>
        <v/>
      </c>
      <c r="E4189" s="626"/>
      <c r="F4189" s="626"/>
    </row>
    <row r="4190" spans="1:6">
      <c r="A4190" t="str">
        <f t="shared" si="65"/>
        <v/>
      </c>
      <c r="E4190" s="626"/>
      <c r="F4190" s="626"/>
    </row>
    <row r="4191" spans="1:6">
      <c r="A4191" t="str">
        <f t="shared" si="65"/>
        <v/>
      </c>
      <c r="E4191" s="626"/>
      <c r="F4191" s="626"/>
    </row>
    <row r="4192" spans="1:6">
      <c r="A4192" t="str">
        <f t="shared" si="65"/>
        <v/>
      </c>
      <c r="E4192" s="626"/>
      <c r="F4192" s="626"/>
    </row>
    <row r="4193" spans="1:6">
      <c r="A4193" t="str">
        <f t="shared" si="65"/>
        <v/>
      </c>
      <c r="E4193" s="626"/>
      <c r="F4193" s="626"/>
    </row>
    <row r="4194" spans="1:6">
      <c r="A4194" t="str">
        <f t="shared" si="65"/>
        <v/>
      </c>
      <c r="E4194" s="626"/>
      <c r="F4194" s="626"/>
    </row>
    <row r="4195" spans="1:6">
      <c r="A4195" t="str">
        <f t="shared" si="65"/>
        <v/>
      </c>
      <c r="E4195" s="626"/>
      <c r="F4195" s="626"/>
    </row>
    <row r="4196" spans="1:6">
      <c r="A4196" t="str">
        <f t="shared" si="65"/>
        <v/>
      </c>
      <c r="E4196" s="626"/>
      <c r="F4196" s="626"/>
    </row>
    <row r="4197" spans="1:6">
      <c r="A4197" t="str">
        <f t="shared" si="65"/>
        <v/>
      </c>
      <c r="E4197" s="626"/>
      <c r="F4197" s="626"/>
    </row>
    <row r="4198" spans="1:6">
      <c r="A4198" t="str">
        <f t="shared" si="65"/>
        <v/>
      </c>
      <c r="E4198" s="626"/>
      <c r="F4198" s="626"/>
    </row>
    <row r="4199" spans="1:6">
      <c r="A4199" t="str">
        <f t="shared" si="65"/>
        <v/>
      </c>
      <c r="E4199" s="626"/>
      <c r="F4199" s="626"/>
    </row>
    <row r="4200" spans="1:6">
      <c r="A4200" t="str">
        <f t="shared" si="65"/>
        <v/>
      </c>
      <c r="E4200" s="626"/>
      <c r="F4200" s="626"/>
    </row>
    <row r="4201" spans="1:6">
      <c r="A4201" t="str">
        <f t="shared" si="65"/>
        <v/>
      </c>
      <c r="E4201" s="626"/>
      <c r="F4201" s="626"/>
    </row>
    <row r="4202" spans="1:6">
      <c r="A4202" t="str">
        <f t="shared" si="65"/>
        <v/>
      </c>
      <c r="E4202" s="626"/>
      <c r="F4202" s="626"/>
    </row>
    <row r="4203" spans="1:6">
      <c r="A4203" t="str">
        <f t="shared" si="65"/>
        <v/>
      </c>
      <c r="E4203" s="626"/>
      <c r="F4203" s="626"/>
    </row>
    <row r="4204" spans="1:6">
      <c r="A4204" t="str">
        <f t="shared" si="65"/>
        <v/>
      </c>
      <c r="E4204" s="626"/>
      <c r="F4204" s="626"/>
    </row>
    <row r="4205" spans="1:6">
      <c r="A4205" t="str">
        <f t="shared" si="65"/>
        <v/>
      </c>
      <c r="E4205" s="626"/>
      <c r="F4205" s="626"/>
    </row>
    <row r="4206" spans="1:6">
      <c r="A4206" t="str">
        <f t="shared" si="65"/>
        <v/>
      </c>
      <c r="E4206" s="626"/>
      <c r="F4206" s="626"/>
    </row>
    <row r="4207" spans="1:6">
      <c r="A4207" t="str">
        <f t="shared" si="65"/>
        <v/>
      </c>
      <c r="E4207" s="626"/>
      <c r="F4207" s="626"/>
    </row>
    <row r="4208" spans="1:6">
      <c r="A4208" t="str">
        <f t="shared" si="65"/>
        <v/>
      </c>
      <c r="E4208" s="626"/>
      <c r="F4208" s="626"/>
    </row>
    <row r="4209" spans="1:6">
      <c r="A4209" t="str">
        <f t="shared" si="65"/>
        <v/>
      </c>
      <c r="E4209" s="626"/>
      <c r="F4209" s="626"/>
    </row>
    <row r="4210" spans="1:6">
      <c r="A4210" t="str">
        <f t="shared" si="65"/>
        <v/>
      </c>
      <c r="E4210" s="626"/>
      <c r="F4210" s="626"/>
    </row>
    <row r="4211" spans="1:6">
      <c r="A4211" t="str">
        <f t="shared" si="65"/>
        <v/>
      </c>
      <c r="E4211" s="626"/>
      <c r="F4211" s="626"/>
    </row>
    <row r="4212" spans="1:6">
      <c r="A4212" t="str">
        <f t="shared" si="65"/>
        <v/>
      </c>
      <c r="E4212" s="626"/>
      <c r="F4212" s="626"/>
    </row>
    <row r="4213" spans="1:6">
      <c r="A4213" t="str">
        <f t="shared" si="65"/>
        <v/>
      </c>
      <c r="E4213" s="626"/>
      <c r="F4213" s="626"/>
    </row>
    <row r="4214" spans="1:6">
      <c r="A4214" t="str">
        <f t="shared" si="65"/>
        <v/>
      </c>
      <c r="E4214" s="626"/>
      <c r="F4214" s="626"/>
    </row>
    <row r="4215" spans="1:6">
      <c r="A4215" t="str">
        <f t="shared" si="65"/>
        <v/>
      </c>
      <c r="E4215" s="626"/>
      <c r="F4215" s="626"/>
    </row>
    <row r="4216" spans="1:6">
      <c r="A4216" t="str">
        <f t="shared" si="65"/>
        <v/>
      </c>
      <c r="E4216" s="626"/>
      <c r="F4216" s="626"/>
    </row>
    <row r="4217" spans="1:6">
      <c r="A4217" t="str">
        <f t="shared" si="65"/>
        <v/>
      </c>
      <c r="E4217" s="626"/>
      <c r="F4217" s="626"/>
    </row>
    <row r="4218" spans="1:6">
      <c r="A4218" t="str">
        <f t="shared" si="65"/>
        <v/>
      </c>
      <c r="E4218" s="626"/>
      <c r="F4218" s="626"/>
    </row>
    <row r="4219" spans="1:6">
      <c r="A4219" t="str">
        <f t="shared" si="65"/>
        <v/>
      </c>
      <c r="E4219" s="626"/>
      <c r="F4219" s="626"/>
    </row>
    <row r="4220" spans="1:6">
      <c r="A4220" t="str">
        <f t="shared" si="65"/>
        <v/>
      </c>
      <c r="E4220" s="626"/>
      <c r="F4220" s="626"/>
    </row>
    <row r="4221" spans="1:6">
      <c r="A4221" t="str">
        <f t="shared" si="65"/>
        <v/>
      </c>
      <c r="E4221" s="626"/>
      <c r="F4221" s="626"/>
    </row>
    <row r="4222" spans="1:6">
      <c r="A4222" t="str">
        <f t="shared" si="65"/>
        <v/>
      </c>
      <c r="E4222" s="626"/>
      <c r="F4222" s="626"/>
    </row>
    <row r="4223" spans="1:6">
      <c r="A4223" t="str">
        <f t="shared" si="65"/>
        <v/>
      </c>
      <c r="E4223" s="626"/>
      <c r="F4223" s="626"/>
    </row>
    <row r="4224" spans="1:6">
      <c r="A4224" t="str">
        <f t="shared" si="65"/>
        <v/>
      </c>
      <c r="E4224" s="626"/>
      <c r="F4224" s="626"/>
    </row>
    <row r="4225" spans="1:6">
      <c r="A4225" t="str">
        <f t="shared" si="65"/>
        <v/>
      </c>
      <c r="E4225" s="626"/>
      <c r="F4225" s="626"/>
    </row>
    <row r="4226" spans="1:6">
      <c r="A4226" t="str">
        <f t="shared" ref="A4226:A4289" si="66">B4226&amp;E4226&amp;J4226</f>
        <v/>
      </c>
      <c r="E4226" s="626"/>
      <c r="F4226" s="626"/>
    </row>
    <row r="4227" spans="1:6">
      <c r="A4227" t="str">
        <f t="shared" si="66"/>
        <v/>
      </c>
      <c r="E4227" s="626"/>
      <c r="F4227" s="626"/>
    </row>
    <row r="4228" spans="1:6">
      <c r="A4228" t="str">
        <f t="shared" si="66"/>
        <v/>
      </c>
      <c r="E4228" s="626"/>
      <c r="F4228" s="626"/>
    </row>
    <row r="4229" spans="1:6">
      <c r="A4229" t="str">
        <f t="shared" si="66"/>
        <v/>
      </c>
      <c r="E4229" s="626"/>
      <c r="F4229" s="626"/>
    </row>
    <row r="4230" spans="1:6">
      <c r="A4230" t="str">
        <f t="shared" si="66"/>
        <v/>
      </c>
      <c r="E4230" s="626"/>
      <c r="F4230" s="626"/>
    </row>
    <row r="4231" spans="1:6">
      <c r="A4231" t="str">
        <f t="shared" si="66"/>
        <v/>
      </c>
      <c r="E4231" s="626"/>
      <c r="F4231" s="626"/>
    </row>
    <row r="4232" spans="1:6">
      <c r="A4232" t="str">
        <f t="shared" si="66"/>
        <v/>
      </c>
      <c r="E4232" s="626"/>
      <c r="F4232" s="626"/>
    </row>
    <row r="4233" spans="1:6">
      <c r="A4233" t="str">
        <f t="shared" si="66"/>
        <v/>
      </c>
      <c r="E4233" s="626"/>
      <c r="F4233" s="626"/>
    </row>
    <row r="4234" spans="1:6">
      <c r="A4234" t="str">
        <f t="shared" si="66"/>
        <v/>
      </c>
      <c r="E4234" s="626"/>
      <c r="F4234" s="626"/>
    </row>
    <row r="4235" spans="1:6">
      <c r="A4235" t="str">
        <f t="shared" si="66"/>
        <v/>
      </c>
      <c r="E4235" s="626"/>
      <c r="F4235" s="626"/>
    </row>
    <row r="4236" spans="1:6">
      <c r="A4236" t="str">
        <f t="shared" si="66"/>
        <v/>
      </c>
      <c r="E4236" s="626"/>
      <c r="F4236" s="626"/>
    </row>
    <row r="4237" spans="1:6">
      <c r="A4237" t="str">
        <f t="shared" si="66"/>
        <v/>
      </c>
      <c r="E4237" s="626"/>
      <c r="F4237" s="626"/>
    </row>
    <row r="4238" spans="1:6">
      <c r="A4238" t="str">
        <f t="shared" si="66"/>
        <v/>
      </c>
      <c r="E4238" s="626"/>
      <c r="F4238" s="626"/>
    </row>
    <row r="4239" spans="1:6">
      <c r="A4239" t="str">
        <f t="shared" si="66"/>
        <v/>
      </c>
      <c r="E4239" s="626"/>
      <c r="F4239" s="626"/>
    </row>
    <row r="4240" spans="1:6">
      <c r="A4240" t="str">
        <f t="shared" si="66"/>
        <v/>
      </c>
      <c r="E4240" s="626"/>
      <c r="F4240" s="626"/>
    </row>
    <row r="4241" spans="1:6">
      <c r="A4241" t="str">
        <f t="shared" si="66"/>
        <v/>
      </c>
      <c r="E4241" s="626"/>
      <c r="F4241" s="626"/>
    </row>
    <row r="4242" spans="1:6">
      <c r="A4242" t="str">
        <f t="shared" si="66"/>
        <v/>
      </c>
      <c r="E4242" s="626"/>
      <c r="F4242" s="626"/>
    </row>
    <row r="4243" spans="1:6">
      <c r="A4243" t="str">
        <f t="shared" si="66"/>
        <v/>
      </c>
      <c r="E4243" s="626"/>
      <c r="F4243" s="626"/>
    </row>
    <row r="4244" spans="1:6">
      <c r="A4244" t="str">
        <f t="shared" si="66"/>
        <v/>
      </c>
      <c r="E4244" s="626"/>
      <c r="F4244" s="626"/>
    </row>
    <row r="4245" spans="1:6">
      <c r="A4245" t="str">
        <f t="shared" si="66"/>
        <v/>
      </c>
      <c r="E4245" s="626"/>
      <c r="F4245" s="626"/>
    </row>
    <row r="4246" spans="1:6">
      <c r="A4246" t="str">
        <f t="shared" si="66"/>
        <v/>
      </c>
      <c r="E4246" s="626"/>
      <c r="F4246" s="626"/>
    </row>
    <row r="4247" spans="1:6">
      <c r="A4247" t="str">
        <f t="shared" si="66"/>
        <v/>
      </c>
      <c r="E4247" s="626"/>
      <c r="F4247" s="626"/>
    </row>
    <row r="4248" spans="1:6">
      <c r="A4248" t="str">
        <f t="shared" si="66"/>
        <v/>
      </c>
      <c r="E4248" s="626"/>
      <c r="F4248" s="626"/>
    </row>
    <row r="4249" spans="1:6">
      <c r="A4249" t="str">
        <f t="shared" si="66"/>
        <v/>
      </c>
      <c r="E4249" s="626"/>
      <c r="F4249" s="626"/>
    </row>
    <row r="4250" spans="1:6">
      <c r="A4250" t="str">
        <f t="shared" si="66"/>
        <v/>
      </c>
      <c r="E4250" s="626"/>
      <c r="F4250" s="626"/>
    </row>
    <row r="4251" spans="1:6">
      <c r="A4251" t="str">
        <f t="shared" si="66"/>
        <v/>
      </c>
      <c r="E4251" s="626"/>
      <c r="F4251" s="626"/>
    </row>
    <row r="4252" spans="1:6">
      <c r="A4252" t="str">
        <f t="shared" si="66"/>
        <v/>
      </c>
      <c r="E4252" s="626"/>
      <c r="F4252" s="626"/>
    </row>
    <row r="4253" spans="1:6">
      <c r="A4253" t="str">
        <f t="shared" si="66"/>
        <v/>
      </c>
      <c r="E4253" s="626"/>
      <c r="F4253" s="626"/>
    </row>
    <row r="4254" spans="1:6">
      <c r="A4254" t="str">
        <f t="shared" si="66"/>
        <v/>
      </c>
      <c r="E4254" s="626"/>
      <c r="F4254" s="626"/>
    </row>
    <row r="4255" spans="1:6">
      <c r="A4255" t="str">
        <f t="shared" si="66"/>
        <v/>
      </c>
      <c r="E4255" s="626"/>
      <c r="F4255" s="626"/>
    </row>
    <row r="4256" spans="1:6">
      <c r="A4256" t="str">
        <f t="shared" si="66"/>
        <v/>
      </c>
      <c r="E4256" s="626"/>
      <c r="F4256" s="626"/>
    </row>
    <row r="4257" spans="1:6">
      <c r="A4257" t="str">
        <f t="shared" si="66"/>
        <v/>
      </c>
      <c r="E4257" s="626"/>
      <c r="F4257" s="626"/>
    </row>
    <row r="4258" spans="1:6">
      <c r="A4258" t="str">
        <f t="shared" si="66"/>
        <v/>
      </c>
      <c r="E4258" s="626"/>
      <c r="F4258" s="626"/>
    </row>
    <row r="4259" spans="1:6">
      <c r="A4259" t="str">
        <f t="shared" si="66"/>
        <v/>
      </c>
      <c r="E4259" s="626"/>
      <c r="F4259" s="626"/>
    </row>
    <row r="4260" spans="1:6">
      <c r="A4260" t="str">
        <f t="shared" si="66"/>
        <v/>
      </c>
      <c r="E4260" s="626"/>
      <c r="F4260" s="626"/>
    </row>
    <row r="4261" spans="1:6">
      <c r="A4261" t="str">
        <f t="shared" si="66"/>
        <v/>
      </c>
      <c r="E4261" s="626"/>
      <c r="F4261" s="626"/>
    </row>
    <row r="4262" spans="1:6">
      <c r="A4262" t="str">
        <f t="shared" si="66"/>
        <v/>
      </c>
      <c r="E4262" s="626"/>
      <c r="F4262" s="626"/>
    </row>
    <row r="4263" spans="1:6">
      <c r="A4263" t="str">
        <f t="shared" si="66"/>
        <v/>
      </c>
      <c r="E4263" s="626"/>
      <c r="F4263" s="626"/>
    </row>
    <row r="4264" spans="1:6">
      <c r="A4264" t="str">
        <f t="shared" si="66"/>
        <v/>
      </c>
      <c r="E4264" s="626"/>
      <c r="F4264" s="626"/>
    </row>
    <row r="4265" spans="1:6">
      <c r="A4265" t="str">
        <f t="shared" si="66"/>
        <v/>
      </c>
      <c r="E4265" s="626"/>
      <c r="F4265" s="626"/>
    </row>
    <row r="4266" spans="1:6">
      <c r="A4266" t="str">
        <f t="shared" si="66"/>
        <v/>
      </c>
      <c r="E4266" s="626"/>
      <c r="F4266" s="626"/>
    </row>
    <row r="4267" spans="1:6">
      <c r="A4267" t="str">
        <f t="shared" si="66"/>
        <v/>
      </c>
      <c r="E4267" s="626"/>
      <c r="F4267" s="626"/>
    </row>
    <row r="4268" spans="1:6">
      <c r="A4268" t="str">
        <f t="shared" si="66"/>
        <v/>
      </c>
      <c r="E4268" s="626"/>
      <c r="F4268" s="626"/>
    </row>
    <row r="4269" spans="1:6">
      <c r="A4269" t="str">
        <f t="shared" si="66"/>
        <v/>
      </c>
      <c r="E4269" s="626"/>
      <c r="F4269" s="626"/>
    </row>
    <row r="4270" spans="1:6">
      <c r="A4270" t="str">
        <f t="shared" si="66"/>
        <v/>
      </c>
      <c r="E4270" s="626"/>
      <c r="F4270" s="626"/>
    </row>
    <row r="4271" spans="1:6">
      <c r="A4271" t="str">
        <f t="shared" si="66"/>
        <v/>
      </c>
      <c r="E4271" s="626"/>
      <c r="F4271" s="626"/>
    </row>
    <row r="4272" spans="1:6">
      <c r="A4272" t="str">
        <f t="shared" si="66"/>
        <v/>
      </c>
      <c r="E4272" s="626"/>
      <c r="F4272" s="626"/>
    </row>
    <row r="4273" spans="1:6">
      <c r="A4273" t="str">
        <f t="shared" si="66"/>
        <v/>
      </c>
      <c r="E4273" s="626"/>
      <c r="F4273" s="626"/>
    </row>
    <row r="4274" spans="1:6">
      <c r="A4274" t="str">
        <f t="shared" si="66"/>
        <v/>
      </c>
      <c r="E4274" s="626"/>
      <c r="F4274" s="626"/>
    </row>
    <row r="4275" spans="1:6">
      <c r="A4275" t="str">
        <f t="shared" si="66"/>
        <v/>
      </c>
      <c r="E4275" s="626"/>
      <c r="F4275" s="626"/>
    </row>
    <row r="4276" spans="1:6">
      <c r="A4276" t="str">
        <f t="shared" si="66"/>
        <v/>
      </c>
      <c r="E4276" s="626"/>
      <c r="F4276" s="626"/>
    </row>
    <row r="4277" spans="1:6">
      <c r="A4277" t="str">
        <f t="shared" si="66"/>
        <v/>
      </c>
      <c r="E4277" s="626"/>
      <c r="F4277" s="626"/>
    </row>
    <row r="4278" spans="1:6">
      <c r="A4278" t="str">
        <f t="shared" si="66"/>
        <v/>
      </c>
      <c r="E4278" s="626"/>
      <c r="F4278" s="626"/>
    </row>
    <row r="4279" spans="1:6">
      <c r="A4279" t="str">
        <f t="shared" si="66"/>
        <v/>
      </c>
      <c r="E4279" s="626"/>
      <c r="F4279" s="626"/>
    </row>
    <row r="4280" spans="1:6">
      <c r="A4280" t="str">
        <f t="shared" si="66"/>
        <v/>
      </c>
      <c r="E4280" s="626"/>
      <c r="F4280" s="626"/>
    </row>
    <row r="4281" spans="1:6">
      <c r="A4281" t="str">
        <f t="shared" si="66"/>
        <v/>
      </c>
      <c r="E4281" s="626"/>
      <c r="F4281" s="626"/>
    </row>
    <row r="4282" spans="1:6">
      <c r="A4282" t="str">
        <f t="shared" si="66"/>
        <v/>
      </c>
      <c r="E4282" s="626"/>
      <c r="F4282" s="626"/>
    </row>
    <row r="4283" spans="1:6">
      <c r="A4283" t="str">
        <f t="shared" si="66"/>
        <v/>
      </c>
      <c r="E4283" s="626"/>
      <c r="F4283" s="626"/>
    </row>
    <row r="4284" spans="1:6">
      <c r="A4284" t="str">
        <f t="shared" si="66"/>
        <v/>
      </c>
      <c r="E4284" s="626"/>
      <c r="F4284" s="626"/>
    </row>
    <row r="4285" spans="1:6">
      <c r="A4285" t="str">
        <f t="shared" si="66"/>
        <v/>
      </c>
      <c r="E4285" s="626"/>
      <c r="F4285" s="626"/>
    </row>
    <row r="4286" spans="1:6">
      <c r="A4286" t="str">
        <f t="shared" si="66"/>
        <v/>
      </c>
      <c r="E4286" s="626"/>
      <c r="F4286" s="626"/>
    </row>
    <row r="4287" spans="1:6">
      <c r="A4287" t="str">
        <f t="shared" si="66"/>
        <v/>
      </c>
      <c r="E4287" s="626"/>
      <c r="F4287" s="626"/>
    </row>
    <row r="4288" spans="1:6">
      <c r="A4288" t="str">
        <f t="shared" si="66"/>
        <v/>
      </c>
      <c r="E4288" s="626"/>
      <c r="F4288" s="626"/>
    </row>
    <row r="4289" spans="1:6">
      <c r="A4289" t="str">
        <f t="shared" si="66"/>
        <v/>
      </c>
      <c r="E4289" s="626"/>
      <c r="F4289" s="626"/>
    </row>
    <row r="4290" spans="1:6">
      <c r="A4290" t="str">
        <f t="shared" ref="A4290:A4353" si="67">B4290&amp;E4290&amp;J4290</f>
        <v/>
      </c>
      <c r="E4290" s="626"/>
      <c r="F4290" s="626"/>
    </row>
    <row r="4291" spans="1:6">
      <c r="A4291" t="str">
        <f t="shared" si="67"/>
        <v/>
      </c>
      <c r="E4291" s="626"/>
      <c r="F4291" s="626"/>
    </row>
    <row r="4292" spans="1:6">
      <c r="A4292" t="str">
        <f t="shared" si="67"/>
        <v/>
      </c>
      <c r="E4292" s="626"/>
      <c r="F4292" s="626"/>
    </row>
    <row r="4293" spans="1:6">
      <c r="A4293" t="str">
        <f t="shared" si="67"/>
        <v/>
      </c>
      <c r="E4293" s="626"/>
      <c r="F4293" s="626"/>
    </row>
    <row r="4294" spans="1:6">
      <c r="A4294" t="str">
        <f t="shared" si="67"/>
        <v/>
      </c>
      <c r="E4294" s="626"/>
      <c r="F4294" s="626"/>
    </row>
    <row r="4295" spans="1:6">
      <c r="A4295" t="str">
        <f t="shared" si="67"/>
        <v/>
      </c>
      <c r="E4295" s="626"/>
      <c r="F4295" s="626"/>
    </row>
    <row r="4296" spans="1:6">
      <c r="A4296" t="str">
        <f t="shared" si="67"/>
        <v/>
      </c>
      <c r="E4296" s="626"/>
      <c r="F4296" s="626"/>
    </row>
    <row r="4297" spans="1:6">
      <c r="A4297" t="str">
        <f t="shared" si="67"/>
        <v/>
      </c>
      <c r="E4297" s="626"/>
      <c r="F4297" s="626"/>
    </row>
    <row r="4298" spans="1:6">
      <c r="A4298" t="str">
        <f t="shared" si="67"/>
        <v/>
      </c>
      <c r="E4298" s="626"/>
      <c r="F4298" s="626"/>
    </row>
    <row r="4299" spans="1:6">
      <c r="A4299" t="str">
        <f t="shared" si="67"/>
        <v/>
      </c>
      <c r="E4299" s="626"/>
      <c r="F4299" s="626"/>
    </row>
    <row r="4300" spans="1:6">
      <c r="A4300" t="str">
        <f t="shared" si="67"/>
        <v/>
      </c>
      <c r="E4300" s="626"/>
      <c r="F4300" s="626"/>
    </row>
    <row r="4301" spans="1:6">
      <c r="A4301" t="str">
        <f t="shared" si="67"/>
        <v/>
      </c>
      <c r="E4301" s="626"/>
      <c r="F4301" s="626"/>
    </row>
    <row r="4302" spans="1:6">
      <c r="A4302" t="str">
        <f t="shared" si="67"/>
        <v/>
      </c>
      <c r="E4302" s="626"/>
      <c r="F4302" s="626"/>
    </row>
    <row r="4303" spans="1:6">
      <c r="A4303" t="str">
        <f t="shared" si="67"/>
        <v/>
      </c>
      <c r="E4303" s="626"/>
      <c r="F4303" s="626"/>
    </row>
    <row r="4304" spans="1:6">
      <c r="A4304" t="str">
        <f t="shared" si="67"/>
        <v/>
      </c>
      <c r="E4304" s="626"/>
      <c r="F4304" s="626"/>
    </row>
    <row r="4305" spans="1:6">
      <c r="A4305" t="str">
        <f t="shared" si="67"/>
        <v/>
      </c>
      <c r="E4305" s="626"/>
      <c r="F4305" s="626"/>
    </row>
    <row r="4306" spans="1:6">
      <c r="A4306" t="str">
        <f t="shared" si="67"/>
        <v/>
      </c>
      <c r="E4306" s="626"/>
      <c r="F4306" s="626"/>
    </row>
    <row r="4307" spans="1:6">
      <c r="A4307" t="str">
        <f t="shared" si="67"/>
        <v/>
      </c>
      <c r="E4307" s="626"/>
      <c r="F4307" s="626"/>
    </row>
    <row r="4308" spans="1:6">
      <c r="A4308" t="str">
        <f t="shared" si="67"/>
        <v/>
      </c>
      <c r="E4308" s="626"/>
      <c r="F4308" s="626"/>
    </row>
    <row r="4309" spans="1:6">
      <c r="A4309" t="str">
        <f t="shared" si="67"/>
        <v/>
      </c>
      <c r="E4309" s="626"/>
      <c r="F4309" s="626"/>
    </row>
    <row r="4310" spans="1:6">
      <c r="A4310" t="str">
        <f t="shared" si="67"/>
        <v/>
      </c>
      <c r="E4310" s="626"/>
      <c r="F4310" s="626"/>
    </row>
    <row r="4311" spans="1:6">
      <c r="A4311" t="str">
        <f t="shared" si="67"/>
        <v/>
      </c>
      <c r="E4311" s="626"/>
      <c r="F4311" s="626"/>
    </row>
    <row r="4312" spans="1:6">
      <c r="A4312" t="str">
        <f t="shared" si="67"/>
        <v/>
      </c>
      <c r="E4312" s="626"/>
      <c r="F4312" s="626"/>
    </row>
    <row r="4313" spans="1:6">
      <c r="A4313" t="str">
        <f t="shared" si="67"/>
        <v/>
      </c>
      <c r="E4313" s="626"/>
      <c r="F4313" s="626"/>
    </row>
    <row r="4314" spans="1:6">
      <c r="A4314" t="str">
        <f t="shared" si="67"/>
        <v/>
      </c>
      <c r="E4314" s="626"/>
      <c r="F4314" s="626"/>
    </row>
    <row r="4315" spans="1:6">
      <c r="A4315" t="str">
        <f t="shared" si="67"/>
        <v/>
      </c>
      <c r="E4315" s="626"/>
      <c r="F4315" s="626"/>
    </row>
    <row r="4316" spans="1:6">
      <c r="A4316" t="str">
        <f t="shared" si="67"/>
        <v/>
      </c>
      <c r="E4316" s="626"/>
      <c r="F4316" s="626"/>
    </row>
    <row r="4317" spans="1:6">
      <c r="A4317" t="str">
        <f t="shared" si="67"/>
        <v/>
      </c>
      <c r="E4317" s="626"/>
      <c r="F4317" s="626"/>
    </row>
    <row r="4318" spans="1:6">
      <c r="A4318" t="str">
        <f t="shared" si="67"/>
        <v/>
      </c>
      <c r="E4318" s="626"/>
      <c r="F4318" s="626"/>
    </row>
    <row r="4319" spans="1:6">
      <c r="A4319" t="str">
        <f t="shared" si="67"/>
        <v/>
      </c>
      <c r="E4319" s="626"/>
      <c r="F4319" s="626"/>
    </row>
    <row r="4320" spans="1:6">
      <c r="A4320" t="str">
        <f t="shared" si="67"/>
        <v/>
      </c>
      <c r="E4320" s="626"/>
      <c r="F4320" s="626"/>
    </row>
    <row r="4321" spans="1:6">
      <c r="A4321" t="str">
        <f t="shared" si="67"/>
        <v/>
      </c>
      <c r="E4321" s="626"/>
      <c r="F4321" s="626"/>
    </row>
    <row r="4322" spans="1:6">
      <c r="A4322" t="str">
        <f t="shared" si="67"/>
        <v/>
      </c>
      <c r="E4322" s="626"/>
      <c r="F4322" s="626"/>
    </row>
    <row r="4323" spans="1:6">
      <c r="A4323" t="str">
        <f t="shared" si="67"/>
        <v/>
      </c>
      <c r="E4323" s="626"/>
      <c r="F4323" s="626"/>
    </row>
    <row r="4324" spans="1:6">
      <c r="A4324" t="str">
        <f t="shared" si="67"/>
        <v/>
      </c>
      <c r="E4324" s="626"/>
      <c r="F4324" s="626"/>
    </row>
    <row r="4325" spans="1:6">
      <c r="A4325" t="str">
        <f t="shared" si="67"/>
        <v/>
      </c>
      <c r="E4325" s="626"/>
      <c r="F4325" s="626"/>
    </row>
    <row r="4326" spans="1:6">
      <c r="A4326" t="str">
        <f t="shared" si="67"/>
        <v/>
      </c>
      <c r="E4326" s="626"/>
      <c r="F4326" s="626"/>
    </row>
    <row r="4327" spans="1:6">
      <c r="A4327" t="str">
        <f t="shared" si="67"/>
        <v/>
      </c>
      <c r="E4327" s="626"/>
      <c r="F4327" s="626"/>
    </row>
    <row r="4328" spans="1:6">
      <c r="A4328" t="str">
        <f t="shared" si="67"/>
        <v/>
      </c>
      <c r="E4328" s="626"/>
      <c r="F4328" s="626"/>
    </row>
    <row r="4329" spans="1:6">
      <c r="A4329" t="str">
        <f t="shared" si="67"/>
        <v/>
      </c>
      <c r="E4329" s="626"/>
      <c r="F4329" s="626"/>
    </row>
    <row r="4330" spans="1:6">
      <c r="A4330" t="str">
        <f t="shared" si="67"/>
        <v/>
      </c>
      <c r="E4330" s="626"/>
      <c r="F4330" s="626"/>
    </row>
    <row r="4331" spans="1:6">
      <c r="A4331" t="str">
        <f t="shared" si="67"/>
        <v/>
      </c>
      <c r="E4331" s="626"/>
      <c r="F4331" s="626"/>
    </row>
    <row r="4332" spans="1:6">
      <c r="A4332" t="str">
        <f t="shared" si="67"/>
        <v/>
      </c>
      <c r="E4332" s="626"/>
      <c r="F4332" s="626"/>
    </row>
    <row r="4333" spans="1:6">
      <c r="A4333" t="str">
        <f t="shared" si="67"/>
        <v/>
      </c>
      <c r="E4333" s="626"/>
      <c r="F4333" s="626"/>
    </row>
    <row r="4334" spans="1:6">
      <c r="A4334" t="str">
        <f t="shared" si="67"/>
        <v/>
      </c>
      <c r="E4334" s="626"/>
      <c r="F4334" s="626"/>
    </row>
    <row r="4335" spans="1:6">
      <c r="A4335" t="str">
        <f t="shared" si="67"/>
        <v/>
      </c>
      <c r="E4335" s="626"/>
      <c r="F4335" s="626"/>
    </row>
    <row r="4336" spans="1:6">
      <c r="A4336" t="str">
        <f t="shared" si="67"/>
        <v/>
      </c>
      <c r="E4336" s="626"/>
      <c r="F4336" s="626"/>
    </row>
    <row r="4337" spans="1:6">
      <c r="A4337" t="str">
        <f t="shared" si="67"/>
        <v/>
      </c>
      <c r="E4337" s="626"/>
      <c r="F4337" s="626"/>
    </row>
    <row r="4338" spans="1:6">
      <c r="A4338" t="str">
        <f t="shared" si="67"/>
        <v/>
      </c>
      <c r="E4338" s="626"/>
      <c r="F4338" s="626"/>
    </row>
    <row r="4339" spans="1:6">
      <c r="A4339" t="str">
        <f t="shared" si="67"/>
        <v/>
      </c>
      <c r="E4339" s="626"/>
      <c r="F4339" s="626"/>
    </row>
    <row r="4340" spans="1:6">
      <c r="A4340" t="str">
        <f t="shared" si="67"/>
        <v/>
      </c>
      <c r="E4340" s="626"/>
      <c r="F4340" s="626"/>
    </row>
    <row r="4341" spans="1:6">
      <c r="A4341" t="str">
        <f t="shared" si="67"/>
        <v/>
      </c>
      <c r="E4341" s="626"/>
      <c r="F4341" s="626"/>
    </row>
    <row r="4342" spans="1:6">
      <c r="A4342" t="str">
        <f t="shared" si="67"/>
        <v/>
      </c>
      <c r="E4342" s="626"/>
      <c r="F4342" s="626"/>
    </row>
    <row r="4343" spans="1:6">
      <c r="A4343" t="str">
        <f t="shared" si="67"/>
        <v/>
      </c>
      <c r="E4343" s="626"/>
      <c r="F4343" s="626"/>
    </row>
    <row r="4344" spans="1:6">
      <c r="A4344" t="str">
        <f t="shared" si="67"/>
        <v/>
      </c>
      <c r="E4344" s="626"/>
      <c r="F4344" s="626"/>
    </row>
    <row r="4345" spans="1:6">
      <c r="A4345" t="str">
        <f t="shared" si="67"/>
        <v/>
      </c>
      <c r="E4345" s="626"/>
      <c r="F4345" s="626"/>
    </row>
    <row r="4346" spans="1:6">
      <c r="A4346" t="str">
        <f t="shared" si="67"/>
        <v/>
      </c>
      <c r="E4346" s="626"/>
      <c r="F4346" s="626"/>
    </row>
    <row r="4347" spans="1:6">
      <c r="A4347" t="str">
        <f t="shared" si="67"/>
        <v/>
      </c>
      <c r="E4347" s="626"/>
      <c r="F4347" s="626"/>
    </row>
    <row r="4348" spans="1:6">
      <c r="A4348" t="str">
        <f t="shared" si="67"/>
        <v/>
      </c>
      <c r="E4348" s="626"/>
      <c r="F4348" s="626"/>
    </row>
    <row r="4349" spans="1:6">
      <c r="A4349" t="str">
        <f t="shared" si="67"/>
        <v/>
      </c>
      <c r="E4349" s="626"/>
      <c r="F4349" s="626"/>
    </row>
    <row r="4350" spans="1:6">
      <c r="A4350" t="str">
        <f t="shared" si="67"/>
        <v/>
      </c>
      <c r="E4350" s="626"/>
      <c r="F4350" s="626"/>
    </row>
    <row r="4351" spans="1:6">
      <c r="A4351" t="str">
        <f t="shared" si="67"/>
        <v/>
      </c>
      <c r="E4351" s="626"/>
      <c r="F4351" s="626"/>
    </row>
    <row r="4352" spans="1:6">
      <c r="A4352" t="str">
        <f t="shared" si="67"/>
        <v/>
      </c>
      <c r="E4352" s="626"/>
      <c r="F4352" s="626"/>
    </row>
    <row r="4353" spans="1:6">
      <c r="A4353" t="str">
        <f t="shared" si="67"/>
        <v/>
      </c>
      <c r="E4353" s="626"/>
      <c r="F4353" s="626"/>
    </row>
    <row r="4354" spans="1:6">
      <c r="A4354" t="str">
        <f t="shared" ref="A4354:A4417" si="68">B4354&amp;E4354&amp;J4354</f>
        <v/>
      </c>
      <c r="E4354" s="626"/>
      <c r="F4354" s="626"/>
    </row>
    <row r="4355" spans="1:6">
      <c r="A4355" t="str">
        <f t="shared" si="68"/>
        <v/>
      </c>
      <c r="E4355" s="626"/>
      <c r="F4355" s="626"/>
    </row>
    <row r="4356" spans="1:6">
      <c r="A4356" t="str">
        <f t="shared" si="68"/>
        <v/>
      </c>
      <c r="E4356" s="626"/>
      <c r="F4356" s="626"/>
    </row>
    <row r="4357" spans="1:6">
      <c r="A4357" t="str">
        <f t="shared" si="68"/>
        <v/>
      </c>
      <c r="E4357" s="626"/>
      <c r="F4357" s="626"/>
    </row>
    <row r="4358" spans="1:6">
      <c r="A4358" t="str">
        <f t="shared" si="68"/>
        <v/>
      </c>
      <c r="E4358" s="626"/>
      <c r="F4358" s="626"/>
    </row>
    <row r="4359" spans="1:6">
      <c r="A4359" t="str">
        <f t="shared" si="68"/>
        <v/>
      </c>
      <c r="E4359" s="626"/>
      <c r="F4359" s="626"/>
    </row>
    <row r="4360" spans="1:6">
      <c r="A4360" t="str">
        <f t="shared" si="68"/>
        <v/>
      </c>
      <c r="E4360" s="626"/>
      <c r="F4360" s="626"/>
    </row>
    <row r="4361" spans="1:6">
      <c r="A4361" t="str">
        <f t="shared" si="68"/>
        <v/>
      </c>
      <c r="E4361" s="626"/>
      <c r="F4361" s="626"/>
    </row>
    <row r="4362" spans="1:6">
      <c r="A4362" t="str">
        <f t="shared" si="68"/>
        <v/>
      </c>
      <c r="E4362" s="626"/>
      <c r="F4362" s="626"/>
    </row>
    <row r="4363" spans="1:6">
      <c r="A4363" t="str">
        <f t="shared" si="68"/>
        <v/>
      </c>
      <c r="E4363" s="626"/>
      <c r="F4363" s="626"/>
    </row>
    <row r="4364" spans="1:6">
      <c r="A4364" t="str">
        <f t="shared" si="68"/>
        <v/>
      </c>
      <c r="E4364" s="626"/>
      <c r="F4364" s="626"/>
    </row>
    <row r="4365" spans="1:6">
      <c r="A4365" t="str">
        <f t="shared" si="68"/>
        <v/>
      </c>
      <c r="E4365" s="626"/>
      <c r="F4365" s="626"/>
    </row>
    <row r="4366" spans="1:6">
      <c r="A4366" t="str">
        <f t="shared" si="68"/>
        <v/>
      </c>
      <c r="E4366" s="626"/>
      <c r="F4366" s="626"/>
    </row>
    <row r="4367" spans="1:6">
      <c r="A4367" t="str">
        <f t="shared" si="68"/>
        <v/>
      </c>
      <c r="E4367" s="626"/>
      <c r="F4367" s="626"/>
    </row>
    <row r="4368" spans="1:6">
      <c r="A4368" t="str">
        <f t="shared" si="68"/>
        <v/>
      </c>
      <c r="E4368" s="626"/>
      <c r="F4368" s="626"/>
    </row>
    <row r="4369" spans="1:6">
      <c r="A4369" t="str">
        <f t="shared" si="68"/>
        <v/>
      </c>
      <c r="E4369" s="626"/>
      <c r="F4369" s="626"/>
    </row>
    <row r="4370" spans="1:6">
      <c r="A4370" t="str">
        <f t="shared" si="68"/>
        <v/>
      </c>
      <c r="E4370" s="626"/>
      <c r="F4370" s="626"/>
    </row>
    <row r="4371" spans="1:6">
      <c r="A4371" t="str">
        <f t="shared" si="68"/>
        <v/>
      </c>
      <c r="E4371" s="626"/>
      <c r="F4371" s="626"/>
    </row>
    <row r="4372" spans="1:6">
      <c r="A4372" t="str">
        <f t="shared" si="68"/>
        <v/>
      </c>
      <c r="E4372" s="626"/>
      <c r="F4372" s="626"/>
    </row>
    <row r="4373" spans="1:6">
      <c r="A4373" t="str">
        <f t="shared" si="68"/>
        <v/>
      </c>
      <c r="E4373" s="626"/>
      <c r="F4373" s="626"/>
    </row>
    <row r="4374" spans="1:6">
      <c r="A4374" t="str">
        <f t="shared" si="68"/>
        <v/>
      </c>
      <c r="E4374" s="626"/>
      <c r="F4374" s="626"/>
    </row>
    <row r="4375" spans="1:6">
      <c r="A4375" t="str">
        <f t="shared" si="68"/>
        <v/>
      </c>
      <c r="E4375" s="626"/>
      <c r="F4375" s="626"/>
    </row>
    <row r="4376" spans="1:6">
      <c r="A4376" t="str">
        <f t="shared" si="68"/>
        <v/>
      </c>
      <c r="E4376" s="626"/>
      <c r="F4376" s="626"/>
    </row>
    <row r="4377" spans="1:6">
      <c r="A4377" t="str">
        <f t="shared" si="68"/>
        <v/>
      </c>
      <c r="E4377" s="626"/>
      <c r="F4377" s="626"/>
    </row>
    <row r="4378" spans="1:6">
      <c r="A4378" t="str">
        <f t="shared" si="68"/>
        <v/>
      </c>
      <c r="E4378" s="626"/>
      <c r="F4378" s="626"/>
    </row>
    <row r="4379" spans="1:6">
      <c r="A4379" t="str">
        <f t="shared" si="68"/>
        <v/>
      </c>
      <c r="E4379" s="626"/>
      <c r="F4379" s="626"/>
    </row>
    <row r="4380" spans="1:6">
      <c r="A4380" t="str">
        <f t="shared" si="68"/>
        <v/>
      </c>
      <c r="E4380" s="626"/>
      <c r="F4380" s="626"/>
    </row>
    <row r="4381" spans="1:6">
      <c r="A4381" t="str">
        <f t="shared" si="68"/>
        <v/>
      </c>
      <c r="E4381" s="626"/>
      <c r="F4381" s="626"/>
    </row>
    <row r="4382" spans="1:6">
      <c r="A4382" t="str">
        <f t="shared" si="68"/>
        <v/>
      </c>
      <c r="E4382" s="626"/>
      <c r="F4382" s="626"/>
    </row>
    <row r="4383" spans="1:6">
      <c r="A4383" t="str">
        <f t="shared" si="68"/>
        <v/>
      </c>
      <c r="E4383" s="626"/>
      <c r="F4383" s="626"/>
    </row>
    <row r="4384" spans="1:6">
      <c r="A4384" t="str">
        <f t="shared" si="68"/>
        <v/>
      </c>
      <c r="E4384" s="626"/>
      <c r="F4384" s="626"/>
    </row>
    <row r="4385" spans="1:6">
      <c r="A4385" t="str">
        <f t="shared" si="68"/>
        <v/>
      </c>
      <c r="E4385" s="626"/>
      <c r="F4385" s="626"/>
    </row>
    <row r="4386" spans="1:6">
      <c r="A4386" t="str">
        <f t="shared" si="68"/>
        <v/>
      </c>
      <c r="E4386" s="626"/>
      <c r="F4386" s="626"/>
    </row>
    <row r="4387" spans="1:6">
      <c r="A4387" t="str">
        <f t="shared" si="68"/>
        <v/>
      </c>
      <c r="E4387" s="626"/>
      <c r="F4387" s="626"/>
    </row>
    <row r="4388" spans="1:6">
      <c r="A4388" t="str">
        <f t="shared" si="68"/>
        <v/>
      </c>
      <c r="E4388" s="626"/>
      <c r="F4388" s="626"/>
    </row>
    <row r="4389" spans="1:6">
      <c r="A4389" t="str">
        <f t="shared" si="68"/>
        <v/>
      </c>
      <c r="E4389" s="626"/>
      <c r="F4389" s="626"/>
    </row>
    <row r="4390" spans="1:6">
      <c r="A4390" t="str">
        <f t="shared" si="68"/>
        <v/>
      </c>
      <c r="E4390" s="626"/>
      <c r="F4390" s="626"/>
    </row>
    <row r="4391" spans="1:6">
      <c r="A4391" t="str">
        <f t="shared" si="68"/>
        <v/>
      </c>
      <c r="E4391" s="626"/>
      <c r="F4391" s="626"/>
    </row>
    <row r="4392" spans="1:6">
      <c r="A4392" t="str">
        <f t="shared" si="68"/>
        <v/>
      </c>
      <c r="E4392" s="626"/>
      <c r="F4392" s="626"/>
    </row>
    <row r="4393" spans="1:6">
      <c r="A4393" t="str">
        <f t="shared" si="68"/>
        <v/>
      </c>
      <c r="E4393" s="626"/>
      <c r="F4393" s="626"/>
    </row>
    <row r="4394" spans="1:6">
      <c r="A4394" t="str">
        <f t="shared" si="68"/>
        <v/>
      </c>
      <c r="E4394" s="626"/>
      <c r="F4394" s="626"/>
    </row>
    <row r="4395" spans="1:6">
      <c r="A4395" t="str">
        <f t="shared" si="68"/>
        <v/>
      </c>
      <c r="E4395" s="626"/>
      <c r="F4395" s="626"/>
    </row>
    <row r="4396" spans="1:6">
      <c r="A4396" t="str">
        <f t="shared" si="68"/>
        <v/>
      </c>
      <c r="E4396" s="626"/>
      <c r="F4396" s="626"/>
    </row>
    <row r="4397" spans="1:6">
      <c r="A4397" t="str">
        <f t="shared" si="68"/>
        <v/>
      </c>
      <c r="E4397" s="626"/>
      <c r="F4397" s="626"/>
    </row>
    <row r="4398" spans="1:6">
      <c r="A4398" t="str">
        <f t="shared" si="68"/>
        <v/>
      </c>
      <c r="E4398" s="626"/>
      <c r="F4398" s="626"/>
    </row>
    <row r="4399" spans="1:6">
      <c r="A4399" t="str">
        <f t="shared" si="68"/>
        <v/>
      </c>
      <c r="E4399" s="626"/>
      <c r="F4399" s="626"/>
    </row>
    <row r="4400" spans="1:6">
      <c r="A4400" t="str">
        <f t="shared" si="68"/>
        <v/>
      </c>
      <c r="E4400" s="626"/>
      <c r="F4400" s="626"/>
    </row>
    <row r="4401" spans="1:6">
      <c r="A4401" t="str">
        <f t="shared" si="68"/>
        <v/>
      </c>
      <c r="E4401" s="626"/>
      <c r="F4401" s="626"/>
    </row>
    <row r="4402" spans="1:6">
      <c r="A4402" t="str">
        <f t="shared" si="68"/>
        <v/>
      </c>
      <c r="E4402" s="626"/>
      <c r="F4402" s="626"/>
    </row>
    <row r="4403" spans="1:6">
      <c r="A4403" t="str">
        <f t="shared" si="68"/>
        <v/>
      </c>
      <c r="E4403" s="626"/>
      <c r="F4403" s="626"/>
    </row>
    <row r="4404" spans="1:6">
      <c r="A4404" t="str">
        <f t="shared" si="68"/>
        <v/>
      </c>
      <c r="E4404" s="626"/>
      <c r="F4404" s="626"/>
    </row>
    <row r="4405" spans="1:6">
      <c r="A4405" t="str">
        <f t="shared" si="68"/>
        <v/>
      </c>
      <c r="E4405" s="626"/>
      <c r="F4405" s="626"/>
    </row>
    <row r="4406" spans="1:6">
      <c r="A4406" t="str">
        <f t="shared" si="68"/>
        <v/>
      </c>
      <c r="E4406" s="626"/>
      <c r="F4406" s="626"/>
    </row>
    <row r="4407" spans="1:6">
      <c r="A4407" t="str">
        <f t="shared" si="68"/>
        <v/>
      </c>
      <c r="E4407" s="626"/>
      <c r="F4407" s="626"/>
    </row>
    <row r="4408" spans="1:6">
      <c r="A4408" t="str">
        <f t="shared" si="68"/>
        <v/>
      </c>
      <c r="E4408" s="626"/>
      <c r="F4408" s="626"/>
    </row>
    <row r="4409" spans="1:6">
      <c r="A4409" t="str">
        <f t="shared" si="68"/>
        <v/>
      </c>
      <c r="E4409" s="626"/>
      <c r="F4409" s="626"/>
    </row>
    <row r="4410" spans="1:6">
      <c r="A4410" t="str">
        <f t="shared" si="68"/>
        <v/>
      </c>
      <c r="E4410" s="626"/>
      <c r="F4410" s="626"/>
    </row>
    <row r="4411" spans="1:6">
      <c r="A4411" t="str">
        <f t="shared" si="68"/>
        <v/>
      </c>
      <c r="E4411" s="626"/>
      <c r="F4411" s="626"/>
    </row>
    <row r="4412" spans="1:6">
      <c r="A4412" t="str">
        <f t="shared" si="68"/>
        <v/>
      </c>
      <c r="E4412" s="626"/>
      <c r="F4412" s="626"/>
    </row>
    <row r="4413" spans="1:6">
      <c r="A4413" t="str">
        <f t="shared" si="68"/>
        <v/>
      </c>
      <c r="E4413" s="626"/>
      <c r="F4413" s="626"/>
    </row>
    <row r="4414" spans="1:6">
      <c r="A4414" t="str">
        <f t="shared" si="68"/>
        <v/>
      </c>
      <c r="E4414" s="626"/>
      <c r="F4414" s="626"/>
    </row>
    <row r="4415" spans="1:6">
      <c r="A4415" t="str">
        <f t="shared" si="68"/>
        <v/>
      </c>
      <c r="E4415" s="626"/>
      <c r="F4415" s="626"/>
    </row>
    <row r="4416" spans="1:6">
      <c r="A4416" t="str">
        <f t="shared" si="68"/>
        <v/>
      </c>
      <c r="E4416" s="626"/>
      <c r="F4416" s="626"/>
    </row>
    <row r="4417" spans="1:6">
      <c r="A4417" t="str">
        <f t="shared" si="68"/>
        <v/>
      </c>
      <c r="E4417" s="626"/>
      <c r="F4417" s="626"/>
    </row>
    <row r="4418" spans="1:6">
      <c r="A4418" t="str">
        <f t="shared" ref="A4418:A4481" si="69">B4418&amp;E4418&amp;J4418</f>
        <v/>
      </c>
      <c r="E4418" s="626"/>
      <c r="F4418" s="626"/>
    </row>
    <row r="4419" spans="1:6">
      <c r="A4419" t="str">
        <f t="shared" si="69"/>
        <v/>
      </c>
      <c r="E4419" s="626"/>
      <c r="F4419" s="626"/>
    </row>
    <row r="4420" spans="1:6">
      <c r="A4420" t="str">
        <f t="shared" si="69"/>
        <v/>
      </c>
      <c r="E4420" s="626"/>
      <c r="F4420" s="626"/>
    </row>
    <row r="4421" spans="1:6">
      <c r="A4421" t="str">
        <f t="shared" si="69"/>
        <v/>
      </c>
      <c r="E4421" s="626"/>
      <c r="F4421" s="626"/>
    </row>
    <row r="4422" spans="1:6">
      <c r="A4422" t="str">
        <f t="shared" si="69"/>
        <v/>
      </c>
      <c r="E4422" s="626"/>
      <c r="F4422" s="626"/>
    </row>
    <row r="4423" spans="1:6">
      <c r="A4423" t="str">
        <f t="shared" si="69"/>
        <v/>
      </c>
      <c r="E4423" s="626"/>
      <c r="F4423" s="626"/>
    </row>
    <row r="4424" spans="1:6">
      <c r="A4424" t="str">
        <f t="shared" si="69"/>
        <v/>
      </c>
      <c r="E4424" s="626"/>
      <c r="F4424" s="626"/>
    </row>
    <row r="4425" spans="1:6">
      <c r="A4425" t="str">
        <f t="shared" si="69"/>
        <v/>
      </c>
      <c r="E4425" s="626"/>
      <c r="F4425" s="626"/>
    </row>
    <row r="4426" spans="1:6">
      <c r="A4426" t="str">
        <f t="shared" si="69"/>
        <v/>
      </c>
      <c r="E4426" s="626"/>
      <c r="F4426" s="626"/>
    </row>
    <row r="4427" spans="1:6">
      <c r="A4427" t="str">
        <f t="shared" si="69"/>
        <v/>
      </c>
      <c r="E4427" s="626"/>
      <c r="F4427" s="626"/>
    </row>
    <row r="4428" spans="1:6">
      <c r="A4428" t="str">
        <f t="shared" si="69"/>
        <v/>
      </c>
      <c r="E4428" s="626"/>
      <c r="F4428" s="626"/>
    </row>
    <row r="4429" spans="1:6">
      <c r="A4429" t="str">
        <f t="shared" si="69"/>
        <v/>
      </c>
      <c r="E4429" s="626"/>
      <c r="F4429" s="626"/>
    </row>
    <row r="4430" spans="1:6">
      <c r="A4430" t="str">
        <f t="shared" si="69"/>
        <v/>
      </c>
      <c r="E4430" s="626"/>
      <c r="F4430" s="626"/>
    </row>
    <row r="4431" spans="1:6">
      <c r="A4431" t="str">
        <f t="shared" si="69"/>
        <v/>
      </c>
      <c r="E4431" s="626"/>
      <c r="F4431" s="626"/>
    </row>
    <row r="4432" spans="1:6">
      <c r="A4432" t="str">
        <f t="shared" si="69"/>
        <v/>
      </c>
      <c r="E4432" s="626"/>
      <c r="F4432" s="626"/>
    </row>
    <row r="4433" spans="1:6">
      <c r="A4433" t="str">
        <f t="shared" si="69"/>
        <v/>
      </c>
      <c r="E4433" s="626"/>
      <c r="F4433" s="626"/>
    </row>
    <row r="4434" spans="1:6">
      <c r="A4434" t="str">
        <f t="shared" si="69"/>
        <v/>
      </c>
      <c r="E4434" s="626"/>
      <c r="F4434" s="626"/>
    </row>
    <row r="4435" spans="1:6">
      <c r="A4435" t="str">
        <f t="shared" si="69"/>
        <v/>
      </c>
      <c r="E4435" s="626"/>
      <c r="F4435" s="626"/>
    </row>
    <row r="4436" spans="1:6">
      <c r="A4436" t="str">
        <f t="shared" si="69"/>
        <v/>
      </c>
      <c r="E4436" s="626"/>
      <c r="F4436" s="626"/>
    </row>
    <row r="4437" spans="1:6">
      <c r="A4437" t="str">
        <f t="shared" si="69"/>
        <v/>
      </c>
      <c r="E4437" s="626"/>
      <c r="F4437" s="626"/>
    </row>
    <row r="4438" spans="1:6">
      <c r="A4438" t="str">
        <f t="shared" si="69"/>
        <v/>
      </c>
      <c r="E4438" s="626"/>
      <c r="F4438" s="626"/>
    </row>
    <row r="4439" spans="1:6">
      <c r="A4439" t="str">
        <f t="shared" si="69"/>
        <v/>
      </c>
      <c r="E4439" s="626"/>
      <c r="F4439" s="626"/>
    </row>
    <row r="4440" spans="1:6">
      <c r="A4440" t="str">
        <f t="shared" si="69"/>
        <v/>
      </c>
      <c r="E4440" s="626"/>
      <c r="F4440" s="626"/>
    </row>
    <row r="4441" spans="1:6">
      <c r="A4441" t="str">
        <f t="shared" si="69"/>
        <v/>
      </c>
      <c r="E4441" s="626"/>
      <c r="F4441" s="626"/>
    </row>
    <row r="4442" spans="1:6">
      <c r="A4442" t="str">
        <f t="shared" si="69"/>
        <v/>
      </c>
      <c r="E4442" s="626"/>
      <c r="F4442" s="626"/>
    </row>
    <row r="4443" spans="1:6">
      <c r="A4443" t="str">
        <f t="shared" si="69"/>
        <v/>
      </c>
      <c r="E4443" s="626"/>
      <c r="F4443" s="626"/>
    </row>
    <row r="4444" spans="1:6">
      <c r="A4444" t="str">
        <f t="shared" si="69"/>
        <v/>
      </c>
      <c r="E4444" s="626"/>
      <c r="F4444" s="626"/>
    </row>
    <row r="4445" spans="1:6">
      <c r="A4445" t="str">
        <f t="shared" si="69"/>
        <v/>
      </c>
      <c r="E4445" s="626"/>
      <c r="F4445" s="626"/>
    </row>
    <row r="4446" spans="1:6">
      <c r="A4446" t="str">
        <f t="shared" si="69"/>
        <v/>
      </c>
      <c r="E4446" s="626"/>
      <c r="F4446" s="626"/>
    </row>
    <row r="4447" spans="1:6">
      <c r="A4447" t="str">
        <f t="shared" si="69"/>
        <v/>
      </c>
      <c r="E4447" s="626"/>
      <c r="F4447" s="626"/>
    </row>
    <row r="4448" spans="1:6">
      <c r="A4448" t="str">
        <f t="shared" si="69"/>
        <v/>
      </c>
      <c r="E4448" s="626"/>
      <c r="F4448" s="626"/>
    </row>
    <row r="4449" spans="1:6">
      <c r="A4449" t="str">
        <f t="shared" si="69"/>
        <v/>
      </c>
      <c r="E4449" s="626"/>
      <c r="F4449" s="626"/>
    </row>
    <row r="4450" spans="1:6">
      <c r="A4450" t="str">
        <f t="shared" si="69"/>
        <v/>
      </c>
      <c r="E4450" s="626"/>
      <c r="F4450" s="626"/>
    </row>
    <row r="4451" spans="1:6">
      <c r="A4451" t="str">
        <f t="shared" si="69"/>
        <v/>
      </c>
      <c r="E4451" s="626"/>
      <c r="F4451" s="626"/>
    </row>
    <row r="4452" spans="1:6">
      <c r="A4452" t="str">
        <f t="shared" si="69"/>
        <v/>
      </c>
      <c r="E4452" s="626"/>
      <c r="F4452" s="626"/>
    </row>
    <row r="4453" spans="1:6">
      <c r="A4453" t="str">
        <f t="shared" si="69"/>
        <v/>
      </c>
      <c r="E4453" s="626"/>
      <c r="F4453" s="626"/>
    </row>
    <row r="4454" spans="1:6">
      <c r="A4454" t="str">
        <f t="shared" si="69"/>
        <v/>
      </c>
      <c r="E4454" s="626"/>
      <c r="F4454" s="626"/>
    </row>
    <row r="4455" spans="1:6">
      <c r="A4455" t="str">
        <f t="shared" si="69"/>
        <v/>
      </c>
      <c r="E4455" s="626"/>
      <c r="F4455" s="626"/>
    </row>
    <row r="4456" spans="1:6">
      <c r="A4456" t="str">
        <f t="shared" si="69"/>
        <v/>
      </c>
      <c r="E4456" s="626"/>
      <c r="F4456" s="626"/>
    </row>
    <row r="4457" spans="1:6">
      <c r="A4457" t="str">
        <f t="shared" si="69"/>
        <v/>
      </c>
      <c r="E4457" s="626"/>
      <c r="F4457" s="626"/>
    </row>
    <row r="4458" spans="1:6">
      <c r="A4458" t="str">
        <f t="shared" si="69"/>
        <v/>
      </c>
      <c r="E4458" s="626"/>
      <c r="F4458" s="626"/>
    </row>
    <row r="4459" spans="1:6">
      <c r="A4459" t="str">
        <f t="shared" si="69"/>
        <v/>
      </c>
      <c r="E4459" s="626"/>
      <c r="F4459" s="626"/>
    </row>
    <row r="4460" spans="1:6">
      <c r="A4460" t="str">
        <f t="shared" si="69"/>
        <v/>
      </c>
      <c r="E4460" s="626"/>
      <c r="F4460" s="626"/>
    </row>
    <row r="4461" spans="1:6">
      <c r="A4461" t="str">
        <f t="shared" si="69"/>
        <v/>
      </c>
      <c r="E4461" s="626"/>
      <c r="F4461" s="626"/>
    </row>
    <row r="4462" spans="1:6">
      <c r="A4462" t="str">
        <f t="shared" si="69"/>
        <v/>
      </c>
      <c r="E4462" s="626"/>
      <c r="F4462" s="626"/>
    </row>
    <row r="4463" spans="1:6">
      <c r="A4463" t="str">
        <f t="shared" si="69"/>
        <v/>
      </c>
      <c r="E4463" s="626"/>
      <c r="F4463" s="626"/>
    </row>
    <row r="4464" spans="1:6">
      <c r="A4464" t="str">
        <f t="shared" si="69"/>
        <v/>
      </c>
      <c r="E4464" s="626"/>
      <c r="F4464" s="626"/>
    </row>
    <row r="4465" spans="1:6">
      <c r="A4465" t="str">
        <f t="shared" si="69"/>
        <v/>
      </c>
      <c r="E4465" s="626"/>
      <c r="F4465" s="626"/>
    </row>
    <row r="4466" spans="1:6">
      <c r="A4466" t="str">
        <f t="shared" si="69"/>
        <v/>
      </c>
      <c r="E4466" s="626"/>
      <c r="F4466" s="626"/>
    </row>
    <row r="4467" spans="1:6">
      <c r="A4467" t="str">
        <f t="shared" si="69"/>
        <v/>
      </c>
      <c r="E4467" s="626"/>
      <c r="F4467" s="626"/>
    </row>
    <row r="4468" spans="1:6">
      <c r="A4468" t="str">
        <f t="shared" si="69"/>
        <v/>
      </c>
      <c r="E4468" s="626"/>
      <c r="F4468" s="626"/>
    </row>
    <row r="4469" spans="1:6">
      <c r="A4469" t="str">
        <f t="shared" si="69"/>
        <v/>
      </c>
      <c r="E4469" s="626"/>
      <c r="F4469" s="626"/>
    </row>
    <row r="4470" spans="1:6">
      <c r="A4470" t="str">
        <f t="shared" si="69"/>
        <v/>
      </c>
      <c r="E4470" s="626"/>
      <c r="F4470" s="626"/>
    </row>
    <row r="4471" spans="1:6">
      <c r="A4471" t="str">
        <f t="shared" si="69"/>
        <v/>
      </c>
      <c r="E4471" s="626"/>
      <c r="F4471" s="626"/>
    </row>
    <row r="4472" spans="1:6">
      <c r="A4472" t="str">
        <f t="shared" si="69"/>
        <v/>
      </c>
      <c r="E4472" s="626"/>
      <c r="F4472" s="626"/>
    </row>
    <row r="4473" spans="1:6">
      <c r="A4473" t="str">
        <f t="shared" si="69"/>
        <v/>
      </c>
      <c r="E4473" s="626"/>
      <c r="F4473" s="626"/>
    </row>
    <row r="4474" spans="1:6">
      <c r="A4474" t="str">
        <f t="shared" si="69"/>
        <v/>
      </c>
      <c r="E4474" s="626"/>
      <c r="F4474" s="626"/>
    </row>
    <row r="4475" spans="1:6">
      <c r="A4475" t="str">
        <f t="shared" si="69"/>
        <v/>
      </c>
      <c r="E4475" s="626"/>
      <c r="F4475" s="626"/>
    </row>
    <row r="4476" spans="1:6">
      <c r="A4476" t="str">
        <f t="shared" si="69"/>
        <v/>
      </c>
      <c r="E4476" s="626"/>
      <c r="F4476" s="626"/>
    </row>
    <row r="4477" spans="1:6">
      <c r="A4477" t="str">
        <f t="shared" si="69"/>
        <v/>
      </c>
      <c r="E4477" s="626"/>
      <c r="F4477" s="626"/>
    </row>
    <row r="4478" spans="1:6">
      <c r="A4478" t="str">
        <f t="shared" si="69"/>
        <v/>
      </c>
      <c r="E4478" s="626"/>
      <c r="F4478" s="626"/>
    </row>
    <row r="4479" spans="1:6">
      <c r="A4479" t="str">
        <f t="shared" si="69"/>
        <v/>
      </c>
      <c r="E4479" s="626"/>
      <c r="F4479" s="626"/>
    </row>
    <row r="4480" spans="1:6">
      <c r="A4480" t="str">
        <f t="shared" si="69"/>
        <v/>
      </c>
      <c r="E4480" s="626"/>
      <c r="F4480" s="626"/>
    </row>
    <row r="4481" spans="1:6">
      <c r="A4481" t="str">
        <f t="shared" si="69"/>
        <v/>
      </c>
      <c r="E4481" s="626"/>
      <c r="F4481" s="626"/>
    </row>
    <row r="4482" spans="1:6">
      <c r="A4482" t="str">
        <f t="shared" ref="A4482:A4545" si="70">B4482&amp;E4482&amp;J4482</f>
        <v/>
      </c>
      <c r="E4482" s="626"/>
      <c r="F4482" s="626"/>
    </row>
    <row r="4483" spans="1:6">
      <c r="A4483" t="str">
        <f t="shared" si="70"/>
        <v/>
      </c>
      <c r="E4483" s="626"/>
      <c r="F4483" s="626"/>
    </row>
    <row r="4484" spans="1:6">
      <c r="A4484" t="str">
        <f t="shared" si="70"/>
        <v/>
      </c>
      <c r="E4484" s="626"/>
      <c r="F4484" s="626"/>
    </row>
    <row r="4485" spans="1:6">
      <c r="A4485" t="str">
        <f t="shared" si="70"/>
        <v/>
      </c>
      <c r="E4485" s="626"/>
      <c r="F4485" s="626"/>
    </row>
    <row r="4486" spans="1:6">
      <c r="A4486" t="str">
        <f t="shared" si="70"/>
        <v/>
      </c>
      <c r="E4486" s="626"/>
      <c r="F4486" s="626"/>
    </row>
    <row r="4487" spans="1:6">
      <c r="A4487" t="str">
        <f t="shared" si="70"/>
        <v/>
      </c>
      <c r="E4487" s="626"/>
      <c r="F4487" s="626"/>
    </row>
    <row r="4488" spans="1:6">
      <c r="A4488" t="str">
        <f t="shared" si="70"/>
        <v/>
      </c>
      <c r="E4488" s="626"/>
      <c r="F4488" s="626"/>
    </row>
    <row r="4489" spans="1:6">
      <c r="A4489" t="str">
        <f t="shared" si="70"/>
        <v/>
      </c>
      <c r="E4489" s="626"/>
      <c r="F4489" s="626"/>
    </row>
    <row r="4490" spans="1:6">
      <c r="A4490" t="str">
        <f t="shared" si="70"/>
        <v/>
      </c>
      <c r="E4490" s="626"/>
      <c r="F4490" s="626"/>
    </row>
    <row r="4491" spans="1:6">
      <c r="A4491" t="str">
        <f t="shared" si="70"/>
        <v/>
      </c>
      <c r="E4491" s="626"/>
      <c r="F4491" s="626"/>
    </row>
    <row r="4492" spans="1:6">
      <c r="A4492" t="str">
        <f t="shared" si="70"/>
        <v/>
      </c>
      <c r="E4492" s="626"/>
      <c r="F4492" s="626"/>
    </row>
    <row r="4493" spans="1:6">
      <c r="A4493" t="str">
        <f t="shared" si="70"/>
        <v/>
      </c>
      <c r="E4493" s="626"/>
      <c r="F4493" s="626"/>
    </row>
    <row r="4494" spans="1:6">
      <c r="A4494" t="str">
        <f t="shared" si="70"/>
        <v/>
      </c>
      <c r="E4494" s="626"/>
      <c r="F4494" s="626"/>
    </row>
    <row r="4495" spans="1:6">
      <c r="A4495" t="str">
        <f t="shared" si="70"/>
        <v/>
      </c>
      <c r="E4495" s="626"/>
      <c r="F4495" s="626"/>
    </row>
    <row r="4496" spans="1:6">
      <c r="A4496" t="str">
        <f t="shared" si="70"/>
        <v/>
      </c>
      <c r="E4496" s="626"/>
      <c r="F4496" s="626"/>
    </row>
    <row r="4497" spans="1:6">
      <c r="A4497" t="str">
        <f t="shared" si="70"/>
        <v/>
      </c>
      <c r="E4497" s="626"/>
      <c r="F4497" s="626"/>
    </row>
    <row r="4498" spans="1:6">
      <c r="A4498" t="str">
        <f t="shared" si="70"/>
        <v/>
      </c>
      <c r="E4498" s="626"/>
      <c r="F4498" s="626"/>
    </row>
    <row r="4499" spans="1:6">
      <c r="A4499" t="str">
        <f t="shared" si="70"/>
        <v/>
      </c>
      <c r="E4499" s="626"/>
      <c r="F4499" s="626"/>
    </row>
    <row r="4500" spans="1:6">
      <c r="A4500" t="str">
        <f t="shared" si="70"/>
        <v/>
      </c>
      <c r="E4500" s="626"/>
      <c r="F4500" s="626"/>
    </row>
    <row r="4501" spans="1:6">
      <c r="A4501" t="str">
        <f t="shared" si="70"/>
        <v/>
      </c>
      <c r="E4501" s="626"/>
      <c r="F4501" s="626"/>
    </row>
    <row r="4502" spans="1:6">
      <c r="A4502" t="str">
        <f t="shared" si="70"/>
        <v/>
      </c>
      <c r="E4502" s="626"/>
      <c r="F4502" s="626"/>
    </row>
    <row r="4503" spans="1:6">
      <c r="A4503" t="str">
        <f t="shared" si="70"/>
        <v/>
      </c>
      <c r="E4503" s="626"/>
      <c r="F4503" s="626"/>
    </row>
    <row r="4504" spans="1:6">
      <c r="A4504" t="str">
        <f t="shared" si="70"/>
        <v/>
      </c>
      <c r="E4504" s="626"/>
      <c r="F4504" s="626"/>
    </row>
    <row r="4505" spans="1:6">
      <c r="A4505" t="str">
        <f t="shared" si="70"/>
        <v/>
      </c>
      <c r="E4505" s="626"/>
      <c r="F4505" s="626"/>
    </row>
    <row r="4506" spans="1:6">
      <c r="A4506" t="str">
        <f t="shared" si="70"/>
        <v/>
      </c>
      <c r="E4506" s="626"/>
      <c r="F4506" s="626"/>
    </row>
    <row r="4507" spans="1:6">
      <c r="A4507" t="str">
        <f t="shared" si="70"/>
        <v/>
      </c>
      <c r="E4507" s="626"/>
      <c r="F4507" s="626"/>
    </row>
    <row r="4508" spans="1:6">
      <c r="A4508" t="str">
        <f t="shared" si="70"/>
        <v/>
      </c>
      <c r="E4508" s="626"/>
      <c r="F4508" s="626"/>
    </row>
    <row r="4509" spans="1:6">
      <c r="A4509" t="str">
        <f t="shared" si="70"/>
        <v/>
      </c>
      <c r="E4509" s="626"/>
      <c r="F4509" s="626"/>
    </row>
    <row r="4510" spans="1:6">
      <c r="A4510" t="str">
        <f t="shared" si="70"/>
        <v/>
      </c>
      <c r="E4510" s="626"/>
      <c r="F4510" s="626"/>
    </row>
    <row r="4511" spans="1:6">
      <c r="A4511" t="str">
        <f t="shared" si="70"/>
        <v/>
      </c>
      <c r="E4511" s="626"/>
      <c r="F4511" s="626"/>
    </row>
    <row r="4512" spans="1:6">
      <c r="A4512" t="str">
        <f t="shared" si="70"/>
        <v/>
      </c>
      <c r="E4512" s="626"/>
      <c r="F4512" s="626"/>
    </row>
    <row r="4513" spans="1:6">
      <c r="A4513" t="str">
        <f t="shared" si="70"/>
        <v/>
      </c>
      <c r="E4513" s="626"/>
      <c r="F4513" s="626"/>
    </row>
    <row r="4514" spans="1:6">
      <c r="A4514" t="str">
        <f t="shared" si="70"/>
        <v/>
      </c>
      <c r="E4514" s="626"/>
      <c r="F4514" s="626"/>
    </row>
    <row r="4515" spans="1:6">
      <c r="A4515" t="str">
        <f t="shared" si="70"/>
        <v/>
      </c>
      <c r="E4515" s="626"/>
      <c r="F4515" s="626"/>
    </row>
    <row r="4516" spans="1:6">
      <c r="A4516" t="str">
        <f t="shared" si="70"/>
        <v/>
      </c>
      <c r="E4516" s="626"/>
      <c r="F4516" s="626"/>
    </row>
    <row r="4517" spans="1:6">
      <c r="A4517" t="str">
        <f t="shared" si="70"/>
        <v/>
      </c>
      <c r="E4517" s="626"/>
      <c r="F4517" s="626"/>
    </row>
    <row r="4518" spans="1:6">
      <c r="A4518" t="str">
        <f t="shared" si="70"/>
        <v/>
      </c>
      <c r="E4518" s="626"/>
      <c r="F4518" s="626"/>
    </row>
    <row r="4519" spans="1:6">
      <c r="A4519" t="str">
        <f t="shared" si="70"/>
        <v/>
      </c>
      <c r="E4519" s="626"/>
      <c r="F4519" s="626"/>
    </row>
    <row r="4520" spans="1:6">
      <c r="A4520" t="str">
        <f t="shared" si="70"/>
        <v/>
      </c>
      <c r="E4520" s="626"/>
      <c r="F4520" s="626"/>
    </row>
    <row r="4521" spans="1:6">
      <c r="A4521" t="str">
        <f t="shared" si="70"/>
        <v/>
      </c>
      <c r="E4521" s="626"/>
      <c r="F4521" s="626"/>
    </row>
    <row r="4522" spans="1:6">
      <c r="A4522" t="str">
        <f t="shared" si="70"/>
        <v/>
      </c>
      <c r="E4522" s="626"/>
      <c r="F4522" s="626"/>
    </row>
    <row r="4523" spans="1:6">
      <c r="A4523" t="str">
        <f t="shared" si="70"/>
        <v/>
      </c>
      <c r="E4523" s="626"/>
      <c r="F4523" s="626"/>
    </row>
    <row r="4524" spans="1:6">
      <c r="A4524" t="str">
        <f t="shared" si="70"/>
        <v/>
      </c>
      <c r="E4524" s="626"/>
      <c r="F4524" s="626"/>
    </row>
    <row r="4525" spans="1:6">
      <c r="A4525" t="str">
        <f t="shared" si="70"/>
        <v/>
      </c>
      <c r="E4525" s="626"/>
      <c r="F4525" s="626"/>
    </row>
    <row r="4526" spans="1:6">
      <c r="A4526" t="str">
        <f t="shared" si="70"/>
        <v/>
      </c>
      <c r="E4526" s="626"/>
      <c r="F4526" s="626"/>
    </row>
    <row r="4527" spans="1:6">
      <c r="A4527" t="str">
        <f t="shared" si="70"/>
        <v/>
      </c>
      <c r="E4527" s="626"/>
      <c r="F4527" s="626"/>
    </row>
    <row r="4528" spans="1:6">
      <c r="A4528" t="str">
        <f t="shared" si="70"/>
        <v/>
      </c>
      <c r="E4528" s="626"/>
      <c r="F4528" s="626"/>
    </row>
    <row r="4529" spans="1:6">
      <c r="A4529" t="str">
        <f t="shared" si="70"/>
        <v/>
      </c>
      <c r="E4529" s="626"/>
      <c r="F4529" s="626"/>
    </row>
    <row r="4530" spans="1:6">
      <c r="A4530" t="str">
        <f t="shared" si="70"/>
        <v/>
      </c>
      <c r="E4530" s="626"/>
      <c r="F4530" s="626"/>
    </row>
    <row r="4531" spans="1:6">
      <c r="A4531" t="str">
        <f t="shared" si="70"/>
        <v/>
      </c>
      <c r="E4531" s="626"/>
      <c r="F4531" s="626"/>
    </row>
    <row r="4532" spans="1:6">
      <c r="A4532" t="str">
        <f t="shared" si="70"/>
        <v/>
      </c>
      <c r="E4532" s="626"/>
      <c r="F4532" s="626"/>
    </row>
    <row r="4533" spans="1:6">
      <c r="A4533" t="str">
        <f t="shared" si="70"/>
        <v/>
      </c>
      <c r="E4533" s="626"/>
      <c r="F4533" s="626"/>
    </row>
    <row r="4534" spans="1:6">
      <c r="A4534" t="str">
        <f t="shared" si="70"/>
        <v/>
      </c>
      <c r="E4534" s="626"/>
      <c r="F4534" s="626"/>
    </row>
    <row r="4535" spans="1:6">
      <c r="A4535" t="str">
        <f t="shared" si="70"/>
        <v/>
      </c>
      <c r="E4535" s="626"/>
      <c r="F4535" s="626"/>
    </row>
    <row r="4536" spans="1:6">
      <c r="A4536" t="str">
        <f t="shared" si="70"/>
        <v/>
      </c>
      <c r="E4536" s="626"/>
      <c r="F4536" s="626"/>
    </row>
    <row r="4537" spans="1:6">
      <c r="A4537" t="str">
        <f t="shared" si="70"/>
        <v/>
      </c>
      <c r="E4537" s="626"/>
      <c r="F4537" s="626"/>
    </row>
    <row r="4538" spans="1:6">
      <c r="A4538" t="str">
        <f t="shared" si="70"/>
        <v/>
      </c>
      <c r="E4538" s="626"/>
      <c r="F4538" s="626"/>
    </row>
    <row r="4539" spans="1:6">
      <c r="A4539" t="str">
        <f t="shared" si="70"/>
        <v/>
      </c>
      <c r="E4539" s="626"/>
      <c r="F4539" s="626"/>
    </row>
    <row r="4540" spans="1:6">
      <c r="A4540" t="str">
        <f t="shared" si="70"/>
        <v/>
      </c>
      <c r="E4540" s="626"/>
      <c r="F4540" s="626"/>
    </row>
    <row r="4541" spans="1:6">
      <c r="A4541" t="str">
        <f t="shared" si="70"/>
        <v/>
      </c>
      <c r="E4541" s="626"/>
      <c r="F4541" s="626"/>
    </row>
    <row r="4542" spans="1:6">
      <c r="A4542" t="str">
        <f t="shared" si="70"/>
        <v/>
      </c>
      <c r="E4542" s="626"/>
      <c r="F4542" s="626"/>
    </row>
    <row r="4543" spans="1:6">
      <c r="A4543" t="str">
        <f t="shared" si="70"/>
        <v/>
      </c>
      <c r="E4543" s="626"/>
      <c r="F4543" s="626"/>
    </row>
    <row r="4544" spans="1:6">
      <c r="A4544" t="str">
        <f t="shared" si="70"/>
        <v/>
      </c>
      <c r="E4544" s="626"/>
      <c r="F4544" s="626"/>
    </row>
    <row r="4545" spans="1:6">
      <c r="A4545" t="str">
        <f t="shared" si="70"/>
        <v/>
      </c>
      <c r="E4545" s="626"/>
      <c r="F4545" s="626"/>
    </row>
    <row r="4546" spans="1:6">
      <c r="A4546" t="str">
        <f t="shared" ref="A4546:A4609" si="71">B4546&amp;E4546&amp;J4546</f>
        <v/>
      </c>
      <c r="E4546" s="626"/>
      <c r="F4546" s="626"/>
    </row>
    <row r="4547" spans="1:6">
      <c r="A4547" t="str">
        <f t="shared" si="71"/>
        <v/>
      </c>
      <c r="E4547" s="626"/>
      <c r="F4547" s="626"/>
    </row>
    <row r="4548" spans="1:6">
      <c r="A4548" t="str">
        <f t="shared" si="71"/>
        <v/>
      </c>
      <c r="E4548" s="626"/>
      <c r="F4548" s="626"/>
    </row>
    <row r="4549" spans="1:6">
      <c r="A4549" t="str">
        <f t="shared" si="71"/>
        <v/>
      </c>
      <c r="E4549" s="626"/>
      <c r="F4549" s="626"/>
    </row>
    <row r="4550" spans="1:6">
      <c r="A4550" t="str">
        <f t="shared" si="71"/>
        <v/>
      </c>
      <c r="E4550" s="626"/>
      <c r="F4550" s="626"/>
    </row>
    <row r="4551" spans="1:6">
      <c r="A4551" t="str">
        <f t="shared" si="71"/>
        <v/>
      </c>
      <c r="E4551" s="626"/>
      <c r="F4551" s="626"/>
    </row>
    <row r="4552" spans="1:6">
      <c r="A4552" t="str">
        <f t="shared" si="71"/>
        <v/>
      </c>
      <c r="E4552" s="626"/>
      <c r="F4552" s="626"/>
    </row>
    <row r="4553" spans="1:6">
      <c r="A4553" t="str">
        <f t="shared" si="71"/>
        <v/>
      </c>
      <c r="E4553" s="626"/>
      <c r="F4553" s="626"/>
    </row>
    <row r="4554" spans="1:6">
      <c r="A4554" t="str">
        <f t="shared" si="71"/>
        <v/>
      </c>
      <c r="E4554" s="626"/>
      <c r="F4554" s="626"/>
    </row>
    <row r="4555" spans="1:6">
      <c r="A4555" t="str">
        <f t="shared" si="71"/>
        <v/>
      </c>
      <c r="E4555" s="626"/>
      <c r="F4555" s="626"/>
    </row>
    <row r="4556" spans="1:6">
      <c r="A4556" t="str">
        <f t="shared" si="71"/>
        <v/>
      </c>
      <c r="E4556" s="626"/>
      <c r="F4556" s="626"/>
    </row>
    <row r="4557" spans="1:6">
      <c r="A4557" t="str">
        <f t="shared" si="71"/>
        <v/>
      </c>
      <c r="E4557" s="626"/>
      <c r="F4557" s="626"/>
    </row>
    <row r="4558" spans="1:6">
      <c r="A4558" t="str">
        <f t="shared" si="71"/>
        <v/>
      </c>
      <c r="E4558" s="626"/>
      <c r="F4558" s="626"/>
    </row>
    <row r="4559" spans="1:6">
      <c r="A4559" t="str">
        <f t="shared" si="71"/>
        <v/>
      </c>
      <c r="E4559" s="626"/>
      <c r="F4559" s="626"/>
    </row>
    <row r="4560" spans="1:6">
      <c r="A4560" t="str">
        <f t="shared" si="71"/>
        <v/>
      </c>
      <c r="E4560" s="626"/>
      <c r="F4560" s="626"/>
    </row>
    <row r="4561" spans="1:6">
      <c r="A4561" t="str">
        <f t="shared" si="71"/>
        <v/>
      </c>
      <c r="E4561" s="626"/>
      <c r="F4561" s="626"/>
    </row>
    <row r="4562" spans="1:6">
      <c r="A4562" t="str">
        <f t="shared" si="71"/>
        <v/>
      </c>
      <c r="E4562" s="626"/>
      <c r="F4562" s="626"/>
    </row>
    <row r="4563" spans="1:6">
      <c r="A4563" t="str">
        <f t="shared" si="71"/>
        <v/>
      </c>
      <c r="E4563" s="626"/>
      <c r="F4563" s="626"/>
    </row>
    <row r="4564" spans="1:6">
      <c r="A4564" t="str">
        <f t="shared" si="71"/>
        <v/>
      </c>
      <c r="E4564" s="626"/>
      <c r="F4564" s="626"/>
    </row>
    <row r="4565" spans="1:6">
      <c r="A4565" t="str">
        <f t="shared" si="71"/>
        <v/>
      </c>
      <c r="E4565" s="626"/>
      <c r="F4565" s="626"/>
    </row>
    <row r="4566" spans="1:6">
      <c r="A4566" t="str">
        <f t="shared" si="71"/>
        <v/>
      </c>
      <c r="E4566" s="626"/>
      <c r="F4566" s="626"/>
    </row>
    <row r="4567" spans="1:6">
      <c r="A4567" t="str">
        <f t="shared" si="71"/>
        <v/>
      </c>
      <c r="E4567" s="626"/>
      <c r="F4567" s="626"/>
    </row>
    <row r="4568" spans="1:6">
      <c r="A4568" t="str">
        <f t="shared" si="71"/>
        <v/>
      </c>
      <c r="E4568" s="626"/>
      <c r="F4568" s="626"/>
    </row>
    <row r="4569" spans="1:6">
      <c r="A4569" t="str">
        <f t="shared" si="71"/>
        <v/>
      </c>
      <c r="E4569" s="626"/>
      <c r="F4569" s="626"/>
    </row>
    <row r="4570" spans="1:6">
      <c r="A4570" t="str">
        <f t="shared" si="71"/>
        <v/>
      </c>
      <c r="E4570" s="626"/>
      <c r="F4570" s="626"/>
    </row>
    <row r="4571" spans="1:6">
      <c r="A4571" t="str">
        <f t="shared" si="71"/>
        <v/>
      </c>
      <c r="E4571" s="626"/>
      <c r="F4571" s="626"/>
    </row>
    <row r="4572" spans="1:6">
      <c r="A4572" t="str">
        <f t="shared" si="71"/>
        <v/>
      </c>
      <c r="E4572" s="626"/>
      <c r="F4572" s="626"/>
    </row>
    <row r="4573" spans="1:6">
      <c r="A4573" t="str">
        <f t="shared" si="71"/>
        <v/>
      </c>
      <c r="E4573" s="626"/>
      <c r="F4573" s="626"/>
    </row>
    <row r="4574" spans="1:6">
      <c r="A4574" t="str">
        <f t="shared" si="71"/>
        <v/>
      </c>
      <c r="E4574" s="626"/>
      <c r="F4574" s="626"/>
    </row>
    <row r="4575" spans="1:6">
      <c r="A4575" t="str">
        <f t="shared" si="71"/>
        <v/>
      </c>
      <c r="E4575" s="626"/>
      <c r="F4575" s="626"/>
    </row>
    <row r="4576" spans="1:6">
      <c r="A4576" t="str">
        <f t="shared" si="71"/>
        <v/>
      </c>
      <c r="E4576" s="626"/>
      <c r="F4576" s="626"/>
    </row>
    <row r="4577" spans="1:6">
      <c r="A4577" t="str">
        <f t="shared" si="71"/>
        <v/>
      </c>
      <c r="E4577" s="626"/>
      <c r="F4577" s="626"/>
    </row>
    <row r="4578" spans="1:6">
      <c r="A4578" t="str">
        <f t="shared" si="71"/>
        <v/>
      </c>
      <c r="E4578" s="626"/>
      <c r="F4578" s="626"/>
    </row>
    <row r="4579" spans="1:6">
      <c r="A4579" t="str">
        <f t="shared" si="71"/>
        <v/>
      </c>
      <c r="E4579" s="626"/>
      <c r="F4579" s="626"/>
    </row>
    <row r="4580" spans="1:6">
      <c r="A4580" t="str">
        <f t="shared" si="71"/>
        <v/>
      </c>
      <c r="E4580" s="626"/>
      <c r="F4580" s="626"/>
    </row>
    <row r="4581" spans="1:6">
      <c r="A4581" t="str">
        <f t="shared" si="71"/>
        <v/>
      </c>
      <c r="E4581" s="626"/>
      <c r="F4581" s="626"/>
    </row>
    <row r="4582" spans="1:6">
      <c r="A4582" t="str">
        <f t="shared" si="71"/>
        <v/>
      </c>
      <c r="E4582" s="626"/>
      <c r="F4582" s="626"/>
    </row>
    <row r="4583" spans="1:6">
      <c r="A4583" t="str">
        <f t="shared" si="71"/>
        <v/>
      </c>
      <c r="E4583" s="626"/>
      <c r="F4583" s="626"/>
    </row>
    <row r="4584" spans="1:6">
      <c r="A4584" t="str">
        <f t="shared" si="71"/>
        <v/>
      </c>
      <c r="E4584" s="626"/>
      <c r="F4584" s="626"/>
    </row>
    <row r="4585" spans="1:6">
      <c r="A4585" t="str">
        <f t="shared" si="71"/>
        <v/>
      </c>
      <c r="E4585" s="626"/>
      <c r="F4585" s="626"/>
    </row>
    <row r="4586" spans="1:6">
      <c r="A4586" t="str">
        <f t="shared" si="71"/>
        <v/>
      </c>
      <c r="E4586" s="626"/>
      <c r="F4586" s="626"/>
    </row>
    <row r="4587" spans="1:6">
      <c r="A4587" t="str">
        <f t="shared" si="71"/>
        <v/>
      </c>
      <c r="E4587" s="626"/>
      <c r="F4587" s="626"/>
    </row>
    <row r="4588" spans="1:6">
      <c r="A4588" t="str">
        <f t="shared" si="71"/>
        <v/>
      </c>
      <c r="E4588" s="626"/>
      <c r="F4588" s="626"/>
    </row>
    <row r="4589" spans="1:6">
      <c r="A4589" t="str">
        <f t="shared" si="71"/>
        <v/>
      </c>
      <c r="E4589" s="626"/>
      <c r="F4589" s="626"/>
    </row>
    <row r="4590" spans="1:6">
      <c r="A4590" t="str">
        <f t="shared" si="71"/>
        <v/>
      </c>
      <c r="E4590" s="626"/>
      <c r="F4590" s="626"/>
    </row>
    <row r="4591" spans="1:6">
      <c r="A4591" t="str">
        <f t="shared" si="71"/>
        <v/>
      </c>
      <c r="E4591" s="626"/>
      <c r="F4591" s="626"/>
    </row>
    <row r="4592" spans="1:6">
      <c r="A4592" t="str">
        <f t="shared" si="71"/>
        <v/>
      </c>
      <c r="E4592" s="626"/>
      <c r="F4592" s="626"/>
    </row>
    <row r="4593" spans="1:6">
      <c r="A4593" t="str">
        <f t="shared" si="71"/>
        <v/>
      </c>
      <c r="E4593" s="626"/>
      <c r="F4593" s="626"/>
    </row>
    <row r="4594" spans="1:6">
      <c r="A4594" t="str">
        <f t="shared" si="71"/>
        <v/>
      </c>
      <c r="E4594" s="626"/>
      <c r="F4594" s="626"/>
    </row>
    <row r="4595" spans="1:6">
      <c r="A4595" t="str">
        <f t="shared" si="71"/>
        <v/>
      </c>
      <c r="E4595" s="626"/>
      <c r="F4595" s="626"/>
    </row>
    <row r="4596" spans="1:6">
      <c r="A4596" t="str">
        <f t="shared" si="71"/>
        <v/>
      </c>
      <c r="E4596" s="626"/>
      <c r="F4596" s="626"/>
    </row>
    <row r="4597" spans="1:6">
      <c r="A4597" t="str">
        <f t="shared" si="71"/>
        <v/>
      </c>
      <c r="E4597" s="626"/>
      <c r="F4597" s="626"/>
    </row>
    <row r="4598" spans="1:6">
      <c r="A4598" t="str">
        <f t="shared" si="71"/>
        <v/>
      </c>
      <c r="E4598" s="626"/>
      <c r="F4598" s="626"/>
    </row>
    <row r="4599" spans="1:6">
      <c r="A4599" t="str">
        <f t="shared" si="71"/>
        <v/>
      </c>
      <c r="E4599" s="626"/>
      <c r="F4599" s="626"/>
    </row>
    <row r="4600" spans="1:6">
      <c r="A4600" t="str">
        <f t="shared" si="71"/>
        <v/>
      </c>
      <c r="E4600" s="626"/>
      <c r="F4600" s="626"/>
    </row>
    <row r="4601" spans="1:6">
      <c r="A4601" t="str">
        <f t="shared" si="71"/>
        <v/>
      </c>
      <c r="E4601" s="626"/>
      <c r="F4601" s="626"/>
    </row>
    <row r="4602" spans="1:6">
      <c r="A4602" t="str">
        <f t="shared" si="71"/>
        <v/>
      </c>
      <c r="E4602" s="626"/>
      <c r="F4602" s="626"/>
    </row>
    <row r="4603" spans="1:6">
      <c r="A4603" t="str">
        <f t="shared" si="71"/>
        <v/>
      </c>
      <c r="E4603" s="626"/>
      <c r="F4603" s="626"/>
    </row>
    <row r="4604" spans="1:6">
      <c r="A4604" t="str">
        <f t="shared" si="71"/>
        <v/>
      </c>
      <c r="E4604" s="626"/>
      <c r="F4604" s="626"/>
    </row>
    <row r="4605" spans="1:6">
      <c r="A4605" t="str">
        <f t="shared" si="71"/>
        <v/>
      </c>
      <c r="E4605" s="626"/>
      <c r="F4605" s="626"/>
    </row>
    <row r="4606" spans="1:6">
      <c r="A4606" t="str">
        <f t="shared" si="71"/>
        <v/>
      </c>
      <c r="E4606" s="626"/>
      <c r="F4606" s="626"/>
    </row>
    <row r="4607" spans="1:6">
      <c r="A4607" t="str">
        <f t="shared" si="71"/>
        <v/>
      </c>
      <c r="E4607" s="626"/>
      <c r="F4607" s="626"/>
    </row>
    <row r="4608" spans="1:6">
      <c r="A4608" t="str">
        <f t="shared" si="71"/>
        <v/>
      </c>
      <c r="E4608" s="626"/>
      <c r="F4608" s="626"/>
    </row>
    <row r="4609" spans="1:6">
      <c r="A4609" t="str">
        <f t="shared" si="71"/>
        <v/>
      </c>
      <c r="E4609" s="626"/>
      <c r="F4609" s="626"/>
    </row>
    <row r="4610" spans="1:6">
      <c r="A4610" t="str">
        <f t="shared" ref="A4610:A4673" si="72">B4610&amp;E4610&amp;J4610</f>
        <v/>
      </c>
      <c r="E4610" s="626"/>
      <c r="F4610" s="626"/>
    </row>
    <row r="4611" spans="1:6">
      <c r="A4611" t="str">
        <f t="shared" si="72"/>
        <v/>
      </c>
      <c r="E4611" s="626"/>
      <c r="F4611" s="626"/>
    </row>
    <row r="4612" spans="1:6">
      <c r="A4612" t="str">
        <f t="shared" si="72"/>
        <v/>
      </c>
      <c r="E4612" s="626"/>
      <c r="F4612" s="626"/>
    </row>
    <row r="4613" spans="1:6">
      <c r="A4613" t="str">
        <f t="shared" si="72"/>
        <v/>
      </c>
      <c r="E4613" s="626"/>
      <c r="F4613" s="626"/>
    </row>
    <row r="4614" spans="1:6">
      <c r="A4614" t="str">
        <f t="shared" si="72"/>
        <v/>
      </c>
      <c r="E4614" s="626"/>
      <c r="F4614" s="626"/>
    </row>
    <row r="4615" spans="1:6">
      <c r="A4615" t="str">
        <f t="shared" si="72"/>
        <v/>
      </c>
      <c r="E4615" s="626"/>
      <c r="F4615" s="626"/>
    </row>
    <row r="4616" spans="1:6">
      <c r="A4616" t="str">
        <f t="shared" si="72"/>
        <v/>
      </c>
      <c r="E4616" s="626"/>
      <c r="F4616" s="626"/>
    </row>
    <row r="4617" spans="1:6">
      <c r="A4617" t="str">
        <f t="shared" si="72"/>
        <v/>
      </c>
      <c r="E4617" s="626"/>
      <c r="F4617" s="626"/>
    </row>
    <row r="4618" spans="1:6">
      <c r="A4618" t="str">
        <f t="shared" si="72"/>
        <v/>
      </c>
      <c r="E4618" s="626"/>
      <c r="F4618" s="626"/>
    </row>
    <row r="4619" spans="1:6">
      <c r="A4619" t="str">
        <f t="shared" si="72"/>
        <v/>
      </c>
      <c r="E4619" s="626"/>
      <c r="F4619" s="626"/>
    </row>
    <row r="4620" spans="1:6">
      <c r="A4620" t="str">
        <f t="shared" si="72"/>
        <v/>
      </c>
      <c r="E4620" s="626"/>
      <c r="F4620" s="626"/>
    </row>
    <row r="4621" spans="1:6">
      <c r="A4621" t="str">
        <f t="shared" si="72"/>
        <v/>
      </c>
      <c r="E4621" s="626"/>
      <c r="F4621" s="626"/>
    </row>
    <row r="4622" spans="1:6">
      <c r="A4622" t="str">
        <f t="shared" si="72"/>
        <v/>
      </c>
      <c r="E4622" s="626"/>
      <c r="F4622" s="626"/>
    </row>
    <row r="4623" spans="1:6">
      <c r="A4623" t="str">
        <f t="shared" si="72"/>
        <v/>
      </c>
      <c r="E4623" s="626"/>
      <c r="F4623" s="626"/>
    </row>
    <row r="4624" spans="1:6">
      <c r="A4624" t="str">
        <f t="shared" si="72"/>
        <v/>
      </c>
      <c r="E4624" s="626"/>
      <c r="F4624" s="626"/>
    </row>
    <row r="4625" spans="1:6">
      <c r="A4625" t="str">
        <f t="shared" si="72"/>
        <v/>
      </c>
      <c r="E4625" s="626"/>
      <c r="F4625" s="626"/>
    </row>
    <row r="4626" spans="1:6">
      <c r="A4626" t="str">
        <f t="shared" si="72"/>
        <v/>
      </c>
      <c r="E4626" s="626"/>
      <c r="F4626" s="626"/>
    </row>
    <row r="4627" spans="1:6">
      <c r="A4627" t="str">
        <f t="shared" si="72"/>
        <v/>
      </c>
      <c r="E4627" s="626"/>
      <c r="F4627" s="626"/>
    </row>
    <row r="4628" spans="1:6">
      <c r="A4628" t="str">
        <f t="shared" si="72"/>
        <v/>
      </c>
      <c r="E4628" s="626"/>
      <c r="F4628" s="626"/>
    </row>
    <row r="4629" spans="1:6">
      <c r="A4629" t="str">
        <f t="shared" si="72"/>
        <v/>
      </c>
      <c r="E4629" s="626"/>
      <c r="F4629" s="626"/>
    </row>
    <row r="4630" spans="1:6">
      <c r="A4630" t="str">
        <f t="shared" si="72"/>
        <v/>
      </c>
      <c r="E4630" s="626"/>
      <c r="F4630" s="626"/>
    </row>
    <row r="4631" spans="1:6">
      <c r="A4631" t="str">
        <f t="shared" si="72"/>
        <v/>
      </c>
      <c r="E4631" s="626"/>
      <c r="F4631" s="626"/>
    </row>
    <row r="4632" spans="1:6">
      <c r="A4632" t="str">
        <f t="shared" si="72"/>
        <v/>
      </c>
      <c r="E4632" s="626"/>
      <c r="F4632" s="626"/>
    </row>
    <row r="4633" spans="1:6">
      <c r="A4633" t="str">
        <f t="shared" si="72"/>
        <v/>
      </c>
      <c r="E4633" s="626"/>
      <c r="F4633" s="626"/>
    </row>
    <row r="4634" spans="1:6">
      <c r="A4634" t="str">
        <f t="shared" si="72"/>
        <v/>
      </c>
      <c r="E4634" s="626"/>
      <c r="F4634" s="626"/>
    </row>
    <row r="4635" spans="1:6">
      <c r="A4635" t="str">
        <f t="shared" si="72"/>
        <v/>
      </c>
      <c r="E4635" s="626"/>
      <c r="F4635" s="626"/>
    </row>
    <row r="4636" spans="1:6">
      <c r="A4636" t="str">
        <f t="shared" si="72"/>
        <v/>
      </c>
      <c r="E4636" s="626"/>
      <c r="F4636" s="626"/>
    </row>
    <row r="4637" spans="1:6">
      <c r="A4637" t="str">
        <f t="shared" si="72"/>
        <v/>
      </c>
      <c r="E4637" s="626"/>
      <c r="F4637" s="626"/>
    </row>
    <row r="4638" spans="1:6">
      <c r="A4638" t="str">
        <f t="shared" si="72"/>
        <v/>
      </c>
      <c r="E4638" s="626"/>
      <c r="F4638" s="626"/>
    </row>
    <row r="4639" spans="1:6">
      <c r="A4639" t="str">
        <f t="shared" si="72"/>
        <v/>
      </c>
      <c r="E4639" s="626"/>
      <c r="F4639" s="626"/>
    </row>
    <row r="4640" spans="1:6">
      <c r="A4640" t="str">
        <f t="shared" si="72"/>
        <v/>
      </c>
      <c r="E4640" s="626"/>
      <c r="F4640" s="626"/>
    </row>
    <row r="4641" spans="1:6">
      <c r="A4641" t="str">
        <f t="shared" si="72"/>
        <v/>
      </c>
      <c r="E4641" s="626"/>
      <c r="F4641" s="626"/>
    </row>
    <row r="4642" spans="1:6">
      <c r="A4642" t="str">
        <f t="shared" si="72"/>
        <v/>
      </c>
      <c r="E4642" s="626"/>
      <c r="F4642" s="626"/>
    </row>
    <row r="4643" spans="1:6">
      <c r="A4643" t="str">
        <f t="shared" si="72"/>
        <v/>
      </c>
      <c r="E4643" s="626"/>
      <c r="F4643" s="626"/>
    </row>
    <row r="4644" spans="1:6">
      <c r="A4644" t="str">
        <f t="shared" si="72"/>
        <v/>
      </c>
      <c r="E4644" s="626"/>
      <c r="F4644" s="626"/>
    </row>
    <row r="4645" spans="1:6">
      <c r="A4645" t="str">
        <f t="shared" si="72"/>
        <v/>
      </c>
      <c r="E4645" s="626"/>
      <c r="F4645" s="626"/>
    </row>
    <row r="4646" spans="1:6">
      <c r="A4646" t="str">
        <f t="shared" si="72"/>
        <v/>
      </c>
      <c r="E4646" s="626"/>
      <c r="F4646" s="626"/>
    </row>
    <row r="4647" spans="1:6">
      <c r="A4647" t="str">
        <f t="shared" si="72"/>
        <v/>
      </c>
      <c r="E4647" s="626"/>
      <c r="F4647" s="626"/>
    </row>
    <row r="4648" spans="1:6">
      <c r="A4648" t="str">
        <f t="shared" si="72"/>
        <v/>
      </c>
      <c r="E4648" s="626"/>
      <c r="F4648" s="626"/>
    </row>
    <row r="4649" spans="1:6">
      <c r="A4649" t="str">
        <f t="shared" si="72"/>
        <v/>
      </c>
      <c r="E4649" s="626"/>
      <c r="F4649" s="626"/>
    </row>
    <row r="4650" spans="1:6">
      <c r="A4650" t="str">
        <f t="shared" si="72"/>
        <v/>
      </c>
      <c r="E4650" s="626"/>
      <c r="F4650" s="626"/>
    </row>
    <row r="4651" spans="1:6">
      <c r="A4651" t="str">
        <f t="shared" si="72"/>
        <v/>
      </c>
      <c r="E4651" s="626"/>
      <c r="F4651" s="626"/>
    </row>
    <row r="4652" spans="1:6">
      <c r="A4652" t="str">
        <f t="shared" si="72"/>
        <v/>
      </c>
      <c r="E4652" s="626"/>
      <c r="F4652" s="626"/>
    </row>
    <row r="4653" spans="1:6">
      <c r="A4653" t="str">
        <f t="shared" si="72"/>
        <v/>
      </c>
      <c r="E4653" s="626"/>
      <c r="F4653" s="626"/>
    </row>
    <row r="4654" spans="1:6">
      <c r="A4654" t="str">
        <f t="shared" si="72"/>
        <v/>
      </c>
      <c r="E4654" s="626"/>
      <c r="F4654" s="626"/>
    </row>
    <row r="4655" spans="1:6">
      <c r="A4655" t="str">
        <f t="shared" si="72"/>
        <v/>
      </c>
      <c r="E4655" s="626"/>
      <c r="F4655" s="626"/>
    </row>
    <row r="4656" spans="1:6">
      <c r="A4656" t="str">
        <f t="shared" si="72"/>
        <v/>
      </c>
      <c r="E4656" s="626"/>
      <c r="F4656" s="626"/>
    </row>
    <row r="4657" spans="1:6">
      <c r="A4657" t="str">
        <f t="shared" si="72"/>
        <v/>
      </c>
      <c r="E4657" s="626"/>
      <c r="F4657" s="626"/>
    </row>
    <row r="4658" spans="1:6">
      <c r="A4658" t="str">
        <f t="shared" si="72"/>
        <v/>
      </c>
      <c r="E4658" s="626"/>
      <c r="F4658" s="626"/>
    </row>
    <row r="4659" spans="1:6">
      <c r="A4659" t="str">
        <f t="shared" si="72"/>
        <v/>
      </c>
      <c r="E4659" s="626"/>
      <c r="F4659" s="626"/>
    </row>
    <row r="4660" spans="1:6">
      <c r="A4660" t="str">
        <f t="shared" si="72"/>
        <v/>
      </c>
      <c r="E4660" s="626"/>
      <c r="F4660" s="626"/>
    </row>
    <row r="4661" spans="1:6">
      <c r="A4661" t="str">
        <f t="shared" si="72"/>
        <v/>
      </c>
      <c r="E4661" s="626"/>
      <c r="F4661" s="626"/>
    </row>
    <row r="4662" spans="1:6">
      <c r="A4662" t="str">
        <f t="shared" si="72"/>
        <v/>
      </c>
      <c r="E4662" s="626"/>
      <c r="F4662" s="626"/>
    </row>
    <row r="4663" spans="1:6">
      <c r="A4663" t="str">
        <f t="shared" si="72"/>
        <v/>
      </c>
      <c r="E4663" s="626"/>
      <c r="F4663" s="626"/>
    </row>
    <row r="4664" spans="1:6">
      <c r="A4664" t="str">
        <f t="shared" si="72"/>
        <v/>
      </c>
      <c r="E4664" s="626"/>
      <c r="F4664" s="626"/>
    </row>
    <row r="4665" spans="1:6">
      <c r="A4665" t="str">
        <f t="shared" si="72"/>
        <v/>
      </c>
      <c r="E4665" s="626"/>
      <c r="F4665" s="626"/>
    </row>
    <row r="4666" spans="1:6">
      <c r="A4666" t="str">
        <f t="shared" si="72"/>
        <v/>
      </c>
      <c r="E4666" s="626"/>
      <c r="F4666" s="626"/>
    </row>
    <row r="4667" spans="1:6">
      <c r="A4667" t="str">
        <f t="shared" si="72"/>
        <v/>
      </c>
      <c r="E4667" s="626"/>
      <c r="F4667" s="626"/>
    </row>
    <row r="4668" spans="1:6">
      <c r="A4668" t="str">
        <f t="shared" si="72"/>
        <v/>
      </c>
      <c r="E4668" s="626"/>
      <c r="F4668" s="626"/>
    </row>
    <row r="4669" spans="1:6">
      <c r="A4669" t="str">
        <f t="shared" si="72"/>
        <v/>
      </c>
      <c r="E4669" s="626"/>
      <c r="F4669" s="626"/>
    </row>
    <row r="4670" spans="1:6">
      <c r="A4670" t="str">
        <f t="shared" si="72"/>
        <v/>
      </c>
      <c r="E4670" s="626"/>
      <c r="F4670" s="626"/>
    </row>
    <row r="4671" spans="1:6">
      <c r="A4671" t="str">
        <f t="shared" si="72"/>
        <v/>
      </c>
      <c r="E4671" s="626"/>
      <c r="F4671" s="626"/>
    </row>
    <row r="4672" spans="1:6">
      <c r="A4672" t="str">
        <f t="shared" si="72"/>
        <v/>
      </c>
      <c r="E4672" s="626"/>
      <c r="F4672" s="626"/>
    </row>
    <row r="4673" spans="1:6">
      <c r="A4673" t="str">
        <f t="shared" si="72"/>
        <v/>
      </c>
      <c r="E4673" s="626"/>
      <c r="F4673" s="626"/>
    </row>
    <row r="4674" spans="1:6">
      <c r="A4674" t="str">
        <f t="shared" ref="A4674:A4737" si="73">B4674&amp;E4674&amp;J4674</f>
        <v/>
      </c>
      <c r="E4674" s="626"/>
      <c r="F4674" s="626"/>
    </row>
    <row r="4675" spans="1:6">
      <c r="A4675" t="str">
        <f t="shared" si="73"/>
        <v/>
      </c>
      <c r="E4675" s="626"/>
      <c r="F4675" s="626"/>
    </row>
    <row r="4676" spans="1:6">
      <c r="A4676" t="str">
        <f t="shared" si="73"/>
        <v/>
      </c>
      <c r="E4676" s="626"/>
      <c r="F4676" s="626"/>
    </row>
    <row r="4677" spans="1:6">
      <c r="A4677" t="str">
        <f t="shared" si="73"/>
        <v/>
      </c>
      <c r="E4677" s="626"/>
      <c r="F4677" s="626"/>
    </row>
    <row r="4678" spans="1:6">
      <c r="A4678" t="str">
        <f t="shared" si="73"/>
        <v/>
      </c>
      <c r="E4678" s="626"/>
      <c r="F4678" s="626"/>
    </row>
    <row r="4679" spans="1:6">
      <c r="A4679" t="str">
        <f t="shared" si="73"/>
        <v/>
      </c>
      <c r="E4679" s="626"/>
      <c r="F4679" s="626"/>
    </row>
    <row r="4680" spans="1:6">
      <c r="A4680" t="str">
        <f t="shared" si="73"/>
        <v/>
      </c>
      <c r="E4680" s="626"/>
      <c r="F4680" s="626"/>
    </row>
    <row r="4681" spans="1:6">
      <c r="A4681" t="str">
        <f t="shared" si="73"/>
        <v/>
      </c>
      <c r="E4681" s="626"/>
      <c r="F4681" s="626"/>
    </row>
    <row r="4682" spans="1:6">
      <c r="A4682" t="str">
        <f t="shared" si="73"/>
        <v/>
      </c>
      <c r="E4682" s="626"/>
      <c r="F4682" s="626"/>
    </row>
    <row r="4683" spans="1:6">
      <c r="A4683" t="str">
        <f t="shared" si="73"/>
        <v/>
      </c>
      <c r="E4683" s="626"/>
      <c r="F4683" s="626"/>
    </row>
    <row r="4684" spans="1:6">
      <c r="A4684" t="str">
        <f t="shared" si="73"/>
        <v/>
      </c>
      <c r="E4684" s="626"/>
      <c r="F4684" s="626"/>
    </row>
    <row r="4685" spans="1:6">
      <c r="A4685" t="str">
        <f t="shared" si="73"/>
        <v/>
      </c>
      <c r="E4685" s="626"/>
      <c r="F4685" s="626"/>
    </row>
    <row r="4686" spans="1:6">
      <c r="A4686" t="str">
        <f t="shared" si="73"/>
        <v/>
      </c>
      <c r="E4686" s="626"/>
      <c r="F4686" s="626"/>
    </row>
    <row r="4687" spans="1:6">
      <c r="A4687" t="str">
        <f t="shared" si="73"/>
        <v/>
      </c>
      <c r="E4687" s="626"/>
      <c r="F4687" s="626"/>
    </row>
    <row r="4688" spans="1:6">
      <c r="A4688" t="str">
        <f t="shared" si="73"/>
        <v/>
      </c>
      <c r="E4688" s="626"/>
      <c r="F4688" s="626"/>
    </row>
    <row r="4689" spans="1:6">
      <c r="A4689" t="str">
        <f t="shared" si="73"/>
        <v/>
      </c>
      <c r="E4689" s="626"/>
      <c r="F4689" s="626"/>
    </row>
    <row r="4690" spans="1:6">
      <c r="A4690" t="str">
        <f t="shared" si="73"/>
        <v/>
      </c>
      <c r="E4690" s="626"/>
      <c r="F4690" s="626"/>
    </row>
    <row r="4691" spans="1:6">
      <c r="A4691" t="str">
        <f t="shared" si="73"/>
        <v/>
      </c>
      <c r="E4691" s="626"/>
      <c r="F4691" s="626"/>
    </row>
    <row r="4692" spans="1:6">
      <c r="A4692" t="str">
        <f t="shared" si="73"/>
        <v/>
      </c>
      <c r="E4692" s="626"/>
      <c r="F4692" s="626"/>
    </row>
    <row r="4693" spans="1:6">
      <c r="A4693" t="str">
        <f t="shared" si="73"/>
        <v/>
      </c>
      <c r="E4693" s="626"/>
      <c r="F4693" s="626"/>
    </row>
    <row r="4694" spans="1:6">
      <c r="A4694" t="str">
        <f t="shared" si="73"/>
        <v/>
      </c>
      <c r="E4694" s="626"/>
      <c r="F4694" s="626"/>
    </row>
    <row r="4695" spans="1:6">
      <c r="A4695" t="str">
        <f t="shared" si="73"/>
        <v/>
      </c>
      <c r="E4695" s="626"/>
      <c r="F4695" s="626"/>
    </row>
    <row r="4696" spans="1:6">
      <c r="A4696" t="str">
        <f t="shared" si="73"/>
        <v/>
      </c>
      <c r="E4696" s="626"/>
      <c r="F4696" s="626"/>
    </row>
    <row r="4697" spans="1:6">
      <c r="A4697" t="str">
        <f t="shared" si="73"/>
        <v/>
      </c>
      <c r="E4697" s="626"/>
      <c r="F4697" s="626"/>
    </row>
    <row r="4698" spans="1:6">
      <c r="A4698" t="str">
        <f t="shared" si="73"/>
        <v/>
      </c>
      <c r="E4698" s="626"/>
      <c r="F4698" s="626"/>
    </row>
    <row r="4699" spans="1:6">
      <c r="A4699" t="str">
        <f t="shared" si="73"/>
        <v/>
      </c>
      <c r="E4699" s="626"/>
      <c r="F4699" s="626"/>
    </row>
    <row r="4700" spans="1:6">
      <c r="A4700" t="str">
        <f t="shared" si="73"/>
        <v/>
      </c>
      <c r="E4700" s="626"/>
      <c r="F4700" s="626"/>
    </row>
    <row r="4701" spans="1:6">
      <c r="A4701" t="str">
        <f t="shared" si="73"/>
        <v/>
      </c>
      <c r="E4701" s="626"/>
      <c r="F4701" s="626"/>
    </row>
    <row r="4702" spans="1:6">
      <c r="A4702" t="str">
        <f t="shared" si="73"/>
        <v/>
      </c>
      <c r="E4702" s="626"/>
      <c r="F4702" s="626"/>
    </row>
    <row r="4703" spans="1:6">
      <c r="A4703" t="str">
        <f t="shared" si="73"/>
        <v/>
      </c>
      <c r="E4703" s="626"/>
      <c r="F4703" s="626"/>
    </row>
    <row r="4704" spans="1:6">
      <c r="A4704" t="str">
        <f t="shared" si="73"/>
        <v/>
      </c>
      <c r="E4704" s="626"/>
      <c r="F4704" s="626"/>
    </row>
    <row r="4705" spans="1:6">
      <c r="A4705" t="str">
        <f t="shared" si="73"/>
        <v/>
      </c>
      <c r="E4705" s="626"/>
      <c r="F4705" s="626"/>
    </row>
    <row r="4706" spans="1:6">
      <c r="A4706" t="str">
        <f t="shared" si="73"/>
        <v/>
      </c>
      <c r="E4706" s="626"/>
      <c r="F4706" s="626"/>
    </row>
    <row r="4707" spans="1:6">
      <c r="A4707" t="str">
        <f t="shared" si="73"/>
        <v/>
      </c>
      <c r="E4707" s="626"/>
      <c r="F4707" s="626"/>
    </row>
    <row r="4708" spans="1:6">
      <c r="A4708" t="str">
        <f t="shared" si="73"/>
        <v/>
      </c>
      <c r="E4708" s="626"/>
      <c r="F4708" s="626"/>
    </row>
    <row r="4709" spans="1:6">
      <c r="A4709" t="str">
        <f t="shared" si="73"/>
        <v/>
      </c>
      <c r="E4709" s="626"/>
      <c r="F4709" s="626"/>
    </row>
    <row r="4710" spans="1:6">
      <c r="A4710" t="str">
        <f t="shared" si="73"/>
        <v/>
      </c>
      <c r="E4710" s="626"/>
      <c r="F4710" s="626"/>
    </row>
    <row r="4711" spans="1:6">
      <c r="A4711" t="str">
        <f t="shared" si="73"/>
        <v/>
      </c>
      <c r="E4711" s="626"/>
      <c r="F4711" s="626"/>
    </row>
    <row r="4712" spans="1:6">
      <c r="A4712" t="str">
        <f t="shared" si="73"/>
        <v/>
      </c>
      <c r="E4712" s="626"/>
      <c r="F4712" s="626"/>
    </row>
    <row r="4713" spans="1:6">
      <c r="A4713" t="str">
        <f t="shared" si="73"/>
        <v/>
      </c>
      <c r="E4713" s="626"/>
      <c r="F4713" s="626"/>
    </row>
    <row r="4714" spans="1:6">
      <c r="A4714" t="str">
        <f t="shared" si="73"/>
        <v/>
      </c>
      <c r="E4714" s="626"/>
      <c r="F4714" s="626"/>
    </row>
    <row r="4715" spans="1:6">
      <c r="A4715" t="str">
        <f t="shared" si="73"/>
        <v/>
      </c>
      <c r="E4715" s="626"/>
      <c r="F4715" s="626"/>
    </row>
    <row r="4716" spans="1:6">
      <c r="A4716" t="str">
        <f t="shared" si="73"/>
        <v/>
      </c>
      <c r="E4716" s="626"/>
      <c r="F4716" s="626"/>
    </row>
    <row r="4717" spans="1:6">
      <c r="A4717" t="str">
        <f t="shared" si="73"/>
        <v/>
      </c>
      <c r="E4717" s="626"/>
      <c r="F4717" s="626"/>
    </row>
    <row r="4718" spans="1:6">
      <c r="A4718" t="str">
        <f t="shared" si="73"/>
        <v/>
      </c>
      <c r="E4718" s="626"/>
      <c r="F4718" s="626"/>
    </row>
    <row r="4719" spans="1:6">
      <c r="A4719" t="str">
        <f t="shared" si="73"/>
        <v/>
      </c>
      <c r="E4719" s="626"/>
      <c r="F4719" s="626"/>
    </row>
    <row r="4720" spans="1:6">
      <c r="A4720" t="str">
        <f t="shared" si="73"/>
        <v/>
      </c>
      <c r="E4720" s="626"/>
      <c r="F4720" s="626"/>
    </row>
    <row r="4721" spans="1:6">
      <c r="A4721" t="str">
        <f t="shared" si="73"/>
        <v/>
      </c>
      <c r="E4721" s="626"/>
      <c r="F4721" s="626"/>
    </row>
    <row r="4722" spans="1:6">
      <c r="A4722" t="str">
        <f t="shared" si="73"/>
        <v/>
      </c>
      <c r="E4722" s="626"/>
      <c r="F4722" s="626"/>
    </row>
    <row r="4723" spans="1:6">
      <c r="A4723" t="str">
        <f t="shared" si="73"/>
        <v/>
      </c>
      <c r="E4723" s="626"/>
      <c r="F4723" s="626"/>
    </row>
    <row r="4724" spans="1:6">
      <c r="A4724" t="str">
        <f t="shared" si="73"/>
        <v/>
      </c>
      <c r="E4724" s="626"/>
      <c r="F4724" s="626"/>
    </row>
    <row r="4725" spans="1:6">
      <c r="A4725" t="str">
        <f t="shared" si="73"/>
        <v/>
      </c>
      <c r="E4725" s="626"/>
      <c r="F4725" s="626"/>
    </row>
    <row r="4726" spans="1:6">
      <c r="A4726" t="str">
        <f t="shared" si="73"/>
        <v/>
      </c>
      <c r="E4726" s="626"/>
      <c r="F4726" s="626"/>
    </row>
    <row r="4727" spans="1:6">
      <c r="A4727" t="str">
        <f t="shared" si="73"/>
        <v/>
      </c>
      <c r="E4727" s="626"/>
      <c r="F4727" s="626"/>
    </row>
    <row r="4728" spans="1:6">
      <c r="A4728" t="str">
        <f t="shared" si="73"/>
        <v/>
      </c>
      <c r="E4728" s="626"/>
      <c r="F4728" s="626"/>
    </row>
    <row r="4729" spans="1:6">
      <c r="A4729" t="str">
        <f t="shared" si="73"/>
        <v/>
      </c>
      <c r="E4729" s="626"/>
      <c r="F4729" s="626"/>
    </row>
    <row r="4730" spans="1:6">
      <c r="A4730" t="str">
        <f t="shared" si="73"/>
        <v/>
      </c>
      <c r="E4730" s="626"/>
      <c r="F4730" s="626"/>
    </row>
    <row r="4731" spans="1:6">
      <c r="A4731" t="str">
        <f t="shared" si="73"/>
        <v/>
      </c>
      <c r="E4731" s="626"/>
      <c r="F4731" s="626"/>
    </row>
    <row r="4732" spans="1:6">
      <c r="A4732" t="str">
        <f t="shared" si="73"/>
        <v/>
      </c>
      <c r="E4732" s="626"/>
      <c r="F4732" s="626"/>
    </row>
    <row r="4733" spans="1:6">
      <c r="A4733" t="str">
        <f t="shared" si="73"/>
        <v/>
      </c>
      <c r="E4733" s="626"/>
      <c r="F4733" s="626"/>
    </row>
    <row r="4734" spans="1:6">
      <c r="A4734" t="str">
        <f t="shared" si="73"/>
        <v/>
      </c>
      <c r="E4734" s="626"/>
      <c r="F4734" s="626"/>
    </row>
    <row r="4735" spans="1:6">
      <c r="A4735" t="str">
        <f t="shared" si="73"/>
        <v/>
      </c>
      <c r="E4735" s="626"/>
      <c r="F4735" s="626"/>
    </row>
    <row r="4736" spans="1:6">
      <c r="A4736" t="str">
        <f t="shared" si="73"/>
        <v/>
      </c>
      <c r="E4736" s="626"/>
      <c r="F4736" s="626"/>
    </row>
    <row r="4737" spans="1:6">
      <c r="A4737" t="str">
        <f t="shared" si="73"/>
        <v/>
      </c>
      <c r="E4737" s="626"/>
      <c r="F4737" s="626"/>
    </row>
    <row r="4738" spans="1:6">
      <c r="A4738" t="str">
        <f t="shared" ref="A4738:A4801" si="74">B4738&amp;E4738&amp;J4738</f>
        <v/>
      </c>
      <c r="E4738" s="626"/>
      <c r="F4738" s="626"/>
    </row>
    <row r="4739" spans="1:6">
      <c r="A4739" t="str">
        <f t="shared" si="74"/>
        <v/>
      </c>
      <c r="E4739" s="626"/>
      <c r="F4739" s="626"/>
    </row>
    <row r="4740" spans="1:6">
      <c r="A4740" t="str">
        <f t="shared" si="74"/>
        <v/>
      </c>
      <c r="E4740" s="626"/>
      <c r="F4740" s="626"/>
    </row>
    <row r="4741" spans="1:6">
      <c r="A4741" t="str">
        <f t="shared" si="74"/>
        <v/>
      </c>
      <c r="E4741" s="626"/>
      <c r="F4741" s="626"/>
    </row>
    <row r="4742" spans="1:6">
      <c r="A4742" t="str">
        <f t="shared" si="74"/>
        <v/>
      </c>
      <c r="E4742" s="626"/>
      <c r="F4742" s="626"/>
    </row>
    <row r="4743" spans="1:6">
      <c r="A4743" t="str">
        <f t="shared" si="74"/>
        <v/>
      </c>
      <c r="E4743" s="626"/>
      <c r="F4743" s="626"/>
    </row>
    <row r="4744" spans="1:6">
      <c r="A4744" t="str">
        <f t="shared" si="74"/>
        <v/>
      </c>
      <c r="E4744" s="626"/>
      <c r="F4744" s="626"/>
    </row>
    <row r="4745" spans="1:6">
      <c r="A4745" t="str">
        <f t="shared" si="74"/>
        <v/>
      </c>
      <c r="E4745" s="626"/>
      <c r="F4745" s="626"/>
    </row>
    <row r="4746" spans="1:6">
      <c r="A4746" t="str">
        <f t="shared" si="74"/>
        <v/>
      </c>
      <c r="E4746" s="626"/>
      <c r="F4746" s="626"/>
    </row>
    <row r="4747" spans="1:6">
      <c r="A4747" t="str">
        <f t="shared" si="74"/>
        <v/>
      </c>
      <c r="E4747" s="626"/>
      <c r="F4747" s="626"/>
    </row>
    <row r="4748" spans="1:6">
      <c r="A4748" t="str">
        <f t="shared" si="74"/>
        <v/>
      </c>
      <c r="E4748" s="626"/>
      <c r="F4748" s="626"/>
    </row>
    <row r="4749" spans="1:6">
      <c r="A4749" t="str">
        <f t="shared" si="74"/>
        <v/>
      </c>
      <c r="E4749" s="626"/>
      <c r="F4749" s="626"/>
    </row>
    <row r="4750" spans="1:6">
      <c r="A4750" t="str">
        <f t="shared" si="74"/>
        <v/>
      </c>
      <c r="E4750" s="626"/>
      <c r="F4750" s="626"/>
    </row>
    <row r="4751" spans="1:6">
      <c r="A4751" t="str">
        <f t="shared" si="74"/>
        <v/>
      </c>
      <c r="E4751" s="626"/>
      <c r="F4751" s="626"/>
    </row>
    <row r="4752" spans="1:6">
      <c r="A4752" t="str">
        <f t="shared" si="74"/>
        <v/>
      </c>
      <c r="E4752" s="626"/>
      <c r="F4752" s="626"/>
    </row>
    <row r="4753" spans="1:6">
      <c r="A4753" t="str">
        <f t="shared" si="74"/>
        <v/>
      </c>
      <c r="E4753" s="626"/>
      <c r="F4753" s="626"/>
    </row>
    <row r="4754" spans="1:6">
      <c r="A4754" t="str">
        <f t="shared" si="74"/>
        <v/>
      </c>
      <c r="E4754" s="626"/>
      <c r="F4754" s="626"/>
    </row>
    <row r="4755" spans="1:6">
      <c r="A4755" t="str">
        <f t="shared" si="74"/>
        <v/>
      </c>
      <c r="E4755" s="626"/>
      <c r="F4755" s="626"/>
    </row>
    <row r="4756" spans="1:6">
      <c r="A4756" t="str">
        <f t="shared" si="74"/>
        <v/>
      </c>
      <c r="E4756" s="626"/>
      <c r="F4756" s="626"/>
    </row>
    <row r="4757" spans="1:6">
      <c r="A4757" t="str">
        <f t="shared" si="74"/>
        <v/>
      </c>
      <c r="E4757" s="626"/>
      <c r="F4757" s="626"/>
    </row>
    <row r="4758" spans="1:6">
      <c r="A4758" t="str">
        <f t="shared" si="74"/>
        <v/>
      </c>
      <c r="E4758" s="626"/>
      <c r="F4758" s="626"/>
    </row>
    <row r="4759" spans="1:6">
      <c r="A4759" t="str">
        <f t="shared" si="74"/>
        <v/>
      </c>
      <c r="E4759" s="626"/>
      <c r="F4759" s="626"/>
    </row>
    <row r="4760" spans="1:6">
      <c r="A4760" t="str">
        <f t="shared" si="74"/>
        <v/>
      </c>
      <c r="E4760" s="626"/>
      <c r="F4760" s="626"/>
    </row>
    <row r="4761" spans="1:6">
      <c r="A4761" t="str">
        <f t="shared" si="74"/>
        <v/>
      </c>
      <c r="E4761" s="626"/>
      <c r="F4761" s="626"/>
    </row>
    <row r="4762" spans="1:6">
      <c r="A4762" t="str">
        <f t="shared" si="74"/>
        <v/>
      </c>
      <c r="E4762" s="626"/>
      <c r="F4762" s="626"/>
    </row>
    <row r="4763" spans="1:6">
      <c r="A4763" t="str">
        <f t="shared" si="74"/>
        <v/>
      </c>
      <c r="E4763" s="626"/>
      <c r="F4763" s="626"/>
    </row>
    <row r="4764" spans="1:6">
      <c r="A4764" t="str">
        <f t="shared" si="74"/>
        <v/>
      </c>
      <c r="E4764" s="626"/>
      <c r="F4764" s="626"/>
    </row>
    <row r="4765" spans="1:6">
      <c r="A4765" t="str">
        <f t="shared" si="74"/>
        <v/>
      </c>
      <c r="E4765" s="626"/>
      <c r="F4765" s="626"/>
    </row>
    <row r="4766" spans="1:6">
      <c r="A4766" t="str">
        <f t="shared" si="74"/>
        <v/>
      </c>
      <c r="E4766" s="626"/>
      <c r="F4766" s="626"/>
    </row>
    <row r="4767" spans="1:6">
      <c r="A4767" t="str">
        <f t="shared" si="74"/>
        <v/>
      </c>
      <c r="E4767" s="626"/>
      <c r="F4767" s="626"/>
    </row>
    <row r="4768" spans="1:6">
      <c r="A4768" t="str">
        <f t="shared" si="74"/>
        <v/>
      </c>
      <c r="E4768" s="626"/>
      <c r="F4768" s="626"/>
    </row>
    <row r="4769" spans="1:6">
      <c r="A4769" t="str">
        <f t="shared" si="74"/>
        <v/>
      </c>
      <c r="E4769" s="626"/>
      <c r="F4769" s="626"/>
    </row>
    <row r="4770" spans="1:6">
      <c r="A4770" t="str">
        <f t="shared" si="74"/>
        <v/>
      </c>
      <c r="E4770" s="626"/>
      <c r="F4770" s="626"/>
    </row>
    <row r="4771" spans="1:6">
      <c r="A4771" t="str">
        <f t="shared" si="74"/>
        <v/>
      </c>
      <c r="E4771" s="626"/>
      <c r="F4771" s="626"/>
    </row>
    <row r="4772" spans="1:6">
      <c r="A4772" t="str">
        <f t="shared" si="74"/>
        <v/>
      </c>
      <c r="E4772" s="626"/>
      <c r="F4772" s="626"/>
    </row>
    <row r="4773" spans="1:6">
      <c r="A4773" t="str">
        <f t="shared" si="74"/>
        <v/>
      </c>
      <c r="E4773" s="626"/>
      <c r="F4773" s="626"/>
    </row>
    <row r="4774" spans="1:6">
      <c r="A4774" t="str">
        <f t="shared" si="74"/>
        <v/>
      </c>
      <c r="E4774" s="626"/>
      <c r="F4774" s="626"/>
    </row>
    <row r="4775" spans="1:6">
      <c r="A4775" t="str">
        <f t="shared" si="74"/>
        <v/>
      </c>
      <c r="E4775" s="626"/>
      <c r="F4775" s="626"/>
    </row>
    <row r="4776" spans="1:6">
      <c r="A4776" t="str">
        <f t="shared" si="74"/>
        <v/>
      </c>
      <c r="E4776" s="626"/>
      <c r="F4776" s="626"/>
    </row>
    <row r="4777" spans="1:6">
      <c r="A4777" t="str">
        <f t="shared" si="74"/>
        <v/>
      </c>
      <c r="E4777" s="626"/>
      <c r="F4777" s="626"/>
    </row>
    <row r="4778" spans="1:6">
      <c r="A4778" t="str">
        <f t="shared" si="74"/>
        <v/>
      </c>
      <c r="E4778" s="626"/>
      <c r="F4778" s="626"/>
    </row>
    <row r="4779" spans="1:6">
      <c r="A4779" t="str">
        <f t="shared" si="74"/>
        <v/>
      </c>
      <c r="E4779" s="626"/>
      <c r="F4779" s="626"/>
    </row>
    <row r="4780" spans="1:6">
      <c r="A4780" t="str">
        <f t="shared" si="74"/>
        <v/>
      </c>
      <c r="E4780" s="626"/>
      <c r="F4780" s="626"/>
    </row>
    <row r="4781" spans="1:6">
      <c r="A4781" t="str">
        <f t="shared" si="74"/>
        <v/>
      </c>
      <c r="E4781" s="626"/>
      <c r="F4781" s="626"/>
    </row>
    <row r="4782" spans="1:6">
      <c r="A4782" t="str">
        <f t="shared" si="74"/>
        <v/>
      </c>
      <c r="E4782" s="626"/>
      <c r="F4782" s="626"/>
    </row>
    <row r="4783" spans="1:6">
      <c r="A4783" t="str">
        <f t="shared" si="74"/>
        <v/>
      </c>
      <c r="E4783" s="626"/>
      <c r="F4783" s="626"/>
    </row>
    <row r="4784" spans="1:6">
      <c r="A4784" t="str">
        <f t="shared" si="74"/>
        <v/>
      </c>
      <c r="E4784" s="626"/>
      <c r="F4784" s="626"/>
    </row>
    <row r="4785" spans="1:6">
      <c r="A4785" t="str">
        <f t="shared" si="74"/>
        <v/>
      </c>
      <c r="E4785" s="626"/>
      <c r="F4785" s="626"/>
    </row>
    <row r="4786" spans="1:6">
      <c r="A4786" t="str">
        <f t="shared" si="74"/>
        <v/>
      </c>
      <c r="E4786" s="626"/>
      <c r="F4786" s="626"/>
    </row>
    <row r="4787" spans="1:6">
      <c r="A4787" t="str">
        <f t="shared" si="74"/>
        <v/>
      </c>
      <c r="E4787" s="626"/>
      <c r="F4787" s="626"/>
    </row>
    <row r="4788" spans="1:6">
      <c r="A4788" t="str">
        <f t="shared" si="74"/>
        <v/>
      </c>
      <c r="E4788" s="626"/>
      <c r="F4788" s="626"/>
    </row>
    <row r="4789" spans="1:6">
      <c r="A4789" t="str">
        <f t="shared" si="74"/>
        <v/>
      </c>
      <c r="E4789" s="626"/>
      <c r="F4789" s="626"/>
    </row>
    <row r="4790" spans="1:6">
      <c r="A4790" t="str">
        <f t="shared" si="74"/>
        <v/>
      </c>
      <c r="E4790" s="626"/>
      <c r="F4790" s="626"/>
    </row>
    <row r="4791" spans="1:6">
      <c r="A4791" t="str">
        <f t="shared" si="74"/>
        <v/>
      </c>
      <c r="E4791" s="626"/>
      <c r="F4791" s="626"/>
    </row>
    <row r="4792" spans="1:6">
      <c r="A4792" t="str">
        <f t="shared" si="74"/>
        <v/>
      </c>
      <c r="E4792" s="626"/>
      <c r="F4792" s="626"/>
    </row>
    <row r="4793" spans="1:6">
      <c r="A4793" t="str">
        <f t="shared" si="74"/>
        <v/>
      </c>
      <c r="E4793" s="626"/>
      <c r="F4793" s="626"/>
    </row>
    <row r="4794" spans="1:6">
      <c r="A4794" t="str">
        <f t="shared" si="74"/>
        <v/>
      </c>
      <c r="E4794" s="626"/>
      <c r="F4794" s="626"/>
    </row>
    <row r="4795" spans="1:6">
      <c r="A4795" t="str">
        <f t="shared" si="74"/>
        <v/>
      </c>
      <c r="E4795" s="626"/>
      <c r="F4795" s="626"/>
    </row>
    <row r="4796" spans="1:6">
      <c r="A4796" t="str">
        <f t="shared" si="74"/>
        <v/>
      </c>
      <c r="E4796" s="626"/>
      <c r="F4796" s="626"/>
    </row>
    <row r="4797" spans="1:6">
      <c r="A4797" t="str">
        <f t="shared" si="74"/>
        <v/>
      </c>
      <c r="E4797" s="626"/>
      <c r="F4797" s="626"/>
    </row>
    <row r="4798" spans="1:6">
      <c r="A4798" t="str">
        <f t="shared" si="74"/>
        <v/>
      </c>
      <c r="E4798" s="626"/>
      <c r="F4798" s="626"/>
    </row>
    <row r="4799" spans="1:6">
      <c r="A4799" t="str">
        <f t="shared" si="74"/>
        <v/>
      </c>
      <c r="E4799" s="626"/>
      <c r="F4799" s="626"/>
    </row>
    <row r="4800" spans="1:6">
      <c r="A4800" t="str">
        <f t="shared" si="74"/>
        <v/>
      </c>
      <c r="E4800" s="626"/>
      <c r="F4800" s="626"/>
    </row>
    <row r="4801" spans="1:6">
      <c r="A4801" t="str">
        <f t="shared" si="74"/>
        <v/>
      </c>
      <c r="E4801" s="626"/>
      <c r="F4801" s="626"/>
    </row>
    <row r="4802" spans="1:6">
      <c r="A4802" t="str">
        <f t="shared" ref="A4802:A4865" si="75">B4802&amp;E4802&amp;J4802</f>
        <v/>
      </c>
      <c r="E4802" s="626"/>
      <c r="F4802" s="626"/>
    </row>
    <row r="4803" spans="1:6">
      <c r="A4803" t="str">
        <f t="shared" si="75"/>
        <v/>
      </c>
      <c r="E4803" s="626"/>
      <c r="F4803" s="626"/>
    </row>
    <row r="4804" spans="1:6">
      <c r="A4804" t="str">
        <f t="shared" si="75"/>
        <v/>
      </c>
      <c r="E4804" s="626"/>
      <c r="F4804" s="626"/>
    </row>
    <row r="4805" spans="1:6">
      <c r="A4805" t="str">
        <f t="shared" si="75"/>
        <v/>
      </c>
      <c r="E4805" s="626"/>
      <c r="F4805" s="626"/>
    </row>
    <row r="4806" spans="1:6">
      <c r="A4806" t="str">
        <f t="shared" si="75"/>
        <v/>
      </c>
      <c r="E4806" s="626"/>
      <c r="F4806" s="626"/>
    </row>
    <row r="4807" spans="1:6">
      <c r="A4807" t="str">
        <f t="shared" si="75"/>
        <v/>
      </c>
      <c r="E4807" s="626"/>
      <c r="F4807" s="626"/>
    </row>
    <row r="4808" spans="1:6">
      <c r="A4808" t="str">
        <f t="shared" si="75"/>
        <v/>
      </c>
      <c r="E4808" s="626"/>
      <c r="F4808" s="626"/>
    </row>
    <row r="4809" spans="1:6">
      <c r="A4809" t="str">
        <f t="shared" si="75"/>
        <v/>
      </c>
      <c r="E4809" s="626"/>
      <c r="F4809" s="626"/>
    </row>
    <row r="4810" spans="1:6">
      <c r="A4810" t="str">
        <f t="shared" si="75"/>
        <v/>
      </c>
      <c r="E4810" s="626"/>
      <c r="F4810" s="626"/>
    </row>
    <row r="4811" spans="1:6">
      <c r="A4811" t="str">
        <f t="shared" si="75"/>
        <v/>
      </c>
      <c r="E4811" s="626"/>
      <c r="F4811" s="626"/>
    </row>
    <row r="4812" spans="1:6">
      <c r="A4812" t="str">
        <f t="shared" si="75"/>
        <v/>
      </c>
      <c r="E4812" s="626"/>
      <c r="F4812" s="626"/>
    </row>
    <row r="4813" spans="1:6">
      <c r="A4813" t="str">
        <f t="shared" si="75"/>
        <v/>
      </c>
      <c r="E4813" s="626"/>
      <c r="F4813" s="626"/>
    </row>
    <row r="4814" spans="1:6">
      <c r="A4814" t="str">
        <f t="shared" si="75"/>
        <v/>
      </c>
      <c r="E4814" s="626"/>
      <c r="F4814" s="626"/>
    </row>
    <row r="4815" spans="1:6">
      <c r="A4815" t="str">
        <f t="shared" si="75"/>
        <v/>
      </c>
      <c r="E4815" s="626"/>
      <c r="F4815" s="626"/>
    </row>
    <row r="4816" spans="1:6">
      <c r="A4816" t="str">
        <f t="shared" si="75"/>
        <v/>
      </c>
      <c r="E4816" s="626"/>
      <c r="F4816" s="626"/>
    </row>
    <row r="4817" spans="1:6">
      <c r="A4817" t="str">
        <f t="shared" si="75"/>
        <v/>
      </c>
      <c r="E4817" s="626"/>
      <c r="F4817" s="626"/>
    </row>
    <row r="4818" spans="1:6">
      <c r="A4818" t="str">
        <f t="shared" si="75"/>
        <v/>
      </c>
      <c r="E4818" s="626"/>
      <c r="F4818" s="626"/>
    </row>
    <row r="4819" spans="1:6">
      <c r="A4819" t="str">
        <f t="shared" si="75"/>
        <v/>
      </c>
      <c r="E4819" s="626"/>
      <c r="F4819" s="626"/>
    </row>
    <row r="4820" spans="1:6">
      <c r="A4820" t="str">
        <f t="shared" si="75"/>
        <v/>
      </c>
      <c r="E4820" s="626"/>
      <c r="F4820" s="626"/>
    </row>
    <row r="4821" spans="1:6">
      <c r="A4821" t="str">
        <f t="shared" si="75"/>
        <v/>
      </c>
      <c r="E4821" s="626"/>
      <c r="F4821" s="626"/>
    </row>
    <row r="4822" spans="1:6">
      <c r="A4822" t="str">
        <f t="shared" si="75"/>
        <v/>
      </c>
      <c r="E4822" s="626"/>
      <c r="F4822" s="626"/>
    </row>
    <row r="4823" spans="1:6">
      <c r="A4823" t="str">
        <f t="shared" si="75"/>
        <v/>
      </c>
      <c r="E4823" s="626"/>
      <c r="F4823" s="626"/>
    </row>
    <row r="4824" spans="1:6">
      <c r="A4824" t="str">
        <f t="shared" si="75"/>
        <v/>
      </c>
      <c r="E4824" s="626"/>
      <c r="F4824" s="626"/>
    </row>
    <row r="4825" spans="1:6">
      <c r="A4825" t="str">
        <f t="shared" si="75"/>
        <v/>
      </c>
      <c r="E4825" s="626"/>
      <c r="F4825" s="626"/>
    </row>
    <row r="4826" spans="1:6">
      <c r="A4826" t="str">
        <f t="shared" si="75"/>
        <v/>
      </c>
      <c r="E4826" s="626"/>
      <c r="F4826" s="626"/>
    </row>
    <row r="4827" spans="1:6">
      <c r="A4827" t="str">
        <f t="shared" si="75"/>
        <v/>
      </c>
      <c r="E4827" s="626"/>
      <c r="F4827" s="626"/>
    </row>
    <row r="4828" spans="1:6">
      <c r="A4828" t="str">
        <f t="shared" si="75"/>
        <v/>
      </c>
      <c r="E4828" s="626"/>
      <c r="F4828" s="626"/>
    </row>
    <row r="4829" spans="1:6">
      <c r="A4829" t="str">
        <f t="shared" si="75"/>
        <v/>
      </c>
      <c r="E4829" s="626"/>
      <c r="F4829" s="626"/>
    </row>
    <row r="4830" spans="1:6">
      <c r="A4830" t="str">
        <f t="shared" si="75"/>
        <v/>
      </c>
      <c r="E4830" s="626"/>
      <c r="F4830" s="626"/>
    </row>
    <row r="4831" spans="1:6">
      <c r="A4831" t="str">
        <f t="shared" si="75"/>
        <v/>
      </c>
      <c r="E4831" s="626"/>
      <c r="F4831" s="626"/>
    </row>
    <row r="4832" spans="1:6">
      <c r="A4832" t="str">
        <f t="shared" si="75"/>
        <v/>
      </c>
      <c r="E4832" s="626"/>
      <c r="F4832" s="626"/>
    </row>
    <row r="4833" spans="1:6">
      <c r="A4833" t="str">
        <f t="shared" si="75"/>
        <v/>
      </c>
      <c r="E4833" s="626"/>
      <c r="F4833" s="626"/>
    </row>
    <row r="4834" spans="1:6">
      <c r="A4834" t="str">
        <f t="shared" si="75"/>
        <v/>
      </c>
      <c r="E4834" s="626"/>
      <c r="F4834" s="626"/>
    </row>
    <row r="4835" spans="1:6">
      <c r="A4835" t="str">
        <f t="shared" si="75"/>
        <v/>
      </c>
      <c r="E4835" s="626"/>
      <c r="F4835" s="626"/>
    </row>
    <row r="4836" spans="1:6">
      <c r="A4836" t="str">
        <f t="shared" si="75"/>
        <v/>
      </c>
      <c r="E4836" s="626"/>
      <c r="F4836" s="626"/>
    </row>
    <row r="4837" spans="1:6">
      <c r="A4837" t="str">
        <f t="shared" si="75"/>
        <v/>
      </c>
      <c r="E4837" s="626"/>
      <c r="F4837" s="626"/>
    </row>
    <row r="4838" spans="1:6">
      <c r="A4838" t="str">
        <f t="shared" si="75"/>
        <v/>
      </c>
      <c r="E4838" s="626"/>
      <c r="F4838" s="626"/>
    </row>
    <row r="4839" spans="1:6">
      <c r="A4839" t="str">
        <f t="shared" si="75"/>
        <v/>
      </c>
      <c r="E4839" s="626"/>
      <c r="F4839" s="626"/>
    </row>
    <row r="4840" spans="1:6">
      <c r="A4840" t="str">
        <f t="shared" si="75"/>
        <v/>
      </c>
      <c r="E4840" s="626"/>
      <c r="F4840" s="626"/>
    </row>
    <row r="4841" spans="1:6">
      <c r="A4841" t="str">
        <f t="shared" si="75"/>
        <v/>
      </c>
      <c r="E4841" s="626"/>
      <c r="F4841" s="626"/>
    </row>
    <row r="4842" spans="1:6">
      <c r="A4842" t="str">
        <f t="shared" si="75"/>
        <v/>
      </c>
      <c r="E4842" s="626"/>
      <c r="F4842" s="626"/>
    </row>
    <row r="4843" spans="1:6">
      <c r="A4843" t="str">
        <f t="shared" si="75"/>
        <v/>
      </c>
      <c r="E4843" s="626"/>
      <c r="F4843" s="626"/>
    </row>
    <row r="4844" spans="1:6">
      <c r="A4844" t="str">
        <f t="shared" si="75"/>
        <v/>
      </c>
      <c r="E4844" s="626"/>
      <c r="F4844" s="626"/>
    </row>
    <row r="4845" spans="1:6">
      <c r="A4845" t="str">
        <f t="shared" si="75"/>
        <v/>
      </c>
      <c r="E4845" s="626"/>
      <c r="F4845" s="626"/>
    </row>
    <row r="4846" spans="1:6">
      <c r="A4846" t="str">
        <f t="shared" si="75"/>
        <v/>
      </c>
      <c r="E4846" s="626"/>
      <c r="F4846" s="626"/>
    </row>
    <row r="4847" spans="1:6">
      <c r="A4847" t="str">
        <f t="shared" si="75"/>
        <v/>
      </c>
      <c r="E4847" s="626"/>
      <c r="F4847" s="626"/>
    </row>
    <row r="4848" spans="1:6">
      <c r="A4848" t="str">
        <f t="shared" si="75"/>
        <v/>
      </c>
      <c r="E4848" s="626"/>
      <c r="F4848" s="626"/>
    </row>
    <row r="4849" spans="1:6">
      <c r="A4849" t="str">
        <f t="shared" si="75"/>
        <v/>
      </c>
      <c r="E4849" s="626"/>
      <c r="F4849" s="626"/>
    </row>
    <row r="4850" spans="1:6">
      <c r="A4850" t="str">
        <f t="shared" si="75"/>
        <v/>
      </c>
      <c r="E4850" s="626"/>
      <c r="F4850" s="626"/>
    </row>
    <row r="4851" spans="1:6">
      <c r="A4851" t="str">
        <f t="shared" si="75"/>
        <v/>
      </c>
      <c r="E4851" s="626"/>
      <c r="F4851" s="626"/>
    </row>
    <row r="4852" spans="1:6">
      <c r="A4852" t="str">
        <f t="shared" si="75"/>
        <v/>
      </c>
      <c r="E4852" s="626"/>
      <c r="F4852" s="626"/>
    </row>
    <row r="4853" spans="1:6">
      <c r="A4853" t="str">
        <f t="shared" si="75"/>
        <v/>
      </c>
      <c r="E4853" s="626"/>
      <c r="F4853" s="626"/>
    </row>
    <row r="4854" spans="1:6">
      <c r="A4854" t="str">
        <f t="shared" si="75"/>
        <v/>
      </c>
      <c r="E4854" s="626"/>
      <c r="F4854" s="626"/>
    </row>
    <row r="4855" spans="1:6">
      <c r="A4855" t="str">
        <f t="shared" si="75"/>
        <v/>
      </c>
      <c r="E4855" s="626"/>
      <c r="F4855" s="626"/>
    </row>
    <row r="4856" spans="1:6">
      <c r="A4856" t="str">
        <f t="shared" si="75"/>
        <v/>
      </c>
      <c r="E4856" s="626"/>
      <c r="F4856" s="626"/>
    </row>
    <row r="4857" spans="1:6">
      <c r="A4857" t="str">
        <f t="shared" si="75"/>
        <v/>
      </c>
      <c r="E4857" s="626"/>
      <c r="F4857" s="626"/>
    </row>
    <row r="4858" spans="1:6">
      <c r="A4858" t="str">
        <f t="shared" si="75"/>
        <v/>
      </c>
      <c r="E4858" s="626"/>
      <c r="F4858" s="626"/>
    </row>
    <row r="4859" spans="1:6">
      <c r="A4859" t="str">
        <f t="shared" si="75"/>
        <v/>
      </c>
      <c r="E4859" s="626"/>
      <c r="F4859" s="626"/>
    </row>
    <row r="4860" spans="1:6">
      <c r="A4860" t="str">
        <f t="shared" si="75"/>
        <v/>
      </c>
      <c r="E4860" s="626"/>
      <c r="F4860" s="626"/>
    </row>
    <row r="4861" spans="1:6">
      <c r="A4861" t="str">
        <f t="shared" si="75"/>
        <v/>
      </c>
      <c r="E4861" s="626"/>
      <c r="F4861" s="626"/>
    </row>
    <row r="4862" spans="1:6">
      <c r="A4862" t="str">
        <f t="shared" si="75"/>
        <v/>
      </c>
      <c r="E4862" s="626"/>
      <c r="F4862" s="626"/>
    </row>
    <row r="4863" spans="1:6">
      <c r="A4863" t="str">
        <f t="shared" si="75"/>
        <v/>
      </c>
      <c r="E4863" s="626"/>
      <c r="F4863" s="626"/>
    </row>
    <row r="4864" spans="1:6">
      <c r="A4864" t="str">
        <f t="shared" si="75"/>
        <v/>
      </c>
      <c r="E4864" s="626"/>
      <c r="F4864" s="626"/>
    </row>
    <row r="4865" spans="1:6">
      <c r="A4865" t="str">
        <f t="shared" si="75"/>
        <v/>
      </c>
      <c r="E4865" s="626"/>
      <c r="F4865" s="626"/>
    </row>
    <row r="4866" spans="1:6">
      <c r="A4866" t="str">
        <f t="shared" ref="A4866:A4929" si="76">B4866&amp;E4866&amp;J4866</f>
        <v/>
      </c>
      <c r="E4866" s="626"/>
      <c r="F4866" s="626"/>
    </row>
    <row r="4867" spans="1:6">
      <c r="A4867" t="str">
        <f t="shared" si="76"/>
        <v/>
      </c>
      <c r="E4867" s="626"/>
      <c r="F4867" s="626"/>
    </row>
    <row r="4868" spans="1:6">
      <c r="A4868" t="str">
        <f t="shared" si="76"/>
        <v/>
      </c>
      <c r="E4868" s="626"/>
      <c r="F4868" s="626"/>
    </row>
    <row r="4869" spans="1:6">
      <c r="A4869" t="str">
        <f t="shared" si="76"/>
        <v/>
      </c>
      <c r="E4869" s="626"/>
      <c r="F4869" s="626"/>
    </row>
    <row r="4870" spans="1:6">
      <c r="A4870" t="str">
        <f t="shared" si="76"/>
        <v/>
      </c>
      <c r="E4870" s="626"/>
      <c r="F4870" s="626"/>
    </row>
    <row r="4871" spans="1:6">
      <c r="A4871" t="str">
        <f t="shared" si="76"/>
        <v/>
      </c>
      <c r="E4871" s="626"/>
      <c r="F4871" s="626"/>
    </row>
    <row r="4872" spans="1:6">
      <c r="A4872" t="str">
        <f t="shared" si="76"/>
        <v/>
      </c>
      <c r="E4872" s="626"/>
      <c r="F4872" s="626"/>
    </row>
    <row r="4873" spans="1:6">
      <c r="A4873" t="str">
        <f t="shared" si="76"/>
        <v/>
      </c>
      <c r="E4873" s="626"/>
      <c r="F4873" s="626"/>
    </row>
    <row r="4874" spans="1:6">
      <c r="A4874" t="str">
        <f t="shared" si="76"/>
        <v/>
      </c>
      <c r="E4874" s="626"/>
      <c r="F4874" s="626"/>
    </row>
    <row r="4875" spans="1:6">
      <c r="A4875" t="str">
        <f t="shared" si="76"/>
        <v/>
      </c>
      <c r="E4875" s="626"/>
      <c r="F4875" s="626"/>
    </row>
    <row r="4876" spans="1:6">
      <c r="A4876" t="str">
        <f t="shared" si="76"/>
        <v/>
      </c>
      <c r="E4876" s="626"/>
      <c r="F4876" s="626"/>
    </row>
    <row r="4877" spans="1:6">
      <c r="A4877" t="str">
        <f t="shared" si="76"/>
        <v/>
      </c>
      <c r="E4877" s="626"/>
      <c r="F4877" s="626"/>
    </row>
    <row r="4878" spans="1:6">
      <c r="A4878" t="str">
        <f t="shared" si="76"/>
        <v/>
      </c>
      <c r="E4878" s="626"/>
      <c r="F4878" s="626"/>
    </row>
    <row r="4879" spans="1:6">
      <c r="A4879" t="str">
        <f t="shared" si="76"/>
        <v/>
      </c>
      <c r="E4879" s="626"/>
      <c r="F4879" s="626"/>
    </row>
    <row r="4880" spans="1:6">
      <c r="A4880" t="str">
        <f t="shared" si="76"/>
        <v/>
      </c>
      <c r="E4880" s="626"/>
      <c r="F4880" s="626"/>
    </row>
    <row r="4881" spans="1:6">
      <c r="A4881" t="str">
        <f t="shared" si="76"/>
        <v/>
      </c>
      <c r="E4881" s="626"/>
      <c r="F4881" s="626"/>
    </row>
    <row r="4882" spans="1:6">
      <c r="A4882" t="str">
        <f t="shared" si="76"/>
        <v/>
      </c>
      <c r="E4882" s="626"/>
      <c r="F4882" s="626"/>
    </row>
    <row r="4883" spans="1:6">
      <c r="A4883" t="str">
        <f t="shared" si="76"/>
        <v/>
      </c>
      <c r="E4883" s="626"/>
      <c r="F4883" s="626"/>
    </row>
    <row r="4884" spans="1:6">
      <c r="A4884" t="str">
        <f t="shared" si="76"/>
        <v/>
      </c>
      <c r="E4884" s="626"/>
      <c r="F4884" s="626"/>
    </row>
    <row r="4885" spans="1:6">
      <c r="A4885" t="str">
        <f t="shared" si="76"/>
        <v/>
      </c>
      <c r="E4885" s="626"/>
      <c r="F4885" s="626"/>
    </row>
    <row r="4886" spans="1:6">
      <c r="A4886" t="str">
        <f t="shared" si="76"/>
        <v/>
      </c>
      <c r="E4886" s="626"/>
      <c r="F4886" s="626"/>
    </row>
    <row r="4887" spans="1:6">
      <c r="A4887" t="str">
        <f t="shared" si="76"/>
        <v/>
      </c>
      <c r="E4887" s="626"/>
      <c r="F4887" s="626"/>
    </row>
    <row r="4888" spans="1:6">
      <c r="A4888" t="str">
        <f t="shared" si="76"/>
        <v/>
      </c>
      <c r="E4888" s="626"/>
      <c r="F4888" s="626"/>
    </row>
    <row r="4889" spans="1:6">
      <c r="A4889" t="str">
        <f t="shared" si="76"/>
        <v/>
      </c>
      <c r="E4889" s="626"/>
      <c r="F4889" s="626"/>
    </row>
    <row r="4890" spans="1:6">
      <c r="A4890" t="str">
        <f t="shared" si="76"/>
        <v/>
      </c>
      <c r="E4890" s="626"/>
      <c r="F4890" s="626"/>
    </row>
    <row r="4891" spans="1:6">
      <c r="A4891" t="str">
        <f t="shared" si="76"/>
        <v/>
      </c>
      <c r="E4891" s="626"/>
      <c r="F4891" s="626"/>
    </row>
    <row r="4892" spans="1:6">
      <c r="A4892" t="str">
        <f t="shared" si="76"/>
        <v/>
      </c>
      <c r="E4892" s="626"/>
      <c r="F4892" s="626"/>
    </row>
    <row r="4893" spans="1:6">
      <c r="A4893" t="str">
        <f t="shared" si="76"/>
        <v/>
      </c>
      <c r="E4893" s="626"/>
      <c r="F4893" s="626"/>
    </row>
    <row r="4894" spans="1:6">
      <c r="A4894" t="str">
        <f t="shared" si="76"/>
        <v/>
      </c>
      <c r="E4894" s="626"/>
      <c r="F4894" s="626"/>
    </row>
    <row r="4895" spans="1:6">
      <c r="A4895" t="str">
        <f t="shared" si="76"/>
        <v/>
      </c>
      <c r="E4895" s="626"/>
      <c r="F4895" s="626"/>
    </row>
    <row r="4896" spans="1:6">
      <c r="A4896" t="str">
        <f t="shared" si="76"/>
        <v/>
      </c>
      <c r="E4896" s="626"/>
      <c r="F4896" s="626"/>
    </row>
    <row r="4897" spans="1:6">
      <c r="A4897" t="str">
        <f t="shared" si="76"/>
        <v/>
      </c>
      <c r="E4897" s="626"/>
      <c r="F4897" s="626"/>
    </row>
    <row r="4898" spans="1:6">
      <c r="A4898" t="str">
        <f t="shared" si="76"/>
        <v/>
      </c>
      <c r="E4898" s="626"/>
      <c r="F4898" s="626"/>
    </row>
    <row r="4899" spans="1:6">
      <c r="A4899" t="str">
        <f t="shared" si="76"/>
        <v/>
      </c>
      <c r="E4899" s="626"/>
      <c r="F4899" s="626"/>
    </row>
    <row r="4900" spans="1:6">
      <c r="A4900" t="str">
        <f t="shared" si="76"/>
        <v/>
      </c>
      <c r="E4900" s="626"/>
      <c r="F4900" s="626"/>
    </row>
    <row r="4901" spans="1:6">
      <c r="A4901" t="str">
        <f t="shared" si="76"/>
        <v/>
      </c>
      <c r="E4901" s="626"/>
      <c r="F4901" s="626"/>
    </row>
    <row r="4902" spans="1:6">
      <c r="A4902" t="str">
        <f t="shared" si="76"/>
        <v/>
      </c>
      <c r="E4902" s="626"/>
      <c r="F4902" s="626"/>
    </row>
    <row r="4903" spans="1:6">
      <c r="A4903" t="str">
        <f t="shared" si="76"/>
        <v/>
      </c>
      <c r="E4903" s="626"/>
      <c r="F4903" s="626"/>
    </row>
    <row r="4904" spans="1:6">
      <c r="A4904" t="str">
        <f t="shared" si="76"/>
        <v/>
      </c>
      <c r="E4904" s="626"/>
      <c r="F4904" s="626"/>
    </row>
    <row r="4905" spans="1:6">
      <c r="A4905" t="str">
        <f t="shared" si="76"/>
        <v/>
      </c>
      <c r="E4905" s="626"/>
      <c r="F4905" s="626"/>
    </row>
    <row r="4906" spans="1:6">
      <c r="A4906" t="str">
        <f t="shared" si="76"/>
        <v/>
      </c>
      <c r="E4906" s="626"/>
      <c r="F4906" s="626"/>
    </row>
    <row r="4907" spans="1:6">
      <c r="A4907" t="str">
        <f t="shared" si="76"/>
        <v/>
      </c>
      <c r="E4907" s="626"/>
      <c r="F4907" s="626"/>
    </row>
    <row r="4908" spans="1:6">
      <c r="A4908" t="str">
        <f t="shared" si="76"/>
        <v/>
      </c>
      <c r="E4908" s="626"/>
      <c r="F4908" s="626"/>
    </row>
    <row r="4909" spans="1:6">
      <c r="A4909" t="str">
        <f t="shared" si="76"/>
        <v/>
      </c>
      <c r="E4909" s="626"/>
      <c r="F4909" s="626"/>
    </row>
    <row r="4910" spans="1:6">
      <c r="A4910" t="str">
        <f t="shared" si="76"/>
        <v/>
      </c>
      <c r="E4910" s="626"/>
      <c r="F4910" s="626"/>
    </row>
    <row r="4911" spans="1:6">
      <c r="A4911" t="str">
        <f t="shared" si="76"/>
        <v/>
      </c>
      <c r="E4911" s="626"/>
      <c r="F4911" s="626"/>
    </row>
    <row r="4912" spans="1:6">
      <c r="A4912" t="str">
        <f t="shared" si="76"/>
        <v/>
      </c>
      <c r="E4912" s="626"/>
      <c r="F4912" s="626"/>
    </row>
    <row r="4913" spans="1:6">
      <c r="A4913" t="str">
        <f t="shared" si="76"/>
        <v/>
      </c>
      <c r="E4913" s="626"/>
      <c r="F4913" s="626"/>
    </row>
    <row r="4914" spans="1:6">
      <c r="A4914" t="str">
        <f t="shared" si="76"/>
        <v/>
      </c>
      <c r="E4914" s="626"/>
      <c r="F4914" s="626"/>
    </row>
    <row r="4915" spans="1:6">
      <c r="A4915" t="str">
        <f t="shared" si="76"/>
        <v/>
      </c>
      <c r="E4915" s="626"/>
      <c r="F4915" s="626"/>
    </row>
    <row r="4916" spans="1:6">
      <c r="A4916" t="str">
        <f t="shared" si="76"/>
        <v/>
      </c>
      <c r="E4916" s="626"/>
      <c r="F4916" s="626"/>
    </row>
    <row r="4917" spans="1:6">
      <c r="A4917" t="str">
        <f t="shared" si="76"/>
        <v/>
      </c>
      <c r="E4917" s="626"/>
      <c r="F4917" s="626"/>
    </row>
    <row r="4918" spans="1:6">
      <c r="A4918" t="str">
        <f t="shared" si="76"/>
        <v/>
      </c>
      <c r="E4918" s="626"/>
      <c r="F4918" s="626"/>
    </row>
    <row r="4919" spans="1:6">
      <c r="A4919" t="str">
        <f t="shared" si="76"/>
        <v/>
      </c>
      <c r="E4919" s="626"/>
      <c r="F4919" s="626"/>
    </row>
    <row r="4920" spans="1:6">
      <c r="A4920" t="str">
        <f t="shared" si="76"/>
        <v/>
      </c>
      <c r="E4920" s="626"/>
      <c r="F4920" s="626"/>
    </row>
    <row r="4921" spans="1:6">
      <c r="A4921" t="str">
        <f t="shared" si="76"/>
        <v/>
      </c>
      <c r="E4921" s="626"/>
      <c r="F4921" s="626"/>
    </row>
    <row r="4922" spans="1:6">
      <c r="A4922" t="str">
        <f t="shared" si="76"/>
        <v/>
      </c>
      <c r="E4922" s="626"/>
      <c r="F4922" s="626"/>
    </row>
    <row r="4923" spans="1:6">
      <c r="A4923" t="str">
        <f t="shared" si="76"/>
        <v/>
      </c>
      <c r="E4923" s="626"/>
      <c r="F4923" s="626"/>
    </row>
    <row r="4924" spans="1:6">
      <c r="A4924" t="str">
        <f t="shared" si="76"/>
        <v/>
      </c>
      <c r="E4924" s="626"/>
      <c r="F4924" s="626"/>
    </row>
    <row r="4925" spans="1:6">
      <c r="A4925" t="str">
        <f t="shared" si="76"/>
        <v/>
      </c>
      <c r="E4925" s="626"/>
      <c r="F4925" s="626"/>
    </row>
    <row r="4926" spans="1:6">
      <c r="A4926" t="str">
        <f t="shared" si="76"/>
        <v/>
      </c>
      <c r="E4926" s="626"/>
      <c r="F4926" s="626"/>
    </row>
    <row r="4927" spans="1:6">
      <c r="A4927" t="str">
        <f t="shared" si="76"/>
        <v/>
      </c>
      <c r="E4927" s="626"/>
      <c r="F4927" s="626"/>
    </row>
    <row r="4928" spans="1:6">
      <c r="A4928" t="str">
        <f t="shared" si="76"/>
        <v/>
      </c>
      <c r="E4928" s="626"/>
      <c r="F4928" s="626"/>
    </row>
    <row r="4929" spans="1:6">
      <c r="A4929" t="str">
        <f t="shared" si="76"/>
        <v/>
      </c>
      <c r="E4929" s="626"/>
      <c r="F4929" s="626"/>
    </row>
    <row r="4930" spans="1:6">
      <c r="A4930" t="str">
        <f t="shared" ref="A4930:A4993" si="77">B4930&amp;E4930&amp;J4930</f>
        <v/>
      </c>
      <c r="E4930" s="626"/>
      <c r="F4930" s="626"/>
    </row>
    <row r="4931" spans="1:6">
      <c r="A4931" t="str">
        <f t="shared" si="77"/>
        <v/>
      </c>
      <c r="E4931" s="626"/>
      <c r="F4931" s="626"/>
    </row>
    <row r="4932" spans="1:6">
      <c r="A4932" t="str">
        <f t="shared" si="77"/>
        <v/>
      </c>
      <c r="E4932" s="626"/>
      <c r="F4932" s="626"/>
    </row>
    <row r="4933" spans="1:6">
      <c r="A4933" t="str">
        <f t="shared" si="77"/>
        <v/>
      </c>
      <c r="E4933" s="626"/>
      <c r="F4933" s="626"/>
    </row>
    <row r="4934" spans="1:6">
      <c r="A4934" t="str">
        <f t="shared" si="77"/>
        <v/>
      </c>
      <c r="E4934" s="626"/>
      <c r="F4934" s="626"/>
    </row>
    <row r="4935" spans="1:6">
      <c r="A4935" t="str">
        <f t="shared" si="77"/>
        <v/>
      </c>
      <c r="E4935" s="626"/>
      <c r="F4935" s="626"/>
    </row>
    <row r="4936" spans="1:6">
      <c r="A4936" t="str">
        <f t="shared" si="77"/>
        <v/>
      </c>
      <c r="E4936" s="626"/>
      <c r="F4936" s="626"/>
    </row>
    <row r="4937" spans="1:6">
      <c r="A4937" t="str">
        <f t="shared" si="77"/>
        <v/>
      </c>
      <c r="E4937" s="626"/>
      <c r="F4937" s="626"/>
    </row>
    <row r="4938" spans="1:6">
      <c r="A4938" t="str">
        <f t="shared" si="77"/>
        <v/>
      </c>
      <c r="E4938" s="626"/>
      <c r="F4938" s="626"/>
    </row>
    <row r="4939" spans="1:6">
      <c r="A4939" t="str">
        <f t="shared" si="77"/>
        <v/>
      </c>
      <c r="E4939" s="626"/>
      <c r="F4939" s="626"/>
    </row>
    <row r="4940" spans="1:6">
      <c r="A4940" t="str">
        <f t="shared" si="77"/>
        <v/>
      </c>
      <c r="E4940" s="626"/>
      <c r="F4940" s="626"/>
    </row>
    <row r="4941" spans="1:6">
      <c r="A4941" t="str">
        <f t="shared" si="77"/>
        <v/>
      </c>
      <c r="E4941" s="626"/>
      <c r="F4941" s="626"/>
    </row>
    <row r="4942" spans="1:6">
      <c r="A4942" t="str">
        <f t="shared" si="77"/>
        <v/>
      </c>
      <c r="E4942" s="626"/>
      <c r="F4942" s="626"/>
    </row>
    <row r="4943" spans="1:6">
      <c r="A4943" t="str">
        <f t="shared" si="77"/>
        <v/>
      </c>
      <c r="E4943" s="626"/>
      <c r="F4943" s="626"/>
    </row>
    <row r="4944" spans="1:6">
      <c r="A4944" t="str">
        <f t="shared" si="77"/>
        <v/>
      </c>
      <c r="E4944" s="626"/>
      <c r="F4944" s="626"/>
    </row>
    <row r="4945" spans="1:6">
      <c r="A4945" t="str">
        <f t="shared" si="77"/>
        <v/>
      </c>
      <c r="E4945" s="626"/>
      <c r="F4945" s="626"/>
    </row>
    <row r="4946" spans="1:6">
      <c r="A4946" t="str">
        <f t="shared" si="77"/>
        <v/>
      </c>
      <c r="E4946" s="626"/>
      <c r="F4946" s="626"/>
    </row>
    <row r="4947" spans="1:6">
      <c r="A4947" t="str">
        <f t="shared" si="77"/>
        <v/>
      </c>
      <c r="E4947" s="626"/>
      <c r="F4947" s="626"/>
    </row>
    <row r="4948" spans="1:6">
      <c r="A4948" t="str">
        <f t="shared" si="77"/>
        <v/>
      </c>
      <c r="E4948" s="626"/>
      <c r="F4948" s="626"/>
    </row>
    <row r="4949" spans="1:6">
      <c r="A4949" t="str">
        <f t="shared" si="77"/>
        <v/>
      </c>
      <c r="E4949" s="626"/>
      <c r="F4949" s="626"/>
    </row>
    <row r="4950" spans="1:6">
      <c r="A4950" t="str">
        <f t="shared" si="77"/>
        <v/>
      </c>
      <c r="E4950" s="626"/>
      <c r="F4950" s="626"/>
    </row>
    <row r="4951" spans="1:6">
      <c r="A4951" t="str">
        <f t="shared" si="77"/>
        <v/>
      </c>
      <c r="E4951" s="626"/>
      <c r="F4951" s="626"/>
    </row>
    <row r="4952" spans="1:6">
      <c r="A4952" t="str">
        <f t="shared" si="77"/>
        <v/>
      </c>
      <c r="E4952" s="626"/>
      <c r="F4952" s="626"/>
    </row>
    <row r="4953" spans="1:6">
      <c r="A4953" t="str">
        <f t="shared" si="77"/>
        <v/>
      </c>
      <c r="E4953" s="626"/>
      <c r="F4953" s="626"/>
    </row>
    <row r="4954" spans="1:6">
      <c r="A4954" t="str">
        <f t="shared" si="77"/>
        <v/>
      </c>
      <c r="E4954" s="626"/>
      <c r="F4954" s="626"/>
    </row>
    <row r="4955" spans="1:6">
      <c r="A4955" t="str">
        <f t="shared" si="77"/>
        <v/>
      </c>
      <c r="E4955" s="626"/>
      <c r="F4955" s="626"/>
    </row>
    <row r="4956" spans="1:6">
      <c r="A4956" t="str">
        <f t="shared" si="77"/>
        <v/>
      </c>
      <c r="E4956" s="626"/>
      <c r="F4956" s="626"/>
    </row>
    <row r="4957" spans="1:6">
      <c r="A4957" t="str">
        <f t="shared" si="77"/>
        <v/>
      </c>
      <c r="E4957" s="626"/>
      <c r="F4957" s="626"/>
    </row>
    <row r="4958" spans="1:6">
      <c r="A4958" t="str">
        <f t="shared" si="77"/>
        <v/>
      </c>
      <c r="E4958" s="626"/>
      <c r="F4958" s="626"/>
    </row>
    <row r="4959" spans="1:6">
      <c r="A4959" t="str">
        <f t="shared" si="77"/>
        <v/>
      </c>
      <c r="E4959" s="626"/>
      <c r="F4959" s="626"/>
    </row>
    <row r="4960" spans="1:6">
      <c r="A4960" t="str">
        <f t="shared" si="77"/>
        <v/>
      </c>
      <c r="E4960" s="626"/>
      <c r="F4960" s="626"/>
    </row>
    <row r="4961" spans="1:6">
      <c r="A4961" t="str">
        <f t="shared" si="77"/>
        <v/>
      </c>
      <c r="E4961" s="626"/>
      <c r="F4961" s="626"/>
    </row>
    <row r="4962" spans="1:6">
      <c r="A4962" t="str">
        <f t="shared" si="77"/>
        <v/>
      </c>
      <c r="E4962" s="626"/>
      <c r="F4962" s="626"/>
    </row>
    <row r="4963" spans="1:6">
      <c r="A4963" t="str">
        <f t="shared" si="77"/>
        <v/>
      </c>
      <c r="E4963" s="626"/>
      <c r="F4963" s="626"/>
    </row>
    <row r="4964" spans="1:6">
      <c r="A4964" t="str">
        <f t="shared" si="77"/>
        <v/>
      </c>
      <c r="E4964" s="626"/>
      <c r="F4964" s="626"/>
    </row>
    <row r="4965" spans="1:6">
      <c r="A4965" t="str">
        <f t="shared" si="77"/>
        <v/>
      </c>
      <c r="E4965" s="626"/>
      <c r="F4965" s="626"/>
    </row>
    <row r="4966" spans="1:6">
      <c r="A4966" t="str">
        <f t="shared" si="77"/>
        <v/>
      </c>
      <c r="E4966" s="626"/>
      <c r="F4966" s="626"/>
    </row>
    <row r="4967" spans="1:6">
      <c r="A4967" t="str">
        <f t="shared" si="77"/>
        <v/>
      </c>
      <c r="E4967" s="626"/>
      <c r="F4967" s="626"/>
    </row>
    <row r="4968" spans="1:6">
      <c r="A4968" t="str">
        <f t="shared" si="77"/>
        <v/>
      </c>
      <c r="E4968" s="626"/>
      <c r="F4968" s="626"/>
    </row>
    <row r="4969" spans="1:6">
      <c r="A4969" t="str">
        <f t="shared" si="77"/>
        <v/>
      </c>
      <c r="E4969" s="626"/>
      <c r="F4969" s="626"/>
    </row>
    <row r="4970" spans="1:6">
      <c r="A4970" t="str">
        <f t="shared" si="77"/>
        <v/>
      </c>
      <c r="E4970" s="626"/>
      <c r="F4970" s="626"/>
    </row>
    <row r="4971" spans="1:6">
      <c r="A4971" t="str">
        <f t="shared" si="77"/>
        <v/>
      </c>
      <c r="E4971" s="626"/>
      <c r="F4971" s="626"/>
    </row>
    <row r="4972" spans="1:6">
      <c r="A4972" t="str">
        <f t="shared" si="77"/>
        <v/>
      </c>
      <c r="E4972" s="626"/>
      <c r="F4972" s="626"/>
    </row>
    <row r="4973" spans="1:6">
      <c r="A4973" t="str">
        <f t="shared" si="77"/>
        <v/>
      </c>
      <c r="E4973" s="626"/>
      <c r="F4973" s="626"/>
    </row>
    <row r="4974" spans="1:6">
      <c r="A4974" t="str">
        <f t="shared" si="77"/>
        <v/>
      </c>
      <c r="E4974" s="626"/>
      <c r="F4974" s="626"/>
    </row>
    <row r="4975" spans="1:6">
      <c r="A4975" t="str">
        <f t="shared" si="77"/>
        <v/>
      </c>
      <c r="E4975" s="626"/>
      <c r="F4975" s="626"/>
    </row>
    <row r="4976" spans="1:6">
      <c r="A4976" t="str">
        <f t="shared" si="77"/>
        <v/>
      </c>
      <c r="E4976" s="626"/>
      <c r="F4976" s="626"/>
    </row>
    <row r="4977" spans="1:6">
      <c r="A4977" t="str">
        <f t="shared" si="77"/>
        <v/>
      </c>
      <c r="E4977" s="626"/>
      <c r="F4977" s="626"/>
    </row>
    <row r="4978" spans="1:6">
      <c r="A4978" t="str">
        <f t="shared" si="77"/>
        <v/>
      </c>
      <c r="E4978" s="626"/>
      <c r="F4978" s="626"/>
    </row>
    <row r="4979" spans="1:6">
      <c r="A4979" t="str">
        <f t="shared" si="77"/>
        <v/>
      </c>
      <c r="E4979" s="626"/>
      <c r="F4979" s="626"/>
    </row>
    <row r="4980" spans="1:6">
      <c r="A4980" t="str">
        <f t="shared" si="77"/>
        <v/>
      </c>
      <c r="E4980" s="626"/>
      <c r="F4980" s="626"/>
    </row>
    <row r="4981" spans="1:6">
      <c r="A4981" t="str">
        <f t="shared" si="77"/>
        <v/>
      </c>
      <c r="E4981" s="626"/>
      <c r="F4981" s="626"/>
    </row>
    <row r="4982" spans="1:6">
      <c r="A4982" t="str">
        <f t="shared" si="77"/>
        <v/>
      </c>
      <c r="E4982" s="626"/>
      <c r="F4982" s="626"/>
    </row>
    <row r="4983" spans="1:6">
      <c r="A4983" t="str">
        <f t="shared" si="77"/>
        <v/>
      </c>
      <c r="E4983" s="626"/>
      <c r="F4983" s="626"/>
    </row>
    <row r="4984" spans="1:6">
      <c r="A4984" t="str">
        <f t="shared" si="77"/>
        <v/>
      </c>
      <c r="E4984" s="626"/>
      <c r="F4984" s="626"/>
    </row>
    <row r="4985" spans="1:6">
      <c r="A4985" t="str">
        <f t="shared" si="77"/>
        <v/>
      </c>
      <c r="E4985" s="626"/>
      <c r="F4985" s="626"/>
    </row>
    <row r="4986" spans="1:6">
      <c r="A4986" t="str">
        <f t="shared" si="77"/>
        <v/>
      </c>
      <c r="E4986" s="626"/>
      <c r="F4986" s="626"/>
    </row>
    <row r="4987" spans="1:6">
      <c r="A4987" t="str">
        <f t="shared" si="77"/>
        <v/>
      </c>
      <c r="E4987" s="626"/>
      <c r="F4987" s="626"/>
    </row>
    <row r="4988" spans="1:6">
      <c r="A4988" t="str">
        <f t="shared" si="77"/>
        <v/>
      </c>
      <c r="E4988" s="626"/>
      <c r="F4988" s="626"/>
    </row>
    <row r="4989" spans="1:6">
      <c r="A4989" t="str">
        <f t="shared" si="77"/>
        <v/>
      </c>
      <c r="E4989" s="626"/>
      <c r="F4989" s="626"/>
    </row>
    <row r="4990" spans="1:6">
      <c r="A4990" t="str">
        <f t="shared" si="77"/>
        <v/>
      </c>
      <c r="E4990" s="626"/>
      <c r="F4990" s="626"/>
    </row>
    <row r="4991" spans="1:6">
      <c r="A4991" t="str">
        <f t="shared" si="77"/>
        <v/>
      </c>
      <c r="E4991" s="626"/>
      <c r="F4991" s="626"/>
    </row>
    <row r="4992" spans="1:6">
      <c r="A4992" t="str">
        <f t="shared" si="77"/>
        <v/>
      </c>
      <c r="E4992" s="626"/>
      <c r="F4992" s="626"/>
    </row>
    <row r="4993" spans="1:6">
      <c r="A4993" t="str">
        <f t="shared" si="77"/>
        <v/>
      </c>
      <c r="E4993" s="626"/>
      <c r="F4993" s="626"/>
    </row>
    <row r="4994" spans="1:6">
      <c r="A4994" t="str">
        <f t="shared" ref="A4994:A5057" si="78">B4994&amp;E4994&amp;J4994</f>
        <v/>
      </c>
      <c r="E4994" s="626"/>
      <c r="F4994" s="626"/>
    </row>
    <row r="4995" spans="1:6">
      <c r="A4995" t="str">
        <f t="shared" si="78"/>
        <v/>
      </c>
      <c r="E4995" s="626"/>
      <c r="F4995" s="626"/>
    </row>
    <row r="4996" spans="1:6">
      <c r="A4996" t="str">
        <f t="shared" si="78"/>
        <v/>
      </c>
      <c r="E4996" s="626"/>
      <c r="F4996" s="626"/>
    </row>
    <row r="4997" spans="1:6">
      <c r="A4997" t="str">
        <f t="shared" si="78"/>
        <v/>
      </c>
      <c r="E4997" s="626"/>
      <c r="F4997" s="626"/>
    </row>
    <row r="4998" spans="1:6">
      <c r="A4998" t="str">
        <f t="shared" si="78"/>
        <v/>
      </c>
      <c r="E4998" s="626"/>
      <c r="F4998" s="626"/>
    </row>
    <row r="4999" spans="1:6">
      <c r="A4999" t="str">
        <f t="shared" si="78"/>
        <v/>
      </c>
      <c r="E4999" s="626"/>
      <c r="F4999" s="626"/>
    </row>
    <row r="5000" spans="1:6">
      <c r="A5000" t="str">
        <f t="shared" si="78"/>
        <v/>
      </c>
      <c r="E5000" s="626"/>
      <c r="F5000" s="626"/>
    </row>
    <row r="5001" spans="1:6">
      <c r="A5001" t="str">
        <f t="shared" si="78"/>
        <v/>
      </c>
      <c r="E5001" s="626"/>
      <c r="F5001" s="626"/>
    </row>
    <row r="5002" spans="1:6">
      <c r="A5002" t="str">
        <f t="shared" si="78"/>
        <v/>
      </c>
      <c r="E5002" s="626"/>
      <c r="F5002" s="626"/>
    </row>
    <row r="5003" spans="1:6">
      <c r="A5003" t="str">
        <f t="shared" si="78"/>
        <v/>
      </c>
      <c r="E5003" s="626"/>
      <c r="F5003" s="626"/>
    </row>
    <row r="5004" spans="1:6">
      <c r="A5004" t="str">
        <f t="shared" si="78"/>
        <v/>
      </c>
      <c r="E5004" s="626"/>
      <c r="F5004" s="626"/>
    </row>
    <row r="5005" spans="1:6">
      <c r="A5005" t="str">
        <f t="shared" si="78"/>
        <v/>
      </c>
      <c r="E5005" s="626"/>
      <c r="F5005" s="626"/>
    </row>
    <row r="5006" spans="1:6">
      <c r="A5006" t="str">
        <f t="shared" si="78"/>
        <v/>
      </c>
      <c r="E5006" s="626"/>
      <c r="F5006" s="626"/>
    </row>
    <row r="5007" spans="1:6">
      <c r="A5007" t="str">
        <f t="shared" si="78"/>
        <v/>
      </c>
      <c r="E5007" s="626"/>
      <c r="F5007" s="626"/>
    </row>
    <row r="5008" spans="1:6">
      <c r="A5008" t="str">
        <f t="shared" si="78"/>
        <v/>
      </c>
      <c r="E5008" s="626"/>
      <c r="F5008" s="626"/>
    </row>
    <row r="5009" spans="1:6">
      <c r="A5009" t="str">
        <f t="shared" si="78"/>
        <v/>
      </c>
      <c r="E5009" s="626"/>
      <c r="F5009" s="626"/>
    </row>
    <row r="5010" spans="1:6">
      <c r="A5010" t="str">
        <f t="shared" si="78"/>
        <v/>
      </c>
      <c r="E5010" s="626"/>
      <c r="F5010" s="626"/>
    </row>
    <row r="5011" spans="1:6">
      <c r="A5011" t="str">
        <f t="shared" si="78"/>
        <v/>
      </c>
      <c r="E5011" s="626"/>
      <c r="F5011" s="626"/>
    </row>
    <row r="5012" spans="1:6">
      <c r="A5012" t="str">
        <f t="shared" si="78"/>
        <v/>
      </c>
      <c r="E5012" s="626"/>
      <c r="F5012" s="626"/>
    </row>
    <row r="5013" spans="1:6">
      <c r="A5013" t="str">
        <f t="shared" si="78"/>
        <v/>
      </c>
      <c r="E5013" s="626"/>
      <c r="F5013" s="626"/>
    </row>
    <row r="5014" spans="1:6">
      <c r="A5014" t="str">
        <f t="shared" si="78"/>
        <v/>
      </c>
      <c r="E5014" s="626"/>
      <c r="F5014" s="626"/>
    </row>
    <row r="5015" spans="1:6">
      <c r="A5015" t="str">
        <f t="shared" si="78"/>
        <v/>
      </c>
      <c r="E5015" s="626"/>
      <c r="F5015" s="626"/>
    </row>
    <row r="5016" spans="1:6">
      <c r="A5016" t="str">
        <f t="shared" si="78"/>
        <v/>
      </c>
      <c r="E5016" s="626"/>
      <c r="F5016" s="626"/>
    </row>
    <row r="5017" spans="1:6">
      <c r="A5017" t="str">
        <f t="shared" si="78"/>
        <v/>
      </c>
      <c r="E5017" s="626"/>
      <c r="F5017" s="626"/>
    </row>
    <row r="5018" spans="1:6">
      <c r="A5018" t="str">
        <f t="shared" si="78"/>
        <v/>
      </c>
      <c r="E5018" s="626"/>
      <c r="F5018" s="626"/>
    </row>
    <row r="5019" spans="1:6">
      <c r="A5019" t="str">
        <f t="shared" si="78"/>
        <v/>
      </c>
      <c r="E5019" s="626"/>
      <c r="F5019" s="626"/>
    </row>
    <row r="5020" spans="1:6">
      <c r="A5020" t="str">
        <f t="shared" si="78"/>
        <v/>
      </c>
      <c r="E5020" s="626"/>
      <c r="F5020" s="626"/>
    </row>
    <row r="5021" spans="1:6">
      <c r="A5021" t="str">
        <f t="shared" si="78"/>
        <v/>
      </c>
      <c r="E5021" s="626"/>
      <c r="F5021" s="626"/>
    </row>
    <row r="5022" spans="1:6">
      <c r="A5022" t="str">
        <f t="shared" si="78"/>
        <v/>
      </c>
      <c r="E5022" s="626"/>
      <c r="F5022" s="626"/>
    </row>
    <row r="5023" spans="1:6">
      <c r="A5023" t="str">
        <f t="shared" si="78"/>
        <v/>
      </c>
      <c r="E5023" s="626"/>
      <c r="F5023" s="626"/>
    </row>
    <row r="5024" spans="1:6">
      <c r="A5024" t="str">
        <f t="shared" si="78"/>
        <v/>
      </c>
      <c r="E5024" s="626"/>
      <c r="F5024" s="626"/>
    </row>
    <row r="5025" spans="1:6">
      <c r="A5025" t="str">
        <f t="shared" si="78"/>
        <v/>
      </c>
      <c r="E5025" s="626"/>
      <c r="F5025" s="626"/>
    </row>
    <row r="5026" spans="1:6">
      <c r="A5026" t="str">
        <f t="shared" si="78"/>
        <v/>
      </c>
      <c r="E5026" s="626"/>
      <c r="F5026" s="626"/>
    </row>
    <row r="5027" spans="1:6">
      <c r="A5027" t="str">
        <f t="shared" si="78"/>
        <v/>
      </c>
      <c r="E5027" s="626"/>
      <c r="F5027" s="626"/>
    </row>
    <row r="5028" spans="1:6">
      <c r="A5028" t="str">
        <f t="shared" si="78"/>
        <v/>
      </c>
      <c r="E5028" s="626"/>
      <c r="F5028" s="626"/>
    </row>
    <row r="5029" spans="1:6">
      <c r="A5029" t="str">
        <f t="shared" si="78"/>
        <v/>
      </c>
      <c r="E5029" s="626"/>
      <c r="F5029" s="626"/>
    </row>
    <row r="5030" spans="1:6">
      <c r="A5030" t="str">
        <f t="shared" si="78"/>
        <v/>
      </c>
      <c r="E5030" s="626"/>
      <c r="F5030" s="626"/>
    </row>
    <row r="5031" spans="1:6">
      <c r="A5031" t="str">
        <f t="shared" si="78"/>
        <v/>
      </c>
      <c r="E5031" s="626"/>
      <c r="F5031" s="626"/>
    </row>
    <row r="5032" spans="1:6">
      <c r="A5032" t="str">
        <f t="shared" si="78"/>
        <v/>
      </c>
      <c r="E5032" s="626"/>
      <c r="F5032" s="626"/>
    </row>
    <row r="5033" spans="1:6">
      <c r="A5033" t="str">
        <f t="shared" si="78"/>
        <v/>
      </c>
      <c r="E5033" s="626"/>
      <c r="F5033" s="626"/>
    </row>
    <row r="5034" spans="1:6">
      <c r="A5034" t="str">
        <f t="shared" si="78"/>
        <v/>
      </c>
      <c r="E5034" s="626"/>
      <c r="F5034" s="626"/>
    </row>
    <row r="5035" spans="1:6">
      <c r="A5035" t="str">
        <f t="shared" si="78"/>
        <v/>
      </c>
      <c r="E5035" s="626"/>
      <c r="F5035" s="626"/>
    </row>
    <row r="5036" spans="1:6">
      <c r="A5036" t="str">
        <f t="shared" si="78"/>
        <v/>
      </c>
      <c r="E5036" s="626"/>
      <c r="F5036" s="626"/>
    </row>
    <row r="5037" spans="1:6">
      <c r="A5037" t="str">
        <f t="shared" si="78"/>
        <v/>
      </c>
      <c r="E5037" s="626"/>
      <c r="F5037" s="626"/>
    </row>
    <row r="5038" spans="1:6">
      <c r="A5038" t="str">
        <f t="shared" si="78"/>
        <v/>
      </c>
      <c r="E5038" s="626"/>
      <c r="F5038" s="626"/>
    </row>
    <row r="5039" spans="1:6">
      <c r="A5039" t="str">
        <f t="shared" si="78"/>
        <v/>
      </c>
      <c r="E5039" s="626"/>
      <c r="F5039" s="626"/>
    </row>
    <row r="5040" spans="1:6">
      <c r="A5040" t="str">
        <f t="shared" si="78"/>
        <v/>
      </c>
      <c r="E5040" s="626"/>
      <c r="F5040" s="626"/>
    </row>
    <row r="5041" spans="1:6">
      <c r="A5041" t="str">
        <f t="shared" si="78"/>
        <v/>
      </c>
      <c r="E5041" s="626"/>
      <c r="F5041" s="626"/>
    </row>
    <row r="5042" spans="1:6">
      <c r="A5042" t="str">
        <f t="shared" si="78"/>
        <v/>
      </c>
      <c r="E5042" s="626"/>
      <c r="F5042" s="626"/>
    </row>
    <row r="5043" spans="1:6">
      <c r="A5043" t="str">
        <f t="shared" si="78"/>
        <v/>
      </c>
      <c r="E5043" s="626"/>
      <c r="F5043" s="626"/>
    </row>
    <row r="5044" spans="1:6">
      <c r="A5044" t="str">
        <f t="shared" si="78"/>
        <v/>
      </c>
      <c r="E5044" s="626"/>
      <c r="F5044" s="626"/>
    </row>
    <row r="5045" spans="1:6">
      <c r="A5045" t="str">
        <f t="shared" si="78"/>
        <v/>
      </c>
      <c r="E5045" s="626"/>
      <c r="F5045" s="626"/>
    </row>
    <row r="5046" spans="1:6">
      <c r="A5046" t="str">
        <f t="shared" si="78"/>
        <v/>
      </c>
      <c r="E5046" s="626"/>
      <c r="F5046" s="626"/>
    </row>
    <row r="5047" spans="1:6">
      <c r="A5047" t="str">
        <f t="shared" si="78"/>
        <v/>
      </c>
      <c r="E5047" s="626"/>
      <c r="F5047" s="626"/>
    </row>
    <row r="5048" spans="1:6">
      <c r="A5048" t="str">
        <f t="shared" si="78"/>
        <v/>
      </c>
      <c r="E5048" s="626"/>
      <c r="F5048" s="626"/>
    </row>
    <row r="5049" spans="1:6">
      <c r="A5049" t="str">
        <f t="shared" si="78"/>
        <v/>
      </c>
      <c r="E5049" s="626"/>
      <c r="F5049" s="626"/>
    </row>
    <row r="5050" spans="1:6">
      <c r="A5050" t="str">
        <f t="shared" si="78"/>
        <v/>
      </c>
      <c r="E5050" s="626"/>
      <c r="F5050" s="626"/>
    </row>
    <row r="5051" spans="1:6">
      <c r="A5051" t="str">
        <f t="shared" si="78"/>
        <v/>
      </c>
      <c r="E5051" s="626"/>
      <c r="F5051" s="626"/>
    </row>
    <row r="5052" spans="1:6">
      <c r="A5052" t="str">
        <f t="shared" si="78"/>
        <v/>
      </c>
      <c r="E5052" s="626"/>
      <c r="F5052" s="626"/>
    </row>
    <row r="5053" spans="1:6">
      <c r="A5053" t="str">
        <f t="shared" si="78"/>
        <v/>
      </c>
      <c r="E5053" s="626"/>
      <c r="F5053" s="626"/>
    </row>
    <row r="5054" spans="1:6">
      <c r="A5054" t="str">
        <f t="shared" si="78"/>
        <v/>
      </c>
      <c r="E5054" s="626"/>
      <c r="F5054" s="626"/>
    </row>
    <row r="5055" spans="1:6">
      <c r="A5055" t="str">
        <f t="shared" si="78"/>
        <v/>
      </c>
      <c r="E5055" s="626"/>
      <c r="F5055" s="626"/>
    </row>
    <row r="5056" spans="1:6">
      <c r="A5056" t="str">
        <f t="shared" si="78"/>
        <v/>
      </c>
      <c r="E5056" s="626"/>
      <c r="F5056" s="626"/>
    </row>
    <row r="5057" spans="1:6">
      <c r="A5057" t="str">
        <f t="shared" si="78"/>
        <v/>
      </c>
      <c r="E5057" s="626"/>
      <c r="F5057" s="626"/>
    </row>
    <row r="5058" spans="1:6">
      <c r="A5058" t="str">
        <f t="shared" ref="A5058:A5121" si="79">B5058&amp;E5058&amp;J5058</f>
        <v/>
      </c>
      <c r="E5058" s="626"/>
      <c r="F5058" s="626"/>
    </row>
    <row r="5059" spans="1:6">
      <c r="A5059" t="str">
        <f t="shared" si="79"/>
        <v/>
      </c>
      <c r="E5059" s="626"/>
      <c r="F5059" s="626"/>
    </row>
    <row r="5060" spans="1:6">
      <c r="A5060" t="str">
        <f t="shared" si="79"/>
        <v/>
      </c>
      <c r="E5060" s="626"/>
      <c r="F5060" s="626"/>
    </row>
    <row r="5061" spans="1:6">
      <c r="A5061" t="str">
        <f t="shared" si="79"/>
        <v/>
      </c>
      <c r="E5061" s="626"/>
      <c r="F5061" s="626"/>
    </row>
    <row r="5062" spans="1:6">
      <c r="A5062" t="str">
        <f t="shared" si="79"/>
        <v/>
      </c>
      <c r="E5062" s="626"/>
      <c r="F5062" s="626"/>
    </row>
    <row r="5063" spans="1:6">
      <c r="A5063" t="str">
        <f t="shared" si="79"/>
        <v/>
      </c>
      <c r="E5063" s="626"/>
      <c r="F5063" s="626"/>
    </row>
    <row r="5064" spans="1:6">
      <c r="A5064" t="str">
        <f t="shared" si="79"/>
        <v/>
      </c>
      <c r="E5064" s="626"/>
      <c r="F5064" s="626"/>
    </row>
    <row r="5065" spans="1:6">
      <c r="A5065" t="str">
        <f t="shared" si="79"/>
        <v/>
      </c>
      <c r="E5065" s="626"/>
      <c r="F5065" s="626"/>
    </row>
    <row r="5066" spans="1:6">
      <c r="A5066" t="str">
        <f t="shared" si="79"/>
        <v/>
      </c>
      <c r="E5066" s="626"/>
      <c r="F5066" s="626"/>
    </row>
    <row r="5067" spans="1:6">
      <c r="A5067" t="str">
        <f t="shared" si="79"/>
        <v/>
      </c>
      <c r="E5067" s="626"/>
      <c r="F5067" s="626"/>
    </row>
    <row r="5068" spans="1:6">
      <c r="A5068" t="str">
        <f t="shared" si="79"/>
        <v/>
      </c>
      <c r="E5068" s="626"/>
      <c r="F5068" s="626"/>
    </row>
    <row r="5069" spans="1:6">
      <c r="A5069" t="str">
        <f t="shared" si="79"/>
        <v/>
      </c>
      <c r="E5069" s="626"/>
      <c r="F5069" s="626"/>
    </row>
    <row r="5070" spans="1:6">
      <c r="A5070" t="str">
        <f t="shared" si="79"/>
        <v/>
      </c>
      <c r="E5070" s="626"/>
      <c r="F5070" s="626"/>
    </row>
    <row r="5071" spans="1:6">
      <c r="A5071" t="str">
        <f t="shared" si="79"/>
        <v/>
      </c>
      <c r="E5071" s="626"/>
      <c r="F5071" s="626"/>
    </row>
    <row r="5072" spans="1:6">
      <c r="A5072" t="str">
        <f t="shared" si="79"/>
        <v/>
      </c>
      <c r="E5072" s="626"/>
      <c r="F5072" s="626"/>
    </row>
    <row r="5073" spans="1:6">
      <c r="A5073" t="str">
        <f t="shared" si="79"/>
        <v/>
      </c>
      <c r="E5073" s="626"/>
      <c r="F5073" s="626"/>
    </row>
    <row r="5074" spans="1:6">
      <c r="A5074" t="str">
        <f t="shared" si="79"/>
        <v/>
      </c>
      <c r="E5074" s="626"/>
      <c r="F5074" s="626"/>
    </row>
    <row r="5075" spans="1:6">
      <c r="A5075" t="str">
        <f t="shared" si="79"/>
        <v/>
      </c>
      <c r="E5075" s="626"/>
      <c r="F5075" s="626"/>
    </row>
    <row r="5076" spans="1:6">
      <c r="A5076" t="str">
        <f t="shared" si="79"/>
        <v/>
      </c>
      <c r="E5076" s="626"/>
      <c r="F5076" s="626"/>
    </row>
    <row r="5077" spans="1:6">
      <c r="A5077" t="str">
        <f t="shared" si="79"/>
        <v/>
      </c>
      <c r="E5077" s="626"/>
      <c r="F5077" s="626"/>
    </row>
    <row r="5078" spans="1:6">
      <c r="A5078" t="str">
        <f t="shared" si="79"/>
        <v/>
      </c>
      <c r="E5078" s="626"/>
      <c r="F5078" s="626"/>
    </row>
    <row r="5079" spans="1:6">
      <c r="A5079" t="str">
        <f t="shared" si="79"/>
        <v/>
      </c>
      <c r="E5079" s="626"/>
      <c r="F5079" s="626"/>
    </row>
    <row r="5080" spans="1:6">
      <c r="A5080" t="str">
        <f t="shared" si="79"/>
        <v/>
      </c>
      <c r="E5080" s="626"/>
      <c r="F5080" s="626"/>
    </row>
    <row r="5081" spans="1:6">
      <c r="A5081" t="str">
        <f t="shared" si="79"/>
        <v/>
      </c>
      <c r="E5081" s="626"/>
      <c r="F5081" s="626"/>
    </row>
    <row r="5082" spans="1:6">
      <c r="A5082" t="str">
        <f t="shared" si="79"/>
        <v/>
      </c>
      <c r="E5082" s="626"/>
      <c r="F5082" s="626"/>
    </row>
    <row r="5083" spans="1:6">
      <c r="A5083" t="str">
        <f t="shared" si="79"/>
        <v/>
      </c>
      <c r="E5083" s="626"/>
      <c r="F5083" s="626"/>
    </row>
    <row r="5084" spans="1:6">
      <c r="A5084" t="str">
        <f t="shared" si="79"/>
        <v/>
      </c>
      <c r="E5084" s="626"/>
      <c r="F5084" s="626"/>
    </row>
    <row r="5085" spans="1:6">
      <c r="A5085" t="str">
        <f t="shared" si="79"/>
        <v/>
      </c>
      <c r="E5085" s="626"/>
      <c r="F5085" s="626"/>
    </row>
    <row r="5086" spans="1:6">
      <c r="A5086" t="str">
        <f t="shared" si="79"/>
        <v/>
      </c>
      <c r="E5086" s="626"/>
      <c r="F5086" s="626"/>
    </row>
    <row r="5087" spans="1:6">
      <c r="A5087" t="str">
        <f t="shared" si="79"/>
        <v/>
      </c>
      <c r="E5087" s="626"/>
      <c r="F5087" s="626"/>
    </row>
    <row r="5088" spans="1:6">
      <c r="A5088" t="str">
        <f t="shared" si="79"/>
        <v/>
      </c>
      <c r="E5088" s="626"/>
      <c r="F5088" s="626"/>
    </row>
    <row r="5089" spans="1:6">
      <c r="A5089" t="str">
        <f t="shared" si="79"/>
        <v/>
      </c>
      <c r="E5089" s="626"/>
      <c r="F5089" s="626"/>
    </row>
    <row r="5090" spans="1:6">
      <c r="A5090" t="str">
        <f t="shared" si="79"/>
        <v/>
      </c>
      <c r="E5090" s="626"/>
      <c r="F5090" s="626"/>
    </row>
    <row r="5091" spans="1:6">
      <c r="A5091" t="str">
        <f t="shared" si="79"/>
        <v/>
      </c>
      <c r="E5091" s="626"/>
      <c r="F5091" s="626"/>
    </row>
    <row r="5092" spans="1:6">
      <c r="A5092" t="str">
        <f t="shared" si="79"/>
        <v/>
      </c>
      <c r="E5092" s="626"/>
      <c r="F5092" s="626"/>
    </row>
    <row r="5093" spans="1:6">
      <c r="A5093" t="str">
        <f t="shared" si="79"/>
        <v/>
      </c>
      <c r="E5093" s="626"/>
      <c r="F5093" s="626"/>
    </row>
    <row r="5094" spans="1:6">
      <c r="A5094" t="str">
        <f t="shared" si="79"/>
        <v/>
      </c>
      <c r="E5094" s="626"/>
      <c r="F5094" s="626"/>
    </row>
    <row r="5095" spans="1:6">
      <c r="A5095" t="str">
        <f t="shared" si="79"/>
        <v/>
      </c>
      <c r="E5095" s="626"/>
      <c r="F5095" s="626"/>
    </row>
    <row r="5096" spans="1:6">
      <c r="A5096" t="str">
        <f t="shared" si="79"/>
        <v/>
      </c>
      <c r="E5096" s="626"/>
      <c r="F5096" s="626"/>
    </row>
    <row r="5097" spans="1:6">
      <c r="A5097" t="str">
        <f t="shared" si="79"/>
        <v/>
      </c>
      <c r="E5097" s="626"/>
      <c r="F5097" s="626"/>
    </row>
    <row r="5098" spans="1:6">
      <c r="A5098" t="str">
        <f t="shared" si="79"/>
        <v/>
      </c>
      <c r="E5098" s="626"/>
      <c r="F5098" s="626"/>
    </row>
    <row r="5099" spans="1:6">
      <c r="A5099" t="str">
        <f t="shared" si="79"/>
        <v/>
      </c>
      <c r="E5099" s="626"/>
      <c r="F5099" s="626"/>
    </row>
    <row r="5100" spans="1:6">
      <c r="A5100" t="str">
        <f t="shared" si="79"/>
        <v/>
      </c>
      <c r="E5100" s="626"/>
      <c r="F5100" s="626"/>
    </row>
    <row r="5101" spans="1:6">
      <c r="A5101" t="str">
        <f t="shared" si="79"/>
        <v/>
      </c>
      <c r="E5101" s="626"/>
      <c r="F5101" s="626"/>
    </row>
    <row r="5102" spans="1:6">
      <c r="A5102" t="str">
        <f t="shared" si="79"/>
        <v/>
      </c>
      <c r="E5102" s="626"/>
      <c r="F5102" s="626"/>
    </row>
    <row r="5103" spans="1:6">
      <c r="A5103" t="str">
        <f t="shared" si="79"/>
        <v/>
      </c>
      <c r="E5103" s="626"/>
      <c r="F5103" s="626"/>
    </row>
    <row r="5104" spans="1:6">
      <c r="A5104" t="str">
        <f t="shared" si="79"/>
        <v/>
      </c>
      <c r="E5104" s="626"/>
      <c r="F5104" s="626"/>
    </row>
    <row r="5105" spans="1:6">
      <c r="A5105" t="str">
        <f t="shared" si="79"/>
        <v/>
      </c>
      <c r="E5105" s="626"/>
      <c r="F5105" s="626"/>
    </row>
    <row r="5106" spans="1:6">
      <c r="A5106" t="str">
        <f t="shared" si="79"/>
        <v/>
      </c>
      <c r="E5106" s="626"/>
      <c r="F5106" s="626"/>
    </row>
    <row r="5107" spans="1:6">
      <c r="A5107" t="str">
        <f t="shared" si="79"/>
        <v/>
      </c>
      <c r="E5107" s="626"/>
      <c r="F5107" s="626"/>
    </row>
    <row r="5108" spans="1:6">
      <c r="A5108" t="str">
        <f t="shared" si="79"/>
        <v/>
      </c>
      <c r="E5108" s="626"/>
      <c r="F5108" s="626"/>
    </row>
    <row r="5109" spans="1:6">
      <c r="A5109" t="str">
        <f t="shared" si="79"/>
        <v/>
      </c>
      <c r="E5109" s="626"/>
      <c r="F5109" s="626"/>
    </row>
    <row r="5110" spans="1:6">
      <c r="A5110" t="str">
        <f t="shared" si="79"/>
        <v/>
      </c>
      <c r="E5110" s="626"/>
      <c r="F5110" s="626"/>
    </row>
    <row r="5111" spans="1:6">
      <c r="A5111" t="str">
        <f t="shared" si="79"/>
        <v/>
      </c>
      <c r="E5111" s="626"/>
      <c r="F5111" s="626"/>
    </row>
    <row r="5112" spans="1:6">
      <c r="A5112" t="str">
        <f t="shared" si="79"/>
        <v/>
      </c>
      <c r="E5112" s="626"/>
      <c r="F5112" s="626"/>
    </row>
    <row r="5113" spans="1:6">
      <c r="A5113" t="str">
        <f t="shared" si="79"/>
        <v/>
      </c>
      <c r="E5113" s="626"/>
      <c r="F5113" s="626"/>
    </row>
    <row r="5114" spans="1:6">
      <c r="A5114" t="str">
        <f t="shared" si="79"/>
        <v/>
      </c>
      <c r="E5114" s="626"/>
      <c r="F5114" s="626"/>
    </row>
    <row r="5115" spans="1:6">
      <c r="A5115" t="str">
        <f t="shared" si="79"/>
        <v/>
      </c>
      <c r="E5115" s="626"/>
      <c r="F5115" s="626"/>
    </row>
    <row r="5116" spans="1:6">
      <c r="A5116" t="str">
        <f t="shared" si="79"/>
        <v/>
      </c>
      <c r="E5116" s="626"/>
      <c r="F5116" s="626"/>
    </row>
    <row r="5117" spans="1:6">
      <c r="A5117" t="str">
        <f t="shared" si="79"/>
        <v/>
      </c>
      <c r="E5117" s="626"/>
      <c r="F5117" s="626"/>
    </row>
    <row r="5118" spans="1:6">
      <c r="A5118" t="str">
        <f t="shared" si="79"/>
        <v/>
      </c>
      <c r="E5118" s="626"/>
      <c r="F5118" s="626"/>
    </row>
    <row r="5119" spans="1:6">
      <c r="A5119" t="str">
        <f t="shared" si="79"/>
        <v/>
      </c>
      <c r="E5119" s="626"/>
      <c r="F5119" s="626"/>
    </row>
    <row r="5120" spans="1:6">
      <c r="A5120" t="str">
        <f t="shared" si="79"/>
        <v/>
      </c>
      <c r="E5120" s="626"/>
      <c r="F5120" s="626"/>
    </row>
    <row r="5121" spans="1:6">
      <c r="A5121" t="str">
        <f t="shared" si="79"/>
        <v/>
      </c>
      <c r="E5121" s="626"/>
      <c r="F5121" s="626"/>
    </row>
    <row r="5122" spans="1:6">
      <c r="A5122" t="str">
        <f t="shared" ref="A5122:A5185" si="80">B5122&amp;E5122&amp;J5122</f>
        <v/>
      </c>
      <c r="E5122" s="626"/>
      <c r="F5122" s="626"/>
    </row>
    <row r="5123" spans="1:6">
      <c r="A5123" t="str">
        <f t="shared" si="80"/>
        <v/>
      </c>
      <c r="E5123" s="626"/>
      <c r="F5123" s="626"/>
    </row>
    <row r="5124" spans="1:6">
      <c r="A5124" t="str">
        <f t="shared" si="80"/>
        <v/>
      </c>
      <c r="E5124" s="626"/>
      <c r="F5124" s="626"/>
    </row>
    <row r="5125" spans="1:6">
      <c r="A5125" t="str">
        <f t="shared" si="80"/>
        <v/>
      </c>
      <c r="E5125" s="626"/>
      <c r="F5125" s="626"/>
    </row>
    <row r="5126" spans="1:6">
      <c r="A5126" t="str">
        <f t="shared" si="80"/>
        <v/>
      </c>
      <c r="E5126" s="626"/>
      <c r="F5126" s="626"/>
    </row>
    <row r="5127" spans="1:6">
      <c r="A5127" t="str">
        <f t="shared" si="80"/>
        <v/>
      </c>
      <c r="E5127" s="626"/>
      <c r="F5127" s="626"/>
    </row>
    <row r="5128" spans="1:6">
      <c r="A5128" t="str">
        <f t="shared" si="80"/>
        <v/>
      </c>
      <c r="E5128" s="626"/>
      <c r="F5128" s="626"/>
    </row>
    <row r="5129" spans="1:6">
      <c r="A5129" t="str">
        <f t="shared" si="80"/>
        <v/>
      </c>
      <c r="E5129" s="626"/>
      <c r="F5129" s="626"/>
    </row>
    <row r="5130" spans="1:6">
      <c r="A5130" t="str">
        <f t="shared" si="80"/>
        <v/>
      </c>
      <c r="E5130" s="626"/>
      <c r="F5130" s="626"/>
    </row>
    <row r="5131" spans="1:6">
      <c r="A5131" t="str">
        <f t="shared" si="80"/>
        <v/>
      </c>
      <c r="E5131" s="626"/>
      <c r="F5131" s="626"/>
    </row>
    <row r="5132" spans="1:6">
      <c r="A5132" t="str">
        <f t="shared" si="80"/>
        <v/>
      </c>
      <c r="E5132" s="626"/>
      <c r="F5132" s="626"/>
    </row>
    <row r="5133" spans="1:6">
      <c r="A5133" t="str">
        <f t="shared" si="80"/>
        <v/>
      </c>
      <c r="E5133" s="626"/>
      <c r="F5133" s="626"/>
    </row>
    <row r="5134" spans="1:6">
      <c r="A5134" t="str">
        <f t="shared" si="80"/>
        <v/>
      </c>
      <c r="E5134" s="626"/>
      <c r="F5134" s="626"/>
    </row>
    <row r="5135" spans="1:6">
      <c r="A5135" t="str">
        <f t="shared" si="80"/>
        <v/>
      </c>
      <c r="E5135" s="626"/>
      <c r="F5135" s="626"/>
    </row>
    <row r="5136" spans="1:6">
      <c r="A5136" t="str">
        <f t="shared" si="80"/>
        <v/>
      </c>
      <c r="E5136" s="626"/>
      <c r="F5136" s="626"/>
    </row>
    <row r="5137" spans="1:6">
      <c r="A5137" t="str">
        <f t="shared" si="80"/>
        <v/>
      </c>
      <c r="E5137" s="626"/>
      <c r="F5137" s="626"/>
    </row>
    <row r="5138" spans="1:6">
      <c r="A5138" t="str">
        <f t="shared" si="80"/>
        <v/>
      </c>
      <c r="E5138" s="626"/>
      <c r="F5138" s="626"/>
    </row>
    <row r="5139" spans="1:6">
      <c r="A5139" t="str">
        <f t="shared" si="80"/>
        <v/>
      </c>
      <c r="E5139" s="626"/>
      <c r="F5139" s="626"/>
    </row>
    <row r="5140" spans="1:6">
      <c r="A5140" t="str">
        <f t="shared" si="80"/>
        <v/>
      </c>
      <c r="E5140" s="626"/>
      <c r="F5140" s="626"/>
    </row>
    <row r="5141" spans="1:6">
      <c r="A5141" t="str">
        <f t="shared" si="80"/>
        <v/>
      </c>
      <c r="E5141" s="626"/>
      <c r="F5141" s="626"/>
    </row>
    <row r="5142" spans="1:6">
      <c r="A5142" t="str">
        <f t="shared" si="80"/>
        <v/>
      </c>
      <c r="E5142" s="626"/>
      <c r="F5142" s="626"/>
    </row>
    <row r="5143" spans="1:6">
      <c r="A5143" t="str">
        <f t="shared" si="80"/>
        <v/>
      </c>
      <c r="E5143" s="626"/>
      <c r="F5143" s="626"/>
    </row>
    <row r="5144" spans="1:6">
      <c r="A5144" t="str">
        <f t="shared" si="80"/>
        <v/>
      </c>
      <c r="E5144" s="626"/>
      <c r="F5144" s="626"/>
    </row>
    <row r="5145" spans="1:6">
      <c r="A5145" t="str">
        <f t="shared" si="80"/>
        <v/>
      </c>
      <c r="E5145" s="626"/>
      <c r="F5145" s="626"/>
    </row>
    <row r="5146" spans="1:6">
      <c r="A5146" t="str">
        <f t="shared" si="80"/>
        <v/>
      </c>
      <c r="E5146" s="626"/>
      <c r="F5146" s="626"/>
    </row>
    <row r="5147" spans="1:6">
      <c r="A5147" t="str">
        <f t="shared" si="80"/>
        <v/>
      </c>
      <c r="E5147" s="626"/>
      <c r="F5147" s="626"/>
    </row>
    <row r="5148" spans="1:6">
      <c r="A5148" t="str">
        <f t="shared" si="80"/>
        <v/>
      </c>
      <c r="E5148" s="626"/>
      <c r="F5148" s="626"/>
    </row>
    <row r="5149" spans="1:6">
      <c r="A5149" t="str">
        <f t="shared" si="80"/>
        <v/>
      </c>
      <c r="E5149" s="626"/>
      <c r="F5149" s="626"/>
    </row>
    <row r="5150" spans="1:6">
      <c r="A5150" t="str">
        <f t="shared" si="80"/>
        <v/>
      </c>
      <c r="E5150" s="626"/>
      <c r="F5150" s="626"/>
    </row>
    <row r="5151" spans="1:6">
      <c r="A5151" t="str">
        <f t="shared" si="80"/>
        <v/>
      </c>
      <c r="E5151" s="626"/>
      <c r="F5151" s="626"/>
    </row>
    <row r="5152" spans="1:6">
      <c r="A5152" t="str">
        <f t="shared" si="80"/>
        <v/>
      </c>
      <c r="E5152" s="626"/>
      <c r="F5152" s="626"/>
    </row>
    <row r="5153" spans="1:6">
      <c r="A5153" t="str">
        <f t="shared" si="80"/>
        <v/>
      </c>
      <c r="E5153" s="626"/>
      <c r="F5153" s="626"/>
    </row>
    <row r="5154" spans="1:6">
      <c r="A5154" t="str">
        <f t="shared" si="80"/>
        <v/>
      </c>
      <c r="E5154" s="626"/>
      <c r="F5154" s="626"/>
    </row>
    <row r="5155" spans="1:6">
      <c r="A5155" t="str">
        <f t="shared" si="80"/>
        <v/>
      </c>
      <c r="E5155" s="626"/>
      <c r="F5155" s="626"/>
    </row>
    <row r="5156" spans="1:6">
      <c r="A5156" t="str">
        <f t="shared" si="80"/>
        <v/>
      </c>
      <c r="E5156" s="626"/>
      <c r="F5156" s="626"/>
    </row>
    <row r="5157" spans="1:6">
      <c r="A5157" t="str">
        <f t="shared" si="80"/>
        <v/>
      </c>
      <c r="E5157" s="626"/>
      <c r="F5157" s="626"/>
    </row>
    <row r="5158" spans="1:6">
      <c r="A5158" t="str">
        <f t="shared" si="80"/>
        <v/>
      </c>
      <c r="E5158" s="626"/>
      <c r="F5158" s="626"/>
    </row>
    <row r="5159" spans="1:6">
      <c r="A5159" t="str">
        <f t="shared" si="80"/>
        <v/>
      </c>
      <c r="E5159" s="626"/>
      <c r="F5159" s="626"/>
    </row>
    <row r="5160" spans="1:6">
      <c r="A5160" t="str">
        <f t="shared" si="80"/>
        <v/>
      </c>
      <c r="E5160" s="626"/>
      <c r="F5160" s="626"/>
    </row>
    <row r="5161" spans="1:6">
      <c r="A5161" t="str">
        <f t="shared" si="80"/>
        <v/>
      </c>
      <c r="E5161" s="626"/>
      <c r="F5161" s="626"/>
    </row>
    <row r="5162" spans="1:6">
      <c r="A5162" t="str">
        <f t="shared" si="80"/>
        <v/>
      </c>
      <c r="E5162" s="626"/>
      <c r="F5162" s="626"/>
    </row>
    <row r="5163" spans="1:6">
      <c r="A5163" t="str">
        <f t="shared" si="80"/>
        <v/>
      </c>
      <c r="E5163" s="626"/>
      <c r="F5163" s="626"/>
    </row>
    <row r="5164" spans="1:6">
      <c r="A5164" t="str">
        <f t="shared" si="80"/>
        <v/>
      </c>
      <c r="E5164" s="626"/>
      <c r="F5164" s="626"/>
    </row>
    <row r="5165" spans="1:6">
      <c r="A5165" t="str">
        <f t="shared" si="80"/>
        <v/>
      </c>
      <c r="E5165" s="626"/>
      <c r="F5165" s="626"/>
    </row>
    <row r="5166" spans="1:6">
      <c r="A5166" t="str">
        <f t="shared" si="80"/>
        <v/>
      </c>
      <c r="E5166" s="626"/>
      <c r="F5166" s="626"/>
    </row>
    <row r="5167" spans="1:6">
      <c r="A5167" t="str">
        <f t="shared" si="80"/>
        <v/>
      </c>
      <c r="E5167" s="626"/>
      <c r="F5167" s="626"/>
    </row>
    <row r="5168" spans="1:6">
      <c r="A5168" t="str">
        <f t="shared" si="80"/>
        <v/>
      </c>
      <c r="E5168" s="626"/>
      <c r="F5168" s="626"/>
    </row>
    <row r="5169" spans="1:6">
      <c r="A5169" t="str">
        <f t="shared" si="80"/>
        <v/>
      </c>
      <c r="E5169" s="626"/>
      <c r="F5169" s="626"/>
    </row>
    <row r="5170" spans="1:6">
      <c r="A5170" t="str">
        <f t="shared" si="80"/>
        <v/>
      </c>
      <c r="E5170" s="626"/>
      <c r="F5170" s="626"/>
    </row>
    <row r="5171" spans="1:6">
      <c r="A5171" t="str">
        <f t="shared" si="80"/>
        <v/>
      </c>
      <c r="E5171" s="626"/>
      <c r="F5171" s="626"/>
    </row>
    <row r="5172" spans="1:6">
      <c r="A5172" t="str">
        <f t="shared" si="80"/>
        <v/>
      </c>
      <c r="E5172" s="626"/>
      <c r="F5172" s="626"/>
    </row>
    <row r="5173" spans="1:6">
      <c r="A5173" t="str">
        <f t="shared" si="80"/>
        <v/>
      </c>
      <c r="E5173" s="626"/>
      <c r="F5173" s="626"/>
    </row>
    <row r="5174" spans="1:6">
      <c r="A5174" t="str">
        <f t="shared" si="80"/>
        <v/>
      </c>
      <c r="E5174" s="626"/>
      <c r="F5174" s="626"/>
    </row>
    <row r="5175" spans="1:6">
      <c r="A5175" t="str">
        <f t="shared" si="80"/>
        <v/>
      </c>
      <c r="E5175" s="626"/>
      <c r="F5175" s="626"/>
    </row>
    <row r="5176" spans="1:6">
      <c r="A5176" t="str">
        <f t="shared" si="80"/>
        <v/>
      </c>
      <c r="E5176" s="626"/>
      <c r="F5176" s="626"/>
    </row>
    <row r="5177" spans="1:6">
      <c r="A5177" t="str">
        <f t="shared" si="80"/>
        <v/>
      </c>
      <c r="E5177" s="626"/>
      <c r="F5177" s="626"/>
    </row>
    <row r="5178" spans="1:6">
      <c r="A5178" t="str">
        <f t="shared" si="80"/>
        <v/>
      </c>
      <c r="E5178" s="626"/>
      <c r="F5178" s="626"/>
    </row>
    <row r="5179" spans="1:6">
      <c r="A5179" t="str">
        <f t="shared" si="80"/>
        <v/>
      </c>
      <c r="E5179" s="626"/>
      <c r="F5179" s="626"/>
    </row>
    <row r="5180" spans="1:6">
      <c r="A5180" t="str">
        <f t="shared" si="80"/>
        <v/>
      </c>
      <c r="E5180" s="626"/>
      <c r="F5180" s="626"/>
    </row>
    <row r="5181" spans="1:6">
      <c r="A5181" t="str">
        <f t="shared" si="80"/>
        <v/>
      </c>
      <c r="E5181" s="626"/>
      <c r="F5181" s="626"/>
    </row>
    <row r="5182" spans="1:6">
      <c r="A5182" t="str">
        <f t="shared" si="80"/>
        <v/>
      </c>
      <c r="E5182" s="626"/>
      <c r="F5182" s="626"/>
    </row>
    <row r="5183" spans="1:6">
      <c r="A5183" t="str">
        <f t="shared" si="80"/>
        <v/>
      </c>
      <c r="E5183" s="626"/>
      <c r="F5183" s="626"/>
    </row>
    <row r="5184" spans="1:6">
      <c r="A5184" t="str">
        <f t="shared" si="80"/>
        <v/>
      </c>
      <c r="E5184" s="626"/>
      <c r="F5184" s="626"/>
    </row>
    <row r="5185" spans="1:6">
      <c r="A5185" t="str">
        <f t="shared" si="80"/>
        <v/>
      </c>
      <c r="E5185" s="626"/>
      <c r="F5185" s="626"/>
    </row>
    <row r="5186" spans="1:6">
      <c r="A5186" t="str">
        <f t="shared" ref="A5186:A5249" si="81">B5186&amp;E5186&amp;J5186</f>
        <v/>
      </c>
      <c r="E5186" s="626"/>
      <c r="F5186" s="626"/>
    </row>
    <row r="5187" spans="1:6">
      <c r="A5187" t="str">
        <f t="shared" si="81"/>
        <v/>
      </c>
      <c r="E5187" s="626"/>
      <c r="F5187" s="626"/>
    </row>
    <row r="5188" spans="1:6">
      <c r="A5188" t="str">
        <f t="shared" si="81"/>
        <v/>
      </c>
      <c r="E5188" s="626"/>
      <c r="F5188" s="626"/>
    </row>
    <row r="5189" spans="1:6">
      <c r="A5189" t="str">
        <f t="shared" si="81"/>
        <v/>
      </c>
      <c r="E5189" s="626"/>
      <c r="F5189" s="626"/>
    </row>
    <row r="5190" spans="1:6">
      <c r="A5190" t="str">
        <f t="shared" si="81"/>
        <v/>
      </c>
      <c r="E5190" s="626"/>
      <c r="F5190" s="626"/>
    </row>
    <row r="5191" spans="1:6">
      <c r="A5191" t="str">
        <f t="shared" si="81"/>
        <v/>
      </c>
      <c r="E5191" s="626"/>
      <c r="F5191" s="626"/>
    </row>
    <row r="5192" spans="1:6">
      <c r="A5192" t="str">
        <f t="shared" si="81"/>
        <v/>
      </c>
      <c r="E5192" s="626"/>
      <c r="F5192" s="626"/>
    </row>
    <row r="5193" spans="1:6">
      <c r="A5193" t="str">
        <f t="shared" si="81"/>
        <v/>
      </c>
      <c r="E5193" s="626"/>
      <c r="F5193" s="626"/>
    </row>
    <row r="5194" spans="1:6">
      <c r="A5194" t="str">
        <f t="shared" si="81"/>
        <v/>
      </c>
      <c r="E5194" s="626"/>
      <c r="F5194" s="626"/>
    </row>
    <row r="5195" spans="1:6">
      <c r="A5195" t="str">
        <f t="shared" si="81"/>
        <v/>
      </c>
      <c r="E5195" s="626"/>
      <c r="F5195" s="626"/>
    </row>
    <row r="5196" spans="1:6">
      <c r="A5196" t="str">
        <f t="shared" si="81"/>
        <v/>
      </c>
      <c r="E5196" s="626"/>
      <c r="F5196" s="626"/>
    </row>
    <row r="5197" spans="1:6">
      <c r="A5197" t="str">
        <f t="shared" si="81"/>
        <v/>
      </c>
      <c r="E5197" s="626"/>
      <c r="F5197" s="626"/>
    </row>
    <row r="5198" spans="1:6">
      <c r="A5198" t="str">
        <f t="shared" si="81"/>
        <v/>
      </c>
      <c r="E5198" s="626"/>
      <c r="F5198" s="626"/>
    </row>
    <row r="5199" spans="1:6">
      <c r="A5199" t="str">
        <f t="shared" si="81"/>
        <v/>
      </c>
      <c r="E5199" s="626"/>
      <c r="F5199" s="626"/>
    </row>
    <row r="5200" spans="1:6">
      <c r="A5200" t="str">
        <f t="shared" si="81"/>
        <v/>
      </c>
      <c r="E5200" s="626"/>
      <c r="F5200" s="626"/>
    </row>
    <row r="5201" spans="1:6">
      <c r="A5201" t="str">
        <f t="shared" si="81"/>
        <v/>
      </c>
      <c r="E5201" s="626"/>
      <c r="F5201" s="626"/>
    </row>
    <row r="5202" spans="1:6">
      <c r="A5202" t="str">
        <f t="shared" si="81"/>
        <v/>
      </c>
      <c r="E5202" s="626"/>
      <c r="F5202" s="626"/>
    </row>
    <row r="5203" spans="1:6">
      <c r="A5203" t="str">
        <f t="shared" si="81"/>
        <v/>
      </c>
      <c r="E5203" s="626"/>
      <c r="F5203" s="626"/>
    </row>
    <row r="5204" spans="1:6">
      <c r="A5204" t="str">
        <f t="shared" si="81"/>
        <v/>
      </c>
      <c r="E5204" s="626"/>
      <c r="F5204" s="626"/>
    </row>
    <row r="5205" spans="1:6">
      <c r="A5205" t="str">
        <f t="shared" si="81"/>
        <v/>
      </c>
      <c r="E5205" s="626"/>
      <c r="F5205" s="626"/>
    </row>
    <row r="5206" spans="1:6">
      <c r="A5206" t="str">
        <f t="shared" si="81"/>
        <v/>
      </c>
      <c r="E5206" s="626"/>
      <c r="F5206" s="626"/>
    </row>
    <row r="5207" spans="1:6">
      <c r="A5207" t="str">
        <f t="shared" si="81"/>
        <v/>
      </c>
      <c r="E5207" s="626"/>
      <c r="F5207" s="626"/>
    </row>
    <row r="5208" spans="1:6">
      <c r="A5208" t="str">
        <f t="shared" si="81"/>
        <v/>
      </c>
      <c r="E5208" s="626"/>
      <c r="F5208" s="626"/>
    </row>
    <row r="5209" spans="1:6">
      <c r="A5209" t="str">
        <f t="shared" si="81"/>
        <v/>
      </c>
      <c r="E5209" s="626"/>
      <c r="F5209" s="626"/>
    </row>
    <row r="5210" spans="1:6">
      <c r="A5210" t="str">
        <f t="shared" si="81"/>
        <v/>
      </c>
      <c r="E5210" s="626"/>
      <c r="F5210" s="626"/>
    </row>
    <row r="5211" spans="1:6">
      <c r="A5211" t="str">
        <f t="shared" si="81"/>
        <v/>
      </c>
      <c r="E5211" s="626"/>
      <c r="F5211" s="626"/>
    </row>
    <row r="5212" spans="1:6">
      <c r="A5212" t="str">
        <f t="shared" si="81"/>
        <v/>
      </c>
      <c r="E5212" s="626"/>
      <c r="F5212" s="626"/>
    </row>
    <row r="5213" spans="1:6">
      <c r="A5213" t="str">
        <f t="shared" si="81"/>
        <v/>
      </c>
      <c r="E5213" s="626"/>
      <c r="F5213" s="626"/>
    </row>
    <row r="5214" spans="1:6">
      <c r="A5214" t="str">
        <f t="shared" si="81"/>
        <v/>
      </c>
      <c r="E5214" s="626"/>
      <c r="F5214" s="626"/>
    </row>
    <row r="5215" spans="1:6">
      <c r="A5215" t="str">
        <f t="shared" si="81"/>
        <v/>
      </c>
      <c r="E5215" s="626"/>
      <c r="F5215" s="626"/>
    </row>
    <row r="5216" spans="1:6">
      <c r="A5216" t="str">
        <f t="shared" si="81"/>
        <v/>
      </c>
      <c r="E5216" s="626"/>
      <c r="F5216" s="626"/>
    </row>
    <row r="5217" spans="1:6">
      <c r="A5217" t="str">
        <f t="shared" si="81"/>
        <v/>
      </c>
      <c r="E5217" s="626"/>
      <c r="F5217" s="626"/>
    </row>
    <row r="5218" spans="1:6">
      <c r="A5218" t="str">
        <f t="shared" si="81"/>
        <v/>
      </c>
      <c r="E5218" s="626"/>
      <c r="F5218" s="626"/>
    </row>
    <row r="5219" spans="1:6">
      <c r="A5219" t="str">
        <f t="shared" si="81"/>
        <v/>
      </c>
      <c r="E5219" s="626"/>
      <c r="F5219" s="626"/>
    </row>
    <row r="5220" spans="1:6">
      <c r="A5220" t="str">
        <f t="shared" si="81"/>
        <v/>
      </c>
      <c r="E5220" s="626"/>
      <c r="F5220" s="626"/>
    </row>
    <row r="5221" spans="1:6">
      <c r="A5221" t="str">
        <f t="shared" si="81"/>
        <v/>
      </c>
      <c r="E5221" s="626"/>
      <c r="F5221" s="626"/>
    </row>
    <row r="5222" spans="1:6">
      <c r="A5222" t="str">
        <f t="shared" si="81"/>
        <v/>
      </c>
      <c r="E5222" s="626"/>
      <c r="F5222" s="626"/>
    </row>
    <row r="5223" spans="1:6">
      <c r="A5223" t="str">
        <f t="shared" si="81"/>
        <v/>
      </c>
      <c r="E5223" s="626"/>
      <c r="F5223" s="626"/>
    </row>
    <row r="5224" spans="1:6">
      <c r="A5224" t="str">
        <f t="shared" si="81"/>
        <v/>
      </c>
      <c r="E5224" s="626"/>
      <c r="F5224" s="626"/>
    </row>
    <row r="5225" spans="1:6">
      <c r="A5225" t="str">
        <f t="shared" si="81"/>
        <v/>
      </c>
      <c r="E5225" s="626"/>
      <c r="F5225" s="626"/>
    </row>
    <row r="5226" spans="1:6">
      <c r="A5226" t="str">
        <f t="shared" si="81"/>
        <v/>
      </c>
      <c r="E5226" s="626"/>
      <c r="F5226" s="626"/>
    </row>
    <row r="5227" spans="1:6">
      <c r="A5227" t="str">
        <f t="shared" si="81"/>
        <v/>
      </c>
      <c r="E5227" s="626"/>
      <c r="F5227" s="626"/>
    </row>
    <row r="5228" spans="1:6">
      <c r="A5228" t="str">
        <f t="shared" si="81"/>
        <v/>
      </c>
      <c r="E5228" s="626"/>
      <c r="F5228" s="626"/>
    </row>
    <row r="5229" spans="1:6">
      <c r="A5229" t="str">
        <f t="shared" si="81"/>
        <v/>
      </c>
      <c r="E5229" s="626"/>
      <c r="F5229" s="626"/>
    </row>
    <row r="5230" spans="1:6">
      <c r="A5230" t="str">
        <f t="shared" si="81"/>
        <v/>
      </c>
      <c r="E5230" s="626"/>
      <c r="F5230" s="626"/>
    </row>
    <row r="5231" spans="1:6">
      <c r="A5231" t="str">
        <f t="shared" si="81"/>
        <v/>
      </c>
      <c r="E5231" s="626"/>
      <c r="F5231" s="626"/>
    </row>
    <row r="5232" spans="1:6">
      <c r="A5232" t="str">
        <f t="shared" si="81"/>
        <v/>
      </c>
      <c r="E5232" s="626"/>
      <c r="F5232" s="626"/>
    </row>
    <row r="5233" spans="1:6">
      <c r="A5233" t="str">
        <f t="shared" si="81"/>
        <v/>
      </c>
      <c r="E5233" s="626"/>
      <c r="F5233" s="626"/>
    </row>
    <row r="5234" spans="1:6">
      <c r="A5234" t="str">
        <f t="shared" si="81"/>
        <v/>
      </c>
      <c r="E5234" s="626"/>
      <c r="F5234" s="626"/>
    </row>
    <row r="5235" spans="1:6">
      <c r="A5235" t="str">
        <f t="shared" si="81"/>
        <v/>
      </c>
      <c r="E5235" s="626"/>
      <c r="F5235" s="626"/>
    </row>
    <row r="5236" spans="1:6">
      <c r="A5236" t="str">
        <f t="shared" si="81"/>
        <v/>
      </c>
      <c r="E5236" s="626"/>
      <c r="F5236" s="626"/>
    </row>
    <row r="5237" spans="1:6">
      <c r="A5237" t="str">
        <f t="shared" si="81"/>
        <v/>
      </c>
      <c r="E5237" s="626"/>
      <c r="F5237" s="626"/>
    </row>
    <row r="5238" spans="1:6">
      <c r="A5238" t="str">
        <f t="shared" si="81"/>
        <v/>
      </c>
      <c r="E5238" s="626"/>
      <c r="F5238" s="626"/>
    </row>
    <row r="5239" spans="1:6">
      <c r="A5239" t="str">
        <f t="shared" si="81"/>
        <v/>
      </c>
      <c r="E5239" s="626"/>
      <c r="F5239" s="626"/>
    </row>
    <row r="5240" spans="1:6">
      <c r="A5240" t="str">
        <f t="shared" si="81"/>
        <v/>
      </c>
      <c r="E5240" s="626"/>
      <c r="F5240" s="626"/>
    </row>
    <row r="5241" spans="1:6">
      <c r="A5241" t="str">
        <f t="shared" si="81"/>
        <v/>
      </c>
      <c r="E5241" s="626"/>
      <c r="F5241" s="626"/>
    </row>
    <row r="5242" spans="1:6">
      <c r="A5242" t="str">
        <f t="shared" si="81"/>
        <v/>
      </c>
      <c r="E5242" s="626"/>
      <c r="F5242" s="626"/>
    </row>
    <row r="5243" spans="1:6">
      <c r="A5243" t="str">
        <f t="shared" si="81"/>
        <v/>
      </c>
      <c r="E5243" s="626"/>
      <c r="F5243" s="626"/>
    </row>
    <row r="5244" spans="1:6">
      <c r="A5244" t="str">
        <f t="shared" si="81"/>
        <v/>
      </c>
      <c r="E5244" s="626"/>
      <c r="F5244" s="626"/>
    </row>
    <row r="5245" spans="1:6">
      <c r="A5245" t="str">
        <f t="shared" si="81"/>
        <v/>
      </c>
      <c r="E5245" s="626"/>
      <c r="F5245" s="626"/>
    </row>
    <row r="5246" spans="1:6">
      <c r="A5246" t="str">
        <f t="shared" si="81"/>
        <v/>
      </c>
      <c r="E5246" s="626"/>
      <c r="F5246" s="626"/>
    </row>
    <row r="5247" spans="1:6">
      <c r="A5247" t="str">
        <f t="shared" si="81"/>
        <v/>
      </c>
      <c r="E5247" s="626"/>
      <c r="F5247" s="626"/>
    </row>
    <row r="5248" spans="1:6">
      <c r="A5248" t="str">
        <f t="shared" si="81"/>
        <v/>
      </c>
      <c r="E5248" s="626"/>
      <c r="F5248" s="626"/>
    </row>
    <row r="5249" spans="1:6">
      <c r="A5249" t="str">
        <f t="shared" si="81"/>
        <v/>
      </c>
      <c r="E5249" s="626"/>
      <c r="F5249" s="626"/>
    </row>
    <row r="5250" spans="1:6">
      <c r="A5250" t="str">
        <f t="shared" ref="A5250:A5313" si="82">B5250&amp;E5250&amp;J5250</f>
        <v/>
      </c>
      <c r="E5250" s="626"/>
      <c r="F5250" s="626"/>
    </row>
    <row r="5251" spans="1:6">
      <c r="A5251" t="str">
        <f t="shared" si="82"/>
        <v/>
      </c>
      <c r="E5251" s="626"/>
      <c r="F5251" s="626"/>
    </row>
    <row r="5252" spans="1:6">
      <c r="A5252" t="str">
        <f t="shared" si="82"/>
        <v/>
      </c>
      <c r="E5252" s="626"/>
      <c r="F5252" s="626"/>
    </row>
    <row r="5253" spans="1:6">
      <c r="A5253" t="str">
        <f t="shared" si="82"/>
        <v/>
      </c>
      <c r="E5253" s="626"/>
      <c r="F5253" s="626"/>
    </row>
    <row r="5254" spans="1:6">
      <c r="A5254" t="str">
        <f t="shared" si="82"/>
        <v/>
      </c>
      <c r="E5254" s="626"/>
      <c r="F5254" s="626"/>
    </row>
    <row r="5255" spans="1:6">
      <c r="A5255" t="str">
        <f t="shared" si="82"/>
        <v/>
      </c>
      <c r="E5255" s="626"/>
      <c r="F5255" s="626"/>
    </row>
    <row r="5256" spans="1:6">
      <c r="A5256" t="str">
        <f t="shared" si="82"/>
        <v/>
      </c>
      <c r="E5256" s="626"/>
      <c r="F5256" s="626"/>
    </row>
    <row r="5257" spans="1:6">
      <c r="A5257" t="str">
        <f t="shared" si="82"/>
        <v/>
      </c>
      <c r="E5257" s="626"/>
      <c r="F5257" s="626"/>
    </row>
    <row r="5258" spans="1:6">
      <c r="A5258" t="str">
        <f t="shared" si="82"/>
        <v/>
      </c>
      <c r="E5258" s="626"/>
      <c r="F5258" s="626"/>
    </row>
    <row r="5259" spans="1:6">
      <c r="A5259" t="str">
        <f t="shared" si="82"/>
        <v/>
      </c>
      <c r="E5259" s="626"/>
      <c r="F5259" s="626"/>
    </row>
    <row r="5260" spans="1:6">
      <c r="A5260" t="str">
        <f t="shared" si="82"/>
        <v/>
      </c>
      <c r="E5260" s="626"/>
      <c r="F5260" s="626"/>
    </row>
    <row r="5261" spans="1:6">
      <c r="A5261" t="str">
        <f t="shared" si="82"/>
        <v/>
      </c>
      <c r="E5261" s="626"/>
      <c r="F5261" s="626"/>
    </row>
    <row r="5262" spans="1:6">
      <c r="A5262" t="str">
        <f t="shared" si="82"/>
        <v/>
      </c>
      <c r="E5262" s="626"/>
      <c r="F5262" s="626"/>
    </row>
    <row r="5263" spans="1:6">
      <c r="A5263" t="str">
        <f t="shared" si="82"/>
        <v/>
      </c>
      <c r="E5263" s="626"/>
      <c r="F5263" s="626"/>
    </row>
    <row r="5264" spans="1:6">
      <c r="A5264" t="str">
        <f t="shared" si="82"/>
        <v/>
      </c>
      <c r="E5264" s="626"/>
      <c r="F5264" s="626"/>
    </row>
    <row r="5265" spans="1:6">
      <c r="A5265" t="str">
        <f t="shared" si="82"/>
        <v/>
      </c>
      <c r="E5265" s="626"/>
      <c r="F5265" s="626"/>
    </row>
    <row r="5266" spans="1:6">
      <c r="A5266" t="str">
        <f t="shared" si="82"/>
        <v/>
      </c>
      <c r="E5266" s="626"/>
      <c r="F5266" s="626"/>
    </row>
    <row r="5267" spans="1:6">
      <c r="A5267" t="str">
        <f t="shared" si="82"/>
        <v/>
      </c>
      <c r="E5267" s="626"/>
      <c r="F5267" s="626"/>
    </row>
    <row r="5268" spans="1:6">
      <c r="A5268" t="str">
        <f t="shared" si="82"/>
        <v/>
      </c>
      <c r="E5268" s="626"/>
      <c r="F5268" s="626"/>
    </row>
    <row r="5269" spans="1:6">
      <c r="A5269" t="str">
        <f t="shared" si="82"/>
        <v/>
      </c>
      <c r="E5269" s="626"/>
      <c r="F5269" s="626"/>
    </row>
    <row r="5270" spans="1:6">
      <c r="A5270" t="str">
        <f t="shared" si="82"/>
        <v/>
      </c>
      <c r="E5270" s="626"/>
      <c r="F5270" s="626"/>
    </row>
    <row r="5271" spans="1:6">
      <c r="A5271" t="str">
        <f t="shared" si="82"/>
        <v/>
      </c>
      <c r="E5271" s="626"/>
      <c r="F5271" s="626"/>
    </row>
    <row r="5272" spans="1:6">
      <c r="A5272" t="str">
        <f t="shared" si="82"/>
        <v/>
      </c>
      <c r="E5272" s="626"/>
      <c r="F5272" s="626"/>
    </row>
    <row r="5273" spans="1:6">
      <c r="A5273" t="str">
        <f t="shared" si="82"/>
        <v/>
      </c>
      <c r="E5273" s="626"/>
      <c r="F5273" s="626"/>
    </row>
    <row r="5274" spans="1:6">
      <c r="A5274" t="str">
        <f t="shared" si="82"/>
        <v/>
      </c>
      <c r="E5274" s="626"/>
      <c r="F5274" s="626"/>
    </row>
    <row r="5275" spans="1:6">
      <c r="A5275" t="str">
        <f t="shared" si="82"/>
        <v/>
      </c>
      <c r="E5275" s="626"/>
      <c r="F5275" s="626"/>
    </row>
    <row r="5276" spans="1:6">
      <c r="A5276" t="str">
        <f t="shared" si="82"/>
        <v/>
      </c>
      <c r="E5276" s="626"/>
      <c r="F5276" s="626"/>
    </row>
    <row r="5277" spans="1:6">
      <c r="A5277" t="str">
        <f t="shared" si="82"/>
        <v/>
      </c>
      <c r="E5277" s="626"/>
      <c r="F5277" s="626"/>
    </row>
    <row r="5278" spans="1:6">
      <c r="A5278" t="str">
        <f t="shared" si="82"/>
        <v/>
      </c>
      <c r="E5278" s="626"/>
      <c r="F5278" s="626"/>
    </row>
    <row r="5279" spans="1:6">
      <c r="A5279" t="str">
        <f t="shared" si="82"/>
        <v/>
      </c>
      <c r="E5279" s="626"/>
      <c r="F5279" s="626"/>
    </row>
    <row r="5280" spans="1:6">
      <c r="A5280" t="str">
        <f t="shared" si="82"/>
        <v/>
      </c>
      <c r="E5280" s="626"/>
      <c r="F5280" s="626"/>
    </row>
    <row r="5281" spans="1:6">
      <c r="A5281" t="str">
        <f t="shared" si="82"/>
        <v/>
      </c>
      <c r="E5281" s="626"/>
      <c r="F5281" s="626"/>
    </row>
    <row r="5282" spans="1:6">
      <c r="A5282" t="str">
        <f t="shared" si="82"/>
        <v/>
      </c>
      <c r="E5282" s="626"/>
      <c r="F5282" s="626"/>
    </row>
    <row r="5283" spans="1:6">
      <c r="A5283" t="str">
        <f t="shared" si="82"/>
        <v/>
      </c>
      <c r="E5283" s="626"/>
      <c r="F5283" s="626"/>
    </row>
    <row r="5284" spans="1:6">
      <c r="A5284" t="str">
        <f t="shared" si="82"/>
        <v/>
      </c>
      <c r="E5284" s="626"/>
      <c r="F5284" s="626"/>
    </row>
    <row r="5285" spans="1:6">
      <c r="A5285" t="str">
        <f t="shared" si="82"/>
        <v/>
      </c>
      <c r="E5285" s="626"/>
      <c r="F5285" s="626"/>
    </row>
    <row r="5286" spans="1:6">
      <c r="A5286" t="str">
        <f t="shared" si="82"/>
        <v/>
      </c>
      <c r="E5286" s="626"/>
      <c r="F5286" s="626"/>
    </row>
    <row r="5287" spans="1:6">
      <c r="A5287" t="str">
        <f t="shared" si="82"/>
        <v/>
      </c>
      <c r="E5287" s="626"/>
      <c r="F5287" s="626"/>
    </row>
    <row r="5288" spans="1:6">
      <c r="A5288" t="str">
        <f t="shared" si="82"/>
        <v/>
      </c>
      <c r="E5288" s="626"/>
      <c r="F5288" s="626"/>
    </row>
    <row r="5289" spans="1:6">
      <c r="A5289" t="str">
        <f t="shared" si="82"/>
        <v/>
      </c>
      <c r="E5289" s="626"/>
      <c r="F5289" s="626"/>
    </row>
    <row r="5290" spans="1:6">
      <c r="A5290" t="str">
        <f t="shared" si="82"/>
        <v/>
      </c>
      <c r="E5290" s="626"/>
      <c r="F5290" s="626"/>
    </row>
    <row r="5291" spans="1:6">
      <c r="A5291" t="str">
        <f t="shared" si="82"/>
        <v/>
      </c>
      <c r="E5291" s="626"/>
      <c r="F5291" s="626"/>
    </row>
    <row r="5292" spans="1:6">
      <c r="A5292" t="str">
        <f t="shared" si="82"/>
        <v/>
      </c>
      <c r="E5292" s="626"/>
      <c r="F5292" s="626"/>
    </row>
    <row r="5293" spans="1:6">
      <c r="A5293" t="str">
        <f t="shared" si="82"/>
        <v/>
      </c>
      <c r="E5293" s="626"/>
      <c r="F5293" s="626"/>
    </row>
    <row r="5294" spans="1:6">
      <c r="A5294" t="str">
        <f t="shared" si="82"/>
        <v/>
      </c>
      <c r="E5294" s="626"/>
      <c r="F5294" s="626"/>
    </row>
    <row r="5295" spans="1:6">
      <c r="A5295" t="str">
        <f t="shared" si="82"/>
        <v/>
      </c>
      <c r="E5295" s="626"/>
      <c r="F5295" s="626"/>
    </row>
    <row r="5296" spans="1:6">
      <c r="A5296" t="str">
        <f t="shared" si="82"/>
        <v/>
      </c>
      <c r="E5296" s="626"/>
      <c r="F5296" s="626"/>
    </row>
    <row r="5297" spans="1:6">
      <c r="A5297" t="str">
        <f t="shared" si="82"/>
        <v/>
      </c>
      <c r="E5297" s="626"/>
      <c r="F5297" s="626"/>
    </row>
    <row r="5298" spans="1:6">
      <c r="A5298" t="str">
        <f t="shared" si="82"/>
        <v/>
      </c>
      <c r="E5298" s="626"/>
      <c r="F5298" s="626"/>
    </row>
    <row r="5299" spans="1:6">
      <c r="A5299" t="str">
        <f t="shared" si="82"/>
        <v/>
      </c>
      <c r="E5299" s="626"/>
      <c r="F5299" s="626"/>
    </row>
    <row r="5300" spans="1:6">
      <c r="A5300" t="str">
        <f t="shared" si="82"/>
        <v/>
      </c>
      <c r="E5300" s="626"/>
      <c r="F5300" s="626"/>
    </row>
    <row r="5301" spans="1:6">
      <c r="A5301" t="str">
        <f t="shared" si="82"/>
        <v/>
      </c>
      <c r="E5301" s="626"/>
      <c r="F5301" s="626"/>
    </row>
    <row r="5302" spans="1:6">
      <c r="A5302" t="str">
        <f t="shared" si="82"/>
        <v/>
      </c>
      <c r="E5302" s="626"/>
      <c r="F5302" s="626"/>
    </row>
    <row r="5303" spans="1:6">
      <c r="A5303" t="str">
        <f t="shared" si="82"/>
        <v/>
      </c>
      <c r="E5303" s="626"/>
      <c r="F5303" s="626"/>
    </row>
    <row r="5304" spans="1:6">
      <c r="A5304" t="str">
        <f t="shared" si="82"/>
        <v/>
      </c>
      <c r="E5304" s="626"/>
      <c r="F5304" s="626"/>
    </row>
    <row r="5305" spans="1:6">
      <c r="A5305" t="str">
        <f t="shared" si="82"/>
        <v/>
      </c>
      <c r="E5305" s="626"/>
      <c r="F5305" s="626"/>
    </row>
    <row r="5306" spans="1:6">
      <c r="A5306" t="str">
        <f t="shared" si="82"/>
        <v/>
      </c>
      <c r="E5306" s="626"/>
      <c r="F5306" s="626"/>
    </row>
    <row r="5307" spans="1:6">
      <c r="A5307" t="str">
        <f t="shared" si="82"/>
        <v/>
      </c>
      <c r="E5307" s="626"/>
      <c r="F5307" s="626"/>
    </row>
    <row r="5308" spans="1:6">
      <c r="A5308" t="str">
        <f t="shared" si="82"/>
        <v/>
      </c>
      <c r="E5308" s="626"/>
      <c r="F5308" s="626"/>
    </row>
    <row r="5309" spans="1:6">
      <c r="A5309" t="str">
        <f t="shared" si="82"/>
        <v/>
      </c>
      <c r="E5309" s="626"/>
      <c r="F5309" s="626"/>
    </row>
    <row r="5310" spans="1:6">
      <c r="A5310" t="str">
        <f t="shared" si="82"/>
        <v/>
      </c>
      <c r="E5310" s="626"/>
      <c r="F5310" s="626"/>
    </row>
    <row r="5311" spans="1:6">
      <c r="A5311" t="str">
        <f t="shared" si="82"/>
        <v/>
      </c>
      <c r="E5311" s="626"/>
      <c r="F5311" s="626"/>
    </row>
    <row r="5312" spans="1:6">
      <c r="A5312" t="str">
        <f t="shared" si="82"/>
        <v/>
      </c>
      <c r="E5312" s="626"/>
      <c r="F5312" s="626"/>
    </row>
    <row r="5313" spans="1:6">
      <c r="A5313" t="str">
        <f t="shared" si="82"/>
        <v/>
      </c>
      <c r="E5313" s="626"/>
      <c r="F5313" s="626"/>
    </row>
    <row r="5314" spans="1:6">
      <c r="A5314" t="str">
        <f t="shared" ref="A5314:A5377" si="83">B5314&amp;E5314&amp;J5314</f>
        <v/>
      </c>
      <c r="E5314" s="626"/>
      <c r="F5314" s="626"/>
    </row>
    <row r="5315" spans="1:6">
      <c r="A5315" t="str">
        <f t="shared" si="83"/>
        <v/>
      </c>
      <c r="E5315" s="626"/>
      <c r="F5315" s="626"/>
    </row>
    <row r="5316" spans="1:6">
      <c r="A5316" t="str">
        <f t="shared" si="83"/>
        <v/>
      </c>
      <c r="E5316" s="626"/>
      <c r="F5316" s="626"/>
    </row>
    <row r="5317" spans="1:6">
      <c r="A5317" t="str">
        <f t="shared" si="83"/>
        <v/>
      </c>
      <c r="E5317" s="626"/>
      <c r="F5317" s="626"/>
    </row>
    <row r="5318" spans="1:6">
      <c r="A5318" t="str">
        <f t="shared" si="83"/>
        <v/>
      </c>
      <c r="E5318" s="626"/>
      <c r="F5318" s="626"/>
    </row>
    <row r="5319" spans="1:6">
      <c r="A5319" t="str">
        <f t="shared" si="83"/>
        <v/>
      </c>
      <c r="E5319" s="626"/>
      <c r="F5319" s="626"/>
    </row>
    <row r="5320" spans="1:6">
      <c r="A5320" t="str">
        <f t="shared" si="83"/>
        <v/>
      </c>
      <c r="E5320" s="626"/>
      <c r="F5320" s="626"/>
    </row>
    <row r="5321" spans="1:6">
      <c r="A5321" t="str">
        <f t="shared" si="83"/>
        <v/>
      </c>
      <c r="E5321" s="626"/>
      <c r="F5321" s="626"/>
    </row>
    <row r="5322" spans="1:6">
      <c r="A5322" t="str">
        <f t="shared" si="83"/>
        <v/>
      </c>
      <c r="E5322" s="626"/>
      <c r="F5322" s="626"/>
    </row>
    <row r="5323" spans="1:6">
      <c r="A5323" t="str">
        <f t="shared" si="83"/>
        <v/>
      </c>
      <c r="E5323" s="626"/>
      <c r="F5323" s="626"/>
    </row>
    <row r="5324" spans="1:6">
      <c r="A5324" t="str">
        <f t="shared" si="83"/>
        <v/>
      </c>
      <c r="E5324" s="626"/>
      <c r="F5324" s="626"/>
    </row>
    <row r="5325" spans="1:6">
      <c r="A5325" t="str">
        <f t="shared" si="83"/>
        <v/>
      </c>
      <c r="E5325" s="626"/>
      <c r="F5325" s="626"/>
    </row>
    <row r="5326" spans="1:6">
      <c r="A5326" t="str">
        <f t="shared" si="83"/>
        <v/>
      </c>
      <c r="E5326" s="626"/>
      <c r="F5326" s="626"/>
    </row>
    <row r="5327" spans="1:6">
      <c r="A5327" t="str">
        <f t="shared" si="83"/>
        <v/>
      </c>
      <c r="E5327" s="626"/>
      <c r="F5327" s="626"/>
    </row>
    <row r="5328" spans="1:6">
      <c r="A5328" t="str">
        <f t="shared" si="83"/>
        <v/>
      </c>
      <c r="E5328" s="626"/>
      <c r="F5328" s="626"/>
    </row>
    <row r="5329" spans="1:6">
      <c r="A5329" t="str">
        <f t="shared" si="83"/>
        <v/>
      </c>
      <c r="E5329" s="626"/>
      <c r="F5329" s="626"/>
    </row>
    <row r="5330" spans="1:6">
      <c r="A5330" t="str">
        <f t="shared" si="83"/>
        <v/>
      </c>
      <c r="E5330" s="626"/>
      <c r="F5330" s="626"/>
    </row>
    <row r="5331" spans="1:6">
      <c r="A5331" t="str">
        <f t="shared" si="83"/>
        <v/>
      </c>
      <c r="E5331" s="626"/>
      <c r="F5331" s="626"/>
    </row>
    <row r="5332" spans="1:6">
      <c r="A5332" t="str">
        <f t="shared" si="83"/>
        <v/>
      </c>
      <c r="E5332" s="626"/>
      <c r="F5332" s="626"/>
    </row>
    <row r="5333" spans="1:6">
      <c r="A5333" t="str">
        <f t="shared" si="83"/>
        <v/>
      </c>
      <c r="E5333" s="626"/>
      <c r="F5333" s="626"/>
    </row>
    <row r="5334" spans="1:6">
      <c r="A5334" t="str">
        <f t="shared" si="83"/>
        <v/>
      </c>
      <c r="E5334" s="626"/>
      <c r="F5334" s="626"/>
    </row>
    <row r="5335" spans="1:6">
      <c r="A5335" t="str">
        <f t="shared" si="83"/>
        <v/>
      </c>
      <c r="E5335" s="626"/>
      <c r="F5335" s="626"/>
    </row>
    <row r="5336" spans="1:6">
      <c r="A5336" t="str">
        <f t="shared" si="83"/>
        <v/>
      </c>
      <c r="E5336" s="626"/>
      <c r="F5336" s="626"/>
    </row>
    <row r="5337" spans="1:6">
      <c r="A5337" t="str">
        <f t="shared" si="83"/>
        <v/>
      </c>
      <c r="E5337" s="626"/>
      <c r="F5337" s="626"/>
    </row>
    <row r="5338" spans="1:6">
      <c r="A5338" t="str">
        <f t="shared" si="83"/>
        <v/>
      </c>
      <c r="E5338" s="626"/>
      <c r="F5338" s="626"/>
    </row>
    <row r="5339" spans="1:6">
      <c r="A5339" t="str">
        <f t="shared" si="83"/>
        <v/>
      </c>
      <c r="E5339" s="626"/>
      <c r="F5339" s="626"/>
    </row>
    <row r="5340" spans="1:6">
      <c r="A5340" t="str">
        <f t="shared" si="83"/>
        <v/>
      </c>
      <c r="E5340" s="626"/>
      <c r="F5340" s="626"/>
    </row>
    <row r="5341" spans="1:6">
      <c r="A5341" t="str">
        <f t="shared" si="83"/>
        <v/>
      </c>
      <c r="E5341" s="626"/>
      <c r="F5341" s="626"/>
    </row>
    <row r="5342" spans="1:6">
      <c r="A5342" t="str">
        <f t="shared" si="83"/>
        <v/>
      </c>
      <c r="E5342" s="626"/>
      <c r="F5342" s="626"/>
    </row>
    <row r="5343" spans="1:6">
      <c r="A5343" t="str">
        <f t="shared" si="83"/>
        <v/>
      </c>
      <c r="E5343" s="626"/>
      <c r="F5343" s="626"/>
    </row>
    <row r="5344" spans="1:6">
      <c r="A5344" t="str">
        <f t="shared" si="83"/>
        <v/>
      </c>
      <c r="E5344" s="626"/>
      <c r="F5344" s="626"/>
    </row>
    <row r="5345" spans="1:6">
      <c r="A5345" t="str">
        <f t="shared" si="83"/>
        <v/>
      </c>
      <c r="E5345" s="626"/>
      <c r="F5345" s="626"/>
    </row>
    <row r="5346" spans="1:6">
      <c r="A5346" t="str">
        <f t="shared" si="83"/>
        <v/>
      </c>
      <c r="E5346" s="626"/>
      <c r="F5346" s="626"/>
    </row>
    <row r="5347" spans="1:6">
      <c r="A5347" t="str">
        <f t="shared" si="83"/>
        <v/>
      </c>
      <c r="E5347" s="626"/>
      <c r="F5347" s="626"/>
    </row>
    <row r="5348" spans="1:6">
      <c r="A5348" t="str">
        <f t="shared" si="83"/>
        <v/>
      </c>
      <c r="E5348" s="626"/>
      <c r="F5348" s="626"/>
    </row>
    <row r="5349" spans="1:6">
      <c r="A5349" t="str">
        <f t="shared" si="83"/>
        <v/>
      </c>
      <c r="E5349" s="626"/>
      <c r="F5349" s="626"/>
    </row>
    <row r="5350" spans="1:6">
      <c r="A5350" t="str">
        <f t="shared" si="83"/>
        <v/>
      </c>
      <c r="E5350" s="626"/>
      <c r="F5350" s="626"/>
    </row>
    <row r="5351" spans="1:6">
      <c r="A5351" t="str">
        <f t="shared" si="83"/>
        <v/>
      </c>
      <c r="E5351" s="626"/>
      <c r="F5351" s="626"/>
    </row>
    <row r="5352" spans="1:6">
      <c r="A5352" t="str">
        <f t="shared" si="83"/>
        <v/>
      </c>
      <c r="E5352" s="626"/>
      <c r="F5352" s="626"/>
    </row>
    <row r="5353" spans="1:6">
      <c r="A5353" t="str">
        <f t="shared" si="83"/>
        <v/>
      </c>
      <c r="E5353" s="626"/>
      <c r="F5353" s="626"/>
    </row>
    <row r="5354" spans="1:6">
      <c r="A5354" t="str">
        <f t="shared" si="83"/>
        <v/>
      </c>
      <c r="E5354" s="626"/>
      <c r="F5354" s="626"/>
    </row>
    <row r="5355" spans="1:6">
      <c r="A5355" t="str">
        <f t="shared" si="83"/>
        <v/>
      </c>
      <c r="E5355" s="626"/>
      <c r="F5355" s="626"/>
    </row>
    <row r="5356" spans="1:6">
      <c r="A5356" t="str">
        <f t="shared" si="83"/>
        <v/>
      </c>
      <c r="E5356" s="626"/>
      <c r="F5356" s="626"/>
    </row>
    <row r="5357" spans="1:6">
      <c r="A5357" t="str">
        <f t="shared" si="83"/>
        <v/>
      </c>
      <c r="E5357" s="626"/>
      <c r="F5357" s="626"/>
    </row>
    <row r="5358" spans="1:6">
      <c r="A5358" t="str">
        <f t="shared" si="83"/>
        <v/>
      </c>
      <c r="E5358" s="626"/>
      <c r="F5358" s="626"/>
    </row>
    <row r="5359" spans="1:6">
      <c r="A5359" t="str">
        <f t="shared" si="83"/>
        <v/>
      </c>
      <c r="E5359" s="626"/>
      <c r="F5359" s="626"/>
    </row>
    <row r="5360" spans="1:6">
      <c r="A5360" t="str">
        <f t="shared" si="83"/>
        <v/>
      </c>
      <c r="E5360" s="626"/>
      <c r="F5360" s="626"/>
    </row>
    <row r="5361" spans="1:6">
      <c r="A5361" t="str">
        <f t="shared" si="83"/>
        <v/>
      </c>
      <c r="E5361" s="626"/>
      <c r="F5361" s="626"/>
    </row>
    <row r="5362" spans="1:6">
      <c r="A5362" t="str">
        <f t="shared" si="83"/>
        <v/>
      </c>
      <c r="E5362" s="626"/>
      <c r="F5362" s="626"/>
    </row>
    <row r="5363" spans="1:6">
      <c r="A5363" t="str">
        <f t="shared" si="83"/>
        <v/>
      </c>
      <c r="E5363" s="626"/>
      <c r="F5363" s="626"/>
    </row>
    <row r="5364" spans="1:6">
      <c r="A5364" t="str">
        <f t="shared" si="83"/>
        <v/>
      </c>
      <c r="E5364" s="626"/>
      <c r="F5364" s="626"/>
    </row>
    <row r="5365" spans="1:6">
      <c r="A5365" t="str">
        <f t="shared" si="83"/>
        <v/>
      </c>
      <c r="E5365" s="626"/>
      <c r="F5365" s="626"/>
    </row>
    <row r="5366" spans="1:6">
      <c r="A5366" t="str">
        <f t="shared" si="83"/>
        <v/>
      </c>
      <c r="E5366" s="626"/>
      <c r="F5366" s="626"/>
    </row>
    <row r="5367" spans="1:6">
      <c r="A5367" t="str">
        <f t="shared" si="83"/>
        <v/>
      </c>
      <c r="E5367" s="626"/>
      <c r="F5367" s="626"/>
    </row>
    <row r="5368" spans="1:6">
      <c r="A5368" t="str">
        <f t="shared" si="83"/>
        <v/>
      </c>
      <c r="E5368" s="626"/>
      <c r="F5368" s="626"/>
    </row>
    <row r="5369" spans="1:6">
      <c r="A5369" t="str">
        <f t="shared" si="83"/>
        <v/>
      </c>
      <c r="E5369" s="626"/>
      <c r="F5369" s="626"/>
    </row>
    <row r="5370" spans="1:6">
      <c r="A5370" t="str">
        <f t="shared" si="83"/>
        <v/>
      </c>
      <c r="E5370" s="626"/>
      <c r="F5370" s="626"/>
    </row>
    <row r="5371" spans="1:6">
      <c r="A5371" t="str">
        <f t="shared" si="83"/>
        <v/>
      </c>
      <c r="E5371" s="626"/>
      <c r="F5371" s="626"/>
    </row>
    <row r="5372" spans="1:6">
      <c r="A5372" t="str">
        <f t="shared" si="83"/>
        <v/>
      </c>
      <c r="E5372" s="626"/>
      <c r="F5372" s="626"/>
    </row>
    <row r="5373" spans="1:6">
      <c r="A5373" t="str">
        <f t="shared" si="83"/>
        <v/>
      </c>
      <c r="E5373" s="626"/>
      <c r="F5373" s="626"/>
    </row>
    <row r="5374" spans="1:6">
      <c r="A5374" t="str">
        <f t="shared" si="83"/>
        <v/>
      </c>
      <c r="E5374" s="626"/>
      <c r="F5374" s="626"/>
    </row>
    <row r="5375" spans="1:6">
      <c r="A5375" t="str">
        <f t="shared" si="83"/>
        <v/>
      </c>
      <c r="E5375" s="626"/>
      <c r="F5375" s="626"/>
    </row>
    <row r="5376" spans="1:6">
      <c r="A5376" t="str">
        <f t="shared" si="83"/>
        <v/>
      </c>
      <c r="E5376" s="626"/>
      <c r="F5376" s="626"/>
    </row>
    <row r="5377" spans="1:6">
      <c r="A5377" t="str">
        <f t="shared" si="83"/>
        <v/>
      </c>
      <c r="E5377" s="626"/>
      <c r="F5377" s="626"/>
    </row>
    <row r="5378" spans="1:6">
      <c r="A5378" t="str">
        <f t="shared" ref="A5378:A5441" si="84">B5378&amp;E5378&amp;J5378</f>
        <v/>
      </c>
      <c r="E5378" s="626"/>
      <c r="F5378" s="626"/>
    </row>
    <row r="5379" spans="1:6">
      <c r="A5379" t="str">
        <f t="shared" si="84"/>
        <v/>
      </c>
      <c r="E5379" s="626"/>
      <c r="F5379" s="626"/>
    </row>
    <row r="5380" spans="1:6">
      <c r="A5380" t="str">
        <f t="shared" si="84"/>
        <v/>
      </c>
      <c r="E5380" s="626"/>
      <c r="F5380" s="626"/>
    </row>
    <row r="5381" spans="1:6">
      <c r="A5381" t="str">
        <f t="shared" si="84"/>
        <v/>
      </c>
      <c r="E5381" s="626"/>
      <c r="F5381" s="626"/>
    </row>
    <row r="5382" spans="1:6">
      <c r="A5382" t="str">
        <f t="shared" si="84"/>
        <v/>
      </c>
      <c r="E5382" s="626"/>
      <c r="F5382" s="626"/>
    </row>
    <row r="5383" spans="1:6">
      <c r="A5383" t="str">
        <f t="shared" si="84"/>
        <v/>
      </c>
      <c r="E5383" s="626"/>
      <c r="F5383" s="626"/>
    </row>
    <row r="5384" spans="1:6">
      <c r="A5384" t="str">
        <f t="shared" si="84"/>
        <v/>
      </c>
      <c r="E5384" s="626"/>
      <c r="F5384" s="626"/>
    </row>
    <row r="5385" spans="1:6">
      <c r="A5385" t="str">
        <f t="shared" si="84"/>
        <v/>
      </c>
      <c r="E5385" s="626"/>
      <c r="F5385" s="626"/>
    </row>
    <row r="5386" spans="1:6">
      <c r="A5386" t="str">
        <f t="shared" si="84"/>
        <v/>
      </c>
      <c r="E5386" s="626"/>
      <c r="F5386" s="626"/>
    </row>
    <row r="5387" spans="1:6">
      <c r="A5387" t="str">
        <f t="shared" si="84"/>
        <v/>
      </c>
      <c r="E5387" s="626"/>
      <c r="F5387" s="626"/>
    </row>
    <row r="5388" spans="1:6">
      <c r="A5388" t="str">
        <f t="shared" si="84"/>
        <v/>
      </c>
      <c r="E5388" s="626"/>
      <c r="F5388" s="626"/>
    </row>
    <row r="5389" spans="1:6">
      <c r="A5389" t="str">
        <f t="shared" si="84"/>
        <v/>
      </c>
      <c r="E5389" s="626"/>
      <c r="F5389" s="626"/>
    </row>
    <row r="5390" spans="1:6">
      <c r="A5390" t="str">
        <f t="shared" si="84"/>
        <v/>
      </c>
      <c r="E5390" s="626"/>
      <c r="F5390" s="626"/>
    </row>
    <row r="5391" spans="1:6">
      <c r="A5391" t="str">
        <f t="shared" si="84"/>
        <v/>
      </c>
      <c r="E5391" s="626"/>
      <c r="F5391" s="626"/>
    </row>
    <row r="5392" spans="1:6">
      <c r="A5392" t="str">
        <f t="shared" si="84"/>
        <v/>
      </c>
      <c r="E5392" s="626"/>
      <c r="F5392" s="626"/>
    </row>
    <row r="5393" spans="1:6">
      <c r="A5393" t="str">
        <f t="shared" si="84"/>
        <v/>
      </c>
      <c r="E5393" s="626"/>
      <c r="F5393" s="626"/>
    </row>
    <row r="5394" spans="1:6">
      <c r="A5394" t="str">
        <f t="shared" si="84"/>
        <v/>
      </c>
      <c r="E5394" s="626"/>
      <c r="F5394" s="626"/>
    </row>
    <row r="5395" spans="1:6">
      <c r="A5395" t="str">
        <f t="shared" si="84"/>
        <v/>
      </c>
      <c r="E5395" s="626"/>
      <c r="F5395" s="626"/>
    </row>
    <row r="5396" spans="1:6">
      <c r="A5396" t="str">
        <f t="shared" si="84"/>
        <v/>
      </c>
      <c r="E5396" s="626"/>
      <c r="F5396" s="626"/>
    </row>
    <row r="5397" spans="1:6">
      <c r="A5397" t="str">
        <f t="shared" si="84"/>
        <v/>
      </c>
      <c r="E5397" s="626"/>
      <c r="F5397" s="626"/>
    </row>
    <row r="5398" spans="1:6">
      <c r="A5398" t="str">
        <f t="shared" si="84"/>
        <v/>
      </c>
      <c r="E5398" s="626"/>
      <c r="F5398" s="626"/>
    </row>
    <row r="5399" spans="1:6">
      <c r="A5399" t="str">
        <f t="shared" si="84"/>
        <v/>
      </c>
      <c r="E5399" s="626"/>
      <c r="F5399" s="626"/>
    </row>
    <row r="5400" spans="1:6">
      <c r="A5400" t="str">
        <f t="shared" si="84"/>
        <v/>
      </c>
      <c r="E5400" s="626"/>
      <c r="F5400" s="626"/>
    </row>
    <row r="5401" spans="1:6">
      <c r="A5401" t="str">
        <f t="shared" si="84"/>
        <v/>
      </c>
      <c r="E5401" s="626"/>
      <c r="F5401" s="626"/>
    </row>
    <row r="5402" spans="1:6">
      <c r="A5402" t="str">
        <f t="shared" si="84"/>
        <v/>
      </c>
      <c r="E5402" s="626"/>
      <c r="F5402" s="626"/>
    </row>
    <row r="5403" spans="1:6">
      <c r="A5403" t="str">
        <f t="shared" si="84"/>
        <v/>
      </c>
      <c r="E5403" s="626"/>
      <c r="F5403" s="626"/>
    </row>
    <row r="5404" spans="1:6">
      <c r="A5404" t="str">
        <f t="shared" si="84"/>
        <v/>
      </c>
      <c r="E5404" s="626"/>
      <c r="F5404" s="626"/>
    </row>
    <row r="5405" spans="1:6">
      <c r="A5405" t="str">
        <f t="shared" si="84"/>
        <v/>
      </c>
      <c r="E5405" s="626"/>
      <c r="F5405" s="626"/>
    </row>
    <row r="5406" spans="1:6">
      <c r="A5406" t="str">
        <f t="shared" si="84"/>
        <v/>
      </c>
      <c r="E5406" s="626"/>
      <c r="F5406" s="626"/>
    </row>
    <row r="5407" spans="1:6">
      <c r="A5407" t="str">
        <f t="shared" si="84"/>
        <v/>
      </c>
      <c r="E5407" s="626"/>
      <c r="F5407" s="626"/>
    </row>
    <row r="5408" spans="1:6">
      <c r="A5408" t="str">
        <f t="shared" si="84"/>
        <v/>
      </c>
      <c r="E5408" s="626"/>
      <c r="F5408" s="626"/>
    </row>
    <row r="5409" spans="1:6">
      <c r="A5409" t="str">
        <f t="shared" si="84"/>
        <v/>
      </c>
      <c r="E5409" s="626"/>
      <c r="F5409" s="626"/>
    </row>
    <row r="5410" spans="1:6">
      <c r="A5410" t="str">
        <f t="shared" si="84"/>
        <v/>
      </c>
      <c r="E5410" s="626"/>
      <c r="F5410" s="626"/>
    </row>
    <row r="5411" spans="1:6">
      <c r="A5411" t="str">
        <f t="shared" si="84"/>
        <v/>
      </c>
      <c r="E5411" s="626"/>
      <c r="F5411" s="626"/>
    </row>
    <row r="5412" spans="1:6">
      <c r="A5412" t="str">
        <f t="shared" si="84"/>
        <v/>
      </c>
      <c r="E5412" s="626"/>
      <c r="F5412" s="626"/>
    </row>
    <row r="5413" spans="1:6">
      <c r="A5413" t="str">
        <f t="shared" si="84"/>
        <v/>
      </c>
      <c r="E5413" s="626"/>
      <c r="F5413" s="626"/>
    </row>
    <row r="5414" spans="1:6">
      <c r="A5414" t="str">
        <f t="shared" si="84"/>
        <v/>
      </c>
      <c r="E5414" s="626"/>
      <c r="F5414" s="626"/>
    </row>
    <row r="5415" spans="1:6">
      <c r="A5415" t="str">
        <f t="shared" si="84"/>
        <v/>
      </c>
      <c r="E5415" s="626"/>
      <c r="F5415" s="626"/>
    </row>
    <row r="5416" spans="1:6">
      <c r="A5416" t="str">
        <f t="shared" si="84"/>
        <v/>
      </c>
      <c r="E5416" s="626"/>
      <c r="F5416" s="626"/>
    </row>
    <row r="5417" spans="1:6">
      <c r="A5417" t="str">
        <f t="shared" si="84"/>
        <v/>
      </c>
      <c r="E5417" s="626"/>
      <c r="F5417" s="626"/>
    </row>
    <row r="5418" spans="1:6">
      <c r="A5418" t="str">
        <f t="shared" si="84"/>
        <v/>
      </c>
      <c r="E5418" s="626"/>
      <c r="F5418" s="626"/>
    </row>
    <row r="5419" spans="1:6">
      <c r="A5419" t="str">
        <f t="shared" si="84"/>
        <v/>
      </c>
      <c r="E5419" s="626"/>
      <c r="F5419" s="626"/>
    </row>
    <row r="5420" spans="1:6">
      <c r="A5420" t="str">
        <f t="shared" si="84"/>
        <v/>
      </c>
      <c r="E5420" s="626"/>
      <c r="F5420" s="626"/>
    </row>
    <row r="5421" spans="1:6">
      <c r="A5421" t="str">
        <f t="shared" si="84"/>
        <v/>
      </c>
      <c r="E5421" s="626"/>
      <c r="F5421" s="626"/>
    </row>
    <row r="5422" spans="1:6">
      <c r="A5422" t="str">
        <f t="shared" si="84"/>
        <v/>
      </c>
      <c r="E5422" s="626"/>
      <c r="F5422" s="626"/>
    </row>
    <row r="5423" spans="1:6">
      <c r="A5423" t="str">
        <f t="shared" si="84"/>
        <v/>
      </c>
      <c r="E5423" s="626"/>
      <c r="F5423" s="626"/>
    </row>
    <row r="5424" spans="1:6">
      <c r="A5424" t="str">
        <f t="shared" si="84"/>
        <v/>
      </c>
      <c r="E5424" s="626"/>
      <c r="F5424" s="626"/>
    </row>
    <row r="5425" spans="1:6">
      <c r="A5425" t="str">
        <f t="shared" si="84"/>
        <v/>
      </c>
      <c r="E5425" s="626"/>
      <c r="F5425" s="626"/>
    </row>
    <row r="5426" spans="1:6">
      <c r="A5426" t="str">
        <f t="shared" si="84"/>
        <v/>
      </c>
      <c r="E5426" s="626"/>
      <c r="F5426" s="626"/>
    </row>
    <row r="5427" spans="1:6">
      <c r="A5427" t="str">
        <f t="shared" si="84"/>
        <v/>
      </c>
      <c r="E5427" s="626"/>
      <c r="F5427" s="626"/>
    </row>
    <row r="5428" spans="1:6">
      <c r="A5428" t="str">
        <f t="shared" si="84"/>
        <v/>
      </c>
      <c r="E5428" s="626"/>
      <c r="F5428" s="626"/>
    </row>
    <row r="5429" spans="1:6">
      <c r="A5429" t="str">
        <f t="shared" si="84"/>
        <v/>
      </c>
      <c r="E5429" s="626"/>
      <c r="F5429" s="626"/>
    </row>
    <row r="5430" spans="1:6">
      <c r="A5430" t="str">
        <f t="shared" si="84"/>
        <v/>
      </c>
      <c r="E5430" s="626"/>
      <c r="F5430" s="626"/>
    </row>
    <row r="5431" spans="1:6">
      <c r="A5431" t="str">
        <f t="shared" si="84"/>
        <v/>
      </c>
      <c r="E5431" s="626"/>
      <c r="F5431" s="626"/>
    </row>
    <row r="5432" spans="1:6">
      <c r="A5432" t="str">
        <f t="shared" si="84"/>
        <v/>
      </c>
      <c r="E5432" s="626"/>
      <c r="F5432" s="626"/>
    </row>
    <row r="5433" spans="1:6">
      <c r="A5433" t="str">
        <f t="shared" si="84"/>
        <v/>
      </c>
      <c r="E5433" s="626"/>
      <c r="F5433" s="626"/>
    </row>
    <row r="5434" spans="1:6">
      <c r="A5434" t="str">
        <f t="shared" si="84"/>
        <v/>
      </c>
      <c r="E5434" s="626"/>
      <c r="F5434" s="626"/>
    </row>
    <row r="5435" spans="1:6">
      <c r="A5435" t="str">
        <f t="shared" si="84"/>
        <v/>
      </c>
      <c r="E5435" s="626"/>
      <c r="F5435" s="626"/>
    </row>
    <row r="5436" spans="1:6">
      <c r="A5436" t="str">
        <f t="shared" si="84"/>
        <v/>
      </c>
      <c r="E5436" s="626"/>
      <c r="F5436" s="626"/>
    </row>
    <row r="5437" spans="1:6">
      <c r="A5437" t="str">
        <f t="shared" si="84"/>
        <v/>
      </c>
      <c r="E5437" s="626"/>
      <c r="F5437" s="626"/>
    </row>
    <row r="5438" spans="1:6">
      <c r="A5438" t="str">
        <f t="shared" si="84"/>
        <v/>
      </c>
      <c r="E5438" s="626"/>
      <c r="F5438" s="626"/>
    </row>
    <row r="5439" spans="1:6">
      <c r="A5439" t="str">
        <f t="shared" si="84"/>
        <v/>
      </c>
      <c r="E5439" s="626"/>
      <c r="F5439" s="626"/>
    </row>
    <row r="5440" spans="1:6">
      <c r="A5440" t="str">
        <f t="shared" si="84"/>
        <v/>
      </c>
      <c r="E5440" s="626"/>
      <c r="F5440" s="626"/>
    </row>
    <row r="5441" spans="1:6">
      <c r="A5441" t="str">
        <f t="shared" si="84"/>
        <v/>
      </c>
      <c r="E5441" s="626"/>
      <c r="F5441" s="626"/>
    </row>
    <row r="5442" spans="1:6">
      <c r="A5442" t="str">
        <f t="shared" ref="A5442:A5505" si="85">B5442&amp;E5442&amp;J5442</f>
        <v/>
      </c>
      <c r="E5442" s="626"/>
      <c r="F5442" s="626"/>
    </row>
    <row r="5443" spans="1:6">
      <c r="A5443" t="str">
        <f t="shared" si="85"/>
        <v/>
      </c>
      <c r="E5443" s="626"/>
      <c r="F5443" s="626"/>
    </row>
    <row r="5444" spans="1:6">
      <c r="A5444" t="str">
        <f t="shared" si="85"/>
        <v/>
      </c>
      <c r="E5444" s="626"/>
      <c r="F5444" s="626"/>
    </row>
    <row r="5445" spans="1:6">
      <c r="A5445" t="str">
        <f t="shared" si="85"/>
        <v/>
      </c>
      <c r="E5445" s="626"/>
      <c r="F5445" s="626"/>
    </row>
    <row r="5446" spans="1:6">
      <c r="A5446" t="str">
        <f t="shared" si="85"/>
        <v/>
      </c>
      <c r="E5446" s="626"/>
      <c r="F5446" s="626"/>
    </row>
    <row r="5447" spans="1:6">
      <c r="A5447" t="str">
        <f t="shared" si="85"/>
        <v/>
      </c>
      <c r="E5447" s="626"/>
      <c r="F5447" s="626"/>
    </row>
    <row r="5448" spans="1:6">
      <c r="A5448" t="str">
        <f t="shared" si="85"/>
        <v/>
      </c>
      <c r="E5448" s="626"/>
      <c r="F5448" s="626"/>
    </row>
    <row r="5449" spans="1:6">
      <c r="A5449" t="str">
        <f t="shared" si="85"/>
        <v/>
      </c>
      <c r="E5449" s="626"/>
      <c r="F5449" s="626"/>
    </row>
    <row r="5450" spans="1:6">
      <c r="A5450" t="str">
        <f t="shared" si="85"/>
        <v/>
      </c>
      <c r="E5450" s="626"/>
      <c r="F5450" s="626"/>
    </row>
    <row r="5451" spans="1:6">
      <c r="A5451" t="str">
        <f t="shared" si="85"/>
        <v/>
      </c>
      <c r="E5451" s="626"/>
      <c r="F5451" s="626"/>
    </row>
    <row r="5452" spans="1:6">
      <c r="A5452" t="str">
        <f t="shared" si="85"/>
        <v/>
      </c>
      <c r="E5452" s="626"/>
      <c r="F5452" s="626"/>
    </row>
    <row r="5453" spans="1:6">
      <c r="A5453" t="str">
        <f t="shared" si="85"/>
        <v/>
      </c>
      <c r="E5453" s="626"/>
      <c r="F5453" s="626"/>
    </row>
    <row r="5454" spans="1:6">
      <c r="A5454" t="str">
        <f t="shared" si="85"/>
        <v/>
      </c>
      <c r="E5454" s="626"/>
      <c r="F5454" s="626"/>
    </row>
    <row r="5455" spans="1:6">
      <c r="A5455" t="str">
        <f t="shared" si="85"/>
        <v/>
      </c>
      <c r="E5455" s="626"/>
      <c r="F5455" s="626"/>
    </row>
    <row r="5456" spans="1:6">
      <c r="A5456" t="str">
        <f t="shared" si="85"/>
        <v/>
      </c>
      <c r="E5456" s="626"/>
      <c r="F5456" s="626"/>
    </row>
    <row r="5457" spans="1:6">
      <c r="A5457" t="str">
        <f t="shared" si="85"/>
        <v/>
      </c>
      <c r="E5457" s="626"/>
      <c r="F5457" s="626"/>
    </row>
    <row r="5458" spans="1:6">
      <c r="A5458" t="str">
        <f t="shared" si="85"/>
        <v/>
      </c>
      <c r="E5458" s="626"/>
      <c r="F5458" s="626"/>
    </row>
    <row r="5459" spans="1:6">
      <c r="A5459" t="str">
        <f t="shared" si="85"/>
        <v/>
      </c>
      <c r="E5459" s="626"/>
      <c r="F5459" s="626"/>
    </row>
    <row r="5460" spans="1:6">
      <c r="A5460" t="str">
        <f t="shared" si="85"/>
        <v/>
      </c>
      <c r="E5460" s="626"/>
      <c r="F5460" s="626"/>
    </row>
    <row r="5461" spans="1:6">
      <c r="A5461" t="str">
        <f t="shared" si="85"/>
        <v/>
      </c>
      <c r="E5461" s="626"/>
      <c r="F5461" s="626"/>
    </row>
    <row r="5462" spans="1:6">
      <c r="A5462" t="str">
        <f t="shared" si="85"/>
        <v/>
      </c>
      <c r="E5462" s="626"/>
      <c r="F5462" s="626"/>
    </row>
    <row r="5463" spans="1:6">
      <c r="A5463" t="str">
        <f t="shared" si="85"/>
        <v/>
      </c>
      <c r="E5463" s="626"/>
      <c r="F5463" s="626"/>
    </row>
    <row r="5464" spans="1:6">
      <c r="A5464" t="str">
        <f t="shared" si="85"/>
        <v/>
      </c>
      <c r="E5464" s="626"/>
      <c r="F5464" s="626"/>
    </row>
    <row r="5465" spans="1:6">
      <c r="A5465" t="str">
        <f t="shared" si="85"/>
        <v/>
      </c>
      <c r="E5465" s="626"/>
      <c r="F5465" s="626"/>
    </row>
    <row r="5466" spans="1:6">
      <c r="A5466" t="str">
        <f t="shared" si="85"/>
        <v/>
      </c>
      <c r="E5466" s="626"/>
      <c r="F5466" s="626"/>
    </row>
    <row r="5467" spans="1:6">
      <c r="A5467" t="str">
        <f t="shared" si="85"/>
        <v/>
      </c>
      <c r="E5467" s="626"/>
      <c r="F5467" s="626"/>
    </row>
    <row r="5468" spans="1:6">
      <c r="A5468" t="str">
        <f t="shared" si="85"/>
        <v/>
      </c>
      <c r="E5468" s="626"/>
      <c r="F5468" s="626"/>
    </row>
    <row r="5469" spans="1:6">
      <c r="A5469" t="str">
        <f t="shared" si="85"/>
        <v/>
      </c>
      <c r="E5469" s="626"/>
      <c r="F5469" s="626"/>
    </row>
    <row r="5470" spans="1:6">
      <c r="A5470" t="str">
        <f t="shared" si="85"/>
        <v/>
      </c>
      <c r="E5470" s="626"/>
      <c r="F5470" s="626"/>
    </row>
    <row r="5471" spans="1:6">
      <c r="A5471" t="str">
        <f t="shared" si="85"/>
        <v/>
      </c>
      <c r="E5471" s="626"/>
      <c r="F5471" s="626"/>
    </row>
    <row r="5472" spans="1:6">
      <c r="A5472" t="str">
        <f t="shared" si="85"/>
        <v/>
      </c>
      <c r="E5472" s="626"/>
      <c r="F5472" s="626"/>
    </row>
    <row r="5473" spans="1:6">
      <c r="A5473" t="str">
        <f t="shared" si="85"/>
        <v/>
      </c>
      <c r="E5473" s="626"/>
      <c r="F5473" s="626"/>
    </row>
    <row r="5474" spans="1:6">
      <c r="A5474" t="str">
        <f t="shared" si="85"/>
        <v/>
      </c>
      <c r="E5474" s="626"/>
      <c r="F5474" s="626"/>
    </row>
    <row r="5475" spans="1:6">
      <c r="A5475" t="str">
        <f t="shared" si="85"/>
        <v/>
      </c>
      <c r="E5475" s="626"/>
      <c r="F5475" s="626"/>
    </row>
    <row r="5476" spans="1:6">
      <c r="A5476" t="str">
        <f t="shared" si="85"/>
        <v/>
      </c>
      <c r="E5476" s="626"/>
      <c r="F5476" s="626"/>
    </row>
    <row r="5477" spans="1:6">
      <c r="A5477" t="str">
        <f t="shared" si="85"/>
        <v/>
      </c>
      <c r="E5477" s="626"/>
      <c r="F5477" s="626"/>
    </row>
    <row r="5478" spans="1:6">
      <c r="A5478" t="str">
        <f t="shared" si="85"/>
        <v/>
      </c>
      <c r="E5478" s="626"/>
      <c r="F5478" s="626"/>
    </row>
    <row r="5479" spans="1:6">
      <c r="A5479" t="str">
        <f t="shared" si="85"/>
        <v/>
      </c>
      <c r="E5479" s="626"/>
      <c r="F5479" s="626"/>
    </row>
    <row r="5480" spans="1:6">
      <c r="A5480" t="str">
        <f t="shared" si="85"/>
        <v/>
      </c>
      <c r="E5480" s="626"/>
      <c r="F5480" s="626"/>
    </row>
    <row r="5481" spans="1:6">
      <c r="A5481" t="str">
        <f t="shared" si="85"/>
        <v/>
      </c>
      <c r="E5481" s="626"/>
      <c r="F5481" s="626"/>
    </row>
    <row r="5482" spans="1:6">
      <c r="A5482" t="str">
        <f t="shared" si="85"/>
        <v/>
      </c>
      <c r="E5482" s="626"/>
      <c r="F5482" s="626"/>
    </row>
    <row r="5483" spans="1:6">
      <c r="A5483" t="str">
        <f t="shared" si="85"/>
        <v/>
      </c>
      <c r="E5483" s="626"/>
      <c r="F5483" s="626"/>
    </row>
    <row r="5484" spans="1:6">
      <c r="A5484" t="str">
        <f t="shared" si="85"/>
        <v/>
      </c>
      <c r="E5484" s="626"/>
      <c r="F5484" s="626"/>
    </row>
    <row r="5485" spans="1:6">
      <c r="A5485" t="str">
        <f t="shared" si="85"/>
        <v/>
      </c>
      <c r="E5485" s="626"/>
      <c r="F5485" s="626"/>
    </row>
    <row r="5486" spans="1:6">
      <c r="A5486" t="str">
        <f t="shared" si="85"/>
        <v/>
      </c>
      <c r="E5486" s="626"/>
      <c r="F5486" s="626"/>
    </row>
    <row r="5487" spans="1:6">
      <c r="A5487" t="str">
        <f t="shared" si="85"/>
        <v/>
      </c>
      <c r="E5487" s="626"/>
      <c r="F5487" s="626"/>
    </row>
    <row r="5488" spans="1:6">
      <c r="A5488" t="str">
        <f t="shared" si="85"/>
        <v/>
      </c>
      <c r="E5488" s="626"/>
      <c r="F5488" s="626"/>
    </row>
    <row r="5489" spans="1:6">
      <c r="A5489" t="str">
        <f t="shared" si="85"/>
        <v/>
      </c>
      <c r="E5489" s="626"/>
      <c r="F5489" s="626"/>
    </row>
    <row r="5490" spans="1:6">
      <c r="A5490" t="str">
        <f t="shared" si="85"/>
        <v/>
      </c>
      <c r="E5490" s="626"/>
      <c r="F5490" s="626"/>
    </row>
    <row r="5491" spans="1:6">
      <c r="A5491" t="str">
        <f t="shared" si="85"/>
        <v/>
      </c>
      <c r="E5491" s="626"/>
      <c r="F5491" s="626"/>
    </row>
    <row r="5492" spans="1:6">
      <c r="A5492" t="str">
        <f t="shared" si="85"/>
        <v/>
      </c>
      <c r="E5492" s="626"/>
      <c r="F5492" s="626"/>
    </row>
    <row r="5493" spans="1:6">
      <c r="A5493" t="str">
        <f t="shared" si="85"/>
        <v/>
      </c>
      <c r="E5493" s="626"/>
      <c r="F5493" s="626"/>
    </row>
    <row r="5494" spans="1:6">
      <c r="A5494" t="str">
        <f t="shared" si="85"/>
        <v/>
      </c>
      <c r="E5494" s="626"/>
      <c r="F5494" s="626"/>
    </row>
    <row r="5495" spans="1:6">
      <c r="A5495" t="str">
        <f t="shared" si="85"/>
        <v/>
      </c>
      <c r="E5495" s="626"/>
      <c r="F5495" s="626"/>
    </row>
    <row r="5496" spans="1:6">
      <c r="A5496" t="str">
        <f t="shared" si="85"/>
        <v/>
      </c>
      <c r="E5496" s="626"/>
      <c r="F5496" s="626"/>
    </row>
    <row r="5497" spans="1:6">
      <c r="A5497" t="str">
        <f t="shared" si="85"/>
        <v/>
      </c>
      <c r="E5497" s="626"/>
      <c r="F5497" s="626"/>
    </row>
    <row r="5498" spans="1:6">
      <c r="A5498" t="str">
        <f t="shared" si="85"/>
        <v/>
      </c>
      <c r="E5498" s="626"/>
      <c r="F5498" s="626"/>
    </row>
    <row r="5499" spans="1:6">
      <c r="A5499" t="str">
        <f t="shared" si="85"/>
        <v/>
      </c>
      <c r="E5499" s="626"/>
      <c r="F5499" s="626"/>
    </row>
    <row r="5500" spans="1:6">
      <c r="A5500" t="str">
        <f t="shared" si="85"/>
        <v/>
      </c>
      <c r="E5500" s="626"/>
      <c r="F5500" s="626"/>
    </row>
    <row r="5501" spans="1:6">
      <c r="A5501" t="str">
        <f t="shared" si="85"/>
        <v/>
      </c>
      <c r="E5501" s="626"/>
      <c r="F5501" s="626"/>
    </row>
    <row r="5502" spans="1:6">
      <c r="A5502" t="str">
        <f t="shared" si="85"/>
        <v/>
      </c>
      <c r="E5502" s="626"/>
      <c r="F5502" s="626"/>
    </row>
    <row r="5503" spans="1:6">
      <c r="A5503" t="str">
        <f t="shared" si="85"/>
        <v/>
      </c>
      <c r="E5503" s="626"/>
      <c r="F5503" s="626"/>
    </row>
    <row r="5504" spans="1:6">
      <c r="A5504" t="str">
        <f t="shared" si="85"/>
        <v/>
      </c>
      <c r="E5504" s="626"/>
      <c r="F5504" s="626"/>
    </row>
    <row r="5505" spans="1:6">
      <c r="A5505" t="str">
        <f t="shared" si="85"/>
        <v/>
      </c>
      <c r="E5505" s="626"/>
      <c r="F5505" s="626"/>
    </row>
    <row r="5506" spans="1:6">
      <c r="A5506" t="str">
        <f t="shared" ref="A5506:A5569" si="86">B5506&amp;E5506&amp;J5506</f>
        <v/>
      </c>
      <c r="E5506" s="626"/>
      <c r="F5506" s="626"/>
    </row>
    <row r="5507" spans="1:6">
      <c r="A5507" t="str">
        <f t="shared" si="86"/>
        <v/>
      </c>
      <c r="E5507" s="626"/>
      <c r="F5507" s="626"/>
    </row>
    <row r="5508" spans="1:6">
      <c r="A5508" t="str">
        <f t="shared" si="86"/>
        <v/>
      </c>
      <c r="E5508" s="626"/>
      <c r="F5508" s="626"/>
    </row>
    <row r="5509" spans="1:6">
      <c r="A5509" t="str">
        <f t="shared" si="86"/>
        <v/>
      </c>
      <c r="E5509" s="626"/>
      <c r="F5509" s="626"/>
    </row>
    <row r="5510" spans="1:6">
      <c r="A5510" t="str">
        <f t="shared" si="86"/>
        <v/>
      </c>
      <c r="E5510" s="626"/>
      <c r="F5510" s="626"/>
    </row>
    <row r="5511" spans="1:6">
      <c r="A5511" t="str">
        <f t="shared" si="86"/>
        <v/>
      </c>
      <c r="E5511" s="626"/>
      <c r="F5511" s="626"/>
    </row>
    <row r="5512" spans="1:6">
      <c r="A5512" t="str">
        <f t="shared" si="86"/>
        <v/>
      </c>
      <c r="E5512" s="626"/>
      <c r="F5512" s="626"/>
    </row>
    <row r="5513" spans="1:6">
      <c r="A5513" t="str">
        <f t="shared" si="86"/>
        <v/>
      </c>
      <c r="E5513" s="626"/>
      <c r="F5513" s="626"/>
    </row>
    <row r="5514" spans="1:6">
      <c r="A5514" t="str">
        <f t="shared" si="86"/>
        <v/>
      </c>
      <c r="E5514" s="626"/>
      <c r="F5514" s="626"/>
    </row>
    <row r="5515" spans="1:6">
      <c r="A5515" t="str">
        <f t="shared" si="86"/>
        <v/>
      </c>
      <c r="E5515" s="626"/>
      <c r="F5515" s="626"/>
    </row>
    <row r="5516" spans="1:6">
      <c r="A5516" t="str">
        <f t="shared" si="86"/>
        <v/>
      </c>
      <c r="E5516" s="626"/>
      <c r="F5516" s="626"/>
    </row>
    <row r="5517" spans="1:6">
      <c r="A5517" t="str">
        <f t="shared" si="86"/>
        <v/>
      </c>
      <c r="E5517" s="626"/>
      <c r="F5517" s="626"/>
    </row>
    <row r="5518" spans="1:6">
      <c r="A5518" t="str">
        <f t="shared" si="86"/>
        <v/>
      </c>
      <c r="E5518" s="626"/>
      <c r="F5518" s="626"/>
    </row>
    <row r="5519" spans="1:6">
      <c r="A5519" t="str">
        <f t="shared" si="86"/>
        <v/>
      </c>
      <c r="E5519" s="626"/>
      <c r="F5519" s="626"/>
    </row>
    <row r="5520" spans="1:6">
      <c r="A5520" t="str">
        <f t="shared" si="86"/>
        <v/>
      </c>
      <c r="E5520" s="626"/>
      <c r="F5520" s="626"/>
    </row>
    <row r="5521" spans="1:6">
      <c r="A5521" t="str">
        <f t="shared" si="86"/>
        <v/>
      </c>
      <c r="E5521" s="626"/>
      <c r="F5521" s="626"/>
    </row>
    <row r="5522" spans="1:6">
      <c r="A5522" t="str">
        <f t="shared" si="86"/>
        <v/>
      </c>
      <c r="E5522" s="626"/>
      <c r="F5522" s="626"/>
    </row>
    <row r="5523" spans="1:6">
      <c r="A5523" t="str">
        <f t="shared" si="86"/>
        <v/>
      </c>
      <c r="E5523" s="626"/>
      <c r="F5523" s="626"/>
    </row>
    <row r="5524" spans="1:6">
      <c r="A5524" t="str">
        <f t="shared" si="86"/>
        <v/>
      </c>
      <c r="E5524" s="626"/>
      <c r="F5524" s="626"/>
    </row>
    <row r="5525" spans="1:6">
      <c r="A5525" t="str">
        <f t="shared" si="86"/>
        <v/>
      </c>
      <c r="E5525" s="626"/>
      <c r="F5525" s="626"/>
    </row>
    <row r="5526" spans="1:6">
      <c r="A5526" t="str">
        <f t="shared" si="86"/>
        <v/>
      </c>
      <c r="E5526" s="626"/>
      <c r="F5526" s="626"/>
    </row>
    <row r="5527" spans="1:6">
      <c r="A5527" t="str">
        <f t="shared" si="86"/>
        <v/>
      </c>
      <c r="E5527" s="626"/>
      <c r="F5527" s="626"/>
    </row>
    <row r="5528" spans="1:6">
      <c r="A5528" t="str">
        <f t="shared" si="86"/>
        <v/>
      </c>
      <c r="E5528" s="626"/>
      <c r="F5528" s="626"/>
    </row>
    <row r="5529" spans="1:6">
      <c r="A5529" t="str">
        <f t="shared" si="86"/>
        <v/>
      </c>
      <c r="E5529" s="626"/>
      <c r="F5529" s="626"/>
    </row>
    <row r="5530" spans="1:6">
      <c r="A5530" t="str">
        <f t="shared" si="86"/>
        <v/>
      </c>
      <c r="E5530" s="626"/>
      <c r="F5530" s="626"/>
    </row>
    <row r="5531" spans="1:6">
      <c r="A5531" t="str">
        <f t="shared" si="86"/>
        <v/>
      </c>
      <c r="E5531" s="626"/>
      <c r="F5531" s="626"/>
    </row>
    <row r="5532" spans="1:6">
      <c r="A5532" t="str">
        <f t="shared" si="86"/>
        <v/>
      </c>
      <c r="E5532" s="626"/>
      <c r="F5532" s="626"/>
    </row>
    <row r="5533" spans="1:6">
      <c r="A5533" t="str">
        <f t="shared" si="86"/>
        <v/>
      </c>
      <c r="E5533" s="626"/>
      <c r="F5533" s="626"/>
    </row>
    <row r="5534" spans="1:6">
      <c r="A5534" t="str">
        <f t="shared" si="86"/>
        <v/>
      </c>
      <c r="E5534" s="626"/>
      <c r="F5534" s="626"/>
    </row>
    <row r="5535" spans="1:6">
      <c r="A5535" t="str">
        <f t="shared" si="86"/>
        <v/>
      </c>
      <c r="E5535" s="626"/>
      <c r="F5535" s="626"/>
    </row>
    <row r="5536" spans="1:6">
      <c r="A5536" t="str">
        <f t="shared" si="86"/>
        <v/>
      </c>
      <c r="E5536" s="626"/>
      <c r="F5536" s="626"/>
    </row>
    <row r="5537" spans="1:6">
      <c r="A5537" t="str">
        <f t="shared" si="86"/>
        <v/>
      </c>
      <c r="E5537" s="626"/>
      <c r="F5537" s="626"/>
    </row>
    <row r="5538" spans="1:6">
      <c r="A5538" t="str">
        <f t="shared" si="86"/>
        <v/>
      </c>
      <c r="E5538" s="626"/>
      <c r="F5538" s="626"/>
    </row>
    <row r="5539" spans="1:6">
      <c r="A5539" t="str">
        <f t="shared" si="86"/>
        <v/>
      </c>
      <c r="E5539" s="626"/>
      <c r="F5539" s="626"/>
    </row>
    <row r="5540" spans="1:6">
      <c r="A5540" t="str">
        <f t="shared" si="86"/>
        <v/>
      </c>
      <c r="E5540" s="626"/>
      <c r="F5540" s="626"/>
    </row>
    <row r="5541" spans="1:6">
      <c r="A5541" t="str">
        <f t="shared" si="86"/>
        <v/>
      </c>
      <c r="E5541" s="626"/>
      <c r="F5541" s="626"/>
    </row>
    <row r="5542" spans="1:6">
      <c r="A5542" t="str">
        <f t="shared" si="86"/>
        <v/>
      </c>
      <c r="E5542" s="626"/>
      <c r="F5542" s="626"/>
    </row>
    <row r="5543" spans="1:6">
      <c r="A5543" t="str">
        <f t="shared" si="86"/>
        <v/>
      </c>
      <c r="E5543" s="626"/>
      <c r="F5543" s="626"/>
    </row>
    <row r="5544" spans="1:6">
      <c r="A5544" t="str">
        <f t="shared" si="86"/>
        <v/>
      </c>
      <c r="E5544" s="626"/>
      <c r="F5544" s="626"/>
    </row>
    <row r="5545" spans="1:6">
      <c r="A5545" t="str">
        <f t="shared" si="86"/>
        <v/>
      </c>
      <c r="E5545" s="626"/>
      <c r="F5545" s="626"/>
    </row>
    <row r="5546" spans="1:6">
      <c r="A5546" t="str">
        <f t="shared" si="86"/>
        <v/>
      </c>
      <c r="E5546" s="626"/>
      <c r="F5546" s="626"/>
    </row>
    <row r="5547" spans="1:6">
      <c r="A5547" t="str">
        <f t="shared" si="86"/>
        <v/>
      </c>
      <c r="E5547" s="626"/>
      <c r="F5547" s="626"/>
    </row>
    <row r="5548" spans="1:6">
      <c r="A5548" t="str">
        <f t="shared" si="86"/>
        <v/>
      </c>
      <c r="E5548" s="626"/>
      <c r="F5548" s="626"/>
    </row>
    <row r="5549" spans="1:6">
      <c r="A5549" t="str">
        <f t="shared" si="86"/>
        <v/>
      </c>
      <c r="E5549" s="626"/>
      <c r="F5549" s="626"/>
    </row>
    <row r="5550" spans="1:6">
      <c r="A5550" t="str">
        <f t="shared" si="86"/>
        <v/>
      </c>
      <c r="E5550" s="626"/>
      <c r="F5550" s="626"/>
    </row>
    <row r="5551" spans="1:6">
      <c r="A5551" t="str">
        <f t="shared" si="86"/>
        <v/>
      </c>
      <c r="E5551" s="626"/>
      <c r="F5551" s="626"/>
    </row>
    <row r="5552" spans="1:6">
      <c r="A5552" t="str">
        <f t="shared" si="86"/>
        <v/>
      </c>
      <c r="E5552" s="626"/>
      <c r="F5552" s="626"/>
    </row>
    <row r="5553" spans="1:6">
      <c r="A5553" t="str">
        <f t="shared" si="86"/>
        <v/>
      </c>
      <c r="E5553" s="626"/>
      <c r="F5553" s="626"/>
    </row>
    <row r="5554" spans="1:6">
      <c r="A5554" t="str">
        <f t="shared" si="86"/>
        <v/>
      </c>
      <c r="E5554" s="626"/>
      <c r="F5554" s="626"/>
    </row>
    <row r="5555" spans="1:6">
      <c r="A5555" t="str">
        <f t="shared" si="86"/>
        <v/>
      </c>
      <c r="E5555" s="626"/>
      <c r="F5555" s="626"/>
    </row>
    <row r="5556" spans="1:6">
      <c r="A5556" t="str">
        <f t="shared" si="86"/>
        <v/>
      </c>
      <c r="E5556" s="626"/>
      <c r="F5556" s="626"/>
    </row>
    <row r="5557" spans="1:6">
      <c r="A5557" t="str">
        <f t="shared" si="86"/>
        <v/>
      </c>
      <c r="E5557" s="626"/>
      <c r="F5557" s="626"/>
    </row>
    <row r="5558" spans="1:6">
      <c r="A5558" t="str">
        <f t="shared" si="86"/>
        <v/>
      </c>
      <c r="E5558" s="626"/>
      <c r="F5558" s="626"/>
    </row>
    <row r="5559" spans="1:6">
      <c r="A5559" t="str">
        <f t="shared" si="86"/>
        <v/>
      </c>
      <c r="E5559" s="626"/>
      <c r="F5559" s="626"/>
    </row>
    <row r="5560" spans="1:6">
      <c r="A5560" t="str">
        <f t="shared" si="86"/>
        <v/>
      </c>
      <c r="E5560" s="626"/>
      <c r="F5560" s="626"/>
    </row>
    <row r="5561" spans="1:6">
      <c r="A5561" t="str">
        <f t="shared" si="86"/>
        <v/>
      </c>
      <c r="E5561" s="626"/>
      <c r="F5561" s="626"/>
    </row>
    <row r="5562" spans="1:6">
      <c r="A5562" t="str">
        <f t="shared" si="86"/>
        <v/>
      </c>
      <c r="E5562" s="626"/>
      <c r="F5562" s="626"/>
    </row>
    <row r="5563" spans="1:6">
      <c r="A5563" t="str">
        <f t="shared" si="86"/>
        <v/>
      </c>
      <c r="E5563" s="626"/>
      <c r="F5563" s="626"/>
    </row>
    <row r="5564" spans="1:6">
      <c r="A5564" t="str">
        <f t="shared" si="86"/>
        <v/>
      </c>
      <c r="E5564" s="626"/>
      <c r="F5564" s="626"/>
    </row>
    <row r="5565" spans="1:6">
      <c r="A5565" t="str">
        <f t="shared" si="86"/>
        <v/>
      </c>
      <c r="E5565" s="626"/>
      <c r="F5565" s="626"/>
    </row>
    <row r="5566" spans="1:6">
      <c r="A5566" t="str">
        <f t="shared" si="86"/>
        <v/>
      </c>
      <c r="E5566" s="626"/>
      <c r="F5566" s="626"/>
    </row>
    <row r="5567" spans="1:6">
      <c r="A5567" t="str">
        <f t="shared" si="86"/>
        <v/>
      </c>
      <c r="E5567" s="626"/>
      <c r="F5567" s="626"/>
    </row>
    <row r="5568" spans="1:6">
      <c r="A5568" t="str">
        <f t="shared" si="86"/>
        <v/>
      </c>
      <c r="E5568" s="626"/>
      <c r="F5568" s="626"/>
    </row>
    <row r="5569" spans="1:6">
      <c r="A5569" t="str">
        <f t="shared" si="86"/>
        <v/>
      </c>
      <c r="E5569" s="626"/>
      <c r="F5569" s="626"/>
    </row>
    <row r="5570" spans="1:6">
      <c r="A5570" t="str">
        <f t="shared" ref="A5570:A5633" si="87">B5570&amp;E5570&amp;J5570</f>
        <v/>
      </c>
      <c r="E5570" s="626"/>
      <c r="F5570" s="626"/>
    </row>
    <row r="5571" spans="1:6">
      <c r="A5571" t="str">
        <f t="shared" si="87"/>
        <v/>
      </c>
      <c r="E5571" s="626"/>
      <c r="F5571" s="626"/>
    </row>
    <row r="5572" spans="1:6">
      <c r="A5572" t="str">
        <f t="shared" si="87"/>
        <v/>
      </c>
      <c r="E5572" s="626"/>
      <c r="F5572" s="626"/>
    </row>
    <row r="5573" spans="1:6">
      <c r="A5573" t="str">
        <f t="shared" si="87"/>
        <v/>
      </c>
      <c r="E5573" s="626"/>
      <c r="F5573" s="626"/>
    </row>
    <row r="5574" spans="1:6">
      <c r="A5574" t="str">
        <f t="shared" si="87"/>
        <v/>
      </c>
      <c r="E5574" s="626"/>
      <c r="F5574" s="626"/>
    </row>
    <row r="5575" spans="1:6">
      <c r="A5575" t="str">
        <f t="shared" si="87"/>
        <v/>
      </c>
      <c r="E5575" s="626"/>
      <c r="F5575" s="626"/>
    </row>
    <row r="5576" spans="1:6">
      <c r="A5576" t="str">
        <f t="shared" si="87"/>
        <v/>
      </c>
      <c r="E5576" s="626"/>
      <c r="F5576" s="626"/>
    </row>
    <row r="5577" spans="1:6">
      <c r="A5577" t="str">
        <f t="shared" si="87"/>
        <v/>
      </c>
      <c r="E5577" s="626"/>
      <c r="F5577" s="626"/>
    </row>
    <row r="5578" spans="1:6">
      <c r="A5578" t="str">
        <f t="shared" si="87"/>
        <v/>
      </c>
      <c r="E5578" s="626"/>
      <c r="F5578" s="626"/>
    </row>
    <row r="5579" spans="1:6">
      <c r="A5579" t="str">
        <f t="shared" si="87"/>
        <v/>
      </c>
      <c r="E5579" s="626"/>
      <c r="F5579" s="626"/>
    </row>
    <row r="5580" spans="1:6">
      <c r="A5580" t="str">
        <f t="shared" si="87"/>
        <v/>
      </c>
      <c r="E5580" s="626"/>
      <c r="F5580" s="626"/>
    </row>
    <row r="5581" spans="1:6">
      <c r="A5581" t="str">
        <f t="shared" si="87"/>
        <v/>
      </c>
      <c r="E5581" s="626"/>
      <c r="F5581" s="626"/>
    </row>
    <row r="5582" spans="1:6">
      <c r="A5582" t="str">
        <f t="shared" si="87"/>
        <v/>
      </c>
      <c r="E5582" s="626"/>
      <c r="F5582" s="626"/>
    </row>
    <row r="5583" spans="1:6">
      <c r="A5583" t="str">
        <f t="shared" si="87"/>
        <v/>
      </c>
      <c r="E5583" s="626"/>
      <c r="F5583" s="626"/>
    </row>
    <row r="5584" spans="1:6">
      <c r="A5584" t="str">
        <f t="shared" si="87"/>
        <v/>
      </c>
      <c r="E5584" s="626"/>
      <c r="F5584" s="626"/>
    </row>
    <row r="5585" spans="1:6">
      <c r="A5585" t="str">
        <f t="shared" si="87"/>
        <v/>
      </c>
      <c r="E5585" s="626"/>
      <c r="F5585" s="626"/>
    </row>
    <row r="5586" spans="1:6">
      <c r="A5586" t="str">
        <f t="shared" si="87"/>
        <v/>
      </c>
      <c r="E5586" s="626"/>
      <c r="F5586" s="626"/>
    </row>
    <row r="5587" spans="1:6">
      <c r="A5587" t="str">
        <f t="shared" si="87"/>
        <v/>
      </c>
      <c r="E5587" s="626"/>
      <c r="F5587" s="626"/>
    </row>
    <row r="5588" spans="1:6">
      <c r="A5588" t="str">
        <f t="shared" si="87"/>
        <v/>
      </c>
      <c r="E5588" s="626"/>
      <c r="F5588" s="626"/>
    </row>
    <row r="5589" spans="1:6">
      <c r="A5589" t="str">
        <f t="shared" si="87"/>
        <v/>
      </c>
      <c r="E5589" s="626"/>
      <c r="F5589" s="626"/>
    </row>
    <row r="5590" spans="1:6">
      <c r="A5590" t="str">
        <f t="shared" si="87"/>
        <v/>
      </c>
      <c r="E5590" s="626"/>
      <c r="F5590" s="626"/>
    </row>
    <row r="5591" spans="1:6">
      <c r="A5591" t="str">
        <f t="shared" si="87"/>
        <v/>
      </c>
      <c r="E5591" s="626"/>
      <c r="F5591" s="626"/>
    </row>
    <row r="5592" spans="1:6">
      <c r="A5592" t="str">
        <f t="shared" si="87"/>
        <v/>
      </c>
      <c r="E5592" s="626"/>
      <c r="F5592" s="626"/>
    </row>
    <row r="5593" spans="1:6">
      <c r="A5593" t="str">
        <f t="shared" si="87"/>
        <v/>
      </c>
      <c r="E5593" s="626"/>
      <c r="F5593" s="626"/>
    </row>
    <row r="5594" spans="1:6">
      <c r="A5594" t="str">
        <f t="shared" si="87"/>
        <v/>
      </c>
      <c r="E5594" s="626"/>
      <c r="F5594" s="626"/>
    </row>
    <row r="5595" spans="1:6">
      <c r="A5595" t="str">
        <f t="shared" si="87"/>
        <v/>
      </c>
      <c r="E5595" s="626"/>
      <c r="F5595" s="626"/>
    </row>
    <row r="5596" spans="1:6">
      <c r="A5596" t="str">
        <f t="shared" si="87"/>
        <v/>
      </c>
      <c r="E5596" s="626"/>
      <c r="F5596" s="626"/>
    </row>
    <row r="5597" spans="1:6">
      <c r="A5597" t="str">
        <f t="shared" si="87"/>
        <v/>
      </c>
      <c r="E5597" s="626"/>
      <c r="F5597" s="626"/>
    </row>
    <row r="5598" spans="1:6">
      <c r="A5598" t="str">
        <f t="shared" si="87"/>
        <v/>
      </c>
      <c r="E5598" s="626"/>
      <c r="F5598" s="626"/>
    </row>
    <row r="5599" spans="1:6">
      <c r="A5599" t="str">
        <f t="shared" si="87"/>
        <v/>
      </c>
      <c r="E5599" s="626"/>
      <c r="F5599" s="626"/>
    </row>
    <row r="5600" spans="1:6">
      <c r="A5600" t="str">
        <f t="shared" si="87"/>
        <v/>
      </c>
      <c r="E5600" s="626"/>
      <c r="F5600" s="626"/>
    </row>
    <row r="5601" spans="1:6">
      <c r="A5601" t="str">
        <f t="shared" si="87"/>
        <v/>
      </c>
      <c r="E5601" s="626"/>
      <c r="F5601" s="626"/>
    </row>
    <row r="5602" spans="1:6">
      <c r="A5602" t="str">
        <f t="shared" si="87"/>
        <v/>
      </c>
      <c r="E5602" s="626"/>
      <c r="F5602" s="626"/>
    </row>
    <row r="5603" spans="1:6">
      <c r="A5603" t="str">
        <f t="shared" si="87"/>
        <v/>
      </c>
      <c r="E5603" s="626"/>
      <c r="F5603" s="626"/>
    </row>
    <row r="5604" spans="1:6">
      <c r="A5604" t="str">
        <f t="shared" si="87"/>
        <v/>
      </c>
      <c r="E5604" s="626"/>
      <c r="F5604" s="626"/>
    </row>
    <row r="5605" spans="1:6">
      <c r="A5605" t="str">
        <f t="shared" si="87"/>
        <v/>
      </c>
      <c r="E5605" s="626"/>
      <c r="F5605" s="626"/>
    </row>
    <row r="5606" spans="1:6">
      <c r="A5606" t="str">
        <f t="shared" si="87"/>
        <v/>
      </c>
      <c r="E5606" s="626"/>
      <c r="F5606" s="626"/>
    </row>
    <row r="5607" spans="1:6">
      <c r="A5607" t="str">
        <f t="shared" si="87"/>
        <v/>
      </c>
      <c r="E5607" s="626"/>
      <c r="F5607" s="626"/>
    </row>
    <row r="5608" spans="1:6">
      <c r="A5608" t="str">
        <f t="shared" si="87"/>
        <v/>
      </c>
      <c r="E5608" s="626"/>
      <c r="F5608" s="626"/>
    </row>
    <row r="5609" spans="1:6">
      <c r="A5609" t="str">
        <f t="shared" si="87"/>
        <v/>
      </c>
      <c r="E5609" s="626"/>
      <c r="F5609" s="626"/>
    </row>
    <row r="5610" spans="1:6">
      <c r="A5610" t="str">
        <f t="shared" si="87"/>
        <v/>
      </c>
      <c r="E5610" s="626"/>
      <c r="F5610" s="626"/>
    </row>
    <row r="5611" spans="1:6">
      <c r="A5611" t="str">
        <f t="shared" si="87"/>
        <v/>
      </c>
      <c r="E5611" s="626"/>
      <c r="F5611" s="626"/>
    </row>
    <row r="5612" spans="1:6">
      <c r="A5612" t="str">
        <f t="shared" si="87"/>
        <v/>
      </c>
      <c r="E5612" s="626"/>
      <c r="F5612" s="626"/>
    </row>
    <row r="5613" spans="1:6">
      <c r="A5613" t="str">
        <f t="shared" si="87"/>
        <v/>
      </c>
      <c r="E5613" s="626"/>
      <c r="F5613" s="626"/>
    </row>
    <row r="5614" spans="1:6">
      <c r="A5614" t="str">
        <f t="shared" si="87"/>
        <v/>
      </c>
      <c r="E5614" s="626"/>
      <c r="F5614" s="626"/>
    </row>
    <row r="5615" spans="1:6">
      <c r="A5615" t="str">
        <f t="shared" si="87"/>
        <v/>
      </c>
      <c r="E5615" s="626"/>
      <c r="F5615" s="626"/>
    </row>
    <row r="5616" spans="1:6">
      <c r="A5616" t="str">
        <f t="shared" si="87"/>
        <v/>
      </c>
      <c r="E5616" s="626"/>
      <c r="F5616" s="626"/>
    </row>
    <row r="5617" spans="1:6">
      <c r="A5617" t="str">
        <f t="shared" si="87"/>
        <v/>
      </c>
      <c r="E5617" s="626"/>
      <c r="F5617" s="626"/>
    </row>
    <row r="5618" spans="1:6">
      <c r="A5618" t="str">
        <f t="shared" si="87"/>
        <v/>
      </c>
      <c r="E5618" s="626"/>
      <c r="F5618" s="626"/>
    </row>
    <row r="5619" spans="1:6">
      <c r="A5619" t="str">
        <f t="shared" si="87"/>
        <v/>
      </c>
      <c r="E5619" s="626"/>
      <c r="F5619" s="626"/>
    </row>
    <row r="5620" spans="1:6">
      <c r="A5620" t="str">
        <f t="shared" si="87"/>
        <v/>
      </c>
      <c r="E5620" s="626"/>
      <c r="F5620" s="626"/>
    </row>
    <row r="5621" spans="1:6">
      <c r="A5621" t="str">
        <f t="shared" si="87"/>
        <v/>
      </c>
      <c r="E5621" s="626"/>
      <c r="F5621" s="626"/>
    </row>
    <row r="5622" spans="1:6">
      <c r="A5622" t="str">
        <f t="shared" si="87"/>
        <v/>
      </c>
      <c r="E5622" s="626"/>
      <c r="F5622" s="626"/>
    </row>
    <row r="5623" spans="1:6">
      <c r="A5623" t="str">
        <f t="shared" si="87"/>
        <v/>
      </c>
      <c r="E5623" s="626"/>
      <c r="F5623" s="626"/>
    </row>
    <row r="5624" spans="1:6">
      <c r="A5624" t="str">
        <f t="shared" si="87"/>
        <v/>
      </c>
      <c r="E5624" s="626"/>
      <c r="F5624" s="626"/>
    </row>
    <row r="5625" spans="1:6">
      <c r="A5625" t="str">
        <f t="shared" si="87"/>
        <v/>
      </c>
      <c r="E5625" s="626"/>
      <c r="F5625" s="626"/>
    </row>
    <row r="5626" spans="1:6">
      <c r="A5626" t="str">
        <f t="shared" si="87"/>
        <v/>
      </c>
      <c r="E5626" s="626"/>
      <c r="F5626" s="626"/>
    </row>
    <row r="5627" spans="1:6">
      <c r="A5627" t="str">
        <f t="shared" si="87"/>
        <v/>
      </c>
      <c r="E5627" s="626"/>
      <c r="F5627" s="626"/>
    </row>
    <row r="5628" spans="1:6">
      <c r="A5628" t="str">
        <f t="shared" si="87"/>
        <v/>
      </c>
      <c r="E5628" s="626"/>
      <c r="F5628" s="626"/>
    </row>
    <row r="5629" spans="1:6">
      <c r="A5629" t="str">
        <f t="shared" si="87"/>
        <v/>
      </c>
      <c r="E5629" s="626"/>
      <c r="F5629" s="626"/>
    </row>
    <row r="5630" spans="1:6">
      <c r="A5630" t="str">
        <f t="shared" si="87"/>
        <v/>
      </c>
      <c r="E5630" s="626"/>
      <c r="F5630" s="626"/>
    </row>
    <row r="5631" spans="1:6">
      <c r="A5631" t="str">
        <f t="shared" si="87"/>
        <v/>
      </c>
      <c r="E5631" s="626"/>
      <c r="F5631" s="626"/>
    </row>
    <row r="5632" spans="1:6">
      <c r="A5632" t="str">
        <f t="shared" si="87"/>
        <v/>
      </c>
      <c r="E5632" s="626"/>
      <c r="F5632" s="626"/>
    </row>
    <row r="5633" spans="1:6">
      <c r="A5633" t="str">
        <f t="shared" si="87"/>
        <v/>
      </c>
      <c r="E5633" s="626"/>
      <c r="F5633" s="626"/>
    </row>
    <row r="5634" spans="1:6">
      <c r="A5634" t="str">
        <f t="shared" ref="A5634:A5697" si="88">B5634&amp;E5634&amp;J5634</f>
        <v/>
      </c>
      <c r="E5634" s="626"/>
      <c r="F5634" s="626"/>
    </row>
    <row r="5635" spans="1:6">
      <c r="A5635" t="str">
        <f t="shared" si="88"/>
        <v/>
      </c>
      <c r="E5635" s="626"/>
      <c r="F5635" s="626"/>
    </row>
    <row r="5636" spans="1:6">
      <c r="A5636" t="str">
        <f t="shared" si="88"/>
        <v/>
      </c>
      <c r="E5636" s="626"/>
      <c r="F5636" s="626"/>
    </row>
    <row r="5637" spans="1:6">
      <c r="A5637" t="str">
        <f t="shared" si="88"/>
        <v/>
      </c>
      <c r="E5637" s="626"/>
      <c r="F5637" s="626"/>
    </row>
    <row r="5638" spans="1:6">
      <c r="A5638" t="str">
        <f t="shared" si="88"/>
        <v/>
      </c>
      <c r="E5638" s="626"/>
      <c r="F5638" s="626"/>
    </row>
    <row r="5639" spans="1:6">
      <c r="A5639" t="str">
        <f t="shared" si="88"/>
        <v/>
      </c>
      <c r="E5639" s="626"/>
      <c r="F5639" s="626"/>
    </row>
    <row r="5640" spans="1:6">
      <c r="A5640" t="str">
        <f t="shared" si="88"/>
        <v/>
      </c>
      <c r="E5640" s="626"/>
      <c r="F5640" s="626"/>
    </row>
    <row r="5641" spans="1:6">
      <c r="A5641" t="str">
        <f t="shared" si="88"/>
        <v/>
      </c>
      <c r="E5641" s="626"/>
      <c r="F5641" s="626"/>
    </row>
    <row r="5642" spans="1:6">
      <c r="A5642" t="str">
        <f t="shared" si="88"/>
        <v/>
      </c>
      <c r="E5642" s="626"/>
      <c r="F5642" s="626"/>
    </row>
    <row r="5643" spans="1:6">
      <c r="A5643" t="str">
        <f t="shared" si="88"/>
        <v/>
      </c>
      <c r="E5643" s="626"/>
      <c r="F5643" s="626"/>
    </row>
    <row r="5644" spans="1:6">
      <c r="A5644" t="str">
        <f t="shared" si="88"/>
        <v/>
      </c>
      <c r="E5644" s="626"/>
      <c r="F5644" s="626"/>
    </row>
    <row r="5645" spans="1:6">
      <c r="A5645" t="str">
        <f t="shared" si="88"/>
        <v/>
      </c>
      <c r="E5645" s="626"/>
      <c r="F5645" s="626"/>
    </row>
    <row r="5646" spans="1:6">
      <c r="A5646" t="str">
        <f t="shared" si="88"/>
        <v/>
      </c>
      <c r="E5646" s="626"/>
      <c r="F5646" s="626"/>
    </row>
    <row r="5647" spans="1:6">
      <c r="A5647" t="str">
        <f t="shared" si="88"/>
        <v/>
      </c>
      <c r="E5647" s="626"/>
      <c r="F5647" s="626"/>
    </row>
    <row r="5648" spans="1:6">
      <c r="A5648" t="str">
        <f t="shared" si="88"/>
        <v/>
      </c>
      <c r="E5648" s="626"/>
      <c r="F5648" s="626"/>
    </row>
    <row r="5649" spans="1:6">
      <c r="A5649" t="str">
        <f t="shared" si="88"/>
        <v/>
      </c>
      <c r="E5649" s="626"/>
      <c r="F5649" s="626"/>
    </row>
    <row r="5650" spans="1:6">
      <c r="A5650" t="str">
        <f t="shared" si="88"/>
        <v/>
      </c>
      <c r="E5650" s="626"/>
      <c r="F5650" s="626"/>
    </row>
    <row r="5651" spans="1:6">
      <c r="A5651" t="str">
        <f t="shared" si="88"/>
        <v/>
      </c>
      <c r="E5651" s="626"/>
      <c r="F5651" s="626"/>
    </row>
    <row r="5652" spans="1:6">
      <c r="A5652" t="str">
        <f t="shared" si="88"/>
        <v/>
      </c>
      <c r="E5652" s="626"/>
      <c r="F5652" s="626"/>
    </row>
    <row r="5653" spans="1:6">
      <c r="A5653" t="str">
        <f t="shared" si="88"/>
        <v/>
      </c>
      <c r="E5653" s="626"/>
      <c r="F5653" s="626"/>
    </row>
    <row r="5654" spans="1:6">
      <c r="A5654" t="str">
        <f t="shared" si="88"/>
        <v/>
      </c>
      <c r="E5654" s="626"/>
      <c r="F5654" s="626"/>
    </row>
    <row r="5655" spans="1:6">
      <c r="A5655" t="str">
        <f t="shared" si="88"/>
        <v/>
      </c>
      <c r="E5655" s="626"/>
      <c r="F5655" s="626"/>
    </row>
    <row r="5656" spans="1:6">
      <c r="A5656" t="str">
        <f t="shared" si="88"/>
        <v/>
      </c>
      <c r="E5656" s="626"/>
      <c r="F5656" s="626"/>
    </row>
    <row r="5657" spans="1:6">
      <c r="A5657" t="str">
        <f t="shared" si="88"/>
        <v/>
      </c>
      <c r="E5657" s="626"/>
      <c r="F5657" s="626"/>
    </row>
    <row r="5658" spans="1:6">
      <c r="A5658" t="str">
        <f t="shared" si="88"/>
        <v/>
      </c>
      <c r="E5658" s="626"/>
      <c r="F5658" s="626"/>
    </row>
    <row r="5659" spans="1:6">
      <c r="A5659" t="str">
        <f t="shared" si="88"/>
        <v/>
      </c>
      <c r="E5659" s="626"/>
      <c r="F5659" s="626"/>
    </row>
    <row r="5660" spans="1:6">
      <c r="A5660" t="str">
        <f t="shared" si="88"/>
        <v/>
      </c>
      <c r="E5660" s="626"/>
      <c r="F5660" s="626"/>
    </row>
    <row r="5661" spans="1:6">
      <c r="A5661" t="str">
        <f t="shared" si="88"/>
        <v/>
      </c>
      <c r="E5661" s="626"/>
      <c r="F5661" s="626"/>
    </row>
    <row r="5662" spans="1:6">
      <c r="A5662" t="str">
        <f t="shared" si="88"/>
        <v/>
      </c>
      <c r="E5662" s="626"/>
      <c r="F5662" s="626"/>
    </row>
    <row r="5663" spans="1:6">
      <c r="A5663" t="str">
        <f t="shared" si="88"/>
        <v/>
      </c>
      <c r="E5663" s="626"/>
      <c r="F5663" s="626"/>
    </row>
    <row r="5664" spans="1:6">
      <c r="A5664" t="str">
        <f t="shared" si="88"/>
        <v/>
      </c>
      <c r="E5664" s="626"/>
      <c r="F5664" s="626"/>
    </row>
    <row r="5665" spans="1:6">
      <c r="A5665" t="str">
        <f t="shared" si="88"/>
        <v/>
      </c>
      <c r="E5665" s="626"/>
      <c r="F5665" s="626"/>
    </row>
    <row r="5666" spans="1:6">
      <c r="A5666" t="str">
        <f t="shared" si="88"/>
        <v/>
      </c>
      <c r="E5666" s="626"/>
      <c r="F5666" s="626"/>
    </row>
    <row r="5667" spans="1:6">
      <c r="A5667" t="str">
        <f t="shared" si="88"/>
        <v/>
      </c>
      <c r="E5667" s="626"/>
      <c r="F5667" s="626"/>
    </row>
    <row r="5668" spans="1:6">
      <c r="A5668" t="str">
        <f t="shared" si="88"/>
        <v/>
      </c>
      <c r="E5668" s="626"/>
      <c r="F5668" s="626"/>
    </row>
    <row r="5669" spans="1:6">
      <c r="A5669" t="str">
        <f t="shared" si="88"/>
        <v/>
      </c>
      <c r="E5669" s="626"/>
      <c r="F5669" s="626"/>
    </row>
    <row r="5670" spans="1:6">
      <c r="A5670" t="str">
        <f t="shared" si="88"/>
        <v/>
      </c>
      <c r="E5670" s="626"/>
      <c r="F5670" s="626"/>
    </row>
    <row r="5671" spans="1:6">
      <c r="A5671" t="str">
        <f t="shared" si="88"/>
        <v/>
      </c>
      <c r="E5671" s="626"/>
      <c r="F5671" s="626"/>
    </row>
    <row r="5672" spans="1:6">
      <c r="A5672" t="str">
        <f t="shared" si="88"/>
        <v/>
      </c>
      <c r="E5672" s="626"/>
      <c r="F5672" s="626"/>
    </row>
    <row r="5673" spans="1:6">
      <c r="A5673" t="str">
        <f t="shared" si="88"/>
        <v/>
      </c>
      <c r="E5673" s="626"/>
      <c r="F5673" s="626"/>
    </row>
    <row r="5674" spans="1:6">
      <c r="A5674" t="str">
        <f t="shared" si="88"/>
        <v/>
      </c>
      <c r="E5674" s="626"/>
      <c r="F5674" s="626"/>
    </row>
    <row r="5675" spans="1:6">
      <c r="A5675" t="str">
        <f t="shared" si="88"/>
        <v/>
      </c>
      <c r="E5675" s="626"/>
      <c r="F5675" s="626"/>
    </row>
    <row r="5676" spans="1:6">
      <c r="A5676" t="str">
        <f t="shared" si="88"/>
        <v/>
      </c>
      <c r="E5676" s="626"/>
      <c r="F5676" s="626"/>
    </row>
    <row r="5677" spans="1:6">
      <c r="A5677" t="str">
        <f t="shared" si="88"/>
        <v/>
      </c>
      <c r="E5677" s="626"/>
      <c r="F5677" s="626"/>
    </row>
    <row r="5678" spans="1:6">
      <c r="A5678" t="str">
        <f t="shared" si="88"/>
        <v/>
      </c>
      <c r="E5678" s="626"/>
      <c r="F5678" s="626"/>
    </row>
    <row r="5679" spans="1:6">
      <c r="A5679" t="str">
        <f t="shared" si="88"/>
        <v/>
      </c>
      <c r="E5679" s="626"/>
      <c r="F5679" s="626"/>
    </row>
    <row r="5680" spans="1:6">
      <c r="A5680" t="str">
        <f t="shared" si="88"/>
        <v/>
      </c>
      <c r="E5680" s="626"/>
      <c r="F5680" s="626"/>
    </row>
    <row r="5681" spans="1:6">
      <c r="A5681" t="str">
        <f t="shared" si="88"/>
        <v/>
      </c>
      <c r="E5681" s="626"/>
      <c r="F5681" s="626"/>
    </row>
    <row r="5682" spans="1:6">
      <c r="A5682" t="str">
        <f t="shared" si="88"/>
        <v/>
      </c>
      <c r="E5682" s="626"/>
      <c r="F5682" s="626"/>
    </row>
    <row r="5683" spans="1:6">
      <c r="A5683" t="str">
        <f t="shared" si="88"/>
        <v/>
      </c>
      <c r="E5683" s="626"/>
      <c r="F5683" s="626"/>
    </row>
    <row r="5684" spans="1:6">
      <c r="A5684" t="str">
        <f t="shared" si="88"/>
        <v/>
      </c>
      <c r="E5684" s="626"/>
      <c r="F5684" s="626"/>
    </row>
    <row r="5685" spans="1:6">
      <c r="A5685" t="str">
        <f t="shared" si="88"/>
        <v/>
      </c>
      <c r="E5685" s="626"/>
      <c r="F5685" s="626"/>
    </row>
    <row r="5686" spans="1:6">
      <c r="A5686" t="str">
        <f t="shared" si="88"/>
        <v/>
      </c>
      <c r="E5686" s="626"/>
      <c r="F5686" s="626"/>
    </row>
    <row r="5687" spans="1:6">
      <c r="A5687" t="str">
        <f t="shared" si="88"/>
        <v/>
      </c>
      <c r="E5687" s="626"/>
      <c r="F5687" s="626"/>
    </row>
    <row r="5688" spans="1:6">
      <c r="A5688" t="str">
        <f t="shared" si="88"/>
        <v/>
      </c>
      <c r="E5688" s="626"/>
      <c r="F5688" s="626"/>
    </row>
    <row r="5689" spans="1:6">
      <c r="A5689" t="str">
        <f t="shared" si="88"/>
        <v/>
      </c>
      <c r="E5689" s="626"/>
      <c r="F5689" s="626"/>
    </row>
    <row r="5690" spans="1:6">
      <c r="A5690" t="str">
        <f t="shared" si="88"/>
        <v/>
      </c>
      <c r="E5690" s="626"/>
      <c r="F5690" s="626"/>
    </row>
    <row r="5691" spans="1:6">
      <c r="A5691" t="str">
        <f t="shared" si="88"/>
        <v/>
      </c>
      <c r="E5691" s="626"/>
      <c r="F5691" s="626"/>
    </row>
    <row r="5692" spans="1:6">
      <c r="A5692" t="str">
        <f t="shared" si="88"/>
        <v/>
      </c>
      <c r="E5692" s="626"/>
      <c r="F5692" s="626"/>
    </row>
    <row r="5693" spans="1:6">
      <c r="A5693" t="str">
        <f t="shared" si="88"/>
        <v/>
      </c>
      <c r="E5693" s="626"/>
      <c r="F5693" s="626"/>
    </row>
    <row r="5694" spans="1:6">
      <c r="A5694" t="str">
        <f t="shared" si="88"/>
        <v/>
      </c>
      <c r="E5694" s="626"/>
      <c r="F5694" s="626"/>
    </row>
    <row r="5695" spans="1:6">
      <c r="A5695" t="str">
        <f t="shared" si="88"/>
        <v/>
      </c>
      <c r="E5695" s="626"/>
      <c r="F5695" s="626"/>
    </row>
    <row r="5696" spans="1:6">
      <c r="A5696" t="str">
        <f t="shared" si="88"/>
        <v/>
      </c>
      <c r="E5696" s="626"/>
      <c r="F5696" s="626"/>
    </row>
    <row r="5697" spans="1:6">
      <c r="A5697" t="str">
        <f t="shared" si="88"/>
        <v/>
      </c>
      <c r="E5697" s="626"/>
      <c r="F5697" s="626"/>
    </row>
    <row r="5698" spans="1:6">
      <c r="A5698" t="str">
        <f t="shared" ref="A5698:A5761" si="89">B5698&amp;E5698&amp;J5698</f>
        <v/>
      </c>
      <c r="E5698" s="626"/>
      <c r="F5698" s="626"/>
    </row>
    <row r="5699" spans="1:6">
      <c r="A5699" t="str">
        <f t="shared" si="89"/>
        <v/>
      </c>
      <c r="E5699" s="626"/>
      <c r="F5699" s="626"/>
    </row>
    <row r="5700" spans="1:6">
      <c r="A5700" t="str">
        <f t="shared" si="89"/>
        <v/>
      </c>
      <c r="E5700" s="626"/>
      <c r="F5700" s="626"/>
    </row>
    <row r="5701" spans="1:6">
      <c r="A5701" t="str">
        <f t="shared" si="89"/>
        <v/>
      </c>
      <c r="E5701" s="626"/>
      <c r="F5701" s="626"/>
    </row>
    <row r="5702" spans="1:6">
      <c r="A5702" t="str">
        <f t="shared" si="89"/>
        <v/>
      </c>
      <c r="E5702" s="626"/>
      <c r="F5702" s="626"/>
    </row>
    <row r="5703" spans="1:6">
      <c r="A5703" t="str">
        <f t="shared" si="89"/>
        <v/>
      </c>
      <c r="E5703" s="626"/>
      <c r="F5703" s="626"/>
    </row>
    <row r="5704" spans="1:6">
      <c r="A5704" t="str">
        <f t="shared" si="89"/>
        <v/>
      </c>
      <c r="E5704" s="626"/>
      <c r="F5704" s="626"/>
    </row>
    <row r="5705" spans="1:6">
      <c r="A5705" t="str">
        <f t="shared" si="89"/>
        <v/>
      </c>
      <c r="E5705" s="626"/>
      <c r="F5705" s="626"/>
    </row>
    <row r="5706" spans="1:6">
      <c r="A5706" t="str">
        <f t="shared" si="89"/>
        <v/>
      </c>
      <c r="E5706" s="626"/>
      <c r="F5706" s="626"/>
    </row>
    <row r="5707" spans="1:6">
      <c r="A5707" t="str">
        <f t="shared" si="89"/>
        <v/>
      </c>
      <c r="E5707" s="626"/>
      <c r="F5707" s="626"/>
    </row>
    <row r="5708" spans="1:6">
      <c r="A5708" t="str">
        <f t="shared" si="89"/>
        <v/>
      </c>
      <c r="E5708" s="626"/>
      <c r="F5708" s="626"/>
    </row>
    <row r="5709" spans="1:6">
      <c r="A5709" t="str">
        <f t="shared" si="89"/>
        <v/>
      </c>
      <c r="E5709" s="626"/>
      <c r="F5709" s="626"/>
    </row>
    <row r="5710" spans="1:6">
      <c r="A5710" t="str">
        <f t="shared" si="89"/>
        <v/>
      </c>
      <c r="E5710" s="626"/>
      <c r="F5710" s="626"/>
    </row>
    <row r="5711" spans="1:6">
      <c r="A5711" t="str">
        <f t="shared" si="89"/>
        <v/>
      </c>
      <c r="E5711" s="626"/>
      <c r="F5711" s="626"/>
    </row>
    <row r="5712" spans="1:6">
      <c r="A5712" t="str">
        <f t="shared" si="89"/>
        <v/>
      </c>
      <c r="E5712" s="626"/>
      <c r="F5712" s="626"/>
    </row>
    <row r="5713" spans="1:6">
      <c r="A5713" t="str">
        <f t="shared" si="89"/>
        <v/>
      </c>
      <c r="E5713" s="626"/>
      <c r="F5713" s="626"/>
    </row>
    <row r="5714" spans="1:6">
      <c r="A5714" t="str">
        <f t="shared" si="89"/>
        <v/>
      </c>
      <c r="E5714" s="626"/>
      <c r="F5714" s="626"/>
    </row>
    <row r="5715" spans="1:6">
      <c r="A5715" t="str">
        <f t="shared" si="89"/>
        <v/>
      </c>
      <c r="E5715" s="626"/>
      <c r="F5715" s="626"/>
    </row>
    <row r="5716" spans="1:6">
      <c r="A5716" t="str">
        <f t="shared" si="89"/>
        <v/>
      </c>
      <c r="E5716" s="626"/>
      <c r="F5716" s="626"/>
    </row>
    <row r="5717" spans="1:6">
      <c r="A5717" t="str">
        <f t="shared" si="89"/>
        <v/>
      </c>
      <c r="E5717" s="626"/>
      <c r="F5717" s="626"/>
    </row>
    <row r="5718" spans="1:6">
      <c r="A5718" t="str">
        <f t="shared" si="89"/>
        <v/>
      </c>
      <c r="E5718" s="626"/>
      <c r="F5718" s="626"/>
    </row>
    <row r="5719" spans="1:6">
      <c r="A5719" t="str">
        <f t="shared" si="89"/>
        <v/>
      </c>
      <c r="E5719" s="626"/>
      <c r="F5719" s="626"/>
    </row>
    <row r="5720" spans="1:6">
      <c r="A5720" t="str">
        <f t="shared" si="89"/>
        <v/>
      </c>
      <c r="E5720" s="626"/>
      <c r="F5720" s="626"/>
    </row>
    <row r="5721" spans="1:6">
      <c r="A5721" t="str">
        <f t="shared" si="89"/>
        <v/>
      </c>
      <c r="E5721" s="626"/>
      <c r="F5721" s="626"/>
    </row>
    <row r="5722" spans="1:6">
      <c r="A5722" t="str">
        <f t="shared" si="89"/>
        <v/>
      </c>
      <c r="E5722" s="626"/>
      <c r="F5722" s="626"/>
    </row>
    <row r="5723" spans="1:6">
      <c r="A5723" t="str">
        <f t="shared" si="89"/>
        <v/>
      </c>
      <c r="E5723" s="626"/>
      <c r="F5723" s="626"/>
    </row>
    <row r="5724" spans="1:6">
      <c r="A5724" t="str">
        <f t="shared" si="89"/>
        <v/>
      </c>
      <c r="E5724" s="626"/>
      <c r="F5724" s="626"/>
    </row>
    <row r="5725" spans="1:6">
      <c r="A5725" t="str">
        <f t="shared" si="89"/>
        <v/>
      </c>
      <c r="E5725" s="626"/>
      <c r="F5725" s="626"/>
    </row>
    <row r="5726" spans="1:6">
      <c r="A5726" t="str">
        <f t="shared" si="89"/>
        <v/>
      </c>
      <c r="E5726" s="626"/>
      <c r="F5726" s="626"/>
    </row>
    <row r="5727" spans="1:6">
      <c r="A5727" t="str">
        <f t="shared" si="89"/>
        <v/>
      </c>
      <c r="E5727" s="626"/>
      <c r="F5727" s="626"/>
    </row>
    <row r="5728" spans="1:6">
      <c r="A5728" t="str">
        <f t="shared" si="89"/>
        <v/>
      </c>
      <c r="E5728" s="626"/>
      <c r="F5728" s="626"/>
    </row>
    <row r="5729" spans="1:6">
      <c r="A5729" t="str">
        <f t="shared" si="89"/>
        <v/>
      </c>
      <c r="E5729" s="626"/>
      <c r="F5729" s="626"/>
    </row>
    <row r="5730" spans="1:6">
      <c r="A5730" t="str">
        <f t="shared" si="89"/>
        <v/>
      </c>
      <c r="E5730" s="626"/>
      <c r="F5730" s="626"/>
    </row>
    <row r="5731" spans="1:6">
      <c r="A5731" t="str">
        <f t="shared" si="89"/>
        <v/>
      </c>
      <c r="E5731" s="626"/>
      <c r="F5731" s="626"/>
    </row>
    <row r="5732" spans="1:6">
      <c r="A5732" t="str">
        <f t="shared" si="89"/>
        <v/>
      </c>
      <c r="E5732" s="626"/>
      <c r="F5732" s="626"/>
    </row>
    <row r="5733" spans="1:6">
      <c r="A5733" t="str">
        <f t="shared" si="89"/>
        <v/>
      </c>
      <c r="E5733" s="626"/>
      <c r="F5733" s="626"/>
    </row>
    <row r="5734" spans="1:6">
      <c r="A5734" t="str">
        <f t="shared" si="89"/>
        <v/>
      </c>
      <c r="E5734" s="626"/>
      <c r="F5734" s="626"/>
    </row>
    <row r="5735" spans="1:6">
      <c r="A5735" t="str">
        <f t="shared" si="89"/>
        <v/>
      </c>
      <c r="E5735" s="626"/>
      <c r="F5735" s="626"/>
    </row>
    <row r="5736" spans="1:6">
      <c r="A5736" t="str">
        <f t="shared" si="89"/>
        <v/>
      </c>
      <c r="E5736" s="626"/>
      <c r="F5736" s="626"/>
    </row>
    <row r="5737" spans="1:6">
      <c r="A5737" t="str">
        <f t="shared" si="89"/>
        <v/>
      </c>
      <c r="E5737" s="626"/>
      <c r="F5737" s="626"/>
    </row>
    <row r="5738" spans="1:6">
      <c r="A5738" t="str">
        <f t="shared" si="89"/>
        <v/>
      </c>
      <c r="E5738" s="626"/>
      <c r="F5738" s="626"/>
    </row>
    <row r="5739" spans="1:6">
      <c r="A5739" t="str">
        <f t="shared" si="89"/>
        <v/>
      </c>
      <c r="E5739" s="626"/>
      <c r="F5739" s="626"/>
    </row>
    <row r="5740" spans="1:6">
      <c r="A5740" t="str">
        <f t="shared" si="89"/>
        <v/>
      </c>
      <c r="E5740" s="626"/>
      <c r="F5740" s="626"/>
    </row>
    <row r="5741" spans="1:6">
      <c r="A5741" t="str">
        <f t="shared" si="89"/>
        <v/>
      </c>
      <c r="E5741" s="626"/>
      <c r="F5741" s="626"/>
    </row>
    <row r="5742" spans="1:6">
      <c r="A5742" t="str">
        <f t="shared" si="89"/>
        <v/>
      </c>
      <c r="E5742" s="626"/>
      <c r="F5742" s="626"/>
    </row>
    <row r="5743" spans="1:6">
      <c r="A5743" t="str">
        <f t="shared" si="89"/>
        <v/>
      </c>
      <c r="E5743" s="626"/>
      <c r="F5743" s="626"/>
    </row>
    <row r="5744" spans="1:6">
      <c r="A5744" t="str">
        <f t="shared" si="89"/>
        <v/>
      </c>
      <c r="E5744" s="626"/>
      <c r="F5744" s="626"/>
    </row>
    <row r="5745" spans="1:6">
      <c r="A5745" t="str">
        <f t="shared" si="89"/>
        <v/>
      </c>
      <c r="E5745" s="626"/>
      <c r="F5745" s="626"/>
    </row>
    <row r="5746" spans="1:6">
      <c r="A5746" t="str">
        <f t="shared" si="89"/>
        <v/>
      </c>
      <c r="E5746" s="626"/>
      <c r="F5746" s="626"/>
    </row>
    <row r="5747" spans="1:6">
      <c r="A5747" t="str">
        <f t="shared" si="89"/>
        <v/>
      </c>
      <c r="E5747" s="626"/>
      <c r="F5747" s="626"/>
    </row>
    <row r="5748" spans="1:6">
      <c r="A5748" t="str">
        <f t="shared" si="89"/>
        <v/>
      </c>
      <c r="E5748" s="626"/>
      <c r="F5748" s="626"/>
    </row>
    <row r="5749" spans="1:6">
      <c r="A5749" t="str">
        <f t="shared" si="89"/>
        <v/>
      </c>
      <c r="E5749" s="626"/>
      <c r="F5749" s="626"/>
    </row>
    <row r="5750" spans="1:6">
      <c r="A5750" t="str">
        <f t="shared" si="89"/>
        <v/>
      </c>
      <c r="E5750" s="626"/>
      <c r="F5750" s="626"/>
    </row>
    <row r="5751" spans="1:6">
      <c r="A5751" t="str">
        <f t="shared" si="89"/>
        <v/>
      </c>
      <c r="E5751" s="626"/>
      <c r="F5751" s="626"/>
    </row>
    <row r="5752" spans="1:6">
      <c r="A5752" t="str">
        <f t="shared" si="89"/>
        <v/>
      </c>
      <c r="E5752" s="626"/>
      <c r="F5752" s="626"/>
    </row>
    <row r="5753" spans="1:6">
      <c r="A5753" t="str">
        <f t="shared" si="89"/>
        <v/>
      </c>
      <c r="E5753" s="626"/>
      <c r="F5753" s="626"/>
    </row>
    <row r="5754" spans="1:6">
      <c r="A5754" t="str">
        <f t="shared" si="89"/>
        <v/>
      </c>
      <c r="E5754" s="626"/>
      <c r="F5754" s="626"/>
    </row>
    <row r="5755" spans="1:6">
      <c r="A5755" t="str">
        <f t="shared" si="89"/>
        <v/>
      </c>
      <c r="E5755" s="626"/>
      <c r="F5755" s="626"/>
    </row>
    <row r="5756" spans="1:6">
      <c r="A5756" t="str">
        <f t="shared" si="89"/>
        <v/>
      </c>
      <c r="E5756" s="626"/>
      <c r="F5756" s="626"/>
    </row>
    <row r="5757" spans="1:6">
      <c r="A5757" t="str">
        <f t="shared" si="89"/>
        <v/>
      </c>
      <c r="E5757" s="626"/>
      <c r="F5757" s="626"/>
    </row>
    <row r="5758" spans="1:6">
      <c r="A5758" t="str">
        <f t="shared" si="89"/>
        <v/>
      </c>
      <c r="E5758" s="626"/>
      <c r="F5758" s="626"/>
    </row>
    <row r="5759" spans="1:6">
      <c r="A5759" t="str">
        <f t="shared" si="89"/>
        <v/>
      </c>
      <c r="E5759" s="626"/>
      <c r="F5759" s="626"/>
    </row>
    <row r="5760" spans="1:6">
      <c r="A5760" t="str">
        <f t="shared" si="89"/>
        <v/>
      </c>
      <c r="E5760" s="626"/>
      <c r="F5760" s="626"/>
    </row>
    <row r="5761" spans="1:6">
      <c r="A5761" t="str">
        <f t="shared" si="89"/>
        <v/>
      </c>
      <c r="E5761" s="626"/>
      <c r="F5761" s="626"/>
    </row>
    <row r="5762" spans="1:6">
      <c r="A5762" t="str">
        <f t="shared" ref="A5762:A5825" si="90">B5762&amp;E5762&amp;J5762</f>
        <v/>
      </c>
      <c r="E5762" s="626"/>
      <c r="F5762" s="626"/>
    </row>
    <row r="5763" spans="1:6">
      <c r="A5763" t="str">
        <f t="shared" si="90"/>
        <v/>
      </c>
      <c r="E5763" s="626"/>
      <c r="F5763" s="626"/>
    </row>
    <row r="5764" spans="1:6">
      <c r="A5764" t="str">
        <f t="shared" si="90"/>
        <v/>
      </c>
      <c r="E5764" s="626"/>
      <c r="F5764" s="626"/>
    </row>
    <row r="5765" spans="1:6">
      <c r="A5765" t="str">
        <f t="shared" si="90"/>
        <v/>
      </c>
      <c r="E5765" s="626"/>
      <c r="F5765" s="626"/>
    </row>
    <row r="5766" spans="1:6">
      <c r="A5766" t="str">
        <f t="shared" si="90"/>
        <v/>
      </c>
      <c r="E5766" s="626"/>
      <c r="F5766" s="626"/>
    </row>
    <row r="5767" spans="1:6">
      <c r="A5767" t="str">
        <f t="shared" si="90"/>
        <v/>
      </c>
      <c r="E5767" s="626"/>
      <c r="F5767" s="626"/>
    </row>
    <row r="5768" spans="1:6">
      <c r="A5768" t="str">
        <f t="shared" si="90"/>
        <v/>
      </c>
      <c r="E5768" s="626"/>
      <c r="F5768" s="626"/>
    </row>
    <row r="5769" spans="1:6">
      <c r="A5769" t="str">
        <f t="shared" si="90"/>
        <v/>
      </c>
      <c r="E5769" s="626"/>
      <c r="F5769" s="626"/>
    </row>
    <row r="5770" spans="1:6">
      <c r="A5770" t="str">
        <f t="shared" si="90"/>
        <v/>
      </c>
      <c r="E5770" s="626"/>
      <c r="F5770" s="626"/>
    </row>
    <row r="5771" spans="1:6">
      <c r="A5771" t="str">
        <f t="shared" si="90"/>
        <v/>
      </c>
      <c r="E5771" s="626"/>
      <c r="F5771" s="626"/>
    </row>
    <row r="5772" spans="1:6">
      <c r="A5772" t="str">
        <f t="shared" si="90"/>
        <v/>
      </c>
      <c r="E5772" s="626"/>
      <c r="F5772" s="626"/>
    </row>
    <row r="5773" spans="1:6">
      <c r="A5773" t="str">
        <f t="shared" si="90"/>
        <v/>
      </c>
      <c r="E5773" s="626"/>
      <c r="F5773" s="626"/>
    </row>
    <row r="5774" spans="1:6">
      <c r="A5774" t="str">
        <f t="shared" si="90"/>
        <v/>
      </c>
      <c r="E5774" s="626"/>
      <c r="F5774" s="626"/>
    </row>
    <row r="5775" spans="1:6">
      <c r="A5775" t="str">
        <f t="shared" si="90"/>
        <v/>
      </c>
      <c r="E5775" s="626"/>
      <c r="F5775" s="626"/>
    </row>
    <row r="5776" spans="1:6">
      <c r="A5776" t="str">
        <f t="shared" si="90"/>
        <v/>
      </c>
      <c r="E5776" s="626"/>
      <c r="F5776" s="626"/>
    </row>
    <row r="5777" spans="1:6">
      <c r="A5777" t="str">
        <f t="shared" si="90"/>
        <v/>
      </c>
      <c r="E5777" s="626"/>
      <c r="F5777" s="626"/>
    </row>
    <row r="5778" spans="1:6">
      <c r="A5778" t="str">
        <f t="shared" si="90"/>
        <v/>
      </c>
      <c r="E5778" s="626"/>
      <c r="F5778" s="626"/>
    </row>
    <row r="5779" spans="1:6">
      <c r="A5779" t="str">
        <f t="shared" si="90"/>
        <v/>
      </c>
      <c r="E5779" s="626"/>
      <c r="F5779" s="626"/>
    </row>
    <row r="5780" spans="1:6">
      <c r="A5780" t="str">
        <f t="shared" si="90"/>
        <v/>
      </c>
      <c r="E5780" s="626"/>
      <c r="F5780" s="626"/>
    </row>
    <row r="5781" spans="1:6">
      <c r="A5781" t="str">
        <f t="shared" si="90"/>
        <v/>
      </c>
      <c r="E5781" s="626"/>
      <c r="F5781" s="626"/>
    </row>
    <row r="5782" spans="1:6">
      <c r="A5782" t="str">
        <f t="shared" si="90"/>
        <v/>
      </c>
      <c r="E5782" s="626"/>
      <c r="F5782" s="626"/>
    </row>
    <row r="5783" spans="1:6">
      <c r="A5783" t="str">
        <f t="shared" si="90"/>
        <v/>
      </c>
      <c r="E5783" s="626"/>
      <c r="F5783" s="626"/>
    </row>
    <row r="5784" spans="1:6">
      <c r="A5784" t="str">
        <f t="shared" si="90"/>
        <v/>
      </c>
      <c r="E5784" s="626"/>
      <c r="F5784" s="626"/>
    </row>
    <row r="5785" spans="1:6">
      <c r="A5785" t="str">
        <f t="shared" si="90"/>
        <v/>
      </c>
      <c r="E5785" s="626"/>
      <c r="F5785" s="626"/>
    </row>
    <row r="5786" spans="1:6">
      <c r="A5786" t="str">
        <f t="shared" si="90"/>
        <v/>
      </c>
      <c r="E5786" s="626"/>
      <c r="F5786" s="626"/>
    </row>
    <row r="5787" spans="1:6">
      <c r="A5787" t="str">
        <f t="shared" si="90"/>
        <v/>
      </c>
      <c r="E5787" s="626"/>
      <c r="F5787" s="626"/>
    </row>
    <row r="5788" spans="1:6">
      <c r="A5788" t="str">
        <f t="shared" si="90"/>
        <v/>
      </c>
      <c r="E5788" s="626"/>
      <c r="F5788" s="626"/>
    </row>
    <row r="5789" spans="1:6">
      <c r="A5789" t="str">
        <f t="shared" si="90"/>
        <v/>
      </c>
      <c r="E5789" s="626"/>
      <c r="F5789" s="626"/>
    </row>
    <row r="5790" spans="1:6">
      <c r="A5790" t="str">
        <f t="shared" si="90"/>
        <v/>
      </c>
      <c r="E5790" s="626"/>
      <c r="F5790" s="626"/>
    </row>
    <row r="5791" spans="1:6">
      <c r="A5791" t="str">
        <f t="shared" si="90"/>
        <v/>
      </c>
      <c r="E5791" s="626"/>
      <c r="F5791" s="626"/>
    </row>
    <row r="5792" spans="1:6">
      <c r="A5792" t="str">
        <f t="shared" si="90"/>
        <v/>
      </c>
      <c r="E5792" s="626"/>
      <c r="F5792" s="626"/>
    </row>
    <row r="5793" spans="1:6">
      <c r="A5793" t="str">
        <f t="shared" si="90"/>
        <v/>
      </c>
      <c r="E5793" s="626"/>
      <c r="F5793" s="626"/>
    </row>
    <row r="5794" spans="1:6">
      <c r="A5794" t="str">
        <f t="shared" si="90"/>
        <v/>
      </c>
      <c r="E5794" s="626"/>
      <c r="F5794" s="626"/>
    </row>
    <row r="5795" spans="1:6">
      <c r="A5795" t="str">
        <f t="shared" si="90"/>
        <v/>
      </c>
      <c r="E5795" s="626"/>
      <c r="F5795" s="626"/>
    </row>
    <row r="5796" spans="1:6">
      <c r="A5796" t="str">
        <f t="shared" si="90"/>
        <v/>
      </c>
      <c r="E5796" s="626"/>
      <c r="F5796" s="626"/>
    </row>
    <row r="5797" spans="1:6">
      <c r="A5797" t="str">
        <f t="shared" si="90"/>
        <v/>
      </c>
      <c r="E5797" s="626"/>
      <c r="F5797" s="626"/>
    </row>
    <row r="5798" spans="1:6">
      <c r="A5798" t="str">
        <f t="shared" si="90"/>
        <v/>
      </c>
      <c r="E5798" s="626"/>
      <c r="F5798" s="626"/>
    </row>
    <row r="5799" spans="1:6">
      <c r="A5799" t="str">
        <f t="shared" si="90"/>
        <v/>
      </c>
      <c r="E5799" s="626"/>
      <c r="F5799" s="626"/>
    </row>
    <row r="5800" spans="1:6">
      <c r="A5800" t="str">
        <f t="shared" si="90"/>
        <v/>
      </c>
      <c r="E5800" s="626"/>
      <c r="F5800" s="626"/>
    </row>
    <row r="5801" spans="1:6">
      <c r="A5801" t="str">
        <f t="shared" si="90"/>
        <v/>
      </c>
      <c r="E5801" s="626"/>
      <c r="F5801" s="626"/>
    </row>
    <row r="5802" spans="1:6">
      <c r="A5802" t="str">
        <f t="shared" si="90"/>
        <v/>
      </c>
      <c r="E5802" s="626"/>
      <c r="F5802" s="626"/>
    </row>
    <row r="5803" spans="1:6">
      <c r="A5803" t="str">
        <f t="shared" si="90"/>
        <v/>
      </c>
      <c r="E5803" s="626"/>
      <c r="F5803" s="626"/>
    </row>
    <row r="5804" spans="1:6">
      <c r="A5804" t="str">
        <f t="shared" si="90"/>
        <v/>
      </c>
      <c r="E5804" s="626"/>
      <c r="F5804" s="626"/>
    </row>
    <row r="5805" spans="1:6">
      <c r="A5805" t="str">
        <f t="shared" si="90"/>
        <v/>
      </c>
      <c r="E5805" s="626"/>
      <c r="F5805" s="626"/>
    </row>
    <row r="5806" spans="1:6">
      <c r="A5806" t="str">
        <f t="shared" si="90"/>
        <v/>
      </c>
      <c r="E5806" s="626"/>
      <c r="F5806" s="626"/>
    </row>
    <row r="5807" spans="1:6">
      <c r="A5807" t="str">
        <f t="shared" si="90"/>
        <v/>
      </c>
      <c r="E5807" s="626"/>
      <c r="F5807" s="626"/>
    </row>
    <row r="5808" spans="1:6">
      <c r="A5808" t="str">
        <f t="shared" si="90"/>
        <v/>
      </c>
      <c r="E5808" s="626"/>
      <c r="F5808" s="626"/>
    </row>
    <row r="5809" spans="1:6">
      <c r="A5809" t="str">
        <f t="shared" si="90"/>
        <v/>
      </c>
      <c r="E5809" s="626"/>
      <c r="F5809" s="626"/>
    </row>
    <row r="5810" spans="1:6">
      <c r="A5810" t="str">
        <f t="shared" si="90"/>
        <v/>
      </c>
      <c r="E5810" s="626"/>
      <c r="F5810" s="626"/>
    </row>
    <row r="5811" spans="1:6">
      <c r="A5811" t="str">
        <f t="shared" si="90"/>
        <v/>
      </c>
      <c r="E5811" s="626"/>
      <c r="F5811" s="626"/>
    </row>
    <row r="5812" spans="1:6">
      <c r="A5812" t="str">
        <f t="shared" si="90"/>
        <v/>
      </c>
      <c r="E5812" s="626"/>
      <c r="F5812" s="626"/>
    </row>
    <row r="5813" spans="1:6">
      <c r="A5813" t="str">
        <f t="shared" si="90"/>
        <v/>
      </c>
      <c r="E5813" s="626"/>
      <c r="F5813" s="626"/>
    </row>
    <row r="5814" spans="1:6">
      <c r="A5814" t="str">
        <f t="shared" si="90"/>
        <v/>
      </c>
      <c r="E5814" s="626"/>
      <c r="F5814" s="626"/>
    </row>
    <row r="5815" spans="1:6">
      <c r="A5815" t="str">
        <f t="shared" si="90"/>
        <v/>
      </c>
      <c r="E5815" s="626"/>
      <c r="F5815" s="626"/>
    </row>
    <row r="5816" spans="1:6">
      <c r="A5816" t="str">
        <f t="shared" si="90"/>
        <v/>
      </c>
      <c r="E5816" s="626"/>
      <c r="F5816" s="626"/>
    </row>
    <row r="5817" spans="1:6">
      <c r="A5817" t="str">
        <f t="shared" si="90"/>
        <v/>
      </c>
      <c r="E5817" s="626"/>
      <c r="F5817" s="626"/>
    </row>
    <row r="5818" spans="1:6">
      <c r="A5818" t="str">
        <f t="shared" si="90"/>
        <v/>
      </c>
      <c r="E5818" s="626"/>
      <c r="F5818" s="626"/>
    </row>
    <row r="5819" spans="1:6">
      <c r="A5819" t="str">
        <f t="shared" si="90"/>
        <v/>
      </c>
      <c r="E5819" s="626"/>
      <c r="F5819" s="626"/>
    </row>
    <row r="5820" spans="1:6">
      <c r="A5820" t="str">
        <f t="shared" si="90"/>
        <v/>
      </c>
      <c r="E5820" s="626"/>
      <c r="F5820" s="626"/>
    </row>
    <row r="5821" spans="1:6">
      <c r="A5821" t="str">
        <f t="shared" si="90"/>
        <v/>
      </c>
      <c r="E5821" s="626"/>
      <c r="F5821" s="626"/>
    </row>
    <row r="5822" spans="1:6">
      <c r="A5822" t="str">
        <f t="shared" si="90"/>
        <v/>
      </c>
      <c r="E5822" s="626"/>
      <c r="F5822" s="626"/>
    </row>
    <row r="5823" spans="1:6">
      <c r="A5823" t="str">
        <f t="shared" si="90"/>
        <v/>
      </c>
      <c r="E5823" s="626"/>
      <c r="F5823" s="626"/>
    </row>
    <row r="5824" spans="1:6">
      <c r="A5824" t="str">
        <f t="shared" si="90"/>
        <v/>
      </c>
      <c r="E5824" s="626"/>
      <c r="F5824" s="626"/>
    </row>
    <row r="5825" spans="1:6">
      <c r="A5825" t="str">
        <f t="shared" si="90"/>
        <v/>
      </c>
      <c r="E5825" s="626"/>
      <c r="F5825" s="626"/>
    </row>
    <row r="5826" spans="1:6">
      <c r="A5826" t="str">
        <f t="shared" ref="A5826:A5889" si="91">B5826&amp;E5826&amp;J5826</f>
        <v/>
      </c>
      <c r="E5826" s="626"/>
      <c r="F5826" s="626"/>
    </row>
    <row r="5827" spans="1:6">
      <c r="A5827" t="str">
        <f t="shared" si="91"/>
        <v/>
      </c>
      <c r="E5827" s="626"/>
      <c r="F5827" s="626"/>
    </row>
    <row r="5828" spans="1:6">
      <c r="A5828" t="str">
        <f t="shared" si="91"/>
        <v/>
      </c>
      <c r="E5828" s="626"/>
      <c r="F5828" s="626"/>
    </row>
    <row r="5829" spans="1:6">
      <c r="A5829" t="str">
        <f t="shared" si="91"/>
        <v/>
      </c>
      <c r="E5829" s="626"/>
      <c r="F5829" s="626"/>
    </row>
    <row r="5830" spans="1:6">
      <c r="A5830" t="str">
        <f t="shared" si="91"/>
        <v/>
      </c>
      <c r="E5830" s="626"/>
      <c r="F5830" s="626"/>
    </row>
    <row r="5831" spans="1:6">
      <c r="A5831" t="str">
        <f t="shared" si="91"/>
        <v/>
      </c>
      <c r="E5831" s="626"/>
      <c r="F5831" s="626"/>
    </row>
    <row r="5832" spans="1:6">
      <c r="A5832" t="str">
        <f t="shared" si="91"/>
        <v/>
      </c>
      <c r="E5832" s="626"/>
      <c r="F5832" s="626"/>
    </row>
    <row r="5833" spans="1:6">
      <c r="A5833" t="str">
        <f t="shared" si="91"/>
        <v/>
      </c>
      <c r="E5833" s="626"/>
      <c r="F5833" s="626"/>
    </row>
    <row r="5834" spans="1:6">
      <c r="A5834" t="str">
        <f t="shared" si="91"/>
        <v/>
      </c>
      <c r="E5834" s="626"/>
      <c r="F5834" s="626"/>
    </row>
    <row r="5835" spans="1:6">
      <c r="A5835" t="str">
        <f t="shared" si="91"/>
        <v/>
      </c>
      <c r="E5835" s="626"/>
      <c r="F5835" s="626"/>
    </row>
    <row r="5836" spans="1:6">
      <c r="A5836" t="str">
        <f t="shared" si="91"/>
        <v/>
      </c>
      <c r="E5836" s="626"/>
      <c r="F5836" s="626"/>
    </row>
    <row r="5837" spans="1:6">
      <c r="A5837" t="str">
        <f t="shared" si="91"/>
        <v/>
      </c>
      <c r="E5837" s="626"/>
      <c r="F5837" s="626"/>
    </row>
    <row r="5838" spans="1:6">
      <c r="A5838" t="str">
        <f t="shared" si="91"/>
        <v/>
      </c>
      <c r="E5838" s="626"/>
      <c r="F5838" s="626"/>
    </row>
    <row r="5839" spans="1:6">
      <c r="A5839" t="str">
        <f t="shared" si="91"/>
        <v/>
      </c>
      <c r="E5839" s="626"/>
      <c r="F5839" s="626"/>
    </row>
    <row r="5840" spans="1:6">
      <c r="A5840" t="str">
        <f t="shared" si="91"/>
        <v/>
      </c>
      <c r="E5840" s="626"/>
      <c r="F5840" s="626"/>
    </row>
    <row r="5841" spans="1:6">
      <c r="A5841" t="str">
        <f t="shared" si="91"/>
        <v/>
      </c>
      <c r="E5841" s="626"/>
      <c r="F5841" s="626"/>
    </row>
    <row r="5842" spans="1:6">
      <c r="A5842" t="str">
        <f t="shared" si="91"/>
        <v/>
      </c>
      <c r="E5842" s="626"/>
      <c r="F5842" s="626"/>
    </row>
    <row r="5843" spans="1:6">
      <c r="A5843" t="str">
        <f t="shared" si="91"/>
        <v/>
      </c>
      <c r="E5843" s="626"/>
      <c r="F5843" s="626"/>
    </row>
    <row r="5844" spans="1:6">
      <c r="A5844" t="str">
        <f t="shared" si="91"/>
        <v/>
      </c>
      <c r="E5844" s="626"/>
      <c r="F5844" s="626"/>
    </row>
    <row r="5845" spans="1:6">
      <c r="A5845" t="str">
        <f t="shared" si="91"/>
        <v/>
      </c>
      <c r="E5845" s="626"/>
      <c r="F5845" s="626"/>
    </row>
    <row r="5846" spans="1:6">
      <c r="A5846" t="str">
        <f t="shared" si="91"/>
        <v/>
      </c>
      <c r="E5846" s="626"/>
      <c r="F5846" s="626"/>
    </row>
    <row r="5847" spans="1:6">
      <c r="A5847" t="str">
        <f t="shared" si="91"/>
        <v/>
      </c>
      <c r="E5847" s="626"/>
      <c r="F5847" s="626"/>
    </row>
    <row r="5848" spans="1:6">
      <c r="A5848" t="str">
        <f t="shared" si="91"/>
        <v/>
      </c>
      <c r="E5848" s="626"/>
      <c r="F5848" s="626"/>
    </row>
    <row r="5849" spans="1:6">
      <c r="A5849" t="str">
        <f t="shared" si="91"/>
        <v/>
      </c>
      <c r="E5849" s="626"/>
      <c r="F5849" s="626"/>
    </row>
    <row r="5850" spans="1:6">
      <c r="A5850" t="str">
        <f t="shared" si="91"/>
        <v/>
      </c>
      <c r="E5850" s="626"/>
      <c r="F5850" s="626"/>
    </row>
    <row r="5851" spans="1:6">
      <c r="A5851" t="str">
        <f t="shared" si="91"/>
        <v/>
      </c>
      <c r="E5851" s="626"/>
      <c r="F5851" s="626"/>
    </row>
    <row r="5852" spans="1:6">
      <c r="A5852" t="str">
        <f t="shared" si="91"/>
        <v/>
      </c>
      <c r="E5852" s="626"/>
      <c r="F5852" s="626"/>
    </row>
    <row r="5853" spans="1:6">
      <c r="A5853" t="str">
        <f t="shared" si="91"/>
        <v/>
      </c>
      <c r="E5853" s="626"/>
      <c r="F5853" s="626"/>
    </row>
    <row r="5854" spans="1:6">
      <c r="A5854" t="str">
        <f t="shared" si="91"/>
        <v/>
      </c>
      <c r="E5854" s="626"/>
      <c r="F5854" s="626"/>
    </row>
    <row r="5855" spans="1:6">
      <c r="A5855" t="str">
        <f t="shared" si="91"/>
        <v/>
      </c>
      <c r="E5855" s="626"/>
      <c r="F5855" s="626"/>
    </row>
    <row r="5856" spans="1:6">
      <c r="A5856" t="str">
        <f t="shared" si="91"/>
        <v/>
      </c>
      <c r="E5856" s="626"/>
      <c r="F5856" s="626"/>
    </row>
    <row r="5857" spans="1:6">
      <c r="A5857" t="str">
        <f t="shared" si="91"/>
        <v/>
      </c>
      <c r="E5857" s="626"/>
      <c r="F5857" s="626"/>
    </row>
    <row r="5858" spans="1:6">
      <c r="A5858" t="str">
        <f t="shared" si="91"/>
        <v/>
      </c>
      <c r="E5858" s="626"/>
      <c r="F5858" s="626"/>
    </row>
    <row r="5859" spans="1:6">
      <c r="A5859" t="str">
        <f t="shared" si="91"/>
        <v/>
      </c>
      <c r="E5859" s="626"/>
      <c r="F5859" s="626"/>
    </row>
    <row r="5860" spans="1:6">
      <c r="A5860" t="str">
        <f t="shared" si="91"/>
        <v/>
      </c>
      <c r="E5860" s="626"/>
      <c r="F5860" s="626"/>
    </row>
    <row r="5861" spans="1:6">
      <c r="A5861" t="str">
        <f t="shared" si="91"/>
        <v/>
      </c>
      <c r="E5861" s="626"/>
      <c r="F5861" s="626"/>
    </row>
    <row r="5862" spans="1:6">
      <c r="A5862" t="str">
        <f t="shared" si="91"/>
        <v/>
      </c>
      <c r="E5862" s="626"/>
      <c r="F5862" s="626"/>
    </row>
    <row r="5863" spans="1:6">
      <c r="A5863" t="str">
        <f t="shared" si="91"/>
        <v/>
      </c>
      <c r="E5863" s="626"/>
      <c r="F5863" s="626"/>
    </row>
    <row r="5864" spans="1:6">
      <c r="A5864" t="str">
        <f t="shared" si="91"/>
        <v/>
      </c>
      <c r="E5864" s="626"/>
      <c r="F5864" s="626"/>
    </row>
    <row r="5865" spans="1:6">
      <c r="A5865" t="str">
        <f t="shared" si="91"/>
        <v/>
      </c>
      <c r="E5865" s="626"/>
      <c r="F5865" s="626"/>
    </row>
    <row r="5866" spans="1:6">
      <c r="A5866" t="str">
        <f t="shared" si="91"/>
        <v/>
      </c>
      <c r="E5866" s="626"/>
      <c r="F5866" s="626"/>
    </row>
    <row r="5867" spans="1:6">
      <c r="A5867" t="str">
        <f t="shared" si="91"/>
        <v/>
      </c>
      <c r="E5867" s="626"/>
      <c r="F5867" s="626"/>
    </row>
    <row r="5868" spans="1:6">
      <c r="A5868" t="str">
        <f t="shared" si="91"/>
        <v/>
      </c>
      <c r="E5868" s="626"/>
      <c r="F5868" s="626"/>
    </row>
    <row r="5869" spans="1:6">
      <c r="A5869" t="str">
        <f t="shared" si="91"/>
        <v/>
      </c>
      <c r="E5869" s="626"/>
      <c r="F5869" s="626"/>
    </row>
    <row r="5870" spans="1:6">
      <c r="A5870" t="str">
        <f t="shared" si="91"/>
        <v/>
      </c>
      <c r="E5870" s="626"/>
      <c r="F5870" s="626"/>
    </row>
    <row r="5871" spans="1:6">
      <c r="A5871" t="str">
        <f t="shared" si="91"/>
        <v/>
      </c>
      <c r="E5871" s="626"/>
      <c r="F5871" s="626"/>
    </row>
    <row r="5872" spans="1:6">
      <c r="A5872" t="str">
        <f t="shared" si="91"/>
        <v/>
      </c>
      <c r="E5872" s="626"/>
      <c r="F5872" s="626"/>
    </row>
    <row r="5873" spans="1:6">
      <c r="A5873" t="str">
        <f t="shared" si="91"/>
        <v/>
      </c>
      <c r="E5873" s="626"/>
      <c r="F5873" s="626"/>
    </row>
    <row r="5874" spans="1:6">
      <c r="A5874" t="str">
        <f t="shared" si="91"/>
        <v/>
      </c>
      <c r="E5874" s="626"/>
      <c r="F5874" s="626"/>
    </row>
    <row r="5875" spans="1:6">
      <c r="A5875" t="str">
        <f t="shared" si="91"/>
        <v/>
      </c>
      <c r="E5875" s="626"/>
      <c r="F5875" s="626"/>
    </row>
    <row r="5876" spans="1:6">
      <c r="A5876" t="str">
        <f t="shared" si="91"/>
        <v/>
      </c>
      <c r="E5876" s="626"/>
      <c r="F5876" s="626"/>
    </row>
    <row r="5877" spans="1:6">
      <c r="A5877" t="str">
        <f t="shared" si="91"/>
        <v/>
      </c>
      <c r="E5877" s="626"/>
      <c r="F5877" s="626"/>
    </row>
    <row r="5878" spans="1:6">
      <c r="A5878" t="str">
        <f t="shared" si="91"/>
        <v/>
      </c>
      <c r="E5878" s="626"/>
      <c r="F5878" s="626"/>
    </row>
    <row r="5879" spans="1:6">
      <c r="A5879" t="str">
        <f t="shared" si="91"/>
        <v/>
      </c>
      <c r="E5879" s="626"/>
      <c r="F5879" s="626"/>
    </row>
    <row r="5880" spans="1:6">
      <c r="A5880" t="str">
        <f t="shared" si="91"/>
        <v/>
      </c>
      <c r="E5880" s="626"/>
      <c r="F5880" s="626"/>
    </row>
    <row r="5881" spans="1:6">
      <c r="A5881" t="str">
        <f t="shared" si="91"/>
        <v/>
      </c>
      <c r="E5881" s="626"/>
      <c r="F5881" s="626"/>
    </row>
    <row r="5882" spans="1:6">
      <c r="A5882" t="str">
        <f t="shared" si="91"/>
        <v/>
      </c>
      <c r="E5882" s="626"/>
      <c r="F5882" s="626"/>
    </row>
    <row r="5883" spans="1:6">
      <c r="A5883" t="str">
        <f t="shared" si="91"/>
        <v/>
      </c>
      <c r="E5883" s="626"/>
      <c r="F5883" s="626"/>
    </row>
    <row r="5884" spans="1:6">
      <c r="A5884" t="str">
        <f t="shared" si="91"/>
        <v/>
      </c>
      <c r="E5884" s="626"/>
      <c r="F5884" s="626"/>
    </row>
    <row r="5885" spans="1:6">
      <c r="A5885" t="str">
        <f t="shared" si="91"/>
        <v/>
      </c>
      <c r="E5885" s="626"/>
      <c r="F5885" s="626"/>
    </row>
    <row r="5886" spans="1:6">
      <c r="A5886" t="str">
        <f t="shared" si="91"/>
        <v/>
      </c>
      <c r="E5886" s="626"/>
      <c r="F5886" s="626"/>
    </row>
    <row r="5887" spans="1:6">
      <c r="A5887" t="str">
        <f t="shared" si="91"/>
        <v/>
      </c>
      <c r="E5887" s="626"/>
      <c r="F5887" s="626"/>
    </row>
    <row r="5888" spans="1:6">
      <c r="A5888" t="str">
        <f t="shared" si="91"/>
        <v/>
      </c>
      <c r="E5888" s="626"/>
      <c r="F5888" s="626"/>
    </row>
    <row r="5889" spans="1:6">
      <c r="A5889" t="str">
        <f t="shared" si="91"/>
        <v/>
      </c>
      <c r="E5889" s="626"/>
      <c r="F5889" s="626"/>
    </row>
    <row r="5890" spans="1:6">
      <c r="A5890" t="str">
        <f t="shared" ref="A5890:A5953" si="92">B5890&amp;E5890&amp;J5890</f>
        <v/>
      </c>
      <c r="E5890" s="626"/>
      <c r="F5890" s="626"/>
    </row>
    <row r="5891" spans="1:6">
      <c r="A5891" t="str">
        <f t="shared" si="92"/>
        <v/>
      </c>
      <c r="E5891" s="626"/>
      <c r="F5891" s="626"/>
    </row>
    <row r="5892" spans="1:6">
      <c r="A5892" t="str">
        <f t="shared" si="92"/>
        <v/>
      </c>
      <c r="E5892" s="626"/>
      <c r="F5892" s="626"/>
    </row>
    <row r="5893" spans="1:6">
      <c r="A5893" t="str">
        <f t="shared" si="92"/>
        <v/>
      </c>
      <c r="E5893" s="626"/>
      <c r="F5893" s="626"/>
    </row>
    <row r="5894" spans="1:6">
      <c r="A5894" t="str">
        <f t="shared" si="92"/>
        <v/>
      </c>
      <c r="E5894" s="626"/>
      <c r="F5894" s="626"/>
    </row>
    <row r="5895" spans="1:6">
      <c r="A5895" t="str">
        <f t="shared" si="92"/>
        <v/>
      </c>
      <c r="E5895" s="626"/>
      <c r="F5895" s="626"/>
    </row>
    <row r="5896" spans="1:6">
      <c r="A5896" t="str">
        <f t="shared" si="92"/>
        <v/>
      </c>
      <c r="E5896" s="626"/>
      <c r="F5896" s="626"/>
    </row>
    <row r="5897" spans="1:6">
      <c r="A5897" t="str">
        <f t="shared" si="92"/>
        <v/>
      </c>
      <c r="E5897" s="626"/>
      <c r="F5897" s="626"/>
    </row>
    <row r="5898" spans="1:6">
      <c r="A5898" t="str">
        <f t="shared" si="92"/>
        <v/>
      </c>
      <c r="E5898" s="626"/>
      <c r="F5898" s="626"/>
    </row>
    <row r="5899" spans="1:6">
      <c r="A5899" t="str">
        <f t="shared" si="92"/>
        <v/>
      </c>
      <c r="E5899" s="626"/>
      <c r="F5899" s="626"/>
    </row>
    <row r="5900" spans="1:6">
      <c r="A5900" t="str">
        <f t="shared" si="92"/>
        <v/>
      </c>
      <c r="E5900" s="626"/>
      <c r="F5900" s="626"/>
    </row>
    <row r="5901" spans="1:6">
      <c r="A5901" t="str">
        <f t="shared" si="92"/>
        <v/>
      </c>
      <c r="E5901" s="626"/>
      <c r="F5901" s="626"/>
    </row>
    <row r="5902" spans="1:6">
      <c r="A5902" t="str">
        <f t="shared" si="92"/>
        <v/>
      </c>
      <c r="E5902" s="626"/>
      <c r="F5902" s="626"/>
    </row>
    <row r="5903" spans="1:6">
      <c r="A5903" t="str">
        <f t="shared" si="92"/>
        <v/>
      </c>
      <c r="E5903" s="626"/>
      <c r="F5903" s="626"/>
    </row>
    <row r="5904" spans="1:6">
      <c r="A5904" t="str">
        <f t="shared" si="92"/>
        <v/>
      </c>
      <c r="E5904" s="626"/>
      <c r="F5904" s="626"/>
    </row>
    <row r="5905" spans="1:6">
      <c r="A5905" t="str">
        <f t="shared" si="92"/>
        <v/>
      </c>
      <c r="E5905" s="626"/>
      <c r="F5905" s="626"/>
    </row>
    <row r="5906" spans="1:6">
      <c r="A5906" t="str">
        <f t="shared" si="92"/>
        <v/>
      </c>
      <c r="E5906" s="626"/>
      <c r="F5906" s="626"/>
    </row>
    <row r="5907" spans="1:6">
      <c r="A5907" t="str">
        <f t="shared" si="92"/>
        <v/>
      </c>
      <c r="E5907" s="626"/>
      <c r="F5907" s="626"/>
    </row>
    <row r="5908" spans="1:6">
      <c r="A5908" t="str">
        <f t="shared" si="92"/>
        <v/>
      </c>
      <c r="E5908" s="626"/>
      <c r="F5908" s="626"/>
    </row>
    <row r="5909" spans="1:6">
      <c r="A5909" t="str">
        <f t="shared" si="92"/>
        <v/>
      </c>
      <c r="E5909" s="626"/>
      <c r="F5909" s="626"/>
    </row>
    <row r="5910" spans="1:6">
      <c r="A5910" t="str">
        <f t="shared" si="92"/>
        <v/>
      </c>
      <c r="E5910" s="626"/>
      <c r="F5910" s="626"/>
    </row>
    <row r="5911" spans="1:6">
      <c r="A5911" t="str">
        <f t="shared" si="92"/>
        <v/>
      </c>
      <c r="E5911" s="626"/>
      <c r="F5911" s="626"/>
    </row>
    <row r="5912" spans="1:6">
      <c r="A5912" t="str">
        <f t="shared" si="92"/>
        <v/>
      </c>
      <c r="E5912" s="626"/>
      <c r="F5912" s="626"/>
    </row>
    <row r="5913" spans="1:6">
      <c r="A5913" t="str">
        <f t="shared" si="92"/>
        <v/>
      </c>
      <c r="E5913" s="626"/>
      <c r="F5913" s="626"/>
    </row>
    <row r="5914" spans="1:6">
      <c r="A5914" t="str">
        <f t="shared" si="92"/>
        <v/>
      </c>
      <c r="E5914" s="626"/>
      <c r="F5914" s="626"/>
    </row>
    <row r="5915" spans="1:6">
      <c r="A5915" t="str">
        <f t="shared" si="92"/>
        <v/>
      </c>
      <c r="E5915" s="626"/>
      <c r="F5915" s="626"/>
    </row>
    <row r="5916" spans="1:6">
      <c r="A5916" t="str">
        <f t="shared" si="92"/>
        <v/>
      </c>
      <c r="E5916" s="626"/>
      <c r="F5916" s="626"/>
    </row>
    <row r="5917" spans="1:6">
      <c r="A5917" t="str">
        <f t="shared" si="92"/>
        <v/>
      </c>
      <c r="E5917" s="626"/>
      <c r="F5917" s="626"/>
    </row>
    <row r="5918" spans="1:6">
      <c r="A5918" t="str">
        <f t="shared" si="92"/>
        <v/>
      </c>
      <c r="E5918" s="626"/>
      <c r="F5918" s="626"/>
    </row>
    <row r="5919" spans="1:6">
      <c r="A5919" t="str">
        <f t="shared" si="92"/>
        <v/>
      </c>
      <c r="E5919" s="626"/>
      <c r="F5919" s="626"/>
    </row>
    <row r="5920" spans="1:6">
      <c r="A5920" t="str">
        <f t="shared" si="92"/>
        <v/>
      </c>
      <c r="E5920" s="626"/>
      <c r="F5920" s="626"/>
    </row>
    <row r="5921" spans="1:6">
      <c r="A5921" t="str">
        <f t="shared" si="92"/>
        <v/>
      </c>
      <c r="E5921" s="626"/>
      <c r="F5921" s="626"/>
    </row>
    <row r="5922" spans="1:6">
      <c r="A5922" t="str">
        <f t="shared" si="92"/>
        <v/>
      </c>
      <c r="E5922" s="626"/>
      <c r="F5922" s="626"/>
    </row>
    <row r="5923" spans="1:6">
      <c r="A5923" t="str">
        <f t="shared" si="92"/>
        <v/>
      </c>
      <c r="E5923" s="626"/>
      <c r="F5923" s="626"/>
    </row>
    <row r="5924" spans="1:6">
      <c r="A5924" t="str">
        <f t="shared" si="92"/>
        <v/>
      </c>
      <c r="E5924" s="626"/>
      <c r="F5924" s="626"/>
    </row>
    <row r="5925" spans="1:6">
      <c r="A5925" t="str">
        <f t="shared" si="92"/>
        <v/>
      </c>
      <c r="E5925" s="626"/>
      <c r="F5925" s="626"/>
    </row>
    <row r="5926" spans="1:6">
      <c r="A5926" t="str">
        <f t="shared" si="92"/>
        <v/>
      </c>
      <c r="E5926" s="626"/>
      <c r="F5926" s="626"/>
    </row>
    <row r="5927" spans="1:6">
      <c r="A5927" t="str">
        <f t="shared" si="92"/>
        <v/>
      </c>
      <c r="E5927" s="626"/>
      <c r="F5927" s="626"/>
    </row>
    <row r="5928" spans="1:6">
      <c r="A5928" t="str">
        <f t="shared" si="92"/>
        <v/>
      </c>
      <c r="E5928" s="626"/>
      <c r="F5928" s="626"/>
    </row>
    <row r="5929" spans="1:6">
      <c r="A5929" t="str">
        <f t="shared" si="92"/>
        <v/>
      </c>
      <c r="E5929" s="626"/>
      <c r="F5929" s="626"/>
    </row>
    <row r="5930" spans="1:6">
      <c r="A5930" t="str">
        <f t="shared" si="92"/>
        <v/>
      </c>
      <c r="E5930" s="626"/>
      <c r="F5930" s="626"/>
    </row>
    <row r="5931" spans="1:6">
      <c r="A5931" t="str">
        <f t="shared" si="92"/>
        <v/>
      </c>
      <c r="E5931" s="626"/>
      <c r="F5931" s="626"/>
    </row>
    <row r="5932" spans="1:6">
      <c r="A5932" t="str">
        <f t="shared" si="92"/>
        <v/>
      </c>
      <c r="E5932" s="626"/>
      <c r="F5932" s="626"/>
    </row>
    <row r="5933" spans="1:6">
      <c r="A5933" t="str">
        <f t="shared" si="92"/>
        <v/>
      </c>
      <c r="E5933" s="626"/>
      <c r="F5933" s="626"/>
    </row>
    <row r="5934" spans="1:6">
      <c r="A5934" t="str">
        <f t="shared" si="92"/>
        <v/>
      </c>
      <c r="E5934" s="626"/>
      <c r="F5934" s="626"/>
    </row>
    <row r="5935" spans="1:6">
      <c r="A5935" t="str">
        <f t="shared" si="92"/>
        <v/>
      </c>
      <c r="E5935" s="626"/>
      <c r="F5935" s="626"/>
    </row>
    <row r="5936" spans="1:6">
      <c r="A5936" t="str">
        <f t="shared" si="92"/>
        <v/>
      </c>
      <c r="E5936" s="626"/>
      <c r="F5936" s="626"/>
    </row>
    <row r="5937" spans="1:6">
      <c r="A5937" t="str">
        <f t="shared" si="92"/>
        <v/>
      </c>
      <c r="E5937" s="626"/>
      <c r="F5937" s="626"/>
    </row>
    <row r="5938" spans="1:6">
      <c r="A5938" t="str">
        <f t="shared" si="92"/>
        <v/>
      </c>
      <c r="E5938" s="626"/>
      <c r="F5938" s="626"/>
    </row>
    <row r="5939" spans="1:6">
      <c r="A5939" t="str">
        <f t="shared" si="92"/>
        <v/>
      </c>
      <c r="E5939" s="626"/>
      <c r="F5939" s="626"/>
    </row>
    <row r="5940" spans="1:6">
      <c r="A5940" t="str">
        <f t="shared" si="92"/>
        <v/>
      </c>
      <c r="E5940" s="626"/>
      <c r="F5940" s="626"/>
    </row>
    <row r="5941" spans="1:6">
      <c r="A5941" t="str">
        <f t="shared" si="92"/>
        <v/>
      </c>
      <c r="E5941" s="626"/>
      <c r="F5941" s="626"/>
    </row>
    <row r="5942" spans="1:6">
      <c r="A5942" t="str">
        <f t="shared" si="92"/>
        <v/>
      </c>
      <c r="E5942" s="626"/>
      <c r="F5942" s="626"/>
    </row>
    <row r="5943" spans="1:6">
      <c r="A5943" t="str">
        <f t="shared" si="92"/>
        <v/>
      </c>
      <c r="E5943" s="626"/>
      <c r="F5943" s="626"/>
    </row>
    <row r="5944" spans="1:6">
      <c r="A5944" t="str">
        <f t="shared" si="92"/>
        <v/>
      </c>
      <c r="E5944" s="626"/>
      <c r="F5944" s="626"/>
    </row>
    <row r="5945" spans="1:6">
      <c r="A5945" t="str">
        <f t="shared" si="92"/>
        <v/>
      </c>
      <c r="E5945" s="626"/>
      <c r="F5945" s="626"/>
    </row>
    <row r="5946" spans="1:6">
      <c r="A5946" t="str">
        <f t="shared" si="92"/>
        <v/>
      </c>
      <c r="E5946" s="626"/>
      <c r="F5946" s="626"/>
    </row>
    <row r="5947" spans="1:6">
      <c r="A5947" t="str">
        <f t="shared" si="92"/>
        <v/>
      </c>
      <c r="E5947" s="626"/>
      <c r="F5947" s="626"/>
    </row>
    <row r="5948" spans="1:6">
      <c r="A5948" t="str">
        <f t="shared" si="92"/>
        <v/>
      </c>
      <c r="E5948" s="626"/>
      <c r="F5948" s="626"/>
    </row>
    <row r="5949" spans="1:6">
      <c r="A5949" t="str">
        <f t="shared" si="92"/>
        <v/>
      </c>
      <c r="E5949" s="626"/>
      <c r="F5949" s="626"/>
    </row>
    <row r="5950" spans="1:6">
      <c r="A5950" t="str">
        <f t="shared" si="92"/>
        <v/>
      </c>
      <c r="E5950" s="626"/>
      <c r="F5950" s="626"/>
    </row>
    <row r="5951" spans="1:6">
      <c r="A5951" t="str">
        <f t="shared" si="92"/>
        <v/>
      </c>
      <c r="E5951" s="626"/>
      <c r="F5951" s="626"/>
    </row>
    <row r="5952" spans="1:6">
      <c r="A5952" t="str">
        <f t="shared" si="92"/>
        <v/>
      </c>
      <c r="E5952" s="626"/>
      <c r="F5952" s="626"/>
    </row>
    <row r="5953" spans="1:6">
      <c r="A5953" t="str">
        <f t="shared" si="92"/>
        <v/>
      </c>
      <c r="E5953" s="626"/>
      <c r="F5953" s="626"/>
    </row>
    <row r="5954" spans="1:6">
      <c r="A5954" t="str">
        <f t="shared" ref="A5954:A6017" si="93">B5954&amp;E5954&amp;J5954</f>
        <v/>
      </c>
      <c r="E5954" s="626"/>
      <c r="F5954" s="626"/>
    </row>
    <row r="5955" spans="1:6">
      <c r="A5955" t="str">
        <f t="shared" si="93"/>
        <v/>
      </c>
      <c r="E5955" s="626"/>
      <c r="F5955" s="626"/>
    </row>
    <row r="5956" spans="1:6">
      <c r="A5956" t="str">
        <f t="shared" si="93"/>
        <v/>
      </c>
      <c r="E5956" s="626"/>
      <c r="F5956" s="626"/>
    </row>
    <row r="5957" spans="1:6">
      <c r="A5957" t="str">
        <f t="shared" si="93"/>
        <v/>
      </c>
      <c r="E5957" s="626"/>
      <c r="F5957" s="626"/>
    </row>
    <row r="5958" spans="1:6">
      <c r="A5958" t="str">
        <f t="shared" si="93"/>
        <v/>
      </c>
      <c r="E5958" s="626"/>
      <c r="F5958" s="626"/>
    </row>
    <row r="5959" spans="1:6">
      <c r="A5959" t="str">
        <f t="shared" si="93"/>
        <v/>
      </c>
      <c r="E5959" s="626"/>
      <c r="F5959" s="626"/>
    </row>
    <row r="5960" spans="1:6">
      <c r="A5960" t="str">
        <f t="shared" si="93"/>
        <v/>
      </c>
      <c r="E5960" s="626"/>
      <c r="F5960" s="626"/>
    </row>
    <row r="5961" spans="1:6">
      <c r="A5961" t="str">
        <f t="shared" si="93"/>
        <v/>
      </c>
      <c r="E5961" s="626"/>
      <c r="F5961" s="626"/>
    </row>
    <row r="5962" spans="1:6">
      <c r="A5962" t="str">
        <f t="shared" si="93"/>
        <v/>
      </c>
      <c r="E5962" s="626"/>
      <c r="F5962" s="626"/>
    </row>
    <row r="5963" spans="1:6">
      <c r="A5963" t="str">
        <f t="shared" si="93"/>
        <v/>
      </c>
      <c r="E5963" s="626"/>
      <c r="F5963" s="626"/>
    </row>
    <row r="5964" spans="1:6">
      <c r="A5964" t="str">
        <f t="shared" si="93"/>
        <v/>
      </c>
      <c r="E5964" s="626"/>
      <c r="F5964" s="626"/>
    </row>
    <row r="5965" spans="1:6">
      <c r="A5965" t="str">
        <f t="shared" si="93"/>
        <v/>
      </c>
      <c r="E5965" s="626"/>
      <c r="F5965" s="626"/>
    </row>
    <row r="5966" spans="1:6">
      <c r="A5966" t="str">
        <f t="shared" si="93"/>
        <v/>
      </c>
      <c r="E5966" s="626"/>
      <c r="F5966" s="626"/>
    </row>
    <row r="5967" spans="1:6">
      <c r="A5967" t="str">
        <f t="shared" si="93"/>
        <v/>
      </c>
      <c r="E5967" s="626"/>
      <c r="F5967" s="626"/>
    </row>
    <row r="5968" spans="1:6">
      <c r="A5968" t="str">
        <f t="shared" si="93"/>
        <v/>
      </c>
      <c r="E5968" s="626"/>
      <c r="F5968" s="626"/>
    </row>
    <row r="5969" spans="1:6">
      <c r="A5969" t="str">
        <f t="shared" si="93"/>
        <v/>
      </c>
      <c r="E5969" s="626"/>
      <c r="F5969" s="626"/>
    </row>
    <row r="5970" spans="1:6">
      <c r="A5970" t="str">
        <f t="shared" si="93"/>
        <v/>
      </c>
      <c r="E5970" s="626"/>
      <c r="F5970" s="626"/>
    </row>
    <row r="5971" spans="1:6">
      <c r="A5971" t="str">
        <f t="shared" si="93"/>
        <v/>
      </c>
      <c r="E5971" s="626"/>
      <c r="F5971" s="626"/>
    </row>
    <row r="5972" spans="1:6">
      <c r="A5972" t="str">
        <f t="shared" si="93"/>
        <v/>
      </c>
      <c r="E5972" s="626"/>
      <c r="F5972" s="626"/>
    </row>
    <row r="5973" spans="1:6">
      <c r="A5973" t="str">
        <f t="shared" si="93"/>
        <v/>
      </c>
      <c r="E5973" s="626"/>
      <c r="F5973" s="626"/>
    </row>
    <row r="5974" spans="1:6">
      <c r="A5974" t="str">
        <f t="shared" si="93"/>
        <v/>
      </c>
      <c r="E5974" s="626"/>
      <c r="F5974" s="626"/>
    </row>
    <row r="5975" spans="1:6">
      <c r="A5975" t="str">
        <f t="shared" si="93"/>
        <v/>
      </c>
      <c r="E5975" s="626"/>
      <c r="F5975" s="626"/>
    </row>
    <row r="5976" spans="1:6">
      <c r="A5976" t="str">
        <f t="shared" si="93"/>
        <v/>
      </c>
      <c r="E5976" s="626"/>
      <c r="F5976" s="626"/>
    </row>
    <row r="5977" spans="1:6">
      <c r="A5977" t="str">
        <f t="shared" si="93"/>
        <v/>
      </c>
      <c r="E5977" s="626"/>
      <c r="F5977" s="626"/>
    </row>
    <row r="5978" spans="1:6">
      <c r="A5978" t="str">
        <f t="shared" si="93"/>
        <v/>
      </c>
      <c r="E5978" s="626"/>
      <c r="F5978" s="626"/>
    </row>
    <row r="5979" spans="1:6">
      <c r="A5979" t="str">
        <f t="shared" si="93"/>
        <v/>
      </c>
      <c r="E5979" s="626"/>
      <c r="F5979" s="626"/>
    </row>
    <row r="5980" spans="1:6">
      <c r="A5980" t="str">
        <f t="shared" si="93"/>
        <v/>
      </c>
      <c r="E5980" s="626"/>
      <c r="F5980" s="626"/>
    </row>
    <row r="5981" spans="1:6">
      <c r="A5981" t="str">
        <f t="shared" si="93"/>
        <v/>
      </c>
      <c r="E5981" s="626"/>
      <c r="F5981" s="626"/>
    </row>
    <row r="5982" spans="1:6">
      <c r="A5982" t="str">
        <f t="shared" si="93"/>
        <v/>
      </c>
      <c r="E5982" s="626"/>
      <c r="F5982" s="626"/>
    </row>
    <row r="5983" spans="1:6">
      <c r="A5983" t="str">
        <f t="shared" si="93"/>
        <v/>
      </c>
      <c r="E5983" s="626"/>
      <c r="F5983" s="626"/>
    </row>
    <row r="5984" spans="1:6">
      <c r="A5984" t="str">
        <f t="shared" si="93"/>
        <v/>
      </c>
      <c r="E5984" s="626"/>
      <c r="F5984" s="626"/>
    </row>
    <row r="5985" spans="1:6">
      <c r="A5985" t="str">
        <f t="shared" si="93"/>
        <v/>
      </c>
      <c r="E5985" s="626"/>
      <c r="F5985" s="626"/>
    </row>
    <row r="5986" spans="1:6">
      <c r="A5986" t="str">
        <f t="shared" si="93"/>
        <v/>
      </c>
      <c r="E5986" s="626"/>
      <c r="F5986" s="626"/>
    </row>
    <row r="5987" spans="1:6">
      <c r="A5987" t="str">
        <f t="shared" si="93"/>
        <v/>
      </c>
      <c r="E5987" s="626"/>
      <c r="F5987" s="626"/>
    </row>
    <row r="5988" spans="1:6">
      <c r="A5988" t="str">
        <f t="shared" si="93"/>
        <v/>
      </c>
      <c r="E5988" s="626"/>
      <c r="F5988" s="626"/>
    </row>
    <row r="5989" spans="1:6">
      <c r="A5989" t="str">
        <f t="shared" si="93"/>
        <v/>
      </c>
      <c r="E5989" s="626"/>
      <c r="F5989" s="626"/>
    </row>
    <row r="5990" spans="1:6">
      <c r="A5990" t="str">
        <f t="shared" si="93"/>
        <v/>
      </c>
      <c r="E5990" s="626"/>
      <c r="F5990" s="626"/>
    </row>
    <row r="5991" spans="1:6">
      <c r="A5991" t="str">
        <f t="shared" si="93"/>
        <v/>
      </c>
      <c r="E5991" s="626"/>
      <c r="F5991" s="626"/>
    </row>
    <row r="5992" spans="1:6">
      <c r="A5992" t="str">
        <f t="shared" si="93"/>
        <v/>
      </c>
      <c r="E5992" s="626"/>
      <c r="F5992" s="626"/>
    </row>
    <row r="5993" spans="1:6">
      <c r="A5993" t="str">
        <f t="shared" si="93"/>
        <v/>
      </c>
      <c r="E5993" s="626"/>
      <c r="F5993" s="626"/>
    </row>
    <row r="5994" spans="1:6">
      <c r="A5994" t="str">
        <f t="shared" si="93"/>
        <v/>
      </c>
      <c r="E5994" s="626"/>
      <c r="F5994" s="626"/>
    </row>
    <row r="5995" spans="1:6">
      <c r="A5995" t="str">
        <f t="shared" si="93"/>
        <v/>
      </c>
      <c r="E5995" s="626"/>
      <c r="F5995" s="626"/>
    </row>
    <row r="5996" spans="1:6">
      <c r="A5996" t="str">
        <f t="shared" si="93"/>
        <v/>
      </c>
      <c r="E5996" s="626"/>
      <c r="F5996" s="626"/>
    </row>
    <row r="5997" spans="1:6">
      <c r="A5997" t="str">
        <f t="shared" si="93"/>
        <v/>
      </c>
      <c r="E5997" s="626"/>
      <c r="F5997" s="626"/>
    </row>
    <row r="5998" spans="1:6">
      <c r="A5998" t="str">
        <f t="shared" si="93"/>
        <v/>
      </c>
      <c r="E5998" s="626"/>
      <c r="F5998" s="626"/>
    </row>
    <row r="5999" spans="1:6">
      <c r="A5999" t="str">
        <f t="shared" si="93"/>
        <v/>
      </c>
      <c r="E5999" s="626"/>
      <c r="F5999" s="626"/>
    </row>
    <row r="6000" spans="1:6">
      <c r="A6000" t="str">
        <f t="shared" si="93"/>
        <v/>
      </c>
      <c r="E6000" s="626"/>
      <c r="F6000" s="626"/>
    </row>
    <row r="6001" spans="1:6">
      <c r="A6001" t="str">
        <f t="shared" si="93"/>
        <v/>
      </c>
      <c r="E6001" s="626"/>
      <c r="F6001" s="626"/>
    </row>
    <row r="6002" spans="1:6">
      <c r="A6002" t="str">
        <f t="shared" si="93"/>
        <v/>
      </c>
      <c r="E6002" s="626"/>
      <c r="F6002" s="626"/>
    </row>
    <row r="6003" spans="1:6">
      <c r="A6003" t="str">
        <f t="shared" si="93"/>
        <v/>
      </c>
      <c r="E6003" s="626"/>
      <c r="F6003" s="626"/>
    </row>
    <row r="6004" spans="1:6">
      <c r="A6004" t="str">
        <f t="shared" si="93"/>
        <v/>
      </c>
      <c r="E6004" s="626"/>
      <c r="F6004" s="626"/>
    </row>
    <row r="6005" spans="1:6">
      <c r="A6005" t="str">
        <f t="shared" si="93"/>
        <v/>
      </c>
      <c r="E6005" s="626"/>
      <c r="F6005" s="626"/>
    </row>
    <row r="6006" spans="1:6">
      <c r="A6006" t="str">
        <f t="shared" si="93"/>
        <v/>
      </c>
      <c r="E6006" s="626"/>
      <c r="F6006" s="626"/>
    </row>
    <row r="6007" spans="1:6">
      <c r="A6007" t="str">
        <f t="shared" si="93"/>
        <v/>
      </c>
      <c r="E6007" s="626"/>
      <c r="F6007" s="626"/>
    </row>
    <row r="6008" spans="1:6">
      <c r="A6008" t="str">
        <f t="shared" si="93"/>
        <v/>
      </c>
      <c r="E6008" s="626"/>
      <c r="F6008" s="626"/>
    </row>
    <row r="6009" spans="1:6">
      <c r="A6009" t="str">
        <f t="shared" si="93"/>
        <v/>
      </c>
      <c r="E6009" s="626"/>
      <c r="F6009" s="626"/>
    </row>
    <row r="6010" spans="1:6">
      <c r="A6010" t="str">
        <f t="shared" si="93"/>
        <v/>
      </c>
      <c r="E6010" s="626"/>
      <c r="F6010" s="626"/>
    </row>
    <row r="6011" spans="1:6">
      <c r="A6011" t="str">
        <f t="shared" si="93"/>
        <v/>
      </c>
      <c r="E6011" s="626"/>
      <c r="F6011" s="626"/>
    </row>
    <row r="6012" spans="1:6">
      <c r="A6012" t="str">
        <f t="shared" si="93"/>
        <v/>
      </c>
      <c r="E6012" s="626"/>
      <c r="F6012" s="626"/>
    </row>
    <row r="6013" spans="1:6">
      <c r="A6013" t="str">
        <f t="shared" si="93"/>
        <v/>
      </c>
      <c r="E6013" s="626"/>
      <c r="F6013" s="626"/>
    </row>
    <row r="6014" spans="1:6">
      <c r="A6014" t="str">
        <f t="shared" si="93"/>
        <v/>
      </c>
      <c r="E6014" s="626"/>
      <c r="F6014" s="626"/>
    </row>
    <row r="6015" spans="1:6">
      <c r="A6015" t="str">
        <f t="shared" si="93"/>
        <v/>
      </c>
      <c r="E6015" s="626"/>
      <c r="F6015" s="626"/>
    </row>
    <row r="6016" spans="1:6">
      <c r="A6016" t="str">
        <f t="shared" si="93"/>
        <v/>
      </c>
      <c r="E6016" s="626"/>
      <c r="F6016" s="626"/>
    </row>
    <row r="6017" spans="1:6">
      <c r="A6017" t="str">
        <f t="shared" si="93"/>
        <v/>
      </c>
      <c r="E6017" s="626"/>
      <c r="F6017" s="626"/>
    </row>
    <row r="6018" spans="1:6">
      <c r="A6018" t="str">
        <f t="shared" ref="A6018:A6081" si="94">B6018&amp;E6018&amp;J6018</f>
        <v/>
      </c>
      <c r="E6018" s="626"/>
      <c r="F6018" s="626"/>
    </row>
    <row r="6019" spans="1:6">
      <c r="A6019" t="str">
        <f t="shared" si="94"/>
        <v/>
      </c>
      <c r="E6019" s="626"/>
      <c r="F6019" s="626"/>
    </row>
    <row r="6020" spans="1:6">
      <c r="A6020" t="str">
        <f t="shared" si="94"/>
        <v/>
      </c>
      <c r="E6020" s="626"/>
      <c r="F6020" s="626"/>
    </row>
    <row r="6021" spans="1:6">
      <c r="A6021" t="str">
        <f t="shared" si="94"/>
        <v/>
      </c>
      <c r="E6021" s="626"/>
      <c r="F6021" s="626"/>
    </row>
    <row r="6022" spans="1:6">
      <c r="A6022" t="str">
        <f t="shared" si="94"/>
        <v/>
      </c>
      <c r="E6022" s="626"/>
      <c r="F6022" s="626"/>
    </row>
    <row r="6023" spans="1:6">
      <c r="A6023" t="str">
        <f t="shared" si="94"/>
        <v/>
      </c>
      <c r="E6023" s="626"/>
      <c r="F6023" s="626"/>
    </row>
    <row r="6024" spans="1:6">
      <c r="A6024" t="str">
        <f t="shared" si="94"/>
        <v/>
      </c>
      <c r="E6024" s="626"/>
      <c r="F6024" s="626"/>
    </row>
    <row r="6025" spans="1:6">
      <c r="A6025" t="str">
        <f t="shared" si="94"/>
        <v/>
      </c>
      <c r="E6025" s="626"/>
      <c r="F6025" s="626"/>
    </row>
    <row r="6026" spans="1:6">
      <c r="A6026" t="str">
        <f t="shared" si="94"/>
        <v/>
      </c>
      <c r="E6026" s="626"/>
      <c r="F6026" s="626"/>
    </row>
    <row r="6027" spans="1:6">
      <c r="A6027" t="str">
        <f t="shared" si="94"/>
        <v/>
      </c>
      <c r="E6027" s="626"/>
      <c r="F6027" s="626"/>
    </row>
    <row r="6028" spans="1:6">
      <c r="A6028" t="str">
        <f t="shared" si="94"/>
        <v/>
      </c>
      <c r="E6028" s="626"/>
      <c r="F6028" s="626"/>
    </row>
    <row r="6029" spans="1:6">
      <c r="A6029" t="str">
        <f t="shared" si="94"/>
        <v/>
      </c>
      <c r="E6029" s="626"/>
      <c r="F6029" s="626"/>
    </row>
    <row r="6030" spans="1:6">
      <c r="A6030" t="str">
        <f t="shared" si="94"/>
        <v/>
      </c>
      <c r="E6030" s="626"/>
      <c r="F6030" s="626"/>
    </row>
    <row r="6031" spans="1:6">
      <c r="A6031" t="str">
        <f t="shared" si="94"/>
        <v/>
      </c>
      <c r="E6031" s="626"/>
      <c r="F6031" s="626"/>
    </row>
    <row r="6032" spans="1:6">
      <c r="A6032" t="str">
        <f t="shared" si="94"/>
        <v/>
      </c>
      <c r="E6032" s="626"/>
      <c r="F6032" s="626"/>
    </row>
    <row r="6033" spans="1:6">
      <c r="A6033" t="str">
        <f t="shared" si="94"/>
        <v/>
      </c>
      <c r="E6033" s="626"/>
      <c r="F6033" s="626"/>
    </row>
    <row r="6034" spans="1:6">
      <c r="A6034" t="str">
        <f t="shared" si="94"/>
        <v/>
      </c>
      <c r="E6034" s="626"/>
      <c r="F6034" s="626"/>
    </row>
    <row r="6035" spans="1:6">
      <c r="A6035" t="str">
        <f t="shared" si="94"/>
        <v/>
      </c>
      <c r="E6035" s="626"/>
      <c r="F6035" s="626"/>
    </row>
    <row r="6036" spans="1:6">
      <c r="A6036" t="str">
        <f t="shared" si="94"/>
        <v/>
      </c>
      <c r="E6036" s="626"/>
      <c r="F6036" s="626"/>
    </row>
    <row r="6037" spans="1:6">
      <c r="A6037" t="str">
        <f t="shared" si="94"/>
        <v/>
      </c>
      <c r="E6037" s="626"/>
      <c r="F6037" s="626"/>
    </row>
    <row r="6038" spans="1:6">
      <c r="A6038" t="str">
        <f t="shared" si="94"/>
        <v/>
      </c>
      <c r="E6038" s="626"/>
      <c r="F6038" s="626"/>
    </row>
    <row r="6039" spans="1:6">
      <c r="A6039" t="str">
        <f t="shared" si="94"/>
        <v/>
      </c>
      <c r="E6039" s="626"/>
      <c r="F6039" s="626"/>
    </row>
    <row r="6040" spans="1:6">
      <c r="A6040" t="str">
        <f t="shared" si="94"/>
        <v/>
      </c>
      <c r="E6040" s="626"/>
      <c r="F6040" s="626"/>
    </row>
    <row r="6041" spans="1:6">
      <c r="A6041" t="str">
        <f t="shared" si="94"/>
        <v/>
      </c>
      <c r="E6041" s="626"/>
      <c r="F6041" s="626"/>
    </row>
    <row r="6042" spans="1:6">
      <c r="A6042" t="str">
        <f t="shared" si="94"/>
        <v/>
      </c>
      <c r="E6042" s="626"/>
      <c r="F6042" s="626"/>
    </row>
    <row r="6043" spans="1:6">
      <c r="A6043" t="str">
        <f t="shared" si="94"/>
        <v/>
      </c>
      <c r="E6043" s="626"/>
      <c r="F6043" s="626"/>
    </row>
    <row r="6044" spans="1:6">
      <c r="A6044" t="str">
        <f t="shared" si="94"/>
        <v/>
      </c>
      <c r="E6044" s="626"/>
      <c r="F6044" s="626"/>
    </row>
    <row r="6045" spans="1:6">
      <c r="A6045" t="str">
        <f t="shared" si="94"/>
        <v/>
      </c>
      <c r="E6045" s="626"/>
      <c r="F6045" s="626"/>
    </row>
    <row r="6046" spans="1:6">
      <c r="A6046" t="str">
        <f t="shared" si="94"/>
        <v/>
      </c>
      <c r="E6046" s="626"/>
      <c r="F6046" s="626"/>
    </row>
    <row r="6047" spans="1:6">
      <c r="A6047" t="str">
        <f t="shared" si="94"/>
        <v/>
      </c>
      <c r="E6047" s="626"/>
      <c r="F6047" s="626"/>
    </row>
    <row r="6048" spans="1:6">
      <c r="A6048" t="str">
        <f t="shared" si="94"/>
        <v/>
      </c>
      <c r="E6048" s="626"/>
      <c r="F6048" s="626"/>
    </row>
    <row r="6049" spans="1:6">
      <c r="A6049" t="str">
        <f t="shared" si="94"/>
        <v/>
      </c>
      <c r="E6049" s="626"/>
      <c r="F6049" s="626"/>
    </row>
    <row r="6050" spans="1:6">
      <c r="A6050" t="str">
        <f t="shared" si="94"/>
        <v/>
      </c>
      <c r="E6050" s="626"/>
      <c r="F6050" s="626"/>
    </row>
    <row r="6051" spans="1:6">
      <c r="A6051" t="str">
        <f t="shared" si="94"/>
        <v/>
      </c>
      <c r="E6051" s="626"/>
      <c r="F6051" s="626"/>
    </row>
    <row r="6052" spans="1:6">
      <c r="A6052" t="str">
        <f t="shared" si="94"/>
        <v/>
      </c>
      <c r="E6052" s="626"/>
      <c r="F6052" s="626"/>
    </row>
    <row r="6053" spans="1:6">
      <c r="A6053" t="str">
        <f t="shared" si="94"/>
        <v/>
      </c>
      <c r="E6053" s="626"/>
      <c r="F6053" s="626"/>
    </row>
    <row r="6054" spans="1:6">
      <c r="A6054" t="str">
        <f t="shared" si="94"/>
        <v/>
      </c>
      <c r="E6054" s="626"/>
      <c r="F6054" s="626"/>
    </row>
    <row r="6055" spans="1:6">
      <c r="A6055" t="str">
        <f t="shared" si="94"/>
        <v/>
      </c>
      <c r="E6055" s="626"/>
      <c r="F6055" s="626"/>
    </row>
    <row r="6056" spans="1:6">
      <c r="A6056" t="str">
        <f t="shared" si="94"/>
        <v/>
      </c>
      <c r="E6056" s="626"/>
      <c r="F6056" s="626"/>
    </row>
    <row r="6057" spans="1:6">
      <c r="A6057" t="str">
        <f t="shared" si="94"/>
        <v/>
      </c>
      <c r="E6057" s="626"/>
      <c r="F6057" s="626"/>
    </row>
    <row r="6058" spans="1:6">
      <c r="A6058" t="str">
        <f t="shared" si="94"/>
        <v/>
      </c>
      <c r="E6058" s="626"/>
      <c r="F6058" s="626"/>
    </row>
    <row r="6059" spans="1:6">
      <c r="A6059" t="str">
        <f t="shared" si="94"/>
        <v/>
      </c>
      <c r="E6059" s="626"/>
      <c r="F6059" s="626"/>
    </row>
    <row r="6060" spans="1:6">
      <c r="A6060" t="str">
        <f t="shared" si="94"/>
        <v/>
      </c>
      <c r="E6060" s="626"/>
      <c r="F6060" s="626"/>
    </row>
    <row r="6061" spans="1:6">
      <c r="A6061" t="str">
        <f t="shared" si="94"/>
        <v/>
      </c>
      <c r="E6061" s="626"/>
      <c r="F6061" s="626"/>
    </row>
    <row r="6062" spans="1:6">
      <c r="A6062" t="str">
        <f t="shared" si="94"/>
        <v/>
      </c>
      <c r="E6062" s="626"/>
      <c r="F6062" s="626"/>
    </row>
    <row r="6063" spans="1:6">
      <c r="A6063" t="str">
        <f t="shared" si="94"/>
        <v/>
      </c>
      <c r="E6063" s="626"/>
      <c r="F6063" s="626"/>
    </row>
    <row r="6064" spans="1:6">
      <c r="A6064" t="str">
        <f t="shared" si="94"/>
        <v/>
      </c>
      <c r="E6064" s="626"/>
      <c r="F6064" s="626"/>
    </row>
    <row r="6065" spans="1:6">
      <c r="A6065" t="str">
        <f t="shared" si="94"/>
        <v/>
      </c>
      <c r="E6065" s="626"/>
      <c r="F6065" s="626"/>
    </row>
    <row r="6066" spans="1:6">
      <c r="A6066" t="str">
        <f t="shared" si="94"/>
        <v/>
      </c>
      <c r="E6066" s="626"/>
      <c r="F6066" s="626"/>
    </row>
    <row r="6067" spans="1:6">
      <c r="A6067" t="str">
        <f t="shared" si="94"/>
        <v/>
      </c>
      <c r="E6067" s="626"/>
      <c r="F6067" s="626"/>
    </row>
    <row r="6068" spans="1:6">
      <c r="A6068" t="str">
        <f t="shared" si="94"/>
        <v/>
      </c>
      <c r="E6068" s="626"/>
      <c r="F6068" s="626"/>
    </row>
    <row r="6069" spans="1:6">
      <c r="A6069" t="str">
        <f t="shared" si="94"/>
        <v/>
      </c>
      <c r="E6069" s="626"/>
      <c r="F6069" s="626"/>
    </row>
    <row r="6070" spans="1:6">
      <c r="A6070" t="str">
        <f t="shared" si="94"/>
        <v/>
      </c>
      <c r="E6070" s="626"/>
      <c r="F6070" s="626"/>
    </row>
    <row r="6071" spans="1:6">
      <c r="A6071" t="str">
        <f t="shared" si="94"/>
        <v/>
      </c>
      <c r="E6071" s="626"/>
      <c r="F6071" s="626"/>
    </row>
    <row r="6072" spans="1:6">
      <c r="A6072" t="str">
        <f t="shared" si="94"/>
        <v/>
      </c>
      <c r="E6072" s="626"/>
      <c r="F6072" s="626"/>
    </row>
    <row r="6073" spans="1:6">
      <c r="A6073" t="str">
        <f t="shared" si="94"/>
        <v/>
      </c>
      <c r="E6073" s="626"/>
      <c r="F6073" s="626"/>
    </row>
    <row r="6074" spans="1:6">
      <c r="A6074" t="str">
        <f t="shared" si="94"/>
        <v/>
      </c>
      <c r="E6074" s="626"/>
      <c r="F6074" s="626"/>
    </row>
    <row r="6075" spans="1:6">
      <c r="A6075" t="str">
        <f t="shared" si="94"/>
        <v/>
      </c>
      <c r="E6075" s="626"/>
      <c r="F6075" s="626"/>
    </row>
    <row r="6076" spans="1:6">
      <c r="A6076" t="str">
        <f t="shared" si="94"/>
        <v/>
      </c>
      <c r="E6076" s="626"/>
      <c r="F6076" s="626"/>
    </row>
    <row r="6077" spans="1:6">
      <c r="A6077" t="str">
        <f t="shared" si="94"/>
        <v/>
      </c>
      <c r="E6077" s="626"/>
      <c r="F6077" s="626"/>
    </row>
    <row r="6078" spans="1:6">
      <c r="A6078" t="str">
        <f t="shared" si="94"/>
        <v/>
      </c>
      <c r="E6078" s="626"/>
      <c r="F6078" s="626"/>
    </row>
    <row r="6079" spans="1:6">
      <c r="A6079" t="str">
        <f t="shared" si="94"/>
        <v/>
      </c>
      <c r="E6079" s="626"/>
      <c r="F6079" s="626"/>
    </row>
    <row r="6080" spans="1:6">
      <c r="A6080" t="str">
        <f t="shared" si="94"/>
        <v/>
      </c>
      <c r="E6080" s="626"/>
      <c r="F6080" s="626"/>
    </row>
    <row r="6081" spans="1:6">
      <c r="A6081" t="str">
        <f t="shared" si="94"/>
        <v/>
      </c>
      <c r="E6081" s="626"/>
      <c r="F6081" s="626"/>
    </row>
    <row r="6082" spans="1:6">
      <c r="A6082" t="str">
        <f t="shared" ref="A6082:A6145" si="95">B6082&amp;E6082&amp;J6082</f>
        <v/>
      </c>
      <c r="E6082" s="626"/>
      <c r="F6082" s="626"/>
    </row>
    <row r="6083" spans="1:6">
      <c r="A6083" t="str">
        <f t="shared" si="95"/>
        <v/>
      </c>
      <c r="E6083" s="626"/>
      <c r="F6083" s="626"/>
    </row>
    <row r="6084" spans="1:6">
      <c r="A6084" t="str">
        <f t="shared" si="95"/>
        <v/>
      </c>
      <c r="E6084" s="626"/>
      <c r="F6084" s="626"/>
    </row>
    <row r="6085" spans="1:6">
      <c r="A6085" t="str">
        <f t="shared" si="95"/>
        <v/>
      </c>
      <c r="E6085" s="626"/>
      <c r="F6085" s="626"/>
    </row>
    <row r="6086" spans="1:6">
      <c r="A6086" t="str">
        <f t="shared" si="95"/>
        <v/>
      </c>
      <c r="E6086" s="626"/>
      <c r="F6086" s="626"/>
    </row>
    <row r="6087" spans="1:6">
      <c r="A6087" t="str">
        <f t="shared" si="95"/>
        <v/>
      </c>
      <c r="E6087" s="626"/>
      <c r="F6087" s="626"/>
    </row>
    <row r="6088" spans="1:6">
      <c r="A6088" t="str">
        <f t="shared" si="95"/>
        <v/>
      </c>
      <c r="E6088" s="626"/>
      <c r="F6088" s="626"/>
    </row>
    <row r="6089" spans="1:6">
      <c r="A6089" t="str">
        <f t="shared" si="95"/>
        <v/>
      </c>
      <c r="E6089" s="626"/>
      <c r="F6089" s="626"/>
    </row>
    <row r="6090" spans="1:6">
      <c r="A6090" t="str">
        <f t="shared" si="95"/>
        <v/>
      </c>
      <c r="E6090" s="626"/>
      <c r="F6090" s="626"/>
    </row>
    <row r="6091" spans="1:6">
      <c r="A6091" t="str">
        <f t="shared" si="95"/>
        <v/>
      </c>
      <c r="E6091" s="626"/>
      <c r="F6091" s="626"/>
    </row>
    <row r="6092" spans="1:6">
      <c r="A6092" t="str">
        <f t="shared" si="95"/>
        <v/>
      </c>
      <c r="E6092" s="626"/>
      <c r="F6092" s="626"/>
    </row>
    <row r="6093" spans="1:6">
      <c r="A6093" t="str">
        <f t="shared" si="95"/>
        <v/>
      </c>
      <c r="E6093" s="626"/>
      <c r="F6093" s="626"/>
    </row>
    <row r="6094" spans="1:6">
      <c r="A6094" t="str">
        <f t="shared" si="95"/>
        <v/>
      </c>
      <c r="E6094" s="626"/>
      <c r="F6094" s="626"/>
    </row>
    <row r="6095" spans="1:6">
      <c r="A6095" t="str">
        <f t="shared" si="95"/>
        <v/>
      </c>
      <c r="E6095" s="626"/>
      <c r="F6095" s="626"/>
    </row>
    <row r="6096" spans="1:6">
      <c r="A6096" t="str">
        <f t="shared" si="95"/>
        <v/>
      </c>
      <c r="E6096" s="626"/>
      <c r="F6096" s="626"/>
    </row>
    <row r="6097" spans="1:6">
      <c r="A6097" t="str">
        <f t="shared" si="95"/>
        <v/>
      </c>
      <c r="E6097" s="626"/>
      <c r="F6097" s="626"/>
    </row>
    <row r="6098" spans="1:6">
      <c r="A6098" t="str">
        <f t="shared" si="95"/>
        <v/>
      </c>
      <c r="E6098" s="626"/>
      <c r="F6098" s="626"/>
    </row>
    <row r="6099" spans="1:6">
      <c r="A6099" t="str">
        <f t="shared" si="95"/>
        <v/>
      </c>
      <c r="E6099" s="626"/>
      <c r="F6099" s="626"/>
    </row>
    <row r="6100" spans="1:6">
      <c r="A6100" t="str">
        <f t="shared" si="95"/>
        <v/>
      </c>
      <c r="E6100" s="626"/>
      <c r="F6100" s="626"/>
    </row>
    <row r="6101" spans="1:6">
      <c r="A6101" t="str">
        <f t="shared" si="95"/>
        <v/>
      </c>
      <c r="E6101" s="626"/>
      <c r="F6101" s="626"/>
    </row>
    <row r="6102" spans="1:6">
      <c r="A6102" t="str">
        <f t="shared" si="95"/>
        <v/>
      </c>
      <c r="E6102" s="626"/>
      <c r="F6102" s="626"/>
    </row>
    <row r="6103" spans="1:6">
      <c r="A6103" t="str">
        <f t="shared" si="95"/>
        <v/>
      </c>
      <c r="E6103" s="626"/>
      <c r="F6103" s="626"/>
    </row>
    <row r="6104" spans="1:6">
      <c r="A6104" t="str">
        <f t="shared" si="95"/>
        <v/>
      </c>
      <c r="E6104" s="626"/>
      <c r="F6104" s="626"/>
    </row>
    <row r="6105" spans="1:6">
      <c r="A6105" t="str">
        <f t="shared" si="95"/>
        <v/>
      </c>
      <c r="E6105" s="626"/>
      <c r="F6105" s="626"/>
    </row>
    <row r="6106" spans="1:6">
      <c r="A6106" t="str">
        <f t="shared" si="95"/>
        <v/>
      </c>
      <c r="E6106" s="626"/>
      <c r="F6106" s="626"/>
    </row>
    <row r="6107" spans="1:6">
      <c r="A6107" t="str">
        <f t="shared" si="95"/>
        <v/>
      </c>
      <c r="E6107" s="626"/>
      <c r="F6107" s="626"/>
    </row>
    <row r="6108" spans="1:6">
      <c r="A6108" t="str">
        <f t="shared" si="95"/>
        <v/>
      </c>
      <c r="E6108" s="626"/>
      <c r="F6108" s="626"/>
    </row>
    <row r="6109" spans="1:6">
      <c r="A6109" t="str">
        <f t="shared" si="95"/>
        <v/>
      </c>
      <c r="E6109" s="626"/>
      <c r="F6109" s="626"/>
    </row>
    <row r="6110" spans="1:6">
      <c r="A6110" t="str">
        <f t="shared" si="95"/>
        <v/>
      </c>
      <c r="E6110" s="626"/>
      <c r="F6110" s="626"/>
    </row>
    <row r="6111" spans="1:6">
      <c r="A6111" t="str">
        <f t="shared" si="95"/>
        <v/>
      </c>
      <c r="E6111" s="626"/>
      <c r="F6111" s="626"/>
    </row>
    <row r="6112" spans="1:6">
      <c r="A6112" t="str">
        <f t="shared" si="95"/>
        <v/>
      </c>
      <c r="E6112" s="626"/>
      <c r="F6112" s="626"/>
    </row>
    <row r="6113" spans="1:6">
      <c r="A6113" t="str">
        <f t="shared" si="95"/>
        <v/>
      </c>
      <c r="E6113" s="626"/>
      <c r="F6113" s="626"/>
    </row>
    <row r="6114" spans="1:6">
      <c r="A6114" t="str">
        <f t="shared" si="95"/>
        <v/>
      </c>
      <c r="E6114" s="626"/>
      <c r="F6114" s="626"/>
    </row>
    <row r="6115" spans="1:6">
      <c r="A6115" t="str">
        <f t="shared" si="95"/>
        <v/>
      </c>
      <c r="E6115" s="626"/>
      <c r="F6115" s="626"/>
    </row>
    <row r="6116" spans="1:6">
      <c r="A6116" t="str">
        <f t="shared" si="95"/>
        <v/>
      </c>
      <c r="E6116" s="626"/>
      <c r="F6116" s="626"/>
    </row>
    <row r="6117" spans="1:6">
      <c r="A6117" t="str">
        <f t="shared" si="95"/>
        <v/>
      </c>
      <c r="E6117" s="626"/>
      <c r="F6117" s="626"/>
    </row>
    <row r="6118" spans="1:6">
      <c r="A6118" t="str">
        <f t="shared" si="95"/>
        <v/>
      </c>
      <c r="E6118" s="626"/>
      <c r="F6118" s="626"/>
    </row>
    <row r="6119" spans="1:6">
      <c r="A6119" t="str">
        <f t="shared" si="95"/>
        <v/>
      </c>
      <c r="E6119" s="626"/>
      <c r="F6119" s="626"/>
    </row>
    <row r="6120" spans="1:6">
      <c r="A6120" t="str">
        <f t="shared" si="95"/>
        <v/>
      </c>
      <c r="E6120" s="626"/>
      <c r="F6120" s="626"/>
    </row>
    <row r="6121" spans="1:6">
      <c r="A6121" t="str">
        <f t="shared" si="95"/>
        <v/>
      </c>
      <c r="E6121" s="626"/>
      <c r="F6121" s="626"/>
    </row>
    <row r="6122" spans="1:6">
      <c r="A6122" t="str">
        <f t="shared" si="95"/>
        <v/>
      </c>
      <c r="E6122" s="626"/>
      <c r="F6122" s="626"/>
    </row>
    <row r="6123" spans="1:6">
      <c r="A6123" t="str">
        <f t="shared" si="95"/>
        <v/>
      </c>
      <c r="E6123" s="626"/>
      <c r="F6123" s="626"/>
    </row>
    <row r="6124" spans="1:6">
      <c r="A6124" t="str">
        <f t="shared" si="95"/>
        <v/>
      </c>
      <c r="E6124" s="626"/>
      <c r="F6124" s="626"/>
    </row>
    <row r="6125" spans="1:6">
      <c r="A6125" t="str">
        <f t="shared" si="95"/>
        <v/>
      </c>
      <c r="E6125" s="626"/>
      <c r="F6125" s="626"/>
    </row>
    <row r="6126" spans="1:6">
      <c r="A6126" t="str">
        <f t="shared" si="95"/>
        <v/>
      </c>
      <c r="E6126" s="626"/>
      <c r="F6126" s="626"/>
    </row>
    <row r="6127" spans="1:6">
      <c r="A6127" t="str">
        <f t="shared" si="95"/>
        <v/>
      </c>
      <c r="E6127" s="626"/>
      <c r="F6127" s="626"/>
    </row>
    <row r="6128" spans="1:6">
      <c r="A6128" t="str">
        <f t="shared" si="95"/>
        <v/>
      </c>
      <c r="E6128" s="626"/>
      <c r="F6128" s="626"/>
    </row>
    <row r="6129" spans="1:6">
      <c r="A6129" t="str">
        <f t="shared" si="95"/>
        <v/>
      </c>
      <c r="E6129" s="626"/>
      <c r="F6129" s="626"/>
    </row>
    <row r="6130" spans="1:6">
      <c r="A6130" t="str">
        <f t="shared" si="95"/>
        <v/>
      </c>
      <c r="E6130" s="626"/>
      <c r="F6130" s="626"/>
    </row>
    <row r="6131" spans="1:6">
      <c r="A6131" t="str">
        <f t="shared" si="95"/>
        <v/>
      </c>
      <c r="E6131" s="626"/>
      <c r="F6131" s="626"/>
    </row>
    <row r="6132" spans="1:6">
      <c r="A6132" t="str">
        <f t="shared" si="95"/>
        <v/>
      </c>
      <c r="E6132" s="626"/>
      <c r="F6132" s="626"/>
    </row>
    <row r="6133" spans="1:6">
      <c r="A6133" t="str">
        <f t="shared" si="95"/>
        <v/>
      </c>
      <c r="E6133" s="626"/>
      <c r="F6133" s="626"/>
    </row>
    <row r="6134" spans="1:6">
      <c r="A6134" t="str">
        <f t="shared" si="95"/>
        <v/>
      </c>
      <c r="E6134" s="626"/>
      <c r="F6134" s="626"/>
    </row>
    <row r="6135" spans="1:6">
      <c r="A6135" t="str">
        <f t="shared" si="95"/>
        <v/>
      </c>
      <c r="E6135" s="626"/>
      <c r="F6135" s="626"/>
    </row>
    <row r="6136" spans="1:6">
      <c r="A6136" t="str">
        <f t="shared" si="95"/>
        <v/>
      </c>
      <c r="E6136" s="626"/>
      <c r="F6136" s="626"/>
    </row>
    <row r="6137" spans="1:6">
      <c r="A6137" t="str">
        <f t="shared" si="95"/>
        <v/>
      </c>
      <c r="E6137" s="626"/>
      <c r="F6137" s="626"/>
    </row>
    <row r="6138" spans="1:6">
      <c r="A6138" t="str">
        <f t="shared" si="95"/>
        <v/>
      </c>
      <c r="E6138" s="626"/>
      <c r="F6138" s="626"/>
    </row>
    <row r="6139" spans="1:6">
      <c r="A6139" t="str">
        <f t="shared" si="95"/>
        <v/>
      </c>
      <c r="E6139" s="626"/>
      <c r="F6139" s="626"/>
    </row>
    <row r="6140" spans="1:6">
      <c r="A6140" t="str">
        <f t="shared" si="95"/>
        <v/>
      </c>
      <c r="E6140" s="626"/>
      <c r="F6140" s="626"/>
    </row>
    <row r="6141" spans="1:6">
      <c r="A6141" t="str">
        <f t="shared" si="95"/>
        <v/>
      </c>
      <c r="E6141" s="626"/>
      <c r="F6141" s="626"/>
    </row>
    <row r="6142" spans="1:6">
      <c r="A6142" t="str">
        <f t="shared" si="95"/>
        <v/>
      </c>
      <c r="E6142" s="626"/>
      <c r="F6142" s="626"/>
    </row>
    <row r="6143" spans="1:6">
      <c r="A6143" t="str">
        <f t="shared" si="95"/>
        <v/>
      </c>
      <c r="E6143" s="626"/>
      <c r="F6143" s="626"/>
    </row>
    <row r="6144" spans="1:6">
      <c r="A6144" t="str">
        <f t="shared" si="95"/>
        <v/>
      </c>
      <c r="E6144" s="626"/>
      <c r="F6144" s="626"/>
    </row>
    <row r="6145" spans="1:6">
      <c r="A6145" t="str">
        <f t="shared" si="95"/>
        <v/>
      </c>
      <c r="E6145" s="626"/>
      <c r="F6145" s="626"/>
    </row>
    <row r="6146" spans="1:6">
      <c r="A6146" t="str">
        <f t="shared" ref="A6146:A6209" si="96">B6146&amp;E6146&amp;J6146</f>
        <v/>
      </c>
      <c r="E6146" s="626"/>
      <c r="F6146" s="626"/>
    </row>
    <row r="6147" spans="1:6">
      <c r="A6147" t="str">
        <f t="shared" si="96"/>
        <v/>
      </c>
      <c r="E6147" s="626"/>
      <c r="F6147" s="626"/>
    </row>
    <row r="6148" spans="1:6">
      <c r="A6148" t="str">
        <f t="shared" si="96"/>
        <v/>
      </c>
      <c r="E6148" s="626"/>
      <c r="F6148" s="626"/>
    </row>
    <row r="6149" spans="1:6">
      <c r="A6149" t="str">
        <f t="shared" si="96"/>
        <v/>
      </c>
      <c r="E6149" s="626"/>
      <c r="F6149" s="626"/>
    </row>
    <row r="6150" spans="1:6">
      <c r="A6150" t="str">
        <f t="shared" si="96"/>
        <v/>
      </c>
      <c r="E6150" s="626"/>
      <c r="F6150" s="626"/>
    </row>
    <row r="6151" spans="1:6">
      <c r="A6151" t="str">
        <f t="shared" si="96"/>
        <v/>
      </c>
      <c r="E6151" s="626"/>
      <c r="F6151" s="626"/>
    </row>
    <row r="6152" spans="1:6">
      <c r="A6152" t="str">
        <f t="shared" si="96"/>
        <v/>
      </c>
      <c r="E6152" s="626"/>
      <c r="F6152" s="626"/>
    </row>
    <row r="6153" spans="1:6">
      <c r="A6153" t="str">
        <f t="shared" si="96"/>
        <v/>
      </c>
      <c r="E6153" s="626"/>
      <c r="F6153" s="626"/>
    </row>
    <row r="6154" spans="1:6">
      <c r="A6154" t="str">
        <f t="shared" si="96"/>
        <v/>
      </c>
      <c r="E6154" s="626"/>
      <c r="F6154" s="626"/>
    </row>
    <row r="6155" spans="1:6">
      <c r="A6155" t="str">
        <f t="shared" si="96"/>
        <v/>
      </c>
      <c r="E6155" s="626"/>
      <c r="F6155" s="626"/>
    </row>
    <row r="6156" spans="1:6">
      <c r="A6156" t="str">
        <f t="shared" si="96"/>
        <v/>
      </c>
      <c r="E6156" s="626"/>
      <c r="F6156" s="626"/>
    </row>
    <row r="6157" spans="1:6">
      <c r="A6157" t="str">
        <f t="shared" si="96"/>
        <v/>
      </c>
      <c r="E6157" s="626"/>
      <c r="F6157" s="626"/>
    </row>
    <row r="6158" spans="1:6">
      <c r="A6158" t="str">
        <f t="shared" si="96"/>
        <v/>
      </c>
      <c r="E6158" s="626"/>
      <c r="F6158" s="626"/>
    </row>
    <row r="6159" spans="1:6">
      <c r="A6159" t="str">
        <f t="shared" si="96"/>
        <v/>
      </c>
      <c r="E6159" s="626"/>
      <c r="F6159" s="626"/>
    </row>
    <row r="6160" spans="1:6">
      <c r="A6160" t="str">
        <f t="shared" si="96"/>
        <v/>
      </c>
      <c r="E6160" s="626"/>
      <c r="F6160" s="626"/>
    </row>
    <row r="6161" spans="1:6">
      <c r="A6161" t="str">
        <f t="shared" si="96"/>
        <v/>
      </c>
      <c r="E6161" s="626"/>
      <c r="F6161" s="626"/>
    </row>
    <row r="6162" spans="1:6">
      <c r="A6162" t="str">
        <f t="shared" si="96"/>
        <v/>
      </c>
      <c r="E6162" s="626"/>
      <c r="F6162" s="626"/>
    </row>
    <row r="6163" spans="1:6">
      <c r="A6163" t="str">
        <f t="shared" si="96"/>
        <v/>
      </c>
      <c r="E6163" s="626"/>
      <c r="F6163" s="626"/>
    </row>
    <row r="6164" spans="1:6">
      <c r="A6164" t="str">
        <f t="shared" si="96"/>
        <v/>
      </c>
      <c r="E6164" s="626"/>
      <c r="F6164" s="626"/>
    </row>
    <row r="6165" spans="1:6">
      <c r="A6165" t="str">
        <f t="shared" si="96"/>
        <v/>
      </c>
      <c r="E6165" s="626"/>
      <c r="F6165" s="626"/>
    </row>
    <row r="6166" spans="1:6">
      <c r="A6166" t="str">
        <f t="shared" si="96"/>
        <v/>
      </c>
      <c r="E6166" s="626"/>
      <c r="F6166" s="626"/>
    </row>
    <row r="6167" spans="1:6">
      <c r="A6167" t="str">
        <f t="shared" si="96"/>
        <v/>
      </c>
      <c r="E6167" s="626"/>
      <c r="F6167" s="626"/>
    </row>
    <row r="6168" spans="1:6">
      <c r="A6168" t="str">
        <f t="shared" si="96"/>
        <v/>
      </c>
      <c r="E6168" s="626"/>
      <c r="F6168" s="626"/>
    </row>
    <row r="6169" spans="1:6">
      <c r="A6169" t="str">
        <f t="shared" si="96"/>
        <v/>
      </c>
      <c r="E6169" s="626"/>
      <c r="F6169" s="626"/>
    </row>
    <row r="6170" spans="1:6">
      <c r="A6170" t="str">
        <f t="shared" si="96"/>
        <v/>
      </c>
      <c r="E6170" s="626"/>
      <c r="F6170" s="626"/>
    </row>
    <row r="6171" spans="1:6">
      <c r="A6171" t="str">
        <f t="shared" si="96"/>
        <v/>
      </c>
      <c r="E6171" s="626"/>
      <c r="F6171" s="626"/>
    </row>
    <row r="6172" spans="1:6">
      <c r="A6172" t="str">
        <f t="shared" si="96"/>
        <v/>
      </c>
      <c r="E6172" s="626"/>
      <c r="F6172" s="626"/>
    </row>
    <row r="6173" spans="1:6">
      <c r="A6173" t="str">
        <f t="shared" si="96"/>
        <v/>
      </c>
      <c r="E6173" s="626"/>
      <c r="F6173" s="626"/>
    </row>
    <row r="6174" spans="1:6">
      <c r="A6174" t="str">
        <f t="shared" si="96"/>
        <v/>
      </c>
      <c r="E6174" s="626"/>
      <c r="F6174" s="626"/>
    </row>
    <row r="6175" spans="1:6">
      <c r="A6175" t="str">
        <f t="shared" si="96"/>
        <v/>
      </c>
      <c r="E6175" s="626"/>
      <c r="F6175" s="626"/>
    </row>
    <row r="6176" spans="1:6">
      <c r="A6176" t="str">
        <f t="shared" si="96"/>
        <v/>
      </c>
      <c r="E6176" s="626"/>
      <c r="F6176" s="626"/>
    </row>
    <row r="6177" spans="1:6">
      <c r="A6177" t="str">
        <f t="shared" si="96"/>
        <v/>
      </c>
      <c r="E6177" s="626"/>
      <c r="F6177" s="626"/>
    </row>
    <row r="6178" spans="1:6">
      <c r="A6178" t="str">
        <f t="shared" si="96"/>
        <v/>
      </c>
      <c r="E6178" s="626"/>
      <c r="F6178" s="626"/>
    </row>
    <row r="6179" spans="1:6">
      <c r="A6179" t="str">
        <f t="shared" si="96"/>
        <v/>
      </c>
      <c r="E6179" s="626"/>
      <c r="F6179" s="626"/>
    </row>
    <row r="6180" spans="1:6">
      <c r="A6180" t="str">
        <f t="shared" si="96"/>
        <v/>
      </c>
      <c r="E6180" s="626"/>
      <c r="F6180" s="626"/>
    </row>
    <row r="6181" spans="1:6">
      <c r="A6181" t="str">
        <f t="shared" si="96"/>
        <v/>
      </c>
      <c r="E6181" s="626"/>
      <c r="F6181" s="626"/>
    </row>
    <row r="6182" spans="1:6">
      <c r="A6182" t="str">
        <f t="shared" si="96"/>
        <v/>
      </c>
      <c r="E6182" s="626"/>
      <c r="F6182" s="626"/>
    </row>
    <row r="6183" spans="1:6">
      <c r="A6183" t="str">
        <f t="shared" si="96"/>
        <v/>
      </c>
      <c r="E6183" s="626"/>
      <c r="F6183" s="626"/>
    </row>
    <row r="6184" spans="1:6">
      <c r="A6184" t="str">
        <f t="shared" si="96"/>
        <v/>
      </c>
      <c r="E6184" s="626"/>
      <c r="F6184" s="626"/>
    </row>
    <row r="6185" spans="1:6">
      <c r="A6185" t="str">
        <f t="shared" si="96"/>
        <v/>
      </c>
      <c r="E6185" s="626"/>
      <c r="F6185" s="626"/>
    </row>
    <row r="6186" spans="1:6">
      <c r="A6186" t="str">
        <f t="shared" si="96"/>
        <v/>
      </c>
      <c r="E6186" s="626"/>
      <c r="F6186" s="626"/>
    </row>
    <row r="6187" spans="1:6">
      <c r="A6187" t="str">
        <f t="shared" si="96"/>
        <v/>
      </c>
      <c r="E6187" s="626"/>
      <c r="F6187" s="626"/>
    </row>
    <row r="6188" spans="1:6">
      <c r="A6188" t="str">
        <f t="shared" si="96"/>
        <v/>
      </c>
      <c r="E6188" s="626"/>
      <c r="F6188" s="626"/>
    </row>
    <row r="6189" spans="1:6">
      <c r="A6189" t="str">
        <f t="shared" si="96"/>
        <v/>
      </c>
      <c r="E6189" s="626"/>
      <c r="F6189" s="626"/>
    </row>
    <row r="6190" spans="1:6">
      <c r="A6190" t="str">
        <f t="shared" si="96"/>
        <v/>
      </c>
      <c r="E6190" s="626"/>
      <c r="F6190" s="626"/>
    </row>
    <row r="6191" spans="1:6">
      <c r="A6191" t="str">
        <f t="shared" si="96"/>
        <v/>
      </c>
      <c r="E6191" s="626"/>
      <c r="F6191" s="626"/>
    </row>
    <row r="6192" spans="1:6">
      <c r="A6192" t="str">
        <f t="shared" si="96"/>
        <v/>
      </c>
      <c r="E6192" s="626"/>
      <c r="F6192" s="626"/>
    </row>
    <row r="6193" spans="1:6">
      <c r="A6193" t="str">
        <f t="shared" si="96"/>
        <v/>
      </c>
      <c r="E6193" s="626"/>
      <c r="F6193" s="626"/>
    </row>
    <row r="6194" spans="1:6">
      <c r="A6194" t="str">
        <f t="shared" si="96"/>
        <v/>
      </c>
      <c r="E6194" s="626"/>
      <c r="F6194" s="626"/>
    </row>
    <row r="6195" spans="1:6">
      <c r="A6195" t="str">
        <f t="shared" si="96"/>
        <v/>
      </c>
      <c r="E6195" s="626"/>
      <c r="F6195" s="626"/>
    </row>
    <row r="6196" spans="1:6">
      <c r="A6196" t="str">
        <f t="shared" si="96"/>
        <v/>
      </c>
      <c r="E6196" s="626"/>
      <c r="F6196" s="626"/>
    </row>
    <row r="6197" spans="1:6">
      <c r="A6197" t="str">
        <f t="shared" si="96"/>
        <v/>
      </c>
      <c r="E6197" s="626"/>
      <c r="F6197" s="626"/>
    </row>
    <row r="6198" spans="1:6">
      <c r="A6198" t="str">
        <f t="shared" si="96"/>
        <v/>
      </c>
      <c r="E6198" s="626"/>
      <c r="F6198" s="626"/>
    </row>
    <row r="6199" spans="1:6">
      <c r="A6199" t="str">
        <f t="shared" si="96"/>
        <v/>
      </c>
      <c r="E6199" s="626"/>
      <c r="F6199" s="626"/>
    </row>
    <row r="6200" spans="1:6">
      <c r="A6200" t="str">
        <f t="shared" si="96"/>
        <v/>
      </c>
      <c r="E6200" s="626"/>
      <c r="F6200" s="626"/>
    </row>
    <row r="6201" spans="1:6">
      <c r="A6201" t="str">
        <f t="shared" si="96"/>
        <v/>
      </c>
      <c r="E6201" s="626"/>
      <c r="F6201" s="626"/>
    </row>
    <row r="6202" spans="1:6">
      <c r="A6202" t="str">
        <f t="shared" si="96"/>
        <v/>
      </c>
      <c r="E6202" s="626"/>
      <c r="F6202" s="626"/>
    </row>
    <row r="6203" spans="1:6">
      <c r="A6203" t="str">
        <f t="shared" si="96"/>
        <v/>
      </c>
      <c r="E6203" s="626"/>
      <c r="F6203" s="626"/>
    </row>
    <row r="6204" spans="1:6">
      <c r="A6204" t="str">
        <f t="shared" si="96"/>
        <v/>
      </c>
      <c r="E6204" s="626"/>
      <c r="F6204" s="626"/>
    </row>
    <row r="6205" spans="1:6">
      <c r="A6205" t="str">
        <f t="shared" si="96"/>
        <v/>
      </c>
      <c r="E6205" s="626"/>
      <c r="F6205" s="626"/>
    </row>
    <row r="6206" spans="1:6">
      <c r="A6206" t="str">
        <f t="shared" si="96"/>
        <v/>
      </c>
      <c r="E6206" s="626"/>
      <c r="F6206" s="626"/>
    </row>
    <row r="6207" spans="1:6">
      <c r="A6207" t="str">
        <f t="shared" si="96"/>
        <v/>
      </c>
      <c r="E6207" s="626"/>
      <c r="F6207" s="626"/>
    </row>
    <row r="6208" spans="1:6">
      <c r="A6208" t="str">
        <f t="shared" si="96"/>
        <v/>
      </c>
      <c r="E6208" s="626"/>
      <c r="F6208" s="626"/>
    </row>
    <row r="6209" spans="1:6">
      <c r="A6209" t="str">
        <f t="shared" si="96"/>
        <v/>
      </c>
      <c r="E6209" s="626"/>
      <c r="F6209" s="626"/>
    </row>
    <row r="6210" spans="1:6">
      <c r="A6210" t="str">
        <f t="shared" ref="A6210:A6273" si="97">B6210&amp;E6210&amp;J6210</f>
        <v/>
      </c>
      <c r="E6210" s="626"/>
      <c r="F6210" s="626"/>
    </row>
    <row r="6211" spans="1:6">
      <c r="A6211" t="str">
        <f t="shared" si="97"/>
        <v/>
      </c>
      <c r="E6211" s="626"/>
      <c r="F6211" s="626"/>
    </row>
    <row r="6212" spans="1:6">
      <c r="A6212" t="str">
        <f t="shared" si="97"/>
        <v/>
      </c>
      <c r="E6212" s="626"/>
      <c r="F6212" s="626"/>
    </row>
    <row r="6213" spans="1:6">
      <c r="A6213" t="str">
        <f t="shared" si="97"/>
        <v/>
      </c>
      <c r="E6213" s="626"/>
      <c r="F6213" s="626"/>
    </row>
    <row r="6214" spans="1:6">
      <c r="A6214" t="str">
        <f t="shared" si="97"/>
        <v/>
      </c>
      <c r="E6214" s="626"/>
      <c r="F6214" s="626"/>
    </row>
    <row r="6215" spans="1:6">
      <c r="A6215" t="str">
        <f t="shared" si="97"/>
        <v/>
      </c>
      <c r="E6215" s="626"/>
      <c r="F6215" s="626"/>
    </row>
    <row r="6216" spans="1:6">
      <c r="A6216" t="str">
        <f t="shared" si="97"/>
        <v/>
      </c>
      <c r="E6216" s="626"/>
      <c r="F6216" s="626"/>
    </row>
    <row r="6217" spans="1:6">
      <c r="A6217" t="str">
        <f t="shared" si="97"/>
        <v/>
      </c>
      <c r="E6217" s="626"/>
      <c r="F6217" s="626"/>
    </row>
    <row r="6218" spans="1:6">
      <c r="A6218" t="str">
        <f t="shared" si="97"/>
        <v/>
      </c>
      <c r="E6218" s="626"/>
      <c r="F6218" s="626"/>
    </row>
    <row r="6219" spans="1:6">
      <c r="A6219" t="str">
        <f t="shared" si="97"/>
        <v/>
      </c>
      <c r="E6219" s="626"/>
      <c r="F6219" s="626"/>
    </row>
    <row r="6220" spans="1:6">
      <c r="A6220" t="str">
        <f t="shared" si="97"/>
        <v/>
      </c>
      <c r="E6220" s="626"/>
      <c r="F6220" s="626"/>
    </row>
    <row r="6221" spans="1:6">
      <c r="A6221" t="str">
        <f t="shared" si="97"/>
        <v/>
      </c>
      <c r="E6221" s="626"/>
      <c r="F6221" s="626"/>
    </row>
    <row r="6222" spans="1:6">
      <c r="A6222" t="str">
        <f t="shared" si="97"/>
        <v/>
      </c>
      <c r="E6222" s="626"/>
      <c r="F6222" s="626"/>
    </row>
    <row r="6223" spans="1:6">
      <c r="A6223" t="str">
        <f t="shared" si="97"/>
        <v/>
      </c>
      <c r="E6223" s="626"/>
      <c r="F6223" s="626"/>
    </row>
    <row r="6224" spans="1:6">
      <c r="A6224" t="str">
        <f t="shared" si="97"/>
        <v/>
      </c>
      <c r="E6224" s="626"/>
      <c r="F6224" s="626"/>
    </row>
    <row r="6225" spans="1:6">
      <c r="A6225" t="str">
        <f t="shared" si="97"/>
        <v/>
      </c>
      <c r="E6225" s="626"/>
      <c r="F6225" s="626"/>
    </row>
    <row r="6226" spans="1:6">
      <c r="A6226" t="str">
        <f t="shared" si="97"/>
        <v/>
      </c>
      <c r="E6226" s="626"/>
      <c r="F6226" s="626"/>
    </row>
    <row r="6227" spans="1:6">
      <c r="A6227" t="str">
        <f t="shared" si="97"/>
        <v/>
      </c>
      <c r="E6227" s="626"/>
      <c r="F6227" s="626"/>
    </row>
    <row r="6228" spans="1:6">
      <c r="A6228" t="str">
        <f t="shared" si="97"/>
        <v/>
      </c>
      <c r="E6228" s="626"/>
      <c r="F6228" s="626"/>
    </row>
    <row r="6229" spans="1:6">
      <c r="A6229" t="str">
        <f t="shared" si="97"/>
        <v/>
      </c>
      <c r="E6229" s="626"/>
      <c r="F6229" s="626"/>
    </row>
    <row r="6230" spans="1:6">
      <c r="A6230" t="str">
        <f t="shared" si="97"/>
        <v/>
      </c>
      <c r="E6230" s="626"/>
      <c r="F6230" s="626"/>
    </row>
    <row r="6231" spans="1:6">
      <c r="A6231" t="str">
        <f t="shared" si="97"/>
        <v/>
      </c>
      <c r="E6231" s="626"/>
      <c r="F6231" s="626"/>
    </row>
    <row r="6232" spans="1:6">
      <c r="A6232" t="str">
        <f t="shared" si="97"/>
        <v/>
      </c>
      <c r="E6232" s="626"/>
      <c r="F6232" s="626"/>
    </row>
    <row r="6233" spans="1:6">
      <c r="A6233" t="str">
        <f t="shared" si="97"/>
        <v/>
      </c>
      <c r="E6233" s="626"/>
      <c r="F6233" s="626"/>
    </row>
    <row r="6234" spans="1:6">
      <c r="A6234" t="str">
        <f t="shared" si="97"/>
        <v/>
      </c>
      <c r="E6234" s="626"/>
      <c r="F6234" s="626"/>
    </row>
    <row r="6235" spans="1:6">
      <c r="A6235" t="str">
        <f t="shared" si="97"/>
        <v/>
      </c>
      <c r="E6235" s="626"/>
      <c r="F6235" s="626"/>
    </row>
    <row r="6236" spans="1:6">
      <c r="A6236" t="str">
        <f t="shared" si="97"/>
        <v/>
      </c>
      <c r="E6236" s="626"/>
      <c r="F6236" s="626"/>
    </row>
    <row r="6237" spans="1:6">
      <c r="A6237" t="str">
        <f t="shared" si="97"/>
        <v/>
      </c>
      <c r="E6237" s="626"/>
      <c r="F6237" s="626"/>
    </row>
    <row r="6238" spans="1:6">
      <c r="A6238" t="str">
        <f t="shared" si="97"/>
        <v/>
      </c>
      <c r="E6238" s="626"/>
      <c r="F6238" s="626"/>
    </row>
    <row r="6239" spans="1:6">
      <c r="A6239" t="str">
        <f t="shared" si="97"/>
        <v/>
      </c>
      <c r="E6239" s="626"/>
      <c r="F6239" s="626"/>
    </row>
    <row r="6240" spans="1:6">
      <c r="A6240" t="str">
        <f t="shared" si="97"/>
        <v/>
      </c>
      <c r="E6240" s="626"/>
      <c r="F6240" s="626"/>
    </row>
    <row r="6241" spans="1:6">
      <c r="A6241" t="str">
        <f t="shared" si="97"/>
        <v/>
      </c>
      <c r="E6241" s="626"/>
      <c r="F6241" s="626"/>
    </row>
    <row r="6242" spans="1:6">
      <c r="A6242" t="str">
        <f t="shared" si="97"/>
        <v/>
      </c>
      <c r="E6242" s="626"/>
      <c r="F6242" s="626"/>
    </row>
    <row r="6243" spans="1:6">
      <c r="A6243" t="str">
        <f t="shared" si="97"/>
        <v/>
      </c>
      <c r="E6243" s="626"/>
      <c r="F6243" s="626"/>
    </row>
    <row r="6244" spans="1:6">
      <c r="A6244" t="str">
        <f t="shared" si="97"/>
        <v/>
      </c>
      <c r="E6244" s="626"/>
      <c r="F6244" s="626"/>
    </row>
    <row r="6245" spans="1:6">
      <c r="A6245" t="str">
        <f t="shared" si="97"/>
        <v/>
      </c>
      <c r="E6245" s="626"/>
      <c r="F6245" s="626"/>
    </row>
    <row r="6246" spans="1:6">
      <c r="A6246" t="str">
        <f t="shared" si="97"/>
        <v/>
      </c>
      <c r="E6246" s="626"/>
      <c r="F6246" s="626"/>
    </row>
    <row r="6247" spans="1:6">
      <c r="A6247" t="str">
        <f t="shared" si="97"/>
        <v/>
      </c>
      <c r="E6247" s="626"/>
      <c r="F6247" s="626"/>
    </row>
    <row r="6248" spans="1:6">
      <c r="A6248" t="str">
        <f t="shared" si="97"/>
        <v/>
      </c>
      <c r="E6248" s="626"/>
      <c r="F6248" s="626"/>
    </row>
    <row r="6249" spans="1:6">
      <c r="A6249" t="str">
        <f t="shared" si="97"/>
        <v/>
      </c>
      <c r="E6249" s="626"/>
      <c r="F6249" s="626"/>
    </row>
    <row r="6250" spans="1:6">
      <c r="A6250" t="str">
        <f t="shared" si="97"/>
        <v/>
      </c>
      <c r="E6250" s="626"/>
      <c r="F6250" s="626"/>
    </row>
    <row r="6251" spans="1:6">
      <c r="A6251" t="str">
        <f t="shared" si="97"/>
        <v/>
      </c>
      <c r="E6251" s="626"/>
      <c r="F6251" s="626"/>
    </row>
    <row r="6252" spans="1:6">
      <c r="A6252" t="str">
        <f t="shared" si="97"/>
        <v/>
      </c>
      <c r="E6252" s="626"/>
      <c r="F6252" s="626"/>
    </row>
    <row r="6253" spans="1:6">
      <c r="A6253" t="str">
        <f t="shared" si="97"/>
        <v/>
      </c>
      <c r="E6253" s="626"/>
      <c r="F6253" s="626"/>
    </row>
    <row r="6254" spans="1:6">
      <c r="A6254" t="str">
        <f t="shared" si="97"/>
        <v/>
      </c>
      <c r="E6254" s="626"/>
      <c r="F6254" s="626"/>
    </row>
    <row r="6255" spans="1:6">
      <c r="A6255" t="str">
        <f t="shared" si="97"/>
        <v/>
      </c>
      <c r="E6255" s="626"/>
      <c r="F6255" s="626"/>
    </row>
    <row r="6256" spans="1:6">
      <c r="A6256" t="str">
        <f t="shared" si="97"/>
        <v/>
      </c>
      <c r="E6256" s="626"/>
      <c r="F6256" s="626"/>
    </row>
    <row r="6257" spans="1:6">
      <c r="A6257" t="str">
        <f t="shared" si="97"/>
        <v/>
      </c>
      <c r="E6257" s="626"/>
      <c r="F6257" s="626"/>
    </row>
    <row r="6258" spans="1:6">
      <c r="A6258" t="str">
        <f t="shared" si="97"/>
        <v/>
      </c>
      <c r="E6258" s="626"/>
      <c r="F6258" s="626"/>
    </row>
    <row r="6259" spans="1:6">
      <c r="A6259" t="str">
        <f t="shared" si="97"/>
        <v/>
      </c>
      <c r="E6259" s="626"/>
      <c r="F6259" s="626"/>
    </row>
    <row r="6260" spans="1:6">
      <c r="A6260" t="str">
        <f t="shared" si="97"/>
        <v/>
      </c>
      <c r="E6260" s="626"/>
      <c r="F6260" s="626"/>
    </row>
    <row r="6261" spans="1:6">
      <c r="A6261" t="str">
        <f t="shared" si="97"/>
        <v/>
      </c>
      <c r="E6261" s="626"/>
      <c r="F6261" s="626"/>
    </row>
    <row r="6262" spans="1:6">
      <c r="A6262" t="str">
        <f t="shared" si="97"/>
        <v/>
      </c>
      <c r="E6262" s="626"/>
      <c r="F6262" s="626"/>
    </row>
    <row r="6263" spans="1:6">
      <c r="A6263" t="str">
        <f t="shared" si="97"/>
        <v/>
      </c>
      <c r="E6263" s="626"/>
      <c r="F6263" s="626"/>
    </row>
    <row r="6264" spans="1:6">
      <c r="A6264" t="str">
        <f t="shared" si="97"/>
        <v/>
      </c>
      <c r="E6264" s="626"/>
      <c r="F6264" s="626"/>
    </row>
    <row r="6265" spans="1:6">
      <c r="A6265" t="str">
        <f t="shared" si="97"/>
        <v/>
      </c>
      <c r="E6265" s="626"/>
      <c r="F6265" s="626"/>
    </row>
    <row r="6266" spans="1:6">
      <c r="A6266" t="str">
        <f t="shared" si="97"/>
        <v/>
      </c>
      <c r="E6266" s="626"/>
      <c r="F6266" s="626"/>
    </row>
    <row r="6267" spans="1:6">
      <c r="A6267" t="str">
        <f t="shared" si="97"/>
        <v/>
      </c>
      <c r="E6267" s="626"/>
      <c r="F6267" s="626"/>
    </row>
    <row r="6268" spans="1:6">
      <c r="A6268" t="str">
        <f t="shared" si="97"/>
        <v/>
      </c>
      <c r="E6268" s="626"/>
      <c r="F6268" s="626"/>
    </row>
    <row r="6269" spans="1:6">
      <c r="A6269" t="str">
        <f t="shared" si="97"/>
        <v/>
      </c>
      <c r="E6269" s="626"/>
      <c r="F6269" s="626"/>
    </row>
    <row r="6270" spans="1:6">
      <c r="A6270" t="str">
        <f t="shared" si="97"/>
        <v/>
      </c>
      <c r="E6270" s="626"/>
      <c r="F6270" s="626"/>
    </row>
    <row r="6271" spans="1:6">
      <c r="A6271" t="str">
        <f t="shared" si="97"/>
        <v/>
      </c>
      <c r="E6271" s="626"/>
      <c r="F6271" s="626"/>
    </row>
    <row r="6272" spans="1:6">
      <c r="A6272" t="str">
        <f t="shared" si="97"/>
        <v/>
      </c>
      <c r="E6272" s="626"/>
      <c r="F6272" s="626"/>
    </row>
    <row r="6273" spans="1:6">
      <c r="A6273" t="str">
        <f t="shared" si="97"/>
        <v/>
      </c>
      <c r="E6273" s="626"/>
      <c r="F6273" s="626"/>
    </row>
    <row r="6274" spans="1:6">
      <c r="A6274" t="str">
        <f t="shared" ref="A6274:A6337" si="98">B6274&amp;E6274&amp;J6274</f>
        <v/>
      </c>
      <c r="E6274" s="626"/>
      <c r="F6274" s="626"/>
    </row>
    <row r="6275" spans="1:6">
      <c r="A6275" t="str">
        <f t="shared" si="98"/>
        <v/>
      </c>
      <c r="E6275" s="626"/>
      <c r="F6275" s="626"/>
    </row>
    <row r="6276" spans="1:6">
      <c r="A6276" t="str">
        <f t="shared" si="98"/>
        <v/>
      </c>
      <c r="E6276" s="626"/>
      <c r="F6276" s="626"/>
    </row>
    <row r="6277" spans="1:6">
      <c r="A6277" t="str">
        <f t="shared" si="98"/>
        <v/>
      </c>
      <c r="E6277" s="626"/>
      <c r="F6277" s="626"/>
    </row>
    <row r="6278" spans="1:6">
      <c r="A6278" t="str">
        <f t="shared" si="98"/>
        <v/>
      </c>
      <c r="E6278" s="626"/>
      <c r="F6278" s="626"/>
    </row>
    <row r="6279" spans="1:6">
      <c r="A6279" t="str">
        <f t="shared" si="98"/>
        <v/>
      </c>
      <c r="E6279" s="626"/>
      <c r="F6279" s="626"/>
    </row>
    <row r="6280" spans="1:6">
      <c r="A6280" t="str">
        <f t="shared" si="98"/>
        <v/>
      </c>
      <c r="E6280" s="626"/>
      <c r="F6280" s="626"/>
    </row>
    <row r="6281" spans="1:6">
      <c r="A6281" t="str">
        <f t="shared" si="98"/>
        <v/>
      </c>
      <c r="E6281" s="626"/>
      <c r="F6281" s="626"/>
    </row>
    <row r="6282" spans="1:6">
      <c r="A6282" t="str">
        <f t="shared" si="98"/>
        <v/>
      </c>
      <c r="E6282" s="626"/>
      <c r="F6282" s="626"/>
    </row>
    <row r="6283" spans="1:6">
      <c r="A6283" t="str">
        <f t="shared" si="98"/>
        <v/>
      </c>
      <c r="E6283" s="626"/>
      <c r="F6283" s="626"/>
    </row>
    <row r="6284" spans="1:6">
      <c r="A6284" t="str">
        <f t="shared" si="98"/>
        <v/>
      </c>
      <c r="E6284" s="626"/>
      <c r="F6284" s="626"/>
    </row>
    <row r="6285" spans="1:6">
      <c r="A6285" t="str">
        <f t="shared" si="98"/>
        <v/>
      </c>
      <c r="E6285" s="626"/>
      <c r="F6285" s="626"/>
    </row>
    <row r="6286" spans="1:6">
      <c r="A6286" t="str">
        <f t="shared" si="98"/>
        <v/>
      </c>
      <c r="E6286" s="626"/>
      <c r="F6286" s="626"/>
    </row>
    <row r="6287" spans="1:6">
      <c r="A6287" t="str">
        <f t="shared" si="98"/>
        <v/>
      </c>
      <c r="E6287" s="626"/>
      <c r="F6287" s="626"/>
    </row>
    <row r="6288" spans="1:6">
      <c r="A6288" t="str">
        <f t="shared" si="98"/>
        <v/>
      </c>
      <c r="E6288" s="626"/>
      <c r="F6288" s="626"/>
    </row>
    <row r="6289" spans="1:6">
      <c r="A6289" t="str">
        <f t="shared" si="98"/>
        <v/>
      </c>
      <c r="E6289" s="626"/>
      <c r="F6289" s="626"/>
    </row>
    <row r="6290" spans="1:6">
      <c r="A6290" t="str">
        <f t="shared" si="98"/>
        <v/>
      </c>
      <c r="E6290" s="626"/>
      <c r="F6290" s="626"/>
    </row>
    <row r="6291" spans="1:6">
      <c r="A6291" t="str">
        <f t="shared" si="98"/>
        <v/>
      </c>
      <c r="E6291" s="626"/>
      <c r="F6291" s="626"/>
    </row>
    <row r="6292" spans="1:6">
      <c r="A6292" t="str">
        <f t="shared" si="98"/>
        <v/>
      </c>
      <c r="E6292" s="626"/>
      <c r="F6292" s="626"/>
    </row>
    <row r="6293" spans="1:6">
      <c r="A6293" t="str">
        <f t="shared" si="98"/>
        <v/>
      </c>
      <c r="E6293" s="626"/>
      <c r="F6293" s="626"/>
    </row>
    <row r="6294" spans="1:6">
      <c r="A6294" t="str">
        <f t="shared" si="98"/>
        <v/>
      </c>
      <c r="E6294" s="626"/>
      <c r="F6294" s="626"/>
    </row>
    <row r="6295" spans="1:6">
      <c r="A6295" t="str">
        <f t="shared" si="98"/>
        <v/>
      </c>
      <c r="E6295" s="626"/>
      <c r="F6295" s="626"/>
    </row>
    <row r="6296" spans="1:6">
      <c r="A6296" t="str">
        <f t="shared" si="98"/>
        <v/>
      </c>
      <c r="E6296" s="626"/>
      <c r="F6296" s="626"/>
    </row>
    <row r="6297" spans="1:6">
      <c r="A6297" t="str">
        <f t="shared" si="98"/>
        <v/>
      </c>
      <c r="E6297" s="626"/>
      <c r="F6297" s="626"/>
    </row>
    <row r="6298" spans="1:6">
      <c r="A6298" t="str">
        <f t="shared" si="98"/>
        <v/>
      </c>
      <c r="E6298" s="626"/>
      <c r="F6298" s="626"/>
    </row>
    <row r="6299" spans="1:6">
      <c r="A6299" t="str">
        <f t="shared" si="98"/>
        <v/>
      </c>
      <c r="E6299" s="626"/>
      <c r="F6299" s="626"/>
    </row>
    <row r="6300" spans="1:6">
      <c r="A6300" t="str">
        <f t="shared" si="98"/>
        <v/>
      </c>
      <c r="E6300" s="626"/>
      <c r="F6300" s="626"/>
    </row>
    <row r="6301" spans="1:6">
      <c r="A6301" t="str">
        <f t="shared" si="98"/>
        <v/>
      </c>
      <c r="E6301" s="626"/>
      <c r="F6301" s="626"/>
    </row>
    <row r="6302" spans="1:6">
      <c r="A6302" t="str">
        <f t="shared" si="98"/>
        <v/>
      </c>
      <c r="E6302" s="626"/>
      <c r="F6302" s="626"/>
    </row>
    <row r="6303" spans="1:6">
      <c r="A6303" t="str">
        <f t="shared" si="98"/>
        <v/>
      </c>
      <c r="E6303" s="626"/>
      <c r="F6303" s="626"/>
    </row>
    <row r="6304" spans="1:6">
      <c r="A6304" t="str">
        <f t="shared" si="98"/>
        <v/>
      </c>
      <c r="E6304" s="626"/>
      <c r="F6304" s="626"/>
    </row>
    <row r="6305" spans="1:6">
      <c r="A6305" t="str">
        <f t="shared" si="98"/>
        <v/>
      </c>
      <c r="E6305" s="626"/>
      <c r="F6305" s="626"/>
    </row>
    <row r="6306" spans="1:6">
      <c r="A6306" t="str">
        <f t="shared" si="98"/>
        <v/>
      </c>
      <c r="E6306" s="626"/>
      <c r="F6306" s="626"/>
    </row>
    <row r="6307" spans="1:6">
      <c r="A6307" t="str">
        <f t="shared" si="98"/>
        <v/>
      </c>
      <c r="E6307" s="626"/>
      <c r="F6307" s="626"/>
    </row>
    <row r="6308" spans="1:6">
      <c r="A6308" t="str">
        <f t="shared" si="98"/>
        <v/>
      </c>
      <c r="E6308" s="626"/>
      <c r="F6308" s="626"/>
    </row>
    <row r="6309" spans="1:6">
      <c r="A6309" t="str">
        <f t="shared" si="98"/>
        <v/>
      </c>
      <c r="E6309" s="626"/>
      <c r="F6309" s="626"/>
    </row>
    <row r="6310" spans="1:6">
      <c r="A6310" t="str">
        <f t="shared" si="98"/>
        <v/>
      </c>
      <c r="E6310" s="626"/>
      <c r="F6310" s="626"/>
    </row>
    <row r="6311" spans="1:6">
      <c r="A6311" t="str">
        <f t="shared" si="98"/>
        <v/>
      </c>
      <c r="E6311" s="626"/>
      <c r="F6311" s="626"/>
    </row>
    <row r="6312" spans="1:6">
      <c r="A6312" t="str">
        <f t="shared" si="98"/>
        <v/>
      </c>
      <c r="E6312" s="626"/>
      <c r="F6312" s="626"/>
    </row>
    <row r="6313" spans="1:6">
      <c r="A6313" t="str">
        <f t="shared" si="98"/>
        <v/>
      </c>
      <c r="E6313" s="626"/>
      <c r="F6313" s="626"/>
    </row>
    <row r="6314" spans="1:6">
      <c r="A6314" t="str">
        <f t="shared" si="98"/>
        <v/>
      </c>
      <c r="E6314" s="626"/>
      <c r="F6314" s="626"/>
    </row>
    <row r="6315" spans="1:6">
      <c r="A6315" t="str">
        <f t="shared" si="98"/>
        <v/>
      </c>
      <c r="E6315" s="626"/>
      <c r="F6315" s="626"/>
    </row>
    <row r="6316" spans="1:6">
      <c r="A6316" t="str">
        <f t="shared" si="98"/>
        <v/>
      </c>
      <c r="E6316" s="626"/>
      <c r="F6316" s="626"/>
    </row>
    <row r="6317" spans="1:6">
      <c r="A6317" t="str">
        <f t="shared" si="98"/>
        <v/>
      </c>
      <c r="E6317" s="626"/>
      <c r="F6317" s="626"/>
    </row>
    <row r="6318" spans="1:6">
      <c r="A6318" t="str">
        <f t="shared" si="98"/>
        <v/>
      </c>
      <c r="E6318" s="626"/>
      <c r="F6318" s="626"/>
    </row>
    <row r="6319" spans="1:6">
      <c r="A6319" t="str">
        <f t="shared" si="98"/>
        <v/>
      </c>
      <c r="E6319" s="626"/>
      <c r="F6319" s="626"/>
    </row>
    <row r="6320" spans="1:6">
      <c r="A6320" t="str">
        <f t="shared" si="98"/>
        <v/>
      </c>
      <c r="E6320" s="626"/>
      <c r="F6320" s="626"/>
    </row>
    <row r="6321" spans="1:6">
      <c r="A6321" t="str">
        <f t="shared" si="98"/>
        <v/>
      </c>
      <c r="E6321" s="626"/>
      <c r="F6321" s="626"/>
    </row>
    <row r="6322" spans="1:6">
      <c r="A6322" t="str">
        <f t="shared" si="98"/>
        <v/>
      </c>
      <c r="E6322" s="626"/>
      <c r="F6322" s="626"/>
    </row>
    <row r="6323" spans="1:6">
      <c r="A6323" t="str">
        <f t="shared" si="98"/>
        <v/>
      </c>
      <c r="E6323" s="626"/>
      <c r="F6323" s="626"/>
    </row>
    <row r="6324" spans="1:6">
      <c r="A6324" t="str">
        <f t="shared" si="98"/>
        <v/>
      </c>
      <c r="E6324" s="626"/>
      <c r="F6324" s="626"/>
    </row>
    <row r="6325" spans="1:6">
      <c r="A6325" t="str">
        <f t="shared" si="98"/>
        <v/>
      </c>
      <c r="E6325" s="626"/>
      <c r="F6325" s="626"/>
    </row>
    <row r="6326" spans="1:6">
      <c r="A6326" t="str">
        <f t="shared" si="98"/>
        <v/>
      </c>
      <c r="E6326" s="626"/>
      <c r="F6326" s="626"/>
    </row>
    <row r="6327" spans="1:6">
      <c r="A6327" t="str">
        <f t="shared" si="98"/>
        <v/>
      </c>
      <c r="E6327" s="626"/>
      <c r="F6327" s="626"/>
    </row>
    <row r="6328" spans="1:6">
      <c r="A6328" t="str">
        <f t="shared" si="98"/>
        <v/>
      </c>
      <c r="E6328" s="626"/>
      <c r="F6328" s="626"/>
    </row>
    <row r="6329" spans="1:6">
      <c r="A6329" t="str">
        <f t="shared" si="98"/>
        <v/>
      </c>
      <c r="E6329" s="626"/>
      <c r="F6329" s="626"/>
    </row>
    <row r="6330" spans="1:6">
      <c r="A6330" t="str">
        <f t="shared" si="98"/>
        <v/>
      </c>
      <c r="E6330" s="626"/>
      <c r="F6330" s="626"/>
    </row>
    <row r="6331" spans="1:6">
      <c r="A6331" t="str">
        <f t="shared" si="98"/>
        <v/>
      </c>
      <c r="E6331" s="626"/>
      <c r="F6331" s="626"/>
    </row>
    <row r="6332" spans="1:6">
      <c r="A6332" t="str">
        <f t="shared" si="98"/>
        <v/>
      </c>
      <c r="E6332" s="626"/>
      <c r="F6332" s="626"/>
    </row>
    <row r="6333" spans="1:6">
      <c r="A6333" t="str">
        <f t="shared" si="98"/>
        <v/>
      </c>
      <c r="E6333" s="626"/>
      <c r="F6333" s="626"/>
    </row>
    <row r="6334" spans="1:6">
      <c r="A6334" t="str">
        <f t="shared" si="98"/>
        <v/>
      </c>
      <c r="E6334" s="626"/>
      <c r="F6334" s="626"/>
    </row>
    <row r="6335" spans="1:6">
      <c r="A6335" t="str">
        <f t="shared" si="98"/>
        <v/>
      </c>
      <c r="E6335" s="626"/>
      <c r="F6335" s="626"/>
    </row>
    <row r="6336" spans="1:6">
      <c r="A6336" t="str">
        <f t="shared" si="98"/>
        <v/>
      </c>
      <c r="E6336" s="626"/>
      <c r="F6336" s="626"/>
    </row>
    <row r="6337" spans="1:6">
      <c r="A6337" t="str">
        <f t="shared" si="98"/>
        <v/>
      </c>
      <c r="E6337" s="626"/>
      <c r="F6337" s="626"/>
    </row>
    <row r="6338" spans="1:6">
      <c r="A6338" t="str">
        <f t="shared" ref="A6338:A6401" si="99">B6338&amp;E6338&amp;J6338</f>
        <v/>
      </c>
      <c r="E6338" s="626"/>
      <c r="F6338" s="626"/>
    </row>
    <row r="6339" spans="1:6">
      <c r="A6339" t="str">
        <f t="shared" si="99"/>
        <v/>
      </c>
      <c r="E6339" s="626"/>
      <c r="F6339" s="626"/>
    </row>
    <row r="6340" spans="1:6">
      <c r="A6340" t="str">
        <f t="shared" si="99"/>
        <v/>
      </c>
      <c r="E6340" s="626"/>
      <c r="F6340" s="626"/>
    </row>
    <row r="6341" spans="1:6">
      <c r="A6341" t="str">
        <f t="shared" si="99"/>
        <v/>
      </c>
      <c r="E6341" s="626"/>
      <c r="F6341" s="626"/>
    </row>
    <row r="6342" spans="1:6">
      <c r="A6342" t="str">
        <f t="shared" si="99"/>
        <v/>
      </c>
      <c r="E6342" s="626"/>
      <c r="F6342" s="626"/>
    </row>
    <row r="6343" spans="1:6">
      <c r="A6343" t="str">
        <f t="shared" si="99"/>
        <v/>
      </c>
      <c r="E6343" s="626"/>
      <c r="F6343" s="626"/>
    </row>
    <row r="6344" spans="1:6">
      <c r="A6344" t="str">
        <f t="shared" si="99"/>
        <v/>
      </c>
      <c r="E6344" s="626"/>
      <c r="F6344" s="626"/>
    </row>
    <row r="6345" spans="1:6">
      <c r="A6345" t="str">
        <f t="shared" si="99"/>
        <v/>
      </c>
      <c r="E6345" s="626"/>
      <c r="F6345" s="626"/>
    </row>
    <row r="6346" spans="1:6">
      <c r="A6346" t="str">
        <f t="shared" si="99"/>
        <v/>
      </c>
      <c r="E6346" s="626"/>
      <c r="F6346" s="626"/>
    </row>
    <row r="6347" spans="1:6">
      <c r="A6347" t="str">
        <f t="shared" si="99"/>
        <v/>
      </c>
      <c r="E6347" s="626"/>
      <c r="F6347" s="626"/>
    </row>
    <row r="6348" spans="1:6">
      <c r="A6348" t="str">
        <f t="shared" si="99"/>
        <v/>
      </c>
      <c r="E6348" s="626"/>
      <c r="F6348" s="626"/>
    </row>
    <row r="6349" spans="1:6">
      <c r="A6349" t="str">
        <f t="shared" si="99"/>
        <v/>
      </c>
      <c r="E6349" s="626"/>
      <c r="F6349" s="626"/>
    </row>
    <row r="6350" spans="1:6">
      <c r="A6350" t="str">
        <f t="shared" si="99"/>
        <v/>
      </c>
      <c r="E6350" s="626"/>
      <c r="F6350" s="626"/>
    </row>
    <row r="6351" spans="1:6">
      <c r="A6351" t="str">
        <f t="shared" si="99"/>
        <v/>
      </c>
      <c r="E6351" s="626"/>
      <c r="F6351" s="626"/>
    </row>
    <row r="6352" spans="1:6">
      <c r="A6352" t="str">
        <f t="shared" si="99"/>
        <v/>
      </c>
      <c r="E6352" s="626"/>
      <c r="F6352" s="626"/>
    </row>
    <row r="6353" spans="1:6">
      <c r="A6353" t="str">
        <f t="shared" si="99"/>
        <v/>
      </c>
      <c r="E6353" s="626"/>
      <c r="F6353" s="626"/>
    </row>
    <row r="6354" spans="1:6">
      <c r="A6354" t="str">
        <f t="shared" si="99"/>
        <v/>
      </c>
      <c r="E6354" s="626"/>
      <c r="F6354" s="626"/>
    </row>
    <row r="6355" spans="1:6">
      <c r="A6355" t="str">
        <f t="shared" si="99"/>
        <v/>
      </c>
      <c r="E6355" s="626"/>
      <c r="F6355" s="626"/>
    </row>
    <row r="6356" spans="1:6">
      <c r="A6356" t="str">
        <f t="shared" si="99"/>
        <v/>
      </c>
      <c r="E6356" s="626"/>
      <c r="F6356" s="626"/>
    </row>
    <row r="6357" spans="1:6">
      <c r="A6357" t="str">
        <f t="shared" si="99"/>
        <v/>
      </c>
      <c r="E6357" s="626"/>
      <c r="F6357" s="626"/>
    </row>
    <row r="6358" spans="1:6">
      <c r="A6358" t="str">
        <f t="shared" si="99"/>
        <v/>
      </c>
      <c r="E6358" s="626"/>
      <c r="F6358" s="626"/>
    </row>
    <row r="6359" spans="1:6">
      <c r="A6359" t="str">
        <f t="shared" si="99"/>
        <v/>
      </c>
      <c r="E6359" s="626"/>
      <c r="F6359" s="626"/>
    </row>
    <row r="6360" spans="1:6">
      <c r="A6360" t="str">
        <f t="shared" si="99"/>
        <v/>
      </c>
      <c r="E6360" s="626"/>
      <c r="F6360" s="626"/>
    </row>
    <row r="6361" spans="1:6">
      <c r="A6361" t="str">
        <f t="shared" si="99"/>
        <v/>
      </c>
      <c r="E6361" s="626"/>
      <c r="F6361" s="626"/>
    </row>
    <row r="6362" spans="1:6">
      <c r="A6362" t="str">
        <f t="shared" si="99"/>
        <v/>
      </c>
      <c r="E6362" s="626"/>
      <c r="F6362" s="626"/>
    </row>
    <row r="6363" spans="1:6">
      <c r="A6363" t="str">
        <f t="shared" si="99"/>
        <v/>
      </c>
      <c r="E6363" s="626"/>
      <c r="F6363" s="626"/>
    </row>
    <row r="6364" spans="1:6">
      <c r="A6364" t="str">
        <f t="shared" si="99"/>
        <v/>
      </c>
      <c r="E6364" s="626"/>
      <c r="F6364" s="626"/>
    </row>
    <row r="6365" spans="1:6">
      <c r="A6365" t="str">
        <f t="shared" si="99"/>
        <v/>
      </c>
      <c r="E6365" s="626"/>
      <c r="F6365" s="626"/>
    </row>
    <row r="6366" spans="1:6">
      <c r="A6366" t="str">
        <f t="shared" si="99"/>
        <v/>
      </c>
      <c r="E6366" s="626"/>
      <c r="F6366" s="626"/>
    </row>
    <row r="6367" spans="1:6">
      <c r="A6367" t="str">
        <f t="shared" si="99"/>
        <v/>
      </c>
      <c r="E6367" s="626"/>
      <c r="F6367" s="626"/>
    </row>
    <row r="6368" spans="1:6">
      <c r="A6368" t="str">
        <f t="shared" si="99"/>
        <v/>
      </c>
      <c r="E6368" s="626"/>
      <c r="F6368" s="626"/>
    </row>
    <row r="6369" spans="1:6">
      <c r="A6369" t="str">
        <f t="shared" si="99"/>
        <v/>
      </c>
      <c r="E6369" s="626"/>
      <c r="F6369" s="626"/>
    </row>
    <row r="6370" spans="1:6">
      <c r="A6370" t="str">
        <f t="shared" si="99"/>
        <v/>
      </c>
      <c r="E6370" s="626"/>
      <c r="F6370" s="626"/>
    </row>
    <row r="6371" spans="1:6">
      <c r="A6371" t="str">
        <f t="shared" si="99"/>
        <v/>
      </c>
      <c r="E6371" s="626"/>
      <c r="F6371" s="626"/>
    </row>
    <row r="6372" spans="1:6">
      <c r="A6372" t="str">
        <f t="shared" si="99"/>
        <v/>
      </c>
      <c r="E6372" s="626"/>
      <c r="F6372" s="626"/>
    </row>
    <row r="6373" spans="1:6">
      <c r="A6373" t="str">
        <f t="shared" si="99"/>
        <v/>
      </c>
      <c r="E6373" s="626"/>
      <c r="F6373" s="626"/>
    </row>
    <row r="6374" spans="1:6">
      <c r="A6374" t="str">
        <f t="shared" si="99"/>
        <v/>
      </c>
      <c r="E6374" s="626"/>
      <c r="F6374" s="626"/>
    </row>
    <row r="6375" spans="1:6">
      <c r="A6375" t="str">
        <f t="shared" si="99"/>
        <v/>
      </c>
      <c r="E6375" s="626"/>
      <c r="F6375" s="626"/>
    </row>
    <row r="6376" spans="1:6">
      <c r="A6376" t="str">
        <f t="shared" si="99"/>
        <v/>
      </c>
      <c r="E6376" s="626"/>
      <c r="F6376" s="626"/>
    </row>
    <row r="6377" spans="1:6">
      <c r="A6377" t="str">
        <f t="shared" si="99"/>
        <v/>
      </c>
      <c r="E6377" s="626"/>
      <c r="F6377" s="626"/>
    </row>
    <row r="6378" spans="1:6">
      <c r="A6378" t="str">
        <f t="shared" si="99"/>
        <v/>
      </c>
      <c r="E6378" s="626"/>
      <c r="F6378" s="626"/>
    </row>
    <row r="6379" spans="1:6">
      <c r="A6379" t="str">
        <f t="shared" si="99"/>
        <v/>
      </c>
      <c r="E6379" s="626"/>
      <c r="F6379" s="626"/>
    </row>
    <row r="6380" spans="1:6">
      <c r="A6380" t="str">
        <f t="shared" si="99"/>
        <v/>
      </c>
      <c r="E6380" s="626"/>
      <c r="F6380" s="626"/>
    </row>
    <row r="6381" spans="1:6">
      <c r="A6381" t="str">
        <f t="shared" si="99"/>
        <v/>
      </c>
      <c r="E6381" s="626"/>
      <c r="F6381" s="626"/>
    </row>
    <row r="6382" spans="1:6">
      <c r="A6382" t="str">
        <f t="shared" si="99"/>
        <v/>
      </c>
      <c r="E6382" s="626"/>
      <c r="F6382" s="626"/>
    </row>
    <row r="6383" spans="1:6">
      <c r="A6383" t="str">
        <f t="shared" si="99"/>
        <v/>
      </c>
      <c r="E6383" s="626"/>
      <c r="F6383" s="626"/>
    </row>
    <row r="6384" spans="1:6">
      <c r="A6384" t="str">
        <f t="shared" si="99"/>
        <v/>
      </c>
      <c r="E6384" s="626"/>
      <c r="F6384" s="626"/>
    </row>
    <row r="6385" spans="1:6">
      <c r="A6385" t="str">
        <f t="shared" si="99"/>
        <v/>
      </c>
      <c r="E6385" s="626"/>
      <c r="F6385" s="626"/>
    </row>
    <row r="6386" spans="1:6">
      <c r="A6386" t="str">
        <f t="shared" si="99"/>
        <v/>
      </c>
      <c r="E6386" s="626"/>
      <c r="F6386" s="626"/>
    </row>
    <row r="6387" spans="1:6">
      <c r="A6387" t="str">
        <f t="shared" si="99"/>
        <v/>
      </c>
      <c r="E6387" s="626"/>
      <c r="F6387" s="626"/>
    </row>
    <row r="6388" spans="1:6">
      <c r="A6388" t="str">
        <f t="shared" si="99"/>
        <v/>
      </c>
      <c r="E6388" s="626"/>
      <c r="F6388" s="626"/>
    </row>
    <row r="6389" spans="1:6">
      <c r="A6389" t="str">
        <f t="shared" si="99"/>
        <v/>
      </c>
      <c r="E6389" s="626"/>
      <c r="F6389" s="626"/>
    </row>
    <row r="6390" spans="1:6">
      <c r="A6390" t="str">
        <f t="shared" si="99"/>
        <v/>
      </c>
      <c r="E6390" s="626"/>
      <c r="F6390" s="626"/>
    </row>
    <row r="6391" spans="1:6">
      <c r="A6391" t="str">
        <f t="shared" si="99"/>
        <v/>
      </c>
      <c r="E6391" s="626"/>
      <c r="F6391" s="626"/>
    </row>
    <row r="6392" spans="1:6">
      <c r="A6392" t="str">
        <f t="shared" si="99"/>
        <v/>
      </c>
      <c r="E6392" s="626"/>
      <c r="F6392" s="626"/>
    </row>
    <row r="6393" spans="1:6">
      <c r="A6393" t="str">
        <f t="shared" si="99"/>
        <v/>
      </c>
      <c r="E6393" s="626"/>
      <c r="F6393" s="626"/>
    </row>
    <row r="6394" spans="1:6">
      <c r="A6394" t="str">
        <f t="shared" si="99"/>
        <v/>
      </c>
      <c r="E6394" s="626"/>
      <c r="F6394" s="626"/>
    </row>
    <row r="6395" spans="1:6">
      <c r="A6395" t="str">
        <f t="shared" si="99"/>
        <v/>
      </c>
      <c r="E6395" s="626"/>
      <c r="F6395" s="626"/>
    </row>
    <row r="6396" spans="1:6">
      <c r="A6396" t="str">
        <f t="shared" si="99"/>
        <v/>
      </c>
      <c r="E6396" s="626"/>
      <c r="F6396" s="626"/>
    </row>
    <row r="6397" spans="1:6">
      <c r="A6397" t="str">
        <f t="shared" si="99"/>
        <v/>
      </c>
      <c r="E6397" s="626"/>
      <c r="F6397" s="626"/>
    </row>
    <row r="6398" spans="1:6">
      <c r="A6398" t="str">
        <f t="shared" si="99"/>
        <v/>
      </c>
      <c r="E6398" s="626"/>
      <c r="F6398" s="626"/>
    </row>
    <row r="6399" spans="1:6">
      <c r="A6399" t="str">
        <f t="shared" si="99"/>
        <v/>
      </c>
      <c r="E6399" s="626"/>
      <c r="F6399" s="626"/>
    </row>
    <row r="6400" spans="1:6">
      <c r="A6400" t="str">
        <f t="shared" si="99"/>
        <v/>
      </c>
      <c r="E6400" s="626"/>
      <c r="F6400" s="626"/>
    </row>
    <row r="6401" spans="1:6">
      <c r="A6401" t="str">
        <f t="shared" si="99"/>
        <v/>
      </c>
      <c r="E6401" s="626"/>
      <c r="F6401" s="626"/>
    </row>
    <row r="6402" spans="1:6">
      <c r="A6402" t="str">
        <f t="shared" ref="A6402:A6465" si="100">B6402&amp;E6402&amp;J6402</f>
        <v/>
      </c>
      <c r="E6402" s="626"/>
      <c r="F6402" s="626"/>
    </row>
    <row r="6403" spans="1:6">
      <c r="A6403" t="str">
        <f t="shared" si="100"/>
        <v/>
      </c>
      <c r="E6403" s="626"/>
      <c r="F6403" s="626"/>
    </row>
    <row r="6404" spans="1:6">
      <c r="A6404" t="str">
        <f t="shared" si="100"/>
        <v/>
      </c>
      <c r="E6404" s="626"/>
      <c r="F6404" s="626"/>
    </row>
    <row r="6405" spans="1:6">
      <c r="A6405" t="str">
        <f t="shared" si="100"/>
        <v/>
      </c>
      <c r="E6405" s="626"/>
      <c r="F6405" s="626"/>
    </row>
    <row r="6406" spans="1:6">
      <c r="A6406" t="str">
        <f t="shared" si="100"/>
        <v/>
      </c>
      <c r="E6406" s="626"/>
      <c r="F6406" s="626"/>
    </row>
    <row r="6407" spans="1:6">
      <c r="A6407" t="str">
        <f t="shared" si="100"/>
        <v/>
      </c>
      <c r="E6407" s="626"/>
      <c r="F6407" s="626"/>
    </row>
    <row r="6408" spans="1:6">
      <c r="A6408" t="str">
        <f t="shared" si="100"/>
        <v/>
      </c>
      <c r="E6408" s="626"/>
      <c r="F6408" s="626"/>
    </row>
    <row r="6409" spans="1:6">
      <c r="A6409" t="str">
        <f t="shared" si="100"/>
        <v/>
      </c>
      <c r="E6409" s="626"/>
      <c r="F6409" s="626"/>
    </row>
    <row r="6410" spans="1:6">
      <c r="A6410" t="str">
        <f t="shared" si="100"/>
        <v/>
      </c>
      <c r="E6410" s="626"/>
      <c r="F6410" s="626"/>
    </row>
    <row r="6411" spans="1:6">
      <c r="A6411" t="str">
        <f t="shared" si="100"/>
        <v/>
      </c>
      <c r="E6411" s="626"/>
      <c r="F6411" s="626"/>
    </row>
    <row r="6412" spans="1:6">
      <c r="A6412" t="str">
        <f t="shared" si="100"/>
        <v/>
      </c>
      <c r="E6412" s="626"/>
      <c r="F6412" s="626"/>
    </row>
    <row r="6413" spans="1:6">
      <c r="A6413" t="str">
        <f t="shared" si="100"/>
        <v/>
      </c>
      <c r="E6413" s="626"/>
      <c r="F6413" s="626"/>
    </row>
    <row r="6414" spans="1:6">
      <c r="A6414" t="str">
        <f t="shared" si="100"/>
        <v/>
      </c>
      <c r="E6414" s="626"/>
      <c r="F6414" s="626"/>
    </row>
    <row r="6415" spans="1:6">
      <c r="A6415" t="str">
        <f t="shared" si="100"/>
        <v/>
      </c>
      <c r="E6415" s="626"/>
      <c r="F6415" s="626"/>
    </row>
    <row r="6416" spans="1:6">
      <c r="A6416" t="str">
        <f t="shared" si="100"/>
        <v/>
      </c>
      <c r="E6416" s="626"/>
      <c r="F6416" s="626"/>
    </row>
    <row r="6417" spans="1:6">
      <c r="A6417" t="str">
        <f t="shared" si="100"/>
        <v/>
      </c>
      <c r="E6417" s="626"/>
      <c r="F6417" s="626"/>
    </row>
    <row r="6418" spans="1:6">
      <c r="A6418" t="str">
        <f t="shared" si="100"/>
        <v/>
      </c>
      <c r="E6418" s="626"/>
      <c r="F6418" s="626"/>
    </row>
    <row r="6419" spans="1:6">
      <c r="A6419" t="str">
        <f t="shared" si="100"/>
        <v/>
      </c>
      <c r="E6419" s="626"/>
      <c r="F6419" s="626"/>
    </row>
    <row r="6420" spans="1:6">
      <c r="A6420" t="str">
        <f t="shared" si="100"/>
        <v/>
      </c>
      <c r="E6420" s="626"/>
      <c r="F6420" s="626"/>
    </row>
    <row r="6421" spans="1:6">
      <c r="A6421" t="str">
        <f t="shared" si="100"/>
        <v/>
      </c>
      <c r="E6421" s="626"/>
      <c r="F6421" s="626"/>
    </row>
    <row r="6422" spans="1:6">
      <c r="A6422" t="str">
        <f t="shared" si="100"/>
        <v/>
      </c>
      <c r="E6422" s="626"/>
      <c r="F6422" s="626"/>
    </row>
    <row r="6423" spans="1:6">
      <c r="A6423" t="str">
        <f t="shared" si="100"/>
        <v/>
      </c>
      <c r="E6423" s="626"/>
      <c r="F6423" s="626"/>
    </row>
    <row r="6424" spans="1:6">
      <c r="A6424" t="str">
        <f t="shared" si="100"/>
        <v/>
      </c>
      <c r="E6424" s="626"/>
      <c r="F6424" s="626"/>
    </row>
    <row r="6425" spans="1:6">
      <c r="A6425" t="str">
        <f t="shared" si="100"/>
        <v/>
      </c>
      <c r="E6425" s="626"/>
      <c r="F6425" s="626"/>
    </row>
    <row r="6426" spans="1:6">
      <c r="A6426" t="str">
        <f t="shared" si="100"/>
        <v/>
      </c>
      <c r="E6426" s="626"/>
      <c r="F6426" s="626"/>
    </row>
    <row r="6427" spans="1:6">
      <c r="A6427" t="str">
        <f t="shared" si="100"/>
        <v/>
      </c>
      <c r="E6427" s="626"/>
      <c r="F6427" s="626"/>
    </row>
    <row r="6428" spans="1:6">
      <c r="A6428" t="str">
        <f t="shared" si="100"/>
        <v/>
      </c>
      <c r="E6428" s="626"/>
      <c r="F6428" s="626"/>
    </row>
    <row r="6429" spans="1:6">
      <c r="A6429" t="str">
        <f t="shared" si="100"/>
        <v/>
      </c>
      <c r="E6429" s="626"/>
      <c r="F6429" s="626"/>
    </row>
    <row r="6430" spans="1:6">
      <c r="A6430" t="str">
        <f t="shared" si="100"/>
        <v/>
      </c>
      <c r="E6430" s="626"/>
      <c r="F6430" s="626"/>
    </row>
    <row r="6431" spans="1:6">
      <c r="A6431" t="str">
        <f t="shared" si="100"/>
        <v/>
      </c>
      <c r="E6431" s="626"/>
      <c r="F6431" s="626"/>
    </row>
    <row r="6432" spans="1:6">
      <c r="A6432" t="str">
        <f t="shared" si="100"/>
        <v/>
      </c>
      <c r="E6432" s="626"/>
      <c r="F6432" s="626"/>
    </row>
    <row r="6433" spans="1:6">
      <c r="A6433" t="str">
        <f t="shared" si="100"/>
        <v/>
      </c>
      <c r="E6433" s="626"/>
      <c r="F6433" s="626"/>
    </row>
    <row r="6434" spans="1:6">
      <c r="A6434" t="str">
        <f t="shared" si="100"/>
        <v/>
      </c>
      <c r="E6434" s="626"/>
      <c r="F6434" s="626"/>
    </row>
    <row r="6435" spans="1:6">
      <c r="A6435" t="str">
        <f t="shared" si="100"/>
        <v/>
      </c>
      <c r="E6435" s="626"/>
      <c r="F6435" s="626"/>
    </row>
    <row r="6436" spans="1:6">
      <c r="A6436" t="str">
        <f t="shared" si="100"/>
        <v/>
      </c>
      <c r="E6436" s="626"/>
      <c r="F6436" s="626"/>
    </row>
    <row r="6437" spans="1:6">
      <c r="A6437" t="str">
        <f t="shared" si="100"/>
        <v/>
      </c>
      <c r="E6437" s="626"/>
      <c r="F6437" s="626"/>
    </row>
    <row r="6438" spans="1:6">
      <c r="A6438" t="str">
        <f t="shared" si="100"/>
        <v/>
      </c>
      <c r="E6438" s="626"/>
      <c r="F6438" s="626"/>
    </row>
    <row r="6439" spans="1:6">
      <c r="A6439" t="str">
        <f t="shared" si="100"/>
        <v/>
      </c>
      <c r="E6439" s="626"/>
      <c r="F6439" s="626"/>
    </row>
    <row r="6440" spans="1:6">
      <c r="A6440" t="str">
        <f t="shared" si="100"/>
        <v/>
      </c>
      <c r="E6440" s="626"/>
      <c r="F6440" s="626"/>
    </row>
    <row r="6441" spans="1:6">
      <c r="A6441" t="str">
        <f t="shared" si="100"/>
        <v/>
      </c>
      <c r="E6441" s="626"/>
      <c r="F6441" s="626"/>
    </row>
    <row r="6442" spans="1:6">
      <c r="A6442" t="str">
        <f t="shared" si="100"/>
        <v/>
      </c>
      <c r="E6442" s="626"/>
      <c r="F6442" s="626"/>
    </row>
    <row r="6443" spans="1:6">
      <c r="A6443" t="str">
        <f t="shared" si="100"/>
        <v/>
      </c>
      <c r="E6443" s="626"/>
      <c r="F6443" s="626"/>
    </row>
    <row r="6444" spans="1:6">
      <c r="A6444" t="str">
        <f t="shared" si="100"/>
        <v/>
      </c>
      <c r="E6444" s="626"/>
      <c r="F6444" s="626"/>
    </row>
    <row r="6445" spans="1:6">
      <c r="A6445" t="str">
        <f t="shared" si="100"/>
        <v/>
      </c>
      <c r="E6445" s="626"/>
      <c r="F6445" s="626"/>
    </row>
    <row r="6446" spans="1:6">
      <c r="A6446" t="str">
        <f t="shared" si="100"/>
        <v/>
      </c>
      <c r="E6446" s="626"/>
      <c r="F6446" s="626"/>
    </row>
    <row r="6447" spans="1:6">
      <c r="A6447" t="str">
        <f t="shared" si="100"/>
        <v/>
      </c>
      <c r="E6447" s="626"/>
      <c r="F6447" s="626"/>
    </row>
    <row r="6448" spans="1:6">
      <c r="A6448" t="str">
        <f t="shared" si="100"/>
        <v/>
      </c>
      <c r="E6448" s="626"/>
      <c r="F6448" s="626"/>
    </row>
    <row r="6449" spans="1:6">
      <c r="A6449" t="str">
        <f t="shared" si="100"/>
        <v/>
      </c>
      <c r="E6449" s="626"/>
      <c r="F6449" s="626"/>
    </row>
    <row r="6450" spans="1:6">
      <c r="A6450" t="str">
        <f t="shared" si="100"/>
        <v/>
      </c>
      <c r="E6450" s="626"/>
      <c r="F6450" s="626"/>
    </row>
    <row r="6451" spans="1:6">
      <c r="A6451" t="str">
        <f t="shared" si="100"/>
        <v/>
      </c>
      <c r="E6451" s="626"/>
      <c r="F6451" s="626"/>
    </row>
    <row r="6452" spans="1:6">
      <c r="A6452" t="str">
        <f t="shared" si="100"/>
        <v/>
      </c>
      <c r="E6452" s="626"/>
      <c r="F6452" s="626"/>
    </row>
    <row r="6453" spans="1:6">
      <c r="A6453" t="str">
        <f t="shared" si="100"/>
        <v/>
      </c>
      <c r="E6453" s="626"/>
      <c r="F6453" s="626"/>
    </row>
    <row r="6454" spans="1:6">
      <c r="A6454" t="str">
        <f t="shared" si="100"/>
        <v/>
      </c>
      <c r="E6454" s="626"/>
      <c r="F6454" s="626"/>
    </row>
    <row r="6455" spans="1:6">
      <c r="A6455" t="str">
        <f t="shared" si="100"/>
        <v/>
      </c>
      <c r="E6455" s="626"/>
      <c r="F6455" s="626"/>
    </row>
    <row r="6456" spans="1:6">
      <c r="A6456" t="str">
        <f t="shared" si="100"/>
        <v/>
      </c>
      <c r="E6456" s="626"/>
      <c r="F6456" s="626"/>
    </row>
    <row r="6457" spans="1:6">
      <c r="A6457" t="str">
        <f t="shared" si="100"/>
        <v/>
      </c>
      <c r="E6457" s="626"/>
      <c r="F6457" s="626"/>
    </row>
    <row r="6458" spans="1:6">
      <c r="A6458" t="str">
        <f t="shared" si="100"/>
        <v/>
      </c>
      <c r="E6458" s="626"/>
      <c r="F6458" s="626"/>
    </row>
    <row r="6459" spans="1:6">
      <c r="A6459" t="str">
        <f t="shared" si="100"/>
        <v/>
      </c>
      <c r="E6459" s="626"/>
      <c r="F6459" s="626"/>
    </row>
    <row r="6460" spans="1:6">
      <c r="A6460" t="str">
        <f t="shared" si="100"/>
        <v/>
      </c>
      <c r="E6460" s="626"/>
      <c r="F6460" s="626"/>
    </row>
    <row r="6461" spans="1:6">
      <c r="A6461" t="str">
        <f t="shared" si="100"/>
        <v/>
      </c>
      <c r="E6461" s="626"/>
      <c r="F6461" s="626"/>
    </row>
    <row r="6462" spans="1:6">
      <c r="A6462" t="str">
        <f t="shared" si="100"/>
        <v/>
      </c>
      <c r="E6462" s="626"/>
      <c r="F6462" s="626"/>
    </row>
    <row r="6463" spans="1:6">
      <c r="A6463" t="str">
        <f t="shared" si="100"/>
        <v/>
      </c>
      <c r="E6463" s="626"/>
      <c r="F6463" s="626"/>
    </row>
    <row r="6464" spans="1:6">
      <c r="A6464" t="str">
        <f t="shared" si="100"/>
        <v/>
      </c>
      <c r="E6464" s="626"/>
      <c r="F6464" s="626"/>
    </row>
    <row r="6465" spans="1:6">
      <c r="A6465" t="str">
        <f t="shared" si="100"/>
        <v/>
      </c>
      <c r="E6465" s="626"/>
      <c r="F6465" s="626"/>
    </row>
    <row r="6466" spans="1:6">
      <c r="A6466" t="str">
        <f t="shared" ref="A6466:A6529" si="101">B6466&amp;E6466&amp;J6466</f>
        <v/>
      </c>
      <c r="E6466" s="626"/>
      <c r="F6466" s="626"/>
    </row>
    <row r="6467" spans="1:6">
      <c r="A6467" t="str">
        <f t="shared" si="101"/>
        <v/>
      </c>
      <c r="E6467" s="626"/>
      <c r="F6467" s="626"/>
    </row>
    <row r="6468" spans="1:6">
      <c r="A6468" t="str">
        <f t="shared" si="101"/>
        <v/>
      </c>
      <c r="E6468" s="626"/>
      <c r="F6468" s="626"/>
    </row>
    <row r="6469" spans="1:6">
      <c r="A6469" t="str">
        <f t="shared" si="101"/>
        <v/>
      </c>
      <c r="E6469" s="626"/>
      <c r="F6469" s="626"/>
    </row>
    <row r="6470" spans="1:6">
      <c r="A6470" t="str">
        <f t="shared" si="101"/>
        <v/>
      </c>
      <c r="E6470" s="626"/>
      <c r="F6470" s="626"/>
    </row>
    <row r="6471" spans="1:6">
      <c r="A6471" t="str">
        <f t="shared" si="101"/>
        <v/>
      </c>
      <c r="E6471" s="626"/>
      <c r="F6471" s="626"/>
    </row>
    <row r="6472" spans="1:6">
      <c r="A6472" t="str">
        <f t="shared" si="101"/>
        <v/>
      </c>
      <c r="E6472" s="626"/>
      <c r="F6472" s="626"/>
    </row>
    <row r="6473" spans="1:6">
      <c r="A6473" t="str">
        <f t="shared" si="101"/>
        <v/>
      </c>
      <c r="E6473" s="626"/>
      <c r="F6473" s="626"/>
    </row>
    <row r="6474" spans="1:6">
      <c r="A6474" t="str">
        <f t="shared" si="101"/>
        <v/>
      </c>
      <c r="E6474" s="626"/>
      <c r="F6474" s="626"/>
    </row>
    <row r="6475" spans="1:6">
      <c r="A6475" t="str">
        <f t="shared" si="101"/>
        <v/>
      </c>
      <c r="E6475" s="626"/>
      <c r="F6475" s="626"/>
    </row>
    <row r="6476" spans="1:6">
      <c r="A6476" t="str">
        <f t="shared" si="101"/>
        <v/>
      </c>
      <c r="E6476" s="626"/>
      <c r="F6476" s="626"/>
    </row>
    <row r="6477" spans="1:6">
      <c r="A6477" t="str">
        <f t="shared" si="101"/>
        <v/>
      </c>
      <c r="E6477" s="626"/>
      <c r="F6477" s="626"/>
    </row>
    <row r="6478" spans="1:6">
      <c r="A6478" t="str">
        <f t="shared" si="101"/>
        <v/>
      </c>
      <c r="E6478" s="626"/>
      <c r="F6478" s="626"/>
    </row>
    <row r="6479" spans="1:6">
      <c r="A6479" t="str">
        <f t="shared" si="101"/>
        <v/>
      </c>
      <c r="E6479" s="626"/>
      <c r="F6479" s="626"/>
    </row>
    <row r="6480" spans="1:6">
      <c r="A6480" t="str">
        <f t="shared" si="101"/>
        <v/>
      </c>
      <c r="E6480" s="626"/>
      <c r="F6480" s="626"/>
    </row>
    <row r="6481" spans="1:6">
      <c r="A6481" t="str">
        <f t="shared" si="101"/>
        <v/>
      </c>
      <c r="E6481" s="626"/>
      <c r="F6481" s="626"/>
    </row>
    <row r="6482" spans="1:6">
      <c r="A6482" t="str">
        <f t="shared" si="101"/>
        <v/>
      </c>
      <c r="E6482" s="626"/>
      <c r="F6482" s="626"/>
    </row>
    <row r="6483" spans="1:6">
      <c r="A6483" t="str">
        <f t="shared" si="101"/>
        <v/>
      </c>
      <c r="E6483" s="626"/>
      <c r="F6483" s="626"/>
    </row>
    <row r="6484" spans="1:6">
      <c r="A6484" t="str">
        <f t="shared" si="101"/>
        <v/>
      </c>
      <c r="E6484" s="626"/>
      <c r="F6484" s="626"/>
    </row>
    <row r="6485" spans="1:6">
      <c r="A6485" t="str">
        <f t="shared" si="101"/>
        <v/>
      </c>
      <c r="E6485" s="626"/>
      <c r="F6485" s="626"/>
    </row>
    <row r="6486" spans="1:6">
      <c r="A6486" t="str">
        <f t="shared" si="101"/>
        <v/>
      </c>
      <c r="E6486" s="626"/>
      <c r="F6486" s="626"/>
    </row>
    <row r="6487" spans="1:6">
      <c r="A6487" t="str">
        <f t="shared" si="101"/>
        <v/>
      </c>
      <c r="E6487" s="626"/>
      <c r="F6487" s="626"/>
    </row>
    <row r="6488" spans="1:6">
      <c r="A6488" t="str">
        <f t="shared" si="101"/>
        <v/>
      </c>
      <c r="E6488" s="626"/>
      <c r="F6488" s="626"/>
    </row>
    <row r="6489" spans="1:6">
      <c r="A6489" t="str">
        <f t="shared" si="101"/>
        <v/>
      </c>
      <c r="E6489" s="626"/>
      <c r="F6489" s="626"/>
    </row>
    <row r="6490" spans="1:6">
      <c r="A6490" t="str">
        <f t="shared" si="101"/>
        <v/>
      </c>
      <c r="E6490" s="626"/>
      <c r="F6490" s="626"/>
    </row>
    <row r="6491" spans="1:6">
      <c r="A6491" t="str">
        <f t="shared" si="101"/>
        <v/>
      </c>
      <c r="E6491" s="626"/>
      <c r="F6491" s="626"/>
    </row>
    <row r="6492" spans="1:6">
      <c r="A6492" t="str">
        <f t="shared" si="101"/>
        <v/>
      </c>
      <c r="E6492" s="626"/>
      <c r="F6492" s="626"/>
    </row>
    <row r="6493" spans="1:6">
      <c r="A6493" t="str">
        <f t="shared" si="101"/>
        <v/>
      </c>
      <c r="E6493" s="626"/>
      <c r="F6493" s="626"/>
    </row>
    <row r="6494" spans="1:6">
      <c r="A6494" t="str">
        <f t="shared" si="101"/>
        <v/>
      </c>
      <c r="E6494" s="626"/>
      <c r="F6494" s="626"/>
    </row>
    <row r="6495" spans="1:6">
      <c r="A6495" t="str">
        <f t="shared" si="101"/>
        <v/>
      </c>
      <c r="E6495" s="626"/>
      <c r="F6495" s="626"/>
    </row>
    <row r="6496" spans="1:6">
      <c r="A6496" t="str">
        <f t="shared" si="101"/>
        <v/>
      </c>
      <c r="E6496" s="626"/>
      <c r="F6496" s="626"/>
    </row>
    <row r="6497" spans="1:6">
      <c r="A6497" t="str">
        <f t="shared" si="101"/>
        <v/>
      </c>
      <c r="E6497" s="626"/>
      <c r="F6497" s="626"/>
    </row>
    <row r="6498" spans="1:6">
      <c r="A6498" t="str">
        <f t="shared" si="101"/>
        <v/>
      </c>
      <c r="E6498" s="626"/>
      <c r="F6498" s="626"/>
    </row>
    <row r="6499" spans="1:6">
      <c r="A6499" t="str">
        <f t="shared" si="101"/>
        <v/>
      </c>
      <c r="E6499" s="626"/>
      <c r="F6499" s="626"/>
    </row>
    <row r="6500" spans="1:6">
      <c r="A6500" t="str">
        <f t="shared" si="101"/>
        <v/>
      </c>
      <c r="E6500" s="626"/>
      <c r="F6500" s="626"/>
    </row>
    <row r="6501" spans="1:6">
      <c r="A6501" t="str">
        <f t="shared" si="101"/>
        <v/>
      </c>
      <c r="E6501" s="626"/>
      <c r="F6501" s="626"/>
    </row>
    <row r="6502" spans="1:6">
      <c r="A6502" t="str">
        <f t="shared" si="101"/>
        <v/>
      </c>
      <c r="E6502" s="626"/>
      <c r="F6502" s="626"/>
    </row>
    <row r="6503" spans="1:6">
      <c r="A6503" t="str">
        <f t="shared" si="101"/>
        <v/>
      </c>
      <c r="E6503" s="626"/>
      <c r="F6503" s="626"/>
    </row>
    <row r="6504" spans="1:6">
      <c r="A6504" t="str">
        <f t="shared" si="101"/>
        <v/>
      </c>
      <c r="E6504" s="626"/>
      <c r="F6504" s="626"/>
    </row>
    <row r="6505" spans="1:6">
      <c r="A6505" t="str">
        <f t="shared" si="101"/>
        <v/>
      </c>
      <c r="E6505" s="626"/>
      <c r="F6505" s="626"/>
    </row>
    <row r="6506" spans="1:6">
      <c r="A6506" t="str">
        <f t="shared" si="101"/>
        <v/>
      </c>
      <c r="E6506" s="626"/>
      <c r="F6506" s="626"/>
    </row>
    <row r="6507" spans="1:6">
      <c r="A6507" t="str">
        <f t="shared" si="101"/>
        <v/>
      </c>
      <c r="E6507" s="626"/>
      <c r="F6507" s="626"/>
    </row>
    <row r="6508" spans="1:6">
      <c r="A6508" t="str">
        <f t="shared" si="101"/>
        <v/>
      </c>
      <c r="E6508" s="626"/>
      <c r="F6508" s="626"/>
    </row>
    <row r="6509" spans="1:6">
      <c r="A6509" t="str">
        <f t="shared" si="101"/>
        <v/>
      </c>
      <c r="E6509" s="626"/>
      <c r="F6509" s="626"/>
    </row>
    <row r="6510" spans="1:6">
      <c r="A6510" t="str">
        <f t="shared" si="101"/>
        <v/>
      </c>
      <c r="E6510" s="626"/>
      <c r="F6510" s="626"/>
    </row>
    <row r="6511" spans="1:6">
      <c r="A6511" t="str">
        <f t="shared" si="101"/>
        <v/>
      </c>
      <c r="E6511" s="626"/>
      <c r="F6511" s="626"/>
    </row>
    <row r="6512" spans="1:6">
      <c r="A6512" t="str">
        <f t="shared" si="101"/>
        <v/>
      </c>
      <c r="E6512" s="626"/>
      <c r="F6512" s="626"/>
    </row>
    <row r="6513" spans="1:6">
      <c r="A6513" t="str">
        <f t="shared" si="101"/>
        <v/>
      </c>
      <c r="E6513" s="626"/>
      <c r="F6513" s="626"/>
    </row>
    <row r="6514" spans="1:6">
      <c r="A6514" t="str">
        <f t="shared" si="101"/>
        <v/>
      </c>
      <c r="E6514" s="626"/>
      <c r="F6514" s="626"/>
    </row>
    <row r="6515" spans="1:6">
      <c r="A6515" t="str">
        <f t="shared" si="101"/>
        <v/>
      </c>
      <c r="E6515" s="626"/>
      <c r="F6515" s="626"/>
    </row>
    <row r="6516" spans="1:6">
      <c r="A6516" t="str">
        <f t="shared" si="101"/>
        <v/>
      </c>
      <c r="E6516" s="626"/>
      <c r="F6516" s="626"/>
    </row>
    <row r="6517" spans="1:6">
      <c r="A6517" t="str">
        <f t="shared" si="101"/>
        <v/>
      </c>
      <c r="E6517" s="626"/>
      <c r="F6517" s="626"/>
    </row>
    <row r="6518" spans="1:6">
      <c r="A6518" t="str">
        <f t="shared" si="101"/>
        <v/>
      </c>
      <c r="E6518" s="626"/>
      <c r="F6518" s="626"/>
    </row>
    <row r="6519" spans="1:6">
      <c r="A6519" t="str">
        <f t="shared" si="101"/>
        <v/>
      </c>
      <c r="E6519" s="626"/>
      <c r="F6519" s="626"/>
    </row>
    <row r="6520" spans="1:6">
      <c r="A6520" t="str">
        <f t="shared" si="101"/>
        <v/>
      </c>
      <c r="E6520" s="626"/>
      <c r="F6520" s="626"/>
    </row>
    <row r="6521" spans="1:6">
      <c r="A6521" t="str">
        <f t="shared" si="101"/>
        <v/>
      </c>
      <c r="E6521" s="626"/>
      <c r="F6521" s="626"/>
    </row>
    <row r="6522" spans="1:6">
      <c r="A6522" t="str">
        <f t="shared" si="101"/>
        <v/>
      </c>
      <c r="E6522" s="626"/>
      <c r="F6522" s="626"/>
    </row>
    <row r="6523" spans="1:6">
      <c r="A6523" t="str">
        <f t="shared" si="101"/>
        <v/>
      </c>
      <c r="E6523" s="626"/>
      <c r="F6523" s="626"/>
    </row>
    <row r="6524" spans="1:6">
      <c r="A6524" t="str">
        <f t="shared" si="101"/>
        <v/>
      </c>
      <c r="E6524" s="626"/>
      <c r="F6524" s="626"/>
    </row>
    <row r="6525" spans="1:6">
      <c r="A6525" t="str">
        <f t="shared" si="101"/>
        <v/>
      </c>
      <c r="E6525" s="626"/>
      <c r="F6525" s="626"/>
    </row>
    <row r="6526" spans="1:6">
      <c r="A6526" t="str">
        <f t="shared" si="101"/>
        <v/>
      </c>
      <c r="E6526" s="626"/>
      <c r="F6526" s="626"/>
    </row>
    <row r="6527" spans="1:6">
      <c r="A6527" t="str">
        <f t="shared" si="101"/>
        <v/>
      </c>
      <c r="E6527" s="626"/>
      <c r="F6527" s="626"/>
    </row>
    <row r="6528" spans="1:6">
      <c r="A6528" t="str">
        <f t="shared" si="101"/>
        <v/>
      </c>
      <c r="E6528" s="626"/>
      <c r="F6528" s="626"/>
    </row>
    <row r="6529" spans="1:6">
      <c r="A6529" t="str">
        <f t="shared" si="101"/>
        <v/>
      </c>
      <c r="E6529" s="626"/>
      <c r="F6529" s="626"/>
    </row>
    <row r="6530" spans="1:6">
      <c r="A6530" t="str">
        <f t="shared" ref="A6530:A6593" si="102">B6530&amp;E6530&amp;J6530</f>
        <v/>
      </c>
      <c r="E6530" s="626"/>
      <c r="F6530" s="626"/>
    </row>
    <row r="6531" spans="1:6">
      <c r="A6531" t="str">
        <f t="shared" si="102"/>
        <v/>
      </c>
      <c r="E6531" s="626"/>
      <c r="F6531" s="626"/>
    </row>
    <row r="6532" spans="1:6">
      <c r="A6532" t="str">
        <f t="shared" si="102"/>
        <v/>
      </c>
      <c r="E6532" s="626"/>
      <c r="F6532" s="626"/>
    </row>
    <row r="6533" spans="1:6">
      <c r="A6533" t="str">
        <f t="shared" si="102"/>
        <v/>
      </c>
      <c r="E6533" s="626"/>
      <c r="F6533" s="626"/>
    </row>
    <row r="6534" spans="1:6">
      <c r="A6534" t="str">
        <f t="shared" si="102"/>
        <v/>
      </c>
      <c r="E6534" s="626"/>
      <c r="F6534" s="626"/>
    </row>
    <row r="6535" spans="1:6">
      <c r="A6535" t="str">
        <f t="shared" si="102"/>
        <v/>
      </c>
      <c r="E6535" s="626"/>
      <c r="F6535" s="626"/>
    </row>
    <row r="6536" spans="1:6">
      <c r="A6536" t="str">
        <f t="shared" si="102"/>
        <v/>
      </c>
      <c r="E6536" s="626"/>
      <c r="F6536" s="626"/>
    </row>
    <row r="6537" spans="1:6">
      <c r="A6537" t="str">
        <f t="shared" si="102"/>
        <v/>
      </c>
      <c r="E6537" s="626"/>
      <c r="F6537" s="626"/>
    </row>
    <row r="6538" spans="1:6">
      <c r="A6538" t="str">
        <f t="shared" si="102"/>
        <v/>
      </c>
      <c r="E6538" s="626"/>
      <c r="F6538" s="626"/>
    </row>
    <row r="6539" spans="1:6">
      <c r="A6539" t="str">
        <f t="shared" si="102"/>
        <v/>
      </c>
      <c r="E6539" s="626"/>
      <c r="F6539" s="626"/>
    </row>
    <row r="6540" spans="1:6">
      <c r="A6540" t="str">
        <f t="shared" si="102"/>
        <v/>
      </c>
      <c r="E6540" s="626"/>
      <c r="F6540" s="626"/>
    </row>
    <row r="6541" spans="1:6">
      <c r="A6541" t="str">
        <f t="shared" si="102"/>
        <v/>
      </c>
      <c r="E6541" s="626"/>
      <c r="F6541" s="626"/>
    </row>
    <row r="6542" spans="1:6">
      <c r="A6542" t="str">
        <f t="shared" si="102"/>
        <v/>
      </c>
      <c r="E6542" s="626"/>
      <c r="F6542" s="626"/>
    </row>
    <row r="6543" spans="1:6">
      <c r="A6543" t="str">
        <f t="shared" si="102"/>
        <v/>
      </c>
      <c r="E6543" s="626"/>
      <c r="F6543" s="626"/>
    </row>
    <row r="6544" spans="1:6">
      <c r="A6544" t="str">
        <f t="shared" si="102"/>
        <v/>
      </c>
      <c r="E6544" s="626"/>
      <c r="F6544" s="626"/>
    </row>
    <row r="6545" spans="1:6">
      <c r="A6545" t="str">
        <f t="shared" si="102"/>
        <v/>
      </c>
      <c r="E6545" s="626"/>
      <c r="F6545" s="626"/>
    </row>
    <row r="6546" spans="1:6">
      <c r="A6546" t="str">
        <f t="shared" si="102"/>
        <v/>
      </c>
      <c r="E6546" s="626"/>
      <c r="F6546" s="626"/>
    </row>
    <row r="6547" spans="1:6">
      <c r="A6547" t="str">
        <f t="shared" si="102"/>
        <v/>
      </c>
      <c r="E6547" s="626"/>
      <c r="F6547" s="626"/>
    </row>
    <row r="6548" spans="1:6">
      <c r="A6548" t="str">
        <f t="shared" si="102"/>
        <v/>
      </c>
      <c r="E6548" s="626"/>
      <c r="F6548" s="626"/>
    </row>
    <row r="6549" spans="1:6">
      <c r="A6549" t="str">
        <f t="shared" si="102"/>
        <v/>
      </c>
      <c r="E6549" s="626"/>
      <c r="F6549" s="626"/>
    </row>
    <row r="6550" spans="1:6">
      <c r="A6550" t="str">
        <f t="shared" si="102"/>
        <v/>
      </c>
      <c r="E6550" s="626"/>
      <c r="F6550" s="626"/>
    </row>
    <row r="6551" spans="1:6">
      <c r="A6551" t="str">
        <f t="shared" si="102"/>
        <v/>
      </c>
      <c r="E6551" s="626"/>
      <c r="F6551" s="626"/>
    </row>
    <row r="6552" spans="1:6">
      <c r="A6552" t="str">
        <f t="shared" si="102"/>
        <v/>
      </c>
      <c r="E6552" s="626"/>
      <c r="F6552" s="626"/>
    </row>
    <row r="6553" spans="1:6">
      <c r="A6553" t="str">
        <f t="shared" si="102"/>
        <v/>
      </c>
      <c r="E6553" s="626"/>
      <c r="F6553" s="626"/>
    </row>
    <row r="6554" spans="1:6">
      <c r="A6554" t="str">
        <f t="shared" si="102"/>
        <v/>
      </c>
      <c r="E6554" s="626"/>
      <c r="F6554" s="626"/>
    </row>
    <row r="6555" spans="1:6">
      <c r="A6555" t="str">
        <f t="shared" si="102"/>
        <v/>
      </c>
      <c r="E6555" s="626"/>
      <c r="F6555" s="626"/>
    </row>
    <row r="6556" spans="1:6">
      <c r="A6556" t="str">
        <f t="shared" si="102"/>
        <v/>
      </c>
      <c r="E6556" s="626"/>
      <c r="F6556" s="626"/>
    </row>
    <row r="6557" spans="1:6">
      <c r="A6557" t="str">
        <f t="shared" si="102"/>
        <v/>
      </c>
      <c r="E6557" s="626"/>
      <c r="F6557" s="626"/>
    </row>
    <row r="6558" spans="1:6">
      <c r="A6558" t="str">
        <f t="shared" si="102"/>
        <v/>
      </c>
      <c r="E6558" s="626"/>
      <c r="F6558" s="626"/>
    </row>
    <row r="6559" spans="1:6">
      <c r="A6559" t="str">
        <f t="shared" si="102"/>
        <v/>
      </c>
      <c r="E6559" s="626"/>
      <c r="F6559" s="626"/>
    </row>
    <row r="6560" spans="1:6">
      <c r="A6560" t="str">
        <f t="shared" si="102"/>
        <v/>
      </c>
      <c r="E6560" s="626"/>
      <c r="F6560" s="626"/>
    </row>
    <row r="6561" spans="1:6">
      <c r="A6561" t="str">
        <f t="shared" si="102"/>
        <v/>
      </c>
      <c r="E6561" s="626"/>
      <c r="F6561" s="626"/>
    </row>
    <row r="6562" spans="1:6">
      <c r="A6562" t="str">
        <f t="shared" si="102"/>
        <v/>
      </c>
      <c r="E6562" s="626"/>
      <c r="F6562" s="626"/>
    </row>
    <row r="6563" spans="1:6">
      <c r="A6563" t="str">
        <f t="shared" si="102"/>
        <v/>
      </c>
      <c r="E6563" s="626"/>
      <c r="F6563" s="626"/>
    </row>
    <row r="6564" spans="1:6">
      <c r="A6564" t="str">
        <f t="shared" si="102"/>
        <v/>
      </c>
      <c r="E6564" s="626"/>
      <c r="F6564" s="626"/>
    </row>
    <row r="6565" spans="1:6">
      <c r="A6565" t="str">
        <f t="shared" si="102"/>
        <v/>
      </c>
      <c r="E6565" s="626"/>
      <c r="F6565" s="626"/>
    </row>
    <row r="6566" spans="1:6">
      <c r="A6566" t="str">
        <f t="shared" si="102"/>
        <v/>
      </c>
      <c r="E6566" s="626"/>
      <c r="F6566" s="626"/>
    </row>
    <row r="6567" spans="1:6">
      <c r="A6567" t="str">
        <f t="shared" si="102"/>
        <v/>
      </c>
      <c r="E6567" s="626"/>
      <c r="F6567" s="626"/>
    </row>
    <row r="6568" spans="1:6">
      <c r="A6568" t="str">
        <f t="shared" si="102"/>
        <v/>
      </c>
      <c r="E6568" s="626"/>
      <c r="F6568" s="626"/>
    </row>
    <row r="6569" spans="1:6">
      <c r="A6569" t="str">
        <f t="shared" si="102"/>
        <v/>
      </c>
      <c r="E6569" s="626"/>
      <c r="F6569" s="626"/>
    </row>
    <row r="6570" spans="1:6">
      <c r="A6570" t="str">
        <f t="shared" si="102"/>
        <v/>
      </c>
      <c r="E6570" s="626"/>
      <c r="F6570" s="626"/>
    </row>
    <row r="6571" spans="1:6">
      <c r="A6571" t="str">
        <f t="shared" si="102"/>
        <v/>
      </c>
      <c r="E6571" s="626"/>
      <c r="F6571" s="626"/>
    </row>
    <row r="6572" spans="1:6">
      <c r="A6572" t="str">
        <f t="shared" si="102"/>
        <v/>
      </c>
      <c r="E6572" s="626"/>
      <c r="F6572" s="626"/>
    </row>
    <row r="6573" spans="1:6">
      <c r="A6573" t="str">
        <f t="shared" si="102"/>
        <v/>
      </c>
      <c r="E6573" s="626"/>
      <c r="F6573" s="626"/>
    </row>
    <row r="6574" spans="1:6">
      <c r="A6574" t="str">
        <f t="shared" si="102"/>
        <v/>
      </c>
      <c r="E6574" s="626"/>
      <c r="F6574" s="626"/>
    </row>
    <row r="6575" spans="1:6">
      <c r="A6575" t="str">
        <f t="shared" si="102"/>
        <v/>
      </c>
      <c r="E6575" s="626"/>
      <c r="F6575" s="626"/>
    </row>
    <row r="6576" spans="1:6">
      <c r="A6576" t="str">
        <f t="shared" si="102"/>
        <v/>
      </c>
      <c r="E6576" s="626"/>
      <c r="F6576" s="626"/>
    </row>
    <row r="6577" spans="1:6">
      <c r="A6577" t="str">
        <f t="shared" si="102"/>
        <v/>
      </c>
      <c r="E6577" s="626"/>
      <c r="F6577" s="626"/>
    </row>
    <row r="6578" spans="1:6">
      <c r="A6578" t="str">
        <f t="shared" si="102"/>
        <v/>
      </c>
      <c r="E6578" s="626"/>
      <c r="F6578" s="626"/>
    </row>
    <row r="6579" spans="1:6">
      <c r="A6579" t="str">
        <f t="shared" si="102"/>
        <v/>
      </c>
      <c r="E6579" s="626"/>
      <c r="F6579" s="626"/>
    </row>
    <row r="6580" spans="1:6">
      <c r="A6580" t="str">
        <f t="shared" si="102"/>
        <v/>
      </c>
      <c r="E6580" s="626"/>
      <c r="F6580" s="626"/>
    </row>
    <row r="6581" spans="1:6">
      <c r="A6581" t="str">
        <f t="shared" si="102"/>
        <v/>
      </c>
      <c r="E6581" s="626"/>
      <c r="F6581" s="626"/>
    </row>
    <row r="6582" spans="1:6">
      <c r="A6582" t="str">
        <f t="shared" si="102"/>
        <v/>
      </c>
      <c r="E6582" s="626"/>
      <c r="F6582" s="626"/>
    </row>
    <row r="6583" spans="1:6">
      <c r="A6583" t="str">
        <f t="shared" si="102"/>
        <v/>
      </c>
      <c r="E6583" s="626"/>
      <c r="F6583" s="626"/>
    </row>
    <row r="6584" spans="1:6">
      <c r="A6584" t="str">
        <f t="shared" si="102"/>
        <v/>
      </c>
      <c r="E6584" s="626"/>
      <c r="F6584" s="626"/>
    </row>
    <row r="6585" spans="1:6">
      <c r="A6585" t="str">
        <f t="shared" si="102"/>
        <v/>
      </c>
      <c r="E6585" s="626"/>
      <c r="F6585" s="626"/>
    </row>
    <row r="6586" spans="1:6">
      <c r="A6586" t="str">
        <f t="shared" si="102"/>
        <v/>
      </c>
      <c r="E6586" s="626"/>
      <c r="F6586" s="626"/>
    </row>
    <row r="6587" spans="1:6">
      <c r="A6587" t="str">
        <f t="shared" si="102"/>
        <v/>
      </c>
      <c r="E6587" s="626"/>
      <c r="F6587" s="626"/>
    </row>
    <row r="6588" spans="1:6">
      <c r="A6588" t="str">
        <f t="shared" si="102"/>
        <v/>
      </c>
      <c r="E6588" s="626"/>
      <c r="F6588" s="626"/>
    </row>
    <row r="6589" spans="1:6">
      <c r="A6589" t="str">
        <f t="shared" si="102"/>
        <v/>
      </c>
      <c r="E6589" s="626"/>
      <c r="F6589" s="626"/>
    </row>
    <row r="6590" spans="1:6">
      <c r="A6590" t="str">
        <f t="shared" si="102"/>
        <v/>
      </c>
      <c r="E6590" s="626"/>
      <c r="F6590" s="626"/>
    </row>
    <row r="6591" spans="1:6">
      <c r="A6591" t="str">
        <f t="shared" si="102"/>
        <v/>
      </c>
      <c r="E6591" s="626"/>
      <c r="F6591" s="626"/>
    </row>
    <row r="6592" spans="1:6">
      <c r="A6592" t="str">
        <f t="shared" si="102"/>
        <v/>
      </c>
      <c r="E6592" s="626"/>
      <c r="F6592" s="626"/>
    </row>
    <row r="6593" spans="1:6">
      <c r="A6593" t="str">
        <f t="shared" si="102"/>
        <v/>
      </c>
      <c r="E6593" s="626"/>
      <c r="F6593" s="626"/>
    </row>
    <row r="6594" spans="1:6">
      <c r="A6594" t="str">
        <f t="shared" ref="A6594:A6657" si="103">B6594&amp;E6594&amp;J6594</f>
        <v/>
      </c>
      <c r="E6594" s="626"/>
      <c r="F6594" s="626"/>
    </row>
    <row r="6595" spans="1:6">
      <c r="A6595" t="str">
        <f t="shared" si="103"/>
        <v/>
      </c>
      <c r="E6595" s="626"/>
      <c r="F6595" s="626"/>
    </row>
    <row r="6596" spans="1:6">
      <c r="A6596" t="str">
        <f t="shared" si="103"/>
        <v/>
      </c>
      <c r="E6596" s="626"/>
      <c r="F6596" s="626"/>
    </row>
    <row r="6597" spans="1:6">
      <c r="A6597" t="str">
        <f t="shared" si="103"/>
        <v/>
      </c>
      <c r="E6597" s="626"/>
      <c r="F6597" s="626"/>
    </row>
    <row r="6598" spans="1:6">
      <c r="A6598" t="str">
        <f t="shared" si="103"/>
        <v/>
      </c>
      <c r="E6598" s="626"/>
      <c r="F6598" s="626"/>
    </row>
    <row r="6599" spans="1:6">
      <c r="A6599" t="str">
        <f t="shared" si="103"/>
        <v/>
      </c>
      <c r="E6599" s="626"/>
      <c r="F6599" s="626"/>
    </row>
    <row r="6600" spans="1:6">
      <c r="A6600" t="str">
        <f t="shared" si="103"/>
        <v/>
      </c>
      <c r="E6600" s="626"/>
      <c r="F6600" s="626"/>
    </row>
    <row r="6601" spans="1:6">
      <c r="A6601" t="str">
        <f t="shared" si="103"/>
        <v/>
      </c>
      <c r="E6601" s="626"/>
      <c r="F6601" s="626"/>
    </row>
    <row r="6602" spans="1:6">
      <c r="A6602" t="str">
        <f t="shared" si="103"/>
        <v/>
      </c>
      <c r="E6602" s="626"/>
      <c r="F6602" s="626"/>
    </row>
    <row r="6603" spans="1:6">
      <c r="A6603" t="str">
        <f t="shared" si="103"/>
        <v/>
      </c>
      <c r="E6603" s="626"/>
      <c r="F6603" s="626"/>
    </row>
    <row r="6604" spans="1:6">
      <c r="A6604" t="str">
        <f t="shared" si="103"/>
        <v/>
      </c>
      <c r="E6604" s="626"/>
      <c r="F6604" s="626"/>
    </row>
    <row r="6605" spans="1:6">
      <c r="A6605" t="str">
        <f t="shared" si="103"/>
        <v/>
      </c>
      <c r="E6605" s="626"/>
      <c r="F6605" s="626"/>
    </row>
    <row r="6606" spans="1:6">
      <c r="A6606" t="str">
        <f t="shared" si="103"/>
        <v/>
      </c>
      <c r="E6606" s="626"/>
      <c r="F6606" s="626"/>
    </row>
    <row r="6607" spans="1:6">
      <c r="A6607" t="str">
        <f t="shared" si="103"/>
        <v/>
      </c>
      <c r="E6607" s="626"/>
      <c r="F6607" s="626"/>
    </row>
    <row r="6608" spans="1:6">
      <c r="A6608" t="str">
        <f t="shared" si="103"/>
        <v/>
      </c>
      <c r="E6608" s="626"/>
      <c r="F6608" s="626"/>
    </row>
    <row r="6609" spans="1:6">
      <c r="A6609" t="str">
        <f t="shared" si="103"/>
        <v/>
      </c>
      <c r="E6609" s="626"/>
      <c r="F6609" s="626"/>
    </row>
    <row r="6610" spans="1:6">
      <c r="A6610" t="str">
        <f t="shared" si="103"/>
        <v/>
      </c>
      <c r="E6610" s="626"/>
      <c r="F6610" s="626"/>
    </row>
    <row r="6611" spans="1:6">
      <c r="A6611" t="str">
        <f t="shared" si="103"/>
        <v/>
      </c>
      <c r="E6611" s="626"/>
      <c r="F6611" s="626"/>
    </row>
    <row r="6612" spans="1:6">
      <c r="A6612" t="str">
        <f t="shared" si="103"/>
        <v/>
      </c>
      <c r="E6612" s="626"/>
      <c r="F6612" s="626"/>
    </row>
    <row r="6613" spans="1:6">
      <c r="A6613" t="str">
        <f t="shared" si="103"/>
        <v/>
      </c>
      <c r="E6613" s="626"/>
      <c r="F6613" s="626"/>
    </row>
    <row r="6614" spans="1:6">
      <c r="A6614" t="str">
        <f t="shared" si="103"/>
        <v/>
      </c>
      <c r="E6614" s="626"/>
      <c r="F6614" s="626"/>
    </row>
    <row r="6615" spans="1:6">
      <c r="A6615" t="str">
        <f t="shared" si="103"/>
        <v/>
      </c>
      <c r="E6615" s="626"/>
      <c r="F6615" s="626"/>
    </row>
    <row r="6616" spans="1:6">
      <c r="A6616" t="str">
        <f t="shared" si="103"/>
        <v/>
      </c>
      <c r="E6616" s="626"/>
      <c r="F6616" s="626"/>
    </row>
    <row r="6617" spans="1:6">
      <c r="A6617" t="str">
        <f t="shared" si="103"/>
        <v/>
      </c>
      <c r="E6617" s="626"/>
      <c r="F6617" s="626"/>
    </row>
    <row r="6618" spans="1:6">
      <c r="A6618" t="str">
        <f t="shared" si="103"/>
        <v/>
      </c>
      <c r="E6618" s="626"/>
      <c r="F6618" s="626"/>
    </row>
    <row r="6619" spans="1:6">
      <c r="A6619" t="str">
        <f t="shared" si="103"/>
        <v/>
      </c>
      <c r="E6619" s="626"/>
      <c r="F6619" s="626"/>
    </row>
    <row r="6620" spans="1:6">
      <c r="A6620" t="str">
        <f t="shared" si="103"/>
        <v/>
      </c>
      <c r="E6620" s="626"/>
      <c r="F6620" s="626"/>
    </row>
    <row r="6621" spans="1:6">
      <c r="A6621" t="str">
        <f t="shared" si="103"/>
        <v/>
      </c>
      <c r="E6621" s="626"/>
      <c r="F6621" s="626"/>
    </row>
    <row r="6622" spans="1:6">
      <c r="A6622" t="str">
        <f t="shared" si="103"/>
        <v/>
      </c>
      <c r="E6622" s="626"/>
      <c r="F6622" s="626"/>
    </row>
    <row r="6623" spans="1:6">
      <c r="A6623" t="str">
        <f t="shared" si="103"/>
        <v/>
      </c>
      <c r="E6623" s="626"/>
      <c r="F6623" s="626"/>
    </row>
    <row r="6624" spans="1:6">
      <c r="A6624" t="str">
        <f t="shared" si="103"/>
        <v/>
      </c>
      <c r="E6624" s="626"/>
      <c r="F6624" s="626"/>
    </row>
    <row r="6625" spans="1:6">
      <c r="A6625" t="str">
        <f t="shared" si="103"/>
        <v/>
      </c>
      <c r="E6625" s="626"/>
      <c r="F6625" s="626"/>
    </row>
    <row r="6626" spans="1:6">
      <c r="A6626" t="str">
        <f t="shared" si="103"/>
        <v/>
      </c>
      <c r="E6626" s="626"/>
      <c r="F6626" s="626"/>
    </row>
    <row r="6627" spans="1:6">
      <c r="A6627" t="str">
        <f t="shared" si="103"/>
        <v/>
      </c>
      <c r="E6627" s="626"/>
      <c r="F6627" s="626"/>
    </row>
    <row r="6628" spans="1:6">
      <c r="A6628" t="str">
        <f t="shared" si="103"/>
        <v/>
      </c>
      <c r="E6628" s="626"/>
      <c r="F6628" s="626"/>
    </row>
    <row r="6629" spans="1:6">
      <c r="A6629" t="str">
        <f t="shared" si="103"/>
        <v/>
      </c>
      <c r="E6629" s="626"/>
      <c r="F6629" s="626"/>
    </row>
    <row r="6630" spans="1:6">
      <c r="A6630" t="str">
        <f t="shared" si="103"/>
        <v/>
      </c>
      <c r="E6630" s="626"/>
      <c r="F6630" s="626"/>
    </row>
    <row r="6631" spans="1:6">
      <c r="A6631" t="str">
        <f t="shared" si="103"/>
        <v/>
      </c>
      <c r="E6631" s="626"/>
      <c r="F6631" s="626"/>
    </row>
    <row r="6632" spans="1:6">
      <c r="A6632" t="str">
        <f t="shared" si="103"/>
        <v/>
      </c>
      <c r="E6632" s="626"/>
      <c r="F6632" s="626"/>
    </row>
    <row r="6633" spans="1:6">
      <c r="A6633" t="str">
        <f t="shared" si="103"/>
        <v/>
      </c>
      <c r="E6633" s="626"/>
      <c r="F6633" s="626"/>
    </row>
    <row r="6634" spans="1:6">
      <c r="A6634" t="str">
        <f t="shared" si="103"/>
        <v/>
      </c>
      <c r="E6634" s="626"/>
      <c r="F6634" s="626"/>
    </row>
    <row r="6635" spans="1:6">
      <c r="A6635" t="str">
        <f t="shared" si="103"/>
        <v/>
      </c>
      <c r="E6635" s="626"/>
      <c r="F6635" s="626"/>
    </row>
    <row r="6636" spans="1:6">
      <c r="A6636" t="str">
        <f t="shared" si="103"/>
        <v/>
      </c>
      <c r="E6636" s="626"/>
      <c r="F6636" s="626"/>
    </row>
    <row r="6637" spans="1:6">
      <c r="A6637" t="str">
        <f t="shared" si="103"/>
        <v/>
      </c>
      <c r="E6637" s="626"/>
      <c r="F6637" s="626"/>
    </row>
    <row r="6638" spans="1:6">
      <c r="A6638" t="str">
        <f t="shared" si="103"/>
        <v/>
      </c>
      <c r="E6638" s="626"/>
      <c r="F6638" s="626"/>
    </row>
    <row r="6639" spans="1:6">
      <c r="A6639" t="str">
        <f t="shared" si="103"/>
        <v/>
      </c>
      <c r="E6639" s="626"/>
      <c r="F6639" s="626"/>
    </row>
    <row r="6640" spans="1:6">
      <c r="A6640" t="str">
        <f t="shared" si="103"/>
        <v/>
      </c>
      <c r="E6640" s="626"/>
      <c r="F6640" s="626"/>
    </row>
    <row r="6641" spans="1:6">
      <c r="A6641" t="str">
        <f t="shared" si="103"/>
        <v/>
      </c>
      <c r="E6641" s="626"/>
      <c r="F6641" s="626"/>
    </row>
    <row r="6642" spans="1:6">
      <c r="A6642" t="str">
        <f t="shared" si="103"/>
        <v/>
      </c>
      <c r="E6642" s="626"/>
      <c r="F6642" s="626"/>
    </row>
    <row r="6643" spans="1:6">
      <c r="A6643" t="str">
        <f t="shared" si="103"/>
        <v/>
      </c>
      <c r="E6643" s="626"/>
      <c r="F6643" s="626"/>
    </row>
    <row r="6644" spans="1:6">
      <c r="A6644" t="str">
        <f t="shared" si="103"/>
        <v/>
      </c>
      <c r="E6644" s="626"/>
      <c r="F6644" s="626"/>
    </row>
    <row r="6645" spans="1:6">
      <c r="A6645" t="str">
        <f t="shared" si="103"/>
        <v/>
      </c>
      <c r="E6645" s="626"/>
      <c r="F6645" s="626"/>
    </row>
    <row r="6646" spans="1:6">
      <c r="A6646" t="str">
        <f t="shared" si="103"/>
        <v/>
      </c>
      <c r="E6646" s="626"/>
      <c r="F6646" s="626"/>
    </row>
    <row r="6647" spans="1:6">
      <c r="A6647" t="str">
        <f t="shared" si="103"/>
        <v/>
      </c>
      <c r="E6647" s="626"/>
      <c r="F6647" s="626"/>
    </row>
    <row r="6648" spans="1:6">
      <c r="A6648" t="str">
        <f t="shared" si="103"/>
        <v/>
      </c>
      <c r="E6648" s="626"/>
      <c r="F6648" s="626"/>
    </row>
    <row r="6649" spans="1:6">
      <c r="A6649" t="str">
        <f t="shared" si="103"/>
        <v/>
      </c>
      <c r="E6649" s="626"/>
      <c r="F6649" s="626"/>
    </row>
    <row r="6650" spans="1:6">
      <c r="A6650" t="str">
        <f t="shared" si="103"/>
        <v/>
      </c>
      <c r="E6650" s="626"/>
      <c r="F6650" s="626"/>
    </row>
    <row r="6651" spans="1:6">
      <c r="A6651" t="str">
        <f t="shared" si="103"/>
        <v/>
      </c>
      <c r="E6651" s="626"/>
      <c r="F6651" s="626"/>
    </row>
    <row r="6652" spans="1:6">
      <c r="A6652" t="str">
        <f t="shared" si="103"/>
        <v/>
      </c>
      <c r="E6652" s="626"/>
      <c r="F6652" s="626"/>
    </row>
    <row r="6653" spans="1:6">
      <c r="A6653" t="str">
        <f t="shared" si="103"/>
        <v/>
      </c>
      <c r="E6653" s="626"/>
      <c r="F6653" s="626"/>
    </row>
    <row r="6654" spans="1:6">
      <c r="A6654" t="str">
        <f t="shared" si="103"/>
        <v/>
      </c>
      <c r="E6654" s="626"/>
      <c r="F6654" s="626"/>
    </row>
    <row r="6655" spans="1:6">
      <c r="A6655" t="str">
        <f t="shared" si="103"/>
        <v/>
      </c>
      <c r="E6655" s="626"/>
      <c r="F6655" s="626"/>
    </row>
    <row r="6656" spans="1:6">
      <c r="A6656" t="str">
        <f t="shared" si="103"/>
        <v/>
      </c>
      <c r="E6656" s="626"/>
      <c r="F6656" s="626"/>
    </row>
    <row r="6657" spans="1:6">
      <c r="A6657" t="str">
        <f t="shared" si="103"/>
        <v/>
      </c>
      <c r="E6657" s="626"/>
      <c r="F6657" s="626"/>
    </row>
    <row r="6658" spans="1:6">
      <c r="A6658" t="str">
        <f t="shared" ref="A6658:A6721" si="104">B6658&amp;E6658&amp;J6658</f>
        <v/>
      </c>
      <c r="E6658" s="626"/>
      <c r="F6658" s="626"/>
    </row>
    <row r="6659" spans="1:6">
      <c r="A6659" t="str">
        <f t="shared" si="104"/>
        <v/>
      </c>
      <c r="E6659" s="626"/>
      <c r="F6659" s="626"/>
    </row>
    <row r="6660" spans="1:6">
      <c r="A6660" t="str">
        <f t="shared" si="104"/>
        <v/>
      </c>
      <c r="E6660" s="626"/>
      <c r="F6660" s="626"/>
    </row>
    <row r="6661" spans="1:6">
      <c r="A6661" t="str">
        <f t="shared" si="104"/>
        <v/>
      </c>
      <c r="E6661" s="626"/>
      <c r="F6661" s="626"/>
    </row>
    <row r="6662" spans="1:6">
      <c r="A6662" t="str">
        <f t="shared" si="104"/>
        <v/>
      </c>
      <c r="E6662" s="626"/>
      <c r="F6662" s="626"/>
    </row>
    <row r="6663" spans="1:6">
      <c r="A6663" t="str">
        <f t="shared" si="104"/>
        <v/>
      </c>
      <c r="E6663" s="626"/>
      <c r="F6663" s="626"/>
    </row>
    <row r="6664" spans="1:6">
      <c r="A6664" t="str">
        <f t="shared" si="104"/>
        <v/>
      </c>
      <c r="E6664" s="626"/>
      <c r="F6664" s="626"/>
    </row>
    <row r="6665" spans="1:6">
      <c r="A6665" t="str">
        <f t="shared" si="104"/>
        <v/>
      </c>
      <c r="E6665" s="626"/>
      <c r="F6665" s="626"/>
    </row>
    <row r="6666" spans="1:6">
      <c r="A6666" t="str">
        <f t="shared" si="104"/>
        <v/>
      </c>
      <c r="E6666" s="626"/>
      <c r="F6666" s="626"/>
    </row>
    <row r="6667" spans="1:6">
      <c r="A6667" t="str">
        <f t="shared" si="104"/>
        <v/>
      </c>
      <c r="E6667" s="626"/>
      <c r="F6667" s="626"/>
    </row>
    <row r="6668" spans="1:6">
      <c r="A6668" t="str">
        <f t="shared" si="104"/>
        <v/>
      </c>
      <c r="E6668" s="626"/>
      <c r="F6668" s="626"/>
    </row>
    <row r="6669" spans="1:6">
      <c r="A6669" t="str">
        <f t="shared" si="104"/>
        <v/>
      </c>
      <c r="E6669" s="626"/>
      <c r="F6669" s="626"/>
    </row>
    <row r="6670" spans="1:6">
      <c r="A6670" t="str">
        <f t="shared" si="104"/>
        <v/>
      </c>
      <c r="E6670" s="626"/>
      <c r="F6670" s="626"/>
    </row>
    <row r="6671" spans="1:6">
      <c r="A6671" t="str">
        <f t="shared" si="104"/>
        <v/>
      </c>
      <c r="E6671" s="626"/>
      <c r="F6671" s="626"/>
    </row>
    <row r="6672" spans="1:6">
      <c r="A6672" t="str">
        <f t="shared" si="104"/>
        <v/>
      </c>
      <c r="E6672" s="626"/>
      <c r="F6672" s="626"/>
    </row>
    <row r="6673" spans="1:6">
      <c r="A6673" t="str">
        <f t="shared" si="104"/>
        <v/>
      </c>
      <c r="E6673" s="626"/>
      <c r="F6673" s="626"/>
    </row>
    <row r="6674" spans="1:6">
      <c r="A6674" t="str">
        <f t="shared" si="104"/>
        <v/>
      </c>
      <c r="E6674" s="626"/>
      <c r="F6674" s="626"/>
    </row>
    <row r="6675" spans="1:6">
      <c r="A6675" t="str">
        <f t="shared" si="104"/>
        <v/>
      </c>
      <c r="E6675" s="626"/>
      <c r="F6675" s="626"/>
    </row>
    <row r="6676" spans="1:6">
      <c r="A6676" t="str">
        <f t="shared" si="104"/>
        <v/>
      </c>
      <c r="E6676" s="626"/>
      <c r="F6676" s="626"/>
    </row>
    <row r="6677" spans="1:6">
      <c r="A6677" t="str">
        <f t="shared" si="104"/>
        <v/>
      </c>
      <c r="E6677" s="626"/>
      <c r="F6677" s="626"/>
    </row>
    <row r="6678" spans="1:6">
      <c r="A6678" t="str">
        <f t="shared" si="104"/>
        <v/>
      </c>
      <c r="E6678" s="626"/>
      <c r="F6678" s="626"/>
    </row>
    <row r="6679" spans="1:6">
      <c r="A6679" t="str">
        <f t="shared" si="104"/>
        <v/>
      </c>
      <c r="E6679" s="626"/>
      <c r="F6679" s="626"/>
    </row>
    <row r="6680" spans="1:6">
      <c r="A6680" t="str">
        <f t="shared" si="104"/>
        <v/>
      </c>
      <c r="E6680" s="626"/>
      <c r="F6680" s="626"/>
    </row>
    <row r="6681" spans="1:6">
      <c r="A6681" t="str">
        <f t="shared" si="104"/>
        <v/>
      </c>
      <c r="E6681" s="626"/>
      <c r="F6681" s="626"/>
    </row>
    <row r="6682" spans="1:6">
      <c r="A6682" t="str">
        <f t="shared" si="104"/>
        <v/>
      </c>
      <c r="E6682" s="626"/>
      <c r="F6682" s="626"/>
    </row>
    <row r="6683" spans="1:6">
      <c r="A6683" t="str">
        <f t="shared" si="104"/>
        <v/>
      </c>
      <c r="E6683" s="626"/>
      <c r="F6683" s="626"/>
    </row>
    <row r="6684" spans="1:6">
      <c r="A6684" t="str">
        <f t="shared" si="104"/>
        <v/>
      </c>
      <c r="E6684" s="626"/>
      <c r="F6684" s="626"/>
    </row>
    <row r="6685" spans="1:6">
      <c r="A6685" t="str">
        <f t="shared" si="104"/>
        <v/>
      </c>
      <c r="E6685" s="626"/>
      <c r="F6685" s="626"/>
    </row>
    <row r="6686" spans="1:6">
      <c r="A6686" t="str">
        <f t="shared" si="104"/>
        <v/>
      </c>
      <c r="E6686" s="626"/>
      <c r="F6686" s="626"/>
    </row>
    <row r="6687" spans="1:6">
      <c r="A6687" t="str">
        <f t="shared" si="104"/>
        <v/>
      </c>
      <c r="E6687" s="626"/>
      <c r="F6687" s="626"/>
    </row>
    <row r="6688" spans="1:6">
      <c r="A6688" t="str">
        <f t="shared" si="104"/>
        <v/>
      </c>
      <c r="E6688" s="626"/>
      <c r="F6688" s="626"/>
    </row>
    <row r="6689" spans="1:6">
      <c r="A6689" t="str">
        <f t="shared" si="104"/>
        <v/>
      </c>
      <c r="E6689" s="626"/>
      <c r="F6689" s="626"/>
    </row>
    <row r="6690" spans="1:6">
      <c r="A6690" t="str">
        <f t="shared" si="104"/>
        <v/>
      </c>
      <c r="E6690" s="626"/>
      <c r="F6690" s="626"/>
    </row>
    <row r="6691" spans="1:6">
      <c r="A6691" t="str">
        <f t="shared" si="104"/>
        <v/>
      </c>
      <c r="E6691" s="626"/>
      <c r="F6691" s="626"/>
    </row>
    <row r="6692" spans="1:6">
      <c r="A6692" t="str">
        <f t="shared" si="104"/>
        <v/>
      </c>
      <c r="E6692" s="626"/>
      <c r="F6692" s="626"/>
    </row>
    <row r="6693" spans="1:6">
      <c r="A6693" t="str">
        <f t="shared" si="104"/>
        <v/>
      </c>
      <c r="E6693" s="626"/>
      <c r="F6693" s="626"/>
    </row>
    <row r="6694" spans="1:6">
      <c r="A6694" t="str">
        <f t="shared" si="104"/>
        <v/>
      </c>
      <c r="E6694" s="626"/>
      <c r="F6694" s="626"/>
    </row>
    <row r="6695" spans="1:6">
      <c r="A6695" t="str">
        <f t="shared" si="104"/>
        <v/>
      </c>
      <c r="E6695" s="626"/>
      <c r="F6695" s="626"/>
    </row>
    <row r="6696" spans="1:6">
      <c r="A6696" t="str">
        <f t="shared" si="104"/>
        <v/>
      </c>
      <c r="E6696" s="626"/>
      <c r="F6696" s="626"/>
    </row>
    <row r="6697" spans="1:6">
      <c r="A6697" t="str">
        <f t="shared" si="104"/>
        <v/>
      </c>
      <c r="E6697" s="626"/>
      <c r="F6697" s="626"/>
    </row>
    <row r="6698" spans="1:6">
      <c r="A6698" t="str">
        <f t="shared" si="104"/>
        <v/>
      </c>
      <c r="E6698" s="626"/>
      <c r="F6698" s="626"/>
    </row>
    <row r="6699" spans="1:6">
      <c r="A6699" t="str">
        <f t="shared" si="104"/>
        <v/>
      </c>
      <c r="E6699" s="626"/>
      <c r="F6699" s="626"/>
    </row>
    <row r="6700" spans="1:6">
      <c r="A6700" t="str">
        <f t="shared" si="104"/>
        <v/>
      </c>
      <c r="E6700" s="626"/>
      <c r="F6700" s="626"/>
    </row>
    <row r="6701" spans="1:6">
      <c r="A6701" t="str">
        <f t="shared" si="104"/>
        <v/>
      </c>
      <c r="E6701" s="626"/>
      <c r="F6701" s="626"/>
    </row>
    <row r="6702" spans="1:6">
      <c r="A6702" t="str">
        <f t="shared" si="104"/>
        <v/>
      </c>
      <c r="E6702" s="626"/>
      <c r="F6702" s="626"/>
    </row>
    <row r="6703" spans="1:6">
      <c r="A6703" t="str">
        <f t="shared" si="104"/>
        <v/>
      </c>
      <c r="E6703" s="626"/>
      <c r="F6703" s="626"/>
    </row>
    <row r="6704" spans="1:6">
      <c r="A6704" t="str">
        <f t="shared" si="104"/>
        <v/>
      </c>
      <c r="E6704" s="626"/>
      <c r="F6704" s="626"/>
    </row>
    <row r="6705" spans="1:6">
      <c r="A6705" t="str">
        <f t="shared" si="104"/>
        <v/>
      </c>
      <c r="E6705" s="626"/>
      <c r="F6705" s="626"/>
    </row>
    <row r="6706" spans="1:6">
      <c r="A6706" t="str">
        <f t="shared" si="104"/>
        <v/>
      </c>
      <c r="E6706" s="626"/>
      <c r="F6706" s="626"/>
    </row>
    <row r="6707" spans="1:6">
      <c r="A6707" t="str">
        <f t="shared" si="104"/>
        <v/>
      </c>
      <c r="E6707" s="626"/>
      <c r="F6707" s="626"/>
    </row>
    <row r="6708" spans="1:6">
      <c r="A6708" t="str">
        <f t="shared" si="104"/>
        <v/>
      </c>
      <c r="E6708" s="626"/>
      <c r="F6708" s="626"/>
    </row>
    <row r="6709" spans="1:6">
      <c r="A6709" t="str">
        <f t="shared" si="104"/>
        <v/>
      </c>
      <c r="E6709" s="626"/>
      <c r="F6709" s="626"/>
    </row>
    <row r="6710" spans="1:6">
      <c r="A6710" t="str">
        <f t="shared" si="104"/>
        <v/>
      </c>
      <c r="E6710" s="626"/>
      <c r="F6710" s="626"/>
    </row>
    <row r="6711" spans="1:6">
      <c r="A6711" t="str">
        <f t="shared" si="104"/>
        <v/>
      </c>
      <c r="E6711" s="626"/>
      <c r="F6711" s="626"/>
    </row>
    <row r="6712" spans="1:6">
      <c r="A6712" t="str">
        <f t="shared" si="104"/>
        <v/>
      </c>
      <c r="E6712" s="626"/>
      <c r="F6712" s="626"/>
    </row>
    <row r="6713" spans="1:6">
      <c r="A6713" t="str">
        <f t="shared" si="104"/>
        <v/>
      </c>
      <c r="E6713" s="626"/>
      <c r="F6713" s="626"/>
    </row>
    <row r="6714" spans="1:6">
      <c r="A6714" t="str">
        <f t="shared" si="104"/>
        <v/>
      </c>
      <c r="E6714" s="626"/>
      <c r="F6714" s="626"/>
    </row>
    <row r="6715" spans="1:6">
      <c r="A6715" t="str">
        <f t="shared" si="104"/>
        <v/>
      </c>
      <c r="E6715" s="626"/>
      <c r="F6715" s="626"/>
    </row>
    <row r="6716" spans="1:6">
      <c r="A6716" t="str">
        <f t="shared" si="104"/>
        <v/>
      </c>
      <c r="E6716" s="626"/>
      <c r="F6716" s="626"/>
    </row>
    <row r="6717" spans="1:6">
      <c r="A6717" t="str">
        <f t="shared" si="104"/>
        <v/>
      </c>
      <c r="E6717" s="626"/>
      <c r="F6717" s="626"/>
    </row>
    <row r="6718" spans="1:6">
      <c r="A6718" t="str">
        <f t="shared" si="104"/>
        <v/>
      </c>
      <c r="E6718" s="626"/>
      <c r="F6718" s="626"/>
    </row>
    <row r="6719" spans="1:6">
      <c r="A6719" t="str">
        <f t="shared" si="104"/>
        <v/>
      </c>
      <c r="E6719" s="626"/>
      <c r="F6719" s="626"/>
    </row>
    <row r="6720" spans="1:6">
      <c r="A6720" t="str">
        <f t="shared" si="104"/>
        <v/>
      </c>
      <c r="E6720" s="626"/>
      <c r="F6720" s="626"/>
    </row>
    <row r="6721" spans="1:6">
      <c r="A6721" t="str">
        <f t="shared" si="104"/>
        <v/>
      </c>
      <c r="E6721" s="626"/>
      <c r="F6721" s="626"/>
    </row>
    <row r="6722" spans="1:6">
      <c r="A6722" t="str">
        <f t="shared" ref="A6722:A6785" si="105">B6722&amp;E6722&amp;J6722</f>
        <v/>
      </c>
      <c r="E6722" s="626"/>
      <c r="F6722" s="626"/>
    </row>
    <row r="6723" spans="1:6">
      <c r="A6723" t="str">
        <f t="shared" si="105"/>
        <v/>
      </c>
      <c r="E6723" s="626"/>
      <c r="F6723" s="626"/>
    </row>
    <row r="6724" spans="1:6">
      <c r="A6724" t="str">
        <f t="shared" si="105"/>
        <v/>
      </c>
      <c r="E6724" s="626"/>
      <c r="F6724" s="626"/>
    </row>
    <row r="6725" spans="1:6">
      <c r="A6725" t="str">
        <f t="shared" si="105"/>
        <v/>
      </c>
      <c r="E6725" s="626"/>
      <c r="F6725" s="626"/>
    </row>
    <row r="6726" spans="1:6">
      <c r="A6726" t="str">
        <f t="shared" si="105"/>
        <v/>
      </c>
      <c r="E6726" s="626"/>
      <c r="F6726" s="626"/>
    </row>
    <row r="6727" spans="1:6">
      <c r="A6727" t="str">
        <f t="shared" si="105"/>
        <v/>
      </c>
      <c r="E6727" s="626"/>
      <c r="F6727" s="626"/>
    </row>
    <row r="6728" spans="1:6">
      <c r="A6728" t="str">
        <f t="shared" si="105"/>
        <v/>
      </c>
      <c r="E6728" s="626"/>
      <c r="F6728" s="626"/>
    </row>
    <row r="6729" spans="1:6">
      <c r="A6729" t="str">
        <f t="shared" si="105"/>
        <v/>
      </c>
      <c r="E6729" s="626"/>
      <c r="F6729" s="626"/>
    </row>
    <row r="6730" spans="1:6">
      <c r="A6730" t="str">
        <f t="shared" si="105"/>
        <v/>
      </c>
      <c r="E6730" s="626"/>
      <c r="F6730" s="626"/>
    </row>
    <row r="6731" spans="1:6">
      <c r="A6731" t="str">
        <f t="shared" si="105"/>
        <v/>
      </c>
      <c r="E6731" s="626"/>
      <c r="F6731" s="626"/>
    </row>
    <row r="6732" spans="1:6">
      <c r="A6732" t="str">
        <f t="shared" si="105"/>
        <v/>
      </c>
      <c r="E6732" s="626"/>
      <c r="F6732" s="626"/>
    </row>
    <row r="6733" spans="1:6">
      <c r="A6733" t="str">
        <f t="shared" si="105"/>
        <v/>
      </c>
      <c r="E6733" s="626"/>
      <c r="F6733" s="626"/>
    </row>
    <row r="6734" spans="1:6">
      <c r="A6734" t="str">
        <f t="shared" si="105"/>
        <v/>
      </c>
      <c r="E6734" s="626"/>
      <c r="F6734" s="626"/>
    </row>
    <row r="6735" spans="1:6">
      <c r="A6735" t="str">
        <f t="shared" si="105"/>
        <v/>
      </c>
      <c r="E6735" s="626"/>
      <c r="F6735" s="626"/>
    </row>
    <row r="6736" spans="1:6">
      <c r="A6736" t="str">
        <f t="shared" si="105"/>
        <v/>
      </c>
      <c r="E6736" s="626"/>
      <c r="F6736" s="626"/>
    </row>
    <row r="6737" spans="1:6">
      <c r="A6737" t="str">
        <f t="shared" si="105"/>
        <v/>
      </c>
      <c r="E6737" s="626"/>
      <c r="F6737" s="626"/>
    </row>
    <row r="6738" spans="1:6">
      <c r="A6738" t="str">
        <f t="shared" si="105"/>
        <v/>
      </c>
      <c r="E6738" s="626"/>
      <c r="F6738" s="626"/>
    </row>
    <row r="6739" spans="1:6">
      <c r="A6739" t="str">
        <f t="shared" si="105"/>
        <v/>
      </c>
      <c r="E6739" s="626"/>
      <c r="F6739" s="626"/>
    </row>
    <row r="6740" spans="1:6">
      <c r="A6740" t="str">
        <f t="shared" si="105"/>
        <v/>
      </c>
      <c r="E6740" s="626"/>
      <c r="F6740" s="626"/>
    </row>
    <row r="6741" spans="1:6">
      <c r="A6741" t="str">
        <f t="shared" si="105"/>
        <v/>
      </c>
      <c r="E6741" s="626"/>
      <c r="F6741" s="626"/>
    </row>
    <row r="6742" spans="1:6">
      <c r="A6742" t="str">
        <f t="shared" si="105"/>
        <v/>
      </c>
      <c r="E6742" s="626"/>
      <c r="F6742" s="626"/>
    </row>
    <row r="6743" spans="1:6">
      <c r="A6743" t="str">
        <f t="shared" si="105"/>
        <v/>
      </c>
      <c r="E6743" s="626"/>
      <c r="F6743" s="626"/>
    </row>
    <row r="6744" spans="1:6">
      <c r="A6744" t="str">
        <f t="shared" si="105"/>
        <v/>
      </c>
      <c r="E6744" s="626"/>
      <c r="F6744" s="626"/>
    </row>
    <row r="6745" spans="1:6">
      <c r="A6745" t="str">
        <f t="shared" si="105"/>
        <v/>
      </c>
      <c r="E6745" s="626"/>
      <c r="F6745" s="626"/>
    </row>
    <row r="6746" spans="1:6">
      <c r="A6746" t="str">
        <f t="shared" si="105"/>
        <v/>
      </c>
      <c r="E6746" s="626"/>
      <c r="F6746" s="626"/>
    </row>
    <row r="6747" spans="1:6">
      <c r="A6747" t="str">
        <f t="shared" si="105"/>
        <v/>
      </c>
      <c r="E6747" s="626"/>
      <c r="F6747" s="626"/>
    </row>
    <row r="6748" spans="1:6">
      <c r="A6748" t="str">
        <f t="shared" si="105"/>
        <v/>
      </c>
      <c r="E6748" s="626"/>
      <c r="F6748" s="626"/>
    </row>
    <row r="6749" spans="1:6">
      <c r="A6749" t="str">
        <f t="shared" si="105"/>
        <v/>
      </c>
      <c r="E6749" s="626"/>
      <c r="F6749" s="626"/>
    </row>
    <row r="6750" spans="1:6">
      <c r="A6750" t="str">
        <f t="shared" si="105"/>
        <v/>
      </c>
      <c r="E6750" s="626"/>
      <c r="F6750" s="626"/>
    </row>
    <row r="6751" spans="1:6">
      <c r="A6751" t="str">
        <f t="shared" si="105"/>
        <v/>
      </c>
      <c r="E6751" s="626"/>
      <c r="F6751" s="626"/>
    </row>
    <row r="6752" spans="1:6">
      <c r="A6752" t="str">
        <f t="shared" si="105"/>
        <v/>
      </c>
      <c r="E6752" s="626"/>
      <c r="F6752" s="626"/>
    </row>
    <row r="6753" spans="1:6">
      <c r="A6753" t="str">
        <f t="shared" si="105"/>
        <v/>
      </c>
      <c r="E6753" s="626"/>
      <c r="F6753" s="626"/>
    </row>
    <row r="6754" spans="1:6">
      <c r="A6754" t="str">
        <f t="shared" si="105"/>
        <v/>
      </c>
      <c r="E6754" s="626"/>
      <c r="F6754" s="626"/>
    </row>
    <row r="6755" spans="1:6">
      <c r="A6755" t="str">
        <f t="shared" si="105"/>
        <v/>
      </c>
      <c r="E6755" s="626"/>
      <c r="F6755" s="626"/>
    </row>
    <row r="6756" spans="1:6">
      <c r="A6756" t="str">
        <f t="shared" si="105"/>
        <v/>
      </c>
      <c r="E6756" s="626"/>
      <c r="F6756" s="626"/>
    </row>
    <row r="6757" spans="1:6">
      <c r="A6757" t="str">
        <f t="shared" si="105"/>
        <v/>
      </c>
      <c r="E6757" s="626"/>
      <c r="F6757" s="626"/>
    </row>
    <row r="6758" spans="1:6">
      <c r="A6758" t="str">
        <f t="shared" si="105"/>
        <v/>
      </c>
      <c r="E6758" s="626"/>
      <c r="F6758" s="626"/>
    </row>
    <row r="6759" spans="1:6">
      <c r="A6759" t="str">
        <f t="shared" si="105"/>
        <v/>
      </c>
      <c r="E6759" s="626"/>
      <c r="F6759" s="626"/>
    </row>
    <row r="6760" spans="1:6">
      <c r="A6760" t="str">
        <f t="shared" si="105"/>
        <v/>
      </c>
      <c r="E6760" s="626"/>
      <c r="F6760" s="626"/>
    </row>
    <row r="6761" spans="1:6">
      <c r="A6761" t="str">
        <f t="shared" si="105"/>
        <v/>
      </c>
      <c r="E6761" s="626"/>
      <c r="F6761" s="626"/>
    </row>
    <row r="6762" spans="1:6">
      <c r="A6762" t="str">
        <f t="shared" si="105"/>
        <v/>
      </c>
      <c r="E6762" s="626"/>
      <c r="F6762" s="626"/>
    </row>
    <row r="6763" spans="1:6">
      <c r="A6763" t="str">
        <f t="shared" si="105"/>
        <v/>
      </c>
      <c r="E6763" s="626"/>
      <c r="F6763" s="626"/>
    </row>
    <row r="6764" spans="1:6">
      <c r="A6764" t="str">
        <f t="shared" si="105"/>
        <v/>
      </c>
      <c r="E6764" s="626"/>
      <c r="F6764" s="626"/>
    </row>
    <row r="6765" spans="1:6">
      <c r="A6765" t="str">
        <f t="shared" si="105"/>
        <v/>
      </c>
      <c r="E6765" s="626"/>
      <c r="F6765" s="626"/>
    </row>
    <row r="6766" spans="1:6">
      <c r="A6766" t="str">
        <f t="shared" si="105"/>
        <v/>
      </c>
      <c r="E6766" s="626"/>
      <c r="F6766" s="626"/>
    </row>
    <row r="6767" spans="1:6">
      <c r="A6767" t="str">
        <f t="shared" si="105"/>
        <v/>
      </c>
      <c r="E6767" s="626"/>
      <c r="F6767" s="626"/>
    </row>
    <row r="6768" spans="1:6">
      <c r="A6768" t="str">
        <f t="shared" si="105"/>
        <v/>
      </c>
      <c r="E6768" s="626"/>
      <c r="F6768" s="626"/>
    </row>
    <row r="6769" spans="1:6">
      <c r="A6769" t="str">
        <f t="shared" si="105"/>
        <v/>
      </c>
      <c r="E6769" s="626"/>
      <c r="F6769" s="626"/>
    </row>
    <row r="6770" spans="1:6">
      <c r="A6770" t="str">
        <f t="shared" si="105"/>
        <v/>
      </c>
      <c r="E6770" s="626"/>
      <c r="F6770" s="626"/>
    </row>
    <row r="6771" spans="1:6">
      <c r="A6771" t="str">
        <f t="shared" si="105"/>
        <v/>
      </c>
      <c r="E6771" s="626"/>
      <c r="F6771" s="626"/>
    </row>
    <row r="6772" spans="1:6">
      <c r="A6772" t="str">
        <f t="shared" si="105"/>
        <v/>
      </c>
      <c r="E6772" s="626"/>
      <c r="F6772" s="626"/>
    </row>
    <row r="6773" spans="1:6">
      <c r="A6773" t="str">
        <f t="shared" si="105"/>
        <v/>
      </c>
      <c r="E6773" s="626"/>
      <c r="F6773" s="626"/>
    </row>
    <row r="6774" spans="1:6">
      <c r="A6774" t="str">
        <f t="shared" si="105"/>
        <v/>
      </c>
      <c r="E6774" s="626"/>
      <c r="F6774" s="626"/>
    </row>
    <row r="6775" spans="1:6">
      <c r="A6775" t="str">
        <f t="shared" si="105"/>
        <v/>
      </c>
      <c r="E6775" s="626"/>
      <c r="F6775" s="626"/>
    </row>
    <row r="6776" spans="1:6">
      <c r="A6776" t="str">
        <f t="shared" si="105"/>
        <v/>
      </c>
      <c r="E6776" s="626"/>
      <c r="F6776" s="626"/>
    </row>
    <row r="6777" spans="1:6">
      <c r="A6777" t="str">
        <f t="shared" si="105"/>
        <v/>
      </c>
      <c r="E6777" s="626"/>
      <c r="F6777" s="626"/>
    </row>
    <row r="6778" spans="1:6">
      <c r="A6778" t="str">
        <f t="shared" si="105"/>
        <v/>
      </c>
      <c r="E6778" s="626"/>
      <c r="F6778" s="626"/>
    </row>
    <row r="6779" spans="1:6">
      <c r="A6779" t="str">
        <f t="shared" si="105"/>
        <v/>
      </c>
      <c r="E6779" s="626"/>
      <c r="F6779" s="626"/>
    </row>
    <row r="6780" spans="1:6">
      <c r="A6780" t="str">
        <f t="shared" si="105"/>
        <v/>
      </c>
      <c r="E6780" s="626"/>
      <c r="F6780" s="626"/>
    </row>
    <row r="6781" spans="1:6">
      <c r="A6781" t="str">
        <f t="shared" si="105"/>
        <v/>
      </c>
      <c r="E6781" s="626"/>
      <c r="F6781" s="626"/>
    </row>
    <row r="6782" spans="1:6">
      <c r="A6782" t="str">
        <f t="shared" si="105"/>
        <v/>
      </c>
      <c r="E6782" s="626"/>
      <c r="F6782" s="626"/>
    </row>
    <row r="6783" spans="1:6">
      <c r="A6783" t="str">
        <f t="shared" si="105"/>
        <v/>
      </c>
      <c r="E6783" s="626"/>
      <c r="F6783" s="626"/>
    </row>
    <row r="6784" spans="1:6">
      <c r="A6784" t="str">
        <f t="shared" si="105"/>
        <v/>
      </c>
      <c r="E6784" s="626"/>
      <c r="F6784" s="626"/>
    </row>
    <row r="6785" spans="1:6">
      <c r="A6785" t="str">
        <f t="shared" si="105"/>
        <v/>
      </c>
      <c r="E6785" s="626"/>
      <c r="F6785" s="626"/>
    </row>
    <row r="6786" spans="1:6">
      <c r="A6786" t="str">
        <f t="shared" ref="A6786:A6849" si="106">B6786&amp;E6786&amp;J6786</f>
        <v/>
      </c>
      <c r="E6786" s="626"/>
      <c r="F6786" s="626"/>
    </row>
    <row r="6787" spans="1:6">
      <c r="A6787" t="str">
        <f t="shared" si="106"/>
        <v/>
      </c>
      <c r="E6787" s="626"/>
      <c r="F6787" s="626"/>
    </row>
    <row r="6788" spans="1:6">
      <c r="A6788" t="str">
        <f t="shared" si="106"/>
        <v/>
      </c>
      <c r="E6788" s="626"/>
      <c r="F6788" s="626"/>
    </row>
    <row r="6789" spans="1:6">
      <c r="A6789" t="str">
        <f t="shared" si="106"/>
        <v/>
      </c>
      <c r="E6789" s="626"/>
      <c r="F6789" s="626"/>
    </row>
    <row r="6790" spans="1:6">
      <c r="A6790" t="str">
        <f t="shared" si="106"/>
        <v/>
      </c>
      <c r="E6790" s="626"/>
      <c r="F6790" s="626"/>
    </row>
    <row r="6791" spans="1:6">
      <c r="A6791" t="str">
        <f t="shared" si="106"/>
        <v/>
      </c>
      <c r="E6791" s="626"/>
      <c r="F6791" s="626"/>
    </row>
    <row r="6792" spans="1:6">
      <c r="A6792" t="str">
        <f t="shared" si="106"/>
        <v/>
      </c>
      <c r="E6792" s="626"/>
      <c r="F6792" s="626"/>
    </row>
    <row r="6793" spans="1:6">
      <c r="A6793" t="str">
        <f t="shared" si="106"/>
        <v/>
      </c>
      <c r="E6793" s="626"/>
      <c r="F6793" s="626"/>
    </row>
    <row r="6794" spans="1:6">
      <c r="A6794" t="str">
        <f t="shared" si="106"/>
        <v/>
      </c>
      <c r="E6794" s="626"/>
      <c r="F6794" s="626"/>
    </row>
    <row r="6795" spans="1:6">
      <c r="A6795" t="str">
        <f t="shared" si="106"/>
        <v/>
      </c>
      <c r="E6795" s="626"/>
      <c r="F6795" s="626"/>
    </row>
    <row r="6796" spans="1:6">
      <c r="A6796" t="str">
        <f t="shared" si="106"/>
        <v/>
      </c>
      <c r="E6796" s="626"/>
      <c r="F6796" s="626"/>
    </row>
    <row r="6797" spans="1:6">
      <c r="A6797" t="str">
        <f t="shared" si="106"/>
        <v/>
      </c>
      <c r="E6797" s="626"/>
      <c r="F6797" s="626"/>
    </row>
    <row r="6798" spans="1:6">
      <c r="A6798" t="str">
        <f t="shared" si="106"/>
        <v/>
      </c>
      <c r="E6798" s="626"/>
      <c r="F6798" s="626"/>
    </row>
    <row r="6799" spans="1:6">
      <c r="A6799" t="str">
        <f t="shared" si="106"/>
        <v/>
      </c>
      <c r="E6799" s="626"/>
      <c r="F6799" s="626"/>
    </row>
    <row r="6800" spans="1:6">
      <c r="A6800" t="str">
        <f t="shared" si="106"/>
        <v/>
      </c>
      <c r="E6800" s="626"/>
      <c r="F6800" s="626"/>
    </row>
    <row r="6801" spans="1:6">
      <c r="A6801" t="str">
        <f t="shared" si="106"/>
        <v/>
      </c>
      <c r="E6801" s="626"/>
      <c r="F6801" s="626"/>
    </row>
    <row r="6802" spans="1:6">
      <c r="A6802" t="str">
        <f t="shared" si="106"/>
        <v/>
      </c>
      <c r="E6802" s="626"/>
      <c r="F6802" s="626"/>
    </row>
    <row r="6803" spans="1:6">
      <c r="A6803" t="str">
        <f t="shared" si="106"/>
        <v/>
      </c>
      <c r="E6803" s="626"/>
      <c r="F6803" s="626"/>
    </row>
    <row r="6804" spans="1:6">
      <c r="A6804" t="str">
        <f t="shared" si="106"/>
        <v/>
      </c>
      <c r="E6804" s="626"/>
      <c r="F6804" s="626"/>
    </row>
    <row r="6805" spans="1:6">
      <c r="A6805" t="str">
        <f t="shared" si="106"/>
        <v/>
      </c>
      <c r="E6805" s="626"/>
      <c r="F6805" s="626"/>
    </row>
    <row r="6806" spans="1:6">
      <c r="A6806" t="str">
        <f t="shared" si="106"/>
        <v/>
      </c>
      <c r="E6806" s="626"/>
      <c r="F6806" s="626"/>
    </row>
    <row r="6807" spans="1:6">
      <c r="A6807" t="str">
        <f t="shared" si="106"/>
        <v/>
      </c>
      <c r="E6807" s="626"/>
      <c r="F6807" s="626"/>
    </row>
    <row r="6808" spans="1:6">
      <c r="A6808" t="str">
        <f t="shared" si="106"/>
        <v/>
      </c>
      <c r="E6808" s="626"/>
      <c r="F6808" s="626"/>
    </row>
    <row r="6809" spans="1:6">
      <c r="A6809" t="str">
        <f t="shared" si="106"/>
        <v/>
      </c>
      <c r="E6809" s="626"/>
      <c r="F6809" s="626"/>
    </row>
    <row r="6810" spans="1:6">
      <c r="A6810" t="str">
        <f t="shared" si="106"/>
        <v/>
      </c>
      <c r="E6810" s="626"/>
      <c r="F6810" s="626"/>
    </row>
    <row r="6811" spans="1:6">
      <c r="A6811" t="str">
        <f t="shared" si="106"/>
        <v/>
      </c>
      <c r="E6811" s="626"/>
      <c r="F6811" s="626"/>
    </row>
    <row r="6812" spans="1:6">
      <c r="A6812" t="str">
        <f t="shared" si="106"/>
        <v/>
      </c>
      <c r="E6812" s="626"/>
      <c r="F6812" s="626"/>
    </row>
    <row r="6813" spans="1:6">
      <c r="A6813" t="str">
        <f t="shared" si="106"/>
        <v/>
      </c>
      <c r="E6813" s="626"/>
      <c r="F6813" s="626"/>
    </row>
    <row r="6814" spans="1:6">
      <c r="A6814" t="str">
        <f t="shared" si="106"/>
        <v/>
      </c>
      <c r="E6814" s="626"/>
      <c r="F6814" s="626"/>
    </row>
    <row r="6815" spans="1:6">
      <c r="A6815" t="str">
        <f t="shared" si="106"/>
        <v/>
      </c>
      <c r="E6815" s="626"/>
      <c r="F6815" s="626"/>
    </row>
    <row r="6816" spans="1:6">
      <c r="A6816" t="str">
        <f t="shared" si="106"/>
        <v/>
      </c>
      <c r="E6816" s="626"/>
      <c r="F6816" s="626"/>
    </row>
    <row r="6817" spans="1:6">
      <c r="A6817" t="str">
        <f t="shared" si="106"/>
        <v/>
      </c>
      <c r="E6817" s="626"/>
      <c r="F6817" s="626"/>
    </row>
    <row r="6818" spans="1:6">
      <c r="A6818" t="str">
        <f t="shared" si="106"/>
        <v/>
      </c>
      <c r="E6818" s="626"/>
      <c r="F6818" s="626"/>
    </row>
    <row r="6819" spans="1:6">
      <c r="A6819" t="str">
        <f t="shared" si="106"/>
        <v/>
      </c>
      <c r="E6819" s="626"/>
      <c r="F6819" s="626"/>
    </row>
    <row r="6820" spans="1:6">
      <c r="A6820" t="str">
        <f t="shared" si="106"/>
        <v/>
      </c>
      <c r="E6820" s="626"/>
      <c r="F6820" s="626"/>
    </row>
    <row r="6821" spans="1:6">
      <c r="A6821" t="str">
        <f t="shared" si="106"/>
        <v/>
      </c>
      <c r="E6821" s="626"/>
      <c r="F6821" s="626"/>
    </row>
    <row r="6822" spans="1:6">
      <c r="A6822" t="str">
        <f t="shared" si="106"/>
        <v/>
      </c>
      <c r="E6822" s="626"/>
      <c r="F6822" s="626"/>
    </row>
    <row r="6823" spans="1:6">
      <c r="A6823" t="str">
        <f t="shared" si="106"/>
        <v/>
      </c>
      <c r="E6823" s="626"/>
      <c r="F6823" s="626"/>
    </row>
    <row r="6824" spans="1:6">
      <c r="A6824" t="str">
        <f t="shared" si="106"/>
        <v/>
      </c>
      <c r="E6824" s="626"/>
      <c r="F6824" s="626"/>
    </row>
    <row r="6825" spans="1:6">
      <c r="A6825" t="str">
        <f t="shared" si="106"/>
        <v/>
      </c>
      <c r="E6825" s="626"/>
      <c r="F6825" s="626"/>
    </row>
    <row r="6826" spans="1:6">
      <c r="A6826" t="str">
        <f t="shared" si="106"/>
        <v/>
      </c>
      <c r="E6826" s="626"/>
      <c r="F6826" s="626"/>
    </row>
    <row r="6827" spans="1:6">
      <c r="A6827" t="str">
        <f t="shared" si="106"/>
        <v/>
      </c>
      <c r="E6827" s="626"/>
      <c r="F6827" s="626"/>
    </row>
    <row r="6828" spans="1:6">
      <c r="A6828" t="str">
        <f t="shared" si="106"/>
        <v/>
      </c>
      <c r="E6828" s="626"/>
      <c r="F6828" s="626"/>
    </row>
    <row r="6829" spans="1:6">
      <c r="A6829" t="str">
        <f t="shared" si="106"/>
        <v/>
      </c>
      <c r="E6829" s="626"/>
      <c r="F6829" s="626"/>
    </row>
    <row r="6830" spans="1:6">
      <c r="A6830" t="str">
        <f t="shared" si="106"/>
        <v/>
      </c>
      <c r="E6830" s="626"/>
      <c r="F6830" s="626"/>
    </row>
    <row r="6831" spans="1:6">
      <c r="A6831" t="str">
        <f t="shared" si="106"/>
        <v/>
      </c>
      <c r="E6831" s="626"/>
      <c r="F6831" s="626"/>
    </row>
    <row r="6832" spans="1:6">
      <c r="A6832" t="str">
        <f t="shared" si="106"/>
        <v/>
      </c>
      <c r="E6832" s="626"/>
      <c r="F6832" s="626"/>
    </row>
    <row r="6833" spans="1:6">
      <c r="A6833" t="str">
        <f t="shared" si="106"/>
        <v/>
      </c>
      <c r="E6833" s="626"/>
      <c r="F6833" s="626"/>
    </row>
    <row r="6834" spans="1:6">
      <c r="A6834" t="str">
        <f t="shared" si="106"/>
        <v/>
      </c>
      <c r="E6834" s="626"/>
      <c r="F6834" s="626"/>
    </row>
    <row r="6835" spans="1:6">
      <c r="A6835" t="str">
        <f t="shared" si="106"/>
        <v/>
      </c>
      <c r="E6835" s="626"/>
      <c r="F6835" s="626"/>
    </row>
    <row r="6836" spans="1:6">
      <c r="A6836" t="str">
        <f t="shared" si="106"/>
        <v/>
      </c>
      <c r="E6836" s="626"/>
      <c r="F6836" s="626"/>
    </row>
    <row r="6837" spans="1:6">
      <c r="A6837" t="str">
        <f t="shared" si="106"/>
        <v/>
      </c>
      <c r="E6837" s="626"/>
      <c r="F6837" s="626"/>
    </row>
    <row r="6838" spans="1:6">
      <c r="A6838" t="str">
        <f t="shared" si="106"/>
        <v/>
      </c>
      <c r="E6838" s="626"/>
      <c r="F6838" s="626"/>
    </row>
    <row r="6839" spans="1:6">
      <c r="A6839" t="str">
        <f t="shared" si="106"/>
        <v/>
      </c>
      <c r="E6839" s="626"/>
      <c r="F6839" s="626"/>
    </row>
    <row r="6840" spans="1:6">
      <c r="A6840" t="str">
        <f t="shared" si="106"/>
        <v/>
      </c>
      <c r="E6840" s="626"/>
      <c r="F6840" s="626"/>
    </row>
    <row r="6841" spans="1:6">
      <c r="A6841" t="str">
        <f t="shared" si="106"/>
        <v/>
      </c>
      <c r="E6841" s="626"/>
      <c r="F6841" s="626"/>
    </row>
    <row r="6842" spans="1:6">
      <c r="A6842" t="str">
        <f t="shared" si="106"/>
        <v/>
      </c>
      <c r="E6842" s="626"/>
      <c r="F6842" s="626"/>
    </row>
    <row r="6843" spans="1:6">
      <c r="A6843" t="str">
        <f t="shared" si="106"/>
        <v/>
      </c>
      <c r="E6843" s="626"/>
      <c r="F6843" s="626"/>
    </row>
    <row r="6844" spans="1:6">
      <c r="A6844" t="str">
        <f t="shared" si="106"/>
        <v/>
      </c>
      <c r="E6844" s="626"/>
      <c r="F6844" s="626"/>
    </row>
    <row r="6845" spans="1:6">
      <c r="A6845" t="str">
        <f t="shared" si="106"/>
        <v/>
      </c>
      <c r="E6845" s="626"/>
      <c r="F6845" s="626"/>
    </row>
    <row r="6846" spans="1:6">
      <c r="A6846" t="str">
        <f t="shared" si="106"/>
        <v/>
      </c>
      <c r="E6846" s="626"/>
      <c r="F6846" s="626"/>
    </row>
    <row r="6847" spans="1:6">
      <c r="A6847" t="str">
        <f t="shared" si="106"/>
        <v/>
      </c>
      <c r="E6847" s="626"/>
      <c r="F6847" s="626"/>
    </row>
    <row r="6848" spans="1:6">
      <c r="A6848" t="str">
        <f t="shared" si="106"/>
        <v/>
      </c>
      <c r="E6848" s="626"/>
      <c r="F6848" s="626"/>
    </row>
    <row r="6849" spans="1:6">
      <c r="A6849" t="str">
        <f t="shared" si="106"/>
        <v/>
      </c>
      <c r="E6849" s="626"/>
      <c r="F6849" s="626"/>
    </row>
    <row r="6850" spans="1:6">
      <c r="A6850" t="str">
        <f t="shared" ref="A6850:A6913" si="107">B6850&amp;E6850&amp;J6850</f>
        <v/>
      </c>
      <c r="E6850" s="626"/>
      <c r="F6850" s="626"/>
    </row>
    <row r="6851" spans="1:6">
      <c r="A6851" t="str">
        <f t="shared" si="107"/>
        <v/>
      </c>
      <c r="E6851" s="626"/>
      <c r="F6851" s="626"/>
    </row>
    <row r="6852" spans="1:6">
      <c r="A6852" t="str">
        <f t="shared" si="107"/>
        <v/>
      </c>
      <c r="E6852" s="626"/>
      <c r="F6852" s="626"/>
    </row>
    <row r="6853" spans="1:6">
      <c r="A6853" t="str">
        <f t="shared" si="107"/>
        <v/>
      </c>
      <c r="E6853" s="626"/>
      <c r="F6853" s="626"/>
    </row>
    <row r="6854" spans="1:6">
      <c r="A6854" t="str">
        <f t="shared" si="107"/>
        <v/>
      </c>
      <c r="E6854" s="626"/>
      <c r="F6854" s="626"/>
    </row>
    <row r="6855" spans="1:6">
      <c r="A6855" t="str">
        <f t="shared" si="107"/>
        <v/>
      </c>
      <c r="E6855" s="626"/>
      <c r="F6855" s="626"/>
    </row>
    <row r="6856" spans="1:6">
      <c r="A6856" t="str">
        <f t="shared" si="107"/>
        <v/>
      </c>
      <c r="E6856" s="626"/>
      <c r="F6856" s="626"/>
    </row>
    <row r="6857" spans="1:6">
      <c r="A6857" t="str">
        <f t="shared" si="107"/>
        <v/>
      </c>
      <c r="E6857" s="626"/>
      <c r="F6857" s="626"/>
    </row>
    <row r="6858" spans="1:6">
      <c r="A6858" t="str">
        <f t="shared" si="107"/>
        <v/>
      </c>
      <c r="E6858" s="626"/>
      <c r="F6858" s="626"/>
    </row>
    <row r="6859" spans="1:6">
      <c r="A6859" t="str">
        <f t="shared" si="107"/>
        <v/>
      </c>
      <c r="E6859" s="626"/>
      <c r="F6859" s="626"/>
    </row>
    <row r="6860" spans="1:6">
      <c r="A6860" t="str">
        <f t="shared" si="107"/>
        <v/>
      </c>
      <c r="E6860" s="626"/>
      <c r="F6860" s="626"/>
    </row>
    <row r="6861" spans="1:6">
      <c r="A6861" t="str">
        <f t="shared" si="107"/>
        <v/>
      </c>
      <c r="E6861" s="626"/>
      <c r="F6861" s="626"/>
    </row>
    <row r="6862" spans="1:6">
      <c r="A6862" t="str">
        <f t="shared" si="107"/>
        <v/>
      </c>
      <c r="E6862" s="626"/>
      <c r="F6862" s="626"/>
    </row>
    <row r="6863" spans="1:6">
      <c r="A6863" t="str">
        <f t="shared" si="107"/>
        <v/>
      </c>
      <c r="E6863" s="626"/>
      <c r="F6863" s="626"/>
    </row>
    <row r="6864" spans="1:6">
      <c r="A6864" t="str">
        <f t="shared" si="107"/>
        <v/>
      </c>
      <c r="E6864" s="626"/>
      <c r="F6864" s="626"/>
    </row>
    <row r="6865" spans="1:6">
      <c r="A6865" t="str">
        <f t="shared" si="107"/>
        <v/>
      </c>
      <c r="E6865" s="626"/>
      <c r="F6865" s="626"/>
    </row>
    <row r="6866" spans="1:6">
      <c r="A6866" t="str">
        <f t="shared" si="107"/>
        <v/>
      </c>
      <c r="E6866" s="626"/>
      <c r="F6866" s="626"/>
    </row>
    <row r="6867" spans="1:6">
      <c r="A6867" t="str">
        <f t="shared" si="107"/>
        <v/>
      </c>
      <c r="E6867" s="626"/>
      <c r="F6867" s="626"/>
    </row>
    <row r="6868" spans="1:6">
      <c r="A6868" t="str">
        <f t="shared" si="107"/>
        <v/>
      </c>
      <c r="E6868" s="626"/>
      <c r="F6868" s="626"/>
    </row>
    <row r="6869" spans="1:6">
      <c r="A6869" t="str">
        <f t="shared" si="107"/>
        <v/>
      </c>
      <c r="E6869" s="626"/>
      <c r="F6869" s="626"/>
    </row>
    <row r="6870" spans="1:6">
      <c r="A6870" t="str">
        <f t="shared" si="107"/>
        <v/>
      </c>
      <c r="E6870" s="626"/>
      <c r="F6870" s="626"/>
    </row>
    <row r="6871" spans="1:6">
      <c r="A6871" t="str">
        <f t="shared" si="107"/>
        <v/>
      </c>
      <c r="E6871" s="626"/>
      <c r="F6871" s="626"/>
    </row>
    <row r="6872" spans="1:6">
      <c r="A6872" t="str">
        <f t="shared" si="107"/>
        <v/>
      </c>
      <c r="E6872" s="626"/>
      <c r="F6872" s="626"/>
    </row>
    <row r="6873" spans="1:6">
      <c r="A6873" t="str">
        <f t="shared" si="107"/>
        <v/>
      </c>
      <c r="E6873" s="626"/>
      <c r="F6873" s="626"/>
    </row>
    <row r="6874" spans="1:6">
      <c r="A6874" t="str">
        <f t="shared" si="107"/>
        <v/>
      </c>
      <c r="E6874" s="626"/>
      <c r="F6874" s="626"/>
    </row>
    <row r="6875" spans="1:6">
      <c r="A6875" t="str">
        <f t="shared" si="107"/>
        <v/>
      </c>
      <c r="E6875" s="626"/>
      <c r="F6875" s="626"/>
    </row>
    <row r="6876" spans="1:6">
      <c r="A6876" t="str">
        <f t="shared" si="107"/>
        <v/>
      </c>
      <c r="E6876" s="626"/>
      <c r="F6876" s="626"/>
    </row>
    <row r="6877" spans="1:6">
      <c r="A6877" t="str">
        <f t="shared" si="107"/>
        <v/>
      </c>
      <c r="E6877" s="626"/>
      <c r="F6877" s="626"/>
    </row>
    <row r="6878" spans="1:6">
      <c r="A6878" t="str">
        <f t="shared" si="107"/>
        <v/>
      </c>
      <c r="E6878" s="626"/>
      <c r="F6878" s="626"/>
    </row>
    <row r="6879" spans="1:6">
      <c r="A6879" t="str">
        <f t="shared" si="107"/>
        <v/>
      </c>
      <c r="E6879" s="626"/>
      <c r="F6879" s="626"/>
    </row>
    <row r="6880" spans="1:6">
      <c r="A6880" t="str">
        <f t="shared" si="107"/>
        <v/>
      </c>
      <c r="E6880" s="626"/>
      <c r="F6880" s="626"/>
    </row>
    <row r="6881" spans="1:6">
      <c r="A6881" t="str">
        <f t="shared" si="107"/>
        <v/>
      </c>
      <c r="E6881" s="626"/>
      <c r="F6881" s="626"/>
    </row>
    <row r="6882" spans="1:6">
      <c r="A6882" t="str">
        <f t="shared" si="107"/>
        <v/>
      </c>
      <c r="E6882" s="626"/>
      <c r="F6882" s="626"/>
    </row>
    <row r="6883" spans="1:6">
      <c r="A6883" t="str">
        <f t="shared" si="107"/>
        <v/>
      </c>
      <c r="E6883" s="626"/>
      <c r="F6883" s="626"/>
    </row>
    <row r="6884" spans="1:6">
      <c r="A6884" t="str">
        <f t="shared" si="107"/>
        <v/>
      </c>
      <c r="E6884" s="626"/>
      <c r="F6884" s="626"/>
    </row>
    <row r="6885" spans="1:6">
      <c r="A6885" t="str">
        <f t="shared" si="107"/>
        <v/>
      </c>
      <c r="E6885" s="626"/>
      <c r="F6885" s="626"/>
    </row>
    <row r="6886" spans="1:6">
      <c r="A6886" t="str">
        <f t="shared" si="107"/>
        <v/>
      </c>
      <c r="E6886" s="626"/>
      <c r="F6886" s="626"/>
    </row>
    <row r="6887" spans="1:6">
      <c r="A6887" t="str">
        <f t="shared" si="107"/>
        <v/>
      </c>
      <c r="E6887" s="626"/>
      <c r="F6887" s="626"/>
    </row>
    <row r="6888" spans="1:6">
      <c r="A6888" t="str">
        <f t="shared" si="107"/>
        <v/>
      </c>
      <c r="E6888" s="626"/>
      <c r="F6888" s="626"/>
    </row>
    <row r="6889" spans="1:6">
      <c r="A6889" t="str">
        <f t="shared" si="107"/>
        <v/>
      </c>
      <c r="E6889" s="626"/>
      <c r="F6889" s="626"/>
    </row>
    <row r="6890" spans="1:6">
      <c r="A6890" t="str">
        <f t="shared" si="107"/>
        <v/>
      </c>
      <c r="E6890" s="626"/>
      <c r="F6890" s="626"/>
    </row>
    <row r="6891" spans="1:6">
      <c r="A6891" t="str">
        <f t="shared" si="107"/>
        <v/>
      </c>
      <c r="E6891" s="626"/>
      <c r="F6891" s="626"/>
    </row>
    <row r="6892" spans="1:6">
      <c r="A6892" t="str">
        <f t="shared" si="107"/>
        <v/>
      </c>
      <c r="E6892" s="626"/>
      <c r="F6892" s="626"/>
    </row>
    <row r="6893" spans="1:6">
      <c r="A6893" t="str">
        <f t="shared" si="107"/>
        <v/>
      </c>
      <c r="E6893" s="626"/>
      <c r="F6893" s="626"/>
    </row>
    <row r="6894" spans="1:6">
      <c r="A6894" t="str">
        <f t="shared" si="107"/>
        <v/>
      </c>
      <c r="E6894" s="626"/>
      <c r="F6894" s="626"/>
    </row>
    <row r="6895" spans="1:6">
      <c r="A6895" t="str">
        <f t="shared" si="107"/>
        <v/>
      </c>
      <c r="E6895" s="626"/>
      <c r="F6895" s="626"/>
    </row>
    <row r="6896" spans="1:6">
      <c r="A6896" t="str">
        <f t="shared" si="107"/>
        <v/>
      </c>
      <c r="E6896" s="626"/>
      <c r="F6896" s="626"/>
    </row>
    <row r="6897" spans="1:6">
      <c r="A6897" t="str">
        <f t="shared" si="107"/>
        <v/>
      </c>
      <c r="E6897" s="626"/>
      <c r="F6897" s="626"/>
    </row>
    <row r="6898" spans="1:6">
      <c r="A6898" t="str">
        <f t="shared" si="107"/>
        <v/>
      </c>
      <c r="E6898" s="626"/>
      <c r="F6898" s="626"/>
    </row>
    <row r="6899" spans="1:6">
      <c r="A6899" t="str">
        <f t="shared" si="107"/>
        <v/>
      </c>
      <c r="E6899" s="626"/>
      <c r="F6899" s="626"/>
    </row>
    <row r="6900" spans="1:6">
      <c r="A6900" t="str">
        <f t="shared" si="107"/>
        <v/>
      </c>
      <c r="E6900" s="626"/>
      <c r="F6900" s="626"/>
    </row>
    <row r="6901" spans="1:6">
      <c r="A6901" t="str">
        <f t="shared" si="107"/>
        <v/>
      </c>
      <c r="E6901" s="626"/>
      <c r="F6901" s="626"/>
    </row>
    <row r="6902" spans="1:6">
      <c r="A6902" t="str">
        <f t="shared" si="107"/>
        <v/>
      </c>
      <c r="E6902" s="626"/>
      <c r="F6902" s="626"/>
    </row>
    <row r="6903" spans="1:6">
      <c r="A6903" t="str">
        <f t="shared" si="107"/>
        <v/>
      </c>
      <c r="E6903" s="626"/>
      <c r="F6903" s="626"/>
    </row>
    <row r="6904" spans="1:6">
      <c r="A6904" t="str">
        <f t="shared" si="107"/>
        <v/>
      </c>
      <c r="E6904" s="626"/>
      <c r="F6904" s="626"/>
    </row>
    <row r="6905" spans="1:6">
      <c r="A6905" t="str">
        <f t="shared" si="107"/>
        <v/>
      </c>
      <c r="E6905" s="626"/>
      <c r="F6905" s="626"/>
    </row>
    <row r="6906" spans="1:6">
      <c r="A6906" t="str">
        <f t="shared" si="107"/>
        <v/>
      </c>
      <c r="E6906" s="626"/>
      <c r="F6906" s="626"/>
    </row>
    <row r="6907" spans="1:6">
      <c r="A6907" t="str">
        <f t="shared" si="107"/>
        <v/>
      </c>
      <c r="E6907" s="626"/>
      <c r="F6907" s="626"/>
    </row>
    <row r="6908" spans="1:6">
      <c r="A6908" t="str">
        <f t="shared" si="107"/>
        <v/>
      </c>
      <c r="E6908" s="626"/>
      <c r="F6908" s="626"/>
    </row>
    <row r="6909" spans="1:6">
      <c r="A6909" t="str">
        <f t="shared" si="107"/>
        <v/>
      </c>
      <c r="E6909" s="626"/>
      <c r="F6909" s="626"/>
    </row>
    <row r="6910" spans="1:6">
      <c r="A6910" t="str">
        <f t="shared" si="107"/>
        <v/>
      </c>
      <c r="E6910" s="626"/>
      <c r="F6910" s="626"/>
    </row>
    <row r="6911" spans="1:6">
      <c r="A6911" t="str">
        <f t="shared" si="107"/>
        <v/>
      </c>
      <c r="E6911" s="626"/>
      <c r="F6911" s="626"/>
    </row>
    <row r="6912" spans="1:6">
      <c r="A6912" t="str">
        <f t="shared" si="107"/>
        <v/>
      </c>
      <c r="E6912" s="626"/>
      <c r="F6912" s="626"/>
    </row>
    <row r="6913" spans="1:6">
      <c r="A6913" t="str">
        <f t="shared" si="107"/>
        <v/>
      </c>
      <c r="E6913" s="626"/>
      <c r="F6913" s="626"/>
    </row>
    <row r="6914" spans="1:6">
      <c r="A6914" t="str">
        <f t="shared" ref="A6914:A6977" si="108">B6914&amp;E6914&amp;J6914</f>
        <v/>
      </c>
      <c r="E6914" s="626"/>
      <c r="F6914" s="626"/>
    </row>
    <row r="6915" spans="1:6">
      <c r="A6915" t="str">
        <f t="shared" si="108"/>
        <v/>
      </c>
      <c r="E6915" s="626"/>
      <c r="F6915" s="626"/>
    </row>
    <row r="6916" spans="1:6">
      <c r="A6916" t="str">
        <f t="shared" si="108"/>
        <v/>
      </c>
      <c r="E6916" s="626"/>
      <c r="F6916" s="626"/>
    </row>
    <row r="6917" spans="1:6">
      <c r="A6917" t="str">
        <f t="shared" si="108"/>
        <v/>
      </c>
      <c r="E6917" s="626"/>
      <c r="F6917" s="626"/>
    </row>
    <row r="6918" spans="1:6">
      <c r="A6918" t="str">
        <f t="shared" si="108"/>
        <v/>
      </c>
      <c r="E6918" s="626"/>
      <c r="F6918" s="626"/>
    </row>
    <row r="6919" spans="1:6">
      <c r="A6919" t="str">
        <f t="shared" si="108"/>
        <v/>
      </c>
      <c r="E6919" s="626"/>
      <c r="F6919" s="626"/>
    </row>
    <row r="6920" spans="1:6">
      <c r="A6920" t="str">
        <f t="shared" si="108"/>
        <v/>
      </c>
      <c r="E6920" s="626"/>
      <c r="F6920" s="626"/>
    </row>
    <row r="6921" spans="1:6">
      <c r="A6921" t="str">
        <f t="shared" si="108"/>
        <v/>
      </c>
      <c r="E6921" s="626"/>
      <c r="F6921" s="626"/>
    </row>
    <row r="6922" spans="1:6">
      <c r="A6922" t="str">
        <f t="shared" si="108"/>
        <v/>
      </c>
      <c r="E6922" s="626"/>
      <c r="F6922" s="626"/>
    </row>
    <row r="6923" spans="1:6">
      <c r="A6923" t="str">
        <f t="shared" si="108"/>
        <v/>
      </c>
      <c r="E6923" s="626"/>
      <c r="F6923" s="626"/>
    </row>
    <row r="6924" spans="1:6">
      <c r="A6924" t="str">
        <f t="shared" si="108"/>
        <v/>
      </c>
      <c r="E6924" s="626"/>
      <c r="F6924" s="626"/>
    </row>
    <row r="6925" spans="1:6">
      <c r="A6925" t="str">
        <f t="shared" si="108"/>
        <v/>
      </c>
      <c r="E6925" s="626"/>
      <c r="F6925" s="626"/>
    </row>
    <row r="6926" spans="1:6">
      <c r="A6926" t="str">
        <f t="shared" si="108"/>
        <v/>
      </c>
      <c r="E6926" s="626"/>
      <c r="F6926" s="626"/>
    </row>
    <row r="6927" spans="1:6">
      <c r="A6927" t="str">
        <f t="shared" si="108"/>
        <v/>
      </c>
      <c r="E6927" s="626"/>
      <c r="F6927" s="626"/>
    </row>
    <row r="6928" spans="1:6">
      <c r="A6928" t="str">
        <f t="shared" si="108"/>
        <v/>
      </c>
      <c r="E6928" s="626"/>
      <c r="F6928" s="626"/>
    </row>
    <row r="6929" spans="1:6">
      <c r="A6929" t="str">
        <f t="shared" si="108"/>
        <v/>
      </c>
      <c r="E6929" s="626"/>
      <c r="F6929" s="626"/>
    </row>
    <row r="6930" spans="1:6">
      <c r="A6930" t="str">
        <f t="shared" si="108"/>
        <v/>
      </c>
      <c r="E6930" s="626"/>
      <c r="F6930" s="626"/>
    </row>
    <row r="6931" spans="1:6">
      <c r="A6931" t="str">
        <f t="shared" si="108"/>
        <v/>
      </c>
      <c r="E6931" s="626"/>
      <c r="F6931" s="626"/>
    </row>
    <row r="6932" spans="1:6">
      <c r="A6932" t="str">
        <f t="shared" si="108"/>
        <v/>
      </c>
      <c r="E6932" s="626"/>
      <c r="F6932" s="626"/>
    </row>
    <row r="6933" spans="1:6">
      <c r="A6933" t="str">
        <f t="shared" si="108"/>
        <v/>
      </c>
      <c r="E6933" s="626"/>
      <c r="F6933" s="626"/>
    </row>
    <row r="6934" spans="1:6">
      <c r="A6934" t="str">
        <f t="shared" si="108"/>
        <v/>
      </c>
      <c r="E6934" s="626"/>
      <c r="F6934" s="626"/>
    </row>
    <row r="6935" spans="1:6">
      <c r="A6935" t="str">
        <f t="shared" si="108"/>
        <v/>
      </c>
      <c r="E6935" s="626"/>
      <c r="F6935" s="626"/>
    </row>
    <row r="6936" spans="1:6">
      <c r="A6936" t="str">
        <f t="shared" si="108"/>
        <v/>
      </c>
      <c r="E6936" s="626"/>
      <c r="F6936" s="626"/>
    </row>
    <row r="6937" spans="1:6">
      <c r="A6937" t="str">
        <f t="shared" si="108"/>
        <v/>
      </c>
      <c r="E6937" s="626"/>
      <c r="F6937" s="626"/>
    </row>
    <row r="6938" spans="1:6">
      <c r="A6938" t="str">
        <f t="shared" si="108"/>
        <v/>
      </c>
      <c r="E6938" s="626"/>
      <c r="F6938" s="626"/>
    </row>
    <row r="6939" spans="1:6">
      <c r="A6939" t="str">
        <f t="shared" si="108"/>
        <v/>
      </c>
      <c r="E6939" s="626"/>
      <c r="F6939" s="626"/>
    </row>
    <row r="6940" spans="1:6">
      <c r="A6940" t="str">
        <f t="shared" si="108"/>
        <v/>
      </c>
      <c r="E6940" s="626"/>
      <c r="F6940" s="626"/>
    </row>
    <row r="6941" spans="1:6">
      <c r="A6941" t="str">
        <f t="shared" si="108"/>
        <v/>
      </c>
      <c r="E6941" s="626"/>
      <c r="F6941" s="626"/>
    </row>
    <row r="6942" spans="1:6">
      <c r="A6942" t="str">
        <f t="shared" si="108"/>
        <v/>
      </c>
      <c r="E6942" s="626"/>
      <c r="F6942" s="626"/>
    </row>
    <row r="6943" spans="1:6">
      <c r="A6943" t="str">
        <f t="shared" si="108"/>
        <v/>
      </c>
      <c r="E6943" s="626"/>
      <c r="F6943" s="626"/>
    </row>
    <row r="6944" spans="1:6">
      <c r="A6944" t="str">
        <f t="shared" si="108"/>
        <v/>
      </c>
      <c r="E6944" s="626"/>
      <c r="F6944" s="626"/>
    </row>
    <row r="6945" spans="1:6">
      <c r="A6945" t="str">
        <f t="shared" si="108"/>
        <v/>
      </c>
      <c r="E6945" s="626"/>
      <c r="F6945" s="626"/>
    </row>
    <row r="6946" spans="1:6">
      <c r="A6946" t="str">
        <f t="shared" si="108"/>
        <v/>
      </c>
      <c r="E6946" s="626"/>
      <c r="F6946" s="626"/>
    </row>
    <row r="6947" spans="1:6">
      <c r="A6947" t="str">
        <f t="shared" si="108"/>
        <v/>
      </c>
      <c r="E6947" s="626"/>
      <c r="F6947" s="626"/>
    </row>
    <row r="6948" spans="1:6">
      <c r="A6948" t="str">
        <f t="shared" si="108"/>
        <v/>
      </c>
      <c r="E6948" s="626"/>
      <c r="F6948" s="626"/>
    </row>
    <row r="6949" spans="1:6">
      <c r="A6949" t="str">
        <f t="shared" si="108"/>
        <v/>
      </c>
      <c r="E6949" s="626"/>
      <c r="F6949" s="626"/>
    </row>
    <row r="6950" spans="1:6">
      <c r="A6950" t="str">
        <f t="shared" si="108"/>
        <v/>
      </c>
      <c r="E6950" s="626"/>
      <c r="F6950" s="626"/>
    </row>
    <row r="6951" spans="1:6">
      <c r="A6951" t="str">
        <f t="shared" si="108"/>
        <v/>
      </c>
      <c r="E6951" s="626"/>
      <c r="F6951" s="626"/>
    </row>
    <row r="6952" spans="1:6">
      <c r="A6952" t="str">
        <f t="shared" si="108"/>
        <v/>
      </c>
      <c r="E6952" s="626"/>
      <c r="F6952" s="626"/>
    </row>
    <row r="6953" spans="1:6">
      <c r="A6953" t="str">
        <f t="shared" si="108"/>
        <v/>
      </c>
      <c r="E6953" s="626"/>
      <c r="F6953" s="626"/>
    </row>
    <row r="6954" spans="1:6">
      <c r="A6954" t="str">
        <f t="shared" si="108"/>
        <v/>
      </c>
      <c r="E6954" s="626"/>
      <c r="F6954" s="626"/>
    </row>
    <row r="6955" spans="1:6">
      <c r="A6955" t="str">
        <f t="shared" si="108"/>
        <v/>
      </c>
      <c r="E6955" s="626"/>
      <c r="F6955" s="626"/>
    </row>
    <row r="6956" spans="1:6">
      <c r="A6956" t="str">
        <f t="shared" si="108"/>
        <v/>
      </c>
      <c r="E6956" s="626"/>
      <c r="F6956" s="626"/>
    </row>
    <row r="6957" spans="1:6">
      <c r="A6957" t="str">
        <f t="shared" si="108"/>
        <v/>
      </c>
      <c r="E6957" s="626"/>
      <c r="F6957" s="626"/>
    </row>
    <row r="6958" spans="1:6">
      <c r="A6958" t="str">
        <f t="shared" si="108"/>
        <v/>
      </c>
      <c r="E6958" s="626"/>
      <c r="F6958" s="626"/>
    </row>
    <row r="6959" spans="1:6">
      <c r="A6959" t="str">
        <f t="shared" si="108"/>
        <v/>
      </c>
      <c r="E6959" s="626"/>
      <c r="F6959" s="626"/>
    </row>
    <row r="6960" spans="1:6">
      <c r="A6960" t="str">
        <f t="shared" si="108"/>
        <v/>
      </c>
      <c r="E6960" s="626"/>
      <c r="F6960" s="626"/>
    </row>
    <row r="6961" spans="1:6">
      <c r="A6961" t="str">
        <f t="shared" si="108"/>
        <v/>
      </c>
      <c r="E6961" s="626"/>
      <c r="F6961" s="626"/>
    </row>
    <row r="6962" spans="1:6">
      <c r="A6962" t="str">
        <f t="shared" si="108"/>
        <v/>
      </c>
      <c r="E6962" s="626"/>
      <c r="F6962" s="626"/>
    </row>
    <row r="6963" spans="1:6">
      <c r="A6963" t="str">
        <f t="shared" si="108"/>
        <v/>
      </c>
      <c r="E6963" s="626"/>
      <c r="F6963" s="626"/>
    </row>
    <row r="6964" spans="1:6">
      <c r="A6964" t="str">
        <f t="shared" si="108"/>
        <v/>
      </c>
      <c r="E6964" s="626"/>
      <c r="F6964" s="626"/>
    </row>
    <row r="6965" spans="1:6">
      <c r="A6965" t="str">
        <f t="shared" si="108"/>
        <v/>
      </c>
      <c r="E6965" s="626"/>
      <c r="F6965" s="626"/>
    </row>
    <row r="6966" spans="1:6">
      <c r="A6966" t="str">
        <f t="shared" si="108"/>
        <v/>
      </c>
      <c r="E6966" s="626"/>
      <c r="F6966" s="626"/>
    </row>
    <row r="6967" spans="1:6">
      <c r="A6967" t="str">
        <f t="shared" si="108"/>
        <v/>
      </c>
      <c r="E6967" s="626"/>
      <c r="F6967" s="626"/>
    </row>
    <row r="6968" spans="1:6">
      <c r="A6968" t="str">
        <f t="shared" si="108"/>
        <v/>
      </c>
      <c r="E6968" s="626"/>
      <c r="F6968" s="626"/>
    </row>
    <row r="6969" spans="1:6">
      <c r="A6969" t="str">
        <f t="shared" si="108"/>
        <v/>
      </c>
      <c r="E6969" s="626"/>
      <c r="F6969" s="626"/>
    </row>
    <row r="6970" spans="1:6">
      <c r="A6970" t="str">
        <f t="shared" si="108"/>
        <v/>
      </c>
      <c r="E6970" s="626"/>
      <c r="F6970" s="626"/>
    </row>
    <row r="6971" spans="1:6">
      <c r="A6971" t="str">
        <f t="shared" si="108"/>
        <v/>
      </c>
      <c r="E6971" s="626"/>
      <c r="F6971" s="626"/>
    </row>
    <row r="6972" spans="1:6">
      <c r="A6972" t="str">
        <f t="shared" si="108"/>
        <v/>
      </c>
      <c r="E6972" s="626"/>
      <c r="F6972" s="626"/>
    </row>
    <row r="6973" spans="1:6">
      <c r="A6973" t="str">
        <f t="shared" si="108"/>
        <v/>
      </c>
      <c r="E6973" s="626"/>
      <c r="F6973" s="626"/>
    </row>
    <row r="6974" spans="1:6">
      <c r="A6974" t="str">
        <f t="shared" si="108"/>
        <v/>
      </c>
      <c r="E6974" s="626"/>
      <c r="F6974" s="626"/>
    </row>
    <row r="6975" spans="1:6">
      <c r="A6975" t="str">
        <f t="shared" si="108"/>
        <v/>
      </c>
      <c r="E6975" s="626"/>
      <c r="F6975" s="626"/>
    </row>
    <row r="6976" spans="1:6">
      <c r="A6976" t="str">
        <f t="shared" si="108"/>
        <v/>
      </c>
      <c r="E6976" s="626"/>
      <c r="F6976" s="626"/>
    </row>
    <row r="6977" spans="1:6">
      <c r="A6977" t="str">
        <f t="shared" si="108"/>
        <v/>
      </c>
      <c r="E6977" s="626"/>
      <c r="F6977" s="626"/>
    </row>
    <row r="6978" spans="1:6">
      <c r="A6978" t="str">
        <f t="shared" ref="A6978:A7041" si="109">B6978&amp;E6978&amp;J6978</f>
        <v/>
      </c>
      <c r="E6978" s="626"/>
      <c r="F6978" s="626"/>
    </row>
    <row r="6979" spans="1:6">
      <c r="A6979" t="str">
        <f t="shared" si="109"/>
        <v/>
      </c>
      <c r="E6979" s="626"/>
      <c r="F6979" s="626"/>
    </row>
    <row r="6980" spans="1:6">
      <c r="A6980" t="str">
        <f t="shared" si="109"/>
        <v/>
      </c>
      <c r="E6980" s="626"/>
      <c r="F6980" s="626"/>
    </row>
    <row r="6981" spans="1:6">
      <c r="A6981" t="str">
        <f t="shared" si="109"/>
        <v/>
      </c>
      <c r="E6981" s="626"/>
      <c r="F6981" s="626"/>
    </row>
    <row r="6982" spans="1:6">
      <c r="A6982" t="str">
        <f t="shared" si="109"/>
        <v/>
      </c>
      <c r="E6982" s="626"/>
      <c r="F6982" s="626"/>
    </row>
    <row r="6983" spans="1:6">
      <c r="A6983" t="str">
        <f t="shared" si="109"/>
        <v/>
      </c>
      <c r="E6983" s="626"/>
      <c r="F6983" s="626"/>
    </row>
    <row r="6984" spans="1:6">
      <c r="A6984" t="str">
        <f t="shared" si="109"/>
        <v/>
      </c>
      <c r="E6984" s="626"/>
      <c r="F6984" s="626"/>
    </row>
    <row r="6985" spans="1:6">
      <c r="A6985" t="str">
        <f t="shared" si="109"/>
        <v/>
      </c>
      <c r="E6985" s="626"/>
      <c r="F6985" s="626"/>
    </row>
    <row r="6986" spans="1:6">
      <c r="A6986" t="str">
        <f t="shared" si="109"/>
        <v/>
      </c>
      <c r="E6986" s="626"/>
      <c r="F6986" s="626"/>
    </row>
    <row r="6987" spans="1:6">
      <c r="A6987" t="str">
        <f t="shared" si="109"/>
        <v/>
      </c>
      <c r="E6987" s="626"/>
      <c r="F6987" s="626"/>
    </row>
    <row r="6988" spans="1:6">
      <c r="A6988" t="str">
        <f t="shared" si="109"/>
        <v/>
      </c>
      <c r="E6988" s="626"/>
      <c r="F6988" s="626"/>
    </row>
    <row r="6989" spans="1:6">
      <c r="A6989" t="str">
        <f t="shared" si="109"/>
        <v/>
      </c>
      <c r="E6989" s="626"/>
      <c r="F6989" s="626"/>
    </row>
    <row r="6990" spans="1:6">
      <c r="A6990" t="str">
        <f t="shared" si="109"/>
        <v/>
      </c>
      <c r="E6990" s="626"/>
      <c r="F6990" s="626"/>
    </row>
    <row r="6991" spans="1:6">
      <c r="A6991" t="str">
        <f t="shared" si="109"/>
        <v/>
      </c>
      <c r="E6991" s="626"/>
      <c r="F6991" s="626"/>
    </row>
    <row r="6992" spans="1:6">
      <c r="A6992" t="str">
        <f t="shared" si="109"/>
        <v/>
      </c>
      <c r="E6992" s="626"/>
      <c r="F6992" s="626"/>
    </row>
    <row r="6993" spans="1:6">
      <c r="A6993" t="str">
        <f t="shared" si="109"/>
        <v/>
      </c>
      <c r="E6993" s="626"/>
      <c r="F6993" s="626"/>
    </row>
    <row r="6994" spans="1:6">
      <c r="A6994" t="str">
        <f t="shared" si="109"/>
        <v/>
      </c>
      <c r="E6994" s="626"/>
      <c r="F6994" s="626"/>
    </row>
    <row r="6995" spans="1:6">
      <c r="A6995" t="str">
        <f t="shared" si="109"/>
        <v/>
      </c>
      <c r="E6995" s="626"/>
      <c r="F6995" s="626"/>
    </row>
    <row r="6996" spans="1:6">
      <c r="A6996" t="str">
        <f t="shared" si="109"/>
        <v/>
      </c>
      <c r="E6996" s="626"/>
      <c r="F6996" s="626"/>
    </row>
    <row r="6997" spans="1:6">
      <c r="A6997" t="str">
        <f t="shared" si="109"/>
        <v/>
      </c>
      <c r="E6997" s="626"/>
      <c r="F6997" s="626"/>
    </row>
    <row r="6998" spans="1:6">
      <c r="A6998" t="str">
        <f t="shared" si="109"/>
        <v/>
      </c>
      <c r="E6998" s="626"/>
      <c r="F6998" s="626"/>
    </row>
    <row r="6999" spans="1:6">
      <c r="A6999" t="str">
        <f t="shared" si="109"/>
        <v/>
      </c>
      <c r="E6999" s="626"/>
      <c r="F6999" s="626"/>
    </row>
    <row r="7000" spans="1:6">
      <c r="A7000" t="str">
        <f t="shared" si="109"/>
        <v/>
      </c>
      <c r="E7000" s="626"/>
      <c r="F7000" s="626"/>
    </row>
    <row r="7001" spans="1:6">
      <c r="A7001" t="str">
        <f t="shared" si="109"/>
        <v/>
      </c>
      <c r="E7001" s="626"/>
      <c r="F7001" s="626"/>
    </row>
    <row r="7002" spans="1:6">
      <c r="A7002" t="str">
        <f t="shared" si="109"/>
        <v/>
      </c>
      <c r="E7002" s="626"/>
      <c r="F7002" s="626"/>
    </row>
    <row r="7003" spans="1:6">
      <c r="A7003" t="str">
        <f t="shared" si="109"/>
        <v/>
      </c>
      <c r="E7003" s="626"/>
      <c r="F7003" s="626"/>
    </row>
    <row r="7004" spans="1:6">
      <c r="A7004" t="str">
        <f t="shared" si="109"/>
        <v/>
      </c>
      <c r="E7004" s="626"/>
      <c r="F7004" s="626"/>
    </row>
    <row r="7005" spans="1:6">
      <c r="A7005" t="str">
        <f t="shared" si="109"/>
        <v/>
      </c>
      <c r="E7005" s="626"/>
      <c r="F7005" s="626"/>
    </row>
    <row r="7006" spans="1:6">
      <c r="A7006" t="str">
        <f t="shared" si="109"/>
        <v/>
      </c>
      <c r="E7006" s="626"/>
      <c r="F7006" s="626"/>
    </row>
    <row r="7007" spans="1:6">
      <c r="A7007" t="str">
        <f t="shared" si="109"/>
        <v/>
      </c>
      <c r="E7007" s="626"/>
      <c r="F7007" s="626"/>
    </row>
    <row r="7008" spans="1:6">
      <c r="A7008" t="str">
        <f t="shared" si="109"/>
        <v/>
      </c>
      <c r="E7008" s="626"/>
      <c r="F7008" s="626"/>
    </row>
    <row r="7009" spans="1:6">
      <c r="A7009" t="str">
        <f t="shared" si="109"/>
        <v/>
      </c>
      <c r="E7009" s="626"/>
      <c r="F7009" s="626"/>
    </row>
    <row r="7010" spans="1:6">
      <c r="A7010" t="str">
        <f t="shared" si="109"/>
        <v/>
      </c>
      <c r="E7010" s="626"/>
      <c r="F7010" s="626"/>
    </row>
    <row r="7011" spans="1:6">
      <c r="A7011" t="str">
        <f t="shared" si="109"/>
        <v/>
      </c>
      <c r="E7011" s="626"/>
      <c r="F7011" s="626"/>
    </row>
    <row r="7012" spans="1:6">
      <c r="A7012" t="str">
        <f t="shared" si="109"/>
        <v/>
      </c>
      <c r="E7012" s="626"/>
      <c r="F7012" s="626"/>
    </row>
    <row r="7013" spans="1:6">
      <c r="A7013" t="str">
        <f t="shared" si="109"/>
        <v/>
      </c>
      <c r="E7013" s="626"/>
      <c r="F7013" s="626"/>
    </row>
    <row r="7014" spans="1:6">
      <c r="A7014" t="str">
        <f t="shared" si="109"/>
        <v/>
      </c>
      <c r="E7014" s="626"/>
      <c r="F7014" s="626"/>
    </row>
    <row r="7015" spans="1:6">
      <c r="A7015" t="str">
        <f t="shared" si="109"/>
        <v/>
      </c>
      <c r="E7015" s="626"/>
      <c r="F7015" s="626"/>
    </row>
    <row r="7016" spans="1:6">
      <c r="A7016" t="str">
        <f t="shared" si="109"/>
        <v/>
      </c>
      <c r="E7016" s="626"/>
      <c r="F7016" s="626"/>
    </row>
    <row r="7017" spans="1:6">
      <c r="A7017" t="str">
        <f t="shared" si="109"/>
        <v/>
      </c>
      <c r="E7017" s="626"/>
      <c r="F7017" s="626"/>
    </row>
    <row r="7018" spans="1:6">
      <c r="A7018" t="str">
        <f t="shared" si="109"/>
        <v/>
      </c>
      <c r="E7018" s="626"/>
      <c r="F7018" s="626"/>
    </row>
    <row r="7019" spans="1:6">
      <c r="A7019" t="str">
        <f t="shared" si="109"/>
        <v/>
      </c>
      <c r="E7019" s="626"/>
      <c r="F7019" s="626"/>
    </row>
    <row r="7020" spans="1:6">
      <c r="A7020" t="str">
        <f t="shared" si="109"/>
        <v/>
      </c>
      <c r="E7020" s="626"/>
      <c r="F7020" s="626"/>
    </row>
    <row r="7021" spans="1:6">
      <c r="A7021" t="str">
        <f t="shared" si="109"/>
        <v/>
      </c>
      <c r="E7021" s="626"/>
      <c r="F7021" s="626"/>
    </row>
    <row r="7022" spans="1:6">
      <c r="A7022" t="str">
        <f t="shared" si="109"/>
        <v/>
      </c>
      <c r="E7022" s="626"/>
      <c r="F7022" s="626"/>
    </row>
    <row r="7023" spans="1:6">
      <c r="A7023" t="str">
        <f t="shared" si="109"/>
        <v/>
      </c>
      <c r="E7023" s="626"/>
      <c r="F7023" s="626"/>
    </row>
    <row r="7024" spans="1:6">
      <c r="A7024" t="str">
        <f t="shared" si="109"/>
        <v/>
      </c>
      <c r="E7024" s="626"/>
      <c r="F7024" s="626"/>
    </row>
    <row r="7025" spans="1:6">
      <c r="A7025" t="str">
        <f t="shared" si="109"/>
        <v/>
      </c>
      <c r="E7025" s="626"/>
      <c r="F7025" s="626"/>
    </row>
    <row r="7026" spans="1:6">
      <c r="A7026" t="str">
        <f t="shared" si="109"/>
        <v/>
      </c>
      <c r="E7026" s="626"/>
      <c r="F7026" s="626"/>
    </row>
    <row r="7027" spans="1:6">
      <c r="A7027" t="str">
        <f t="shared" si="109"/>
        <v/>
      </c>
      <c r="E7027" s="626"/>
      <c r="F7027" s="626"/>
    </row>
    <row r="7028" spans="1:6">
      <c r="A7028" t="str">
        <f t="shared" si="109"/>
        <v/>
      </c>
      <c r="E7028" s="626"/>
      <c r="F7028" s="626"/>
    </row>
    <row r="7029" spans="1:6">
      <c r="A7029" t="str">
        <f t="shared" si="109"/>
        <v/>
      </c>
      <c r="E7029" s="626"/>
      <c r="F7029" s="626"/>
    </row>
    <row r="7030" spans="1:6">
      <c r="A7030" t="str">
        <f t="shared" si="109"/>
        <v/>
      </c>
      <c r="E7030" s="626"/>
      <c r="F7030" s="626"/>
    </row>
    <row r="7031" spans="1:6">
      <c r="A7031" t="str">
        <f t="shared" si="109"/>
        <v/>
      </c>
      <c r="E7031" s="626"/>
      <c r="F7031" s="626"/>
    </row>
    <row r="7032" spans="1:6">
      <c r="A7032" t="str">
        <f t="shared" si="109"/>
        <v/>
      </c>
      <c r="E7032" s="626"/>
      <c r="F7032" s="626"/>
    </row>
    <row r="7033" spans="1:6">
      <c r="A7033" t="str">
        <f t="shared" si="109"/>
        <v/>
      </c>
      <c r="E7033" s="626"/>
      <c r="F7033" s="626"/>
    </row>
    <row r="7034" spans="1:6">
      <c r="A7034" t="str">
        <f t="shared" si="109"/>
        <v/>
      </c>
      <c r="E7034" s="626"/>
      <c r="F7034" s="626"/>
    </row>
    <row r="7035" spans="1:6">
      <c r="A7035" t="str">
        <f t="shared" si="109"/>
        <v/>
      </c>
      <c r="E7035" s="626"/>
      <c r="F7035" s="626"/>
    </row>
    <row r="7036" spans="1:6">
      <c r="A7036" t="str">
        <f t="shared" si="109"/>
        <v/>
      </c>
      <c r="E7036" s="626"/>
      <c r="F7036" s="626"/>
    </row>
    <row r="7037" spans="1:6">
      <c r="A7037" t="str">
        <f t="shared" si="109"/>
        <v/>
      </c>
      <c r="E7037" s="626"/>
      <c r="F7037" s="626"/>
    </row>
    <row r="7038" spans="1:6">
      <c r="A7038" t="str">
        <f t="shared" si="109"/>
        <v/>
      </c>
      <c r="E7038" s="626"/>
      <c r="F7038" s="626"/>
    </row>
    <row r="7039" spans="1:6">
      <c r="A7039" t="str">
        <f t="shared" si="109"/>
        <v/>
      </c>
      <c r="E7039" s="626"/>
      <c r="F7039" s="626"/>
    </row>
    <row r="7040" spans="1:6">
      <c r="A7040" t="str">
        <f t="shared" si="109"/>
        <v/>
      </c>
      <c r="E7040" s="626"/>
      <c r="F7040" s="626"/>
    </row>
    <row r="7041" spans="1:6">
      <c r="A7041" t="str">
        <f t="shared" si="109"/>
        <v/>
      </c>
      <c r="E7041" s="626"/>
      <c r="F7041" s="626"/>
    </row>
    <row r="7042" spans="1:6">
      <c r="A7042" t="str">
        <f t="shared" ref="A7042:A7105" si="110">B7042&amp;E7042&amp;J7042</f>
        <v/>
      </c>
      <c r="E7042" s="626"/>
      <c r="F7042" s="626"/>
    </row>
    <row r="7043" spans="1:6">
      <c r="A7043" t="str">
        <f t="shared" si="110"/>
        <v/>
      </c>
      <c r="E7043" s="626"/>
      <c r="F7043" s="626"/>
    </row>
    <row r="7044" spans="1:6">
      <c r="A7044" t="str">
        <f t="shared" si="110"/>
        <v/>
      </c>
      <c r="E7044" s="626"/>
      <c r="F7044" s="626"/>
    </row>
    <row r="7045" spans="1:6">
      <c r="A7045" t="str">
        <f t="shared" si="110"/>
        <v/>
      </c>
      <c r="E7045" s="626"/>
      <c r="F7045" s="626"/>
    </row>
    <row r="7046" spans="1:6">
      <c r="A7046" t="str">
        <f t="shared" si="110"/>
        <v/>
      </c>
      <c r="E7046" s="626"/>
      <c r="F7046" s="626"/>
    </row>
    <row r="7047" spans="1:6">
      <c r="A7047" t="str">
        <f t="shared" si="110"/>
        <v/>
      </c>
      <c r="E7047" s="626"/>
      <c r="F7047" s="626"/>
    </row>
    <row r="7048" spans="1:6">
      <c r="A7048" t="str">
        <f t="shared" si="110"/>
        <v/>
      </c>
      <c r="E7048" s="626"/>
      <c r="F7048" s="626"/>
    </row>
    <row r="7049" spans="1:6">
      <c r="A7049" t="str">
        <f t="shared" si="110"/>
        <v/>
      </c>
      <c r="E7049" s="626"/>
      <c r="F7049" s="626"/>
    </row>
    <row r="7050" spans="1:6">
      <c r="A7050" t="str">
        <f t="shared" si="110"/>
        <v/>
      </c>
      <c r="E7050" s="626"/>
      <c r="F7050" s="626"/>
    </row>
    <row r="7051" spans="1:6">
      <c r="A7051" t="str">
        <f t="shared" si="110"/>
        <v/>
      </c>
      <c r="E7051" s="626"/>
      <c r="F7051" s="626"/>
    </row>
    <row r="7052" spans="1:6">
      <c r="A7052" t="str">
        <f t="shared" si="110"/>
        <v/>
      </c>
      <c r="E7052" s="626"/>
      <c r="F7052" s="626"/>
    </row>
    <row r="7053" spans="1:6">
      <c r="A7053" t="str">
        <f t="shared" si="110"/>
        <v/>
      </c>
      <c r="E7053" s="626"/>
      <c r="F7053" s="626"/>
    </row>
    <row r="7054" spans="1:6">
      <c r="A7054" t="str">
        <f t="shared" si="110"/>
        <v/>
      </c>
      <c r="E7054" s="626"/>
      <c r="F7054" s="626"/>
    </row>
    <row r="7055" spans="1:6">
      <c r="A7055" t="str">
        <f t="shared" si="110"/>
        <v/>
      </c>
      <c r="E7055" s="626"/>
      <c r="F7055" s="626"/>
    </row>
    <row r="7056" spans="1:6">
      <c r="A7056" t="str">
        <f t="shared" si="110"/>
        <v/>
      </c>
      <c r="E7056" s="626"/>
      <c r="F7056" s="626"/>
    </row>
    <row r="7057" spans="1:6">
      <c r="A7057" t="str">
        <f t="shared" si="110"/>
        <v/>
      </c>
      <c r="E7057" s="626"/>
      <c r="F7057" s="626"/>
    </row>
    <row r="7058" spans="1:6">
      <c r="A7058" t="str">
        <f t="shared" si="110"/>
        <v/>
      </c>
      <c r="E7058" s="626"/>
      <c r="F7058" s="626"/>
    </row>
    <row r="7059" spans="1:6">
      <c r="A7059" t="str">
        <f t="shared" si="110"/>
        <v/>
      </c>
      <c r="E7059" s="626"/>
      <c r="F7059" s="626"/>
    </row>
    <row r="7060" spans="1:6">
      <c r="A7060" t="str">
        <f t="shared" si="110"/>
        <v/>
      </c>
      <c r="E7060" s="626"/>
      <c r="F7060" s="626"/>
    </row>
    <row r="7061" spans="1:6">
      <c r="A7061" t="str">
        <f t="shared" si="110"/>
        <v/>
      </c>
      <c r="E7061" s="626"/>
      <c r="F7061" s="626"/>
    </row>
    <row r="7062" spans="1:6">
      <c r="A7062" t="str">
        <f t="shared" si="110"/>
        <v/>
      </c>
      <c r="E7062" s="626"/>
      <c r="F7062" s="626"/>
    </row>
    <row r="7063" spans="1:6">
      <c r="A7063" t="str">
        <f t="shared" si="110"/>
        <v/>
      </c>
      <c r="E7063" s="626"/>
      <c r="F7063" s="626"/>
    </row>
    <row r="7064" spans="1:6">
      <c r="A7064" t="str">
        <f t="shared" si="110"/>
        <v/>
      </c>
      <c r="E7064" s="626"/>
      <c r="F7064" s="626"/>
    </row>
    <row r="7065" spans="1:6">
      <c r="A7065" t="str">
        <f t="shared" si="110"/>
        <v/>
      </c>
      <c r="E7065" s="626"/>
      <c r="F7065" s="626"/>
    </row>
    <row r="7066" spans="1:6">
      <c r="A7066" t="str">
        <f t="shared" si="110"/>
        <v/>
      </c>
      <c r="E7066" s="626"/>
      <c r="F7066" s="626"/>
    </row>
    <row r="7067" spans="1:6">
      <c r="A7067" t="str">
        <f t="shared" si="110"/>
        <v/>
      </c>
      <c r="E7067" s="626"/>
      <c r="F7067" s="626"/>
    </row>
    <row r="7068" spans="1:6">
      <c r="A7068" t="str">
        <f t="shared" si="110"/>
        <v/>
      </c>
      <c r="E7068" s="626"/>
      <c r="F7068" s="626"/>
    </row>
    <row r="7069" spans="1:6">
      <c r="A7069" t="str">
        <f t="shared" si="110"/>
        <v/>
      </c>
      <c r="E7069" s="626"/>
      <c r="F7069" s="626"/>
    </row>
    <row r="7070" spans="1:6">
      <c r="A7070" t="str">
        <f t="shared" si="110"/>
        <v/>
      </c>
      <c r="E7070" s="626"/>
      <c r="F7070" s="626"/>
    </row>
    <row r="7071" spans="1:6">
      <c r="A7071" t="str">
        <f t="shared" si="110"/>
        <v/>
      </c>
      <c r="E7071" s="626"/>
      <c r="F7071" s="626"/>
    </row>
    <row r="7072" spans="1:6">
      <c r="A7072" t="str">
        <f t="shared" si="110"/>
        <v/>
      </c>
      <c r="E7072" s="626"/>
      <c r="F7072" s="626"/>
    </row>
    <row r="7073" spans="1:6">
      <c r="A7073" t="str">
        <f t="shared" si="110"/>
        <v/>
      </c>
      <c r="E7073" s="626"/>
      <c r="F7073" s="626"/>
    </row>
    <row r="7074" spans="1:6">
      <c r="A7074" t="str">
        <f t="shared" si="110"/>
        <v/>
      </c>
      <c r="E7074" s="626"/>
      <c r="F7074" s="626"/>
    </row>
    <row r="7075" spans="1:6">
      <c r="A7075" t="str">
        <f t="shared" si="110"/>
        <v/>
      </c>
      <c r="E7075" s="626"/>
      <c r="F7075" s="626"/>
    </row>
    <row r="7076" spans="1:6">
      <c r="A7076" t="str">
        <f t="shared" si="110"/>
        <v/>
      </c>
      <c r="E7076" s="626"/>
      <c r="F7076" s="626"/>
    </row>
    <row r="7077" spans="1:6">
      <c r="A7077" t="str">
        <f t="shared" si="110"/>
        <v/>
      </c>
      <c r="E7077" s="626"/>
      <c r="F7077" s="626"/>
    </row>
    <row r="7078" spans="1:6">
      <c r="A7078" t="str">
        <f t="shared" si="110"/>
        <v/>
      </c>
      <c r="E7078" s="626"/>
      <c r="F7078" s="626"/>
    </row>
    <row r="7079" spans="1:6">
      <c r="A7079" t="str">
        <f t="shared" si="110"/>
        <v/>
      </c>
      <c r="E7079" s="626"/>
      <c r="F7079" s="626"/>
    </row>
    <row r="7080" spans="1:6">
      <c r="A7080" t="str">
        <f t="shared" si="110"/>
        <v/>
      </c>
      <c r="E7080" s="626"/>
      <c r="F7080" s="626"/>
    </row>
    <row r="7081" spans="1:6">
      <c r="A7081" t="str">
        <f t="shared" si="110"/>
        <v/>
      </c>
      <c r="E7081" s="626"/>
      <c r="F7081" s="626"/>
    </row>
    <row r="7082" spans="1:6">
      <c r="A7082" t="str">
        <f t="shared" si="110"/>
        <v/>
      </c>
      <c r="E7082" s="626"/>
      <c r="F7082" s="626"/>
    </row>
    <row r="7083" spans="1:6">
      <c r="A7083" t="str">
        <f t="shared" si="110"/>
        <v/>
      </c>
      <c r="E7083" s="626"/>
      <c r="F7083" s="626"/>
    </row>
    <row r="7084" spans="1:6">
      <c r="A7084" t="str">
        <f t="shared" si="110"/>
        <v/>
      </c>
      <c r="E7084" s="626"/>
      <c r="F7084" s="626"/>
    </row>
    <row r="7085" spans="1:6">
      <c r="A7085" t="str">
        <f t="shared" si="110"/>
        <v/>
      </c>
      <c r="E7085" s="626"/>
      <c r="F7085" s="626"/>
    </row>
    <row r="7086" spans="1:6">
      <c r="A7086" t="str">
        <f t="shared" si="110"/>
        <v/>
      </c>
      <c r="E7086" s="626"/>
      <c r="F7086" s="626"/>
    </row>
    <row r="7087" spans="1:6">
      <c r="A7087" t="str">
        <f t="shared" si="110"/>
        <v/>
      </c>
      <c r="E7087" s="626"/>
      <c r="F7087" s="626"/>
    </row>
    <row r="7088" spans="1:6">
      <c r="A7088" t="str">
        <f t="shared" si="110"/>
        <v/>
      </c>
      <c r="E7088" s="626"/>
      <c r="F7088" s="626"/>
    </row>
    <row r="7089" spans="1:6">
      <c r="A7089" t="str">
        <f t="shared" si="110"/>
        <v/>
      </c>
      <c r="E7089" s="626"/>
      <c r="F7089" s="626"/>
    </row>
    <row r="7090" spans="1:6">
      <c r="A7090" t="str">
        <f t="shared" si="110"/>
        <v/>
      </c>
      <c r="E7090" s="626"/>
      <c r="F7090" s="626"/>
    </row>
    <row r="7091" spans="1:6">
      <c r="A7091" t="str">
        <f t="shared" si="110"/>
        <v/>
      </c>
      <c r="E7091" s="626"/>
      <c r="F7091" s="626"/>
    </row>
    <row r="7092" spans="1:6">
      <c r="A7092" t="str">
        <f t="shared" si="110"/>
        <v/>
      </c>
      <c r="E7092" s="626"/>
      <c r="F7092" s="626"/>
    </row>
    <row r="7093" spans="1:6">
      <c r="A7093" t="str">
        <f t="shared" si="110"/>
        <v/>
      </c>
      <c r="E7093" s="626"/>
      <c r="F7093" s="626"/>
    </row>
    <row r="7094" spans="1:6">
      <c r="A7094" t="str">
        <f t="shared" si="110"/>
        <v/>
      </c>
      <c r="E7094" s="626"/>
      <c r="F7094" s="626"/>
    </row>
    <row r="7095" spans="1:6">
      <c r="A7095" t="str">
        <f t="shared" si="110"/>
        <v/>
      </c>
      <c r="E7095" s="626"/>
      <c r="F7095" s="626"/>
    </row>
    <row r="7096" spans="1:6">
      <c r="A7096" t="str">
        <f t="shared" si="110"/>
        <v/>
      </c>
      <c r="E7096" s="626"/>
      <c r="F7096" s="626"/>
    </row>
    <row r="7097" spans="1:6">
      <c r="A7097" t="str">
        <f t="shared" si="110"/>
        <v/>
      </c>
      <c r="E7097" s="626"/>
      <c r="F7097" s="626"/>
    </row>
    <row r="7098" spans="1:6">
      <c r="A7098" t="str">
        <f t="shared" si="110"/>
        <v/>
      </c>
      <c r="E7098" s="626"/>
      <c r="F7098" s="626"/>
    </row>
    <row r="7099" spans="1:6">
      <c r="A7099" t="str">
        <f t="shared" si="110"/>
        <v/>
      </c>
      <c r="E7099" s="626"/>
      <c r="F7099" s="626"/>
    </row>
    <row r="7100" spans="1:6">
      <c r="A7100" t="str">
        <f t="shared" si="110"/>
        <v/>
      </c>
      <c r="E7100" s="626"/>
      <c r="F7100" s="626"/>
    </row>
    <row r="7101" spans="1:6">
      <c r="A7101" t="str">
        <f t="shared" si="110"/>
        <v/>
      </c>
      <c r="E7101" s="626"/>
      <c r="F7101" s="626"/>
    </row>
    <row r="7102" spans="1:6">
      <c r="A7102" t="str">
        <f t="shared" si="110"/>
        <v/>
      </c>
      <c r="E7102" s="626"/>
      <c r="F7102" s="626"/>
    </row>
    <row r="7103" spans="1:6">
      <c r="A7103" t="str">
        <f t="shared" si="110"/>
        <v/>
      </c>
      <c r="E7103" s="626"/>
      <c r="F7103" s="626"/>
    </row>
    <row r="7104" spans="1:6">
      <c r="A7104" t="str">
        <f t="shared" si="110"/>
        <v/>
      </c>
      <c r="E7104" s="626"/>
      <c r="F7104" s="626"/>
    </row>
    <row r="7105" spans="1:6">
      <c r="A7105" t="str">
        <f t="shared" si="110"/>
        <v/>
      </c>
      <c r="E7105" s="626"/>
      <c r="F7105" s="626"/>
    </row>
    <row r="7106" spans="1:6">
      <c r="A7106" t="str">
        <f t="shared" ref="A7106:A7169" si="111">B7106&amp;E7106&amp;J7106</f>
        <v/>
      </c>
      <c r="E7106" s="626"/>
      <c r="F7106" s="626"/>
    </row>
    <row r="7107" spans="1:6">
      <c r="A7107" t="str">
        <f t="shared" si="111"/>
        <v/>
      </c>
      <c r="E7107" s="626"/>
      <c r="F7107" s="626"/>
    </row>
    <row r="7108" spans="1:6">
      <c r="A7108" t="str">
        <f t="shared" si="111"/>
        <v/>
      </c>
      <c r="E7108" s="626"/>
      <c r="F7108" s="626"/>
    </row>
    <row r="7109" spans="1:6">
      <c r="A7109" t="str">
        <f t="shared" si="111"/>
        <v/>
      </c>
      <c r="E7109" s="626"/>
      <c r="F7109" s="626"/>
    </row>
    <row r="7110" spans="1:6">
      <c r="A7110" t="str">
        <f t="shared" si="111"/>
        <v/>
      </c>
      <c r="E7110" s="626"/>
      <c r="F7110" s="626"/>
    </row>
    <row r="7111" spans="1:6">
      <c r="A7111" t="str">
        <f t="shared" si="111"/>
        <v/>
      </c>
      <c r="E7111" s="626"/>
      <c r="F7111" s="626"/>
    </row>
    <row r="7112" spans="1:6">
      <c r="A7112" t="str">
        <f t="shared" si="111"/>
        <v/>
      </c>
      <c r="E7112" s="626"/>
      <c r="F7112" s="626"/>
    </row>
    <row r="7113" spans="1:6">
      <c r="A7113" t="str">
        <f t="shared" si="111"/>
        <v/>
      </c>
      <c r="E7113" s="626"/>
      <c r="F7113" s="626"/>
    </row>
    <row r="7114" spans="1:6">
      <c r="A7114" t="str">
        <f t="shared" si="111"/>
        <v/>
      </c>
      <c r="E7114" s="626"/>
      <c r="F7114" s="626"/>
    </row>
    <row r="7115" spans="1:6">
      <c r="A7115" t="str">
        <f t="shared" si="111"/>
        <v/>
      </c>
      <c r="E7115" s="626"/>
      <c r="F7115" s="626"/>
    </row>
    <row r="7116" spans="1:6">
      <c r="A7116" t="str">
        <f t="shared" si="111"/>
        <v/>
      </c>
      <c r="E7116" s="626"/>
      <c r="F7116" s="626"/>
    </row>
    <row r="7117" spans="1:6">
      <c r="A7117" t="str">
        <f t="shared" si="111"/>
        <v/>
      </c>
      <c r="E7117" s="626"/>
      <c r="F7117" s="626"/>
    </row>
    <row r="7118" spans="1:6">
      <c r="A7118" t="str">
        <f t="shared" si="111"/>
        <v/>
      </c>
      <c r="E7118" s="626"/>
      <c r="F7118" s="626"/>
    </row>
    <row r="7119" spans="1:6">
      <c r="A7119" t="str">
        <f t="shared" si="111"/>
        <v/>
      </c>
      <c r="E7119" s="626"/>
      <c r="F7119" s="626"/>
    </row>
    <row r="7120" spans="1:6">
      <c r="A7120" t="str">
        <f t="shared" si="111"/>
        <v/>
      </c>
      <c r="E7120" s="626"/>
      <c r="F7120" s="626"/>
    </row>
    <row r="7121" spans="1:6">
      <c r="A7121" t="str">
        <f t="shared" si="111"/>
        <v/>
      </c>
      <c r="E7121" s="626"/>
      <c r="F7121" s="626"/>
    </row>
    <row r="7122" spans="1:6">
      <c r="A7122" t="str">
        <f t="shared" si="111"/>
        <v/>
      </c>
      <c r="E7122" s="626"/>
      <c r="F7122" s="626"/>
    </row>
    <row r="7123" spans="1:6">
      <c r="A7123" t="str">
        <f t="shared" si="111"/>
        <v/>
      </c>
      <c r="E7123" s="626"/>
      <c r="F7123" s="626"/>
    </row>
    <row r="7124" spans="1:6">
      <c r="A7124" t="str">
        <f t="shared" si="111"/>
        <v/>
      </c>
      <c r="E7124" s="626"/>
      <c r="F7124" s="626"/>
    </row>
    <row r="7125" spans="1:6">
      <c r="A7125" t="str">
        <f t="shared" si="111"/>
        <v/>
      </c>
      <c r="E7125" s="626"/>
      <c r="F7125" s="626"/>
    </row>
    <row r="7126" spans="1:6">
      <c r="A7126" t="str">
        <f t="shared" si="111"/>
        <v/>
      </c>
      <c r="E7126" s="626"/>
      <c r="F7126" s="626"/>
    </row>
    <row r="7127" spans="1:6">
      <c r="A7127" t="str">
        <f t="shared" si="111"/>
        <v/>
      </c>
      <c r="E7127" s="626"/>
      <c r="F7127" s="626"/>
    </row>
    <row r="7128" spans="1:6">
      <c r="A7128" t="str">
        <f t="shared" si="111"/>
        <v/>
      </c>
      <c r="E7128" s="626"/>
      <c r="F7128" s="626"/>
    </row>
    <row r="7129" spans="1:6">
      <c r="A7129" t="str">
        <f t="shared" si="111"/>
        <v/>
      </c>
      <c r="E7129" s="626"/>
      <c r="F7129" s="626"/>
    </row>
    <row r="7130" spans="1:6">
      <c r="A7130" t="str">
        <f t="shared" si="111"/>
        <v/>
      </c>
      <c r="E7130" s="626"/>
      <c r="F7130" s="626"/>
    </row>
    <row r="7131" spans="1:6">
      <c r="A7131" t="str">
        <f t="shared" si="111"/>
        <v/>
      </c>
      <c r="E7131" s="626"/>
      <c r="F7131" s="626"/>
    </row>
    <row r="7132" spans="1:6">
      <c r="A7132" t="str">
        <f t="shared" si="111"/>
        <v/>
      </c>
      <c r="E7132" s="626"/>
      <c r="F7132" s="626"/>
    </row>
    <row r="7133" spans="1:6">
      <c r="A7133" t="str">
        <f t="shared" si="111"/>
        <v/>
      </c>
      <c r="E7133" s="626"/>
      <c r="F7133" s="626"/>
    </row>
    <row r="7134" spans="1:6">
      <c r="A7134" t="str">
        <f t="shared" si="111"/>
        <v/>
      </c>
      <c r="E7134" s="626"/>
      <c r="F7134" s="626"/>
    </row>
    <row r="7135" spans="1:6">
      <c r="A7135" t="str">
        <f t="shared" si="111"/>
        <v/>
      </c>
      <c r="E7135" s="626"/>
      <c r="F7135" s="626"/>
    </row>
    <row r="7136" spans="1:6">
      <c r="A7136" t="str">
        <f t="shared" si="111"/>
        <v/>
      </c>
      <c r="E7136" s="626"/>
      <c r="F7136" s="626"/>
    </row>
    <row r="7137" spans="1:6">
      <c r="A7137" t="str">
        <f t="shared" si="111"/>
        <v/>
      </c>
      <c r="E7137" s="626"/>
      <c r="F7137" s="626"/>
    </row>
    <row r="7138" spans="1:6">
      <c r="A7138" t="str">
        <f t="shared" si="111"/>
        <v/>
      </c>
      <c r="E7138" s="626"/>
      <c r="F7138" s="626"/>
    </row>
    <row r="7139" spans="1:6">
      <c r="A7139" t="str">
        <f t="shared" si="111"/>
        <v/>
      </c>
      <c r="E7139" s="626"/>
      <c r="F7139" s="626"/>
    </row>
    <row r="7140" spans="1:6">
      <c r="A7140" t="str">
        <f t="shared" si="111"/>
        <v/>
      </c>
      <c r="E7140" s="626"/>
      <c r="F7140" s="626"/>
    </row>
    <row r="7141" spans="1:6">
      <c r="A7141" t="str">
        <f t="shared" si="111"/>
        <v/>
      </c>
      <c r="E7141" s="626"/>
      <c r="F7141" s="626"/>
    </row>
    <row r="7142" spans="1:6">
      <c r="A7142" t="str">
        <f t="shared" si="111"/>
        <v/>
      </c>
      <c r="E7142" s="626"/>
      <c r="F7142" s="626"/>
    </row>
    <row r="7143" spans="1:6">
      <c r="A7143" t="str">
        <f t="shared" si="111"/>
        <v/>
      </c>
      <c r="E7143" s="626"/>
      <c r="F7143" s="626"/>
    </row>
    <row r="7144" spans="1:6">
      <c r="A7144" t="str">
        <f t="shared" si="111"/>
        <v/>
      </c>
      <c r="E7144" s="626"/>
      <c r="F7144" s="626"/>
    </row>
    <row r="7145" spans="1:6">
      <c r="A7145" t="str">
        <f t="shared" si="111"/>
        <v/>
      </c>
      <c r="E7145" s="626"/>
      <c r="F7145" s="626"/>
    </row>
    <row r="7146" spans="1:6">
      <c r="A7146" t="str">
        <f t="shared" si="111"/>
        <v/>
      </c>
      <c r="E7146" s="626"/>
      <c r="F7146" s="626"/>
    </row>
    <row r="7147" spans="1:6">
      <c r="A7147" t="str">
        <f t="shared" si="111"/>
        <v/>
      </c>
      <c r="E7147" s="626"/>
      <c r="F7147" s="626"/>
    </row>
    <row r="7148" spans="1:6">
      <c r="A7148" t="str">
        <f t="shared" si="111"/>
        <v/>
      </c>
      <c r="E7148" s="626"/>
      <c r="F7148" s="626"/>
    </row>
    <row r="7149" spans="1:6">
      <c r="A7149" t="str">
        <f t="shared" si="111"/>
        <v/>
      </c>
      <c r="E7149" s="626"/>
      <c r="F7149" s="626"/>
    </row>
    <row r="7150" spans="1:6">
      <c r="A7150" t="str">
        <f t="shared" si="111"/>
        <v/>
      </c>
      <c r="E7150" s="626"/>
      <c r="F7150" s="626"/>
    </row>
    <row r="7151" spans="1:6">
      <c r="A7151" t="str">
        <f t="shared" si="111"/>
        <v/>
      </c>
      <c r="E7151" s="626"/>
      <c r="F7151" s="626"/>
    </row>
    <row r="7152" spans="1:6">
      <c r="A7152" t="str">
        <f t="shared" si="111"/>
        <v/>
      </c>
      <c r="E7152" s="626"/>
      <c r="F7152" s="626"/>
    </row>
    <row r="7153" spans="1:6">
      <c r="A7153" t="str">
        <f t="shared" si="111"/>
        <v/>
      </c>
      <c r="E7153" s="626"/>
      <c r="F7153" s="626"/>
    </row>
    <row r="7154" spans="1:6">
      <c r="A7154" t="str">
        <f t="shared" si="111"/>
        <v/>
      </c>
      <c r="E7154" s="626"/>
      <c r="F7154" s="626"/>
    </row>
    <row r="7155" spans="1:6">
      <c r="A7155" t="str">
        <f t="shared" si="111"/>
        <v/>
      </c>
      <c r="E7155" s="626"/>
      <c r="F7155" s="626"/>
    </row>
    <row r="7156" spans="1:6">
      <c r="A7156" t="str">
        <f t="shared" si="111"/>
        <v/>
      </c>
      <c r="E7156" s="626"/>
      <c r="F7156" s="626"/>
    </row>
    <row r="7157" spans="1:6">
      <c r="A7157" t="str">
        <f t="shared" si="111"/>
        <v/>
      </c>
      <c r="E7157" s="626"/>
      <c r="F7157" s="626"/>
    </row>
    <row r="7158" spans="1:6">
      <c r="A7158" t="str">
        <f t="shared" si="111"/>
        <v/>
      </c>
      <c r="E7158" s="626"/>
      <c r="F7158" s="626"/>
    </row>
    <row r="7159" spans="1:6">
      <c r="A7159" t="str">
        <f t="shared" si="111"/>
        <v/>
      </c>
      <c r="E7159" s="626"/>
      <c r="F7159" s="626"/>
    </row>
    <row r="7160" spans="1:6">
      <c r="A7160" t="str">
        <f t="shared" si="111"/>
        <v/>
      </c>
      <c r="E7160" s="626"/>
      <c r="F7160" s="626"/>
    </row>
    <row r="7161" spans="1:6">
      <c r="A7161" t="str">
        <f t="shared" si="111"/>
        <v/>
      </c>
      <c r="E7161" s="626"/>
      <c r="F7161" s="626"/>
    </row>
    <row r="7162" spans="1:6">
      <c r="A7162" t="str">
        <f t="shared" si="111"/>
        <v/>
      </c>
      <c r="E7162" s="626"/>
      <c r="F7162" s="626"/>
    </row>
    <row r="7163" spans="1:6">
      <c r="A7163" t="str">
        <f t="shared" si="111"/>
        <v/>
      </c>
      <c r="E7163" s="626"/>
      <c r="F7163" s="626"/>
    </row>
    <row r="7164" spans="1:6">
      <c r="A7164" t="str">
        <f t="shared" si="111"/>
        <v/>
      </c>
      <c r="E7164" s="626"/>
      <c r="F7164" s="626"/>
    </row>
    <row r="7165" spans="1:6">
      <c r="A7165" t="str">
        <f t="shared" si="111"/>
        <v/>
      </c>
      <c r="E7165" s="626"/>
      <c r="F7165" s="626"/>
    </row>
    <row r="7166" spans="1:6">
      <c r="A7166" t="str">
        <f t="shared" si="111"/>
        <v/>
      </c>
      <c r="E7166" s="626"/>
      <c r="F7166" s="626"/>
    </row>
    <row r="7167" spans="1:6">
      <c r="A7167" t="str">
        <f t="shared" si="111"/>
        <v/>
      </c>
      <c r="E7167" s="626"/>
      <c r="F7167" s="626"/>
    </row>
    <row r="7168" spans="1:6">
      <c r="A7168" t="str">
        <f t="shared" si="111"/>
        <v/>
      </c>
      <c r="E7168" s="626"/>
      <c r="F7168" s="626"/>
    </row>
    <row r="7169" spans="1:6">
      <c r="A7169" t="str">
        <f t="shared" si="111"/>
        <v/>
      </c>
      <c r="E7169" s="626"/>
      <c r="F7169" s="626"/>
    </row>
    <row r="7170" spans="1:6">
      <c r="A7170" t="str">
        <f t="shared" ref="A7170:A7233" si="112">B7170&amp;E7170&amp;J7170</f>
        <v/>
      </c>
      <c r="E7170" s="626"/>
      <c r="F7170" s="626"/>
    </row>
    <row r="7171" spans="1:6">
      <c r="A7171" t="str">
        <f t="shared" si="112"/>
        <v/>
      </c>
      <c r="E7171" s="626"/>
      <c r="F7171" s="626"/>
    </row>
    <row r="7172" spans="1:6">
      <c r="A7172" t="str">
        <f t="shared" si="112"/>
        <v/>
      </c>
      <c r="E7172" s="626"/>
      <c r="F7172" s="626"/>
    </row>
    <row r="7173" spans="1:6">
      <c r="A7173" t="str">
        <f t="shared" si="112"/>
        <v/>
      </c>
      <c r="E7173" s="626"/>
      <c r="F7173" s="626"/>
    </row>
    <row r="7174" spans="1:6">
      <c r="A7174" t="str">
        <f t="shared" si="112"/>
        <v/>
      </c>
      <c r="E7174" s="626"/>
      <c r="F7174" s="626"/>
    </row>
    <row r="7175" spans="1:6">
      <c r="A7175" t="str">
        <f t="shared" si="112"/>
        <v/>
      </c>
      <c r="E7175" s="626"/>
      <c r="F7175" s="626"/>
    </row>
    <row r="7176" spans="1:6">
      <c r="A7176" t="str">
        <f t="shared" si="112"/>
        <v/>
      </c>
      <c r="E7176" s="626"/>
      <c r="F7176" s="626"/>
    </row>
    <row r="7177" spans="1:6">
      <c r="A7177" t="str">
        <f t="shared" si="112"/>
        <v/>
      </c>
      <c r="E7177" s="626"/>
      <c r="F7177" s="626"/>
    </row>
    <row r="7178" spans="1:6">
      <c r="A7178" t="str">
        <f t="shared" si="112"/>
        <v/>
      </c>
      <c r="E7178" s="626"/>
      <c r="F7178" s="626"/>
    </row>
    <row r="7179" spans="1:6">
      <c r="A7179" t="str">
        <f t="shared" si="112"/>
        <v/>
      </c>
      <c r="E7179" s="626"/>
      <c r="F7179" s="626"/>
    </row>
    <row r="7180" spans="1:6">
      <c r="A7180" t="str">
        <f t="shared" si="112"/>
        <v/>
      </c>
      <c r="E7180" s="626"/>
      <c r="F7180" s="626"/>
    </row>
    <row r="7181" spans="1:6">
      <c r="A7181" t="str">
        <f t="shared" si="112"/>
        <v/>
      </c>
      <c r="E7181" s="626"/>
      <c r="F7181" s="626"/>
    </row>
    <row r="7182" spans="1:6">
      <c r="A7182" t="str">
        <f t="shared" si="112"/>
        <v/>
      </c>
      <c r="E7182" s="626"/>
      <c r="F7182" s="626"/>
    </row>
    <row r="7183" spans="1:6">
      <c r="A7183" t="str">
        <f t="shared" si="112"/>
        <v/>
      </c>
      <c r="E7183" s="626"/>
      <c r="F7183" s="626"/>
    </row>
    <row r="7184" spans="1:6">
      <c r="A7184" t="str">
        <f t="shared" si="112"/>
        <v/>
      </c>
      <c r="E7184" s="626"/>
      <c r="F7184" s="626"/>
    </row>
    <row r="7185" spans="1:6">
      <c r="A7185" t="str">
        <f t="shared" si="112"/>
        <v/>
      </c>
      <c r="E7185" s="626"/>
      <c r="F7185" s="626"/>
    </row>
    <row r="7186" spans="1:6">
      <c r="A7186" t="str">
        <f t="shared" si="112"/>
        <v/>
      </c>
      <c r="E7186" s="626"/>
      <c r="F7186" s="626"/>
    </row>
    <row r="7187" spans="1:6">
      <c r="A7187" t="str">
        <f t="shared" si="112"/>
        <v/>
      </c>
      <c r="E7187" s="626"/>
      <c r="F7187" s="626"/>
    </row>
    <row r="7188" spans="1:6">
      <c r="A7188" t="str">
        <f t="shared" si="112"/>
        <v/>
      </c>
      <c r="E7188" s="626"/>
      <c r="F7188" s="626"/>
    </row>
    <row r="7189" spans="1:6">
      <c r="A7189" t="str">
        <f t="shared" si="112"/>
        <v/>
      </c>
      <c r="E7189" s="626"/>
      <c r="F7189" s="626"/>
    </row>
    <row r="7190" spans="1:6">
      <c r="A7190" t="str">
        <f t="shared" si="112"/>
        <v/>
      </c>
      <c r="E7190" s="626"/>
      <c r="F7190" s="626"/>
    </row>
    <row r="7191" spans="1:6">
      <c r="A7191" t="str">
        <f t="shared" si="112"/>
        <v/>
      </c>
      <c r="E7191" s="626"/>
      <c r="F7191" s="626"/>
    </row>
    <row r="7192" spans="1:6">
      <c r="A7192" t="str">
        <f t="shared" si="112"/>
        <v/>
      </c>
      <c r="E7192" s="626"/>
      <c r="F7192" s="626"/>
    </row>
    <row r="7193" spans="1:6">
      <c r="A7193" t="str">
        <f t="shared" si="112"/>
        <v/>
      </c>
      <c r="E7193" s="626"/>
      <c r="F7193" s="626"/>
    </row>
    <row r="7194" spans="1:6">
      <c r="A7194" t="str">
        <f t="shared" si="112"/>
        <v/>
      </c>
      <c r="E7194" s="626"/>
      <c r="F7194" s="626"/>
    </row>
    <row r="7195" spans="1:6">
      <c r="A7195" t="str">
        <f t="shared" si="112"/>
        <v/>
      </c>
      <c r="E7195" s="626"/>
      <c r="F7195" s="626"/>
    </row>
    <row r="7196" spans="1:6">
      <c r="A7196" t="str">
        <f t="shared" si="112"/>
        <v/>
      </c>
      <c r="E7196" s="626"/>
      <c r="F7196" s="626"/>
    </row>
    <row r="7197" spans="1:6">
      <c r="A7197" t="str">
        <f t="shared" si="112"/>
        <v/>
      </c>
      <c r="E7197" s="626"/>
      <c r="F7197" s="626"/>
    </row>
    <row r="7198" spans="1:6">
      <c r="A7198" t="str">
        <f t="shared" si="112"/>
        <v/>
      </c>
      <c r="E7198" s="626"/>
      <c r="F7198" s="626"/>
    </row>
    <row r="7199" spans="1:6">
      <c r="A7199" t="str">
        <f t="shared" si="112"/>
        <v/>
      </c>
      <c r="E7199" s="626"/>
      <c r="F7199" s="626"/>
    </row>
    <row r="7200" spans="1:6">
      <c r="A7200" t="str">
        <f t="shared" si="112"/>
        <v/>
      </c>
      <c r="E7200" s="626"/>
      <c r="F7200" s="626"/>
    </row>
    <row r="7201" spans="1:6">
      <c r="A7201" t="str">
        <f t="shared" si="112"/>
        <v/>
      </c>
      <c r="E7201" s="626"/>
      <c r="F7201" s="626"/>
    </row>
    <row r="7202" spans="1:6">
      <c r="A7202" t="str">
        <f t="shared" si="112"/>
        <v/>
      </c>
      <c r="E7202" s="626"/>
      <c r="F7202" s="626"/>
    </row>
    <row r="7203" spans="1:6">
      <c r="A7203" t="str">
        <f t="shared" si="112"/>
        <v/>
      </c>
      <c r="E7203" s="626"/>
      <c r="F7203" s="626"/>
    </row>
    <row r="7204" spans="1:6">
      <c r="A7204" t="str">
        <f t="shared" si="112"/>
        <v/>
      </c>
      <c r="E7204" s="626"/>
      <c r="F7204" s="626"/>
    </row>
    <row r="7205" spans="1:6">
      <c r="A7205" t="str">
        <f t="shared" si="112"/>
        <v/>
      </c>
      <c r="E7205" s="626"/>
      <c r="F7205" s="626"/>
    </row>
    <row r="7206" spans="1:6">
      <c r="A7206" t="str">
        <f t="shared" si="112"/>
        <v/>
      </c>
      <c r="E7206" s="626"/>
      <c r="F7206" s="626"/>
    </row>
    <row r="7207" spans="1:6">
      <c r="A7207" t="str">
        <f t="shared" si="112"/>
        <v/>
      </c>
      <c r="E7207" s="626"/>
      <c r="F7207" s="626"/>
    </row>
    <row r="7208" spans="1:6">
      <c r="A7208" t="str">
        <f t="shared" si="112"/>
        <v/>
      </c>
      <c r="E7208" s="626"/>
      <c r="F7208" s="626"/>
    </row>
    <row r="7209" spans="1:6">
      <c r="A7209" t="str">
        <f t="shared" si="112"/>
        <v/>
      </c>
      <c r="E7209" s="626"/>
      <c r="F7209" s="626"/>
    </row>
    <row r="7210" spans="1:6">
      <c r="A7210" t="str">
        <f t="shared" si="112"/>
        <v/>
      </c>
      <c r="E7210" s="626"/>
      <c r="F7210" s="626"/>
    </row>
    <row r="7211" spans="1:6">
      <c r="A7211" t="str">
        <f t="shared" si="112"/>
        <v/>
      </c>
      <c r="E7211" s="626"/>
      <c r="F7211" s="626"/>
    </row>
    <row r="7212" spans="1:6">
      <c r="A7212" t="str">
        <f t="shared" si="112"/>
        <v/>
      </c>
      <c r="E7212" s="626"/>
      <c r="F7212" s="626"/>
    </row>
    <row r="7213" spans="1:6">
      <c r="A7213" t="str">
        <f t="shared" si="112"/>
        <v/>
      </c>
      <c r="E7213" s="626"/>
      <c r="F7213" s="626"/>
    </row>
    <row r="7214" spans="1:6">
      <c r="A7214" t="str">
        <f t="shared" si="112"/>
        <v/>
      </c>
      <c r="E7214" s="626"/>
      <c r="F7214" s="626"/>
    </row>
    <row r="7215" spans="1:6">
      <c r="A7215" t="str">
        <f t="shared" si="112"/>
        <v/>
      </c>
      <c r="E7215" s="626"/>
      <c r="F7215" s="626"/>
    </row>
    <row r="7216" spans="1:6">
      <c r="A7216" t="str">
        <f t="shared" si="112"/>
        <v/>
      </c>
      <c r="E7216" s="626"/>
      <c r="F7216" s="626"/>
    </row>
    <row r="7217" spans="1:6">
      <c r="A7217" t="str">
        <f t="shared" si="112"/>
        <v/>
      </c>
      <c r="E7217" s="626"/>
      <c r="F7217" s="626"/>
    </row>
    <row r="7218" spans="1:6">
      <c r="A7218" t="str">
        <f t="shared" si="112"/>
        <v/>
      </c>
      <c r="E7218" s="626"/>
      <c r="F7218" s="626"/>
    </row>
    <row r="7219" spans="1:6">
      <c r="A7219" t="str">
        <f t="shared" si="112"/>
        <v/>
      </c>
      <c r="E7219" s="626"/>
      <c r="F7219" s="626"/>
    </row>
    <row r="7220" spans="1:6">
      <c r="A7220" t="str">
        <f t="shared" si="112"/>
        <v/>
      </c>
      <c r="E7220" s="626"/>
      <c r="F7220" s="626"/>
    </row>
    <row r="7221" spans="1:6">
      <c r="A7221" t="str">
        <f t="shared" si="112"/>
        <v/>
      </c>
      <c r="E7221" s="626"/>
      <c r="F7221" s="626"/>
    </row>
    <row r="7222" spans="1:6">
      <c r="A7222" t="str">
        <f t="shared" si="112"/>
        <v/>
      </c>
      <c r="E7222" s="626"/>
      <c r="F7222" s="626"/>
    </row>
    <row r="7223" spans="1:6">
      <c r="A7223" t="str">
        <f t="shared" si="112"/>
        <v/>
      </c>
      <c r="E7223" s="626"/>
      <c r="F7223" s="626"/>
    </row>
    <row r="7224" spans="1:6">
      <c r="A7224" t="str">
        <f t="shared" si="112"/>
        <v/>
      </c>
      <c r="E7224" s="626"/>
      <c r="F7224" s="626"/>
    </row>
    <row r="7225" spans="1:6">
      <c r="A7225" t="str">
        <f t="shared" si="112"/>
        <v/>
      </c>
      <c r="E7225" s="626"/>
      <c r="F7225" s="626"/>
    </row>
    <row r="7226" spans="1:6">
      <c r="A7226" t="str">
        <f t="shared" si="112"/>
        <v/>
      </c>
      <c r="E7226" s="626"/>
      <c r="F7226" s="626"/>
    </row>
    <row r="7227" spans="1:6">
      <c r="A7227" t="str">
        <f t="shared" si="112"/>
        <v/>
      </c>
      <c r="E7227" s="626"/>
      <c r="F7227" s="626"/>
    </row>
    <row r="7228" spans="1:6">
      <c r="A7228" t="str">
        <f t="shared" si="112"/>
        <v/>
      </c>
      <c r="E7228" s="626"/>
      <c r="F7228" s="626"/>
    </row>
    <row r="7229" spans="1:6">
      <c r="A7229" t="str">
        <f t="shared" si="112"/>
        <v/>
      </c>
      <c r="E7229" s="626"/>
      <c r="F7229" s="626"/>
    </row>
    <row r="7230" spans="1:6">
      <c r="A7230" t="str">
        <f t="shared" si="112"/>
        <v/>
      </c>
      <c r="E7230" s="626"/>
      <c r="F7230" s="626"/>
    </row>
    <row r="7231" spans="1:6">
      <c r="A7231" t="str">
        <f t="shared" si="112"/>
        <v/>
      </c>
      <c r="E7231" s="626"/>
      <c r="F7231" s="626"/>
    </row>
    <row r="7232" spans="1:6">
      <c r="A7232" t="str">
        <f t="shared" si="112"/>
        <v/>
      </c>
      <c r="E7232" s="626"/>
      <c r="F7232" s="626"/>
    </row>
    <row r="7233" spans="1:6">
      <c r="A7233" t="str">
        <f t="shared" si="112"/>
        <v/>
      </c>
      <c r="E7233" s="626"/>
      <c r="F7233" s="626"/>
    </row>
    <row r="7234" spans="1:6">
      <c r="A7234" t="str">
        <f t="shared" ref="A7234:A7297" si="113">B7234&amp;E7234&amp;J7234</f>
        <v/>
      </c>
      <c r="E7234" s="626"/>
      <c r="F7234" s="626"/>
    </row>
    <row r="7235" spans="1:6">
      <c r="A7235" t="str">
        <f t="shared" si="113"/>
        <v/>
      </c>
      <c r="E7235" s="626"/>
      <c r="F7235" s="626"/>
    </row>
    <row r="7236" spans="1:6">
      <c r="A7236" t="str">
        <f t="shared" si="113"/>
        <v/>
      </c>
      <c r="E7236" s="626"/>
      <c r="F7236" s="626"/>
    </row>
    <row r="7237" spans="1:6">
      <c r="A7237" t="str">
        <f t="shared" si="113"/>
        <v/>
      </c>
      <c r="E7237" s="626"/>
      <c r="F7237" s="626"/>
    </row>
    <row r="7238" spans="1:6">
      <c r="A7238" t="str">
        <f t="shared" si="113"/>
        <v/>
      </c>
      <c r="E7238" s="626"/>
      <c r="F7238" s="626"/>
    </row>
    <row r="7239" spans="1:6">
      <c r="A7239" t="str">
        <f t="shared" si="113"/>
        <v/>
      </c>
      <c r="E7239" s="626"/>
      <c r="F7239" s="626"/>
    </row>
    <row r="7240" spans="1:6">
      <c r="A7240" t="str">
        <f t="shared" si="113"/>
        <v/>
      </c>
      <c r="E7240" s="626"/>
      <c r="F7240" s="626"/>
    </row>
    <row r="7241" spans="1:6">
      <c r="A7241" t="str">
        <f t="shared" si="113"/>
        <v/>
      </c>
      <c r="E7241" s="626"/>
      <c r="F7241" s="626"/>
    </row>
    <row r="7242" spans="1:6">
      <c r="A7242" t="str">
        <f t="shared" si="113"/>
        <v/>
      </c>
      <c r="E7242" s="626"/>
      <c r="F7242" s="626"/>
    </row>
    <row r="7243" spans="1:6">
      <c r="A7243" t="str">
        <f t="shared" si="113"/>
        <v/>
      </c>
      <c r="E7243" s="626"/>
      <c r="F7243" s="626"/>
    </row>
    <row r="7244" spans="1:6">
      <c r="A7244" t="str">
        <f t="shared" si="113"/>
        <v/>
      </c>
      <c r="E7244" s="626"/>
      <c r="F7244" s="626"/>
    </row>
    <row r="7245" spans="1:6">
      <c r="A7245" t="str">
        <f t="shared" si="113"/>
        <v/>
      </c>
      <c r="E7245" s="626"/>
      <c r="F7245" s="626"/>
    </row>
    <row r="7246" spans="1:6">
      <c r="A7246" t="str">
        <f t="shared" si="113"/>
        <v/>
      </c>
      <c r="E7246" s="626"/>
      <c r="F7246" s="626"/>
    </row>
    <row r="7247" spans="1:6">
      <c r="A7247" t="str">
        <f t="shared" si="113"/>
        <v/>
      </c>
      <c r="E7247" s="626"/>
      <c r="F7247" s="626"/>
    </row>
    <row r="7248" spans="1:6">
      <c r="A7248" t="str">
        <f t="shared" si="113"/>
        <v/>
      </c>
      <c r="E7248" s="626"/>
      <c r="F7248" s="626"/>
    </row>
    <row r="7249" spans="1:6">
      <c r="A7249" t="str">
        <f t="shared" si="113"/>
        <v/>
      </c>
      <c r="E7249" s="626"/>
      <c r="F7249" s="626"/>
    </row>
    <row r="7250" spans="1:6">
      <c r="A7250" t="str">
        <f t="shared" si="113"/>
        <v/>
      </c>
      <c r="E7250" s="626"/>
      <c r="F7250" s="626"/>
    </row>
    <row r="7251" spans="1:6">
      <c r="A7251" t="str">
        <f t="shared" si="113"/>
        <v/>
      </c>
      <c r="E7251" s="626"/>
      <c r="F7251" s="626"/>
    </row>
    <row r="7252" spans="1:6">
      <c r="A7252" t="str">
        <f t="shared" si="113"/>
        <v/>
      </c>
      <c r="E7252" s="626"/>
      <c r="F7252" s="626"/>
    </row>
    <row r="7253" spans="1:6">
      <c r="A7253" t="str">
        <f t="shared" si="113"/>
        <v/>
      </c>
      <c r="E7253" s="626"/>
      <c r="F7253" s="626"/>
    </row>
    <row r="7254" spans="1:6">
      <c r="A7254" t="str">
        <f t="shared" si="113"/>
        <v/>
      </c>
      <c r="E7254" s="626"/>
      <c r="F7254" s="626"/>
    </row>
    <row r="7255" spans="1:6">
      <c r="A7255" t="str">
        <f t="shared" si="113"/>
        <v/>
      </c>
      <c r="E7255" s="626"/>
      <c r="F7255" s="626"/>
    </row>
    <row r="7256" spans="1:6">
      <c r="A7256" t="str">
        <f t="shared" si="113"/>
        <v/>
      </c>
      <c r="E7256" s="626"/>
      <c r="F7256" s="626"/>
    </row>
    <row r="7257" spans="1:6">
      <c r="A7257" t="str">
        <f t="shared" si="113"/>
        <v/>
      </c>
      <c r="E7257" s="626"/>
      <c r="F7257" s="626"/>
    </row>
    <row r="7258" spans="1:6">
      <c r="A7258" t="str">
        <f t="shared" si="113"/>
        <v/>
      </c>
      <c r="E7258" s="626"/>
      <c r="F7258" s="626"/>
    </row>
    <row r="7259" spans="1:6">
      <c r="A7259" t="str">
        <f t="shared" si="113"/>
        <v/>
      </c>
      <c r="E7259" s="626"/>
      <c r="F7259" s="626"/>
    </row>
    <row r="7260" spans="1:6">
      <c r="A7260" t="str">
        <f t="shared" si="113"/>
        <v/>
      </c>
      <c r="E7260" s="626"/>
      <c r="F7260" s="626"/>
    </row>
    <row r="7261" spans="1:6">
      <c r="A7261" t="str">
        <f t="shared" si="113"/>
        <v/>
      </c>
      <c r="E7261" s="626"/>
      <c r="F7261" s="626"/>
    </row>
    <row r="7262" spans="1:6">
      <c r="A7262" t="str">
        <f t="shared" si="113"/>
        <v/>
      </c>
      <c r="E7262" s="626"/>
      <c r="F7262" s="626"/>
    </row>
    <row r="7263" spans="1:6">
      <c r="A7263" t="str">
        <f t="shared" si="113"/>
        <v/>
      </c>
      <c r="E7263" s="626"/>
      <c r="F7263" s="626"/>
    </row>
    <row r="7264" spans="1:6">
      <c r="A7264" t="str">
        <f t="shared" si="113"/>
        <v/>
      </c>
      <c r="E7264" s="626"/>
      <c r="F7264" s="626"/>
    </row>
    <row r="7265" spans="1:6">
      <c r="A7265" t="str">
        <f t="shared" si="113"/>
        <v/>
      </c>
      <c r="E7265" s="626"/>
      <c r="F7265" s="626"/>
    </row>
    <row r="7266" spans="1:6">
      <c r="A7266" t="str">
        <f t="shared" si="113"/>
        <v/>
      </c>
      <c r="E7266" s="626"/>
      <c r="F7266" s="626"/>
    </row>
    <row r="7267" spans="1:6">
      <c r="A7267" t="str">
        <f t="shared" si="113"/>
        <v/>
      </c>
      <c r="E7267" s="626"/>
      <c r="F7267" s="626"/>
    </row>
    <row r="7268" spans="1:6">
      <c r="A7268" t="str">
        <f t="shared" si="113"/>
        <v/>
      </c>
      <c r="E7268" s="626"/>
      <c r="F7268" s="626"/>
    </row>
    <row r="7269" spans="1:6">
      <c r="A7269" t="str">
        <f t="shared" si="113"/>
        <v/>
      </c>
      <c r="E7269" s="626"/>
      <c r="F7269" s="626"/>
    </row>
    <row r="7270" spans="1:6">
      <c r="A7270" t="str">
        <f t="shared" si="113"/>
        <v/>
      </c>
      <c r="E7270" s="626"/>
      <c r="F7270" s="626"/>
    </row>
    <row r="7271" spans="1:6">
      <c r="A7271" t="str">
        <f t="shared" si="113"/>
        <v/>
      </c>
      <c r="E7271" s="626"/>
      <c r="F7271" s="626"/>
    </row>
    <row r="7272" spans="1:6">
      <c r="A7272" t="str">
        <f t="shared" si="113"/>
        <v/>
      </c>
      <c r="E7272" s="626"/>
      <c r="F7272" s="626"/>
    </row>
    <row r="7273" spans="1:6">
      <c r="A7273" t="str">
        <f t="shared" si="113"/>
        <v/>
      </c>
      <c r="E7273" s="626"/>
      <c r="F7273" s="626"/>
    </row>
    <row r="7274" spans="1:6">
      <c r="A7274" t="str">
        <f t="shared" si="113"/>
        <v/>
      </c>
      <c r="E7274" s="626"/>
      <c r="F7274" s="626"/>
    </row>
    <row r="7275" spans="1:6">
      <c r="A7275" t="str">
        <f t="shared" si="113"/>
        <v/>
      </c>
      <c r="E7275" s="626"/>
      <c r="F7275" s="626"/>
    </row>
    <row r="7276" spans="1:6">
      <c r="A7276" t="str">
        <f t="shared" si="113"/>
        <v/>
      </c>
      <c r="E7276" s="626"/>
      <c r="F7276" s="626"/>
    </row>
    <row r="7277" spans="1:6">
      <c r="A7277" t="str">
        <f t="shared" si="113"/>
        <v/>
      </c>
      <c r="E7277" s="626"/>
      <c r="F7277" s="626"/>
    </row>
    <row r="7278" spans="1:6">
      <c r="A7278" t="str">
        <f t="shared" si="113"/>
        <v/>
      </c>
      <c r="E7278" s="626"/>
      <c r="F7278" s="626"/>
    </row>
    <row r="7279" spans="1:6">
      <c r="A7279" t="str">
        <f t="shared" si="113"/>
        <v/>
      </c>
      <c r="E7279" s="626"/>
      <c r="F7279" s="626"/>
    </row>
    <row r="7280" spans="1:6">
      <c r="A7280" t="str">
        <f t="shared" si="113"/>
        <v/>
      </c>
      <c r="E7280" s="626"/>
      <c r="F7280" s="626"/>
    </row>
    <row r="7281" spans="1:6">
      <c r="A7281" t="str">
        <f t="shared" si="113"/>
        <v/>
      </c>
      <c r="E7281" s="626"/>
      <c r="F7281" s="626"/>
    </row>
    <row r="7282" spans="1:6">
      <c r="A7282" t="str">
        <f t="shared" si="113"/>
        <v/>
      </c>
      <c r="E7282" s="626"/>
      <c r="F7282" s="626"/>
    </row>
    <row r="7283" spans="1:6">
      <c r="A7283" t="str">
        <f t="shared" si="113"/>
        <v/>
      </c>
      <c r="E7283" s="626"/>
      <c r="F7283" s="626"/>
    </row>
    <row r="7284" spans="1:6">
      <c r="A7284" t="str">
        <f t="shared" si="113"/>
        <v/>
      </c>
      <c r="E7284" s="626"/>
      <c r="F7284" s="626"/>
    </row>
    <row r="7285" spans="1:6">
      <c r="A7285" t="str">
        <f t="shared" si="113"/>
        <v/>
      </c>
      <c r="E7285" s="626"/>
      <c r="F7285" s="626"/>
    </row>
    <row r="7286" spans="1:6">
      <c r="A7286" t="str">
        <f t="shared" si="113"/>
        <v/>
      </c>
      <c r="E7286" s="626"/>
      <c r="F7286" s="626"/>
    </row>
    <row r="7287" spans="1:6">
      <c r="A7287" t="str">
        <f t="shared" si="113"/>
        <v/>
      </c>
      <c r="E7287" s="626"/>
      <c r="F7287" s="626"/>
    </row>
    <row r="7288" spans="1:6">
      <c r="A7288" t="str">
        <f t="shared" si="113"/>
        <v/>
      </c>
      <c r="E7288" s="626"/>
      <c r="F7288" s="626"/>
    </row>
    <row r="7289" spans="1:6">
      <c r="A7289" t="str">
        <f t="shared" si="113"/>
        <v/>
      </c>
      <c r="E7289" s="626"/>
      <c r="F7289" s="626"/>
    </row>
    <row r="7290" spans="1:6">
      <c r="A7290" t="str">
        <f t="shared" si="113"/>
        <v/>
      </c>
      <c r="E7290" s="626"/>
      <c r="F7290" s="626"/>
    </row>
    <row r="7291" spans="1:6">
      <c r="A7291" t="str">
        <f t="shared" si="113"/>
        <v/>
      </c>
      <c r="E7291" s="626"/>
      <c r="F7291" s="626"/>
    </row>
    <row r="7292" spans="1:6">
      <c r="A7292" t="str">
        <f t="shared" si="113"/>
        <v/>
      </c>
      <c r="E7292" s="626"/>
      <c r="F7292" s="626"/>
    </row>
    <row r="7293" spans="1:6">
      <c r="A7293" t="str">
        <f t="shared" si="113"/>
        <v/>
      </c>
      <c r="E7293" s="626"/>
      <c r="F7293" s="626"/>
    </row>
    <row r="7294" spans="1:6">
      <c r="A7294" t="str">
        <f t="shared" si="113"/>
        <v/>
      </c>
      <c r="E7294" s="626"/>
      <c r="F7294" s="626"/>
    </row>
    <row r="7295" spans="1:6">
      <c r="A7295" t="str">
        <f t="shared" si="113"/>
        <v/>
      </c>
      <c r="E7295" s="626"/>
      <c r="F7295" s="626"/>
    </row>
    <row r="7296" spans="1:6">
      <c r="A7296" t="str">
        <f t="shared" si="113"/>
        <v/>
      </c>
      <c r="E7296" s="626"/>
      <c r="F7296" s="626"/>
    </row>
    <row r="7297" spans="1:6">
      <c r="A7297" t="str">
        <f t="shared" si="113"/>
        <v/>
      </c>
      <c r="E7297" s="626"/>
      <c r="F7297" s="626"/>
    </row>
    <row r="7298" spans="1:6">
      <c r="A7298" t="str">
        <f t="shared" ref="A7298:A7361" si="114">B7298&amp;E7298&amp;J7298</f>
        <v/>
      </c>
      <c r="E7298" s="626"/>
      <c r="F7298" s="626"/>
    </row>
    <row r="7299" spans="1:6">
      <c r="A7299" t="str">
        <f t="shared" si="114"/>
        <v/>
      </c>
      <c r="E7299" s="626"/>
      <c r="F7299" s="626"/>
    </row>
    <row r="7300" spans="1:6">
      <c r="A7300" t="str">
        <f t="shared" si="114"/>
        <v/>
      </c>
      <c r="E7300" s="626"/>
      <c r="F7300" s="626"/>
    </row>
    <row r="7301" spans="1:6">
      <c r="A7301" t="str">
        <f t="shared" si="114"/>
        <v/>
      </c>
      <c r="E7301" s="626"/>
      <c r="F7301" s="626"/>
    </row>
    <row r="7302" spans="1:6">
      <c r="A7302" t="str">
        <f t="shared" si="114"/>
        <v/>
      </c>
      <c r="E7302" s="626"/>
      <c r="F7302" s="626"/>
    </row>
    <row r="7303" spans="1:6">
      <c r="A7303" t="str">
        <f t="shared" si="114"/>
        <v/>
      </c>
      <c r="E7303" s="626"/>
      <c r="F7303" s="626"/>
    </row>
    <row r="7304" spans="1:6">
      <c r="A7304" t="str">
        <f t="shared" si="114"/>
        <v/>
      </c>
      <c r="E7304" s="626"/>
      <c r="F7304" s="626"/>
    </row>
    <row r="7305" spans="1:6">
      <c r="A7305" t="str">
        <f t="shared" si="114"/>
        <v/>
      </c>
      <c r="E7305" s="626"/>
      <c r="F7305" s="626"/>
    </row>
    <row r="7306" spans="1:6">
      <c r="A7306" t="str">
        <f t="shared" si="114"/>
        <v/>
      </c>
      <c r="E7306" s="626"/>
      <c r="F7306" s="626"/>
    </row>
    <row r="7307" spans="1:6">
      <c r="A7307" t="str">
        <f t="shared" si="114"/>
        <v/>
      </c>
      <c r="E7307" s="626"/>
      <c r="F7307" s="626"/>
    </row>
    <row r="7308" spans="1:6">
      <c r="A7308" t="str">
        <f t="shared" si="114"/>
        <v/>
      </c>
      <c r="E7308" s="626"/>
      <c r="F7308" s="626"/>
    </row>
    <row r="7309" spans="1:6">
      <c r="A7309" t="str">
        <f t="shared" si="114"/>
        <v/>
      </c>
      <c r="E7309" s="626"/>
      <c r="F7309" s="626"/>
    </row>
    <row r="7310" spans="1:6">
      <c r="A7310" t="str">
        <f t="shared" si="114"/>
        <v/>
      </c>
      <c r="E7310" s="626"/>
      <c r="F7310" s="626"/>
    </row>
    <row r="7311" spans="1:6">
      <c r="A7311" t="str">
        <f t="shared" si="114"/>
        <v/>
      </c>
      <c r="E7311" s="626"/>
      <c r="F7311" s="626"/>
    </row>
    <row r="7312" spans="1:6">
      <c r="A7312" t="str">
        <f t="shared" si="114"/>
        <v/>
      </c>
      <c r="E7312" s="626"/>
      <c r="F7312" s="626"/>
    </row>
    <row r="7313" spans="1:6">
      <c r="A7313" t="str">
        <f t="shared" si="114"/>
        <v/>
      </c>
      <c r="E7313" s="626"/>
      <c r="F7313" s="626"/>
    </row>
    <row r="7314" spans="1:6">
      <c r="A7314" t="str">
        <f t="shared" si="114"/>
        <v/>
      </c>
      <c r="E7314" s="626"/>
      <c r="F7314" s="626"/>
    </row>
    <row r="7315" spans="1:6">
      <c r="A7315" t="str">
        <f t="shared" si="114"/>
        <v/>
      </c>
      <c r="E7315" s="626"/>
      <c r="F7315" s="626"/>
    </row>
    <row r="7316" spans="1:6">
      <c r="A7316" t="str">
        <f t="shared" si="114"/>
        <v/>
      </c>
      <c r="E7316" s="626"/>
      <c r="F7316" s="626"/>
    </row>
    <row r="7317" spans="1:6">
      <c r="A7317" t="str">
        <f t="shared" si="114"/>
        <v/>
      </c>
      <c r="E7317" s="626"/>
      <c r="F7317" s="626"/>
    </row>
    <row r="7318" spans="1:6">
      <c r="A7318" t="str">
        <f t="shared" si="114"/>
        <v/>
      </c>
      <c r="E7318" s="626"/>
      <c r="F7318" s="626"/>
    </row>
    <row r="7319" spans="1:6">
      <c r="A7319" t="str">
        <f t="shared" si="114"/>
        <v/>
      </c>
      <c r="E7319" s="626"/>
      <c r="F7319" s="626"/>
    </row>
    <row r="7320" spans="1:6">
      <c r="A7320" t="str">
        <f t="shared" si="114"/>
        <v/>
      </c>
      <c r="E7320" s="626"/>
      <c r="F7320" s="626"/>
    </row>
    <row r="7321" spans="1:6">
      <c r="A7321" t="str">
        <f t="shared" si="114"/>
        <v/>
      </c>
      <c r="E7321" s="626"/>
      <c r="F7321" s="626"/>
    </row>
    <row r="7322" spans="1:6">
      <c r="A7322" t="str">
        <f t="shared" si="114"/>
        <v/>
      </c>
      <c r="E7322" s="626"/>
      <c r="F7322" s="626"/>
    </row>
    <row r="7323" spans="1:6">
      <c r="A7323" t="str">
        <f t="shared" si="114"/>
        <v/>
      </c>
      <c r="E7323" s="626"/>
      <c r="F7323" s="626"/>
    </row>
    <row r="7324" spans="1:6">
      <c r="A7324" t="str">
        <f t="shared" si="114"/>
        <v/>
      </c>
      <c r="E7324" s="626"/>
      <c r="F7324" s="626"/>
    </row>
    <row r="7325" spans="1:6">
      <c r="A7325" t="str">
        <f t="shared" si="114"/>
        <v/>
      </c>
      <c r="E7325" s="626"/>
      <c r="F7325" s="626"/>
    </row>
    <row r="7326" spans="1:6">
      <c r="A7326" t="str">
        <f t="shared" si="114"/>
        <v/>
      </c>
      <c r="E7326" s="626"/>
      <c r="F7326" s="626"/>
    </row>
    <row r="7327" spans="1:6">
      <c r="A7327" t="str">
        <f t="shared" si="114"/>
        <v/>
      </c>
      <c r="E7327" s="626"/>
      <c r="F7327" s="626"/>
    </row>
    <row r="7328" spans="1:6">
      <c r="A7328" t="str">
        <f t="shared" si="114"/>
        <v/>
      </c>
      <c r="E7328" s="626"/>
      <c r="F7328" s="626"/>
    </row>
    <row r="7329" spans="1:6">
      <c r="A7329" t="str">
        <f t="shared" si="114"/>
        <v/>
      </c>
      <c r="E7329" s="626"/>
      <c r="F7329" s="626"/>
    </row>
    <row r="7330" spans="1:6">
      <c r="A7330" t="str">
        <f t="shared" si="114"/>
        <v/>
      </c>
      <c r="E7330" s="626"/>
      <c r="F7330" s="626"/>
    </row>
    <row r="7331" spans="1:6">
      <c r="A7331" t="str">
        <f t="shared" si="114"/>
        <v/>
      </c>
      <c r="E7331" s="626"/>
      <c r="F7331" s="626"/>
    </row>
    <row r="7332" spans="1:6">
      <c r="A7332" t="str">
        <f t="shared" si="114"/>
        <v/>
      </c>
      <c r="E7332" s="626"/>
      <c r="F7332" s="626"/>
    </row>
    <row r="7333" spans="1:6">
      <c r="A7333" t="str">
        <f t="shared" si="114"/>
        <v/>
      </c>
      <c r="E7333" s="626"/>
      <c r="F7333" s="626"/>
    </row>
    <row r="7334" spans="1:6">
      <c r="A7334" t="str">
        <f t="shared" si="114"/>
        <v/>
      </c>
      <c r="E7334" s="626"/>
      <c r="F7334" s="626"/>
    </row>
    <row r="7335" spans="1:6">
      <c r="A7335" t="str">
        <f t="shared" si="114"/>
        <v/>
      </c>
      <c r="E7335" s="626"/>
      <c r="F7335" s="626"/>
    </row>
    <row r="7336" spans="1:6">
      <c r="A7336" t="str">
        <f t="shared" si="114"/>
        <v/>
      </c>
      <c r="E7336" s="626"/>
      <c r="F7336" s="626"/>
    </row>
    <row r="7337" spans="1:6">
      <c r="A7337" t="str">
        <f t="shared" si="114"/>
        <v/>
      </c>
      <c r="E7337" s="626"/>
      <c r="F7337" s="626"/>
    </row>
    <row r="7338" spans="1:6">
      <c r="A7338" t="str">
        <f t="shared" si="114"/>
        <v/>
      </c>
      <c r="E7338" s="626"/>
      <c r="F7338" s="626"/>
    </row>
    <row r="7339" spans="1:6">
      <c r="A7339" t="str">
        <f t="shared" si="114"/>
        <v/>
      </c>
      <c r="E7339" s="626"/>
      <c r="F7339" s="626"/>
    </row>
    <row r="7340" spans="1:6">
      <c r="A7340" t="str">
        <f t="shared" si="114"/>
        <v/>
      </c>
      <c r="E7340" s="626"/>
      <c r="F7340" s="626"/>
    </row>
    <row r="7341" spans="1:6">
      <c r="A7341" t="str">
        <f t="shared" si="114"/>
        <v/>
      </c>
      <c r="E7341" s="626"/>
      <c r="F7341" s="626"/>
    </row>
    <row r="7342" spans="1:6">
      <c r="A7342" t="str">
        <f t="shared" si="114"/>
        <v/>
      </c>
      <c r="E7342" s="626"/>
      <c r="F7342" s="626"/>
    </row>
    <row r="7343" spans="1:6">
      <c r="A7343" t="str">
        <f t="shared" si="114"/>
        <v/>
      </c>
      <c r="E7343" s="626"/>
      <c r="F7343" s="626"/>
    </row>
    <row r="7344" spans="1:6">
      <c r="A7344" t="str">
        <f t="shared" si="114"/>
        <v/>
      </c>
      <c r="E7344" s="626"/>
      <c r="F7344" s="626"/>
    </row>
    <row r="7345" spans="1:6">
      <c r="A7345" t="str">
        <f t="shared" si="114"/>
        <v/>
      </c>
      <c r="E7345" s="626"/>
      <c r="F7345" s="626"/>
    </row>
    <row r="7346" spans="1:6">
      <c r="A7346" t="str">
        <f t="shared" si="114"/>
        <v/>
      </c>
      <c r="E7346" s="626"/>
      <c r="F7346" s="626"/>
    </row>
    <row r="7347" spans="1:6">
      <c r="A7347" t="str">
        <f t="shared" si="114"/>
        <v/>
      </c>
      <c r="E7347" s="626"/>
      <c r="F7347" s="626"/>
    </row>
    <row r="7348" spans="1:6">
      <c r="A7348" t="str">
        <f t="shared" si="114"/>
        <v/>
      </c>
      <c r="E7348" s="626"/>
      <c r="F7348" s="626"/>
    </row>
    <row r="7349" spans="1:6">
      <c r="A7349" t="str">
        <f t="shared" si="114"/>
        <v/>
      </c>
      <c r="E7349" s="626"/>
      <c r="F7349" s="626"/>
    </row>
    <row r="7350" spans="1:6">
      <c r="A7350" t="str">
        <f t="shared" si="114"/>
        <v/>
      </c>
      <c r="E7350" s="626"/>
      <c r="F7350" s="626"/>
    </row>
    <row r="7351" spans="1:6">
      <c r="A7351" t="str">
        <f t="shared" si="114"/>
        <v/>
      </c>
      <c r="E7351" s="626"/>
      <c r="F7351" s="626"/>
    </row>
    <row r="7352" spans="1:6">
      <c r="A7352" t="str">
        <f t="shared" si="114"/>
        <v/>
      </c>
      <c r="E7352" s="626"/>
      <c r="F7352" s="626"/>
    </row>
    <row r="7353" spans="1:6">
      <c r="A7353" t="str">
        <f t="shared" si="114"/>
        <v/>
      </c>
      <c r="E7353" s="626"/>
      <c r="F7353" s="626"/>
    </row>
    <row r="7354" spans="1:6">
      <c r="A7354" t="str">
        <f t="shared" si="114"/>
        <v/>
      </c>
      <c r="E7354" s="626"/>
      <c r="F7354" s="626"/>
    </row>
    <row r="7355" spans="1:6">
      <c r="A7355" t="str">
        <f t="shared" si="114"/>
        <v/>
      </c>
      <c r="E7355" s="626"/>
      <c r="F7355" s="626"/>
    </row>
    <row r="7356" spans="1:6">
      <c r="A7356" t="str">
        <f t="shared" si="114"/>
        <v/>
      </c>
      <c r="E7356" s="626"/>
      <c r="F7356" s="626"/>
    </row>
    <row r="7357" spans="1:6">
      <c r="A7357" t="str">
        <f t="shared" si="114"/>
        <v/>
      </c>
      <c r="E7357" s="626"/>
      <c r="F7357" s="626"/>
    </row>
    <row r="7358" spans="1:6">
      <c r="A7358" t="str">
        <f t="shared" si="114"/>
        <v/>
      </c>
      <c r="E7358" s="626"/>
      <c r="F7358" s="626"/>
    </row>
    <row r="7359" spans="1:6">
      <c r="A7359" t="str">
        <f t="shared" si="114"/>
        <v/>
      </c>
      <c r="E7359" s="626"/>
      <c r="F7359" s="626"/>
    </row>
    <row r="7360" spans="1:6">
      <c r="A7360" t="str">
        <f t="shared" si="114"/>
        <v/>
      </c>
      <c r="E7360" s="626"/>
      <c r="F7360" s="626"/>
    </row>
    <row r="7361" spans="1:6">
      <c r="A7361" t="str">
        <f t="shared" si="114"/>
        <v/>
      </c>
      <c r="E7361" s="626"/>
      <c r="F7361" s="626"/>
    </row>
    <row r="7362" spans="1:6">
      <c r="A7362" t="str">
        <f t="shared" ref="A7362:A7425" si="115">B7362&amp;E7362&amp;J7362</f>
        <v/>
      </c>
      <c r="E7362" s="626"/>
      <c r="F7362" s="626"/>
    </row>
    <row r="7363" spans="1:6">
      <c r="A7363" t="str">
        <f t="shared" si="115"/>
        <v/>
      </c>
      <c r="E7363" s="626"/>
      <c r="F7363" s="626"/>
    </row>
    <row r="7364" spans="1:6">
      <c r="A7364" t="str">
        <f t="shared" si="115"/>
        <v/>
      </c>
      <c r="E7364" s="626"/>
      <c r="F7364" s="626"/>
    </row>
    <row r="7365" spans="1:6">
      <c r="A7365" t="str">
        <f t="shared" si="115"/>
        <v/>
      </c>
      <c r="E7365" s="626"/>
      <c r="F7365" s="626"/>
    </row>
    <row r="7366" spans="1:6">
      <c r="A7366" t="str">
        <f t="shared" si="115"/>
        <v/>
      </c>
      <c r="E7366" s="626"/>
      <c r="F7366" s="626"/>
    </row>
    <row r="7367" spans="1:6">
      <c r="A7367" t="str">
        <f t="shared" si="115"/>
        <v/>
      </c>
      <c r="E7367" s="626"/>
      <c r="F7367" s="626"/>
    </row>
    <row r="7368" spans="1:6">
      <c r="A7368" t="str">
        <f t="shared" si="115"/>
        <v/>
      </c>
      <c r="E7368" s="626"/>
      <c r="F7368" s="626"/>
    </row>
    <row r="7369" spans="1:6">
      <c r="A7369" t="str">
        <f t="shared" si="115"/>
        <v/>
      </c>
      <c r="E7369" s="626"/>
      <c r="F7369" s="626"/>
    </row>
    <row r="7370" spans="1:6">
      <c r="A7370" t="str">
        <f t="shared" si="115"/>
        <v/>
      </c>
      <c r="E7370" s="626"/>
      <c r="F7370" s="626"/>
    </row>
    <row r="7371" spans="1:6">
      <c r="A7371" t="str">
        <f t="shared" si="115"/>
        <v/>
      </c>
      <c r="E7371" s="626"/>
      <c r="F7371" s="626"/>
    </row>
    <row r="7372" spans="1:6">
      <c r="A7372" t="str">
        <f t="shared" si="115"/>
        <v/>
      </c>
      <c r="E7372" s="626"/>
      <c r="F7372" s="626"/>
    </row>
    <row r="7373" spans="1:6">
      <c r="A7373" t="str">
        <f t="shared" si="115"/>
        <v/>
      </c>
      <c r="E7373" s="626"/>
      <c r="F7373" s="626"/>
    </row>
    <row r="7374" spans="1:6">
      <c r="A7374" t="str">
        <f t="shared" si="115"/>
        <v/>
      </c>
      <c r="E7374" s="626"/>
      <c r="F7374" s="626"/>
    </row>
    <row r="7375" spans="1:6">
      <c r="A7375" t="str">
        <f t="shared" si="115"/>
        <v/>
      </c>
      <c r="E7375" s="626"/>
      <c r="F7375" s="626"/>
    </row>
    <row r="7376" spans="1:6">
      <c r="A7376" t="str">
        <f t="shared" si="115"/>
        <v/>
      </c>
      <c r="E7376" s="626"/>
      <c r="F7376" s="626"/>
    </row>
    <row r="7377" spans="1:6">
      <c r="A7377" t="str">
        <f t="shared" si="115"/>
        <v/>
      </c>
      <c r="E7377" s="626"/>
      <c r="F7377" s="626"/>
    </row>
    <row r="7378" spans="1:6">
      <c r="A7378" t="str">
        <f t="shared" si="115"/>
        <v/>
      </c>
      <c r="E7378" s="626"/>
      <c r="F7378" s="626"/>
    </row>
    <row r="7379" spans="1:6">
      <c r="A7379" t="str">
        <f t="shared" si="115"/>
        <v/>
      </c>
      <c r="E7379" s="626"/>
      <c r="F7379" s="626"/>
    </row>
    <row r="7380" spans="1:6">
      <c r="A7380" t="str">
        <f t="shared" si="115"/>
        <v/>
      </c>
      <c r="E7380" s="626"/>
      <c r="F7380" s="626"/>
    </row>
    <row r="7381" spans="1:6">
      <c r="A7381" t="str">
        <f t="shared" si="115"/>
        <v/>
      </c>
      <c r="E7381" s="626"/>
      <c r="F7381" s="626"/>
    </row>
    <row r="7382" spans="1:6">
      <c r="A7382" t="str">
        <f t="shared" si="115"/>
        <v/>
      </c>
      <c r="E7382" s="626"/>
      <c r="F7382" s="626"/>
    </row>
    <row r="7383" spans="1:6">
      <c r="A7383" t="str">
        <f t="shared" si="115"/>
        <v/>
      </c>
      <c r="E7383" s="626"/>
      <c r="F7383" s="626"/>
    </row>
    <row r="7384" spans="1:6">
      <c r="A7384" t="str">
        <f t="shared" si="115"/>
        <v/>
      </c>
      <c r="E7384" s="626"/>
      <c r="F7384" s="626"/>
    </row>
    <row r="7385" spans="1:6">
      <c r="A7385" t="str">
        <f t="shared" si="115"/>
        <v/>
      </c>
      <c r="E7385" s="626"/>
      <c r="F7385" s="626"/>
    </row>
    <row r="7386" spans="1:6">
      <c r="A7386" t="str">
        <f t="shared" si="115"/>
        <v/>
      </c>
      <c r="E7386" s="626"/>
      <c r="F7386" s="626"/>
    </row>
    <row r="7387" spans="1:6">
      <c r="A7387" t="str">
        <f t="shared" si="115"/>
        <v/>
      </c>
      <c r="E7387" s="626"/>
      <c r="F7387" s="626"/>
    </row>
    <row r="7388" spans="1:6">
      <c r="A7388" t="str">
        <f t="shared" si="115"/>
        <v/>
      </c>
      <c r="E7388" s="626"/>
      <c r="F7388" s="626"/>
    </row>
    <row r="7389" spans="1:6">
      <c r="A7389" t="str">
        <f t="shared" si="115"/>
        <v/>
      </c>
      <c r="E7389" s="626"/>
      <c r="F7389" s="626"/>
    </row>
    <row r="7390" spans="1:6">
      <c r="A7390" t="str">
        <f t="shared" si="115"/>
        <v/>
      </c>
      <c r="E7390" s="626"/>
      <c r="F7390" s="626"/>
    </row>
    <row r="7391" spans="1:6">
      <c r="A7391" t="str">
        <f t="shared" si="115"/>
        <v/>
      </c>
      <c r="E7391" s="626"/>
      <c r="F7391" s="626"/>
    </row>
    <row r="7392" spans="1:6">
      <c r="A7392" t="str">
        <f t="shared" si="115"/>
        <v/>
      </c>
      <c r="E7392" s="626"/>
      <c r="F7392" s="626"/>
    </row>
    <row r="7393" spans="1:6">
      <c r="A7393" t="str">
        <f t="shared" si="115"/>
        <v/>
      </c>
      <c r="E7393" s="626"/>
      <c r="F7393" s="626"/>
    </row>
    <row r="7394" spans="1:6">
      <c r="A7394" t="str">
        <f t="shared" si="115"/>
        <v/>
      </c>
      <c r="E7394" s="626"/>
      <c r="F7394" s="626"/>
    </row>
    <row r="7395" spans="1:6">
      <c r="A7395" t="str">
        <f t="shared" si="115"/>
        <v/>
      </c>
      <c r="E7395" s="626"/>
      <c r="F7395" s="626"/>
    </row>
    <row r="7396" spans="1:6">
      <c r="A7396" t="str">
        <f t="shared" si="115"/>
        <v/>
      </c>
      <c r="E7396" s="626"/>
      <c r="F7396" s="626"/>
    </row>
    <row r="7397" spans="1:6">
      <c r="A7397" t="str">
        <f t="shared" si="115"/>
        <v/>
      </c>
      <c r="E7397" s="626"/>
      <c r="F7397" s="626"/>
    </row>
    <row r="7398" spans="1:6">
      <c r="A7398" t="str">
        <f t="shared" si="115"/>
        <v/>
      </c>
      <c r="E7398" s="626"/>
      <c r="F7398" s="626"/>
    </row>
    <row r="7399" spans="1:6">
      <c r="A7399" t="str">
        <f t="shared" si="115"/>
        <v/>
      </c>
      <c r="E7399" s="626"/>
      <c r="F7399" s="626"/>
    </row>
    <row r="7400" spans="1:6">
      <c r="A7400" t="str">
        <f t="shared" si="115"/>
        <v/>
      </c>
      <c r="E7400" s="626"/>
      <c r="F7400" s="626"/>
    </row>
    <row r="7401" spans="1:6">
      <c r="A7401" t="str">
        <f t="shared" si="115"/>
        <v/>
      </c>
      <c r="E7401" s="626"/>
      <c r="F7401" s="626"/>
    </row>
    <row r="7402" spans="1:6">
      <c r="A7402" t="str">
        <f t="shared" si="115"/>
        <v/>
      </c>
      <c r="E7402" s="626"/>
      <c r="F7402" s="626"/>
    </row>
    <row r="7403" spans="1:6">
      <c r="A7403" t="str">
        <f t="shared" si="115"/>
        <v/>
      </c>
      <c r="E7403" s="626"/>
      <c r="F7403" s="626"/>
    </row>
    <row r="7404" spans="1:6">
      <c r="A7404" t="str">
        <f t="shared" si="115"/>
        <v/>
      </c>
      <c r="E7404" s="626"/>
      <c r="F7404" s="626"/>
    </row>
    <row r="7405" spans="1:6">
      <c r="A7405" t="str">
        <f t="shared" si="115"/>
        <v/>
      </c>
      <c r="E7405" s="626"/>
      <c r="F7405" s="626"/>
    </row>
    <row r="7406" spans="1:6">
      <c r="A7406" t="str">
        <f t="shared" si="115"/>
        <v/>
      </c>
      <c r="E7406" s="626"/>
      <c r="F7406" s="626"/>
    </row>
    <row r="7407" spans="1:6">
      <c r="A7407" t="str">
        <f t="shared" si="115"/>
        <v/>
      </c>
      <c r="E7407" s="626"/>
      <c r="F7407" s="626"/>
    </row>
    <row r="7408" spans="1:6">
      <c r="A7408" t="str">
        <f t="shared" si="115"/>
        <v/>
      </c>
      <c r="E7408" s="626"/>
      <c r="F7408" s="626"/>
    </row>
    <row r="7409" spans="1:6">
      <c r="A7409" t="str">
        <f t="shared" si="115"/>
        <v/>
      </c>
      <c r="E7409" s="626"/>
      <c r="F7409" s="626"/>
    </row>
    <row r="7410" spans="1:6">
      <c r="A7410" t="str">
        <f t="shared" si="115"/>
        <v/>
      </c>
      <c r="E7410" s="626"/>
      <c r="F7410" s="626"/>
    </row>
    <row r="7411" spans="1:6">
      <c r="A7411" t="str">
        <f t="shared" si="115"/>
        <v/>
      </c>
      <c r="E7411" s="626"/>
      <c r="F7411" s="626"/>
    </row>
    <row r="7412" spans="1:6">
      <c r="A7412" t="str">
        <f t="shared" si="115"/>
        <v/>
      </c>
      <c r="E7412" s="626"/>
      <c r="F7412" s="626"/>
    </row>
    <row r="7413" spans="1:6">
      <c r="A7413" t="str">
        <f t="shared" si="115"/>
        <v/>
      </c>
      <c r="E7413" s="626"/>
      <c r="F7413" s="626"/>
    </row>
    <row r="7414" spans="1:6">
      <c r="A7414" t="str">
        <f t="shared" si="115"/>
        <v/>
      </c>
      <c r="E7414" s="626"/>
      <c r="F7414" s="626"/>
    </row>
    <row r="7415" spans="1:6">
      <c r="A7415" t="str">
        <f t="shared" si="115"/>
        <v/>
      </c>
      <c r="E7415" s="626"/>
      <c r="F7415" s="626"/>
    </row>
    <row r="7416" spans="1:6">
      <c r="A7416" t="str">
        <f t="shared" si="115"/>
        <v/>
      </c>
      <c r="E7416" s="626"/>
      <c r="F7416" s="626"/>
    </row>
    <row r="7417" spans="1:6">
      <c r="A7417" t="str">
        <f t="shared" si="115"/>
        <v/>
      </c>
      <c r="E7417" s="626"/>
      <c r="F7417" s="626"/>
    </row>
    <row r="7418" spans="1:6">
      <c r="A7418" t="str">
        <f t="shared" si="115"/>
        <v/>
      </c>
      <c r="E7418" s="626"/>
      <c r="F7418" s="626"/>
    </row>
    <row r="7419" spans="1:6">
      <c r="A7419" t="str">
        <f t="shared" si="115"/>
        <v/>
      </c>
      <c r="E7419" s="626"/>
      <c r="F7419" s="626"/>
    </row>
    <row r="7420" spans="1:6">
      <c r="A7420" t="str">
        <f t="shared" si="115"/>
        <v/>
      </c>
      <c r="E7420" s="626"/>
      <c r="F7420" s="626"/>
    </row>
    <row r="7421" spans="1:6">
      <c r="A7421" t="str">
        <f t="shared" si="115"/>
        <v/>
      </c>
      <c r="E7421" s="626"/>
      <c r="F7421" s="626"/>
    </row>
    <row r="7422" spans="1:6">
      <c r="A7422" t="str">
        <f t="shared" si="115"/>
        <v/>
      </c>
      <c r="E7422" s="626"/>
      <c r="F7422" s="626"/>
    </row>
    <row r="7423" spans="1:6">
      <c r="A7423" t="str">
        <f t="shared" si="115"/>
        <v/>
      </c>
      <c r="E7423" s="626"/>
      <c r="F7423" s="626"/>
    </row>
    <row r="7424" spans="1:6">
      <c r="A7424" t="str">
        <f t="shared" si="115"/>
        <v/>
      </c>
      <c r="E7424" s="626"/>
      <c r="F7424" s="626"/>
    </row>
    <row r="7425" spans="1:6">
      <c r="A7425" t="str">
        <f t="shared" si="115"/>
        <v/>
      </c>
      <c r="E7425" s="626"/>
      <c r="F7425" s="626"/>
    </row>
    <row r="7426" spans="1:6">
      <c r="A7426" t="str">
        <f t="shared" ref="A7426:A7489" si="116">B7426&amp;E7426&amp;J7426</f>
        <v/>
      </c>
      <c r="E7426" s="626"/>
      <c r="F7426" s="626"/>
    </row>
    <row r="7427" spans="1:6">
      <c r="A7427" t="str">
        <f t="shared" si="116"/>
        <v/>
      </c>
      <c r="E7427" s="626"/>
      <c r="F7427" s="626"/>
    </row>
    <row r="7428" spans="1:6">
      <c r="A7428" t="str">
        <f t="shared" si="116"/>
        <v/>
      </c>
      <c r="E7428" s="626"/>
      <c r="F7428" s="626"/>
    </row>
    <row r="7429" spans="1:6">
      <c r="A7429" t="str">
        <f t="shared" si="116"/>
        <v/>
      </c>
      <c r="E7429" s="626"/>
      <c r="F7429" s="626"/>
    </row>
    <row r="7430" spans="1:6">
      <c r="A7430" t="str">
        <f t="shared" si="116"/>
        <v/>
      </c>
      <c r="E7430" s="626"/>
      <c r="F7430" s="626"/>
    </row>
    <row r="7431" spans="1:6">
      <c r="A7431" t="str">
        <f t="shared" si="116"/>
        <v/>
      </c>
      <c r="E7431" s="626"/>
      <c r="F7431" s="626"/>
    </row>
    <row r="7432" spans="1:6">
      <c r="A7432" t="str">
        <f t="shared" si="116"/>
        <v/>
      </c>
      <c r="E7432" s="626"/>
      <c r="F7432" s="626"/>
    </row>
    <row r="7433" spans="1:6">
      <c r="A7433" t="str">
        <f t="shared" si="116"/>
        <v/>
      </c>
      <c r="E7433" s="626"/>
      <c r="F7433" s="626"/>
    </row>
    <row r="7434" spans="1:6">
      <c r="A7434" t="str">
        <f t="shared" si="116"/>
        <v/>
      </c>
      <c r="E7434" s="626"/>
      <c r="F7434" s="626"/>
    </row>
    <row r="7435" spans="1:6">
      <c r="A7435" t="str">
        <f t="shared" si="116"/>
        <v/>
      </c>
      <c r="E7435" s="626"/>
      <c r="F7435" s="626"/>
    </row>
    <row r="7436" spans="1:6">
      <c r="A7436" t="str">
        <f t="shared" si="116"/>
        <v/>
      </c>
      <c r="E7436" s="626"/>
      <c r="F7436" s="626"/>
    </row>
    <row r="7437" spans="1:6">
      <c r="A7437" t="str">
        <f t="shared" si="116"/>
        <v/>
      </c>
      <c r="E7437" s="626"/>
      <c r="F7437" s="626"/>
    </row>
    <row r="7438" spans="1:6">
      <c r="A7438" t="str">
        <f t="shared" si="116"/>
        <v/>
      </c>
      <c r="E7438" s="626"/>
      <c r="F7438" s="626"/>
    </row>
    <row r="7439" spans="1:6">
      <c r="A7439" t="str">
        <f t="shared" si="116"/>
        <v/>
      </c>
      <c r="E7439" s="626"/>
      <c r="F7439" s="626"/>
    </row>
    <row r="7440" spans="1:6">
      <c r="A7440" t="str">
        <f t="shared" si="116"/>
        <v/>
      </c>
      <c r="E7440" s="626"/>
      <c r="F7440" s="626"/>
    </row>
    <row r="7441" spans="1:6">
      <c r="A7441" t="str">
        <f t="shared" si="116"/>
        <v/>
      </c>
      <c r="E7441" s="626"/>
      <c r="F7441" s="626"/>
    </row>
    <row r="7442" spans="1:6">
      <c r="A7442" t="str">
        <f t="shared" si="116"/>
        <v/>
      </c>
      <c r="E7442" s="626"/>
      <c r="F7442" s="626"/>
    </row>
    <row r="7443" spans="1:6">
      <c r="A7443" t="str">
        <f t="shared" si="116"/>
        <v/>
      </c>
      <c r="E7443" s="626"/>
      <c r="F7443" s="626"/>
    </row>
    <row r="7444" spans="1:6">
      <c r="A7444" t="str">
        <f t="shared" si="116"/>
        <v/>
      </c>
      <c r="E7444" s="626"/>
      <c r="F7444" s="626"/>
    </row>
    <row r="7445" spans="1:6">
      <c r="A7445" t="str">
        <f t="shared" si="116"/>
        <v/>
      </c>
      <c r="E7445" s="626"/>
      <c r="F7445" s="626"/>
    </row>
    <row r="7446" spans="1:6">
      <c r="A7446" t="str">
        <f t="shared" si="116"/>
        <v/>
      </c>
      <c r="E7446" s="626"/>
      <c r="F7446" s="626"/>
    </row>
    <row r="7447" spans="1:6">
      <c r="A7447" t="str">
        <f t="shared" si="116"/>
        <v/>
      </c>
      <c r="E7447" s="626"/>
      <c r="F7447" s="626"/>
    </row>
    <row r="7448" spans="1:6">
      <c r="A7448" t="str">
        <f t="shared" si="116"/>
        <v/>
      </c>
      <c r="E7448" s="626"/>
      <c r="F7448" s="626"/>
    </row>
    <row r="7449" spans="1:6">
      <c r="A7449" t="str">
        <f t="shared" si="116"/>
        <v/>
      </c>
      <c r="E7449" s="626"/>
      <c r="F7449" s="626"/>
    </row>
    <row r="7450" spans="1:6">
      <c r="A7450" t="str">
        <f t="shared" si="116"/>
        <v/>
      </c>
      <c r="E7450" s="626"/>
      <c r="F7450" s="626"/>
    </row>
    <row r="7451" spans="1:6">
      <c r="A7451" t="str">
        <f t="shared" si="116"/>
        <v/>
      </c>
      <c r="E7451" s="626"/>
      <c r="F7451" s="626"/>
    </row>
    <row r="7452" spans="1:6">
      <c r="A7452" t="str">
        <f t="shared" si="116"/>
        <v/>
      </c>
      <c r="E7452" s="626"/>
      <c r="F7452" s="626"/>
    </row>
    <row r="7453" spans="1:6">
      <c r="A7453" t="str">
        <f t="shared" si="116"/>
        <v/>
      </c>
      <c r="E7453" s="626"/>
      <c r="F7453" s="626"/>
    </row>
    <row r="7454" spans="1:6">
      <c r="A7454" t="str">
        <f t="shared" si="116"/>
        <v/>
      </c>
      <c r="E7454" s="626"/>
      <c r="F7454" s="626"/>
    </row>
    <row r="7455" spans="1:6">
      <c r="A7455" t="str">
        <f t="shared" si="116"/>
        <v/>
      </c>
      <c r="E7455" s="626"/>
      <c r="F7455" s="626"/>
    </row>
    <row r="7456" spans="1:6">
      <c r="A7456" t="str">
        <f t="shared" si="116"/>
        <v/>
      </c>
      <c r="E7456" s="626"/>
      <c r="F7456" s="626"/>
    </row>
    <row r="7457" spans="1:6">
      <c r="A7457" t="str">
        <f t="shared" si="116"/>
        <v/>
      </c>
      <c r="E7457" s="626"/>
      <c r="F7457" s="626"/>
    </row>
    <row r="7458" spans="1:6">
      <c r="A7458" t="str">
        <f t="shared" si="116"/>
        <v/>
      </c>
      <c r="E7458" s="626"/>
      <c r="F7458" s="626"/>
    </row>
    <row r="7459" spans="1:6">
      <c r="A7459" t="str">
        <f t="shared" si="116"/>
        <v/>
      </c>
      <c r="E7459" s="626"/>
      <c r="F7459" s="626"/>
    </row>
    <row r="7460" spans="1:6">
      <c r="A7460" t="str">
        <f t="shared" si="116"/>
        <v/>
      </c>
      <c r="E7460" s="626"/>
      <c r="F7460" s="626"/>
    </row>
    <row r="7461" spans="1:6">
      <c r="A7461" t="str">
        <f t="shared" si="116"/>
        <v/>
      </c>
      <c r="E7461" s="626"/>
      <c r="F7461" s="626"/>
    </row>
    <row r="7462" spans="1:6">
      <c r="A7462" t="str">
        <f t="shared" si="116"/>
        <v/>
      </c>
      <c r="E7462" s="626"/>
      <c r="F7462" s="626"/>
    </row>
    <row r="7463" spans="1:6">
      <c r="A7463" t="str">
        <f t="shared" si="116"/>
        <v/>
      </c>
      <c r="E7463" s="626"/>
      <c r="F7463" s="626"/>
    </row>
    <row r="7464" spans="1:6">
      <c r="A7464" t="str">
        <f t="shared" si="116"/>
        <v/>
      </c>
      <c r="E7464" s="626"/>
      <c r="F7464" s="626"/>
    </row>
    <row r="7465" spans="1:6">
      <c r="A7465" t="str">
        <f t="shared" si="116"/>
        <v/>
      </c>
      <c r="E7465" s="626"/>
      <c r="F7465" s="626"/>
    </row>
    <row r="7466" spans="1:6">
      <c r="A7466" t="str">
        <f t="shared" si="116"/>
        <v/>
      </c>
      <c r="E7466" s="626"/>
      <c r="F7466" s="626"/>
    </row>
    <row r="7467" spans="1:6">
      <c r="A7467" t="str">
        <f t="shared" si="116"/>
        <v/>
      </c>
      <c r="E7467" s="626"/>
      <c r="F7467" s="626"/>
    </row>
    <row r="7468" spans="1:6">
      <c r="A7468" t="str">
        <f t="shared" si="116"/>
        <v/>
      </c>
      <c r="E7468" s="626"/>
      <c r="F7468" s="626"/>
    </row>
    <row r="7469" spans="1:6">
      <c r="A7469" t="str">
        <f t="shared" si="116"/>
        <v/>
      </c>
      <c r="E7469" s="626"/>
      <c r="F7469" s="626"/>
    </row>
    <row r="7470" spans="1:6">
      <c r="A7470" t="str">
        <f t="shared" si="116"/>
        <v/>
      </c>
      <c r="E7470" s="626"/>
      <c r="F7470" s="626"/>
    </row>
    <row r="7471" spans="1:6">
      <c r="A7471" t="str">
        <f t="shared" si="116"/>
        <v/>
      </c>
      <c r="E7471" s="626"/>
      <c r="F7471" s="626"/>
    </row>
    <row r="7472" spans="1:6">
      <c r="A7472" t="str">
        <f t="shared" si="116"/>
        <v/>
      </c>
      <c r="E7472" s="626"/>
      <c r="F7472" s="626"/>
    </row>
    <row r="7473" spans="1:6">
      <c r="A7473" t="str">
        <f t="shared" si="116"/>
        <v/>
      </c>
      <c r="E7473" s="626"/>
      <c r="F7473" s="626"/>
    </row>
    <row r="7474" spans="1:6">
      <c r="A7474" t="str">
        <f t="shared" si="116"/>
        <v/>
      </c>
      <c r="E7474" s="626"/>
      <c r="F7474" s="626"/>
    </row>
    <row r="7475" spans="1:6">
      <c r="A7475" t="str">
        <f t="shared" si="116"/>
        <v/>
      </c>
      <c r="E7475" s="626"/>
      <c r="F7475" s="626"/>
    </row>
    <row r="7476" spans="1:6">
      <c r="A7476" t="str">
        <f t="shared" si="116"/>
        <v/>
      </c>
      <c r="E7476" s="626"/>
      <c r="F7476" s="626"/>
    </row>
    <row r="7477" spans="1:6">
      <c r="A7477" t="str">
        <f t="shared" si="116"/>
        <v/>
      </c>
      <c r="E7477" s="626"/>
      <c r="F7477" s="626"/>
    </row>
    <row r="7478" spans="1:6">
      <c r="A7478" t="str">
        <f t="shared" si="116"/>
        <v/>
      </c>
      <c r="E7478" s="626"/>
      <c r="F7478" s="626"/>
    </row>
    <row r="7479" spans="1:6">
      <c r="A7479" t="str">
        <f t="shared" si="116"/>
        <v/>
      </c>
      <c r="E7479" s="626"/>
      <c r="F7479" s="626"/>
    </row>
    <row r="7480" spans="1:6">
      <c r="A7480" t="str">
        <f t="shared" si="116"/>
        <v/>
      </c>
      <c r="E7480" s="626"/>
      <c r="F7480" s="626"/>
    </row>
    <row r="7481" spans="1:6">
      <c r="A7481" t="str">
        <f t="shared" si="116"/>
        <v/>
      </c>
      <c r="E7481" s="626"/>
      <c r="F7481" s="626"/>
    </row>
    <row r="7482" spans="1:6">
      <c r="A7482" t="str">
        <f t="shared" si="116"/>
        <v/>
      </c>
      <c r="E7482" s="626"/>
      <c r="F7482" s="626"/>
    </row>
    <row r="7483" spans="1:6">
      <c r="A7483" t="str">
        <f t="shared" si="116"/>
        <v/>
      </c>
      <c r="E7483" s="626"/>
      <c r="F7483" s="626"/>
    </row>
    <row r="7484" spans="1:6">
      <c r="A7484" t="str">
        <f t="shared" si="116"/>
        <v/>
      </c>
      <c r="E7484" s="626"/>
      <c r="F7484" s="626"/>
    </row>
    <row r="7485" spans="1:6">
      <c r="A7485" t="str">
        <f t="shared" si="116"/>
        <v/>
      </c>
      <c r="E7485" s="626"/>
      <c r="F7485" s="626"/>
    </row>
    <row r="7486" spans="1:6">
      <c r="A7486" t="str">
        <f t="shared" si="116"/>
        <v/>
      </c>
      <c r="E7486" s="626"/>
      <c r="F7486" s="626"/>
    </row>
    <row r="7487" spans="1:6">
      <c r="A7487" t="str">
        <f t="shared" si="116"/>
        <v/>
      </c>
      <c r="E7487" s="626"/>
      <c r="F7487" s="626"/>
    </row>
    <row r="7488" spans="1:6">
      <c r="A7488" t="str">
        <f t="shared" si="116"/>
        <v/>
      </c>
      <c r="E7488" s="626"/>
      <c r="F7488" s="626"/>
    </row>
    <row r="7489" spans="1:6">
      <c r="A7489" t="str">
        <f t="shared" si="116"/>
        <v/>
      </c>
      <c r="E7489" s="626"/>
      <c r="F7489" s="626"/>
    </row>
    <row r="7490" spans="1:6">
      <c r="A7490" t="str">
        <f t="shared" ref="A7490:A7553" si="117">B7490&amp;E7490&amp;J7490</f>
        <v/>
      </c>
      <c r="E7490" s="626"/>
      <c r="F7490" s="626"/>
    </row>
    <row r="7491" spans="1:6">
      <c r="A7491" t="str">
        <f t="shared" si="117"/>
        <v/>
      </c>
      <c r="E7491" s="626"/>
      <c r="F7491" s="626"/>
    </row>
    <row r="7492" spans="1:6">
      <c r="A7492" t="str">
        <f t="shared" si="117"/>
        <v/>
      </c>
      <c r="E7492" s="626"/>
      <c r="F7492" s="626"/>
    </row>
    <row r="7493" spans="1:6">
      <c r="A7493" t="str">
        <f t="shared" si="117"/>
        <v/>
      </c>
      <c r="E7493" s="626"/>
      <c r="F7493" s="626"/>
    </row>
    <row r="7494" spans="1:6">
      <c r="A7494" t="str">
        <f t="shared" si="117"/>
        <v/>
      </c>
      <c r="E7494" s="626"/>
      <c r="F7494" s="626"/>
    </row>
    <row r="7495" spans="1:6">
      <c r="A7495" t="str">
        <f t="shared" si="117"/>
        <v/>
      </c>
      <c r="E7495" s="626"/>
      <c r="F7495" s="626"/>
    </row>
    <row r="7496" spans="1:6">
      <c r="A7496" t="str">
        <f t="shared" si="117"/>
        <v/>
      </c>
      <c r="E7496" s="626"/>
      <c r="F7496" s="626"/>
    </row>
    <row r="7497" spans="1:6">
      <c r="A7497" t="str">
        <f t="shared" si="117"/>
        <v/>
      </c>
      <c r="E7497" s="626"/>
      <c r="F7497" s="626"/>
    </row>
    <row r="7498" spans="1:6">
      <c r="A7498" t="str">
        <f t="shared" si="117"/>
        <v/>
      </c>
      <c r="E7498" s="626"/>
      <c r="F7498" s="626"/>
    </row>
    <row r="7499" spans="1:6">
      <c r="A7499" t="str">
        <f t="shared" si="117"/>
        <v/>
      </c>
      <c r="E7499" s="626"/>
      <c r="F7499" s="626"/>
    </row>
    <row r="7500" spans="1:6">
      <c r="A7500" t="str">
        <f t="shared" si="117"/>
        <v/>
      </c>
      <c r="E7500" s="626"/>
      <c r="F7500" s="626"/>
    </row>
    <row r="7501" spans="1:6">
      <c r="A7501" t="str">
        <f t="shared" si="117"/>
        <v/>
      </c>
      <c r="E7501" s="626"/>
      <c r="F7501" s="626"/>
    </row>
    <row r="7502" spans="1:6">
      <c r="A7502" t="str">
        <f t="shared" si="117"/>
        <v/>
      </c>
      <c r="E7502" s="626"/>
      <c r="F7502" s="626"/>
    </row>
    <row r="7503" spans="1:6">
      <c r="A7503" t="str">
        <f t="shared" si="117"/>
        <v/>
      </c>
      <c r="E7503" s="626"/>
      <c r="F7503" s="626"/>
    </row>
    <row r="7504" spans="1:6">
      <c r="A7504" t="str">
        <f t="shared" si="117"/>
        <v/>
      </c>
      <c r="E7504" s="626"/>
      <c r="F7504" s="626"/>
    </row>
    <row r="7505" spans="1:6">
      <c r="A7505" t="str">
        <f t="shared" si="117"/>
        <v/>
      </c>
      <c r="E7505" s="626"/>
      <c r="F7505" s="626"/>
    </row>
    <row r="7506" spans="1:6">
      <c r="A7506" t="str">
        <f t="shared" si="117"/>
        <v/>
      </c>
      <c r="E7506" s="626"/>
      <c r="F7506" s="626"/>
    </row>
    <row r="7507" spans="1:6">
      <c r="A7507" t="str">
        <f t="shared" si="117"/>
        <v/>
      </c>
      <c r="E7507" s="626"/>
      <c r="F7507" s="626"/>
    </row>
    <row r="7508" spans="1:6">
      <c r="A7508" t="str">
        <f t="shared" si="117"/>
        <v/>
      </c>
      <c r="E7508" s="626"/>
      <c r="F7508" s="626"/>
    </row>
    <row r="7509" spans="1:6">
      <c r="A7509" t="str">
        <f t="shared" si="117"/>
        <v/>
      </c>
      <c r="E7509" s="626"/>
      <c r="F7509" s="626"/>
    </row>
    <row r="7510" spans="1:6">
      <c r="A7510" t="str">
        <f t="shared" si="117"/>
        <v/>
      </c>
      <c r="E7510" s="626"/>
      <c r="F7510" s="626"/>
    </row>
    <row r="7511" spans="1:6">
      <c r="A7511" t="str">
        <f t="shared" si="117"/>
        <v/>
      </c>
      <c r="E7511" s="626"/>
      <c r="F7511" s="626"/>
    </row>
    <row r="7512" spans="1:6">
      <c r="A7512" t="str">
        <f t="shared" si="117"/>
        <v/>
      </c>
      <c r="E7512" s="626"/>
      <c r="F7512" s="626"/>
    </row>
    <row r="7513" spans="1:6">
      <c r="A7513" t="str">
        <f t="shared" si="117"/>
        <v/>
      </c>
      <c r="E7513" s="626"/>
      <c r="F7513" s="626"/>
    </row>
    <row r="7514" spans="1:6">
      <c r="A7514" t="str">
        <f t="shared" si="117"/>
        <v/>
      </c>
      <c r="E7514" s="626"/>
      <c r="F7514" s="626"/>
    </row>
    <row r="7515" spans="1:6">
      <c r="A7515" t="str">
        <f t="shared" si="117"/>
        <v/>
      </c>
      <c r="E7515" s="626"/>
      <c r="F7515" s="626"/>
    </row>
    <row r="7516" spans="1:6">
      <c r="A7516" t="str">
        <f t="shared" si="117"/>
        <v/>
      </c>
      <c r="E7516" s="626"/>
      <c r="F7516" s="626"/>
    </row>
    <row r="7517" spans="1:6">
      <c r="A7517" t="str">
        <f t="shared" si="117"/>
        <v/>
      </c>
      <c r="E7517" s="626"/>
      <c r="F7517" s="626"/>
    </row>
    <row r="7518" spans="1:6">
      <c r="A7518" t="str">
        <f t="shared" si="117"/>
        <v/>
      </c>
      <c r="E7518" s="626"/>
      <c r="F7518" s="626"/>
    </row>
    <row r="7519" spans="1:6">
      <c r="A7519" t="str">
        <f t="shared" si="117"/>
        <v/>
      </c>
      <c r="E7519" s="626"/>
      <c r="F7519" s="626"/>
    </row>
    <row r="7520" spans="1:6">
      <c r="A7520" t="str">
        <f t="shared" si="117"/>
        <v/>
      </c>
      <c r="E7520" s="626"/>
      <c r="F7520" s="626"/>
    </row>
    <row r="7521" spans="1:6">
      <c r="A7521" t="str">
        <f t="shared" si="117"/>
        <v/>
      </c>
      <c r="E7521" s="626"/>
      <c r="F7521" s="626"/>
    </row>
    <row r="7522" spans="1:6">
      <c r="A7522" t="str">
        <f t="shared" si="117"/>
        <v/>
      </c>
      <c r="E7522" s="626"/>
      <c r="F7522" s="626"/>
    </row>
    <row r="7523" spans="1:6">
      <c r="A7523" t="str">
        <f t="shared" si="117"/>
        <v/>
      </c>
      <c r="E7523" s="626"/>
      <c r="F7523" s="626"/>
    </row>
    <row r="7524" spans="1:6">
      <c r="A7524" t="str">
        <f t="shared" si="117"/>
        <v/>
      </c>
      <c r="E7524" s="626"/>
      <c r="F7524" s="626"/>
    </row>
    <row r="7525" spans="1:6">
      <c r="A7525" t="str">
        <f t="shared" si="117"/>
        <v/>
      </c>
      <c r="E7525" s="626"/>
      <c r="F7525" s="626"/>
    </row>
    <row r="7526" spans="1:6">
      <c r="A7526" t="str">
        <f t="shared" si="117"/>
        <v/>
      </c>
      <c r="E7526" s="626"/>
      <c r="F7526" s="626"/>
    </row>
    <row r="7527" spans="1:6">
      <c r="A7527" t="str">
        <f t="shared" si="117"/>
        <v/>
      </c>
      <c r="E7527" s="626"/>
      <c r="F7527" s="626"/>
    </row>
    <row r="7528" spans="1:6">
      <c r="A7528" t="str">
        <f t="shared" si="117"/>
        <v/>
      </c>
      <c r="E7528" s="626"/>
      <c r="F7528" s="626"/>
    </row>
    <row r="7529" spans="1:6">
      <c r="A7529" t="str">
        <f t="shared" si="117"/>
        <v/>
      </c>
      <c r="E7529" s="626"/>
      <c r="F7529" s="626"/>
    </row>
    <row r="7530" spans="1:6">
      <c r="A7530" t="str">
        <f t="shared" si="117"/>
        <v/>
      </c>
      <c r="E7530" s="626"/>
      <c r="F7530" s="626"/>
    </row>
    <row r="7531" spans="1:6">
      <c r="A7531" t="str">
        <f t="shared" si="117"/>
        <v/>
      </c>
      <c r="E7531" s="626"/>
      <c r="F7531" s="626"/>
    </row>
    <row r="7532" spans="1:6">
      <c r="A7532" t="str">
        <f t="shared" si="117"/>
        <v/>
      </c>
      <c r="E7532" s="626"/>
      <c r="F7532" s="626"/>
    </row>
    <row r="7533" spans="1:6">
      <c r="A7533" t="str">
        <f t="shared" si="117"/>
        <v/>
      </c>
      <c r="E7533" s="626"/>
      <c r="F7533" s="626"/>
    </row>
    <row r="7534" spans="1:6">
      <c r="A7534" t="str">
        <f t="shared" si="117"/>
        <v/>
      </c>
      <c r="E7534" s="626"/>
      <c r="F7534" s="626"/>
    </row>
    <row r="7535" spans="1:6">
      <c r="A7535" t="str">
        <f t="shared" si="117"/>
        <v/>
      </c>
      <c r="E7535" s="626"/>
      <c r="F7535" s="626"/>
    </row>
    <row r="7536" spans="1:6">
      <c r="A7536" t="str">
        <f t="shared" si="117"/>
        <v/>
      </c>
      <c r="E7536" s="626"/>
      <c r="F7536" s="626"/>
    </row>
    <row r="7537" spans="1:6">
      <c r="A7537" t="str">
        <f t="shared" si="117"/>
        <v/>
      </c>
      <c r="E7537" s="626"/>
      <c r="F7537" s="626"/>
    </row>
    <row r="7538" spans="1:6">
      <c r="A7538" t="str">
        <f t="shared" si="117"/>
        <v/>
      </c>
      <c r="E7538" s="626"/>
      <c r="F7538" s="626"/>
    </row>
    <row r="7539" spans="1:6">
      <c r="A7539" t="str">
        <f t="shared" si="117"/>
        <v/>
      </c>
      <c r="E7539" s="626"/>
      <c r="F7539" s="626"/>
    </row>
    <row r="7540" spans="1:6">
      <c r="A7540" t="str">
        <f t="shared" si="117"/>
        <v/>
      </c>
      <c r="E7540" s="626"/>
      <c r="F7540" s="626"/>
    </row>
    <row r="7541" spans="1:6">
      <c r="A7541" t="str">
        <f t="shared" si="117"/>
        <v/>
      </c>
      <c r="E7541" s="626"/>
      <c r="F7541" s="626"/>
    </row>
    <row r="7542" spans="1:6">
      <c r="A7542" t="str">
        <f t="shared" si="117"/>
        <v/>
      </c>
      <c r="E7542" s="626"/>
      <c r="F7542" s="626"/>
    </row>
    <row r="7543" spans="1:6">
      <c r="A7543" t="str">
        <f t="shared" si="117"/>
        <v/>
      </c>
      <c r="E7543" s="626"/>
      <c r="F7543" s="626"/>
    </row>
    <row r="7544" spans="1:6">
      <c r="A7544" t="str">
        <f t="shared" si="117"/>
        <v/>
      </c>
      <c r="E7544" s="626"/>
      <c r="F7544" s="626"/>
    </row>
    <row r="7545" spans="1:6">
      <c r="A7545" t="str">
        <f t="shared" si="117"/>
        <v/>
      </c>
      <c r="E7545" s="626"/>
      <c r="F7545" s="626"/>
    </row>
    <row r="7546" spans="1:6">
      <c r="A7546" t="str">
        <f t="shared" si="117"/>
        <v/>
      </c>
      <c r="E7546" s="626"/>
      <c r="F7546" s="626"/>
    </row>
    <row r="7547" spans="1:6">
      <c r="A7547" t="str">
        <f t="shared" si="117"/>
        <v/>
      </c>
      <c r="E7547" s="626"/>
      <c r="F7547" s="626"/>
    </row>
    <row r="7548" spans="1:6">
      <c r="A7548" t="str">
        <f t="shared" si="117"/>
        <v/>
      </c>
      <c r="E7548" s="626"/>
      <c r="F7548" s="626"/>
    </row>
    <row r="7549" spans="1:6">
      <c r="A7549" t="str">
        <f t="shared" si="117"/>
        <v/>
      </c>
      <c r="E7549" s="626"/>
      <c r="F7549" s="626"/>
    </row>
    <row r="7550" spans="1:6">
      <c r="A7550" t="str">
        <f t="shared" si="117"/>
        <v/>
      </c>
      <c r="E7550" s="626"/>
      <c r="F7550" s="626"/>
    </row>
    <row r="7551" spans="1:6">
      <c r="A7551" t="str">
        <f t="shared" si="117"/>
        <v/>
      </c>
      <c r="E7551" s="626"/>
      <c r="F7551" s="626"/>
    </row>
    <row r="7552" spans="1:6">
      <c r="A7552" t="str">
        <f t="shared" si="117"/>
        <v/>
      </c>
      <c r="E7552" s="626"/>
      <c r="F7552" s="626"/>
    </row>
    <row r="7553" spans="1:6">
      <c r="A7553" t="str">
        <f t="shared" si="117"/>
        <v/>
      </c>
      <c r="E7553" s="626"/>
      <c r="F7553" s="626"/>
    </row>
    <row r="7554" spans="1:6">
      <c r="A7554" t="str">
        <f t="shared" ref="A7554:A7617" si="118">B7554&amp;E7554&amp;J7554</f>
        <v/>
      </c>
      <c r="E7554" s="626"/>
      <c r="F7554" s="626"/>
    </row>
    <row r="7555" spans="1:6">
      <c r="A7555" t="str">
        <f t="shared" si="118"/>
        <v/>
      </c>
      <c r="E7555" s="626"/>
      <c r="F7555" s="626"/>
    </row>
    <row r="7556" spans="1:6">
      <c r="A7556" t="str">
        <f t="shared" si="118"/>
        <v/>
      </c>
      <c r="E7556" s="626"/>
      <c r="F7556" s="626"/>
    </row>
    <row r="7557" spans="1:6">
      <c r="A7557" t="str">
        <f t="shared" si="118"/>
        <v/>
      </c>
      <c r="E7557" s="626"/>
      <c r="F7557" s="626"/>
    </row>
    <row r="7558" spans="1:6">
      <c r="A7558" t="str">
        <f t="shared" si="118"/>
        <v/>
      </c>
      <c r="E7558" s="626"/>
      <c r="F7558" s="626"/>
    </row>
    <row r="7559" spans="1:6">
      <c r="A7559" t="str">
        <f t="shared" si="118"/>
        <v/>
      </c>
      <c r="E7559" s="626"/>
      <c r="F7559" s="626"/>
    </row>
    <row r="7560" spans="1:6">
      <c r="A7560" t="str">
        <f t="shared" si="118"/>
        <v/>
      </c>
      <c r="E7560" s="626"/>
      <c r="F7560" s="626"/>
    </row>
    <row r="7561" spans="1:6">
      <c r="A7561" t="str">
        <f t="shared" si="118"/>
        <v/>
      </c>
      <c r="E7561" s="626"/>
      <c r="F7561" s="626"/>
    </row>
    <row r="7562" spans="1:6">
      <c r="A7562" t="str">
        <f t="shared" si="118"/>
        <v/>
      </c>
      <c r="E7562" s="626"/>
      <c r="F7562" s="626"/>
    </row>
    <row r="7563" spans="1:6">
      <c r="A7563" t="str">
        <f t="shared" si="118"/>
        <v/>
      </c>
      <c r="E7563" s="626"/>
      <c r="F7563" s="626"/>
    </row>
    <row r="7564" spans="1:6">
      <c r="A7564" t="str">
        <f t="shared" si="118"/>
        <v/>
      </c>
      <c r="E7564" s="626"/>
      <c r="F7564" s="626"/>
    </row>
    <row r="7565" spans="1:6">
      <c r="A7565" t="str">
        <f t="shared" si="118"/>
        <v/>
      </c>
      <c r="E7565" s="626"/>
      <c r="F7565" s="626"/>
    </row>
    <row r="7566" spans="1:6">
      <c r="A7566" t="str">
        <f t="shared" si="118"/>
        <v/>
      </c>
      <c r="E7566" s="626"/>
      <c r="F7566" s="626"/>
    </row>
    <row r="7567" spans="1:6">
      <c r="A7567" t="str">
        <f t="shared" si="118"/>
        <v/>
      </c>
      <c r="E7567" s="626"/>
      <c r="F7567" s="626"/>
    </row>
    <row r="7568" spans="1:6">
      <c r="A7568" t="str">
        <f t="shared" si="118"/>
        <v/>
      </c>
      <c r="E7568" s="626"/>
      <c r="F7568" s="626"/>
    </row>
    <row r="7569" spans="1:6">
      <c r="A7569" t="str">
        <f t="shared" si="118"/>
        <v/>
      </c>
      <c r="E7569" s="626"/>
      <c r="F7569" s="626"/>
    </row>
    <row r="7570" spans="1:6">
      <c r="A7570" t="str">
        <f t="shared" si="118"/>
        <v/>
      </c>
      <c r="E7570" s="626"/>
      <c r="F7570" s="626"/>
    </row>
    <row r="7571" spans="1:6">
      <c r="A7571" t="str">
        <f t="shared" si="118"/>
        <v/>
      </c>
      <c r="E7571" s="626"/>
      <c r="F7571" s="626"/>
    </row>
    <row r="7572" spans="1:6">
      <c r="A7572" t="str">
        <f t="shared" si="118"/>
        <v/>
      </c>
      <c r="E7572" s="626"/>
      <c r="F7572" s="626"/>
    </row>
    <row r="7573" spans="1:6">
      <c r="A7573" t="str">
        <f t="shared" si="118"/>
        <v/>
      </c>
      <c r="E7573" s="626"/>
      <c r="F7573" s="626"/>
    </row>
    <row r="7574" spans="1:6">
      <c r="A7574" t="str">
        <f t="shared" si="118"/>
        <v/>
      </c>
      <c r="E7574" s="626"/>
      <c r="F7574" s="626"/>
    </row>
    <row r="7575" spans="1:6">
      <c r="A7575" t="str">
        <f t="shared" si="118"/>
        <v/>
      </c>
      <c r="E7575" s="626"/>
      <c r="F7575" s="626"/>
    </row>
    <row r="7576" spans="1:6">
      <c r="A7576" t="str">
        <f t="shared" si="118"/>
        <v/>
      </c>
      <c r="E7576" s="626"/>
      <c r="F7576" s="626"/>
    </row>
    <row r="7577" spans="1:6">
      <c r="A7577" t="str">
        <f t="shared" si="118"/>
        <v/>
      </c>
      <c r="E7577" s="626"/>
      <c r="F7577" s="626"/>
    </row>
    <row r="7578" spans="1:6">
      <c r="A7578" t="str">
        <f t="shared" si="118"/>
        <v/>
      </c>
      <c r="E7578" s="626"/>
      <c r="F7578" s="626"/>
    </row>
    <row r="7579" spans="1:6">
      <c r="A7579" t="str">
        <f t="shared" si="118"/>
        <v/>
      </c>
      <c r="E7579" s="626"/>
      <c r="F7579" s="626"/>
    </row>
    <row r="7580" spans="1:6">
      <c r="A7580" t="str">
        <f t="shared" si="118"/>
        <v/>
      </c>
      <c r="E7580" s="626"/>
      <c r="F7580" s="626"/>
    </row>
    <row r="7581" spans="1:6">
      <c r="A7581" t="str">
        <f t="shared" si="118"/>
        <v/>
      </c>
      <c r="E7581" s="626"/>
      <c r="F7581" s="626"/>
    </row>
    <row r="7582" spans="1:6">
      <c r="A7582" t="str">
        <f t="shared" si="118"/>
        <v/>
      </c>
      <c r="E7582" s="626"/>
      <c r="F7582" s="626"/>
    </row>
    <row r="7583" spans="1:6">
      <c r="A7583" t="str">
        <f t="shared" si="118"/>
        <v/>
      </c>
      <c r="E7583" s="626"/>
      <c r="F7583" s="626"/>
    </row>
    <row r="7584" spans="1:6">
      <c r="A7584" t="str">
        <f t="shared" si="118"/>
        <v/>
      </c>
      <c r="E7584" s="626"/>
      <c r="F7584" s="626"/>
    </row>
    <row r="7585" spans="1:6">
      <c r="A7585" t="str">
        <f t="shared" si="118"/>
        <v/>
      </c>
      <c r="E7585" s="626"/>
      <c r="F7585" s="626"/>
    </row>
    <row r="7586" spans="1:6">
      <c r="A7586" t="str">
        <f t="shared" si="118"/>
        <v/>
      </c>
      <c r="E7586" s="626"/>
      <c r="F7586" s="626"/>
    </row>
    <row r="7587" spans="1:6">
      <c r="A7587" t="str">
        <f t="shared" si="118"/>
        <v/>
      </c>
      <c r="E7587" s="626"/>
      <c r="F7587" s="626"/>
    </row>
    <row r="7588" spans="1:6">
      <c r="A7588" t="str">
        <f t="shared" si="118"/>
        <v/>
      </c>
      <c r="E7588" s="626"/>
      <c r="F7588" s="626"/>
    </row>
    <row r="7589" spans="1:6">
      <c r="A7589" t="str">
        <f t="shared" si="118"/>
        <v/>
      </c>
      <c r="E7589" s="626"/>
      <c r="F7589" s="626"/>
    </row>
    <row r="7590" spans="1:6">
      <c r="A7590" t="str">
        <f t="shared" si="118"/>
        <v/>
      </c>
      <c r="E7590" s="626"/>
      <c r="F7590" s="626"/>
    </row>
    <row r="7591" spans="1:6">
      <c r="A7591" t="str">
        <f t="shared" si="118"/>
        <v/>
      </c>
      <c r="E7591" s="626"/>
      <c r="F7591" s="626"/>
    </row>
    <row r="7592" spans="1:6">
      <c r="A7592" t="str">
        <f t="shared" si="118"/>
        <v/>
      </c>
      <c r="E7592" s="626"/>
      <c r="F7592" s="626"/>
    </row>
    <row r="7593" spans="1:6">
      <c r="A7593" t="str">
        <f t="shared" si="118"/>
        <v/>
      </c>
      <c r="E7593" s="626"/>
      <c r="F7593" s="626"/>
    </row>
    <row r="7594" spans="1:6">
      <c r="A7594" t="str">
        <f t="shared" si="118"/>
        <v/>
      </c>
      <c r="E7594" s="626"/>
      <c r="F7594" s="626"/>
    </row>
    <row r="7595" spans="1:6">
      <c r="A7595" t="str">
        <f t="shared" si="118"/>
        <v/>
      </c>
      <c r="E7595" s="626"/>
      <c r="F7595" s="626"/>
    </row>
    <row r="7596" spans="1:6">
      <c r="A7596" t="str">
        <f t="shared" si="118"/>
        <v/>
      </c>
      <c r="E7596" s="626"/>
      <c r="F7596" s="626"/>
    </row>
    <row r="7597" spans="1:6">
      <c r="A7597" t="str">
        <f t="shared" si="118"/>
        <v/>
      </c>
      <c r="E7597" s="626"/>
      <c r="F7597" s="626"/>
    </row>
    <row r="7598" spans="1:6">
      <c r="A7598" t="str">
        <f t="shared" si="118"/>
        <v/>
      </c>
      <c r="E7598" s="626"/>
      <c r="F7598" s="626"/>
    </row>
    <row r="7599" spans="1:6">
      <c r="A7599" t="str">
        <f t="shared" si="118"/>
        <v/>
      </c>
      <c r="E7599" s="626"/>
      <c r="F7599" s="626"/>
    </row>
    <row r="7600" spans="1:6">
      <c r="A7600" t="str">
        <f t="shared" si="118"/>
        <v/>
      </c>
      <c r="E7600" s="626"/>
      <c r="F7600" s="626"/>
    </row>
    <row r="7601" spans="1:6">
      <c r="A7601" t="str">
        <f t="shared" si="118"/>
        <v/>
      </c>
      <c r="E7601" s="626"/>
      <c r="F7601" s="626"/>
    </row>
    <row r="7602" spans="1:6">
      <c r="A7602" t="str">
        <f t="shared" si="118"/>
        <v/>
      </c>
      <c r="E7602" s="626"/>
      <c r="F7602" s="626"/>
    </row>
    <row r="7603" spans="1:6">
      <c r="A7603" t="str">
        <f t="shared" si="118"/>
        <v/>
      </c>
      <c r="E7603" s="626"/>
      <c r="F7603" s="626"/>
    </row>
    <row r="7604" spans="1:6">
      <c r="A7604" t="str">
        <f t="shared" si="118"/>
        <v/>
      </c>
      <c r="E7604" s="626"/>
      <c r="F7604" s="626"/>
    </row>
    <row r="7605" spans="1:6">
      <c r="A7605" t="str">
        <f t="shared" si="118"/>
        <v/>
      </c>
      <c r="E7605" s="626"/>
      <c r="F7605" s="626"/>
    </row>
    <row r="7606" spans="1:6">
      <c r="A7606" t="str">
        <f t="shared" si="118"/>
        <v/>
      </c>
      <c r="E7606" s="626"/>
      <c r="F7606" s="626"/>
    </row>
    <row r="7607" spans="1:6">
      <c r="A7607" t="str">
        <f t="shared" si="118"/>
        <v/>
      </c>
      <c r="E7607" s="626"/>
      <c r="F7607" s="626"/>
    </row>
    <row r="7608" spans="1:6">
      <c r="A7608" t="str">
        <f t="shared" si="118"/>
        <v/>
      </c>
      <c r="E7608" s="626"/>
      <c r="F7608" s="626"/>
    </row>
    <row r="7609" spans="1:6">
      <c r="A7609" t="str">
        <f t="shared" si="118"/>
        <v/>
      </c>
      <c r="E7609" s="626"/>
      <c r="F7609" s="626"/>
    </row>
    <row r="7610" spans="1:6">
      <c r="A7610" t="str">
        <f t="shared" si="118"/>
        <v/>
      </c>
      <c r="E7610" s="626"/>
      <c r="F7610" s="626"/>
    </row>
    <row r="7611" spans="1:6">
      <c r="A7611" t="str">
        <f t="shared" si="118"/>
        <v/>
      </c>
      <c r="E7611" s="626"/>
      <c r="F7611" s="626"/>
    </row>
    <row r="7612" spans="1:6">
      <c r="A7612" t="str">
        <f t="shared" si="118"/>
        <v/>
      </c>
      <c r="E7612" s="626"/>
      <c r="F7612" s="626"/>
    </row>
    <row r="7613" spans="1:6">
      <c r="A7613" t="str">
        <f t="shared" si="118"/>
        <v/>
      </c>
      <c r="E7613" s="626"/>
      <c r="F7613" s="626"/>
    </row>
    <row r="7614" spans="1:6">
      <c r="A7614" t="str">
        <f t="shared" si="118"/>
        <v/>
      </c>
      <c r="E7614" s="626"/>
      <c r="F7614" s="626"/>
    </row>
    <row r="7615" spans="1:6">
      <c r="A7615" t="str">
        <f t="shared" si="118"/>
        <v/>
      </c>
      <c r="E7615" s="626"/>
      <c r="F7615" s="626"/>
    </row>
    <row r="7616" spans="1:6">
      <c r="A7616" t="str">
        <f t="shared" si="118"/>
        <v/>
      </c>
      <c r="E7616" s="626"/>
      <c r="F7616" s="626"/>
    </row>
    <row r="7617" spans="1:6">
      <c r="A7617" t="str">
        <f t="shared" si="118"/>
        <v/>
      </c>
      <c r="E7617" s="626"/>
      <c r="F7617" s="626"/>
    </row>
    <row r="7618" spans="1:6">
      <c r="A7618" t="str">
        <f t="shared" ref="A7618:A7681" si="119">B7618&amp;E7618&amp;J7618</f>
        <v/>
      </c>
      <c r="E7618" s="626"/>
      <c r="F7618" s="626"/>
    </row>
    <row r="7619" spans="1:6">
      <c r="A7619" t="str">
        <f t="shared" si="119"/>
        <v/>
      </c>
      <c r="E7619" s="626"/>
      <c r="F7619" s="626"/>
    </row>
    <row r="7620" spans="1:6">
      <c r="A7620" t="str">
        <f t="shared" si="119"/>
        <v/>
      </c>
      <c r="E7620" s="626"/>
      <c r="F7620" s="626"/>
    </row>
    <row r="7621" spans="1:6">
      <c r="A7621" t="str">
        <f t="shared" si="119"/>
        <v/>
      </c>
      <c r="E7621" s="626"/>
      <c r="F7621" s="626"/>
    </row>
    <row r="7622" spans="1:6">
      <c r="A7622" t="str">
        <f t="shared" si="119"/>
        <v/>
      </c>
      <c r="E7622" s="626"/>
      <c r="F7622" s="626"/>
    </row>
    <row r="7623" spans="1:6">
      <c r="A7623" t="str">
        <f t="shared" si="119"/>
        <v/>
      </c>
      <c r="E7623" s="626"/>
      <c r="F7623" s="626"/>
    </row>
    <row r="7624" spans="1:6">
      <c r="A7624" t="str">
        <f t="shared" si="119"/>
        <v/>
      </c>
      <c r="E7624" s="626"/>
      <c r="F7624" s="626"/>
    </row>
    <row r="7625" spans="1:6">
      <c r="A7625" t="str">
        <f t="shared" si="119"/>
        <v/>
      </c>
      <c r="E7625" s="626"/>
      <c r="F7625" s="626"/>
    </row>
    <row r="7626" spans="1:6">
      <c r="A7626" t="str">
        <f t="shared" si="119"/>
        <v/>
      </c>
      <c r="E7626" s="626"/>
      <c r="F7626" s="626"/>
    </row>
    <row r="7627" spans="1:6">
      <c r="A7627" t="str">
        <f t="shared" si="119"/>
        <v/>
      </c>
      <c r="E7627" s="626"/>
      <c r="F7627" s="626"/>
    </row>
    <row r="7628" spans="1:6">
      <c r="A7628" t="str">
        <f t="shared" si="119"/>
        <v/>
      </c>
      <c r="E7628" s="626"/>
      <c r="F7628" s="626"/>
    </row>
    <row r="7629" spans="1:6">
      <c r="A7629" t="str">
        <f t="shared" si="119"/>
        <v/>
      </c>
      <c r="E7629" s="626"/>
      <c r="F7629" s="626"/>
    </row>
    <row r="7630" spans="1:6">
      <c r="A7630" t="str">
        <f t="shared" si="119"/>
        <v/>
      </c>
      <c r="E7630" s="626"/>
      <c r="F7630" s="626"/>
    </row>
    <row r="7631" spans="1:6">
      <c r="A7631" t="str">
        <f t="shared" si="119"/>
        <v/>
      </c>
      <c r="E7631" s="626"/>
      <c r="F7631" s="626"/>
    </row>
    <row r="7632" spans="1:6">
      <c r="A7632" t="str">
        <f t="shared" si="119"/>
        <v/>
      </c>
      <c r="E7632" s="626"/>
      <c r="F7632" s="626"/>
    </row>
    <row r="7633" spans="1:6">
      <c r="A7633" t="str">
        <f t="shared" si="119"/>
        <v/>
      </c>
      <c r="E7633" s="626"/>
      <c r="F7633" s="626"/>
    </row>
    <row r="7634" spans="1:6">
      <c r="A7634" t="str">
        <f t="shared" si="119"/>
        <v/>
      </c>
      <c r="E7634" s="626"/>
      <c r="F7634" s="626"/>
    </row>
    <row r="7635" spans="1:6">
      <c r="A7635" t="str">
        <f t="shared" si="119"/>
        <v/>
      </c>
      <c r="E7635" s="626"/>
      <c r="F7635" s="626"/>
    </row>
    <row r="7636" spans="1:6">
      <c r="A7636" t="str">
        <f t="shared" si="119"/>
        <v/>
      </c>
      <c r="E7636" s="626"/>
      <c r="F7636" s="626"/>
    </row>
    <row r="7637" spans="1:6">
      <c r="A7637" t="str">
        <f t="shared" si="119"/>
        <v/>
      </c>
      <c r="E7637" s="626"/>
      <c r="F7637" s="626"/>
    </row>
    <row r="7638" spans="1:6">
      <c r="A7638" t="str">
        <f t="shared" si="119"/>
        <v/>
      </c>
      <c r="E7638" s="626"/>
      <c r="F7638" s="626"/>
    </row>
    <row r="7639" spans="1:6">
      <c r="A7639" t="str">
        <f t="shared" si="119"/>
        <v/>
      </c>
      <c r="E7639" s="626"/>
      <c r="F7639" s="626"/>
    </row>
    <row r="7640" spans="1:6">
      <c r="A7640" t="str">
        <f t="shared" si="119"/>
        <v/>
      </c>
      <c r="E7640" s="626"/>
      <c r="F7640" s="626"/>
    </row>
    <row r="7641" spans="1:6">
      <c r="A7641" t="str">
        <f t="shared" si="119"/>
        <v/>
      </c>
      <c r="E7641" s="626"/>
      <c r="F7641" s="626"/>
    </row>
    <row r="7642" spans="1:6">
      <c r="A7642" t="str">
        <f t="shared" si="119"/>
        <v/>
      </c>
      <c r="E7642" s="626"/>
      <c r="F7642" s="626"/>
    </row>
    <row r="7643" spans="1:6">
      <c r="A7643" t="str">
        <f t="shared" si="119"/>
        <v/>
      </c>
      <c r="E7643" s="626"/>
      <c r="F7643" s="626"/>
    </row>
    <row r="7644" spans="1:6">
      <c r="A7644" t="str">
        <f t="shared" si="119"/>
        <v/>
      </c>
      <c r="E7644" s="626"/>
      <c r="F7644" s="626"/>
    </row>
    <row r="7645" spans="1:6">
      <c r="A7645" t="str">
        <f t="shared" si="119"/>
        <v/>
      </c>
      <c r="E7645" s="626"/>
      <c r="F7645" s="626"/>
    </row>
    <row r="7646" spans="1:6">
      <c r="A7646" t="str">
        <f t="shared" si="119"/>
        <v/>
      </c>
      <c r="E7646" s="626"/>
      <c r="F7646" s="626"/>
    </row>
    <row r="7647" spans="1:6">
      <c r="A7647" t="str">
        <f t="shared" si="119"/>
        <v/>
      </c>
      <c r="E7647" s="626"/>
      <c r="F7647" s="626"/>
    </row>
    <row r="7648" spans="1:6">
      <c r="A7648" t="str">
        <f t="shared" si="119"/>
        <v/>
      </c>
      <c r="E7648" s="626"/>
      <c r="F7648" s="626"/>
    </row>
    <row r="7649" spans="1:6">
      <c r="A7649" t="str">
        <f t="shared" si="119"/>
        <v/>
      </c>
      <c r="E7649" s="626"/>
      <c r="F7649" s="626"/>
    </row>
    <row r="7650" spans="1:6">
      <c r="A7650" t="str">
        <f t="shared" si="119"/>
        <v/>
      </c>
      <c r="E7650" s="626"/>
      <c r="F7650" s="626"/>
    </row>
    <row r="7651" spans="1:6">
      <c r="A7651" t="str">
        <f t="shared" si="119"/>
        <v/>
      </c>
      <c r="E7651" s="626"/>
      <c r="F7651" s="626"/>
    </row>
    <row r="7652" spans="1:6">
      <c r="A7652" t="str">
        <f t="shared" si="119"/>
        <v/>
      </c>
      <c r="E7652" s="626"/>
      <c r="F7652" s="626"/>
    </row>
    <row r="7653" spans="1:6">
      <c r="A7653" t="str">
        <f t="shared" si="119"/>
        <v/>
      </c>
      <c r="E7653" s="626"/>
      <c r="F7653" s="626"/>
    </row>
    <row r="7654" spans="1:6">
      <c r="A7654" t="str">
        <f t="shared" si="119"/>
        <v/>
      </c>
      <c r="E7654" s="626"/>
      <c r="F7654" s="626"/>
    </row>
    <row r="7655" spans="1:6">
      <c r="A7655" t="str">
        <f t="shared" si="119"/>
        <v/>
      </c>
      <c r="E7655" s="626"/>
      <c r="F7655" s="626"/>
    </row>
    <row r="7656" spans="1:6">
      <c r="A7656" t="str">
        <f t="shared" si="119"/>
        <v/>
      </c>
      <c r="E7656" s="626"/>
      <c r="F7656" s="626"/>
    </row>
    <row r="7657" spans="1:6">
      <c r="A7657" t="str">
        <f t="shared" si="119"/>
        <v/>
      </c>
      <c r="E7657" s="626"/>
      <c r="F7657" s="626"/>
    </row>
    <row r="7658" spans="1:6">
      <c r="A7658" t="str">
        <f t="shared" si="119"/>
        <v/>
      </c>
      <c r="E7658" s="626"/>
      <c r="F7658" s="626"/>
    </row>
    <row r="7659" spans="1:6">
      <c r="A7659" t="str">
        <f t="shared" si="119"/>
        <v/>
      </c>
      <c r="E7659" s="626"/>
      <c r="F7659" s="626"/>
    </row>
    <row r="7660" spans="1:6">
      <c r="A7660" t="str">
        <f t="shared" si="119"/>
        <v/>
      </c>
      <c r="E7660" s="626"/>
      <c r="F7660" s="626"/>
    </row>
    <row r="7661" spans="1:6">
      <c r="A7661" t="str">
        <f t="shared" si="119"/>
        <v/>
      </c>
      <c r="E7661" s="626"/>
      <c r="F7661" s="626"/>
    </row>
    <row r="7662" spans="1:6">
      <c r="A7662" t="str">
        <f t="shared" si="119"/>
        <v/>
      </c>
      <c r="E7662" s="626"/>
      <c r="F7662" s="626"/>
    </row>
    <row r="7663" spans="1:6">
      <c r="A7663" t="str">
        <f t="shared" si="119"/>
        <v/>
      </c>
      <c r="E7663" s="626"/>
      <c r="F7663" s="626"/>
    </row>
    <row r="7664" spans="1:6">
      <c r="A7664" t="str">
        <f t="shared" si="119"/>
        <v/>
      </c>
      <c r="E7664" s="626"/>
      <c r="F7664" s="626"/>
    </row>
    <row r="7665" spans="1:6">
      <c r="A7665" t="str">
        <f t="shared" si="119"/>
        <v/>
      </c>
      <c r="E7665" s="626"/>
      <c r="F7665" s="626"/>
    </row>
    <row r="7666" spans="1:6">
      <c r="A7666" t="str">
        <f t="shared" si="119"/>
        <v/>
      </c>
      <c r="E7666" s="626"/>
      <c r="F7666" s="626"/>
    </row>
    <row r="7667" spans="1:6">
      <c r="A7667" t="str">
        <f t="shared" si="119"/>
        <v/>
      </c>
      <c r="E7667" s="626"/>
      <c r="F7667" s="626"/>
    </row>
    <row r="7668" spans="1:6">
      <c r="A7668" t="str">
        <f t="shared" si="119"/>
        <v/>
      </c>
      <c r="E7668" s="626"/>
      <c r="F7668" s="626"/>
    </row>
    <row r="7669" spans="1:6">
      <c r="A7669" t="str">
        <f t="shared" si="119"/>
        <v/>
      </c>
      <c r="E7669" s="626"/>
      <c r="F7669" s="626"/>
    </row>
    <row r="7670" spans="1:6">
      <c r="A7670" t="str">
        <f t="shared" si="119"/>
        <v/>
      </c>
      <c r="E7670" s="626"/>
      <c r="F7670" s="626"/>
    </row>
    <row r="7671" spans="1:6">
      <c r="A7671" t="str">
        <f t="shared" si="119"/>
        <v/>
      </c>
      <c r="E7671" s="626"/>
      <c r="F7671" s="626"/>
    </row>
    <row r="7672" spans="1:6">
      <c r="A7672" t="str">
        <f t="shared" si="119"/>
        <v/>
      </c>
      <c r="E7672" s="626"/>
      <c r="F7672" s="626"/>
    </row>
    <row r="7673" spans="1:6">
      <c r="A7673" t="str">
        <f t="shared" si="119"/>
        <v/>
      </c>
      <c r="E7673" s="626"/>
      <c r="F7673" s="626"/>
    </row>
    <row r="7674" spans="1:6">
      <c r="A7674" t="str">
        <f t="shared" si="119"/>
        <v/>
      </c>
      <c r="E7674" s="626"/>
      <c r="F7674" s="626"/>
    </row>
    <row r="7675" spans="1:6">
      <c r="A7675" t="str">
        <f t="shared" si="119"/>
        <v/>
      </c>
      <c r="E7675" s="626"/>
      <c r="F7675" s="626"/>
    </row>
    <row r="7676" spans="1:6">
      <c r="A7676" t="str">
        <f t="shared" si="119"/>
        <v/>
      </c>
      <c r="E7676" s="626"/>
      <c r="F7676" s="626"/>
    </row>
    <row r="7677" spans="1:6">
      <c r="A7677" t="str">
        <f t="shared" si="119"/>
        <v/>
      </c>
      <c r="E7677" s="626"/>
      <c r="F7677" s="626"/>
    </row>
    <row r="7678" spans="1:6">
      <c r="A7678" t="str">
        <f t="shared" si="119"/>
        <v/>
      </c>
      <c r="E7678" s="626"/>
      <c r="F7678" s="626"/>
    </row>
    <row r="7679" spans="1:6">
      <c r="A7679" t="str">
        <f t="shared" si="119"/>
        <v/>
      </c>
      <c r="E7679" s="626"/>
      <c r="F7679" s="626"/>
    </row>
    <row r="7680" spans="1:6">
      <c r="A7680" t="str">
        <f t="shared" si="119"/>
        <v/>
      </c>
      <c r="E7680" s="626"/>
      <c r="F7680" s="626"/>
    </row>
    <row r="7681" spans="1:6">
      <c r="A7681" t="str">
        <f t="shared" si="119"/>
        <v/>
      </c>
      <c r="E7681" s="626"/>
      <c r="F7681" s="626"/>
    </row>
    <row r="7682" spans="1:6">
      <c r="A7682" t="str">
        <f t="shared" ref="A7682:A7745" si="120">B7682&amp;E7682&amp;J7682</f>
        <v/>
      </c>
      <c r="E7682" s="626"/>
      <c r="F7682" s="626"/>
    </row>
    <row r="7683" spans="1:6">
      <c r="A7683" t="str">
        <f t="shared" si="120"/>
        <v/>
      </c>
      <c r="E7683" s="626"/>
      <c r="F7683" s="626"/>
    </row>
    <row r="7684" spans="1:6">
      <c r="A7684" t="str">
        <f t="shared" si="120"/>
        <v/>
      </c>
      <c r="E7684" s="626"/>
      <c r="F7684" s="626"/>
    </row>
    <row r="7685" spans="1:6">
      <c r="A7685" t="str">
        <f t="shared" si="120"/>
        <v/>
      </c>
      <c r="E7685" s="626"/>
      <c r="F7685" s="626"/>
    </row>
    <row r="7686" spans="1:6">
      <c r="A7686" t="str">
        <f t="shared" si="120"/>
        <v/>
      </c>
      <c r="E7686" s="626"/>
      <c r="F7686" s="626"/>
    </row>
    <row r="7687" spans="1:6">
      <c r="A7687" t="str">
        <f t="shared" si="120"/>
        <v/>
      </c>
      <c r="E7687" s="626"/>
      <c r="F7687" s="626"/>
    </row>
    <row r="7688" spans="1:6">
      <c r="A7688" t="str">
        <f t="shared" si="120"/>
        <v/>
      </c>
      <c r="E7688" s="626"/>
      <c r="F7688" s="626"/>
    </row>
    <row r="7689" spans="1:6">
      <c r="A7689" t="str">
        <f t="shared" si="120"/>
        <v/>
      </c>
      <c r="E7689" s="626"/>
      <c r="F7689" s="626"/>
    </row>
    <row r="7690" spans="1:6">
      <c r="A7690" t="str">
        <f t="shared" si="120"/>
        <v/>
      </c>
      <c r="E7690" s="626"/>
      <c r="F7690" s="626"/>
    </row>
    <row r="7691" spans="1:6">
      <c r="A7691" t="str">
        <f t="shared" si="120"/>
        <v/>
      </c>
      <c r="E7691" s="626"/>
      <c r="F7691" s="626"/>
    </row>
    <row r="7692" spans="1:6">
      <c r="A7692" t="str">
        <f t="shared" si="120"/>
        <v/>
      </c>
      <c r="E7692" s="626"/>
      <c r="F7692" s="626"/>
    </row>
    <row r="7693" spans="1:6">
      <c r="A7693" t="str">
        <f t="shared" si="120"/>
        <v/>
      </c>
      <c r="E7693" s="626"/>
      <c r="F7693" s="626"/>
    </row>
    <row r="7694" spans="1:6">
      <c r="A7694" t="str">
        <f t="shared" si="120"/>
        <v/>
      </c>
      <c r="E7694" s="626"/>
      <c r="F7694" s="626"/>
    </row>
    <row r="7695" spans="1:6">
      <c r="A7695" t="str">
        <f t="shared" si="120"/>
        <v/>
      </c>
      <c r="E7695" s="626"/>
      <c r="F7695" s="626"/>
    </row>
    <row r="7696" spans="1:6">
      <c r="A7696" t="str">
        <f t="shared" si="120"/>
        <v/>
      </c>
      <c r="E7696" s="626"/>
      <c r="F7696" s="626"/>
    </row>
    <row r="7697" spans="1:6">
      <c r="A7697" t="str">
        <f t="shared" si="120"/>
        <v/>
      </c>
      <c r="E7697" s="626"/>
      <c r="F7697" s="626"/>
    </row>
    <row r="7698" spans="1:6">
      <c r="A7698" t="str">
        <f t="shared" si="120"/>
        <v/>
      </c>
      <c r="E7698" s="626"/>
      <c r="F7698" s="626"/>
    </row>
    <row r="7699" spans="1:6">
      <c r="A7699" t="str">
        <f t="shared" si="120"/>
        <v/>
      </c>
      <c r="E7699" s="626"/>
      <c r="F7699" s="626"/>
    </row>
    <row r="7700" spans="1:6">
      <c r="A7700" t="str">
        <f t="shared" si="120"/>
        <v/>
      </c>
      <c r="E7700" s="626"/>
      <c r="F7700" s="626"/>
    </row>
    <row r="7701" spans="1:6">
      <c r="A7701" t="str">
        <f t="shared" si="120"/>
        <v/>
      </c>
      <c r="E7701" s="626"/>
      <c r="F7701" s="626"/>
    </row>
    <row r="7702" spans="1:6">
      <c r="A7702" t="str">
        <f t="shared" si="120"/>
        <v/>
      </c>
      <c r="E7702" s="626"/>
      <c r="F7702" s="626"/>
    </row>
    <row r="7703" spans="1:6">
      <c r="A7703" t="str">
        <f t="shared" si="120"/>
        <v/>
      </c>
      <c r="E7703" s="626"/>
      <c r="F7703" s="626"/>
    </row>
    <row r="7704" spans="1:6">
      <c r="A7704" t="str">
        <f t="shared" si="120"/>
        <v/>
      </c>
      <c r="E7704" s="626"/>
      <c r="F7704" s="626"/>
    </row>
    <row r="7705" spans="1:6">
      <c r="A7705" t="str">
        <f t="shared" si="120"/>
        <v/>
      </c>
      <c r="E7705" s="626"/>
      <c r="F7705" s="626"/>
    </row>
    <row r="7706" spans="1:6">
      <c r="A7706" t="str">
        <f t="shared" si="120"/>
        <v/>
      </c>
      <c r="E7706" s="626"/>
      <c r="F7706" s="626"/>
    </row>
    <row r="7707" spans="1:6">
      <c r="A7707" t="str">
        <f t="shared" si="120"/>
        <v/>
      </c>
      <c r="E7707" s="626"/>
      <c r="F7707" s="626"/>
    </row>
    <row r="7708" spans="1:6">
      <c r="A7708" t="str">
        <f t="shared" si="120"/>
        <v/>
      </c>
      <c r="E7708" s="626"/>
      <c r="F7708" s="626"/>
    </row>
    <row r="7709" spans="1:6">
      <c r="A7709" t="str">
        <f t="shared" si="120"/>
        <v/>
      </c>
      <c r="E7709" s="626"/>
      <c r="F7709" s="626"/>
    </row>
    <row r="7710" spans="1:6">
      <c r="A7710" t="str">
        <f t="shared" si="120"/>
        <v/>
      </c>
      <c r="E7710" s="626"/>
      <c r="F7710" s="626"/>
    </row>
    <row r="7711" spans="1:6">
      <c r="A7711" t="str">
        <f t="shared" si="120"/>
        <v/>
      </c>
      <c r="E7711" s="626"/>
      <c r="F7711" s="626"/>
    </row>
    <row r="7712" spans="1:6">
      <c r="A7712" t="str">
        <f t="shared" si="120"/>
        <v/>
      </c>
      <c r="E7712" s="626"/>
      <c r="F7712" s="626"/>
    </row>
    <row r="7713" spans="1:6">
      <c r="A7713" t="str">
        <f t="shared" si="120"/>
        <v/>
      </c>
      <c r="E7713" s="626"/>
      <c r="F7713" s="626"/>
    </row>
    <row r="7714" spans="1:6">
      <c r="A7714" t="str">
        <f t="shared" si="120"/>
        <v/>
      </c>
      <c r="E7714" s="626"/>
      <c r="F7714" s="626"/>
    </row>
    <row r="7715" spans="1:6">
      <c r="A7715" t="str">
        <f t="shared" si="120"/>
        <v/>
      </c>
      <c r="E7715" s="626"/>
      <c r="F7715" s="626"/>
    </row>
    <row r="7716" spans="1:6">
      <c r="A7716" t="str">
        <f t="shared" si="120"/>
        <v/>
      </c>
      <c r="E7716" s="626"/>
      <c r="F7716" s="626"/>
    </row>
    <row r="7717" spans="1:6">
      <c r="A7717" t="str">
        <f t="shared" si="120"/>
        <v/>
      </c>
      <c r="E7717" s="626"/>
      <c r="F7717" s="626"/>
    </row>
    <row r="7718" spans="1:6">
      <c r="A7718" t="str">
        <f t="shared" si="120"/>
        <v/>
      </c>
      <c r="E7718" s="626"/>
      <c r="F7718" s="626"/>
    </row>
    <row r="7719" spans="1:6">
      <c r="A7719" t="str">
        <f t="shared" si="120"/>
        <v/>
      </c>
      <c r="E7719" s="626"/>
      <c r="F7719" s="626"/>
    </row>
    <row r="7720" spans="1:6">
      <c r="A7720" t="str">
        <f t="shared" si="120"/>
        <v/>
      </c>
      <c r="E7720" s="626"/>
      <c r="F7720" s="626"/>
    </row>
    <row r="7721" spans="1:6">
      <c r="A7721" t="str">
        <f t="shared" si="120"/>
        <v/>
      </c>
      <c r="E7721" s="626"/>
      <c r="F7721" s="626"/>
    </row>
    <row r="7722" spans="1:6">
      <c r="A7722" t="str">
        <f t="shared" si="120"/>
        <v/>
      </c>
      <c r="E7722" s="626"/>
      <c r="F7722" s="626"/>
    </row>
    <row r="7723" spans="1:6">
      <c r="A7723" t="str">
        <f t="shared" si="120"/>
        <v/>
      </c>
      <c r="E7723" s="626"/>
      <c r="F7723" s="626"/>
    </row>
    <row r="7724" spans="1:6">
      <c r="A7724" t="str">
        <f t="shared" si="120"/>
        <v/>
      </c>
      <c r="E7724" s="626"/>
      <c r="F7724" s="626"/>
    </row>
    <row r="7725" spans="1:6">
      <c r="A7725" t="str">
        <f t="shared" si="120"/>
        <v/>
      </c>
      <c r="E7725" s="626"/>
      <c r="F7725" s="626"/>
    </row>
    <row r="7726" spans="1:6">
      <c r="A7726" t="str">
        <f t="shared" si="120"/>
        <v/>
      </c>
      <c r="E7726" s="626"/>
      <c r="F7726" s="626"/>
    </row>
    <row r="7727" spans="1:6">
      <c r="A7727" t="str">
        <f t="shared" si="120"/>
        <v/>
      </c>
      <c r="E7727" s="626"/>
      <c r="F7727" s="626"/>
    </row>
    <row r="7728" spans="1:6">
      <c r="A7728" t="str">
        <f t="shared" si="120"/>
        <v/>
      </c>
      <c r="E7728" s="626"/>
      <c r="F7728" s="626"/>
    </row>
    <row r="7729" spans="1:6">
      <c r="A7729" t="str">
        <f t="shared" si="120"/>
        <v/>
      </c>
      <c r="E7729" s="626"/>
      <c r="F7729" s="626"/>
    </row>
    <row r="7730" spans="1:6">
      <c r="A7730" t="str">
        <f t="shared" si="120"/>
        <v/>
      </c>
      <c r="E7730" s="626"/>
      <c r="F7730" s="626"/>
    </row>
    <row r="7731" spans="1:6">
      <c r="A7731" t="str">
        <f t="shared" si="120"/>
        <v/>
      </c>
      <c r="E7731" s="626"/>
      <c r="F7731" s="626"/>
    </row>
    <row r="7732" spans="1:6">
      <c r="A7732" t="str">
        <f t="shared" si="120"/>
        <v/>
      </c>
      <c r="E7732" s="626"/>
      <c r="F7732" s="626"/>
    </row>
    <row r="7733" spans="1:6">
      <c r="A7733" t="str">
        <f t="shared" si="120"/>
        <v/>
      </c>
      <c r="E7733" s="626"/>
      <c r="F7733" s="626"/>
    </row>
    <row r="7734" spans="1:6">
      <c r="A7734" t="str">
        <f t="shared" si="120"/>
        <v/>
      </c>
      <c r="E7734" s="626"/>
      <c r="F7734" s="626"/>
    </row>
    <row r="7735" spans="1:6">
      <c r="A7735" t="str">
        <f t="shared" si="120"/>
        <v/>
      </c>
      <c r="E7735" s="626"/>
      <c r="F7735" s="626"/>
    </row>
    <row r="7736" spans="1:6">
      <c r="A7736" t="str">
        <f t="shared" si="120"/>
        <v/>
      </c>
      <c r="E7736" s="626"/>
      <c r="F7736" s="626"/>
    </row>
    <row r="7737" spans="1:6">
      <c r="A7737" t="str">
        <f t="shared" si="120"/>
        <v/>
      </c>
      <c r="E7737" s="626"/>
      <c r="F7737" s="626"/>
    </row>
    <row r="7738" spans="1:6">
      <c r="A7738" t="str">
        <f t="shared" si="120"/>
        <v/>
      </c>
      <c r="E7738" s="626"/>
      <c r="F7738" s="626"/>
    </row>
    <row r="7739" spans="1:6">
      <c r="A7739" t="str">
        <f t="shared" si="120"/>
        <v/>
      </c>
      <c r="E7739" s="626"/>
      <c r="F7739" s="626"/>
    </row>
    <row r="7740" spans="1:6">
      <c r="A7740" t="str">
        <f t="shared" si="120"/>
        <v/>
      </c>
      <c r="E7740" s="626"/>
      <c r="F7740" s="626"/>
    </row>
    <row r="7741" spans="1:6">
      <c r="A7741" t="str">
        <f t="shared" si="120"/>
        <v/>
      </c>
      <c r="E7741" s="626"/>
      <c r="F7741" s="626"/>
    </row>
    <row r="7742" spans="1:6">
      <c r="A7742" t="str">
        <f t="shared" si="120"/>
        <v/>
      </c>
      <c r="E7742" s="626"/>
      <c r="F7742" s="626"/>
    </row>
    <row r="7743" spans="1:6">
      <c r="A7743" t="str">
        <f t="shared" si="120"/>
        <v/>
      </c>
      <c r="E7743" s="626"/>
      <c r="F7743" s="626"/>
    </row>
    <row r="7744" spans="1:6">
      <c r="A7744" t="str">
        <f t="shared" si="120"/>
        <v/>
      </c>
      <c r="E7744" s="626"/>
      <c r="F7744" s="626"/>
    </row>
    <row r="7745" spans="1:6">
      <c r="A7745" t="str">
        <f t="shared" si="120"/>
        <v/>
      </c>
      <c r="E7745" s="626"/>
      <c r="F7745" s="626"/>
    </row>
    <row r="7746" spans="1:6">
      <c r="A7746" t="str">
        <f t="shared" ref="A7746:A7809" si="121">B7746&amp;E7746&amp;J7746</f>
        <v/>
      </c>
      <c r="E7746" s="626"/>
      <c r="F7746" s="626"/>
    </row>
    <row r="7747" spans="1:6">
      <c r="A7747" t="str">
        <f t="shared" si="121"/>
        <v/>
      </c>
      <c r="E7747" s="626"/>
      <c r="F7747" s="626"/>
    </row>
    <row r="7748" spans="1:6">
      <c r="A7748" t="str">
        <f t="shared" si="121"/>
        <v/>
      </c>
      <c r="E7748" s="626"/>
      <c r="F7748" s="626"/>
    </row>
    <row r="7749" spans="1:6">
      <c r="A7749" t="str">
        <f t="shared" si="121"/>
        <v/>
      </c>
      <c r="E7749" s="626"/>
      <c r="F7749" s="626"/>
    </row>
    <row r="7750" spans="1:6">
      <c r="A7750" t="str">
        <f t="shared" si="121"/>
        <v/>
      </c>
      <c r="E7750" s="626"/>
      <c r="F7750" s="626"/>
    </row>
    <row r="7751" spans="1:6">
      <c r="A7751" t="str">
        <f t="shared" si="121"/>
        <v/>
      </c>
      <c r="E7751" s="626"/>
      <c r="F7751" s="626"/>
    </row>
    <row r="7752" spans="1:6">
      <c r="A7752" t="str">
        <f t="shared" si="121"/>
        <v/>
      </c>
      <c r="E7752" s="626"/>
      <c r="F7752" s="626"/>
    </row>
    <row r="7753" spans="1:6">
      <c r="A7753" t="str">
        <f t="shared" si="121"/>
        <v/>
      </c>
      <c r="E7753" s="626"/>
      <c r="F7753" s="626"/>
    </row>
    <row r="7754" spans="1:6">
      <c r="A7754" t="str">
        <f t="shared" si="121"/>
        <v/>
      </c>
      <c r="E7754" s="626"/>
      <c r="F7754" s="626"/>
    </row>
    <row r="7755" spans="1:6">
      <c r="A7755" t="str">
        <f t="shared" si="121"/>
        <v/>
      </c>
      <c r="E7755" s="626"/>
      <c r="F7755" s="626"/>
    </row>
    <row r="7756" spans="1:6">
      <c r="A7756" t="str">
        <f t="shared" si="121"/>
        <v/>
      </c>
      <c r="E7756" s="626"/>
      <c r="F7756" s="626"/>
    </row>
    <row r="7757" spans="1:6">
      <c r="A7757" t="str">
        <f t="shared" si="121"/>
        <v/>
      </c>
      <c r="E7757" s="626"/>
      <c r="F7757" s="626"/>
    </row>
    <row r="7758" spans="1:6">
      <c r="A7758" t="str">
        <f t="shared" si="121"/>
        <v/>
      </c>
      <c r="E7758" s="626"/>
      <c r="F7758" s="626"/>
    </row>
    <row r="7759" spans="1:6">
      <c r="A7759" t="str">
        <f t="shared" si="121"/>
        <v/>
      </c>
      <c r="E7759" s="626"/>
      <c r="F7759" s="626"/>
    </row>
    <row r="7760" spans="1:6">
      <c r="A7760" t="str">
        <f t="shared" si="121"/>
        <v/>
      </c>
      <c r="E7760" s="626"/>
      <c r="F7760" s="626"/>
    </row>
    <row r="7761" spans="1:6">
      <c r="A7761" t="str">
        <f t="shared" si="121"/>
        <v/>
      </c>
      <c r="E7761" s="626"/>
      <c r="F7761" s="626"/>
    </row>
    <row r="7762" spans="1:6">
      <c r="A7762" t="str">
        <f t="shared" si="121"/>
        <v/>
      </c>
      <c r="E7762" s="626"/>
      <c r="F7762" s="626"/>
    </row>
    <row r="7763" spans="1:6">
      <c r="A7763" t="str">
        <f t="shared" si="121"/>
        <v/>
      </c>
      <c r="E7763" s="626"/>
      <c r="F7763" s="626"/>
    </row>
    <row r="7764" spans="1:6">
      <c r="A7764" t="str">
        <f t="shared" si="121"/>
        <v/>
      </c>
      <c r="E7764" s="626"/>
      <c r="F7764" s="626"/>
    </row>
    <row r="7765" spans="1:6">
      <c r="A7765" t="str">
        <f t="shared" si="121"/>
        <v/>
      </c>
      <c r="E7765" s="626"/>
      <c r="F7765" s="626"/>
    </row>
    <row r="7766" spans="1:6">
      <c r="A7766" t="str">
        <f t="shared" si="121"/>
        <v/>
      </c>
      <c r="E7766" s="626"/>
      <c r="F7766" s="626"/>
    </row>
    <row r="7767" spans="1:6">
      <c r="A7767" t="str">
        <f t="shared" si="121"/>
        <v/>
      </c>
      <c r="E7767" s="626"/>
      <c r="F7767" s="626"/>
    </row>
    <row r="7768" spans="1:6">
      <c r="A7768" t="str">
        <f t="shared" si="121"/>
        <v/>
      </c>
      <c r="E7768" s="626"/>
      <c r="F7768" s="626"/>
    </row>
    <row r="7769" spans="1:6">
      <c r="A7769" t="str">
        <f t="shared" si="121"/>
        <v/>
      </c>
      <c r="E7769" s="626"/>
      <c r="F7769" s="626"/>
    </row>
    <row r="7770" spans="1:6">
      <c r="A7770" t="str">
        <f t="shared" si="121"/>
        <v/>
      </c>
      <c r="E7770" s="626"/>
      <c r="F7770" s="626"/>
    </row>
    <row r="7771" spans="1:6">
      <c r="A7771" t="str">
        <f t="shared" si="121"/>
        <v/>
      </c>
      <c r="E7771" s="626"/>
      <c r="F7771" s="626"/>
    </row>
    <row r="7772" spans="1:6">
      <c r="A7772" t="str">
        <f t="shared" si="121"/>
        <v/>
      </c>
      <c r="E7772" s="626"/>
      <c r="F7772" s="626"/>
    </row>
    <row r="7773" spans="1:6">
      <c r="A7773" t="str">
        <f t="shared" si="121"/>
        <v/>
      </c>
      <c r="E7773" s="626"/>
      <c r="F7773" s="626"/>
    </row>
    <row r="7774" spans="1:6">
      <c r="A7774" t="str">
        <f t="shared" si="121"/>
        <v/>
      </c>
      <c r="E7774" s="626"/>
      <c r="F7774" s="626"/>
    </row>
    <row r="7775" spans="1:6">
      <c r="A7775" t="str">
        <f t="shared" si="121"/>
        <v/>
      </c>
      <c r="E7775" s="626"/>
      <c r="F7775" s="626"/>
    </row>
    <row r="7776" spans="1:6">
      <c r="A7776" t="str">
        <f t="shared" si="121"/>
        <v/>
      </c>
      <c r="E7776" s="626"/>
      <c r="F7776" s="626"/>
    </row>
    <row r="7777" spans="1:6">
      <c r="A7777" t="str">
        <f t="shared" si="121"/>
        <v/>
      </c>
      <c r="E7777" s="626"/>
      <c r="F7777" s="626"/>
    </row>
    <row r="7778" spans="1:6">
      <c r="A7778" t="str">
        <f t="shared" si="121"/>
        <v/>
      </c>
      <c r="E7778" s="626"/>
      <c r="F7778" s="626"/>
    </row>
    <row r="7779" spans="1:6">
      <c r="A7779" t="str">
        <f t="shared" si="121"/>
        <v/>
      </c>
      <c r="E7779" s="626"/>
      <c r="F7779" s="626"/>
    </row>
    <row r="7780" spans="1:6">
      <c r="A7780" t="str">
        <f t="shared" si="121"/>
        <v/>
      </c>
      <c r="E7780" s="626"/>
      <c r="F7780" s="626"/>
    </row>
    <row r="7781" spans="1:6">
      <c r="A7781" t="str">
        <f t="shared" si="121"/>
        <v/>
      </c>
      <c r="E7781" s="626"/>
      <c r="F7781" s="626"/>
    </row>
    <row r="7782" spans="1:6">
      <c r="A7782" t="str">
        <f t="shared" si="121"/>
        <v/>
      </c>
      <c r="E7782" s="626"/>
      <c r="F7782" s="626"/>
    </row>
    <row r="7783" spans="1:6">
      <c r="A7783" t="str">
        <f t="shared" si="121"/>
        <v/>
      </c>
      <c r="E7783" s="626"/>
      <c r="F7783" s="626"/>
    </row>
    <row r="7784" spans="1:6">
      <c r="A7784" t="str">
        <f t="shared" si="121"/>
        <v/>
      </c>
      <c r="E7784" s="626"/>
      <c r="F7784" s="626"/>
    </row>
    <row r="7785" spans="1:6">
      <c r="A7785" t="str">
        <f t="shared" si="121"/>
        <v/>
      </c>
      <c r="E7785" s="626"/>
      <c r="F7785" s="626"/>
    </row>
    <row r="7786" spans="1:6">
      <c r="A7786" t="str">
        <f t="shared" si="121"/>
        <v/>
      </c>
      <c r="E7786" s="626"/>
      <c r="F7786" s="626"/>
    </row>
    <row r="7787" spans="1:6">
      <c r="A7787" t="str">
        <f t="shared" si="121"/>
        <v/>
      </c>
      <c r="E7787" s="626"/>
      <c r="F7787" s="626"/>
    </row>
    <row r="7788" spans="1:6">
      <c r="A7788" t="str">
        <f t="shared" si="121"/>
        <v/>
      </c>
      <c r="E7788" s="626"/>
      <c r="F7788" s="626"/>
    </row>
    <row r="7789" spans="1:6">
      <c r="A7789" t="str">
        <f t="shared" si="121"/>
        <v/>
      </c>
      <c r="E7789" s="626"/>
      <c r="F7789" s="626"/>
    </row>
    <row r="7790" spans="1:6">
      <c r="A7790" t="str">
        <f t="shared" si="121"/>
        <v/>
      </c>
      <c r="E7790" s="626"/>
      <c r="F7790" s="626"/>
    </row>
    <row r="7791" spans="1:6">
      <c r="A7791" t="str">
        <f t="shared" si="121"/>
        <v/>
      </c>
      <c r="E7791" s="626"/>
      <c r="F7791" s="626"/>
    </row>
    <row r="7792" spans="1:6">
      <c r="A7792" t="str">
        <f t="shared" si="121"/>
        <v/>
      </c>
      <c r="E7792" s="626"/>
      <c r="F7792" s="626"/>
    </row>
    <row r="7793" spans="1:6">
      <c r="A7793" t="str">
        <f t="shared" si="121"/>
        <v/>
      </c>
      <c r="E7793" s="626"/>
      <c r="F7793" s="626"/>
    </row>
    <row r="7794" spans="1:6">
      <c r="A7794" t="str">
        <f t="shared" si="121"/>
        <v/>
      </c>
      <c r="E7794" s="626"/>
      <c r="F7794" s="626"/>
    </row>
    <row r="7795" spans="1:6">
      <c r="A7795" t="str">
        <f t="shared" si="121"/>
        <v/>
      </c>
      <c r="E7795" s="626"/>
      <c r="F7795" s="626"/>
    </row>
    <row r="7796" spans="1:6">
      <c r="A7796" t="str">
        <f t="shared" si="121"/>
        <v/>
      </c>
      <c r="E7796" s="626"/>
      <c r="F7796" s="626"/>
    </row>
    <row r="7797" spans="1:6">
      <c r="A7797" t="str">
        <f t="shared" si="121"/>
        <v/>
      </c>
      <c r="E7797" s="626"/>
      <c r="F7797" s="626"/>
    </row>
    <row r="7798" spans="1:6">
      <c r="A7798" t="str">
        <f t="shared" si="121"/>
        <v/>
      </c>
      <c r="E7798" s="626"/>
      <c r="F7798" s="626"/>
    </row>
    <row r="7799" spans="1:6">
      <c r="A7799" t="str">
        <f t="shared" si="121"/>
        <v/>
      </c>
      <c r="E7799" s="626"/>
      <c r="F7799" s="626"/>
    </row>
    <row r="7800" spans="1:6">
      <c r="A7800" t="str">
        <f t="shared" si="121"/>
        <v/>
      </c>
      <c r="E7800" s="626"/>
      <c r="F7800" s="626"/>
    </row>
    <row r="7801" spans="1:6">
      <c r="A7801" t="str">
        <f t="shared" si="121"/>
        <v/>
      </c>
      <c r="E7801" s="626"/>
      <c r="F7801" s="626"/>
    </row>
    <row r="7802" spans="1:6">
      <c r="A7802" t="str">
        <f t="shared" si="121"/>
        <v/>
      </c>
      <c r="E7802" s="626"/>
      <c r="F7802" s="626"/>
    </row>
    <row r="7803" spans="1:6">
      <c r="A7803" t="str">
        <f t="shared" si="121"/>
        <v/>
      </c>
      <c r="E7803" s="626"/>
      <c r="F7803" s="626"/>
    </row>
    <row r="7804" spans="1:6">
      <c r="A7804" t="str">
        <f t="shared" si="121"/>
        <v/>
      </c>
      <c r="E7804" s="626"/>
      <c r="F7804" s="626"/>
    </row>
    <row r="7805" spans="1:6">
      <c r="A7805" t="str">
        <f t="shared" si="121"/>
        <v/>
      </c>
      <c r="E7805" s="626"/>
      <c r="F7805" s="626"/>
    </row>
    <row r="7806" spans="1:6">
      <c r="A7806" t="str">
        <f t="shared" si="121"/>
        <v/>
      </c>
      <c r="E7806" s="626"/>
      <c r="F7806" s="626"/>
    </row>
    <row r="7807" spans="1:6">
      <c r="A7807" t="str">
        <f t="shared" si="121"/>
        <v/>
      </c>
      <c r="E7807" s="626"/>
      <c r="F7807" s="626"/>
    </row>
    <row r="7808" spans="1:6">
      <c r="A7808" t="str">
        <f t="shared" si="121"/>
        <v/>
      </c>
      <c r="E7808" s="626"/>
      <c r="F7808" s="626"/>
    </row>
    <row r="7809" spans="1:6">
      <c r="A7809" t="str">
        <f t="shared" si="121"/>
        <v/>
      </c>
      <c r="E7809" s="626"/>
      <c r="F7809" s="626"/>
    </row>
    <row r="7810" spans="1:6">
      <c r="A7810" t="str">
        <f t="shared" ref="A7810:A7873" si="122">B7810&amp;E7810&amp;J7810</f>
        <v/>
      </c>
      <c r="E7810" s="626"/>
      <c r="F7810" s="626"/>
    </row>
    <row r="7811" spans="1:6">
      <c r="A7811" t="str">
        <f t="shared" si="122"/>
        <v/>
      </c>
      <c r="E7811" s="626"/>
      <c r="F7811" s="626"/>
    </row>
    <row r="7812" spans="1:6">
      <c r="A7812" t="str">
        <f t="shared" si="122"/>
        <v/>
      </c>
      <c r="E7812" s="626"/>
      <c r="F7812" s="626"/>
    </row>
    <row r="7813" spans="1:6">
      <c r="A7813" t="str">
        <f t="shared" si="122"/>
        <v/>
      </c>
      <c r="E7813" s="626"/>
      <c r="F7813" s="626"/>
    </row>
    <row r="7814" spans="1:6">
      <c r="A7814" t="str">
        <f t="shared" si="122"/>
        <v/>
      </c>
      <c r="E7814" s="626"/>
      <c r="F7814" s="626"/>
    </row>
    <row r="7815" spans="1:6">
      <c r="A7815" t="str">
        <f t="shared" si="122"/>
        <v/>
      </c>
      <c r="E7815" s="626"/>
      <c r="F7815" s="626"/>
    </row>
    <row r="7816" spans="1:6">
      <c r="A7816" t="str">
        <f t="shared" si="122"/>
        <v/>
      </c>
      <c r="E7816" s="626"/>
      <c r="F7816" s="626"/>
    </row>
    <row r="7817" spans="1:6">
      <c r="A7817" t="str">
        <f t="shared" si="122"/>
        <v/>
      </c>
      <c r="E7817" s="626"/>
      <c r="F7817" s="626"/>
    </row>
    <row r="7818" spans="1:6">
      <c r="A7818" t="str">
        <f t="shared" si="122"/>
        <v/>
      </c>
      <c r="E7818" s="626"/>
      <c r="F7818" s="626"/>
    </row>
    <row r="7819" spans="1:6">
      <c r="A7819" t="str">
        <f t="shared" si="122"/>
        <v/>
      </c>
      <c r="E7819" s="626"/>
      <c r="F7819" s="626"/>
    </row>
    <row r="7820" spans="1:6">
      <c r="A7820" t="str">
        <f t="shared" si="122"/>
        <v/>
      </c>
      <c r="E7820" s="626"/>
      <c r="F7820" s="626"/>
    </row>
    <row r="7821" spans="1:6">
      <c r="A7821" t="str">
        <f t="shared" si="122"/>
        <v/>
      </c>
      <c r="E7821" s="626"/>
      <c r="F7821" s="626"/>
    </row>
    <row r="7822" spans="1:6">
      <c r="A7822" t="str">
        <f t="shared" si="122"/>
        <v/>
      </c>
      <c r="E7822" s="626"/>
      <c r="F7822" s="626"/>
    </row>
    <row r="7823" spans="1:6">
      <c r="A7823" t="str">
        <f t="shared" si="122"/>
        <v/>
      </c>
      <c r="E7823" s="626"/>
      <c r="F7823" s="626"/>
    </row>
    <row r="7824" spans="1:6">
      <c r="A7824" t="str">
        <f t="shared" si="122"/>
        <v/>
      </c>
      <c r="E7824" s="626"/>
      <c r="F7824" s="626"/>
    </row>
    <row r="7825" spans="1:6">
      <c r="A7825" t="str">
        <f t="shared" si="122"/>
        <v/>
      </c>
      <c r="E7825" s="626"/>
      <c r="F7825" s="626"/>
    </row>
    <row r="7826" spans="1:6">
      <c r="A7826" t="str">
        <f t="shared" si="122"/>
        <v/>
      </c>
      <c r="E7826" s="626"/>
      <c r="F7826" s="626"/>
    </row>
    <row r="7827" spans="1:6">
      <c r="A7827" t="str">
        <f t="shared" si="122"/>
        <v/>
      </c>
      <c r="E7827" s="626"/>
      <c r="F7827" s="626"/>
    </row>
    <row r="7828" spans="1:6">
      <c r="A7828" t="str">
        <f t="shared" si="122"/>
        <v/>
      </c>
      <c r="E7828" s="626"/>
      <c r="F7828" s="626"/>
    </row>
    <row r="7829" spans="1:6">
      <c r="A7829" t="str">
        <f t="shared" si="122"/>
        <v/>
      </c>
      <c r="E7829" s="626"/>
      <c r="F7829" s="626"/>
    </row>
    <row r="7830" spans="1:6">
      <c r="A7830" t="str">
        <f t="shared" si="122"/>
        <v/>
      </c>
      <c r="E7830" s="626"/>
      <c r="F7830" s="626"/>
    </row>
    <row r="7831" spans="1:6">
      <c r="A7831" t="str">
        <f t="shared" si="122"/>
        <v/>
      </c>
      <c r="E7831" s="626"/>
      <c r="F7831" s="626"/>
    </row>
    <row r="7832" spans="1:6">
      <c r="A7832" t="str">
        <f t="shared" si="122"/>
        <v/>
      </c>
      <c r="E7832" s="626"/>
      <c r="F7832" s="626"/>
    </row>
    <row r="7833" spans="1:6">
      <c r="A7833" t="str">
        <f t="shared" si="122"/>
        <v/>
      </c>
      <c r="E7833" s="626"/>
      <c r="F7833" s="626"/>
    </row>
    <row r="7834" spans="1:6">
      <c r="A7834" t="str">
        <f t="shared" si="122"/>
        <v/>
      </c>
      <c r="E7834" s="626"/>
      <c r="F7834" s="626"/>
    </row>
    <row r="7835" spans="1:6">
      <c r="A7835" t="str">
        <f t="shared" si="122"/>
        <v/>
      </c>
      <c r="E7835" s="626"/>
      <c r="F7835" s="626"/>
    </row>
    <row r="7836" spans="1:6">
      <c r="A7836" t="str">
        <f t="shared" si="122"/>
        <v/>
      </c>
      <c r="E7836" s="626"/>
      <c r="F7836" s="626"/>
    </row>
    <row r="7837" spans="1:6">
      <c r="A7837" t="str">
        <f t="shared" si="122"/>
        <v/>
      </c>
      <c r="E7837" s="626"/>
      <c r="F7837" s="626"/>
    </row>
    <row r="7838" spans="1:6">
      <c r="A7838" t="str">
        <f t="shared" si="122"/>
        <v/>
      </c>
      <c r="E7838" s="626"/>
      <c r="F7838" s="626"/>
    </row>
    <row r="7839" spans="1:6">
      <c r="A7839" t="str">
        <f t="shared" si="122"/>
        <v/>
      </c>
      <c r="E7839" s="626"/>
      <c r="F7839" s="626"/>
    </row>
    <row r="7840" spans="1:6">
      <c r="A7840" t="str">
        <f t="shared" si="122"/>
        <v/>
      </c>
      <c r="E7840" s="626"/>
      <c r="F7840" s="626"/>
    </row>
    <row r="7841" spans="1:6">
      <c r="A7841" t="str">
        <f t="shared" si="122"/>
        <v/>
      </c>
      <c r="E7841" s="626"/>
      <c r="F7841" s="626"/>
    </row>
    <row r="7842" spans="1:6">
      <c r="A7842" t="str">
        <f t="shared" si="122"/>
        <v/>
      </c>
      <c r="E7842" s="626"/>
      <c r="F7842" s="626"/>
    </row>
    <row r="7843" spans="1:6">
      <c r="A7843" t="str">
        <f t="shared" si="122"/>
        <v/>
      </c>
      <c r="E7843" s="626"/>
      <c r="F7843" s="626"/>
    </row>
    <row r="7844" spans="1:6">
      <c r="A7844" t="str">
        <f t="shared" si="122"/>
        <v/>
      </c>
      <c r="E7844" s="626"/>
      <c r="F7844" s="626"/>
    </row>
    <row r="7845" spans="1:6">
      <c r="A7845" t="str">
        <f t="shared" si="122"/>
        <v/>
      </c>
      <c r="E7845" s="626"/>
      <c r="F7845" s="626"/>
    </row>
    <row r="7846" spans="1:6">
      <c r="A7846" t="str">
        <f t="shared" si="122"/>
        <v/>
      </c>
      <c r="E7846" s="626"/>
      <c r="F7846" s="626"/>
    </row>
    <row r="7847" spans="1:6">
      <c r="A7847" t="str">
        <f t="shared" si="122"/>
        <v/>
      </c>
      <c r="E7847" s="626"/>
      <c r="F7847" s="626"/>
    </row>
    <row r="7848" spans="1:6">
      <c r="A7848" t="str">
        <f t="shared" si="122"/>
        <v/>
      </c>
      <c r="E7848" s="626"/>
      <c r="F7848" s="626"/>
    </row>
    <row r="7849" spans="1:6">
      <c r="A7849" t="str">
        <f t="shared" si="122"/>
        <v/>
      </c>
      <c r="E7849" s="626"/>
      <c r="F7849" s="626"/>
    </row>
    <row r="7850" spans="1:6">
      <c r="A7850" t="str">
        <f t="shared" si="122"/>
        <v/>
      </c>
      <c r="E7850" s="626"/>
      <c r="F7850" s="626"/>
    </row>
    <row r="7851" spans="1:6">
      <c r="A7851" t="str">
        <f t="shared" si="122"/>
        <v/>
      </c>
      <c r="E7851" s="626"/>
      <c r="F7851" s="626"/>
    </row>
    <row r="7852" spans="1:6">
      <c r="A7852" t="str">
        <f t="shared" si="122"/>
        <v/>
      </c>
      <c r="E7852" s="626"/>
      <c r="F7852" s="626"/>
    </row>
    <row r="7853" spans="1:6">
      <c r="A7853" t="str">
        <f t="shared" si="122"/>
        <v/>
      </c>
      <c r="E7853" s="626"/>
      <c r="F7853" s="626"/>
    </row>
    <row r="7854" spans="1:6">
      <c r="A7854" t="str">
        <f t="shared" si="122"/>
        <v/>
      </c>
      <c r="E7854" s="626"/>
      <c r="F7854" s="626"/>
    </row>
    <row r="7855" spans="1:6">
      <c r="A7855" t="str">
        <f t="shared" si="122"/>
        <v/>
      </c>
      <c r="E7855" s="626"/>
      <c r="F7855" s="626"/>
    </row>
    <row r="7856" spans="1:6">
      <c r="A7856" t="str">
        <f t="shared" si="122"/>
        <v/>
      </c>
      <c r="E7856" s="626"/>
      <c r="F7856" s="626"/>
    </row>
    <row r="7857" spans="1:6">
      <c r="A7857" t="str">
        <f t="shared" si="122"/>
        <v/>
      </c>
      <c r="E7857" s="626"/>
      <c r="F7857" s="626"/>
    </row>
    <row r="7858" spans="1:6">
      <c r="A7858" t="str">
        <f t="shared" si="122"/>
        <v/>
      </c>
      <c r="E7858" s="626"/>
      <c r="F7858" s="626"/>
    </row>
    <row r="7859" spans="1:6">
      <c r="A7859" t="str">
        <f t="shared" si="122"/>
        <v/>
      </c>
      <c r="E7859" s="626"/>
      <c r="F7859" s="626"/>
    </row>
    <row r="7860" spans="1:6">
      <c r="A7860" t="str">
        <f t="shared" si="122"/>
        <v/>
      </c>
      <c r="E7860" s="626"/>
      <c r="F7860" s="626"/>
    </row>
    <row r="7861" spans="1:6">
      <c r="A7861" t="str">
        <f t="shared" si="122"/>
        <v/>
      </c>
      <c r="E7861" s="626"/>
      <c r="F7861" s="626"/>
    </row>
    <row r="7862" spans="1:6">
      <c r="A7862" t="str">
        <f t="shared" si="122"/>
        <v/>
      </c>
      <c r="E7862" s="626"/>
      <c r="F7862" s="626"/>
    </row>
    <row r="7863" spans="1:6">
      <c r="A7863" t="str">
        <f t="shared" si="122"/>
        <v/>
      </c>
      <c r="E7863" s="626"/>
      <c r="F7863" s="626"/>
    </row>
    <row r="7864" spans="1:6">
      <c r="A7864" t="str">
        <f t="shared" si="122"/>
        <v/>
      </c>
      <c r="E7864" s="626"/>
      <c r="F7864" s="626"/>
    </row>
    <row r="7865" spans="1:6">
      <c r="A7865" t="str">
        <f t="shared" si="122"/>
        <v/>
      </c>
      <c r="E7865" s="626"/>
      <c r="F7865" s="626"/>
    </row>
    <row r="7866" spans="1:6">
      <c r="A7866" t="str">
        <f t="shared" si="122"/>
        <v/>
      </c>
      <c r="E7866" s="626"/>
      <c r="F7866" s="626"/>
    </row>
    <row r="7867" spans="1:6">
      <c r="A7867" t="str">
        <f t="shared" si="122"/>
        <v/>
      </c>
      <c r="E7867" s="626"/>
      <c r="F7867" s="626"/>
    </row>
    <row r="7868" spans="1:6">
      <c r="A7868" t="str">
        <f t="shared" si="122"/>
        <v/>
      </c>
      <c r="E7868" s="626"/>
      <c r="F7868" s="626"/>
    </row>
    <row r="7869" spans="1:6">
      <c r="A7869" t="str">
        <f t="shared" si="122"/>
        <v/>
      </c>
      <c r="E7869" s="626"/>
      <c r="F7869" s="626"/>
    </row>
    <row r="7870" spans="1:6">
      <c r="A7870" t="str">
        <f t="shared" si="122"/>
        <v/>
      </c>
      <c r="E7870" s="626"/>
      <c r="F7870" s="626"/>
    </row>
    <row r="7871" spans="1:6">
      <c r="A7871" t="str">
        <f t="shared" si="122"/>
        <v/>
      </c>
      <c r="E7871" s="626"/>
      <c r="F7871" s="626"/>
    </row>
    <row r="7872" spans="1:6">
      <c r="A7872" t="str">
        <f t="shared" si="122"/>
        <v/>
      </c>
      <c r="E7872" s="626"/>
      <c r="F7872" s="626"/>
    </row>
    <row r="7873" spans="1:6">
      <c r="A7873" t="str">
        <f t="shared" si="122"/>
        <v/>
      </c>
      <c r="E7873" s="626"/>
      <c r="F7873" s="626"/>
    </row>
    <row r="7874" spans="1:6">
      <c r="A7874" t="str">
        <f t="shared" ref="A7874:A7937" si="123">B7874&amp;E7874&amp;J7874</f>
        <v/>
      </c>
      <c r="E7874" s="626"/>
      <c r="F7874" s="626"/>
    </row>
    <row r="7875" spans="1:6">
      <c r="A7875" t="str">
        <f t="shared" si="123"/>
        <v/>
      </c>
      <c r="E7875" s="626"/>
      <c r="F7875" s="626"/>
    </row>
    <row r="7876" spans="1:6">
      <c r="A7876" t="str">
        <f t="shared" si="123"/>
        <v/>
      </c>
      <c r="E7876" s="626"/>
      <c r="F7876" s="626"/>
    </row>
    <row r="7877" spans="1:6">
      <c r="A7877" t="str">
        <f t="shared" si="123"/>
        <v/>
      </c>
      <c r="E7877" s="626"/>
      <c r="F7877" s="626"/>
    </row>
    <row r="7878" spans="1:6">
      <c r="A7878" t="str">
        <f t="shared" si="123"/>
        <v/>
      </c>
      <c r="E7878" s="626"/>
      <c r="F7878" s="626"/>
    </row>
    <row r="7879" spans="1:6">
      <c r="A7879" t="str">
        <f t="shared" si="123"/>
        <v/>
      </c>
      <c r="E7879" s="626"/>
      <c r="F7879" s="626"/>
    </row>
    <row r="7880" spans="1:6">
      <c r="A7880" t="str">
        <f t="shared" si="123"/>
        <v/>
      </c>
      <c r="E7880" s="626"/>
      <c r="F7880" s="626"/>
    </row>
    <row r="7881" spans="1:6">
      <c r="A7881" t="str">
        <f t="shared" si="123"/>
        <v/>
      </c>
      <c r="E7881" s="626"/>
      <c r="F7881" s="626"/>
    </row>
    <row r="7882" spans="1:6">
      <c r="A7882" t="str">
        <f t="shared" si="123"/>
        <v/>
      </c>
      <c r="E7882" s="626"/>
      <c r="F7882" s="626"/>
    </row>
    <row r="7883" spans="1:6">
      <c r="A7883" t="str">
        <f t="shared" si="123"/>
        <v/>
      </c>
      <c r="E7883" s="626"/>
      <c r="F7883" s="626"/>
    </row>
    <row r="7884" spans="1:6">
      <c r="A7884" t="str">
        <f t="shared" si="123"/>
        <v/>
      </c>
      <c r="E7884" s="626"/>
      <c r="F7884" s="626"/>
    </row>
    <row r="7885" spans="1:6">
      <c r="A7885" t="str">
        <f t="shared" si="123"/>
        <v/>
      </c>
      <c r="E7885" s="626"/>
      <c r="F7885" s="626"/>
    </row>
    <row r="7886" spans="1:6">
      <c r="A7886" t="str">
        <f t="shared" si="123"/>
        <v/>
      </c>
      <c r="E7886" s="626"/>
      <c r="F7886" s="626"/>
    </row>
    <row r="7887" spans="1:6">
      <c r="A7887" t="str">
        <f t="shared" si="123"/>
        <v/>
      </c>
      <c r="E7887" s="626"/>
      <c r="F7887" s="626"/>
    </row>
    <row r="7888" spans="1:6">
      <c r="A7888" t="str">
        <f t="shared" si="123"/>
        <v/>
      </c>
      <c r="E7888" s="626"/>
      <c r="F7888" s="626"/>
    </row>
    <row r="7889" spans="1:6">
      <c r="A7889" t="str">
        <f t="shared" si="123"/>
        <v/>
      </c>
      <c r="E7889" s="626"/>
      <c r="F7889" s="626"/>
    </row>
    <row r="7890" spans="1:6">
      <c r="A7890" t="str">
        <f t="shared" si="123"/>
        <v/>
      </c>
      <c r="E7890" s="626"/>
      <c r="F7890" s="626"/>
    </row>
    <row r="7891" spans="1:6">
      <c r="A7891" t="str">
        <f t="shared" si="123"/>
        <v/>
      </c>
      <c r="E7891" s="626"/>
      <c r="F7891" s="626"/>
    </row>
    <row r="7892" spans="1:6">
      <c r="A7892" t="str">
        <f t="shared" si="123"/>
        <v/>
      </c>
      <c r="E7892" s="626"/>
      <c r="F7892" s="626"/>
    </row>
    <row r="7893" spans="1:6">
      <c r="A7893" t="str">
        <f t="shared" si="123"/>
        <v/>
      </c>
      <c r="E7893" s="626"/>
      <c r="F7893" s="626"/>
    </row>
    <row r="7894" spans="1:6">
      <c r="A7894" t="str">
        <f t="shared" si="123"/>
        <v/>
      </c>
      <c r="E7894" s="626"/>
      <c r="F7894" s="626"/>
    </row>
    <row r="7895" spans="1:6">
      <c r="A7895" t="str">
        <f t="shared" si="123"/>
        <v/>
      </c>
      <c r="E7895" s="626"/>
      <c r="F7895" s="626"/>
    </row>
    <row r="7896" spans="1:6">
      <c r="A7896" t="str">
        <f t="shared" si="123"/>
        <v/>
      </c>
      <c r="E7896" s="626"/>
      <c r="F7896" s="626"/>
    </row>
    <row r="7897" spans="1:6">
      <c r="A7897" t="str">
        <f t="shared" si="123"/>
        <v/>
      </c>
      <c r="E7897" s="626"/>
      <c r="F7897" s="626"/>
    </row>
    <row r="7898" spans="1:6">
      <c r="A7898" t="str">
        <f t="shared" si="123"/>
        <v/>
      </c>
      <c r="E7898" s="626"/>
      <c r="F7898" s="626"/>
    </row>
    <row r="7899" spans="1:6">
      <c r="A7899" t="str">
        <f t="shared" si="123"/>
        <v/>
      </c>
      <c r="E7899" s="626"/>
      <c r="F7899" s="626"/>
    </row>
    <row r="7900" spans="1:6">
      <c r="A7900" t="str">
        <f t="shared" si="123"/>
        <v/>
      </c>
      <c r="E7900" s="626"/>
      <c r="F7900" s="626"/>
    </row>
    <row r="7901" spans="1:6">
      <c r="A7901" t="str">
        <f t="shared" si="123"/>
        <v/>
      </c>
      <c r="E7901" s="626"/>
      <c r="F7901" s="626"/>
    </row>
    <row r="7902" spans="1:6">
      <c r="A7902" t="str">
        <f t="shared" si="123"/>
        <v/>
      </c>
      <c r="E7902" s="626"/>
      <c r="F7902" s="626"/>
    </row>
    <row r="7903" spans="1:6">
      <c r="A7903" t="str">
        <f t="shared" si="123"/>
        <v/>
      </c>
      <c r="E7903" s="626"/>
      <c r="F7903" s="626"/>
    </row>
    <row r="7904" spans="1:6">
      <c r="A7904" t="str">
        <f t="shared" si="123"/>
        <v/>
      </c>
      <c r="E7904" s="626"/>
      <c r="F7904" s="626"/>
    </row>
    <row r="7905" spans="1:6">
      <c r="A7905" t="str">
        <f t="shared" si="123"/>
        <v/>
      </c>
      <c r="E7905" s="626"/>
      <c r="F7905" s="626"/>
    </row>
    <row r="7906" spans="1:6">
      <c r="A7906" t="str">
        <f t="shared" si="123"/>
        <v/>
      </c>
      <c r="E7906" s="626"/>
      <c r="F7906" s="626"/>
    </row>
    <row r="7907" spans="1:6">
      <c r="A7907" t="str">
        <f t="shared" si="123"/>
        <v/>
      </c>
      <c r="E7907" s="626"/>
      <c r="F7907" s="626"/>
    </row>
    <row r="7908" spans="1:6">
      <c r="A7908" t="str">
        <f t="shared" si="123"/>
        <v/>
      </c>
      <c r="E7908" s="626"/>
      <c r="F7908" s="626"/>
    </row>
    <row r="7909" spans="1:6">
      <c r="A7909" t="str">
        <f t="shared" si="123"/>
        <v/>
      </c>
      <c r="E7909" s="626"/>
      <c r="F7909" s="626"/>
    </row>
    <row r="7910" spans="1:6">
      <c r="A7910" t="str">
        <f t="shared" si="123"/>
        <v/>
      </c>
      <c r="E7910" s="626"/>
      <c r="F7910" s="626"/>
    </row>
    <row r="7911" spans="1:6">
      <c r="A7911" t="str">
        <f t="shared" si="123"/>
        <v/>
      </c>
      <c r="E7911" s="626"/>
      <c r="F7911" s="626"/>
    </row>
    <row r="7912" spans="1:6">
      <c r="A7912" t="str">
        <f t="shared" si="123"/>
        <v/>
      </c>
      <c r="E7912" s="626"/>
      <c r="F7912" s="626"/>
    </row>
    <row r="7913" spans="1:6">
      <c r="A7913" t="str">
        <f t="shared" si="123"/>
        <v/>
      </c>
      <c r="E7913" s="626"/>
      <c r="F7913" s="626"/>
    </row>
    <row r="7914" spans="1:6">
      <c r="A7914" t="str">
        <f t="shared" si="123"/>
        <v/>
      </c>
      <c r="E7914" s="626"/>
      <c r="F7914" s="626"/>
    </row>
    <row r="7915" spans="1:6">
      <c r="A7915" t="str">
        <f t="shared" si="123"/>
        <v/>
      </c>
      <c r="E7915" s="626"/>
      <c r="F7915" s="626"/>
    </row>
    <row r="7916" spans="1:6">
      <c r="A7916" t="str">
        <f t="shared" si="123"/>
        <v/>
      </c>
      <c r="E7916" s="626"/>
      <c r="F7916" s="626"/>
    </row>
    <row r="7917" spans="1:6">
      <c r="A7917" t="str">
        <f t="shared" si="123"/>
        <v/>
      </c>
      <c r="E7917" s="626"/>
      <c r="F7917" s="626"/>
    </row>
    <row r="7918" spans="1:6">
      <c r="A7918" t="str">
        <f t="shared" si="123"/>
        <v/>
      </c>
      <c r="E7918" s="626"/>
      <c r="F7918" s="626"/>
    </row>
    <row r="7919" spans="1:6">
      <c r="A7919" t="str">
        <f t="shared" si="123"/>
        <v/>
      </c>
      <c r="E7919" s="626"/>
      <c r="F7919" s="626"/>
    </row>
    <row r="7920" spans="1:6">
      <c r="A7920" t="str">
        <f t="shared" si="123"/>
        <v/>
      </c>
      <c r="E7920" s="626"/>
      <c r="F7920" s="626"/>
    </row>
    <row r="7921" spans="1:6">
      <c r="A7921" t="str">
        <f t="shared" si="123"/>
        <v/>
      </c>
      <c r="E7921" s="626"/>
      <c r="F7921" s="626"/>
    </row>
    <row r="7922" spans="1:6">
      <c r="A7922" t="str">
        <f t="shared" si="123"/>
        <v/>
      </c>
      <c r="E7922" s="626"/>
      <c r="F7922" s="626"/>
    </row>
    <row r="7923" spans="1:6">
      <c r="A7923" t="str">
        <f t="shared" si="123"/>
        <v/>
      </c>
      <c r="E7923" s="626"/>
      <c r="F7923" s="626"/>
    </row>
    <row r="7924" spans="1:6">
      <c r="A7924" t="str">
        <f t="shared" si="123"/>
        <v/>
      </c>
      <c r="E7924" s="626"/>
      <c r="F7924" s="626"/>
    </row>
    <row r="7925" spans="1:6">
      <c r="A7925" t="str">
        <f t="shared" si="123"/>
        <v/>
      </c>
      <c r="E7925" s="626"/>
      <c r="F7925" s="626"/>
    </row>
    <row r="7926" spans="1:6">
      <c r="A7926" t="str">
        <f t="shared" si="123"/>
        <v/>
      </c>
      <c r="E7926" s="626"/>
      <c r="F7926" s="626"/>
    </row>
    <row r="7927" spans="1:6">
      <c r="A7927" t="str">
        <f t="shared" si="123"/>
        <v/>
      </c>
      <c r="E7927" s="626"/>
      <c r="F7927" s="626"/>
    </row>
    <row r="7928" spans="1:6">
      <c r="A7928" t="str">
        <f t="shared" si="123"/>
        <v/>
      </c>
      <c r="E7928" s="626"/>
      <c r="F7928" s="626"/>
    </row>
    <row r="7929" spans="1:6">
      <c r="A7929" t="str">
        <f t="shared" si="123"/>
        <v/>
      </c>
      <c r="E7929" s="626"/>
      <c r="F7929" s="626"/>
    </row>
    <row r="7930" spans="1:6">
      <c r="A7930" t="str">
        <f t="shared" si="123"/>
        <v/>
      </c>
      <c r="E7930" s="626"/>
      <c r="F7930" s="626"/>
    </row>
    <row r="7931" spans="1:6">
      <c r="A7931" t="str">
        <f t="shared" si="123"/>
        <v/>
      </c>
      <c r="E7931" s="626"/>
      <c r="F7931" s="626"/>
    </row>
    <row r="7932" spans="1:6">
      <c r="A7932" t="str">
        <f t="shared" si="123"/>
        <v/>
      </c>
      <c r="E7932" s="626"/>
      <c r="F7932" s="626"/>
    </row>
    <row r="7933" spans="1:6">
      <c r="A7933" t="str">
        <f t="shared" si="123"/>
        <v/>
      </c>
      <c r="E7933" s="626"/>
      <c r="F7933" s="626"/>
    </row>
    <row r="7934" spans="1:6">
      <c r="A7934" t="str">
        <f t="shared" si="123"/>
        <v/>
      </c>
      <c r="E7934" s="626"/>
      <c r="F7934" s="626"/>
    </row>
    <row r="7935" spans="1:6">
      <c r="A7935" t="str">
        <f t="shared" si="123"/>
        <v/>
      </c>
      <c r="E7935" s="626"/>
      <c r="F7935" s="626"/>
    </row>
    <row r="7936" spans="1:6">
      <c r="A7936" t="str">
        <f t="shared" si="123"/>
        <v/>
      </c>
      <c r="E7936" s="626"/>
      <c r="F7936" s="626"/>
    </row>
    <row r="7937" spans="1:6">
      <c r="A7937" t="str">
        <f t="shared" si="123"/>
        <v/>
      </c>
      <c r="E7937" s="626"/>
      <c r="F7937" s="626"/>
    </row>
    <row r="7938" spans="1:6">
      <c r="A7938" t="str">
        <f t="shared" ref="A7938:A8001" si="124">B7938&amp;E7938&amp;J7938</f>
        <v/>
      </c>
      <c r="E7938" s="626"/>
      <c r="F7938" s="626"/>
    </row>
    <row r="7939" spans="1:6">
      <c r="A7939" t="str">
        <f t="shared" si="124"/>
        <v/>
      </c>
      <c r="E7939" s="626"/>
      <c r="F7939" s="626"/>
    </row>
    <row r="7940" spans="1:6">
      <c r="A7940" t="str">
        <f t="shared" si="124"/>
        <v/>
      </c>
      <c r="E7940" s="626"/>
      <c r="F7940" s="626"/>
    </row>
    <row r="7941" spans="1:6">
      <c r="A7941" t="str">
        <f t="shared" si="124"/>
        <v/>
      </c>
      <c r="E7941" s="626"/>
      <c r="F7941" s="626"/>
    </row>
    <row r="7942" spans="1:6">
      <c r="A7942" t="str">
        <f t="shared" si="124"/>
        <v/>
      </c>
      <c r="E7942" s="626"/>
      <c r="F7942" s="626"/>
    </row>
    <row r="7943" spans="1:6">
      <c r="A7943" t="str">
        <f t="shared" si="124"/>
        <v/>
      </c>
      <c r="E7943" s="626"/>
      <c r="F7943" s="626"/>
    </row>
    <row r="7944" spans="1:6">
      <c r="A7944" t="str">
        <f t="shared" si="124"/>
        <v/>
      </c>
      <c r="E7944" s="626"/>
      <c r="F7944" s="626"/>
    </row>
    <row r="7945" spans="1:6">
      <c r="A7945" t="str">
        <f t="shared" si="124"/>
        <v/>
      </c>
      <c r="E7945" s="626"/>
      <c r="F7945" s="626"/>
    </row>
    <row r="7946" spans="1:6">
      <c r="A7946" t="str">
        <f t="shared" si="124"/>
        <v/>
      </c>
      <c r="E7946" s="626"/>
      <c r="F7946" s="626"/>
    </row>
    <row r="7947" spans="1:6">
      <c r="A7947" t="str">
        <f t="shared" si="124"/>
        <v/>
      </c>
      <c r="E7947" s="626"/>
      <c r="F7947" s="626"/>
    </row>
    <row r="7948" spans="1:6">
      <c r="A7948" t="str">
        <f t="shared" si="124"/>
        <v/>
      </c>
      <c r="E7948" s="626"/>
      <c r="F7948" s="626"/>
    </row>
    <row r="7949" spans="1:6">
      <c r="A7949" t="str">
        <f t="shared" si="124"/>
        <v/>
      </c>
      <c r="E7949" s="626"/>
      <c r="F7949" s="626"/>
    </row>
    <row r="7950" spans="1:6">
      <c r="A7950" t="str">
        <f t="shared" si="124"/>
        <v/>
      </c>
      <c r="E7950" s="626"/>
      <c r="F7950" s="626"/>
    </row>
    <row r="7951" spans="1:6">
      <c r="A7951" t="str">
        <f t="shared" si="124"/>
        <v/>
      </c>
      <c r="E7951" s="626"/>
      <c r="F7951" s="626"/>
    </row>
    <row r="7952" spans="1:6">
      <c r="A7952" t="str">
        <f t="shared" si="124"/>
        <v/>
      </c>
      <c r="E7952" s="626"/>
      <c r="F7952" s="626"/>
    </row>
    <row r="7953" spans="1:6">
      <c r="A7953" t="str">
        <f t="shared" si="124"/>
        <v/>
      </c>
      <c r="E7953" s="626"/>
      <c r="F7953" s="626"/>
    </row>
    <row r="7954" spans="1:6">
      <c r="A7954" t="str">
        <f t="shared" si="124"/>
        <v/>
      </c>
      <c r="E7954" s="626"/>
      <c r="F7954" s="626"/>
    </row>
    <row r="7955" spans="1:6">
      <c r="A7955" t="str">
        <f t="shared" si="124"/>
        <v/>
      </c>
      <c r="E7955" s="626"/>
      <c r="F7955" s="626"/>
    </row>
    <row r="7956" spans="1:6">
      <c r="A7956" t="str">
        <f t="shared" si="124"/>
        <v/>
      </c>
      <c r="E7956" s="626"/>
      <c r="F7956" s="626"/>
    </row>
    <row r="7957" spans="1:6">
      <c r="A7957" t="str">
        <f t="shared" si="124"/>
        <v/>
      </c>
      <c r="E7957" s="626"/>
      <c r="F7957" s="626"/>
    </row>
    <row r="7958" spans="1:6">
      <c r="A7958" t="str">
        <f t="shared" si="124"/>
        <v/>
      </c>
      <c r="E7958" s="626"/>
      <c r="F7958" s="626"/>
    </row>
    <row r="7959" spans="1:6">
      <c r="A7959" t="str">
        <f t="shared" si="124"/>
        <v/>
      </c>
      <c r="E7959" s="626"/>
      <c r="F7959" s="626"/>
    </row>
    <row r="7960" spans="1:6">
      <c r="A7960" t="str">
        <f t="shared" si="124"/>
        <v/>
      </c>
      <c r="E7960" s="626"/>
      <c r="F7960" s="626"/>
    </row>
    <row r="7961" spans="1:6">
      <c r="A7961" t="str">
        <f t="shared" si="124"/>
        <v/>
      </c>
      <c r="E7961" s="626"/>
      <c r="F7961" s="626"/>
    </row>
    <row r="7962" spans="1:6">
      <c r="A7962" t="str">
        <f t="shared" si="124"/>
        <v/>
      </c>
      <c r="E7962" s="626"/>
      <c r="F7962" s="626"/>
    </row>
    <row r="7963" spans="1:6">
      <c r="A7963" t="str">
        <f t="shared" si="124"/>
        <v/>
      </c>
      <c r="E7963" s="626"/>
      <c r="F7963" s="626"/>
    </row>
    <row r="7964" spans="1:6">
      <c r="A7964" t="str">
        <f t="shared" si="124"/>
        <v/>
      </c>
      <c r="E7964" s="626"/>
      <c r="F7964" s="626"/>
    </row>
    <row r="7965" spans="1:6">
      <c r="A7965" t="str">
        <f t="shared" si="124"/>
        <v/>
      </c>
      <c r="E7965" s="626"/>
      <c r="F7965" s="626"/>
    </row>
    <row r="7966" spans="1:6">
      <c r="A7966" t="str">
        <f t="shared" si="124"/>
        <v/>
      </c>
      <c r="E7966" s="626"/>
      <c r="F7966" s="626"/>
    </row>
    <row r="7967" spans="1:6">
      <c r="A7967" t="str">
        <f t="shared" si="124"/>
        <v/>
      </c>
      <c r="E7967" s="626"/>
      <c r="F7967" s="626"/>
    </row>
    <row r="7968" spans="1:6">
      <c r="A7968" t="str">
        <f t="shared" si="124"/>
        <v/>
      </c>
      <c r="E7968" s="626"/>
      <c r="F7968" s="626"/>
    </row>
    <row r="7969" spans="1:6">
      <c r="A7969" t="str">
        <f t="shared" si="124"/>
        <v/>
      </c>
      <c r="E7969" s="626"/>
      <c r="F7969" s="626"/>
    </row>
    <row r="7970" spans="1:6">
      <c r="A7970" t="str">
        <f t="shared" si="124"/>
        <v/>
      </c>
      <c r="E7970" s="626"/>
      <c r="F7970" s="626"/>
    </row>
    <row r="7971" spans="1:6">
      <c r="A7971" t="str">
        <f t="shared" si="124"/>
        <v/>
      </c>
      <c r="E7971" s="626"/>
      <c r="F7971" s="626"/>
    </row>
    <row r="7972" spans="1:6">
      <c r="A7972" t="str">
        <f t="shared" si="124"/>
        <v/>
      </c>
      <c r="E7972" s="626"/>
      <c r="F7972" s="626"/>
    </row>
    <row r="7973" spans="1:6">
      <c r="A7973" t="str">
        <f t="shared" si="124"/>
        <v/>
      </c>
      <c r="E7973" s="626"/>
      <c r="F7973" s="626"/>
    </row>
    <row r="7974" spans="1:6">
      <c r="A7974" t="str">
        <f t="shared" si="124"/>
        <v/>
      </c>
      <c r="E7974" s="626"/>
      <c r="F7974" s="626"/>
    </row>
    <row r="7975" spans="1:6">
      <c r="A7975" t="str">
        <f t="shared" si="124"/>
        <v/>
      </c>
      <c r="E7975" s="626"/>
      <c r="F7975" s="626"/>
    </row>
    <row r="7976" spans="1:6">
      <c r="A7976" t="str">
        <f t="shared" si="124"/>
        <v/>
      </c>
      <c r="E7976" s="626"/>
      <c r="F7976" s="626"/>
    </row>
    <row r="7977" spans="1:6">
      <c r="A7977" t="str">
        <f t="shared" si="124"/>
        <v/>
      </c>
      <c r="E7977" s="626"/>
      <c r="F7977" s="626"/>
    </row>
    <row r="7978" spans="1:6">
      <c r="A7978" t="str">
        <f t="shared" si="124"/>
        <v/>
      </c>
      <c r="E7978" s="626"/>
      <c r="F7978" s="626"/>
    </row>
    <row r="7979" spans="1:6">
      <c r="A7979" t="str">
        <f t="shared" si="124"/>
        <v/>
      </c>
      <c r="E7979" s="626"/>
      <c r="F7979" s="626"/>
    </row>
    <row r="7980" spans="1:6">
      <c r="A7980" t="str">
        <f t="shared" si="124"/>
        <v/>
      </c>
      <c r="E7980" s="626"/>
      <c r="F7980" s="626"/>
    </row>
    <row r="7981" spans="1:6">
      <c r="A7981" t="str">
        <f t="shared" si="124"/>
        <v/>
      </c>
      <c r="E7981" s="626"/>
      <c r="F7981" s="626"/>
    </row>
    <row r="7982" spans="1:6">
      <c r="A7982" t="str">
        <f t="shared" si="124"/>
        <v/>
      </c>
      <c r="E7982" s="626"/>
      <c r="F7982" s="626"/>
    </row>
    <row r="7983" spans="1:6">
      <c r="A7983" t="str">
        <f t="shared" si="124"/>
        <v/>
      </c>
      <c r="E7983" s="626"/>
      <c r="F7983" s="626"/>
    </row>
    <row r="7984" spans="1:6">
      <c r="A7984" t="str">
        <f t="shared" si="124"/>
        <v/>
      </c>
      <c r="E7984" s="626"/>
      <c r="F7984" s="626"/>
    </row>
    <row r="7985" spans="1:6">
      <c r="A7985" t="str">
        <f t="shared" si="124"/>
        <v/>
      </c>
      <c r="E7985" s="626"/>
      <c r="F7985" s="626"/>
    </row>
    <row r="7986" spans="1:6">
      <c r="A7986" t="str">
        <f t="shared" si="124"/>
        <v/>
      </c>
      <c r="E7986" s="626"/>
      <c r="F7986" s="626"/>
    </row>
    <row r="7987" spans="1:6">
      <c r="A7987" t="str">
        <f t="shared" si="124"/>
        <v/>
      </c>
      <c r="E7987" s="626"/>
      <c r="F7987" s="626"/>
    </row>
    <row r="7988" spans="1:6">
      <c r="A7988" t="str">
        <f t="shared" si="124"/>
        <v/>
      </c>
      <c r="E7988" s="626"/>
      <c r="F7988" s="626"/>
    </row>
    <row r="7989" spans="1:6">
      <c r="A7989" t="str">
        <f t="shared" si="124"/>
        <v/>
      </c>
      <c r="E7989" s="626"/>
      <c r="F7989" s="626"/>
    </row>
    <row r="7990" spans="1:6">
      <c r="A7990" t="str">
        <f t="shared" si="124"/>
        <v/>
      </c>
      <c r="E7990" s="626"/>
      <c r="F7990" s="626"/>
    </row>
    <row r="7991" spans="1:6">
      <c r="A7991" t="str">
        <f t="shared" si="124"/>
        <v/>
      </c>
      <c r="E7991" s="626"/>
      <c r="F7991" s="626"/>
    </row>
    <row r="7992" spans="1:6">
      <c r="A7992" t="str">
        <f t="shared" si="124"/>
        <v/>
      </c>
      <c r="E7992" s="626"/>
      <c r="F7992" s="626"/>
    </row>
    <row r="7993" spans="1:6">
      <c r="A7993" t="str">
        <f t="shared" si="124"/>
        <v/>
      </c>
      <c r="E7993" s="626"/>
      <c r="F7993" s="626"/>
    </row>
    <row r="7994" spans="1:6">
      <c r="A7994" t="str">
        <f t="shared" si="124"/>
        <v/>
      </c>
      <c r="E7994" s="626"/>
      <c r="F7994" s="626"/>
    </row>
    <row r="7995" spans="1:6">
      <c r="A7995" t="str">
        <f t="shared" si="124"/>
        <v/>
      </c>
      <c r="E7995" s="626"/>
      <c r="F7995" s="626"/>
    </row>
    <row r="7996" spans="1:6">
      <c r="A7996" t="str">
        <f t="shared" si="124"/>
        <v/>
      </c>
      <c r="E7996" s="626"/>
      <c r="F7996" s="626"/>
    </row>
    <row r="7997" spans="1:6">
      <c r="A7997" t="str">
        <f t="shared" si="124"/>
        <v/>
      </c>
      <c r="E7997" s="626"/>
      <c r="F7997" s="626"/>
    </row>
    <row r="7998" spans="1:6">
      <c r="A7998" t="str">
        <f t="shared" si="124"/>
        <v/>
      </c>
      <c r="E7998" s="626"/>
      <c r="F7998" s="626"/>
    </row>
    <row r="7999" spans="1:6">
      <c r="A7999" t="str">
        <f t="shared" si="124"/>
        <v/>
      </c>
      <c r="E7999" s="626"/>
      <c r="F7999" s="626"/>
    </row>
    <row r="8000" spans="1:6">
      <c r="A8000" t="str">
        <f t="shared" si="124"/>
        <v/>
      </c>
      <c r="E8000" s="626"/>
      <c r="F8000" s="626"/>
    </row>
    <row r="8001" spans="1:6">
      <c r="A8001" t="str">
        <f t="shared" si="124"/>
        <v/>
      </c>
      <c r="E8001" s="626"/>
      <c r="F8001" s="626"/>
    </row>
    <row r="8002" spans="1:6">
      <c r="A8002" t="str">
        <f t="shared" ref="A8002:A8065" si="125">B8002&amp;E8002&amp;J8002</f>
        <v/>
      </c>
      <c r="E8002" s="626"/>
      <c r="F8002" s="626"/>
    </row>
    <row r="8003" spans="1:6">
      <c r="A8003" t="str">
        <f t="shared" si="125"/>
        <v/>
      </c>
      <c r="E8003" s="626"/>
      <c r="F8003" s="626"/>
    </row>
    <row r="8004" spans="1:6">
      <c r="A8004" t="str">
        <f t="shared" si="125"/>
        <v/>
      </c>
      <c r="E8004" s="626"/>
      <c r="F8004" s="626"/>
    </row>
    <row r="8005" spans="1:6">
      <c r="A8005" t="str">
        <f t="shared" si="125"/>
        <v/>
      </c>
      <c r="E8005" s="626"/>
      <c r="F8005" s="626"/>
    </row>
    <row r="8006" spans="1:6">
      <c r="A8006" t="str">
        <f t="shared" si="125"/>
        <v/>
      </c>
      <c r="E8006" s="626"/>
      <c r="F8006" s="626"/>
    </row>
    <row r="8007" spans="1:6">
      <c r="A8007" t="str">
        <f t="shared" si="125"/>
        <v/>
      </c>
      <c r="E8007" s="626"/>
      <c r="F8007" s="626"/>
    </row>
    <row r="8008" spans="1:6">
      <c r="A8008" t="str">
        <f t="shared" si="125"/>
        <v/>
      </c>
      <c r="E8008" s="626"/>
      <c r="F8008" s="626"/>
    </row>
    <row r="8009" spans="1:6">
      <c r="A8009" t="str">
        <f t="shared" si="125"/>
        <v/>
      </c>
      <c r="E8009" s="626"/>
      <c r="F8009" s="626"/>
    </row>
    <row r="8010" spans="1:6">
      <c r="A8010" t="str">
        <f t="shared" si="125"/>
        <v/>
      </c>
      <c r="E8010" s="626"/>
      <c r="F8010" s="626"/>
    </row>
    <row r="8011" spans="1:6">
      <c r="A8011" t="str">
        <f t="shared" si="125"/>
        <v/>
      </c>
      <c r="E8011" s="626"/>
      <c r="F8011" s="626"/>
    </row>
    <row r="8012" spans="1:6">
      <c r="A8012" t="str">
        <f t="shared" si="125"/>
        <v/>
      </c>
      <c r="E8012" s="626"/>
      <c r="F8012" s="626"/>
    </row>
    <row r="8013" spans="1:6">
      <c r="A8013" t="str">
        <f t="shared" si="125"/>
        <v/>
      </c>
      <c r="E8013" s="626"/>
      <c r="F8013" s="626"/>
    </row>
    <row r="8014" spans="1:6">
      <c r="A8014" t="str">
        <f t="shared" si="125"/>
        <v/>
      </c>
      <c r="E8014" s="626"/>
      <c r="F8014" s="626"/>
    </row>
    <row r="8015" spans="1:6">
      <c r="A8015" t="str">
        <f t="shared" si="125"/>
        <v/>
      </c>
      <c r="E8015" s="626"/>
      <c r="F8015" s="626"/>
    </row>
    <row r="8016" spans="1:6">
      <c r="A8016" t="str">
        <f t="shared" si="125"/>
        <v/>
      </c>
      <c r="E8016" s="626"/>
      <c r="F8016" s="626"/>
    </row>
    <row r="8017" spans="1:6">
      <c r="A8017" t="str">
        <f t="shared" si="125"/>
        <v/>
      </c>
      <c r="E8017" s="626"/>
      <c r="F8017" s="626"/>
    </row>
    <row r="8018" spans="1:6">
      <c r="A8018" t="str">
        <f t="shared" si="125"/>
        <v/>
      </c>
      <c r="E8018" s="626"/>
      <c r="F8018" s="626"/>
    </row>
    <row r="8019" spans="1:6">
      <c r="A8019" t="str">
        <f t="shared" si="125"/>
        <v/>
      </c>
      <c r="E8019" s="626"/>
      <c r="F8019" s="626"/>
    </row>
    <row r="8020" spans="1:6">
      <c r="A8020" t="str">
        <f t="shared" si="125"/>
        <v/>
      </c>
      <c r="E8020" s="626"/>
      <c r="F8020" s="626"/>
    </row>
    <row r="8021" spans="1:6">
      <c r="A8021" t="str">
        <f t="shared" si="125"/>
        <v/>
      </c>
      <c r="E8021" s="626"/>
      <c r="F8021" s="626"/>
    </row>
    <row r="8022" spans="1:6">
      <c r="A8022" t="str">
        <f t="shared" si="125"/>
        <v/>
      </c>
      <c r="E8022" s="626"/>
      <c r="F8022" s="626"/>
    </row>
    <row r="8023" spans="1:6">
      <c r="A8023" t="str">
        <f t="shared" si="125"/>
        <v/>
      </c>
      <c r="E8023" s="626"/>
      <c r="F8023" s="626"/>
    </row>
    <row r="8024" spans="1:6">
      <c r="A8024" t="str">
        <f t="shared" si="125"/>
        <v/>
      </c>
      <c r="E8024" s="626"/>
      <c r="F8024" s="626"/>
    </row>
    <row r="8025" spans="1:6">
      <c r="A8025" t="str">
        <f t="shared" si="125"/>
        <v/>
      </c>
      <c r="E8025" s="626"/>
      <c r="F8025" s="626"/>
    </row>
    <row r="8026" spans="1:6">
      <c r="A8026" t="str">
        <f t="shared" si="125"/>
        <v/>
      </c>
      <c r="E8026" s="626"/>
      <c r="F8026" s="626"/>
    </row>
    <row r="8027" spans="1:6">
      <c r="A8027" t="str">
        <f t="shared" si="125"/>
        <v/>
      </c>
      <c r="E8027" s="626"/>
      <c r="F8027" s="626"/>
    </row>
    <row r="8028" spans="1:6">
      <c r="A8028" t="str">
        <f t="shared" si="125"/>
        <v/>
      </c>
      <c r="E8028" s="626"/>
      <c r="F8028" s="626"/>
    </row>
    <row r="8029" spans="1:6">
      <c r="A8029" t="str">
        <f t="shared" si="125"/>
        <v/>
      </c>
      <c r="E8029" s="626"/>
      <c r="F8029" s="626"/>
    </row>
    <row r="8030" spans="1:6">
      <c r="A8030" t="str">
        <f t="shared" si="125"/>
        <v/>
      </c>
      <c r="E8030" s="626"/>
      <c r="F8030" s="626"/>
    </row>
    <row r="8031" spans="1:6">
      <c r="A8031" t="str">
        <f t="shared" si="125"/>
        <v/>
      </c>
      <c r="E8031" s="626"/>
      <c r="F8031" s="626"/>
    </row>
    <row r="8032" spans="1:6">
      <c r="A8032" t="str">
        <f t="shared" si="125"/>
        <v/>
      </c>
      <c r="E8032" s="626"/>
      <c r="F8032" s="626"/>
    </row>
    <row r="8033" spans="1:6">
      <c r="A8033" t="str">
        <f t="shared" si="125"/>
        <v/>
      </c>
      <c r="E8033" s="626"/>
      <c r="F8033" s="626"/>
    </row>
    <row r="8034" spans="1:6">
      <c r="A8034" t="str">
        <f t="shared" si="125"/>
        <v/>
      </c>
      <c r="E8034" s="626"/>
      <c r="F8034" s="626"/>
    </row>
    <row r="8035" spans="1:6">
      <c r="A8035" t="str">
        <f t="shared" si="125"/>
        <v/>
      </c>
      <c r="E8035" s="626"/>
      <c r="F8035" s="626"/>
    </row>
    <row r="8036" spans="1:6">
      <c r="A8036" t="str">
        <f t="shared" si="125"/>
        <v/>
      </c>
      <c r="E8036" s="626"/>
      <c r="F8036" s="626"/>
    </row>
    <row r="8037" spans="1:6">
      <c r="A8037" t="str">
        <f t="shared" si="125"/>
        <v/>
      </c>
      <c r="E8037" s="626"/>
      <c r="F8037" s="626"/>
    </row>
    <row r="8038" spans="1:6">
      <c r="A8038" t="str">
        <f t="shared" si="125"/>
        <v/>
      </c>
      <c r="E8038" s="626"/>
      <c r="F8038" s="626"/>
    </row>
    <row r="8039" spans="1:6">
      <c r="A8039" t="str">
        <f t="shared" si="125"/>
        <v/>
      </c>
      <c r="E8039" s="626"/>
      <c r="F8039" s="626"/>
    </row>
    <row r="8040" spans="1:6">
      <c r="A8040" t="str">
        <f t="shared" si="125"/>
        <v/>
      </c>
      <c r="E8040" s="626"/>
      <c r="F8040" s="626"/>
    </row>
    <row r="8041" spans="1:6">
      <c r="A8041" t="str">
        <f t="shared" si="125"/>
        <v/>
      </c>
      <c r="E8041" s="626"/>
      <c r="F8041" s="626"/>
    </row>
    <row r="8042" spans="1:6">
      <c r="A8042" t="str">
        <f t="shared" si="125"/>
        <v/>
      </c>
      <c r="E8042" s="626"/>
      <c r="F8042" s="626"/>
    </row>
    <row r="8043" spans="1:6">
      <c r="A8043" t="str">
        <f t="shared" si="125"/>
        <v/>
      </c>
      <c r="E8043" s="626"/>
      <c r="F8043" s="626"/>
    </row>
    <row r="8044" spans="1:6">
      <c r="A8044" t="str">
        <f t="shared" si="125"/>
        <v/>
      </c>
      <c r="E8044" s="626"/>
      <c r="F8044" s="626"/>
    </row>
    <row r="8045" spans="1:6">
      <c r="A8045" t="str">
        <f t="shared" si="125"/>
        <v/>
      </c>
      <c r="E8045" s="626"/>
      <c r="F8045" s="626"/>
    </row>
    <row r="8046" spans="1:6">
      <c r="A8046" t="str">
        <f t="shared" si="125"/>
        <v/>
      </c>
      <c r="E8046" s="626"/>
      <c r="F8046" s="626"/>
    </row>
    <row r="8047" spans="1:6">
      <c r="A8047" t="str">
        <f t="shared" si="125"/>
        <v/>
      </c>
      <c r="E8047" s="626"/>
      <c r="F8047" s="626"/>
    </row>
    <row r="8048" spans="1:6">
      <c r="A8048" t="str">
        <f t="shared" si="125"/>
        <v/>
      </c>
      <c r="E8048" s="626"/>
      <c r="F8048" s="626"/>
    </row>
    <row r="8049" spans="1:6">
      <c r="A8049" t="str">
        <f t="shared" si="125"/>
        <v/>
      </c>
      <c r="E8049" s="626"/>
      <c r="F8049" s="626"/>
    </row>
    <row r="8050" spans="1:6">
      <c r="A8050" t="str">
        <f t="shared" si="125"/>
        <v/>
      </c>
      <c r="E8050" s="626"/>
      <c r="F8050" s="626"/>
    </row>
    <row r="8051" spans="1:6">
      <c r="A8051" t="str">
        <f t="shared" si="125"/>
        <v/>
      </c>
      <c r="E8051" s="626"/>
      <c r="F8051" s="626"/>
    </row>
    <row r="8052" spans="1:6">
      <c r="A8052" t="str">
        <f t="shared" si="125"/>
        <v/>
      </c>
      <c r="E8052" s="626"/>
      <c r="F8052" s="626"/>
    </row>
    <row r="8053" spans="1:6">
      <c r="A8053" t="str">
        <f t="shared" si="125"/>
        <v/>
      </c>
      <c r="E8053" s="626"/>
      <c r="F8053" s="626"/>
    </row>
    <row r="8054" spans="1:6">
      <c r="A8054" t="str">
        <f t="shared" si="125"/>
        <v/>
      </c>
      <c r="E8054" s="626"/>
      <c r="F8054" s="626"/>
    </row>
    <row r="8055" spans="1:6">
      <c r="A8055" t="str">
        <f t="shared" si="125"/>
        <v/>
      </c>
      <c r="E8055" s="626"/>
      <c r="F8055" s="626"/>
    </row>
    <row r="8056" spans="1:6">
      <c r="A8056" t="str">
        <f t="shared" si="125"/>
        <v/>
      </c>
      <c r="E8056" s="626"/>
      <c r="F8056" s="626"/>
    </row>
    <row r="8057" spans="1:6">
      <c r="A8057" t="str">
        <f t="shared" si="125"/>
        <v/>
      </c>
      <c r="E8057" s="626"/>
      <c r="F8057" s="626"/>
    </row>
    <row r="8058" spans="1:6">
      <c r="A8058" t="str">
        <f t="shared" si="125"/>
        <v/>
      </c>
      <c r="E8058" s="626"/>
      <c r="F8058" s="626"/>
    </row>
    <row r="8059" spans="1:6">
      <c r="A8059" t="str">
        <f t="shared" si="125"/>
        <v/>
      </c>
      <c r="E8059" s="626"/>
      <c r="F8059" s="626"/>
    </row>
    <row r="8060" spans="1:6">
      <c r="A8060" t="str">
        <f t="shared" si="125"/>
        <v/>
      </c>
      <c r="E8060" s="626"/>
      <c r="F8060" s="626"/>
    </row>
    <row r="8061" spans="1:6">
      <c r="A8061" t="str">
        <f t="shared" si="125"/>
        <v/>
      </c>
      <c r="E8061" s="626"/>
      <c r="F8061" s="626"/>
    </row>
    <row r="8062" spans="1:6">
      <c r="A8062" t="str">
        <f t="shared" si="125"/>
        <v/>
      </c>
      <c r="E8062" s="626"/>
      <c r="F8062" s="626"/>
    </row>
    <row r="8063" spans="1:6">
      <c r="A8063" t="str">
        <f t="shared" si="125"/>
        <v/>
      </c>
      <c r="E8063" s="626"/>
      <c r="F8063" s="626"/>
    </row>
    <row r="8064" spans="1:6">
      <c r="A8064" t="str">
        <f t="shared" si="125"/>
        <v/>
      </c>
      <c r="E8064" s="626"/>
      <c r="F8064" s="626"/>
    </row>
    <row r="8065" spans="1:6">
      <c r="A8065" t="str">
        <f t="shared" si="125"/>
        <v/>
      </c>
      <c r="E8065" s="626"/>
      <c r="F8065" s="626"/>
    </row>
    <row r="8066" spans="1:6">
      <c r="A8066" t="str">
        <f t="shared" ref="A8066:A8129" si="126">B8066&amp;E8066&amp;J8066</f>
        <v/>
      </c>
      <c r="E8066" s="626"/>
      <c r="F8066" s="626"/>
    </row>
    <row r="8067" spans="1:6">
      <c r="A8067" t="str">
        <f t="shared" si="126"/>
        <v/>
      </c>
      <c r="E8067" s="626"/>
      <c r="F8067" s="626"/>
    </row>
    <row r="8068" spans="1:6">
      <c r="A8068" t="str">
        <f t="shared" si="126"/>
        <v/>
      </c>
      <c r="E8068" s="626"/>
      <c r="F8068" s="626"/>
    </row>
    <row r="8069" spans="1:6">
      <c r="A8069" t="str">
        <f t="shared" si="126"/>
        <v/>
      </c>
      <c r="E8069" s="626"/>
      <c r="F8069" s="626"/>
    </row>
    <row r="8070" spans="1:6">
      <c r="A8070" t="str">
        <f t="shared" si="126"/>
        <v/>
      </c>
      <c r="E8070" s="626"/>
      <c r="F8070" s="626"/>
    </row>
    <row r="8071" spans="1:6">
      <c r="A8071" t="str">
        <f t="shared" si="126"/>
        <v/>
      </c>
      <c r="E8071" s="626"/>
      <c r="F8071" s="626"/>
    </row>
    <row r="8072" spans="1:6">
      <c r="A8072" t="str">
        <f t="shared" si="126"/>
        <v/>
      </c>
      <c r="E8072" s="626"/>
      <c r="F8072" s="626"/>
    </row>
    <row r="8073" spans="1:6">
      <c r="A8073" t="str">
        <f t="shared" si="126"/>
        <v/>
      </c>
      <c r="E8073" s="626"/>
      <c r="F8073" s="626"/>
    </row>
    <row r="8074" spans="1:6">
      <c r="A8074" t="str">
        <f t="shared" si="126"/>
        <v/>
      </c>
      <c r="E8074" s="626"/>
      <c r="F8074" s="626"/>
    </row>
    <row r="8075" spans="1:6">
      <c r="A8075" t="str">
        <f t="shared" si="126"/>
        <v/>
      </c>
      <c r="E8075" s="626"/>
      <c r="F8075" s="626"/>
    </row>
    <row r="8076" spans="1:6">
      <c r="A8076" t="str">
        <f t="shared" si="126"/>
        <v/>
      </c>
      <c r="E8076" s="626"/>
      <c r="F8076" s="626"/>
    </row>
    <row r="8077" spans="1:6">
      <c r="A8077" t="str">
        <f t="shared" si="126"/>
        <v/>
      </c>
      <c r="E8077" s="626"/>
      <c r="F8077" s="626"/>
    </row>
    <row r="8078" spans="1:6">
      <c r="A8078" t="str">
        <f t="shared" si="126"/>
        <v/>
      </c>
      <c r="E8078" s="626"/>
      <c r="F8078" s="626"/>
    </row>
    <row r="8079" spans="1:6">
      <c r="A8079" t="str">
        <f t="shared" si="126"/>
        <v/>
      </c>
      <c r="E8079" s="626"/>
      <c r="F8079" s="626"/>
    </row>
    <row r="8080" spans="1:6">
      <c r="A8080" t="str">
        <f t="shared" si="126"/>
        <v/>
      </c>
      <c r="E8080" s="626"/>
      <c r="F8080" s="626"/>
    </row>
    <row r="8081" spans="1:6">
      <c r="A8081" t="str">
        <f t="shared" si="126"/>
        <v/>
      </c>
      <c r="E8081" s="626"/>
      <c r="F8081" s="626"/>
    </row>
    <row r="8082" spans="1:6">
      <c r="A8082" t="str">
        <f t="shared" si="126"/>
        <v/>
      </c>
      <c r="E8082" s="626"/>
      <c r="F8082" s="626"/>
    </row>
    <row r="8083" spans="1:6">
      <c r="A8083" t="str">
        <f t="shared" si="126"/>
        <v/>
      </c>
      <c r="E8083" s="626"/>
      <c r="F8083" s="626"/>
    </row>
    <row r="8084" spans="1:6">
      <c r="A8084" t="str">
        <f t="shared" si="126"/>
        <v/>
      </c>
      <c r="E8084" s="626"/>
      <c r="F8084" s="626"/>
    </row>
    <row r="8085" spans="1:6">
      <c r="A8085" t="str">
        <f t="shared" si="126"/>
        <v/>
      </c>
      <c r="E8085" s="626"/>
      <c r="F8085" s="626"/>
    </row>
    <row r="8086" spans="1:6">
      <c r="A8086" t="str">
        <f t="shared" si="126"/>
        <v/>
      </c>
      <c r="E8086" s="626"/>
      <c r="F8086" s="626"/>
    </row>
    <row r="8087" spans="1:6">
      <c r="A8087" t="str">
        <f t="shared" si="126"/>
        <v/>
      </c>
      <c r="E8087" s="626"/>
      <c r="F8087" s="626"/>
    </row>
    <row r="8088" spans="1:6">
      <c r="A8088" t="str">
        <f t="shared" si="126"/>
        <v/>
      </c>
      <c r="E8088" s="626"/>
      <c r="F8088" s="626"/>
    </row>
    <row r="8089" spans="1:6">
      <c r="A8089" t="str">
        <f t="shared" si="126"/>
        <v/>
      </c>
      <c r="E8089" s="626"/>
      <c r="F8089" s="626"/>
    </row>
    <row r="8090" spans="1:6">
      <c r="A8090" t="str">
        <f t="shared" si="126"/>
        <v/>
      </c>
      <c r="E8090" s="626"/>
      <c r="F8090" s="626"/>
    </row>
    <row r="8091" spans="1:6">
      <c r="A8091" t="str">
        <f t="shared" si="126"/>
        <v/>
      </c>
      <c r="E8091" s="626"/>
      <c r="F8091" s="626"/>
    </row>
    <row r="8092" spans="1:6">
      <c r="A8092" t="str">
        <f t="shared" si="126"/>
        <v/>
      </c>
      <c r="E8092" s="626"/>
      <c r="F8092" s="626"/>
    </row>
    <row r="8093" spans="1:6">
      <c r="A8093" t="str">
        <f t="shared" si="126"/>
        <v/>
      </c>
      <c r="E8093" s="626"/>
      <c r="F8093" s="626"/>
    </row>
    <row r="8094" spans="1:6">
      <c r="A8094" t="str">
        <f t="shared" si="126"/>
        <v/>
      </c>
      <c r="E8094" s="626"/>
      <c r="F8094" s="626"/>
    </row>
    <row r="8095" spans="1:6">
      <c r="A8095" t="str">
        <f t="shared" si="126"/>
        <v/>
      </c>
      <c r="E8095" s="626"/>
      <c r="F8095" s="626"/>
    </row>
    <row r="8096" spans="1:6">
      <c r="A8096" t="str">
        <f t="shared" si="126"/>
        <v/>
      </c>
      <c r="E8096" s="626"/>
      <c r="F8096" s="626"/>
    </row>
    <row r="8097" spans="1:6">
      <c r="A8097" t="str">
        <f t="shared" si="126"/>
        <v/>
      </c>
      <c r="E8097" s="626"/>
      <c r="F8097" s="626"/>
    </row>
    <row r="8098" spans="1:6">
      <c r="A8098" t="str">
        <f t="shared" si="126"/>
        <v/>
      </c>
      <c r="E8098" s="626"/>
      <c r="F8098" s="626"/>
    </row>
    <row r="8099" spans="1:6">
      <c r="A8099" t="str">
        <f t="shared" si="126"/>
        <v/>
      </c>
      <c r="E8099" s="626"/>
      <c r="F8099" s="626"/>
    </row>
    <row r="8100" spans="1:6">
      <c r="A8100" t="str">
        <f t="shared" si="126"/>
        <v/>
      </c>
      <c r="E8100" s="626"/>
      <c r="F8100" s="626"/>
    </row>
    <row r="8101" spans="1:6">
      <c r="A8101" t="str">
        <f t="shared" si="126"/>
        <v/>
      </c>
      <c r="E8101" s="626"/>
      <c r="F8101" s="626"/>
    </row>
    <row r="8102" spans="1:6">
      <c r="A8102" t="str">
        <f t="shared" si="126"/>
        <v/>
      </c>
      <c r="E8102" s="626"/>
      <c r="F8102" s="626"/>
    </row>
    <row r="8103" spans="1:6">
      <c r="A8103" t="str">
        <f t="shared" si="126"/>
        <v/>
      </c>
      <c r="E8103" s="626"/>
      <c r="F8103" s="626"/>
    </row>
    <row r="8104" spans="1:6">
      <c r="A8104" t="str">
        <f t="shared" si="126"/>
        <v/>
      </c>
      <c r="E8104" s="626"/>
      <c r="F8104" s="626"/>
    </row>
    <row r="8105" spans="1:6">
      <c r="A8105" t="str">
        <f t="shared" si="126"/>
        <v/>
      </c>
      <c r="E8105" s="626"/>
      <c r="F8105" s="626"/>
    </row>
    <row r="8106" spans="1:6">
      <c r="A8106" t="str">
        <f t="shared" si="126"/>
        <v/>
      </c>
      <c r="E8106" s="626"/>
      <c r="F8106" s="626"/>
    </row>
    <row r="8107" spans="1:6">
      <c r="A8107" t="str">
        <f t="shared" si="126"/>
        <v/>
      </c>
      <c r="E8107" s="626"/>
      <c r="F8107" s="626"/>
    </row>
    <row r="8108" spans="1:6">
      <c r="A8108" t="str">
        <f t="shared" si="126"/>
        <v/>
      </c>
      <c r="E8108" s="626"/>
      <c r="F8108" s="626"/>
    </row>
    <row r="8109" spans="1:6">
      <c r="A8109" t="str">
        <f t="shared" si="126"/>
        <v/>
      </c>
      <c r="E8109" s="626"/>
      <c r="F8109" s="626"/>
    </row>
    <row r="8110" spans="1:6">
      <c r="A8110" t="str">
        <f t="shared" si="126"/>
        <v/>
      </c>
      <c r="E8110" s="626"/>
      <c r="F8110" s="626"/>
    </row>
    <row r="8111" spans="1:6">
      <c r="A8111" t="str">
        <f t="shared" si="126"/>
        <v/>
      </c>
      <c r="E8111" s="626"/>
      <c r="F8111" s="626"/>
    </row>
    <row r="8112" spans="1:6">
      <c r="A8112" t="str">
        <f t="shared" si="126"/>
        <v/>
      </c>
      <c r="E8112" s="626"/>
      <c r="F8112" s="626"/>
    </row>
    <row r="8113" spans="1:6">
      <c r="A8113" t="str">
        <f t="shared" si="126"/>
        <v/>
      </c>
      <c r="E8113" s="626"/>
      <c r="F8113" s="626"/>
    </row>
    <row r="8114" spans="1:6">
      <c r="A8114" t="str">
        <f t="shared" si="126"/>
        <v/>
      </c>
      <c r="E8114" s="626"/>
      <c r="F8114" s="626"/>
    </row>
    <row r="8115" spans="1:6">
      <c r="A8115" t="str">
        <f t="shared" si="126"/>
        <v/>
      </c>
      <c r="E8115" s="626"/>
      <c r="F8115" s="626"/>
    </row>
    <row r="8116" spans="1:6">
      <c r="A8116" t="str">
        <f t="shared" si="126"/>
        <v/>
      </c>
      <c r="E8116" s="626"/>
      <c r="F8116" s="626"/>
    </row>
    <row r="8117" spans="1:6">
      <c r="A8117" t="str">
        <f t="shared" si="126"/>
        <v/>
      </c>
      <c r="E8117" s="626"/>
      <c r="F8117" s="626"/>
    </row>
    <row r="8118" spans="1:6">
      <c r="A8118" t="str">
        <f t="shared" si="126"/>
        <v/>
      </c>
      <c r="E8118" s="626"/>
      <c r="F8118" s="626"/>
    </row>
    <row r="8119" spans="1:6">
      <c r="A8119" t="str">
        <f t="shared" si="126"/>
        <v/>
      </c>
      <c r="E8119" s="626"/>
      <c r="F8119" s="626"/>
    </row>
    <row r="8120" spans="1:6">
      <c r="A8120" t="str">
        <f t="shared" si="126"/>
        <v/>
      </c>
      <c r="E8120" s="626"/>
      <c r="F8120" s="626"/>
    </row>
    <row r="8121" spans="1:6">
      <c r="A8121" t="str">
        <f t="shared" si="126"/>
        <v/>
      </c>
      <c r="E8121" s="626"/>
      <c r="F8121" s="626"/>
    </row>
    <row r="8122" spans="1:6">
      <c r="A8122" t="str">
        <f t="shared" si="126"/>
        <v/>
      </c>
      <c r="E8122" s="626"/>
      <c r="F8122" s="626"/>
    </row>
    <row r="8123" spans="1:6">
      <c r="A8123" t="str">
        <f t="shared" si="126"/>
        <v/>
      </c>
      <c r="E8123" s="626"/>
      <c r="F8123" s="626"/>
    </row>
    <row r="8124" spans="1:6">
      <c r="A8124" t="str">
        <f t="shared" si="126"/>
        <v/>
      </c>
      <c r="E8124" s="626"/>
      <c r="F8124" s="626"/>
    </row>
    <row r="8125" spans="1:6">
      <c r="A8125" t="str">
        <f t="shared" si="126"/>
        <v/>
      </c>
      <c r="E8125" s="626"/>
      <c r="F8125" s="626"/>
    </row>
    <row r="8126" spans="1:6">
      <c r="A8126" t="str">
        <f t="shared" si="126"/>
        <v/>
      </c>
      <c r="E8126" s="626"/>
      <c r="F8126" s="626"/>
    </row>
    <row r="8127" spans="1:6">
      <c r="A8127" t="str">
        <f t="shared" si="126"/>
        <v/>
      </c>
      <c r="E8127" s="626"/>
      <c r="F8127" s="626"/>
    </row>
    <row r="8128" spans="1:6">
      <c r="A8128" t="str">
        <f t="shared" si="126"/>
        <v/>
      </c>
      <c r="E8128" s="626"/>
      <c r="F8128" s="626"/>
    </row>
    <row r="8129" spans="1:6">
      <c r="A8129" t="str">
        <f t="shared" si="126"/>
        <v/>
      </c>
      <c r="E8129" s="626"/>
      <c r="F8129" s="626"/>
    </row>
    <row r="8130" spans="1:6">
      <c r="A8130" t="str">
        <f t="shared" ref="A8130:A8193" si="127">B8130&amp;E8130&amp;J8130</f>
        <v/>
      </c>
      <c r="E8130" s="626"/>
      <c r="F8130" s="626"/>
    </row>
    <row r="8131" spans="1:6">
      <c r="A8131" t="str">
        <f t="shared" si="127"/>
        <v/>
      </c>
      <c r="E8131" s="626"/>
      <c r="F8131" s="626"/>
    </row>
    <row r="8132" spans="1:6">
      <c r="A8132" t="str">
        <f t="shared" si="127"/>
        <v/>
      </c>
      <c r="E8132" s="626"/>
      <c r="F8132" s="626"/>
    </row>
    <row r="8133" spans="1:6">
      <c r="A8133" t="str">
        <f t="shared" si="127"/>
        <v/>
      </c>
      <c r="E8133" s="626"/>
      <c r="F8133" s="626"/>
    </row>
    <row r="8134" spans="1:6">
      <c r="A8134" t="str">
        <f t="shared" si="127"/>
        <v/>
      </c>
      <c r="E8134" s="626"/>
      <c r="F8134" s="626"/>
    </row>
    <row r="8135" spans="1:6">
      <c r="A8135" t="str">
        <f t="shared" si="127"/>
        <v/>
      </c>
      <c r="E8135" s="626"/>
      <c r="F8135" s="626"/>
    </row>
    <row r="8136" spans="1:6">
      <c r="A8136" t="str">
        <f t="shared" si="127"/>
        <v/>
      </c>
      <c r="E8136" s="626"/>
      <c r="F8136" s="626"/>
    </row>
    <row r="8137" spans="1:6">
      <c r="A8137" t="str">
        <f t="shared" si="127"/>
        <v/>
      </c>
      <c r="E8137" s="626"/>
      <c r="F8137" s="626"/>
    </row>
    <row r="8138" spans="1:6">
      <c r="A8138" t="str">
        <f t="shared" si="127"/>
        <v/>
      </c>
      <c r="E8138" s="626"/>
      <c r="F8138" s="626"/>
    </row>
    <row r="8139" spans="1:6">
      <c r="A8139" t="str">
        <f t="shared" si="127"/>
        <v/>
      </c>
      <c r="E8139" s="626"/>
      <c r="F8139" s="626"/>
    </row>
    <row r="8140" spans="1:6">
      <c r="A8140" t="str">
        <f t="shared" si="127"/>
        <v/>
      </c>
      <c r="E8140" s="626"/>
      <c r="F8140" s="626"/>
    </row>
    <row r="8141" spans="1:6">
      <c r="A8141" t="str">
        <f t="shared" si="127"/>
        <v/>
      </c>
      <c r="E8141" s="626"/>
      <c r="F8141" s="626"/>
    </row>
    <row r="8142" spans="1:6">
      <c r="A8142" t="str">
        <f t="shared" si="127"/>
        <v/>
      </c>
      <c r="E8142" s="626"/>
      <c r="F8142" s="626"/>
    </row>
    <row r="8143" spans="1:6">
      <c r="A8143" t="str">
        <f t="shared" si="127"/>
        <v/>
      </c>
      <c r="E8143" s="626"/>
      <c r="F8143" s="626"/>
    </row>
    <row r="8144" spans="1:6">
      <c r="A8144" t="str">
        <f t="shared" si="127"/>
        <v/>
      </c>
      <c r="E8144" s="626"/>
      <c r="F8144" s="626"/>
    </row>
    <row r="8145" spans="1:6">
      <c r="A8145" t="str">
        <f t="shared" si="127"/>
        <v/>
      </c>
      <c r="E8145" s="626"/>
      <c r="F8145" s="626"/>
    </row>
    <row r="8146" spans="1:6">
      <c r="A8146" t="str">
        <f t="shared" si="127"/>
        <v/>
      </c>
      <c r="E8146" s="626"/>
      <c r="F8146" s="626"/>
    </row>
    <row r="8147" spans="1:6">
      <c r="A8147" t="str">
        <f t="shared" si="127"/>
        <v/>
      </c>
      <c r="E8147" s="626"/>
      <c r="F8147" s="626"/>
    </row>
    <row r="8148" spans="1:6">
      <c r="A8148" t="str">
        <f t="shared" si="127"/>
        <v/>
      </c>
      <c r="E8148" s="626"/>
      <c r="F8148" s="626"/>
    </row>
    <row r="8149" spans="1:6">
      <c r="A8149" t="str">
        <f t="shared" si="127"/>
        <v/>
      </c>
      <c r="E8149" s="626"/>
      <c r="F8149" s="626"/>
    </row>
    <row r="8150" spans="1:6">
      <c r="A8150" t="str">
        <f t="shared" si="127"/>
        <v/>
      </c>
      <c r="E8150" s="626"/>
      <c r="F8150" s="626"/>
    </row>
    <row r="8151" spans="1:6">
      <c r="A8151" t="str">
        <f t="shared" si="127"/>
        <v/>
      </c>
      <c r="E8151" s="626"/>
      <c r="F8151" s="626"/>
    </row>
    <row r="8152" spans="1:6">
      <c r="A8152" t="str">
        <f t="shared" si="127"/>
        <v/>
      </c>
      <c r="E8152" s="626"/>
      <c r="F8152" s="626"/>
    </row>
    <row r="8153" spans="1:6">
      <c r="A8153" t="str">
        <f t="shared" si="127"/>
        <v/>
      </c>
      <c r="E8153" s="626"/>
      <c r="F8153" s="626"/>
    </row>
    <row r="8154" spans="1:6">
      <c r="A8154" t="str">
        <f t="shared" si="127"/>
        <v/>
      </c>
      <c r="E8154" s="626"/>
      <c r="F8154" s="626"/>
    </row>
    <row r="8155" spans="1:6">
      <c r="A8155" t="str">
        <f t="shared" si="127"/>
        <v/>
      </c>
      <c r="E8155" s="626"/>
      <c r="F8155" s="626"/>
    </row>
    <row r="8156" spans="1:6">
      <c r="A8156" t="str">
        <f t="shared" si="127"/>
        <v/>
      </c>
      <c r="E8156" s="626"/>
      <c r="F8156" s="626"/>
    </row>
    <row r="8157" spans="1:6">
      <c r="A8157" t="str">
        <f t="shared" si="127"/>
        <v/>
      </c>
      <c r="E8157" s="626"/>
      <c r="F8157" s="626"/>
    </row>
    <row r="8158" spans="1:6">
      <c r="A8158" t="str">
        <f t="shared" si="127"/>
        <v/>
      </c>
      <c r="E8158" s="626"/>
      <c r="F8158" s="626"/>
    </row>
    <row r="8159" spans="1:6">
      <c r="A8159" t="str">
        <f t="shared" si="127"/>
        <v/>
      </c>
      <c r="E8159" s="626"/>
      <c r="F8159" s="626"/>
    </row>
    <row r="8160" spans="1:6">
      <c r="A8160" t="str">
        <f t="shared" si="127"/>
        <v/>
      </c>
      <c r="E8160" s="626"/>
      <c r="F8160" s="626"/>
    </row>
    <row r="8161" spans="1:6">
      <c r="A8161" t="str">
        <f t="shared" si="127"/>
        <v/>
      </c>
      <c r="E8161" s="626"/>
      <c r="F8161" s="626"/>
    </row>
    <row r="8162" spans="1:6">
      <c r="A8162" t="str">
        <f t="shared" si="127"/>
        <v/>
      </c>
      <c r="E8162" s="626"/>
      <c r="F8162" s="626"/>
    </row>
    <row r="8163" spans="1:6">
      <c r="A8163" t="str">
        <f t="shared" si="127"/>
        <v/>
      </c>
      <c r="E8163" s="626"/>
      <c r="F8163" s="626"/>
    </row>
    <row r="8164" spans="1:6">
      <c r="A8164" t="str">
        <f t="shared" si="127"/>
        <v/>
      </c>
      <c r="E8164" s="626"/>
      <c r="F8164" s="626"/>
    </row>
    <row r="8165" spans="1:6">
      <c r="A8165" t="str">
        <f t="shared" si="127"/>
        <v/>
      </c>
      <c r="E8165" s="626"/>
      <c r="F8165" s="626"/>
    </row>
    <row r="8166" spans="1:6">
      <c r="A8166" t="str">
        <f t="shared" si="127"/>
        <v/>
      </c>
      <c r="E8166" s="626"/>
      <c r="F8166" s="626"/>
    </row>
    <row r="8167" spans="1:6">
      <c r="A8167" t="str">
        <f t="shared" si="127"/>
        <v/>
      </c>
      <c r="E8167" s="626"/>
      <c r="F8167" s="626"/>
    </row>
    <row r="8168" spans="1:6">
      <c r="A8168" t="str">
        <f t="shared" si="127"/>
        <v/>
      </c>
      <c r="E8168" s="626"/>
      <c r="F8168" s="626"/>
    </row>
    <row r="8169" spans="1:6">
      <c r="A8169" t="str">
        <f t="shared" si="127"/>
        <v/>
      </c>
      <c r="E8169" s="626"/>
      <c r="F8169" s="626"/>
    </row>
    <row r="8170" spans="1:6">
      <c r="A8170" t="str">
        <f t="shared" si="127"/>
        <v/>
      </c>
      <c r="E8170" s="626"/>
      <c r="F8170" s="626"/>
    </row>
    <row r="8171" spans="1:6">
      <c r="A8171" t="str">
        <f t="shared" si="127"/>
        <v/>
      </c>
      <c r="E8171" s="626"/>
      <c r="F8171" s="626"/>
    </row>
    <row r="8172" spans="1:6">
      <c r="A8172" t="str">
        <f t="shared" si="127"/>
        <v/>
      </c>
      <c r="E8172" s="626"/>
      <c r="F8172" s="626"/>
    </row>
    <row r="8173" spans="1:6">
      <c r="A8173" t="str">
        <f t="shared" si="127"/>
        <v/>
      </c>
      <c r="E8173" s="626"/>
      <c r="F8173" s="626"/>
    </row>
    <row r="8174" spans="1:6">
      <c r="A8174" t="str">
        <f t="shared" si="127"/>
        <v/>
      </c>
      <c r="E8174" s="626"/>
      <c r="F8174" s="626"/>
    </row>
    <row r="8175" spans="1:6">
      <c r="A8175" t="str">
        <f t="shared" si="127"/>
        <v/>
      </c>
      <c r="E8175" s="626"/>
      <c r="F8175" s="626"/>
    </row>
    <row r="8176" spans="1:6">
      <c r="A8176" t="str">
        <f t="shared" si="127"/>
        <v/>
      </c>
      <c r="E8176" s="626"/>
      <c r="F8176" s="626"/>
    </row>
    <row r="8177" spans="1:6">
      <c r="A8177" t="str">
        <f t="shared" si="127"/>
        <v/>
      </c>
      <c r="E8177" s="626"/>
      <c r="F8177" s="626"/>
    </row>
    <row r="8178" spans="1:6">
      <c r="A8178" t="str">
        <f t="shared" si="127"/>
        <v/>
      </c>
      <c r="E8178" s="626"/>
      <c r="F8178" s="626"/>
    </row>
    <row r="8179" spans="1:6">
      <c r="A8179" t="str">
        <f t="shared" si="127"/>
        <v/>
      </c>
      <c r="E8179" s="626"/>
      <c r="F8179" s="626"/>
    </row>
    <row r="8180" spans="1:6">
      <c r="A8180" t="str">
        <f t="shared" si="127"/>
        <v/>
      </c>
      <c r="E8180" s="626"/>
      <c r="F8180" s="626"/>
    </row>
    <row r="8181" spans="1:6">
      <c r="A8181" t="str">
        <f t="shared" si="127"/>
        <v/>
      </c>
      <c r="E8181" s="626"/>
      <c r="F8181" s="626"/>
    </row>
    <row r="8182" spans="1:6">
      <c r="A8182" t="str">
        <f t="shared" si="127"/>
        <v/>
      </c>
      <c r="E8182" s="626"/>
      <c r="F8182" s="626"/>
    </row>
    <row r="8183" spans="1:6">
      <c r="A8183" t="str">
        <f t="shared" si="127"/>
        <v/>
      </c>
      <c r="E8183" s="626"/>
      <c r="F8183" s="626"/>
    </row>
    <row r="8184" spans="1:6">
      <c r="A8184" t="str">
        <f t="shared" si="127"/>
        <v/>
      </c>
      <c r="E8184" s="626"/>
      <c r="F8184" s="626"/>
    </row>
    <row r="8185" spans="1:6">
      <c r="A8185" t="str">
        <f t="shared" si="127"/>
        <v/>
      </c>
      <c r="E8185" s="626"/>
      <c r="F8185" s="626"/>
    </row>
    <row r="8186" spans="1:6">
      <c r="A8186" t="str">
        <f t="shared" si="127"/>
        <v/>
      </c>
      <c r="E8186" s="626"/>
      <c r="F8186" s="626"/>
    </row>
    <row r="8187" spans="1:6">
      <c r="A8187" t="str">
        <f t="shared" si="127"/>
        <v/>
      </c>
      <c r="E8187" s="626"/>
      <c r="F8187" s="626"/>
    </row>
    <row r="8188" spans="1:6">
      <c r="A8188" t="str">
        <f t="shared" si="127"/>
        <v/>
      </c>
      <c r="E8188" s="626"/>
      <c r="F8188" s="626"/>
    </row>
    <row r="8189" spans="1:6">
      <c r="A8189" t="str">
        <f t="shared" si="127"/>
        <v/>
      </c>
      <c r="E8189" s="626"/>
      <c r="F8189" s="626"/>
    </row>
    <row r="8190" spans="1:6">
      <c r="A8190" t="str">
        <f t="shared" si="127"/>
        <v/>
      </c>
      <c r="E8190" s="626"/>
      <c r="F8190" s="626"/>
    </row>
    <row r="8191" spans="1:6">
      <c r="A8191" t="str">
        <f t="shared" si="127"/>
        <v/>
      </c>
      <c r="E8191" s="626"/>
      <c r="F8191" s="626"/>
    </row>
    <row r="8192" spans="1:6">
      <c r="A8192" t="str">
        <f t="shared" si="127"/>
        <v/>
      </c>
      <c r="E8192" s="626"/>
      <c r="F8192" s="626"/>
    </row>
    <row r="8193" spans="1:6">
      <c r="A8193" t="str">
        <f t="shared" si="127"/>
        <v/>
      </c>
      <c r="E8193" s="626"/>
      <c r="F8193" s="626"/>
    </row>
    <row r="8194" spans="1:6">
      <c r="A8194" t="str">
        <f t="shared" ref="A8194:A8257" si="128">B8194&amp;E8194&amp;J8194</f>
        <v/>
      </c>
      <c r="E8194" s="626"/>
      <c r="F8194" s="626"/>
    </row>
    <row r="8195" spans="1:6">
      <c r="A8195" t="str">
        <f t="shared" si="128"/>
        <v/>
      </c>
      <c r="E8195" s="626"/>
      <c r="F8195" s="626"/>
    </row>
    <row r="8196" spans="1:6">
      <c r="A8196" t="str">
        <f t="shared" si="128"/>
        <v/>
      </c>
      <c r="E8196" s="626"/>
      <c r="F8196" s="626"/>
    </row>
    <row r="8197" spans="1:6">
      <c r="A8197" t="str">
        <f t="shared" si="128"/>
        <v/>
      </c>
      <c r="E8197" s="626"/>
      <c r="F8197" s="626"/>
    </row>
    <row r="8198" spans="1:6">
      <c r="A8198" t="str">
        <f t="shared" si="128"/>
        <v/>
      </c>
      <c r="E8198" s="626"/>
      <c r="F8198" s="626"/>
    </row>
    <row r="8199" spans="1:6">
      <c r="A8199" t="str">
        <f t="shared" si="128"/>
        <v/>
      </c>
      <c r="E8199" s="626"/>
      <c r="F8199" s="626"/>
    </row>
    <row r="8200" spans="1:6">
      <c r="A8200" t="str">
        <f t="shared" si="128"/>
        <v/>
      </c>
      <c r="E8200" s="626"/>
      <c r="F8200" s="626"/>
    </row>
    <row r="8201" spans="1:6">
      <c r="A8201" t="str">
        <f t="shared" si="128"/>
        <v/>
      </c>
      <c r="E8201" s="626"/>
      <c r="F8201" s="626"/>
    </row>
    <row r="8202" spans="1:6">
      <c r="A8202" t="str">
        <f t="shared" si="128"/>
        <v/>
      </c>
      <c r="E8202" s="626"/>
      <c r="F8202" s="626"/>
    </row>
    <row r="8203" spans="1:6">
      <c r="A8203" t="str">
        <f t="shared" si="128"/>
        <v/>
      </c>
      <c r="E8203" s="626"/>
      <c r="F8203" s="626"/>
    </row>
    <row r="8204" spans="1:6">
      <c r="A8204" t="str">
        <f t="shared" si="128"/>
        <v/>
      </c>
      <c r="E8204" s="626"/>
      <c r="F8204" s="626"/>
    </row>
    <row r="8205" spans="1:6">
      <c r="A8205" t="str">
        <f t="shared" si="128"/>
        <v/>
      </c>
      <c r="E8205" s="626"/>
      <c r="F8205" s="626"/>
    </row>
    <row r="8206" spans="1:6">
      <c r="A8206" t="str">
        <f t="shared" si="128"/>
        <v/>
      </c>
      <c r="E8206" s="626"/>
      <c r="F8206" s="626"/>
    </row>
    <row r="8207" spans="1:6">
      <c r="A8207" t="str">
        <f t="shared" si="128"/>
        <v/>
      </c>
      <c r="E8207" s="626"/>
      <c r="F8207" s="626"/>
    </row>
    <row r="8208" spans="1:6">
      <c r="A8208" t="str">
        <f t="shared" si="128"/>
        <v/>
      </c>
      <c r="E8208" s="626"/>
      <c r="F8208" s="626"/>
    </row>
    <row r="8209" spans="1:6">
      <c r="A8209" t="str">
        <f t="shared" si="128"/>
        <v/>
      </c>
      <c r="E8209" s="626"/>
      <c r="F8209" s="626"/>
    </row>
    <row r="8210" spans="1:6">
      <c r="A8210" t="str">
        <f t="shared" si="128"/>
        <v/>
      </c>
      <c r="E8210" s="626"/>
      <c r="F8210" s="626"/>
    </row>
    <row r="8211" spans="1:6">
      <c r="A8211" t="str">
        <f t="shared" si="128"/>
        <v/>
      </c>
      <c r="E8211" s="626"/>
      <c r="F8211" s="626"/>
    </row>
    <row r="8212" spans="1:6">
      <c r="A8212" t="str">
        <f t="shared" si="128"/>
        <v/>
      </c>
      <c r="E8212" s="626"/>
      <c r="F8212" s="626"/>
    </row>
    <row r="8213" spans="1:6">
      <c r="A8213" t="str">
        <f t="shared" si="128"/>
        <v/>
      </c>
      <c r="E8213" s="626"/>
      <c r="F8213" s="626"/>
    </row>
    <row r="8214" spans="1:6">
      <c r="A8214" t="str">
        <f t="shared" si="128"/>
        <v/>
      </c>
      <c r="E8214" s="626"/>
      <c r="F8214" s="626"/>
    </row>
    <row r="8215" spans="1:6">
      <c r="A8215" t="str">
        <f t="shared" si="128"/>
        <v/>
      </c>
      <c r="E8215" s="626"/>
      <c r="F8215" s="626"/>
    </row>
    <row r="8216" spans="1:6">
      <c r="A8216" t="str">
        <f t="shared" si="128"/>
        <v/>
      </c>
      <c r="E8216" s="626"/>
      <c r="F8216" s="626"/>
    </row>
    <row r="8217" spans="1:6">
      <c r="A8217" t="str">
        <f t="shared" si="128"/>
        <v/>
      </c>
      <c r="E8217" s="626"/>
      <c r="F8217" s="626"/>
    </row>
    <row r="8218" spans="1:6">
      <c r="A8218" t="str">
        <f t="shared" si="128"/>
        <v/>
      </c>
      <c r="E8218" s="626"/>
      <c r="F8218" s="626"/>
    </row>
    <row r="8219" spans="1:6">
      <c r="A8219" t="str">
        <f t="shared" si="128"/>
        <v/>
      </c>
      <c r="E8219" s="626"/>
      <c r="F8219" s="626"/>
    </row>
    <row r="8220" spans="1:6">
      <c r="A8220" t="str">
        <f t="shared" si="128"/>
        <v/>
      </c>
      <c r="E8220" s="626"/>
      <c r="F8220" s="626"/>
    </row>
    <row r="8221" spans="1:6">
      <c r="A8221" t="str">
        <f t="shared" si="128"/>
        <v/>
      </c>
      <c r="E8221" s="626"/>
      <c r="F8221" s="626"/>
    </row>
    <row r="8222" spans="1:6">
      <c r="A8222" t="str">
        <f t="shared" si="128"/>
        <v/>
      </c>
      <c r="E8222" s="626"/>
      <c r="F8222" s="626"/>
    </row>
    <row r="8223" spans="1:6">
      <c r="A8223" t="str">
        <f t="shared" si="128"/>
        <v/>
      </c>
      <c r="E8223" s="626"/>
      <c r="F8223" s="626"/>
    </row>
    <row r="8224" spans="1:6">
      <c r="A8224" t="str">
        <f t="shared" si="128"/>
        <v/>
      </c>
      <c r="E8224" s="626"/>
      <c r="F8224" s="626"/>
    </row>
    <row r="8225" spans="1:6">
      <c r="A8225" t="str">
        <f t="shared" si="128"/>
        <v/>
      </c>
      <c r="E8225" s="626"/>
      <c r="F8225" s="626"/>
    </row>
    <row r="8226" spans="1:6">
      <c r="A8226" t="str">
        <f t="shared" si="128"/>
        <v/>
      </c>
      <c r="E8226" s="626"/>
      <c r="F8226" s="626"/>
    </row>
    <row r="8227" spans="1:6">
      <c r="A8227" t="str">
        <f t="shared" si="128"/>
        <v/>
      </c>
      <c r="E8227" s="626"/>
      <c r="F8227" s="626"/>
    </row>
    <row r="8228" spans="1:6">
      <c r="A8228" t="str">
        <f t="shared" si="128"/>
        <v/>
      </c>
      <c r="E8228" s="626"/>
      <c r="F8228" s="626"/>
    </row>
    <row r="8229" spans="1:6">
      <c r="A8229" t="str">
        <f t="shared" si="128"/>
        <v/>
      </c>
      <c r="E8229" s="626"/>
      <c r="F8229" s="626"/>
    </row>
    <row r="8230" spans="1:6">
      <c r="A8230" t="str">
        <f t="shared" si="128"/>
        <v/>
      </c>
      <c r="E8230" s="626"/>
      <c r="F8230" s="626"/>
    </row>
    <row r="8231" spans="1:6">
      <c r="A8231" t="str">
        <f t="shared" si="128"/>
        <v/>
      </c>
      <c r="E8231" s="626"/>
      <c r="F8231" s="626"/>
    </row>
    <row r="8232" spans="1:6">
      <c r="A8232" t="str">
        <f t="shared" si="128"/>
        <v/>
      </c>
      <c r="E8232" s="626"/>
      <c r="F8232" s="626"/>
    </row>
    <row r="8233" spans="1:6">
      <c r="A8233" t="str">
        <f t="shared" si="128"/>
        <v/>
      </c>
      <c r="E8233" s="626"/>
      <c r="F8233" s="626"/>
    </row>
    <row r="8234" spans="1:6">
      <c r="A8234" t="str">
        <f t="shared" si="128"/>
        <v/>
      </c>
      <c r="E8234" s="626"/>
      <c r="F8234" s="626"/>
    </row>
    <row r="8235" spans="1:6">
      <c r="A8235" t="str">
        <f t="shared" si="128"/>
        <v/>
      </c>
      <c r="E8235" s="626"/>
      <c r="F8235" s="626"/>
    </row>
    <row r="8236" spans="1:6">
      <c r="A8236" t="str">
        <f t="shared" si="128"/>
        <v/>
      </c>
      <c r="E8236" s="626"/>
      <c r="F8236" s="626"/>
    </row>
    <row r="8237" spans="1:6">
      <c r="A8237" t="str">
        <f t="shared" si="128"/>
        <v/>
      </c>
      <c r="E8237" s="626"/>
      <c r="F8237" s="626"/>
    </row>
    <row r="8238" spans="1:6">
      <c r="A8238" t="str">
        <f t="shared" si="128"/>
        <v/>
      </c>
      <c r="E8238" s="626"/>
      <c r="F8238" s="626"/>
    </row>
    <row r="8239" spans="1:6">
      <c r="A8239" t="str">
        <f t="shared" si="128"/>
        <v/>
      </c>
      <c r="E8239" s="626"/>
      <c r="F8239" s="626"/>
    </row>
    <row r="8240" spans="1:6">
      <c r="A8240" t="str">
        <f t="shared" si="128"/>
        <v/>
      </c>
      <c r="E8240" s="626"/>
      <c r="F8240" s="626"/>
    </row>
    <row r="8241" spans="1:6">
      <c r="A8241" t="str">
        <f t="shared" si="128"/>
        <v/>
      </c>
      <c r="E8241" s="626"/>
      <c r="F8241" s="626"/>
    </row>
    <row r="8242" spans="1:6">
      <c r="A8242" t="str">
        <f t="shared" si="128"/>
        <v/>
      </c>
      <c r="E8242" s="626"/>
      <c r="F8242" s="626"/>
    </row>
    <row r="8243" spans="1:6">
      <c r="A8243" t="str">
        <f t="shared" si="128"/>
        <v/>
      </c>
      <c r="E8243" s="626"/>
      <c r="F8243" s="626"/>
    </row>
    <row r="8244" spans="1:6">
      <c r="A8244" t="str">
        <f t="shared" si="128"/>
        <v/>
      </c>
      <c r="E8244" s="626"/>
      <c r="F8244" s="626"/>
    </row>
    <row r="8245" spans="1:6">
      <c r="A8245" t="str">
        <f t="shared" si="128"/>
        <v/>
      </c>
      <c r="E8245" s="626"/>
      <c r="F8245" s="626"/>
    </row>
    <row r="8246" spans="1:6">
      <c r="A8246" t="str">
        <f t="shared" si="128"/>
        <v/>
      </c>
      <c r="E8246" s="626"/>
      <c r="F8246" s="626"/>
    </row>
    <row r="8247" spans="1:6">
      <c r="A8247" t="str">
        <f t="shared" si="128"/>
        <v/>
      </c>
      <c r="E8247" s="626"/>
      <c r="F8247" s="626"/>
    </row>
    <row r="8248" spans="1:6">
      <c r="A8248" t="str">
        <f t="shared" si="128"/>
        <v/>
      </c>
      <c r="E8248" s="626"/>
      <c r="F8248" s="626"/>
    </row>
    <row r="8249" spans="1:6">
      <c r="A8249" t="str">
        <f t="shared" si="128"/>
        <v/>
      </c>
      <c r="E8249" s="626"/>
      <c r="F8249" s="626"/>
    </row>
    <row r="8250" spans="1:6">
      <c r="A8250" t="str">
        <f t="shared" si="128"/>
        <v/>
      </c>
      <c r="E8250" s="626"/>
      <c r="F8250" s="626"/>
    </row>
    <row r="8251" spans="1:6">
      <c r="A8251" t="str">
        <f t="shared" si="128"/>
        <v/>
      </c>
      <c r="E8251" s="626"/>
      <c r="F8251" s="626"/>
    </row>
    <row r="8252" spans="1:6">
      <c r="A8252" t="str">
        <f t="shared" si="128"/>
        <v/>
      </c>
      <c r="E8252" s="626"/>
      <c r="F8252" s="626"/>
    </row>
    <row r="8253" spans="1:6">
      <c r="A8253" t="str">
        <f t="shared" si="128"/>
        <v/>
      </c>
      <c r="E8253" s="626"/>
      <c r="F8253" s="626"/>
    </row>
    <row r="8254" spans="1:6">
      <c r="A8254" t="str">
        <f t="shared" si="128"/>
        <v/>
      </c>
      <c r="E8254" s="626"/>
      <c r="F8254" s="626"/>
    </row>
    <row r="8255" spans="1:6">
      <c r="A8255" t="str">
        <f t="shared" si="128"/>
        <v/>
      </c>
      <c r="E8255" s="626"/>
      <c r="F8255" s="626"/>
    </row>
    <row r="8256" spans="1:6">
      <c r="A8256" t="str">
        <f t="shared" si="128"/>
        <v/>
      </c>
      <c r="E8256" s="626"/>
      <c r="F8256" s="626"/>
    </row>
    <row r="8257" spans="1:6">
      <c r="A8257" t="str">
        <f t="shared" si="128"/>
        <v/>
      </c>
      <c r="E8257" s="626"/>
      <c r="F8257" s="626"/>
    </row>
    <row r="8258" spans="1:6">
      <c r="A8258" t="str">
        <f t="shared" ref="A8258:A8321" si="129">B8258&amp;E8258&amp;J8258</f>
        <v/>
      </c>
      <c r="E8258" s="626"/>
      <c r="F8258" s="626"/>
    </row>
    <row r="8259" spans="1:6">
      <c r="A8259" t="str">
        <f t="shared" si="129"/>
        <v/>
      </c>
      <c r="E8259" s="626"/>
      <c r="F8259" s="626"/>
    </row>
    <row r="8260" spans="1:6">
      <c r="A8260" t="str">
        <f t="shared" si="129"/>
        <v/>
      </c>
      <c r="E8260" s="626"/>
      <c r="F8260" s="626"/>
    </row>
    <row r="8261" spans="1:6">
      <c r="A8261" t="str">
        <f t="shared" si="129"/>
        <v/>
      </c>
      <c r="E8261" s="626"/>
      <c r="F8261" s="626"/>
    </row>
    <row r="8262" spans="1:6">
      <c r="A8262" t="str">
        <f t="shared" si="129"/>
        <v/>
      </c>
      <c r="E8262" s="626"/>
      <c r="F8262" s="626"/>
    </row>
    <row r="8263" spans="1:6">
      <c r="A8263" t="str">
        <f t="shared" si="129"/>
        <v/>
      </c>
      <c r="E8263" s="626"/>
      <c r="F8263" s="626"/>
    </row>
    <row r="8264" spans="1:6">
      <c r="A8264" t="str">
        <f t="shared" si="129"/>
        <v/>
      </c>
      <c r="E8264" s="626"/>
      <c r="F8264" s="626"/>
    </row>
    <row r="8265" spans="1:6">
      <c r="A8265" t="str">
        <f t="shared" si="129"/>
        <v/>
      </c>
      <c r="E8265" s="626"/>
      <c r="F8265" s="626"/>
    </row>
    <row r="8266" spans="1:6">
      <c r="A8266" t="str">
        <f t="shared" si="129"/>
        <v/>
      </c>
      <c r="E8266" s="626"/>
      <c r="F8266" s="626"/>
    </row>
    <row r="8267" spans="1:6">
      <c r="A8267" t="str">
        <f t="shared" si="129"/>
        <v/>
      </c>
      <c r="E8267" s="626"/>
      <c r="F8267" s="626"/>
    </row>
    <row r="8268" spans="1:6">
      <c r="A8268" t="str">
        <f t="shared" si="129"/>
        <v/>
      </c>
      <c r="E8268" s="626"/>
      <c r="F8268" s="626"/>
    </row>
    <row r="8269" spans="1:6">
      <c r="A8269" t="str">
        <f t="shared" si="129"/>
        <v/>
      </c>
      <c r="E8269" s="626"/>
      <c r="F8269" s="626"/>
    </row>
    <row r="8270" spans="1:6">
      <c r="A8270" t="str">
        <f t="shared" si="129"/>
        <v/>
      </c>
      <c r="E8270" s="626"/>
      <c r="F8270" s="626"/>
    </row>
    <row r="8271" spans="1:6">
      <c r="A8271" t="str">
        <f t="shared" si="129"/>
        <v/>
      </c>
      <c r="E8271" s="626"/>
      <c r="F8271" s="626"/>
    </row>
    <row r="8272" spans="1:6">
      <c r="A8272" t="str">
        <f t="shared" si="129"/>
        <v/>
      </c>
      <c r="E8272" s="626"/>
      <c r="F8272" s="626"/>
    </row>
    <row r="8273" spans="1:6">
      <c r="A8273" t="str">
        <f t="shared" si="129"/>
        <v/>
      </c>
      <c r="E8273" s="626"/>
      <c r="F8273" s="626"/>
    </row>
    <row r="8274" spans="1:6">
      <c r="A8274" t="str">
        <f t="shared" si="129"/>
        <v/>
      </c>
      <c r="E8274" s="626"/>
      <c r="F8274" s="626"/>
    </row>
    <row r="8275" spans="1:6">
      <c r="A8275" t="str">
        <f t="shared" si="129"/>
        <v/>
      </c>
      <c r="E8275" s="626"/>
      <c r="F8275" s="626"/>
    </row>
    <row r="8276" spans="1:6">
      <c r="A8276" t="str">
        <f t="shared" si="129"/>
        <v/>
      </c>
      <c r="E8276" s="626"/>
      <c r="F8276" s="626"/>
    </row>
    <row r="8277" spans="1:6">
      <c r="A8277" t="str">
        <f t="shared" si="129"/>
        <v/>
      </c>
      <c r="E8277" s="626"/>
      <c r="F8277" s="626"/>
    </row>
    <row r="8278" spans="1:6">
      <c r="A8278" t="str">
        <f t="shared" si="129"/>
        <v/>
      </c>
      <c r="E8278" s="626"/>
      <c r="F8278" s="626"/>
    </row>
    <row r="8279" spans="1:6">
      <c r="A8279" t="str">
        <f t="shared" si="129"/>
        <v/>
      </c>
      <c r="E8279" s="626"/>
      <c r="F8279" s="626"/>
    </row>
    <row r="8280" spans="1:6">
      <c r="A8280" t="str">
        <f t="shared" si="129"/>
        <v/>
      </c>
      <c r="E8280" s="626"/>
      <c r="F8280" s="626"/>
    </row>
    <row r="8281" spans="1:6">
      <c r="A8281" t="str">
        <f t="shared" si="129"/>
        <v/>
      </c>
      <c r="E8281" s="626"/>
      <c r="F8281" s="626"/>
    </row>
    <row r="8282" spans="1:6">
      <c r="A8282" t="str">
        <f t="shared" si="129"/>
        <v/>
      </c>
      <c r="E8282" s="626"/>
      <c r="F8282" s="626"/>
    </row>
    <row r="8283" spans="1:6">
      <c r="A8283" t="str">
        <f t="shared" si="129"/>
        <v/>
      </c>
      <c r="E8283" s="626"/>
      <c r="F8283" s="626"/>
    </row>
    <row r="8284" spans="1:6">
      <c r="A8284" t="str">
        <f t="shared" si="129"/>
        <v/>
      </c>
      <c r="E8284" s="626"/>
      <c r="F8284" s="626"/>
    </row>
    <row r="8285" spans="1:6">
      <c r="A8285" t="str">
        <f t="shared" si="129"/>
        <v/>
      </c>
      <c r="E8285" s="626"/>
      <c r="F8285" s="626"/>
    </row>
    <row r="8286" spans="1:6">
      <c r="A8286" t="str">
        <f t="shared" si="129"/>
        <v/>
      </c>
      <c r="E8286" s="626"/>
      <c r="F8286" s="626"/>
    </row>
    <row r="8287" spans="1:6">
      <c r="A8287" t="str">
        <f t="shared" si="129"/>
        <v/>
      </c>
      <c r="E8287" s="626"/>
      <c r="F8287" s="626"/>
    </row>
    <row r="8288" spans="1:6">
      <c r="A8288" t="str">
        <f t="shared" si="129"/>
        <v/>
      </c>
      <c r="E8288" s="626"/>
      <c r="F8288" s="626"/>
    </row>
    <row r="8289" spans="1:6">
      <c r="A8289" t="str">
        <f t="shared" si="129"/>
        <v/>
      </c>
      <c r="E8289" s="626"/>
      <c r="F8289" s="626"/>
    </row>
    <row r="8290" spans="1:6">
      <c r="A8290" t="str">
        <f t="shared" si="129"/>
        <v/>
      </c>
      <c r="E8290" s="626"/>
      <c r="F8290" s="626"/>
    </row>
    <row r="8291" spans="1:6">
      <c r="A8291" t="str">
        <f t="shared" si="129"/>
        <v/>
      </c>
      <c r="E8291" s="626"/>
      <c r="F8291" s="626"/>
    </row>
    <row r="8292" spans="1:6">
      <c r="A8292" t="str">
        <f t="shared" si="129"/>
        <v/>
      </c>
      <c r="E8292" s="626"/>
      <c r="F8292" s="626"/>
    </row>
    <row r="8293" spans="1:6">
      <c r="A8293" t="str">
        <f t="shared" si="129"/>
        <v/>
      </c>
      <c r="E8293" s="626"/>
      <c r="F8293" s="626"/>
    </row>
    <row r="8294" spans="1:6">
      <c r="A8294" t="str">
        <f t="shared" si="129"/>
        <v/>
      </c>
      <c r="E8294" s="626"/>
      <c r="F8294" s="626"/>
    </row>
    <row r="8295" spans="1:6">
      <c r="A8295" t="str">
        <f t="shared" si="129"/>
        <v/>
      </c>
      <c r="E8295" s="626"/>
      <c r="F8295" s="626"/>
    </row>
    <row r="8296" spans="1:6">
      <c r="A8296" t="str">
        <f t="shared" si="129"/>
        <v/>
      </c>
      <c r="E8296" s="626"/>
      <c r="F8296" s="626"/>
    </row>
    <row r="8297" spans="1:6">
      <c r="A8297" t="str">
        <f t="shared" si="129"/>
        <v/>
      </c>
      <c r="E8297" s="626"/>
      <c r="F8297" s="626"/>
    </row>
    <row r="8298" spans="1:6">
      <c r="A8298" t="str">
        <f t="shared" si="129"/>
        <v/>
      </c>
      <c r="E8298" s="626"/>
      <c r="F8298" s="626"/>
    </row>
    <row r="8299" spans="1:6">
      <c r="A8299" t="str">
        <f t="shared" si="129"/>
        <v/>
      </c>
      <c r="E8299" s="626"/>
      <c r="F8299" s="626"/>
    </row>
    <row r="8300" spans="1:6">
      <c r="A8300" t="str">
        <f t="shared" si="129"/>
        <v/>
      </c>
      <c r="E8300" s="626"/>
      <c r="F8300" s="626"/>
    </row>
    <row r="8301" spans="1:6">
      <c r="A8301" t="str">
        <f t="shared" si="129"/>
        <v/>
      </c>
      <c r="E8301" s="626"/>
      <c r="F8301" s="626"/>
    </row>
    <row r="8302" spans="1:6">
      <c r="A8302" t="str">
        <f t="shared" si="129"/>
        <v/>
      </c>
      <c r="E8302" s="626"/>
      <c r="F8302" s="626"/>
    </row>
    <row r="8303" spans="1:6">
      <c r="A8303" t="str">
        <f t="shared" si="129"/>
        <v/>
      </c>
      <c r="E8303" s="626"/>
      <c r="F8303" s="626"/>
    </row>
    <row r="8304" spans="1:6">
      <c r="A8304" t="str">
        <f t="shared" si="129"/>
        <v/>
      </c>
      <c r="E8304" s="626"/>
      <c r="F8304" s="626"/>
    </row>
    <row r="8305" spans="1:6">
      <c r="A8305" t="str">
        <f t="shared" si="129"/>
        <v/>
      </c>
      <c r="E8305" s="626"/>
      <c r="F8305" s="626"/>
    </row>
    <row r="8306" spans="1:6">
      <c r="A8306" t="str">
        <f t="shared" si="129"/>
        <v/>
      </c>
      <c r="E8306" s="626"/>
      <c r="F8306" s="626"/>
    </row>
    <row r="8307" spans="1:6">
      <c r="A8307" t="str">
        <f t="shared" si="129"/>
        <v/>
      </c>
      <c r="E8307" s="626"/>
      <c r="F8307" s="626"/>
    </row>
    <row r="8308" spans="1:6">
      <c r="A8308" t="str">
        <f t="shared" si="129"/>
        <v/>
      </c>
      <c r="E8308" s="626"/>
      <c r="F8308" s="626"/>
    </row>
    <row r="8309" spans="1:6">
      <c r="A8309" t="str">
        <f t="shared" si="129"/>
        <v/>
      </c>
      <c r="E8309" s="626"/>
      <c r="F8309" s="626"/>
    </row>
    <row r="8310" spans="1:6">
      <c r="A8310" t="str">
        <f t="shared" si="129"/>
        <v/>
      </c>
      <c r="E8310" s="626"/>
      <c r="F8310" s="626"/>
    </row>
    <row r="8311" spans="1:6">
      <c r="A8311" t="str">
        <f t="shared" si="129"/>
        <v/>
      </c>
      <c r="E8311" s="626"/>
      <c r="F8311" s="626"/>
    </row>
    <row r="8312" spans="1:6">
      <c r="A8312" t="str">
        <f t="shared" si="129"/>
        <v/>
      </c>
      <c r="E8312" s="626"/>
      <c r="F8312" s="626"/>
    </row>
    <row r="8313" spans="1:6">
      <c r="A8313" t="str">
        <f t="shared" si="129"/>
        <v/>
      </c>
      <c r="E8313" s="626"/>
      <c r="F8313" s="626"/>
    </row>
    <row r="8314" spans="1:6">
      <c r="A8314" t="str">
        <f t="shared" si="129"/>
        <v/>
      </c>
      <c r="E8314" s="626"/>
      <c r="F8314" s="626"/>
    </row>
    <row r="8315" spans="1:6">
      <c r="A8315" t="str">
        <f t="shared" si="129"/>
        <v/>
      </c>
      <c r="E8315" s="626"/>
      <c r="F8315" s="626"/>
    </row>
    <row r="8316" spans="1:6">
      <c r="A8316" t="str">
        <f t="shared" si="129"/>
        <v/>
      </c>
      <c r="E8316" s="626"/>
      <c r="F8316" s="626"/>
    </row>
    <row r="8317" spans="1:6">
      <c r="A8317" t="str">
        <f t="shared" si="129"/>
        <v/>
      </c>
      <c r="E8317" s="626"/>
      <c r="F8317" s="626"/>
    </row>
    <row r="8318" spans="1:6">
      <c r="A8318" t="str">
        <f t="shared" si="129"/>
        <v/>
      </c>
      <c r="E8318" s="626"/>
      <c r="F8318" s="626"/>
    </row>
    <row r="8319" spans="1:6">
      <c r="A8319" t="str">
        <f t="shared" si="129"/>
        <v/>
      </c>
      <c r="E8319" s="626"/>
      <c r="F8319" s="626"/>
    </row>
    <row r="8320" spans="1:6">
      <c r="A8320" t="str">
        <f t="shared" si="129"/>
        <v/>
      </c>
      <c r="E8320" s="626"/>
      <c r="F8320" s="626"/>
    </row>
    <row r="8321" spans="1:6">
      <c r="A8321" t="str">
        <f t="shared" si="129"/>
        <v/>
      </c>
      <c r="E8321" s="626"/>
      <c r="F8321" s="626"/>
    </row>
    <row r="8322" spans="1:6">
      <c r="A8322" t="str">
        <f t="shared" ref="A8322:A8385" si="130">B8322&amp;E8322&amp;J8322</f>
        <v/>
      </c>
      <c r="E8322" s="626"/>
      <c r="F8322" s="626"/>
    </row>
    <row r="8323" spans="1:6">
      <c r="A8323" t="str">
        <f t="shared" si="130"/>
        <v/>
      </c>
      <c r="E8323" s="626"/>
      <c r="F8323" s="626"/>
    </row>
    <row r="8324" spans="1:6">
      <c r="A8324" t="str">
        <f t="shared" si="130"/>
        <v/>
      </c>
      <c r="E8324" s="626"/>
      <c r="F8324" s="626"/>
    </row>
    <row r="8325" spans="1:6">
      <c r="A8325" t="str">
        <f t="shared" si="130"/>
        <v/>
      </c>
      <c r="E8325" s="626"/>
      <c r="F8325" s="626"/>
    </row>
    <row r="8326" spans="1:6">
      <c r="A8326" t="str">
        <f t="shared" si="130"/>
        <v/>
      </c>
      <c r="E8326" s="626"/>
      <c r="F8326" s="626"/>
    </row>
    <row r="8327" spans="1:6">
      <c r="A8327" t="str">
        <f t="shared" si="130"/>
        <v/>
      </c>
      <c r="E8327" s="626"/>
      <c r="F8327" s="626"/>
    </row>
    <row r="8328" spans="1:6">
      <c r="A8328" t="str">
        <f t="shared" si="130"/>
        <v/>
      </c>
      <c r="E8328" s="626"/>
      <c r="F8328" s="626"/>
    </row>
    <row r="8329" spans="1:6">
      <c r="A8329" t="str">
        <f t="shared" si="130"/>
        <v/>
      </c>
      <c r="E8329" s="626"/>
      <c r="F8329" s="626"/>
    </row>
    <row r="8330" spans="1:6">
      <c r="A8330" t="str">
        <f t="shared" si="130"/>
        <v/>
      </c>
      <c r="E8330" s="626"/>
      <c r="F8330" s="626"/>
    </row>
    <row r="8331" spans="1:6">
      <c r="A8331" t="str">
        <f t="shared" si="130"/>
        <v/>
      </c>
      <c r="E8331" s="626"/>
      <c r="F8331" s="626"/>
    </row>
    <row r="8332" spans="1:6">
      <c r="A8332" t="str">
        <f t="shared" si="130"/>
        <v/>
      </c>
      <c r="E8332" s="626"/>
      <c r="F8332" s="626"/>
    </row>
    <row r="8333" spans="1:6">
      <c r="A8333" t="str">
        <f t="shared" si="130"/>
        <v/>
      </c>
      <c r="E8333" s="626"/>
      <c r="F8333" s="626"/>
    </row>
    <row r="8334" spans="1:6">
      <c r="A8334" t="str">
        <f t="shared" si="130"/>
        <v/>
      </c>
      <c r="E8334" s="626"/>
      <c r="F8334" s="626"/>
    </row>
    <row r="8335" spans="1:6">
      <c r="A8335" t="str">
        <f t="shared" si="130"/>
        <v/>
      </c>
      <c r="E8335" s="626"/>
      <c r="F8335" s="626"/>
    </row>
    <row r="8336" spans="1:6">
      <c r="A8336" t="str">
        <f t="shared" si="130"/>
        <v/>
      </c>
      <c r="E8336" s="626"/>
      <c r="F8336" s="626"/>
    </row>
    <row r="8337" spans="1:6">
      <c r="A8337" t="str">
        <f t="shared" si="130"/>
        <v/>
      </c>
      <c r="E8337" s="626"/>
      <c r="F8337" s="626"/>
    </row>
    <row r="8338" spans="1:6">
      <c r="A8338" t="str">
        <f t="shared" si="130"/>
        <v/>
      </c>
      <c r="E8338" s="626"/>
      <c r="F8338" s="626"/>
    </row>
    <row r="8339" spans="1:6">
      <c r="A8339" t="str">
        <f t="shared" si="130"/>
        <v/>
      </c>
      <c r="E8339" s="626"/>
      <c r="F8339" s="626"/>
    </row>
    <row r="8340" spans="1:6">
      <c r="A8340" t="str">
        <f t="shared" si="130"/>
        <v/>
      </c>
      <c r="E8340" s="626"/>
      <c r="F8340" s="626"/>
    </row>
    <row r="8341" spans="1:6">
      <c r="A8341" t="str">
        <f t="shared" si="130"/>
        <v/>
      </c>
      <c r="E8341" s="626"/>
      <c r="F8341" s="626"/>
    </row>
    <row r="8342" spans="1:6">
      <c r="A8342" t="str">
        <f t="shared" si="130"/>
        <v/>
      </c>
      <c r="E8342" s="626"/>
      <c r="F8342" s="626"/>
    </row>
    <row r="8343" spans="1:6">
      <c r="A8343" t="str">
        <f t="shared" si="130"/>
        <v/>
      </c>
      <c r="E8343" s="626"/>
      <c r="F8343" s="626"/>
    </row>
    <row r="8344" spans="1:6">
      <c r="A8344" t="str">
        <f t="shared" si="130"/>
        <v/>
      </c>
      <c r="E8344" s="626"/>
      <c r="F8344" s="626"/>
    </row>
    <row r="8345" spans="1:6">
      <c r="A8345" t="str">
        <f t="shared" si="130"/>
        <v/>
      </c>
      <c r="E8345" s="626"/>
      <c r="F8345" s="626"/>
    </row>
    <row r="8346" spans="1:6">
      <c r="A8346" t="str">
        <f t="shared" si="130"/>
        <v/>
      </c>
      <c r="E8346" s="626"/>
      <c r="F8346" s="626"/>
    </row>
    <row r="8347" spans="1:6">
      <c r="A8347" t="str">
        <f t="shared" si="130"/>
        <v/>
      </c>
      <c r="E8347" s="626"/>
      <c r="F8347" s="626"/>
    </row>
    <row r="8348" spans="1:6">
      <c r="A8348" t="str">
        <f t="shared" si="130"/>
        <v/>
      </c>
      <c r="E8348" s="626"/>
      <c r="F8348" s="626"/>
    </row>
    <row r="8349" spans="1:6">
      <c r="A8349" t="str">
        <f t="shared" si="130"/>
        <v/>
      </c>
      <c r="E8349" s="626"/>
      <c r="F8349" s="626"/>
    </row>
    <row r="8350" spans="1:6">
      <c r="A8350" t="str">
        <f t="shared" si="130"/>
        <v/>
      </c>
      <c r="E8350" s="626"/>
      <c r="F8350" s="626"/>
    </row>
    <row r="8351" spans="1:6">
      <c r="A8351" t="str">
        <f t="shared" si="130"/>
        <v/>
      </c>
      <c r="E8351" s="626"/>
      <c r="F8351" s="626"/>
    </row>
    <row r="8352" spans="1:6">
      <c r="A8352" t="str">
        <f t="shared" si="130"/>
        <v/>
      </c>
      <c r="E8352" s="626"/>
      <c r="F8352" s="626"/>
    </row>
    <row r="8353" spans="1:6">
      <c r="A8353" t="str">
        <f t="shared" si="130"/>
        <v/>
      </c>
      <c r="E8353" s="626"/>
      <c r="F8353" s="626"/>
    </row>
    <row r="8354" spans="1:6">
      <c r="A8354" t="str">
        <f t="shared" si="130"/>
        <v/>
      </c>
      <c r="E8354" s="626"/>
      <c r="F8354" s="626"/>
    </row>
    <row r="8355" spans="1:6">
      <c r="A8355" t="str">
        <f t="shared" si="130"/>
        <v/>
      </c>
      <c r="E8355" s="626"/>
      <c r="F8355" s="626"/>
    </row>
    <row r="8356" spans="1:6">
      <c r="A8356" t="str">
        <f t="shared" si="130"/>
        <v/>
      </c>
      <c r="E8356" s="626"/>
      <c r="F8356" s="626"/>
    </row>
    <row r="8357" spans="1:6">
      <c r="A8357" t="str">
        <f t="shared" si="130"/>
        <v/>
      </c>
      <c r="E8357" s="626"/>
      <c r="F8357" s="626"/>
    </row>
    <row r="8358" spans="1:6">
      <c r="A8358" t="str">
        <f t="shared" si="130"/>
        <v/>
      </c>
      <c r="E8358" s="626"/>
      <c r="F8358" s="626"/>
    </row>
    <row r="8359" spans="1:6">
      <c r="A8359" t="str">
        <f t="shared" si="130"/>
        <v/>
      </c>
      <c r="E8359" s="626"/>
      <c r="F8359" s="626"/>
    </row>
    <row r="8360" spans="1:6">
      <c r="A8360" t="str">
        <f t="shared" si="130"/>
        <v/>
      </c>
      <c r="E8360" s="626"/>
      <c r="F8360" s="626"/>
    </row>
    <row r="8361" spans="1:6">
      <c r="A8361" t="str">
        <f t="shared" si="130"/>
        <v/>
      </c>
      <c r="E8361" s="626"/>
      <c r="F8361" s="626"/>
    </row>
    <row r="8362" spans="1:6">
      <c r="A8362" t="str">
        <f t="shared" si="130"/>
        <v/>
      </c>
      <c r="E8362" s="626"/>
      <c r="F8362" s="626"/>
    </row>
    <row r="8363" spans="1:6">
      <c r="A8363" t="str">
        <f t="shared" si="130"/>
        <v/>
      </c>
      <c r="E8363" s="626"/>
      <c r="F8363" s="626"/>
    </row>
    <row r="8364" spans="1:6">
      <c r="A8364" t="str">
        <f t="shared" si="130"/>
        <v/>
      </c>
      <c r="E8364" s="626"/>
      <c r="F8364" s="626"/>
    </row>
    <row r="8365" spans="1:6">
      <c r="A8365" t="str">
        <f t="shared" si="130"/>
        <v/>
      </c>
      <c r="E8365" s="626"/>
      <c r="F8365" s="626"/>
    </row>
    <row r="8366" spans="1:6">
      <c r="A8366" t="str">
        <f t="shared" si="130"/>
        <v/>
      </c>
      <c r="E8366" s="626"/>
      <c r="F8366" s="626"/>
    </row>
    <row r="8367" spans="1:6">
      <c r="A8367" t="str">
        <f t="shared" si="130"/>
        <v/>
      </c>
      <c r="E8367" s="626"/>
      <c r="F8367" s="626"/>
    </row>
    <row r="8368" spans="1:6">
      <c r="A8368" t="str">
        <f t="shared" si="130"/>
        <v/>
      </c>
      <c r="E8368" s="626"/>
      <c r="F8368" s="626"/>
    </row>
    <row r="8369" spans="1:6">
      <c r="A8369" t="str">
        <f t="shared" si="130"/>
        <v/>
      </c>
      <c r="E8369" s="626"/>
      <c r="F8369" s="626"/>
    </row>
    <row r="8370" spans="1:6">
      <c r="A8370" t="str">
        <f t="shared" si="130"/>
        <v/>
      </c>
      <c r="E8370" s="626"/>
      <c r="F8370" s="626"/>
    </row>
    <row r="8371" spans="1:6">
      <c r="A8371" t="str">
        <f t="shared" si="130"/>
        <v/>
      </c>
      <c r="E8371" s="626"/>
      <c r="F8371" s="626"/>
    </row>
    <row r="8372" spans="1:6">
      <c r="A8372" t="str">
        <f t="shared" si="130"/>
        <v/>
      </c>
      <c r="E8372" s="626"/>
      <c r="F8372" s="626"/>
    </row>
    <row r="8373" spans="1:6">
      <c r="A8373" t="str">
        <f t="shared" si="130"/>
        <v/>
      </c>
      <c r="E8373" s="626"/>
      <c r="F8373" s="626"/>
    </row>
    <row r="8374" spans="1:6">
      <c r="A8374" t="str">
        <f t="shared" si="130"/>
        <v/>
      </c>
      <c r="E8374" s="626"/>
      <c r="F8374" s="626"/>
    </row>
    <row r="8375" spans="1:6">
      <c r="A8375" t="str">
        <f t="shared" si="130"/>
        <v/>
      </c>
      <c r="E8375" s="626"/>
      <c r="F8375" s="626"/>
    </row>
    <row r="8376" spans="1:6">
      <c r="A8376" t="str">
        <f t="shared" si="130"/>
        <v/>
      </c>
      <c r="E8376" s="626"/>
      <c r="F8376" s="626"/>
    </row>
    <row r="8377" spans="1:6">
      <c r="A8377" t="str">
        <f t="shared" si="130"/>
        <v/>
      </c>
      <c r="E8377" s="626"/>
      <c r="F8377" s="626"/>
    </row>
    <row r="8378" spans="1:6">
      <c r="A8378" t="str">
        <f t="shared" si="130"/>
        <v/>
      </c>
      <c r="E8378" s="626"/>
      <c r="F8378" s="626"/>
    </row>
    <row r="8379" spans="1:6">
      <c r="A8379" t="str">
        <f t="shared" si="130"/>
        <v/>
      </c>
      <c r="E8379" s="626"/>
      <c r="F8379" s="626"/>
    </row>
    <row r="8380" spans="1:6">
      <c r="A8380" t="str">
        <f t="shared" si="130"/>
        <v/>
      </c>
      <c r="E8380" s="626"/>
      <c r="F8380" s="626"/>
    </row>
    <row r="8381" spans="1:6">
      <c r="A8381" t="str">
        <f t="shared" si="130"/>
        <v/>
      </c>
      <c r="E8381" s="626"/>
      <c r="F8381" s="626"/>
    </row>
    <row r="8382" spans="1:6">
      <c r="A8382" t="str">
        <f t="shared" si="130"/>
        <v/>
      </c>
      <c r="E8382" s="626"/>
      <c r="F8382" s="626"/>
    </row>
    <row r="8383" spans="1:6">
      <c r="A8383" t="str">
        <f t="shared" si="130"/>
        <v/>
      </c>
      <c r="E8383" s="626"/>
      <c r="F8383" s="626"/>
    </row>
    <row r="8384" spans="1:6">
      <c r="A8384" t="str">
        <f t="shared" si="130"/>
        <v/>
      </c>
      <c r="E8384" s="626"/>
      <c r="F8384" s="626"/>
    </row>
    <row r="8385" spans="1:6">
      <c r="A8385" t="str">
        <f t="shared" si="130"/>
        <v/>
      </c>
      <c r="E8385" s="626"/>
      <c r="F8385" s="626"/>
    </row>
    <row r="8386" spans="1:6">
      <c r="A8386" t="str">
        <f t="shared" ref="A8386:A8449" si="131">B8386&amp;E8386&amp;J8386</f>
        <v/>
      </c>
      <c r="E8386" s="626"/>
      <c r="F8386" s="626"/>
    </row>
    <row r="8387" spans="1:6">
      <c r="A8387" t="str">
        <f t="shared" si="131"/>
        <v/>
      </c>
      <c r="E8387" s="626"/>
      <c r="F8387" s="626"/>
    </row>
    <row r="8388" spans="1:6">
      <c r="A8388" t="str">
        <f t="shared" si="131"/>
        <v/>
      </c>
      <c r="E8388" s="626"/>
      <c r="F8388" s="626"/>
    </row>
    <row r="8389" spans="1:6">
      <c r="A8389" t="str">
        <f t="shared" si="131"/>
        <v/>
      </c>
      <c r="E8389" s="626"/>
      <c r="F8389" s="626"/>
    </row>
    <row r="8390" spans="1:6">
      <c r="A8390" t="str">
        <f t="shared" si="131"/>
        <v/>
      </c>
      <c r="E8390" s="626"/>
      <c r="F8390" s="626"/>
    </row>
    <row r="8391" spans="1:6">
      <c r="A8391" t="str">
        <f t="shared" si="131"/>
        <v/>
      </c>
      <c r="E8391" s="626"/>
      <c r="F8391" s="626"/>
    </row>
    <row r="8392" spans="1:6">
      <c r="A8392" t="str">
        <f t="shared" si="131"/>
        <v/>
      </c>
      <c r="E8392" s="626"/>
      <c r="F8392" s="626"/>
    </row>
    <row r="8393" spans="1:6">
      <c r="A8393" t="str">
        <f t="shared" si="131"/>
        <v/>
      </c>
      <c r="E8393" s="626"/>
      <c r="F8393" s="626"/>
    </row>
    <row r="8394" spans="1:6">
      <c r="A8394" t="str">
        <f t="shared" si="131"/>
        <v/>
      </c>
      <c r="E8394" s="626"/>
      <c r="F8394" s="626"/>
    </row>
    <row r="8395" spans="1:6">
      <c r="A8395" t="str">
        <f t="shared" si="131"/>
        <v/>
      </c>
      <c r="E8395" s="626"/>
      <c r="F8395" s="626"/>
    </row>
    <row r="8396" spans="1:6">
      <c r="A8396" t="str">
        <f t="shared" si="131"/>
        <v/>
      </c>
      <c r="E8396" s="626"/>
      <c r="F8396" s="626"/>
    </row>
    <row r="8397" spans="1:6">
      <c r="A8397" t="str">
        <f t="shared" si="131"/>
        <v/>
      </c>
      <c r="E8397" s="626"/>
      <c r="F8397" s="626"/>
    </row>
    <row r="8398" spans="1:6">
      <c r="A8398" t="str">
        <f t="shared" si="131"/>
        <v/>
      </c>
      <c r="E8398" s="626"/>
      <c r="F8398" s="626"/>
    </row>
    <row r="8399" spans="1:6">
      <c r="A8399" t="str">
        <f t="shared" si="131"/>
        <v/>
      </c>
      <c r="E8399" s="626"/>
      <c r="F8399" s="626"/>
    </row>
    <row r="8400" spans="1:6">
      <c r="A8400" t="str">
        <f t="shared" si="131"/>
        <v/>
      </c>
      <c r="E8400" s="626"/>
      <c r="F8400" s="626"/>
    </row>
    <row r="8401" spans="1:6">
      <c r="A8401" t="str">
        <f t="shared" si="131"/>
        <v/>
      </c>
      <c r="E8401" s="626"/>
      <c r="F8401" s="626"/>
    </row>
    <row r="8402" spans="1:6">
      <c r="A8402" t="str">
        <f t="shared" si="131"/>
        <v/>
      </c>
      <c r="E8402" s="626"/>
      <c r="F8402" s="626"/>
    </row>
    <row r="8403" spans="1:6">
      <c r="A8403" t="str">
        <f t="shared" si="131"/>
        <v/>
      </c>
      <c r="E8403" s="626"/>
      <c r="F8403" s="626"/>
    </row>
    <row r="8404" spans="1:6">
      <c r="A8404" t="str">
        <f t="shared" si="131"/>
        <v/>
      </c>
      <c r="E8404" s="626"/>
      <c r="F8404" s="626"/>
    </row>
    <row r="8405" spans="1:6">
      <c r="A8405" t="str">
        <f t="shared" si="131"/>
        <v/>
      </c>
      <c r="E8405" s="626"/>
      <c r="F8405" s="626"/>
    </row>
    <row r="8406" spans="1:6">
      <c r="A8406" t="str">
        <f t="shared" si="131"/>
        <v/>
      </c>
      <c r="E8406" s="626"/>
      <c r="F8406" s="626"/>
    </row>
    <row r="8407" spans="1:6">
      <c r="A8407" t="str">
        <f t="shared" si="131"/>
        <v/>
      </c>
      <c r="E8407" s="626"/>
      <c r="F8407" s="626"/>
    </row>
    <row r="8408" spans="1:6">
      <c r="A8408" t="str">
        <f t="shared" si="131"/>
        <v/>
      </c>
      <c r="E8408" s="626"/>
      <c r="F8408" s="626"/>
    </row>
    <row r="8409" spans="1:6">
      <c r="A8409" t="str">
        <f t="shared" si="131"/>
        <v/>
      </c>
      <c r="E8409" s="626"/>
      <c r="F8409" s="626"/>
    </row>
    <row r="8410" spans="1:6">
      <c r="A8410" t="str">
        <f t="shared" si="131"/>
        <v/>
      </c>
      <c r="E8410" s="626"/>
      <c r="F8410" s="626"/>
    </row>
    <row r="8411" spans="1:6">
      <c r="A8411" t="str">
        <f t="shared" si="131"/>
        <v/>
      </c>
      <c r="E8411" s="626"/>
      <c r="F8411" s="626"/>
    </row>
    <row r="8412" spans="1:6">
      <c r="A8412" t="str">
        <f t="shared" si="131"/>
        <v/>
      </c>
      <c r="E8412" s="626"/>
      <c r="F8412" s="626"/>
    </row>
    <row r="8413" spans="1:6">
      <c r="A8413" t="str">
        <f t="shared" si="131"/>
        <v/>
      </c>
      <c r="E8413" s="626"/>
      <c r="F8413" s="626"/>
    </row>
    <row r="8414" spans="1:6">
      <c r="A8414" t="str">
        <f t="shared" si="131"/>
        <v/>
      </c>
      <c r="E8414" s="626"/>
      <c r="F8414" s="626"/>
    </row>
    <row r="8415" spans="1:6">
      <c r="A8415" t="str">
        <f t="shared" si="131"/>
        <v/>
      </c>
      <c r="E8415" s="626"/>
      <c r="F8415" s="626"/>
    </row>
    <row r="8416" spans="1:6">
      <c r="A8416" t="str">
        <f t="shared" si="131"/>
        <v/>
      </c>
      <c r="E8416" s="626"/>
      <c r="F8416" s="626"/>
    </row>
    <row r="8417" spans="1:6">
      <c r="A8417" t="str">
        <f t="shared" si="131"/>
        <v/>
      </c>
      <c r="E8417" s="626"/>
      <c r="F8417" s="626"/>
    </row>
    <row r="8418" spans="1:6">
      <c r="A8418" t="str">
        <f t="shared" si="131"/>
        <v/>
      </c>
      <c r="E8418" s="626"/>
      <c r="F8418" s="626"/>
    </row>
    <row r="8419" spans="1:6">
      <c r="A8419" t="str">
        <f t="shared" si="131"/>
        <v/>
      </c>
      <c r="E8419" s="626"/>
      <c r="F8419" s="626"/>
    </row>
    <row r="8420" spans="1:6">
      <c r="A8420" t="str">
        <f t="shared" si="131"/>
        <v/>
      </c>
      <c r="E8420" s="626"/>
      <c r="F8420" s="626"/>
    </row>
    <row r="8421" spans="1:6">
      <c r="A8421" t="str">
        <f t="shared" si="131"/>
        <v/>
      </c>
      <c r="E8421" s="626"/>
      <c r="F8421" s="626"/>
    </row>
    <row r="8422" spans="1:6">
      <c r="A8422" t="str">
        <f t="shared" si="131"/>
        <v/>
      </c>
      <c r="E8422" s="626"/>
      <c r="F8422" s="626"/>
    </row>
    <row r="8423" spans="1:6">
      <c r="A8423" t="str">
        <f t="shared" si="131"/>
        <v/>
      </c>
      <c r="E8423" s="626"/>
      <c r="F8423" s="626"/>
    </row>
    <row r="8424" spans="1:6">
      <c r="A8424" t="str">
        <f t="shared" si="131"/>
        <v/>
      </c>
      <c r="E8424" s="626"/>
      <c r="F8424" s="626"/>
    </row>
    <row r="8425" spans="1:6">
      <c r="A8425" t="str">
        <f t="shared" si="131"/>
        <v/>
      </c>
      <c r="E8425" s="626"/>
      <c r="F8425" s="626"/>
    </row>
    <row r="8426" spans="1:6">
      <c r="A8426" t="str">
        <f t="shared" si="131"/>
        <v/>
      </c>
      <c r="E8426" s="626"/>
      <c r="F8426" s="626"/>
    </row>
    <row r="8427" spans="1:6">
      <c r="A8427" t="str">
        <f t="shared" si="131"/>
        <v/>
      </c>
      <c r="E8427" s="626"/>
      <c r="F8427" s="626"/>
    </row>
    <row r="8428" spans="1:6">
      <c r="A8428" t="str">
        <f t="shared" si="131"/>
        <v/>
      </c>
      <c r="E8428" s="626"/>
      <c r="F8428" s="626"/>
    </row>
    <row r="8429" spans="1:6">
      <c r="A8429" t="str">
        <f t="shared" si="131"/>
        <v/>
      </c>
      <c r="E8429" s="626"/>
      <c r="F8429" s="626"/>
    </row>
    <row r="8430" spans="1:6">
      <c r="A8430" t="str">
        <f t="shared" si="131"/>
        <v/>
      </c>
      <c r="E8430" s="626"/>
      <c r="F8430" s="626"/>
    </row>
    <row r="8431" spans="1:6">
      <c r="A8431" t="str">
        <f t="shared" si="131"/>
        <v/>
      </c>
      <c r="E8431" s="626"/>
      <c r="F8431" s="626"/>
    </row>
    <row r="8432" spans="1:6">
      <c r="A8432" t="str">
        <f t="shared" si="131"/>
        <v/>
      </c>
      <c r="E8432" s="626"/>
      <c r="F8432" s="626"/>
    </row>
    <row r="8433" spans="1:6">
      <c r="A8433" t="str">
        <f t="shared" si="131"/>
        <v/>
      </c>
      <c r="E8433" s="626"/>
      <c r="F8433" s="626"/>
    </row>
    <row r="8434" spans="1:6">
      <c r="A8434" t="str">
        <f t="shared" si="131"/>
        <v/>
      </c>
      <c r="E8434" s="626"/>
      <c r="F8434" s="626"/>
    </row>
    <row r="8435" spans="1:6">
      <c r="A8435" t="str">
        <f t="shared" si="131"/>
        <v/>
      </c>
      <c r="E8435" s="626"/>
      <c r="F8435" s="626"/>
    </row>
    <row r="8436" spans="1:6">
      <c r="A8436" t="str">
        <f t="shared" si="131"/>
        <v/>
      </c>
      <c r="E8436" s="626"/>
      <c r="F8436" s="626"/>
    </row>
    <row r="8437" spans="1:6">
      <c r="A8437" t="str">
        <f t="shared" si="131"/>
        <v/>
      </c>
      <c r="E8437" s="626"/>
      <c r="F8437" s="626"/>
    </row>
    <row r="8438" spans="1:6">
      <c r="A8438" t="str">
        <f t="shared" si="131"/>
        <v/>
      </c>
      <c r="E8438" s="626"/>
      <c r="F8438" s="626"/>
    </row>
    <row r="8439" spans="1:6">
      <c r="A8439" t="str">
        <f t="shared" si="131"/>
        <v/>
      </c>
      <c r="E8439" s="626"/>
      <c r="F8439" s="626"/>
    </row>
    <row r="8440" spans="1:6">
      <c r="A8440" t="str">
        <f t="shared" si="131"/>
        <v/>
      </c>
      <c r="E8440" s="626"/>
      <c r="F8440" s="626"/>
    </row>
    <row r="8441" spans="1:6">
      <c r="A8441" t="str">
        <f t="shared" si="131"/>
        <v/>
      </c>
      <c r="E8441" s="626"/>
      <c r="F8441" s="626"/>
    </row>
    <row r="8442" spans="1:6">
      <c r="A8442" t="str">
        <f t="shared" si="131"/>
        <v/>
      </c>
      <c r="E8442" s="626"/>
      <c r="F8442" s="626"/>
    </row>
    <row r="8443" spans="1:6">
      <c r="A8443" t="str">
        <f t="shared" si="131"/>
        <v/>
      </c>
      <c r="E8443" s="626"/>
      <c r="F8443" s="626"/>
    </row>
    <row r="8444" spans="1:6">
      <c r="A8444" t="str">
        <f t="shared" si="131"/>
        <v/>
      </c>
      <c r="E8444" s="626"/>
      <c r="F8444" s="626"/>
    </row>
    <row r="8445" spans="1:6">
      <c r="A8445" t="str">
        <f t="shared" si="131"/>
        <v/>
      </c>
      <c r="E8445" s="626"/>
      <c r="F8445" s="626"/>
    </row>
    <row r="8446" spans="1:6">
      <c r="A8446" t="str">
        <f t="shared" si="131"/>
        <v/>
      </c>
      <c r="E8446" s="626"/>
      <c r="F8446" s="626"/>
    </row>
    <row r="8447" spans="1:6">
      <c r="A8447" t="str">
        <f t="shared" si="131"/>
        <v/>
      </c>
      <c r="E8447" s="626"/>
      <c r="F8447" s="626"/>
    </row>
    <row r="8448" spans="1:6">
      <c r="A8448" t="str">
        <f t="shared" si="131"/>
        <v/>
      </c>
      <c r="E8448" s="626"/>
      <c r="F8448" s="626"/>
    </row>
    <row r="8449" spans="1:6">
      <c r="A8449" t="str">
        <f t="shared" si="131"/>
        <v/>
      </c>
      <c r="E8449" s="626"/>
      <c r="F8449" s="626"/>
    </row>
    <row r="8450" spans="1:6">
      <c r="A8450" t="str">
        <f t="shared" ref="A8450:A8513" si="132">B8450&amp;E8450&amp;J8450</f>
        <v/>
      </c>
      <c r="E8450" s="626"/>
      <c r="F8450" s="626"/>
    </row>
    <row r="8451" spans="1:6">
      <c r="A8451" t="str">
        <f t="shared" si="132"/>
        <v/>
      </c>
      <c r="E8451" s="626"/>
      <c r="F8451" s="626"/>
    </row>
    <row r="8452" spans="1:6">
      <c r="A8452" t="str">
        <f t="shared" si="132"/>
        <v/>
      </c>
      <c r="E8452" s="626"/>
      <c r="F8452" s="626"/>
    </row>
    <row r="8453" spans="1:6">
      <c r="A8453" t="str">
        <f t="shared" si="132"/>
        <v/>
      </c>
      <c r="E8453" s="626"/>
      <c r="F8453" s="626"/>
    </row>
    <row r="8454" spans="1:6">
      <c r="A8454" t="str">
        <f t="shared" si="132"/>
        <v/>
      </c>
      <c r="E8454" s="626"/>
      <c r="F8454" s="626"/>
    </row>
    <row r="8455" spans="1:6">
      <c r="A8455" t="str">
        <f t="shared" si="132"/>
        <v/>
      </c>
      <c r="E8455" s="626"/>
      <c r="F8455" s="626"/>
    </row>
    <row r="8456" spans="1:6">
      <c r="A8456" t="str">
        <f t="shared" si="132"/>
        <v/>
      </c>
      <c r="E8456" s="626"/>
      <c r="F8456" s="626"/>
    </row>
    <row r="8457" spans="1:6">
      <c r="A8457" t="str">
        <f t="shared" si="132"/>
        <v/>
      </c>
      <c r="E8457" s="626"/>
      <c r="F8457" s="626"/>
    </row>
    <row r="8458" spans="1:6">
      <c r="A8458" t="str">
        <f t="shared" si="132"/>
        <v/>
      </c>
      <c r="E8458" s="626"/>
      <c r="F8458" s="626"/>
    </row>
    <row r="8459" spans="1:6">
      <c r="A8459" t="str">
        <f t="shared" si="132"/>
        <v/>
      </c>
      <c r="E8459" s="626"/>
      <c r="F8459" s="626"/>
    </row>
    <row r="8460" spans="1:6">
      <c r="A8460" t="str">
        <f t="shared" si="132"/>
        <v/>
      </c>
      <c r="E8460" s="626"/>
      <c r="F8460" s="626"/>
    </row>
    <row r="8461" spans="1:6">
      <c r="A8461" t="str">
        <f t="shared" si="132"/>
        <v/>
      </c>
      <c r="E8461" s="626"/>
      <c r="F8461" s="626"/>
    </row>
    <row r="8462" spans="1:6">
      <c r="A8462" t="str">
        <f t="shared" si="132"/>
        <v/>
      </c>
      <c r="E8462" s="626"/>
      <c r="F8462" s="626"/>
    </row>
    <row r="8463" spans="1:6">
      <c r="A8463" t="str">
        <f t="shared" si="132"/>
        <v/>
      </c>
      <c r="E8463" s="626"/>
      <c r="F8463" s="626"/>
    </row>
    <row r="8464" spans="1:6">
      <c r="A8464" t="str">
        <f t="shared" si="132"/>
        <v/>
      </c>
      <c r="E8464" s="626"/>
      <c r="F8464" s="626"/>
    </row>
    <row r="8465" spans="1:6">
      <c r="A8465" t="str">
        <f t="shared" si="132"/>
        <v/>
      </c>
      <c r="E8465" s="626"/>
      <c r="F8465" s="626"/>
    </row>
    <row r="8466" spans="1:6">
      <c r="A8466" t="str">
        <f t="shared" si="132"/>
        <v/>
      </c>
      <c r="E8466" s="626"/>
      <c r="F8466" s="626"/>
    </row>
    <row r="8467" spans="1:6">
      <c r="A8467" t="str">
        <f t="shared" si="132"/>
        <v/>
      </c>
      <c r="E8467" s="626"/>
      <c r="F8467" s="626"/>
    </row>
    <row r="8468" spans="1:6">
      <c r="A8468" t="str">
        <f t="shared" si="132"/>
        <v/>
      </c>
      <c r="E8468" s="626"/>
      <c r="F8468" s="626"/>
    </row>
    <row r="8469" spans="1:6">
      <c r="A8469" t="str">
        <f t="shared" si="132"/>
        <v/>
      </c>
      <c r="E8469" s="626"/>
      <c r="F8469" s="626"/>
    </row>
    <row r="8470" spans="1:6">
      <c r="A8470" t="str">
        <f t="shared" si="132"/>
        <v/>
      </c>
      <c r="E8470" s="626"/>
      <c r="F8470" s="626"/>
    </row>
    <row r="8471" spans="1:6">
      <c r="A8471" t="str">
        <f t="shared" si="132"/>
        <v/>
      </c>
      <c r="E8471" s="626"/>
      <c r="F8471" s="626"/>
    </row>
    <row r="8472" spans="1:6">
      <c r="A8472" t="str">
        <f t="shared" si="132"/>
        <v/>
      </c>
      <c r="E8472" s="626"/>
      <c r="F8472" s="626"/>
    </row>
    <row r="8473" spans="1:6">
      <c r="A8473" t="str">
        <f t="shared" si="132"/>
        <v/>
      </c>
      <c r="E8473" s="626"/>
      <c r="F8473" s="626"/>
    </row>
    <row r="8474" spans="1:6">
      <c r="A8474" t="str">
        <f t="shared" si="132"/>
        <v/>
      </c>
      <c r="E8474" s="626"/>
      <c r="F8474" s="626"/>
    </row>
    <row r="8475" spans="1:6">
      <c r="A8475" t="str">
        <f t="shared" si="132"/>
        <v/>
      </c>
      <c r="E8475" s="626"/>
      <c r="F8475" s="626"/>
    </row>
    <row r="8476" spans="1:6">
      <c r="A8476" t="str">
        <f t="shared" si="132"/>
        <v/>
      </c>
      <c r="E8476" s="626"/>
      <c r="F8476" s="626"/>
    </row>
    <row r="8477" spans="1:6">
      <c r="A8477" t="str">
        <f t="shared" si="132"/>
        <v/>
      </c>
      <c r="E8477" s="626"/>
      <c r="F8477" s="626"/>
    </row>
    <row r="8478" spans="1:6">
      <c r="A8478" t="str">
        <f t="shared" si="132"/>
        <v/>
      </c>
      <c r="E8478" s="626"/>
      <c r="F8478" s="626"/>
    </row>
    <row r="8479" spans="1:6">
      <c r="A8479" t="str">
        <f t="shared" si="132"/>
        <v/>
      </c>
      <c r="E8479" s="626"/>
      <c r="F8479" s="626"/>
    </row>
    <row r="8480" spans="1:6">
      <c r="A8480" t="str">
        <f t="shared" si="132"/>
        <v/>
      </c>
      <c r="E8480" s="626"/>
      <c r="F8480" s="626"/>
    </row>
    <row r="8481" spans="1:6">
      <c r="A8481" t="str">
        <f t="shared" si="132"/>
        <v/>
      </c>
      <c r="E8481" s="626"/>
      <c r="F8481" s="626"/>
    </row>
    <row r="8482" spans="1:6">
      <c r="A8482" t="str">
        <f t="shared" si="132"/>
        <v/>
      </c>
      <c r="E8482" s="626"/>
      <c r="F8482" s="626"/>
    </row>
    <row r="8483" spans="1:6">
      <c r="A8483" t="str">
        <f t="shared" si="132"/>
        <v/>
      </c>
      <c r="E8483" s="626"/>
      <c r="F8483" s="626"/>
    </row>
    <row r="8484" spans="1:6">
      <c r="A8484" t="str">
        <f t="shared" si="132"/>
        <v/>
      </c>
      <c r="E8484" s="626"/>
      <c r="F8484" s="626"/>
    </row>
    <row r="8485" spans="1:6">
      <c r="A8485" t="str">
        <f t="shared" si="132"/>
        <v/>
      </c>
      <c r="E8485" s="626"/>
      <c r="F8485" s="626"/>
    </row>
    <row r="8486" spans="1:6">
      <c r="A8486" t="str">
        <f t="shared" si="132"/>
        <v/>
      </c>
      <c r="E8486" s="626"/>
      <c r="F8486" s="626"/>
    </row>
    <row r="8487" spans="1:6">
      <c r="A8487" t="str">
        <f t="shared" si="132"/>
        <v/>
      </c>
      <c r="E8487" s="626"/>
      <c r="F8487" s="626"/>
    </row>
    <row r="8488" spans="1:6">
      <c r="A8488" t="str">
        <f t="shared" si="132"/>
        <v/>
      </c>
      <c r="E8488" s="626"/>
      <c r="F8488" s="626"/>
    </row>
    <row r="8489" spans="1:6">
      <c r="A8489" t="str">
        <f t="shared" si="132"/>
        <v/>
      </c>
      <c r="E8489" s="626"/>
      <c r="F8489" s="626"/>
    </row>
    <row r="8490" spans="1:6">
      <c r="A8490" t="str">
        <f t="shared" si="132"/>
        <v/>
      </c>
      <c r="E8490" s="626"/>
      <c r="F8490" s="626"/>
    </row>
    <row r="8491" spans="1:6">
      <c r="A8491" t="str">
        <f t="shared" si="132"/>
        <v/>
      </c>
      <c r="E8491" s="626"/>
      <c r="F8491" s="626"/>
    </row>
    <row r="8492" spans="1:6">
      <c r="A8492" t="str">
        <f t="shared" si="132"/>
        <v/>
      </c>
      <c r="E8492" s="626"/>
      <c r="F8492" s="626"/>
    </row>
    <row r="8493" spans="1:6">
      <c r="A8493" t="str">
        <f t="shared" si="132"/>
        <v/>
      </c>
      <c r="E8493" s="626"/>
      <c r="F8493" s="626"/>
    </row>
    <row r="8494" spans="1:6">
      <c r="A8494" t="str">
        <f t="shared" si="132"/>
        <v/>
      </c>
      <c r="E8494" s="626"/>
      <c r="F8494" s="626"/>
    </row>
    <row r="8495" spans="1:6">
      <c r="A8495" t="str">
        <f t="shared" si="132"/>
        <v/>
      </c>
      <c r="E8495" s="626"/>
      <c r="F8495" s="626"/>
    </row>
    <row r="8496" spans="1:6">
      <c r="A8496" t="str">
        <f t="shared" si="132"/>
        <v/>
      </c>
      <c r="E8496" s="626"/>
      <c r="F8496" s="626"/>
    </row>
    <row r="8497" spans="1:6">
      <c r="A8497" t="str">
        <f t="shared" si="132"/>
        <v/>
      </c>
      <c r="E8497" s="626"/>
      <c r="F8497" s="626"/>
    </row>
    <row r="8498" spans="1:6">
      <c r="A8498" t="str">
        <f t="shared" si="132"/>
        <v/>
      </c>
      <c r="E8498" s="626"/>
      <c r="F8498" s="626"/>
    </row>
    <row r="8499" spans="1:6">
      <c r="A8499" t="str">
        <f t="shared" si="132"/>
        <v/>
      </c>
      <c r="E8499" s="626"/>
      <c r="F8499" s="626"/>
    </row>
    <row r="8500" spans="1:6">
      <c r="A8500" t="str">
        <f t="shared" si="132"/>
        <v/>
      </c>
      <c r="E8500" s="626"/>
      <c r="F8500" s="626"/>
    </row>
    <row r="8501" spans="1:6">
      <c r="A8501" t="str">
        <f t="shared" si="132"/>
        <v/>
      </c>
      <c r="E8501" s="626"/>
      <c r="F8501" s="626"/>
    </row>
    <row r="8502" spans="1:6">
      <c r="A8502" t="str">
        <f t="shared" si="132"/>
        <v/>
      </c>
      <c r="E8502" s="626"/>
      <c r="F8502" s="626"/>
    </row>
    <row r="8503" spans="1:6">
      <c r="A8503" t="str">
        <f t="shared" si="132"/>
        <v/>
      </c>
      <c r="E8503" s="626"/>
      <c r="F8503" s="626"/>
    </row>
    <row r="8504" spans="1:6">
      <c r="A8504" t="str">
        <f t="shared" si="132"/>
        <v/>
      </c>
      <c r="E8504" s="626"/>
      <c r="F8504" s="626"/>
    </row>
    <row r="8505" spans="1:6">
      <c r="A8505" t="str">
        <f t="shared" si="132"/>
        <v/>
      </c>
      <c r="E8505" s="626"/>
      <c r="F8505" s="626"/>
    </row>
    <row r="8506" spans="1:6">
      <c r="A8506" t="str">
        <f t="shared" si="132"/>
        <v/>
      </c>
      <c r="E8506" s="626"/>
      <c r="F8506" s="626"/>
    </row>
    <row r="8507" spans="1:6">
      <c r="A8507" t="str">
        <f t="shared" si="132"/>
        <v/>
      </c>
      <c r="E8507" s="626"/>
      <c r="F8507" s="626"/>
    </row>
    <row r="8508" spans="1:6">
      <c r="A8508" t="str">
        <f t="shared" si="132"/>
        <v/>
      </c>
      <c r="E8508" s="626"/>
      <c r="F8508" s="626"/>
    </row>
    <row r="8509" spans="1:6">
      <c r="A8509" t="str">
        <f t="shared" si="132"/>
        <v/>
      </c>
      <c r="E8509" s="626"/>
      <c r="F8509" s="626"/>
    </row>
    <row r="8510" spans="1:6">
      <c r="A8510" t="str">
        <f t="shared" si="132"/>
        <v/>
      </c>
      <c r="E8510" s="626"/>
      <c r="F8510" s="626"/>
    </row>
    <row r="8511" spans="1:6">
      <c r="A8511" t="str">
        <f t="shared" si="132"/>
        <v/>
      </c>
      <c r="E8511" s="626"/>
      <c r="F8511" s="626"/>
    </row>
    <row r="8512" spans="1:6">
      <c r="A8512" t="str">
        <f t="shared" si="132"/>
        <v/>
      </c>
      <c r="E8512" s="626"/>
      <c r="F8512" s="626"/>
    </row>
    <row r="8513" spans="1:6">
      <c r="A8513" t="str">
        <f t="shared" si="132"/>
        <v/>
      </c>
      <c r="E8513" s="626"/>
      <c r="F8513" s="626"/>
    </row>
    <row r="8514" spans="1:6">
      <c r="A8514" t="str">
        <f t="shared" ref="A8514:A8577" si="133">B8514&amp;E8514&amp;J8514</f>
        <v/>
      </c>
      <c r="E8514" s="626"/>
      <c r="F8514" s="626"/>
    </row>
    <row r="8515" spans="1:6">
      <c r="A8515" t="str">
        <f t="shared" si="133"/>
        <v/>
      </c>
      <c r="E8515" s="626"/>
      <c r="F8515" s="626"/>
    </row>
    <row r="8516" spans="1:6">
      <c r="A8516" t="str">
        <f t="shared" si="133"/>
        <v/>
      </c>
      <c r="E8516" s="626"/>
      <c r="F8516" s="626"/>
    </row>
    <row r="8517" spans="1:6">
      <c r="A8517" t="str">
        <f t="shared" si="133"/>
        <v/>
      </c>
      <c r="E8517" s="626"/>
      <c r="F8517" s="626"/>
    </row>
    <row r="8518" spans="1:6">
      <c r="A8518" t="str">
        <f t="shared" si="133"/>
        <v/>
      </c>
      <c r="E8518" s="626"/>
      <c r="F8518" s="626"/>
    </row>
    <row r="8519" spans="1:6">
      <c r="A8519" t="str">
        <f t="shared" si="133"/>
        <v/>
      </c>
      <c r="E8519" s="626"/>
      <c r="F8519" s="626"/>
    </row>
    <row r="8520" spans="1:6">
      <c r="A8520" t="str">
        <f t="shared" si="133"/>
        <v/>
      </c>
      <c r="E8520" s="626"/>
      <c r="F8520" s="626"/>
    </row>
    <row r="8521" spans="1:6">
      <c r="A8521" t="str">
        <f t="shared" si="133"/>
        <v/>
      </c>
      <c r="E8521" s="626"/>
      <c r="F8521" s="626"/>
    </row>
    <row r="8522" spans="1:6">
      <c r="A8522" t="str">
        <f t="shared" si="133"/>
        <v/>
      </c>
      <c r="E8522" s="626"/>
      <c r="F8522" s="626"/>
    </row>
    <row r="8523" spans="1:6">
      <c r="A8523" t="str">
        <f t="shared" si="133"/>
        <v/>
      </c>
      <c r="E8523" s="626"/>
      <c r="F8523" s="626"/>
    </row>
    <row r="8524" spans="1:6">
      <c r="A8524" t="str">
        <f t="shared" si="133"/>
        <v/>
      </c>
      <c r="E8524" s="626"/>
      <c r="F8524" s="626"/>
    </row>
    <row r="8525" spans="1:6">
      <c r="A8525" t="str">
        <f t="shared" si="133"/>
        <v/>
      </c>
      <c r="E8525" s="626"/>
      <c r="F8525" s="626"/>
    </row>
    <row r="8526" spans="1:6">
      <c r="A8526" t="str">
        <f t="shared" si="133"/>
        <v/>
      </c>
      <c r="E8526" s="626"/>
      <c r="F8526" s="626"/>
    </row>
    <row r="8527" spans="1:6">
      <c r="A8527" t="str">
        <f t="shared" si="133"/>
        <v/>
      </c>
      <c r="E8527" s="626"/>
      <c r="F8527" s="626"/>
    </row>
    <row r="8528" spans="1:6">
      <c r="A8528" t="str">
        <f t="shared" si="133"/>
        <v/>
      </c>
      <c r="E8528" s="626"/>
      <c r="F8528" s="626"/>
    </row>
    <row r="8529" spans="1:6">
      <c r="A8529" t="str">
        <f t="shared" si="133"/>
        <v/>
      </c>
      <c r="E8529" s="626"/>
      <c r="F8529" s="626"/>
    </row>
    <row r="8530" spans="1:6">
      <c r="A8530" t="str">
        <f t="shared" si="133"/>
        <v/>
      </c>
      <c r="E8530" s="626"/>
      <c r="F8530" s="626"/>
    </row>
    <row r="8531" spans="1:6">
      <c r="A8531" t="str">
        <f t="shared" si="133"/>
        <v/>
      </c>
      <c r="E8531" s="626"/>
      <c r="F8531" s="626"/>
    </row>
    <row r="8532" spans="1:6">
      <c r="A8532" t="str">
        <f t="shared" si="133"/>
        <v/>
      </c>
      <c r="E8532" s="626"/>
      <c r="F8532" s="626"/>
    </row>
    <row r="8533" spans="1:6">
      <c r="A8533" t="str">
        <f t="shared" si="133"/>
        <v/>
      </c>
      <c r="E8533" s="626"/>
      <c r="F8533" s="626"/>
    </row>
    <row r="8534" spans="1:6">
      <c r="A8534" t="str">
        <f t="shared" si="133"/>
        <v/>
      </c>
      <c r="E8534" s="626"/>
      <c r="F8534" s="626"/>
    </row>
    <row r="8535" spans="1:6">
      <c r="A8535" t="str">
        <f t="shared" si="133"/>
        <v/>
      </c>
      <c r="E8535" s="626"/>
      <c r="F8535" s="626"/>
    </row>
    <row r="8536" spans="1:6">
      <c r="A8536" t="str">
        <f t="shared" si="133"/>
        <v/>
      </c>
      <c r="E8536" s="626"/>
      <c r="F8536" s="626"/>
    </row>
    <row r="8537" spans="1:6">
      <c r="A8537" t="str">
        <f t="shared" si="133"/>
        <v/>
      </c>
      <c r="E8537" s="626"/>
      <c r="F8537" s="626"/>
    </row>
    <row r="8538" spans="1:6">
      <c r="A8538" t="str">
        <f t="shared" si="133"/>
        <v/>
      </c>
      <c r="E8538" s="626"/>
      <c r="F8538" s="626"/>
    </row>
    <row r="8539" spans="1:6">
      <c r="A8539" t="str">
        <f t="shared" si="133"/>
        <v/>
      </c>
      <c r="E8539" s="626"/>
      <c r="F8539" s="626"/>
    </row>
    <row r="8540" spans="1:6">
      <c r="A8540" t="str">
        <f t="shared" si="133"/>
        <v/>
      </c>
      <c r="E8540" s="626"/>
      <c r="F8540" s="626"/>
    </row>
    <row r="8541" spans="1:6">
      <c r="A8541" t="str">
        <f t="shared" si="133"/>
        <v/>
      </c>
      <c r="E8541" s="626"/>
      <c r="F8541" s="626"/>
    </row>
    <row r="8542" spans="1:6">
      <c r="A8542" t="str">
        <f t="shared" si="133"/>
        <v/>
      </c>
      <c r="E8542" s="626"/>
      <c r="F8542" s="626"/>
    </row>
    <row r="8543" spans="1:6">
      <c r="A8543" t="str">
        <f t="shared" si="133"/>
        <v/>
      </c>
      <c r="E8543" s="626"/>
      <c r="F8543" s="626"/>
    </row>
    <row r="8544" spans="1:6">
      <c r="A8544" t="str">
        <f t="shared" si="133"/>
        <v/>
      </c>
      <c r="E8544" s="626"/>
      <c r="F8544" s="626"/>
    </row>
    <row r="8545" spans="1:6">
      <c r="A8545" t="str">
        <f t="shared" si="133"/>
        <v/>
      </c>
      <c r="E8545" s="626"/>
      <c r="F8545" s="626"/>
    </row>
    <row r="8546" spans="1:6">
      <c r="A8546" t="str">
        <f t="shared" si="133"/>
        <v/>
      </c>
      <c r="E8546" s="626"/>
      <c r="F8546" s="626"/>
    </row>
    <row r="8547" spans="1:6">
      <c r="A8547" t="str">
        <f t="shared" si="133"/>
        <v/>
      </c>
      <c r="E8547" s="626"/>
      <c r="F8547" s="626"/>
    </row>
    <row r="8548" spans="1:6">
      <c r="A8548" t="str">
        <f t="shared" si="133"/>
        <v/>
      </c>
      <c r="E8548" s="626"/>
      <c r="F8548" s="626"/>
    </row>
    <row r="8549" spans="1:6">
      <c r="A8549" t="str">
        <f t="shared" si="133"/>
        <v/>
      </c>
      <c r="E8549" s="626"/>
      <c r="F8549" s="626"/>
    </row>
    <row r="8550" spans="1:6">
      <c r="A8550" t="str">
        <f t="shared" si="133"/>
        <v/>
      </c>
      <c r="E8550" s="626"/>
      <c r="F8550" s="626"/>
    </row>
    <row r="8551" spans="1:6">
      <c r="A8551" t="str">
        <f t="shared" si="133"/>
        <v/>
      </c>
      <c r="E8551" s="626"/>
      <c r="F8551" s="626"/>
    </row>
    <row r="8552" spans="1:6">
      <c r="A8552" t="str">
        <f t="shared" si="133"/>
        <v/>
      </c>
      <c r="E8552" s="626"/>
      <c r="F8552" s="626"/>
    </row>
    <row r="8553" spans="1:6">
      <c r="A8553" t="str">
        <f t="shared" si="133"/>
        <v/>
      </c>
      <c r="E8553" s="626"/>
      <c r="F8553" s="626"/>
    </row>
    <row r="8554" spans="1:6">
      <c r="A8554" t="str">
        <f t="shared" si="133"/>
        <v/>
      </c>
      <c r="E8554" s="626"/>
      <c r="F8554" s="626"/>
    </row>
    <row r="8555" spans="1:6">
      <c r="A8555" t="str">
        <f t="shared" si="133"/>
        <v/>
      </c>
      <c r="E8555" s="626"/>
      <c r="F8555" s="626"/>
    </row>
    <row r="8556" spans="1:6">
      <c r="A8556" t="str">
        <f t="shared" si="133"/>
        <v/>
      </c>
      <c r="E8556" s="626"/>
      <c r="F8556" s="626"/>
    </row>
    <row r="8557" spans="1:6">
      <c r="A8557" t="str">
        <f t="shared" si="133"/>
        <v/>
      </c>
      <c r="E8557" s="626"/>
      <c r="F8557" s="626"/>
    </row>
    <row r="8558" spans="1:6">
      <c r="A8558" t="str">
        <f t="shared" si="133"/>
        <v/>
      </c>
      <c r="E8558" s="626"/>
      <c r="F8558" s="626"/>
    </row>
    <row r="8559" spans="1:6">
      <c r="A8559" t="str">
        <f t="shared" si="133"/>
        <v/>
      </c>
      <c r="E8559" s="626"/>
      <c r="F8559" s="626"/>
    </row>
    <row r="8560" spans="1:6">
      <c r="A8560" t="str">
        <f t="shared" si="133"/>
        <v/>
      </c>
      <c r="E8560" s="626"/>
      <c r="F8560" s="626"/>
    </row>
    <row r="8561" spans="1:6">
      <c r="A8561" t="str">
        <f t="shared" si="133"/>
        <v/>
      </c>
      <c r="E8561" s="626"/>
      <c r="F8561" s="626"/>
    </row>
    <row r="8562" spans="1:6">
      <c r="A8562" t="str">
        <f t="shared" si="133"/>
        <v/>
      </c>
      <c r="E8562" s="626"/>
      <c r="F8562" s="626"/>
    </row>
    <row r="8563" spans="1:6">
      <c r="A8563" t="str">
        <f t="shared" si="133"/>
        <v/>
      </c>
      <c r="E8563" s="626"/>
      <c r="F8563" s="626"/>
    </row>
    <row r="8564" spans="1:6">
      <c r="A8564" t="str">
        <f t="shared" si="133"/>
        <v/>
      </c>
      <c r="E8564" s="626"/>
      <c r="F8564" s="626"/>
    </row>
    <row r="8565" spans="1:6">
      <c r="A8565" t="str">
        <f t="shared" si="133"/>
        <v/>
      </c>
      <c r="E8565" s="626"/>
      <c r="F8565" s="626"/>
    </row>
    <row r="8566" spans="1:6">
      <c r="A8566" t="str">
        <f t="shared" si="133"/>
        <v/>
      </c>
      <c r="E8566" s="626"/>
      <c r="F8566" s="626"/>
    </row>
    <row r="8567" spans="1:6">
      <c r="A8567" t="str">
        <f t="shared" si="133"/>
        <v/>
      </c>
      <c r="E8567" s="626"/>
      <c r="F8567" s="626"/>
    </row>
    <row r="8568" spans="1:6">
      <c r="A8568" t="str">
        <f t="shared" si="133"/>
        <v/>
      </c>
      <c r="E8568" s="626"/>
      <c r="F8568" s="626"/>
    </row>
    <row r="8569" spans="1:6">
      <c r="A8569" t="str">
        <f t="shared" si="133"/>
        <v/>
      </c>
      <c r="E8569" s="626"/>
      <c r="F8569" s="626"/>
    </row>
    <row r="8570" spans="1:6">
      <c r="A8570" t="str">
        <f t="shared" si="133"/>
        <v/>
      </c>
      <c r="E8570" s="626"/>
      <c r="F8570" s="626"/>
    </row>
    <row r="8571" spans="1:6">
      <c r="A8571" t="str">
        <f t="shared" si="133"/>
        <v/>
      </c>
      <c r="E8571" s="626"/>
      <c r="F8571" s="626"/>
    </row>
    <row r="8572" spans="1:6">
      <c r="A8572" t="str">
        <f t="shared" si="133"/>
        <v/>
      </c>
      <c r="E8572" s="626"/>
      <c r="F8572" s="626"/>
    </row>
    <row r="8573" spans="1:6">
      <c r="A8573" t="str">
        <f t="shared" si="133"/>
        <v/>
      </c>
      <c r="E8573" s="626"/>
      <c r="F8573" s="626"/>
    </row>
    <row r="8574" spans="1:6">
      <c r="A8574" t="str">
        <f t="shared" si="133"/>
        <v/>
      </c>
      <c r="E8574" s="626"/>
      <c r="F8574" s="626"/>
    </row>
    <row r="8575" spans="1:6">
      <c r="A8575" t="str">
        <f t="shared" si="133"/>
        <v/>
      </c>
      <c r="E8575" s="626"/>
      <c r="F8575" s="626"/>
    </row>
    <row r="8576" spans="1:6">
      <c r="A8576" t="str">
        <f t="shared" si="133"/>
        <v/>
      </c>
      <c r="E8576" s="626"/>
      <c r="F8576" s="626"/>
    </row>
    <row r="8577" spans="1:6">
      <c r="A8577" t="str">
        <f t="shared" si="133"/>
        <v/>
      </c>
      <c r="E8577" s="626"/>
      <c r="F8577" s="626"/>
    </row>
    <row r="8578" spans="1:6">
      <c r="A8578" t="str">
        <f t="shared" ref="A8578:A8641" si="134">B8578&amp;E8578&amp;J8578</f>
        <v/>
      </c>
      <c r="E8578" s="626"/>
      <c r="F8578" s="626"/>
    </row>
    <row r="8579" spans="1:6">
      <c r="A8579" t="str">
        <f t="shared" si="134"/>
        <v/>
      </c>
      <c r="E8579" s="626"/>
      <c r="F8579" s="626"/>
    </row>
    <row r="8580" spans="1:6">
      <c r="A8580" t="str">
        <f t="shared" si="134"/>
        <v/>
      </c>
      <c r="E8580" s="626"/>
      <c r="F8580" s="626"/>
    </row>
    <row r="8581" spans="1:6">
      <c r="A8581" t="str">
        <f t="shared" si="134"/>
        <v/>
      </c>
      <c r="E8581" s="626"/>
      <c r="F8581" s="626"/>
    </row>
    <row r="8582" spans="1:6">
      <c r="A8582" t="str">
        <f t="shared" si="134"/>
        <v/>
      </c>
      <c r="E8582" s="626"/>
      <c r="F8582" s="626"/>
    </row>
    <row r="8583" spans="1:6">
      <c r="A8583" t="str">
        <f t="shared" si="134"/>
        <v/>
      </c>
      <c r="E8583" s="626"/>
      <c r="F8583" s="626"/>
    </row>
    <row r="8584" spans="1:6">
      <c r="A8584" t="str">
        <f t="shared" si="134"/>
        <v/>
      </c>
      <c r="E8584" s="626"/>
      <c r="F8584" s="626"/>
    </row>
    <row r="8585" spans="1:6">
      <c r="A8585" t="str">
        <f t="shared" si="134"/>
        <v/>
      </c>
      <c r="E8585" s="626"/>
      <c r="F8585" s="626"/>
    </row>
    <row r="8586" spans="1:6">
      <c r="A8586" t="str">
        <f t="shared" si="134"/>
        <v/>
      </c>
      <c r="E8586" s="626"/>
      <c r="F8586" s="626"/>
    </row>
    <row r="8587" spans="1:6">
      <c r="A8587" t="str">
        <f t="shared" si="134"/>
        <v/>
      </c>
      <c r="E8587" s="626"/>
      <c r="F8587" s="626"/>
    </row>
    <row r="8588" spans="1:6">
      <c r="A8588" t="str">
        <f t="shared" si="134"/>
        <v/>
      </c>
      <c r="E8588" s="626"/>
      <c r="F8588" s="626"/>
    </row>
    <row r="8589" spans="1:6">
      <c r="A8589" t="str">
        <f t="shared" si="134"/>
        <v/>
      </c>
      <c r="E8589" s="626"/>
      <c r="F8589" s="626"/>
    </row>
    <row r="8590" spans="1:6">
      <c r="A8590" t="str">
        <f t="shared" si="134"/>
        <v/>
      </c>
      <c r="E8590" s="626"/>
      <c r="F8590" s="626"/>
    </row>
    <row r="8591" spans="1:6">
      <c r="A8591" t="str">
        <f t="shared" si="134"/>
        <v/>
      </c>
      <c r="E8591" s="626"/>
      <c r="F8591" s="626"/>
    </row>
    <row r="8592" spans="1:6">
      <c r="A8592" t="str">
        <f t="shared" si="134"/>
        <v/>
      </c>
      <c r="E8592" s="626"/>
      <c r="F8592" s="626"/>
    </row>
    <row r="8593" spans="1:6">
      <c r="A8593" t="str">
        <f t="shared" si="134"/>
        <v/>
      </c>
      <c r="E8593" s="626"/>
      <c r="F8593" s="626"/>
    </row>
    <row r="8594" spans="1:6">
      <c r="A8594" t="str">
        <f t="shared" si="134"/>
        <v/>
      </c>
      <c r="E8594" s="626"/>
      <c r="F8594" s="626"/>
    </row>
    <row r="8595" spans="1:6">
      <c r="A8595" t="str">
        <f t="shared" si="134"/>
        <v/>
      </c>
      <c r="E8595" s="626"/>
      <c r="F8595" s="626"/>
    </row>
    <row r="8596" spans="1:6">
      <c r="A8596" t="str">
        <f t="shared" si="134"/>
        <v/>
      </c>
      <c r="E8596" s="626"/>
      <c r="F8596" s="626"/>
    </row>
    <row r="8597" spans="1:6">
      <c r="A8597" t="str">
        <f t="shared" si="134"/>
        <v/>
      </c>
      <c r="E8597" s="626"/>
      <c r="F8597" s="626"/>
    </row>
    <row r="8598" spans="1:6">
      <c r="A8598" t="str">
        <f t="shared" si="134"/>
        <v/>
      </c>
      <c r="E8598" s="626"/>
      <c r="F8598" s="626"/>
    </row>
    <row r="8599" spans="1:6">
      <c r="A8599" t="str">
        <f t="shared" si="134"/>
        <v/>
      </c>
      <c r="E8599" s="626"/>
      <c r="F8599" s="626"/>
    </row>
    <row r="8600" spans="1:6">
      <c r="A8600" t="str">
        <f t="shared" si="134"/>
        <v/>
      </c>
      <c r="E8600" s="626"/>
      <c r="F8600" s="626"/>
    </row>
    <row r="8601" spans="1:6">
      <c r="A8601" t="str">
        <f t="shared" si="134"/>
        <v/>
      </c>
      <c r="E8601" s="626"/>
      <c r="F8601" s="626"/>
    </row>
    <row r="8602" spans="1:6">
      <c r="A8602" t="str">
        <f t="shared" si="134"/>
        <v/>
      </c>
      <c r="E8602" s="626"/>
      <c r="F8602" s="626"/>
    </row>
    <row r="8603" spans="1:6">
      <c r="A8603" t="str">
        <f t="shared" si="134"/>
        <v/>
      </c>
      <c r="E8603" s="626"/>
      <c r="F8603" s="626"/>
    </row>
    <row r="8604" spans="1:6">
      <c r="A8604" t="str">
        <f t="shared" si="134"/>
        <v/>
      </c>
      <c r="E8604" s="626"/>
      <c r="F8604" s="626"/>
    </row>
    <row r="8605" spans="1:6">
      <c r="A8605" t="str">
        <f t="shared" si="134"/>
        <v/>
      </c>
      <c r="E8605" s="626"/>
      <c r="F8605" s="626"/>
    </row>
    <row r="8606" spans="1:6">
      <c r="A8606" t="str">
        <f t="shared" si="134"/>
        <v/>
      </c>
      <c r="E8606" s="626"/>
      <c r="F8606" s="626"/>
    </row>
    <row r="8607" spans="1:6">
      <c r="A8607" t="str">
        <f t="shared" si="134"/>
        <v/>
      </c>
      <c r="E8607" s="626"/>
      <c r="F8607" s="626"/>
    </row>
    <row r="8608" spans="1:6">
      <c r="A8608" t="str">
        <f t="shared" si="134"/>
        <v/>
      </c>
      <c r="E8608" s="626"/>
      <c r="F8608" s="626"/>
    </row>
    <row r="8609" spans="1:6">
      <c r="A8609" t="str">
        <f t="shared" si="134"/>
        <v/>
      </c>
      <c r="E8609" s="626"/>
      <c r="F8609" s="626"/>
    </row>
    <row r="8610" spans="1:6">
      <c r="A8610" t="str">
        <f t="shared" si="134"/>
        <v/>
      </c>
      <c r="E8610" s="626"/>
      <c r="F8610" s="626"/>
    </row>
    <row r="8611" spans="1:6">
      <c r="A8611" t="str">
        <f t="shared" si="134"/>
        <v/>
      </c>
      <c r="E8611" s="626"/>
      <c r="F8611" s="626"/>
    </row>
    <row r="8612" spans="1:6">
      <c r="A8612" t="str">
        <f t="shared" si="134"/>
        <v/>
      </c>
      <c r="E8612" s="626"/>
      <c r="F8612" s="626"/>
    </row>
    <row r="8613" spans="1:6">
      <c r="A8613" t="str">
        <f t="shared" si="134"/>
        <v/>
      </c>
      <c r="E8613" s="626"/>
      <c r="F8613" s="626"/>
    </row>
    <row r="8614" spans="1:6">
      <c r="A8614" t="str">
        <f t="shared" si="134"/>
        <v/>
      </c>
      <c r="E8614" s="626"/>
      <c r="F8614" s="626"/>
    </row>
    <row r="8615" spans="1:6">
      <c r="A8615" t="str">
        <f t="shared" si="134"/>
        <v/>
      </c>
      <c r="E8615" s="626"/>
      <c r="F8615" s="626"/>
    </row>
    <row r="8616" spans="1:6">
      <c r="A8616" t="str">
        <f t="shared" si="134"/>
        <v/>
      </c>
      <c r="E8616" s="626"/>
      <c r="F8616" s="626"/>
    </row>
    <row r="8617" spans="1:6">
      <c r="A8617" t="str">
        <f t="shared" si="134"/>
        <v/>
      </c>
      <c r="E8617" s="626"/>
      <c r="F8617" s="626"/>
    </row>
    <row r="8618" spans="1:6">
      <c r="A8618" t="str">
        <f t="shared" si="134"/>
        <v/>
      </c>
      <c r="E8618" s="626"/>
      <c r="F8618" s="626"/>
    </row>
    <row r="8619" spans="1:6">
      <c r="A8619" t="str">
        <f t="shared" si="134"/>
        <v/>
      </c>
      <c r="E8619" s="626"/>
      <c r="F8619" s="626"/>
    </row>
    <row r="8620" spans="1:6">
      <c r="A8620" t="str">
        <f t="shared" si="134"/>
        <v/>
      </c>
      <c r="E8620" s="626"/>
      <c r="F8620" s="626"/>
    </row>
    <row r="8621" spans="1:6">
      <c r="A8621" t="str">
        <f t="shared" si="134"/>
        <v/>
      </c>
      <c r="E8621" s="626"/>
      <c r="F8621" s="626"/>
    </row>
    <row r="8622" spans="1:6">
      <c r="A8622" t="str">
        <f t="shared" si="134"/>
        <v/>
      </c>
      <c r="E8622" s="626"/>
      <c r="F8622" s="626"/>
    </row>
    <row r="8623" spans="1:6">
      <c r="A8623" t="str">
        <f t="shared" si="134"/>
        <v/>
      </c>
      <c r="E8623" s="626"/>
      <c r="F8623" s="626"/>
    </row>
    <row r="8624" spans="1:6">
      <c r="A8624" t="str">
        <f t="shared" si="134"/>
        <v/>
      </c>
      <c r="E8624" s="626"/>
      <c r="F8624" s="626"/>
    </row>
    <row r="8625" spans="1:6">
      <c r="A8625" t="str">
        <f t="shared" si="134"/>
        <v/>
      </c>
      <c r="E8625" s="626"/>
      <c r="F8625" s="626"/>
    </row>
    <row r="8626" spans="1:6">
      <c r="A8626" t="str">
        <f t="shared" si="134"/>
        <v/>
      </c>
      <c r="E8626" s="626"/>
      <c r="F8626" s="626"/>
    </row>
    <row r="8627" spans="1:6">
      <c r="A8627" t="str">
        <f t="shared" si="134"/>
        <v/>
      </c>
      <c r="E8627" s="626"/>
      <c r="F8627" s="626"/>
    </row>
    <row r="8628" spans="1:6">
      <c r="A8628" t="str">
        <f t="shared" si="134"/>
        <v/>
      </c>
      <c r="E8628" s="626"/>
      <c r="F8628" s="626"/>
    </row>
    <row r="8629" spans="1:6">
      <c r="A8629" t="str">
        <f t="shared" si="134"/>
        <v/>
      </c>
      <c r="E8629" s="626"/>
      <c r="F8629" s="626"/>
    </row>
    <row r="8630" spans="1:6">
      <c r="A8630" t="str">
        <f t="shared" si="134"/>
        <v/>
      </c>
      <c r="E8630" s="626"/>
      <c r="F8630" s="626"/>
    </row>
    <row r="8631" spans="1:6">
      <c r="A8631" t="str">
        <f t="shared" si="134"/>
        <v/>
      </c>
      <c r="E8631" s="626"/>
      <c r="F8631" s="626"/>
    </row>
    <row r="8632" spans="1:6">
      <c r="A8632" t="str">
        <f t="shared" si="134"/>
        <v/>
      </c>
      <c r="E8632" s="626"/>
      <c r="F8632" s="626"/>
    </row>
    <row r="8633" spans="1:6">
      <c r="A8633" t="str">
        <f t="shared" si="134"/>
        <v/>
      </c>
      <c r="E8633" s="626"/>
      <c r="F8633" s="626"/>
    </row>
    <row r="8634" spans="1:6">
      <c r="A8634" t="str">
        <f t="shared" si="134"/>
        <v/>
      </c>
      <c r="E8634" s="626"/>
      <c r="F8634" s="626"/>
    </row>
    <row r="8635" spans="1:6">
      <c r="A8635" t="str">
        <f t="shared" si="134"/>
        <v/>
      </c>
      <c r="E8635" s="626"/>
      <c r="F8635" s="626"/>
    </row>
    <row r="8636" spans="1:6">
      <c r="A8636" t="str">
        <f t="shared" si="134"/>
        <v/>
      </c>
      <c r="E8636" s="626"/>
      <c r="F8636" s="626"/>
    </row>
    <row r="8637" spans="1:6">
      <c r="A8637" t="str">
        <f t="shared" si="134"/>
        <v/>
      </c>
      <c r="E8637" s="626"/>
      <c r="F8637" s="626"/>
    </row>
    <row r="8638" spans="1:6">
      <c r="A8638" t="str">
        <f t="shared" si="134"/>
        <v/>
      </c>
      <c r="E8638" s="626"/>
      <c r="F8638" s="626"/>
    </row>
    <row r="8639" spans="1:6">
      <c r="A8639" t="str">
        <f t="shared" si="134"/>
        <v/>
      </c>
      <c r="E8639" s="626"/>
      <c r="F8639" s="626"/>
    </row>
    <row r="8640" spans="1:6">
      <c r="A8640" t="str">
        <f t="shared" si="134"/>
        <v/>
      </c>
      <c r="E8640" s="626"/>
      <c r="F8640" s="626"/>
    </row>
    <row r="8641" spans="1:6">
      <c r="A8641" t="str">
        <f t="shared" si="134"/>
        <v/>
      </c>
      <c r="E8641" s="626"/>
      <c r="F8641" s="626"/>
    </row>
    <row r="8642" spans="1:6">
      <c r="A8642" t="str">
        <f t="shared" ref="A8642:A8705" si="135">B8642&amp;E8642&amp;J8642</f>
        <v/>
      </c>
      <c r="E8642" s="626"/>
      <c r="F8642" s="626"/>
    </row>
    <row r="8643" spans="1:6">
      <c r="A8643" t="str">
        <f t="shared" si="135"/>
        <v/>
      </c>
      <c r="E8643" s="626"/>
      <c r="F8643" s="626"/>
    </row>
    <row r="8644" spans="1:6">
      <c r="A8644" t="str">
        <f t="shared" si="135"/>
        <v/>
      </c>
      <c r="E8644" s="626"/>
      <c r="F8644" s="626"/>
    </row>
    <row r="8645" spans="1:6">
      <c r="A8645" t="str">
        <f t="shared" si="135"/>
        <v/>
      </c>
      <c r="E8645" s="626"/>
      <c r="F8645" s="626"/>
    </row>
    <row r="8646" spans="1:6">
      <c r="A8646" t="str">
        <f t="shared" si="135"/>
        <v/>
      </c>
      <c r="E8646" s="626"/>
      <c r="F8646" s="626"/>
    </row>
    <row r="8647" spans="1:6">
      <c r="A8647" t="str">
        <f t="shared" si="135"/>
        <v/>
      </c>
      <c r="E8647" s="626"/>
      <c r="F8647" s="626"/>
    </row>
    <row r="8648" spans="1:6">
      <c r="A8648" t="str">
        <f t="shared" si="135"/>
        <v/>
      </c>
      <c r="E8648" s="626"/>
      <c r="F8648" s="626"/>
    </row>
    <row r="8649" spans="1:6">
      <c r="A8649" t="str">
        <f t="shared" si="135"/>
        <v/>
      </c>
      <c r="E8649" s="626"/>
      <c r="F8649" s="626"/>
    </row>
    <row r="8650" spans="1:6">
      <c r="A8650" t="str">
        <f t="shared" si="135"/>
        <v/>
      </c>
      <c r="E8650" s="626"/>
      <c r="F8650" s="626"/>
    </row>
    <row r="8651" spans="1:6">
      <c r="A8651" t="str">
        <f t="shared" si="135"/>
        <v/>
      </c>
      <c r="E8651" s="626"/>
      <c r="F8651" s="626"/>
    </row>
    <row r="8652" spans="1:6">
      <c r="A8652" t="str">
        <f t="shared" si="135"/>
        <v/>
      </c>
      <c r="E8652" s="626"/>
      <c r="F8652" s="626"/>
    </row>
    <row r="8653" spans="1:6">
      <c r="A8653" t="str">
        <f t="shared" si="135"/>
        <v/>
      </c>
      <c r="E8653" s="626"/>
      <c r="F8653" s="626"/>
    </row>
    <row r="8654" spans="1:6">
      <c r="A8654" t="str">
        <f t="shared" si="135"/>
        <v/>
      </c>
      <c r="E8654" s="626"/>
      <c r="F8654" s="626"/>
    </row>
    <row r="8655" spans="1:6">
      <c r="A8655" t="str">
        <f t="shared" si="135"/>
        <v/>
      </c>
      <c r="E8655" s="626"/>
      <c r="F8655" s="626"/>
    </row>
    <row r="8656" spans="1:6">
      <c r="A8656" t="str">
        <f t="shared" si="135"/>
        <v/>
      </c>
      <c r="E8656" s="626"/>
      <c r="F8656" s="626"/>
    </row>
    <row r="8657" spans="1:6">
      <c r="A8657" t="str">
        <f t="shared" si="135"/>
        <v/>
      </c>
      <c r="E8657" s="626"/>
      <c r="F8657" s="626"/>
    </row>
    <row r="8658" spans="1:6">
      <c r="A8658" t="str">
        <f t="shared" si="135"/>
        <v/>
      </c>
      <c r="E8658" s="626"/>
      <c r="F8658" s="626"/>
    </row>
    <row r="8659" spans="1:6">
      <c r="A8659" t="str">
        <f t="shared" si="135"/>
        <v/>
      </c>
      <c r="E8659" s="626"/>
      <c r="F8659" s="626"/>
    </row>
    <row r="8660" spans="1:6">
      <c r="A8660" t="str">
        <f t="shared" si="135"/>
        <v/>
      </c>
      <c r="E8660" s="626"/>
      <c r="F8660" s="626"/>
    </row>
    <row r="8661" spans="1:6">
      <c r="A8661" t="str">
        <f t="shared" si="135"/>
        <v/>
      </c>
      <c r="E8661" s="626"/>
      <c r="F8661" s="626"/>
    </row>
    <row r="8662" spans="1:6">
      <c r="A8662" t="str">
        <f t="shared" si="135"/>
        <v/>
      </c>
      <c r="E8662" s="626"/>
      <c r="F8662" s="626"/>
    </row>
    <row r="8663" spans="1:6">
      <c r="A8663" t="str">
        <f t="shared" si="135"/>
        <v/>
      </c>
      <c r="E8663" s="626"/>
      <c r="F8663" s="626"/>
    </row>
    <row r="8664" spans="1:6">
      <c r="A8664" t="str">
        <f t="shared" si="135"/>
        <v/>
      </c>
      <c r="E8664" s="626"/>
      <c r="F8664" s="626"/>
    </row>
    <row r="8665" spans="1:6">
      <c r="A8665" t="str">
        <f t="shared" si="135"/>
        <v/>
      </c>
      <c r="E8665" s="626"/>
      <c r="F8665" s="626"/>
    </row>
    <row r="8666" spans="1:6">
      <c r="A8666" t="str">
        <f t="shared" si="135"/>
        <v/>
      </c>
      <c r="E8666" s="626"/>
      <c r="F8666" s="626"/>
    </row>
    <row r="8667" spans="1:6">
      <c r="A8667" t="str">
        <f t="shared" si="135"/>
        <v/>
      </c>
      <c r="E8667" s="626"/>
      <c r="F8667" s="626"/>
    </row>
    <row r="8668" spans="1:6">
      <c r="A8668" t="str">
        <f t="shared" si="135"/>
        <v/>
      </c>
      <c r="E8668" s="626"/>
      <c r="F8668" s="626"/>
    </row>
    <row r="8669" spans="1:6">
      <c r="A8669" t="str">
        <f t="shared" si="135"/>
        <v/>
      </c>
      <c r="E8669" s="626"/>
      <c r="F8669" s="626"/>
    </row>
    <row r="8670" spans="1:6">
      <c r="A8670" t="str">
        <f t="shared" si="135"/>
        <v/>
      </c>
      <c r="E8670" s="626"/>
      <c r="F8670" s="626"/>
    </row>
    <row r="8671" spans="1:6">
      <c r="A8671" t="str">
        <f t="shared" si="135"/>
        <v/>
      </c>
      <c r="E8671" s="626"/>
      <c r="F8671" s="626"/>
    </row>
    <row r="8672" spans="1:6">
      <c r="A8672" t="str">
        <f t="shared" si="135"/>
        <v/>
      </c>
      <c r="E8672" s="626"/>
      <c r="F8672" s="626"/>
    </row>
    <row r="8673" spans="1:6">
      <c r="A8673" t="str">
        <f t="shared" si="135"/>
        <v/>
      </c>
      <c r="E8673" s="626"/>
      <c r="F8673" s="626"/>
    </row>
    <row r="8674" spans="1:6">
      <c r="A8674" t="str">
        <f t="shared" si="135"/>
        <v/>
      </c>
      <c r="E8674" s="626"/>
      <c r="F8674" s="626"/>
    </row>
    <row r="8675" spans="1:6">
      <c r="A8675" t="str">
        <f t="shared" si="135"/>
        <v/>
      </c>
      <c r="E8675" s="626"/>
      <c r="F8675" s="626"/>
    </row>
    <row r="8676" spans="1:6">
      <c r="A8676" t="str">
        <f t="shared" si="135"/>
        <v/>
      </c>
      <c r="E8676" s="626"/>
      <c r="F8676" s="626"/>
    </row>
    <row r="8677" spans="1:6">
      <c r="A8677" t="str">
        <f t="shared" si="135"/>
        <v/>
      </c>
      <c r="E8677" s="626"/>
      <c r="F8677" s="626"/>
    </row>
    <row r="8678" spans="1:6">
      <c r="A8678" t="str">
        <f t="shared" si="135"/>
        <v/>
      </c>
      <c r="E8678" s="626"/>
      <c r="F8678" s="626"/>
    </row>
    <row r="8679" spans="1:6">
      <c r="A8679" t="str">
        <f t="shared" si="135"/>
        <v/>
      </c>
      <c r="E8679" s="626"/>
      <c r="F8679" s="626"/>
    </row>
    <row r="8680" spans="1:6">
      <c r="A8680" t="str">
        <f t="shared" si="135"/>
        <v/>
      </c>
      <c r="E8680" s="626"/>
      <c r="F8680" s="626"/>
    </row>
    <row r="8681" spans="1:6">
      <c r="A8681" t="str">
        <f t="shared" si="135"/>
        <v/>
      </c>
      <c r="E8681" s="626"/>
      <c r="F8681" s="626"/>
    </row>
    <row r="8682" spans="1:6">
      <c r="A8682" t="str">
        <f t="shared" si="135"/>
        <v/>
      </c>
      <c r="E8682" s="626"/>
      <c r="F8682" s="626"/>
    </row>
    <row r="8683" spans="1:6">
      <c r="A8683" t="str">
        <f t="shared" si="135"/>
        <v/>
      </c>
      <c r="E8683" s="626"/>
      <c r="F8683" s="626"/>
    </row>
    <row r="8684" spans="1:6">
      <c r="A8684" t="str">
        <f t="shared" si="135"/>
        <v/>
      </c>
      <c r="E8684" s="626"/>
      <c r="F8684" s="626"/>
    </row>
    <row r="8685" spans="1:6">
      <c r="A8685" t="str">
        <f t="shared" si="135"/>
        <v/>
      </c>
      <c r="E8685" s="626"/>
      <c r="F8685" s="626"/>
    </row>
    <row r="8686" spans="1:6">
      <c r="A8686" t="str">
        <f t="shared" si="135"/>
        <v/>
      </c>
      <c r="E8686" s="626"/>
      <c r="F8686" s="626"/>
    </row>
    <row r="8687" spans="1:6">
      <c r="A8687" t="str">
        <f t="shared" si="135"/>
        <v/>
      </c>
      <c r="E8687" s="626"/>
      <c r="F8687" s="626"/>
    </row>
    <row r="8688" spans="1:6">
      <c r="A8688" t="str">
        <f t="shared" si="135"/>
        <v/>
      </c>
      <c r="E8688" s="626"/>
      <c r="F8688" s="626"/>
    </row>
    <row r="8689" spans="1:6">
      <c r="A8689" t="str">
        <f t="shared" si="135"/>
        <v/>
      </c>
      <c r="E8689" s="626"/>
      <c r="F8689" s="626"/>
    </row>
    <row r="8690" spans="1:6">
      <c r="A8690" t="str">
        <f t="shared" si="135"/>
        <v/>
      </c>
      <c r="E8690" s="626"/>
      <c r="F8690" s="626"/>
    </row>
    <row r="8691" spans="1:6">
      <c r="A8691" t="str">
        <f t="shared" si="135"/>
        <v/>
      </c>
      <c r="E8691" s="626"/>
      <c r="F8691" s="626"/>
    </row>
    <row r="8692" spans="1:6">
      <c r="A8692" t="str">
        <f t="shared" si="135"/>
        <v/>
      </c>
      <c r="E8692" s="626"/>
      <c r="F8692" s="626"/>
    </row>
    <row r="8693" spans="1:6">
      <c r="A8693" t="str">
        <f t="shared" si="135"/>
        <v/>
      </c>
      <c r="E8693" s="626"/>
      <c r="F8693" s="626"/>
    </row>
    <row r="8694" spans="1:6">
      <c r="A8694" t="str">
        <f t="shared" si="135"/>
        <v/>
      </c>
      <c r="E8694" s="626"/>
      <c r="F8694" s="626"/>
    </row>
    <row r="8695" spans="1:6">
      <c r="A8695" t="str">
        <f t="shared" si="135"/>
        <v/>
      </c>
      <c r="E8695" s="626"/>
      <c r="F8695" s="626"/>
    </row>
    <row r="8696" spans="1:6">
      <c r="A8696" t="str">
        <f t="shared" si="135"/>
        <v/>
      </c>
      <c r="E8696" s="626"/>
      <c r="F8696" s="626"/>
    </row>
    <row r="8697" spans="1:6">
      <c r="A8697" t="str">
        <f t="shared" si="135"/>
        <v/>
      </c>
      <c r="E8697" s="626"/>
      <c r="F8697" s="626"/>
    </row>
    <row r="8698" spans="1:6">
      <c r="A8698" t="str">
        <f t="shared" si="135"/>
        <v/>
      </c>
      <c r="E8698" s="626"/>
      <c r="F8698" s="626"/>
    </row>
    <row r="8699" spans="1:6">
      <c r="A8699" t="str">
        <f t="shared" si="135"/>
        <v/>
      </c>
      <c r="E8699" s="626"/>
      <c r="F8699" s="626"/>
    </row>
    <row r="8700" spans="1:6">
      <c r="A8700" t="str">
        <f t="shared" si="135"/>
        <v/>
      </c>
      <c r="E8700" s="626"/>
      <c r="F8700" s="626"/>
    </row>
    <row r="8701" spans="1:6">
      <c r="A8701" t="str">
        <f t="shared" si="135"/>
        <v/>
      </c>
      <c r="E8701" s="626"/>
      <c r="F8701" s="626"/>
    </row>
    <row r="8702" spans="1:6">
      <c r="A8702" t="str">
        <f t="shared" si="135"/>
        <v/>
      </c>
      <c r="E8702" s="626"/>
      <c r="F8702" s="626"/>
    </row>
    <row r="8703" spans="1:6">
      <c r="A8703" t="str">
        <f t="shared" si="135"/>
        <v/>
      </c>
      <c r="E8703" s="626"/>
      <c r="F8703" s="626"/>
    </row>
    <row r="8704" spans="1:6">
      <c r="A8704" t="str">
        <f t="shared" si="135"/>
        <v/>
      </c>
      <c r="E8704" s="626"/>
      <c r="F8704" s="626"/>
    </row>
    <row r="8705" spans="1:6">
      <c r="A8705" t="str">
        <f t="shared" si="135"/>
        <v/>
      </c>
      <c r="E8705" s="626"/>
      <c r="F8705" s="626"/>
    </row>
    <row r="8706" spans="1:6">
      <c r="A8706" t="str">
        <f t="shared" ref="A8706:A8769" si="136">B8706&amp;E8706&amp;J8706</f>
        <v/>
      </c>
      <c r="E8706" s="626"/>
      <c r="F8706" s="626"/>
    </row>
    <row r="8707" spans="1:6">
      <c r="A8707" t="str">
        <f t="shared" si="136"/>
        <v/>
      </c>
      <c r="E8707" s="626"/>
      <c r="F8707" s="626"/>
    </row>
    <row r="8708" spans="1:6">
      <c r="A8708" t="str">
        <f t="shared" si="136"/>
        <v/>
      </c>
      <c r="E8708" s="626"/>
      <c r="F8708" s="626"/>
    </row>
    <row r="8709" spans="1:6">
      <c r="A8709" t="str">
        <f t="shared" si="136"/>
        <v/>
      </c>
      <c r="E8709" s="626"/>
      <c r="F8709" s="626"/>
    </row>
    <row r="8710" spans="1:6">
      <c r="A8710" t="str">
        <f t="shared" si="136"/>
        <v/>
      </c>
      <c r="E8710" s="626"/>
      <c r="F8710" s="626"/>
    </row>
    <row r="8711" spans="1:6">
      <c r="A8711" t="str">
        <f t="shared" si="136"/>
        <v/>
      </c>
      <c r="E8711" s="626"/>
      <c r="F8711" s="626"/>
    </row>
    <row r="8712" spans="1:6">
      <c r="A8712" t="str">
        <f t="shared" si="136"/>
        <v/>
      </c>
      <c r="E8712" s="626"/>
      <c r="F8712" s="626"/>
    </row>
    <row r="8713" spans="1:6">
      <c r="A8713" t="str">
        <f t="shared" si="136"/>
        <v/>
      </c>
      <c r="E8713" s="626"/>
      <c r="F8713" s="626"/>
    </row>
    <row r="8714" spans="1:6">
      <c r="A8714" t="str">
        <f t="shared" si="136"/>
        <v/>
      </c>
      <c r="E8714" s="626"/>
      <c r="F8714" s="626"/>
    </row>
    <row r="8715" spans="1:6">
      <c r="A8715" t="str">
        <f t="shared" si="136"/>
        <v/>
      </c>
      <c r="E8715" s="626"/>
      <c r="F8715" s="626"/>
    </row>
    <row r="8716" spans="1:6">
      <c r="A8716" t="str">
        <f t="shared" si="136"/>
        <v/>
      </c>
      <c r="E8716" s="626"/>
      <c r="F8716" s="626"/>
    </row>
    <row r="8717" spans="1:6">
      <c r="A8717" t="str">
        <f t="shared" si="136"/>
        <v/>
      </c>
      <c r="E8717" s="626"/>
      <c r="F8717" s="626"/>
    </row>
    <row r="8718" spans="1:6">
      <c r="A8718" t="str">
        <f t="shared" si="136"/>
        <v/>
      </c>
      <c r="E8718" s="626"/>
      <c r="F8718" s="626"/>
    </row>
    <row r="8719" spans="1:6">
      <c r="A8719" t="str">
        <f t="shared" si="136"/>
        <v/>
      </c>
      <c r="E8719" s="626"/>
      <c r="F8719" s="626"/>
    </row>
    <row r="8720" spans="1:6">
      <c r="A8720" t="str">
        <f t="shared" si="136"/>
        <v/>
      </c>
      <c r="E8720" s="626"/>
      <c r="F8720" s="626"/>
    </row>
    <row r="8721" spans="1:6">
      <c r="A8721" t="str">
        <f t="shared" si="136"/>
        <v/>
      </c>
      <c r="E8721" s="626"/>
      <c r="F8721" s="626"/>
    </row>
    <row r="8722" spans="1:6">
      <c r="A8722" t="str">
        <f t="shared" si="136"/>
        <v/>
      </c>
      <c r="E8722" s="626"/>
      <c r="F8722" s="626"/>
    </row>
    <row r="8723" spans="1:6">
      <c r="A8723" t="str">
        <f t="shared" si="136"/>
        <v/>
      </c>
      <c r="E8723" s="626"/>
      <c r="F8723" s="626"/>
    </row>
    <row r="8724" spans="1:6">
      <c r="A8724" t="str">
        <f t="shared" si="136"/>
        <v/>
      </c>
      <c r="E8724" s="626"/>
      <c r="F8724" s="626"/>
    </row>
    <row r="8725" spans="1:6">
      <c r="A8725" t="str">
        <f t="shared" si="136"/>
        <v/>
      </c>
      <c r="E8725" s="626"/>
      <c r="F8725" s="626"/>
    </row>
    <row r="8726" spans="1:6">
      <c r="A8726" t="str">
        <f t="shared" si="136"/>
        <v/>
      </c>
      <c r="E8726" s="626"/>
      <c r="F8726" s="626"/>
    </row>
    <row r="8727" spans="1:6">
      <c r="A8727" t="str">
        <f t="shared" si="136"/>
        <v/>
      </c>
      <c r="E8727" s="626"/>
      <c r="F8727" s="626"/>
    </row>
    <row r="8728" spans="1:6">
      <c r="A8728" t="str">
        <f t="shared" si="136"/>
        <v/>
      </c>
      <c r="E8728" s="626"/>
      <c r="F8728" s="626"/>
    </row>
    <row r="8729" spans="1:6">
      <c r="A8729" t="str">
        <f t="shared" si="136"/>
        <v/>
      </c>
      <c r="E8729" s="626"/>
      <c r="F8729" s="626"/>
    </row>
    <row r="8730" spans="1:6">
      <c r="A8730" t="str">
        <f t="shared" si="136"/>
        <v/>
      </c>
      <c r="E8730" s="626"/>
      <c r="F8730" s="626"/>
    </row>
    <row r="8731" spans="1:6">
      <c r="A8731" t="str">
        <f t="shared" si="136"/>
        <v/>
      </c>
      <c r="E8731" s="626"/>
      <c r="F8731" s="626"/>
    </row>
    <row r="8732" spans="1:6">
      <c r="A8732" t="str">
        <f t="shared" si="136"/>
        <v/>
      </c>
      <c r="E8732" s="626"/>
      <c r="F8732" s="626"/>
    </row>
    <row r="8733" spans="1:6">
      <c r="A8733" t="str">
        <f t="shared" si="136"/>
        <v/>
      </c>
      <c r="E8733" s="626"/>
      <c r="F8733" s="626"/>
    </row>
    <row r="8734" spans="1:6">
      <c r="A8734" t="str">
        <f t="shared" si="136"/>
        <v/>
      </c>
      <c r="E8734" s="626"/>
      <c r="F8734" s="626"/>
    </row>
    <row r="8735" spans="1:6">
      <c r="A8735" t="str">
        <f t="shared" si="136"/>
        <v/>
      </c>
      <c r="E8735" s="626"/>
      <c r="F8735" s="626"/>
    </row>
    <row r="8736" spans="1:6">
      <c r="A8736" t="str">
        <f t="shared" si="136"/>
        <v/>
      </c>
      <c r="E8736" s="626"/>
      <c r="F8736" s="626"/>
    </row>
    <row r="8737" spans="1:6">
      <c r="A8737" t="str">
        <f t="shared" si="136"/>
        <v/>
      </c>
      <c r="E8737" s="626"/>
      <c r="F8737" s="626"/>
    </row>
    <row r="8738" spans="1:6">
      <c r="A8738" t="str">
        <f t="shared" si="136"/>
        <v/>
      </c>
      <c r="E8738" s="626"/>
      <c r="F8738" s="626"/>
    </row>
    <row r="8739" spans="1:6">
      <c r="A8739" t="str">
        <f t="shared" si="136"/>
        <v/>
      </c>
      <c r="E8739" s="626"/>
      <c r="F8739" s="626"/>
    </row>
    <row r="8740" spans="1:6">
      <c r="A8740" t="str">
        <f t="shared" si="136"/>
        <v/>
      </c>
      <c r="E8740" s="626"/>
      <c r="F8740" s="626"/>
    </row>
    <row r="8741" spans="1:6">
      <c r="A8741" t="str">
        <f t="shared" si="136"/>
        <v/>
      </c>
      <c r="E8741" s="626"/>
      <c r="F8741" s="626"/>
    </row>
    <row r="8742" spans="1:6">
      <c r="A8742" t="str">
        <f t="shared" si="136"/>
        <v/>
      </c>
      <c r="E8742" s="626"/>
      <c r="F8742" s="626"/>
    </row>
    <row r="8743" spans="1:6">
      <c r="A8743" t="str">
        <f t="shared" si="136"/>
        <v/>
      </c>
      <c r="E8743" s="626"/>
      <c r="F8743" s="626"/>
    </row>
    <row r="8744" spans="1:6">
      <c r="A8744" t="str">
        <f t="shared" si="136"/>
        <v/>
      </c>
      <c r="E8744" s="626"/>
      <c r="F8744" s="626"/>
    </row>
    <row r="8745" spans="1:6">
      <c r="A8745" t="str">
        <f t="shared" si="136"/>
        <v/>
      </c>
      <c r="E8745" s="626"/>
      <c r="F8745" s="626"/>
    </row>
    <row r="8746" spans="1:6">
      <c r="A8746" t="str">
        <f t="shared" si="136"/>
        <v/>
      </c>
      <c r="E8746" s="626"/>
      <c r="F8746" s="626"/>
    </row>
    <row r="8747" spans="1:6">
      <c r="A8747" t="str">
        <f t="shared" si="136"/>
        <v/>
      </c>
      <c r="E8747" s="626"/>
      <c r="F8747" s="626"/>
    </row>
    <row r="8748" spans="1:6">
      <c r="A8748" t="str">
        <f t="shared" si="136"/>
        <v/>
      </c>
      <c r="E8748" s="626"/>
      <c r="F8748" s="626"/>
    </row>
    <row r="8749" spans="1:6">
      <c r="A8749" t="str">
        <f t="shared" si="136"/>
        <v/>
      </c>
      <c r="E8749" s="626"/>
      <c r="F8749" s="626"/>
    </row>
    <row r="8750" spans="1:6">
      <c r="A8750" t="str">
        <f t="shared" si="136"/>
        <v/>
      </c>
      <c r="E8750" s="626"/>
      <c r="F8750" s="626"/>
    </row>
    <row r="8751" spans="1:6">
      <c r="A8751" t="str">
        <f t="shared" si="136"/>
        <v/>
      </c>
      <c r="E8751" s="626"/>
      <c r="F8751" s="626"/>
    </row>
    <row r="8752" spans="1:6">
      <c r="A8752" t="str">
        <f t="shared" si="136"/>
        <v/>
      </c>
      <c r="E8752" s="626"/>
      <c r="F8752" s="626"/>
    </row>
    <row r="8753" spans="1:6">
      <c r="A8753" t="str">
        <f t="shared" si="136"/>
        <v/>
      </c>
      <c r="E8753" s="626"/>
      <c r="F8753" s="626"/>
    </row>
    <row r="8754" spans="1:6">
      <c r="A8754" t="str">
        <f t="shared" si="136"/>
        <v/>
      </c>
      <c r="E8754" s="626"/>
      <c r="F8754" s="626"/>
    </row>
    <row r="8755" spans="1:6">
      <c r="A8755" t="str">
        <f t="shared" si="136"/>
        <v/>
      </c>
      <c r="E8755" s="626"/>
      <c r="F8755" s="626"/>
    </row>
    <row r="8756" spans="1:6">
      <c r="A8756" t="str">
        <f t="shared" si="136"/>
        <v/>
      </c>
      <c r="E8756" s="626"/>
      <c r="F8756" s="626"/>
    </row>
    <row r="8757" spans="1:6">
      <c r="A8757" t="str">
        <f t="shared" si="136"/>
        <v/>
      </c>
      <c r="E8757" s="626"/>
      <c r="F8757" s="626"/>
    </row>
    <row r="8758" spans="1:6">
      <c r="A8758" t="str">
        <f t="shared" si="136"/>
        <v/>
      </c>
      <c r="E8758" s="626"/>
      <c r="F8758" s="626"/>
    </row>
    <row r="8759" spans="1:6">
      <c r="A8759" t="str">
        <f t="shared" si="136"/>
        <v/>
      </c>
      <c r="E8759" s="626"/>
      <c r="F8759" s="626"/>
    </row>
    <row r="8760" spans="1:6">
      <c r="A8760" t="str">
        <f t="shared" si="136"/>
        <v/>
      </c>
      <c r="E8760" s="626"/>
      <c r="F8760" s="626"/>
    </row>
    <row r="8761" spans="1:6">
      <c r="A8761" t="str">
        <f t="shared" si="136"/>
        <v/>
      </c>
      <c r="E8761" s="626"/>
      <c r="F8761" s="626"/>
    </row>
    <row r="8762" spans="1:6">
      <c r="A8762" t="str">
        <f t="shared" si="136"/>
        <v/>
      </c>
      <c r="E8762" s="626"/>
      <c r="F8762" s="626"/>
    </row>
    <row r="8763" spans="1:6">
      <c r="A8763" t="str">
        <f t="shared" si="136"/>
        <v/>
      </c>
      <c r="E8763" s="626"/>
      <c r="F8763" s="626"/>
    </row>
    <row r="8764" spans="1:6">
      <c r="A8764" t="str">
        <f t="shared" si="136"/>
        <v/>
      </c>
      <c r="E8764" s="626"/>
      <c r="F8764" s="626"/>
    </row>
    <row r="8765" spans="1:6">
      <c r="A8765" t="str">
        <f t="shared" si="136"/>
        <v/>
      </c>
      <c r="E8765" s="626"/>
      <c r="F8765" s="626"/>
    </row>
    <row r="8766" spans="1:6">
      <c r="A8766" t="str">
        <f t="shared" si="136"/>
        <v/>
      </c>
      <c r="E8766" s="626"/>
      <c r="F8766" s="626"/>
    </row>
    <row r="8767" spans="1:6">
      <c r="A8767" t="str">
        <f t="shared" si="136"/>
        <v/>
      </c>
      <c r="E8767" s="626"/>
      <c r="F8767" s="626"/>
    </row>
    <row r="8768" spans="1:6">
      <c r="A8768" t="str">
        <f t="shared" si="136"/>
        <v/>
      </c>
      <c r="E8768" s="626"/>
      <c r="F8768" s="626"/>
    </row>
    <row r="8769" spans="1:6">
      <c r="A8769" t="str">
        <f t="shared" si="136"/>
        <v/>
      </c>
      <c r="E8769" s="626"/>
      <c r="F8769" s="626"/>
    </row>
    <row r="8770" spans="1:6">
      <c r="A8770" t="str">
        <f t="shared" ref="A8770:A8833" si="137">B8770&amp;E8770&amp;J8770</f>
        <v/>
      </c>
      <c r="E8770" s="626"/>
      <c r="F8770" s="626"/>
    </row>
    <row r="8771" spans="1:6">
      <c r="A8771" t="str">
        <f t="shared" si="137"/>
        <v/>
      </c>
      <c r="E8771" s="626"/>
      <c r="F8771" s="626"/>
    </row>
    <row r="8772" spans="1:6">
      <c r="A8772" t="str">
        <f t="shared" si="137"/>
        <v/>
      </c>
      <c r="E8772" s="626"/>
      <c r="F8772" s="626"/>
    </row>
    <row r="8773" spans="1:6">
      <c r="A8773" t="str">
        <f t="shared" si="137"/>
        <v/>
      </c>
      <c r="E8773" s="626"/>
      <c r="F8773" s="626"/>
    </row>
    <row r="8774" spans="1:6">
      <c r="A8774" t="str">
        <f t="shared" si="137"/>
        <v/>
      </c>
      <c r="E8774" s="626"/>
      <c r="F8774" s="626"/>
    </row>
    <row r="8775" spans="1:6">
      <c r="A8775" t="str">
        <f t="shared" si="137"/>
        <v/>
      </c>
      <c r="E8775" s="626"/>
      <c r="F8775" s="626"/>
    </row>
    <row r="8776" spans="1:6">
      <c r="A8776" t="str">
        <f t="shared" si="137"/>
        <v/>
      </c>
      <c r="E8776" s="626"/>
      <c r="F8776" s="626"/>
    </row>
    <row r="8777" spans="1:6">
      <c r="A8777" t="str">
        <f t="shared" si="137"/>
        <v/>
      </c>
      <c r="E8777" s="626"/>
      <c r="F8777" s="626"/>
    </row>
    <row r="8778" spans="1:6">
      <c r="A8778" t="str">
        <f t="shared" si="137"/>
        <v/>
      </c>
      <c r="E8778" s="626"/>
      <c r="F8778" s="626"/>
    </row>
    <row r="8779" spans="1:6">
      <c r="A8779" t="str">
        <f t="shared" si="137"/>
        <v/>
      </c>
      <c r="E8779" s="626"/>
      <c r="F8779" s="626"/>
    </row>
    <row r="8780" spans="1:6">
      <c r="A8780" t="str">
        <f t="shared" si="137"/>
        <v/>
      </c>
      <c r="E8780" s="626"/>
      <c r="F8780" s="626"/>
    </row>
    <row r="8781" spans="1:6">
      <c r="A8781" t="str">
        <f t="shared" si="137"/>
        <v/>
      </c>
      <c r="E8781" s="626"/>
      <c r="F8781" s="626"/>
    </row>
    <row r="8782" spans="1:6">
      <c r="A8782" t="str">
        <f t="shared" si="137"/>
        <v/>
      </c>
      <c r="E8782" s="626"/>
      <c r="F8782" s="626"/>
    </row>
    <row r="8783" spans="1:6">
      <c r="A8783" t="str">
        <f t="shared" si="137"/>
        <v/>
      </c>
      <c r="E8783" s="626"/>
      <c r="F8783" s="626"/>
    </row>
    <row r="8784" spans="1:6">
      <c r="A8784" t="str">
        <f t="shared" si="137"/>
        <v/>
      </c>
      <c r="E8784" s="626"/>
      <c r="F8784" s="626"/>
    </row>
    <row r="8785" spans="1:6">
      <c r="A8785" t="str">
        <f t="shared" si="137"/>
        <v/>
      </c>
      <c r="E8785" s="626"/>
      <c r="F8785" s="626"/>
    </row>
    <row r="8786" spans="1:6">
      <c r="A8786" t="str">
        <f t="shared" si="137"/>
        <v/>
      </c>
      <c r="E8786" s="626"/>
      <c r="F8786" s="626"/>
    </row>
    <row r="8787" spans="1:6">
      <c r="A8787" t="str">
        <f t="shared" si="137"/>
        <v/>
      </c>
      <c r="E8787" s="626"/>
      <c r="F8787" s="626"/>
    </row>
    <row r="8788" spans="1:6">
      <c r="A8788" t="str">
        <f t="shared" si="137"/>
        <v/>
      </c>
      <c r="E8788" s="626"/>
      <c r="F8788" s="626"/>
    </row>
    <row r="8789" spans="1:6">
      <c r="A8789" t="str">
        <f t="shared" si="137"/>
        <v/>
      </c>
      <c r="E8789" s="626"/>
      <c r="F8789" s="626"/>
    </row>
    <row r="8790" spans="1:6">
      <c r="A8790" t="str">
        <f t="shared" si="137"/>
        <v/>
      </c>
      <c r="E8790" s="626"/>
      <c r="F8790" s="626"/>
    </row>
    <row r="8791" spans="1:6">
      <c r="A8791" t="str">
        <f t="shared" si="137"/>
        <v/>
      </c>
      <c r="E8791" s="626"/>
      <c r="F8791" s="626"/>
    </row>
    <row r="8792" spans="1:6">
      <c r="A8792" t="str">
        <f t="shared" si="137"/>
        <v/>
      </c>
      <c r="E8792" s="626"/>
      <c r="F8792" s="626"/>
    </row>
    <row r="8793" spans="1:6">
      <c r="A8793" t="str">
        <f t="shared" si="137"/>
        <v/>
      </c>
      <c r="E8793" s="626"/>
      <c r="F8793" s="626"/>
    </row>
    <row r="8794" spans="1:6">
      <c r="A8794" t="str">
        <f t="shared" si="137"/>
        <v/>
      </c>
      <c r="E8794" s="626"/>
      <c r="F8794" s="626"/>
    </row>
    <row r="8795" spans="1:6">
      <c r="A8795" t="str">
        <f t="shared" si="137"/>
        <v/>
      </c>
      <c r="E8795" s="626"/>
      <c r="F8795" s="626"/>
    </row>
    <row r="8796" spans="1:6">
      <c r="A8796" t="str">
        <f t="shared" si="137"/>
        <v/>
      </c>
      <c r="E8796" s="626"/>
      <c r="F8796" s="626"/>
    </row>
    <row r="8797" spans="1:6">
      <c r="A8797" t="str">
        <f t="shared" si="137"/>
        <v/>
      </c>
      <c r="E8797" s="626"/>
      <c r="F8797" s="626"/>
    </row>
    <row r="8798" spans="1:6">
      <c r="A8798" t="str">
        <f t="shared" si="137"/>
        <v/>
      </c>
      <c r="E8798" s="626"/>
      <c r="F8798" s="626"/>
    </row>
    <row r="8799" spans="1:6">
      <c r="A8799" t="str">
        <f t="shared" si="137"/>
        <v/>
      </c>
      <c r="E8799" s="626"/>
      <c r="F8799" s="626"/>
    </row>
    <row r="8800" spans="1:6">
      <c r="A8800" t="str">
        <f t="shared" si="137"/>
        <v/>
      </c>
      <c r="E8800" s="626"/>
      <c r="F8800" s="626"/>
    </row>
    <row r="8801" spans="1:6">
      <c r="A8801" t="str">
        <f t="shared" si="137"/>
        <v/>
      </c>
      <c r="E8801" s="626"/>
      <c r="F8801" s="626"/>
    </row>
    <row r="8802" spans="1:6">
      <c r="A8802" t="str">
        <f t="shared" si="137"/>
        <v/>
      </c>
      <c r="E8802" s="626"/>
      <c r="F8802" s="626"/>
    </row>
    <row r="8803" spans="1:6">
      <c r="A8803" t="str">
        <f t="shared" si="137"/>
        <v/>
      </c>
      <c r="E8803" s="626"/>
      <c r="F8803" s="626"/>
    </row>
    <row r="8804" spans="1:6">
      <c r="A8804" t="str">
        <f t="shared" si="137"/>
        <v/>
      </c>
      <c r="E8804" s="626"/>
      <c r="F8804" s="626"/>
    </row>
    <row r="8805" spans="1:6">
      <c r="A8805" t="str">
        <f t="shared" si="137"/>
        <v/>
      </c>
      <c r="E8805" s="626"/>
      <c r="F8805" s="626"/>
    </row>
    <row r="8806" spans="1:6">
      <c r="A8806" t="str">
        <f t="shared" si="137"/>
        <v/>
      </c>
      <c r="E8806" s="626"/>
      <c r="F8806" s="626"/>
    </row>
    <row r="8807" spans="1:6">
      <c r="A8807" t="str">
        <f t="shared" si="137"/>
        <v/>
      </c>
      <c r="E8807" s="626"/>
      <c r="F8807" s="626"/>
    </row>
    <row r="8808" spans="1:6">
      <c r="A8808" t="str">
        <f t="shared" si="137"/>
        <v/>
      </c>
      <c r="E8808" s="626"/>
      <c r="F8808" s="626"/>
    </row>
    <row r="8809" spans="1:6">
      <c r="A8809" t="str">
        <f t="shared" si="137"/>
        <v/>
      </c>
      <c r="E8809" s="626"/>
      <c r="F8809" s="626"/>
    </row>
    <row r="8810" spans="1:6">
      <c r="A8810" t="str">
        <f t="shared" si="137"/>
        <v/>
      </c>
      <c r="E8810" s="626"/>
      <c r="F8810" s="626"/>
    </row>
    <row r="8811" spans="1:6">
      <c r="A8811" t="str">
        <f t="shared" si="137"/>
        <v/>
      </c>
      <c r="E8811" s="626"/>
      <c r="F8811" s="626"/>
    </row>
    <row r="8812" spans="1:6">
      <c r="A8812" t="str">
        <f t="shared" si="137"/>
        <v/>
      </c>
      <c r="E8812" s="626"/>
      <c r="F8812" s="626"/>
    </row>
    <row r="8813" spans="1:6">
      <c r="A8813" t="str">
        <f t="shared" si="137"/>
        <v/>
      </c>
      <c r="E8813" s="626"/>
      <c r="F8813" s="626"/>
    </row>
    <row r="8814" spans="1:6">
      <c r="A8814" t="str">
        <f t="shared" si="137"/>
        <v/>
      </c>
      <c r="E8814" s="626"/>
      <c r="F8814" s="626"/>
    </row>
    <row r="8815" spans="1:6">
      <c r="A8815" t="str">
        <f t="shared" si="137"/>
        <v/>
      </c>
      <c r="E8815" s="626"/>
      <c r="F8815" s="626"/>
    </row>
    <row r="8816" spans="1:6">
      <c r="A8816" t="str">
        <f t="shared" si="137"/>
        <v/>
      </c>
      <c r="E8816" s="626"/>
      <c r="F8816" s="626"/>
    </row>
    <row r="8817" spans="1:6">
      <c r="A8817" t="str">
        <f t="shared" si="137"/>
        <v/>
      </c>
      <c r="E8817" s="626"/>
      <c r="F8817" s="626"/>
    </row>
    <row r="8818" spans="1:6">
      <c r="A8818" t="str">
        <f t="shared" si="137"/>
        <v/>
      </c>
      <c r="E8818" s="626"/>
      <c r="F8818" s="626"/>
    </row>
    <row r="8819" spans="1:6">
      <c r="A8819" t="str">
        <f t="shared" si="137"/>
        <v/>
      </c>
      <c r="E8819" s="626"/>
      <c r="F8819" s="626"/>
    </row>
    <row r="8820" spans="1:6">
      <c r="A8820" t="str">
        <f t="shared" si="137"/>
        <v/>
      </c>
      <c r="E8820" s="626"/>
      <c r="F8820" s="626"/>
    </row>
    <row r="8821" spans="1:6">
      <c r="A8821" t="str">
        <f t="shared" si="137"/>
        <v/>
      </c>
      <c r="E8821" s="626"/>
      <c r="F8821" s="626"/>
    </row>
    <row r="8822" spans="1:6">
      <c r="A8822" t="str">
        <f t="shared" si="137"/>
        <v/>
      </c>
      <c r="E8822" s="626"/>
      <c r="F8822" s="626"/>
    </row>
    <row r="8823" spans="1:6">
      <c r="A8823" t="str">
        <f t="shared" si="137"/>
        <v/>
      </c>
      <c r="E8823" s="626"/>
      <c r="F8823" s="626"/>
    </row>
    <row r="8824" spans="1:6">
      <c r="A8824" t="str">
        <f t="shared" si="137"/>
        <v/>
      </c>
      <c r="E8824" s="626"/>
      <c r="F8824" s="626"/>
    </row>
    <row r="8825" spans="1:6">
      <c r="A8825" t="str">
        <f t="shared" si="137"/>
        <v/>
      </c>
      <c r="E8825" s="626"/>
      <c r="F8825" s="626"/>
    </row>
    <row r="8826" spans="1:6">
      <c r="A8826" t="str">
        <f t="shared" si="137"/>
        <v/>
      </c>
      <c r="E8826" s="626"/>
      <c r="F8826" s="626"/>
    </row>
    <row r="8827" spans="1:6">
      <c r="A8827" t="str">
        <f t="shared" si="137"/>
        <v/>
      </c>
      <c r="E8827" s="626"/>
      <c r="F8827" s="626"/>
    </row>
    <row r="8828" spans="1:6">
      <c r="A8828" t="str">
        <f t="shared" si="137"/>
        <v/>
      </c>
      <c r="E8828" s="626"/>
      <c r="F8828" s="626"/>
    </row>
    <row r="8829" spans="1:6">
      <c r="A8829" t="str">
        <f t="shared" si="137"/>
        <v/>
      </c>
      <c r="E8829" s="626"/>
      <c r="F8829" s="626"/>
    </row>
    <row r="8830" spans="1:6">
      <c r="A8830" t="str">
        <f t="shared" si="137"/>
        <v/>
      </c>
      <c r="E8830" s="626"/>
      <c r="F8830" s="626"/>
    </row>
    <row r="8831" spans="1:6">
      <c r="A8831" t="str">
        <f t="shared" si="137"/>
        <v/>
      </c>
      <c r="E8831" s="626"/>
      <c r="F8831" s="626"/>
    </row>
    <row r="8832" spans="1:6">
      <c r="A8832" t="str">
        <f t="shared" si="137"/>
        <v/>
      </c>
      <c r="E8832" s="626"/>
      <c r="F8832" s="626"/>
    </row>
    <row r="8833" spans="1:6">
      <c r="A8833" t="str">
        <f t="shared" si="137"/>
        <v/>
      </c>
      <c r="E8833" s="626"/>
      <c r="F8833" s="626"/>
    </row>
    <row r="8834" spans="1:6">
      <c r="A8834" t="str">
        <f t="shared" ref="A8834:A8897" si="138">B8834&amp;E8834&amp;J8834</f>
        <v/>
      </c>
      <c r="E8834" s="626"/>
      <c r="F8834" s="626"/>
    </row>
    <row r="8835" spans="1:6">
      <c r="A8835" t="str">
        <f t="shared" si="138"/>
        <v/>
      </c>
      <c r="E8835" s="626"/>
      <c r="F8835" s="626"/>
    </row>
    <row r="8836" spans="1:6">
      <c r="A8836" t="str">
        <f t="shared" si="138"/>
        <v/>
      </c>
      <c r="E8836" s="626"/>
      <c r="F8836" s="626"/>
    </row>
    <row r="8837" spans="1:6">
      <c r="A8837" t="str">
        <f t="shared" si="138"/>
        <v/>
      </c>
      <c r="E8837" s="626"/>
      <c r="F8837" s="626"/>
    </row>
    <row r="8838" spans="1:6">
      <c r="A8838" t="str">
        <f t="shared" si="138"/>
        <v/>
      </c>
      <c r="E8838" s="626"/>
      <c r="F8838" s="626"/>
    </row>
    <row r="8839" spans="1:6">
      <c r="A8839" t="str">
        <f t="shared" si="138"/>
        <v/>
      </c>
      <c r="E8839" s="626"/>
      <c r="F8839" s="626"/>
    </row>
    <row r="8840" spans="1:6">
      <c r="A8840" t="str">
        <f t="shared" si="138"/>
        <v/>
      </c>
      <c r="E8840" s="626"/>
      <c r="F8840" s="626"/>
    </row>
    <row r="8841" spans="1:6">
      <c r="A8841" t="str">
        <f t="shared" si="138"/>
        <v/>
      </c>
      <c r="E8841" s="626"/>
      <c r="F8841" s="626"/>
    </row>
    <row r="8842" spans="1:6">
      <c r="A8842" t="str">
        <f t="shared" si="138"/>
        <v/>
      </c>
      <c r="E8842" s="626"/>
      <c r="F8842" s="626"/>
    </row>
    <row r="8843" spans="1:6">
      <c r="A8843" t="str">
        <f t="shared" si="138"/>
        <v/>
      </c>
      <c r="E8843" s="626"/>
      <c r="F8843" s="626"/>
    </row>
    <row r="8844" spans="1:6">
      <c r="A8844" t="str">
        <f t="shared" si="138"/>
        <v/>
      </c>
      <c r="E8844" s="626"/>
      <c r="F8844" s="626"/>
    </row>
    <row r="8845" spans="1:6">
      <c r="A8845" t="str">
        <f t="shared" si="138"/>
        <v/>
      </c>
      <c r="E8845" s="626"/>
      <c r="F8845" s="626"/>
    </row>
    <row r="8846" spans="1:6">
      <c r="A8846" t="str">
        <f t="shared" si="138"/>
        <v/>
      </c>
      <c r="E8846" s="626"/>
      <c r="F8846" s="626"/>
    </row>
    <row r="8847" spans="1:6">
      <c r="A8847" t="str">
        <f t="shared" si="138"/>
        <v/>
      </c>
      <c r="E8847" s="626"/>
      <c r="F8847" s="626"/>
    </row>
    <row r="8848" spans="1:6">
      <c r="A8848" t="str">
        <f t="shared" si="138"/>
        <v/>
      </c>
      <c r="E8848" s="626"/>
      <c r="F8848" s="626"/>
    </row>
    <row r="8849" spans="1:6">
      <c r="A8849" t="str">
        <f t="shared" si="138"/>
        <v/>
      </c>
      <c r="E8849" s="626"/>
      <c r="F8849" s="626"/>
    </row>
    <row r="8850" spans="1:6">
      <c r="A8850" t="str">
        <f t="shared" si="138"/>
        <v/>
      </c>
      <c r="E8850" s="626"/>
      <c r="F8850" s="626"/>
    </row>
    <row r="8851" spans="1:6">
      <c r="A8851" t="str">
        <f t="shared" si="138"/>
        <v/>
      </c>
      <c r="E8851" s="626"/>
      <c r="F8851" s="626"/>
    </row>
    <row r="8852" spans="1:6">
      <c r="A8852" t="str">
        <f t="shared" si="138"/>
        <v/>
      </c>
      <c r="E8852" s="626"/>
      <c r="F8852" s="626"/>
    </row>
    <row r="8853" spans="1:6">
      <c r="A8853" t="str">
        <f t="shared" si="138"/>
        <v/>
      </c>
      <c r="E8853" s="626"/>
      <c r="F8853" s="626"/>
    </row>
    <row r="8854" spans="1:6">
      <c r="A8854" t="str">
        <f t="shared" si="138"/>
        <v/>
      </c>
      <c r="E8854" s="626"/>
      <c r="F8854" s="626"/>
    </row>
    <row r="8855" spans="1:6">
      <c r="A8855" t="str">
        <f t="shared" si="138"/>
        <v/>
      </c>
      <c r="E8855" s="626"/>
      <c r="F8855" s="626"/>
    </row>
    <row r="8856" spans="1:6">
      <c r="A8856" t="str">
        <f t="shared" si="138"/>
        <v/>
      </c>
      <c r="E8856" s="626"/>
      <c r="F8856" s="626"/>
    </row>
    <row r="8857" spans="1:6">
      <c r="A8857" t="str">
        <f t="shared" si="138"/>
        <v/>
      </c>
      <c r="E8857" s="626"/>
      <c r="F8857" s="626"/>
    </row>
    <row r="8858" spans="1:6">
      <c r="A8858" t="str">
        <f t="shared" si="138"/>
        <v/>
      </c>
      <c r="E8858" s="626"/>
      <c r="F8858" s="626"/>
    </row>
    <row r="8859" spans="1:6">
      <c r="A8859" t="str">
        <f t="shared" si="138"/>
        <v/>
      </c>
      <c r="E8859" s="626"/>
      <c r="F8859" s="626"/>
    </row>
    <row r="8860" spans="1:6">
      <c r="A8860" t="str">
        <f t="shared" si="138"/>
        <v/>
      </c>
      <c r="E8860" s="626"/>
      <c r="F8860" s="626"/>
    </row>
    <row r="8861" spans="1:6">
      <c r="A8861" t="str">
        <f t="shared" si="138"/>
        <v/>
      </c>
      <c r="E8861" s="626"/>
      <c r="F8861" s="626"/>
    </row>
    <row r="8862" spans="1:6">
      <c r="A8862" t="str">
        <f t="shared" si="138"/>
        <v/>
      </c>
      <c r="E8862" s="626"/>
      <c r="F8862" s="626"/>
    </row>
    <row r="8863" spans="1:6">
      <c r="A8863" t="str">
        <f t="shared" si="138"/>
        <v/>
      </c>
      <c r="E8863" s="626"/>
      <c r="F8863" s="626"/>
    </row>
    <row r="8864" spans="1:6">
      <c r="A8864" t="str">
        <f t="shared" si="138"/>
        <v/>
      </c>
      <c r="E8864" s="626"/>
      <c r="F8864" s="626"/>
    </row>
    <row r="8865" spans="1:6">
      <c r="A8865" t="str">
        <f t="shared" si="138"/>
        <v/>
      </c>
      <c r="E8865" s="626"/>
      <c r="F8865" s="626"/>
    </row>
    <row r="8866" spans="1:6">
      <c r="A8866" t="str">
        <f t="shared" si="138"/>
        <v/>
      </c>
      <c r="E8866" s="626"/>
      <c r="F8866" s="626"/>
    </row>
    <row r="8867" spans="1:6">
      <c r="A8867" t="str">
        <f t="shared" si="138"/>
        <v/>
      </c>
      <c r="E8867" s="626"/>
      <c r="F8867" s="626"/>
    </row>
    <row r="8868" spans="1:6">
      <c r="A8868" t="str">
        <f t="shared" si="138"/>
        <v/>
      </c>
      <c r="E8868" s="626"/>
      <c r="F8868" s="626"/>
    </row>
    <row r="8869" spans="1:6">
      <c r="A8869" t="str">
        <f t="shared" si="138"/>
        <v/>
      </c>
      <c r="E8869" s="626"/>
      <c r="F8869" s="626"/>
    </row>
    <row r="8870" spans="1:6">
      <c r="A8870" t="str">
        <f t="shared" si="138"/>
        <v/>
      </c>
      <c r="E8870" s="626"/>
      <c r="F8870" s="626"/>
    </row>
    <row r="8871" spans="1:6">
      <c r="A8871" t="str">
        <f t="shared" si="138"/>
        <v/>
      </c>
      <c r="E8871" s="626"/>
      <c r="F8871" s="626"/>
    </row>
    <row r="8872" spans="1:6">
      <c r="A8872" t="str">
        <f t="shared" si="138"/>
        <v/>
      </c>
      <c r="E8872" s="626"/>
      <c r="F8872" s="626"/>
    </row>
    <row r="8873" spans="1:6">
      <c r="A8873" t="str">
        <f t="shared" si="138"/>
        <v/>
      </c>
      <c r="E8873" s="626"/>
      <c r="F8873" s="626"/>
    </row>
    <row r="8874" spans="1:6">
      <c r="A8874" t="str">
        <f t="shared" si="138"/>
        <v/>
      </c>
      <c r="E8874" s="626"/>
      <c r="F8874" s="626"/>
    </row>
    <row r="8875" spans="1:6">
      <c r="A8875" t="str">
        <f t="shared" si="138"/>
        <v/>
      </c>
      <c r="E8875" s="626"/>
      <c r="F8875" s="626"/>
    </row>
    <row r="8876" spans="1:6">
      <c r="A8876" t="str">
        <f t="shared" si="138"/>
        <v/>
      </c>
      <c r="E8876" s="626"/>
      <c r="F8876" s="626"/>
    </row>
    <row r="8877" spans="1:6">
      <c r="A8877" t="str">
        <f t="shared" si="138"/>
        <v/>
      </c>
      <c r="E8877" s="626"/>
      <c r="F8877" s="626"/>
    </row>
    <row r="8878" spans="1:6">
      <c r="A8878" t="str">
        <f t="shared" si="138"/>
        <v/>
      </c>
      <c r="E8878" s="626"/>
      <c r="F8878" s="626"/>
    </row>
    <row r="8879" spans="1:6">
      <c r="A8879" t="str">
        <f t="shared" si="138"/>
        <v/>
      </c>
      <c r="E8879" s="626"/>
      <c r="F8879" s="626"/>
    </row>
    <row r="8880" spans="1:6">
      <c r="A8880" t="str">
        <f t="shared" si="138"/>
        <v/>
      </c>
      <c r="E8880" s="626"/>
      <c r="F8880" s="626"/>
    </row>
    <row r="8881" spans="1:6">
      <c r="A8881" t="str">
        <f t="shared" si="138"/>
        <v/>
      </c>
      <c r="E8881" s="626"/>
      <c r="F8881" s="626"/>
    </row>
    <row r="8882" spans="1:6">
      <c r="A8882" t="str">
        <f t="shared" si="138"/>
        <v/>
      </c>
      <c r="E8882" s="626"/>
      <c r="F8882" s="626"/>
    </row>
    <row r="8883" spans="1:6">
      <c r="A8883" t="str">
        <f t="shared" si="138"/>
        <v/>
      </c>
      <c r="E8883" s="626"/>
      <c r="F8883" s="626"/>
    </row>
    <row r="8884" spans="1:6">
      <c r="A8884" t="str">
        <f t="shared" si="138"/>
        <v/>
      </c>
      <c r="E8884" s="626"/>
      <c r="F8884" s="626"/>
    </row>
    <row r="8885" spans="1:6">
      <c r="A8885" t="str">
        <f t="shared" si="138"/>
        <v/>
      </c>
      <c r="E8885" s="626"/>
      <c r="F8885" s="626"/>
    </row>
    <row r="8886" spans="1:6">
      <c r="A8886" t="str">
        <f t="shared" si="138"/>
        <v/>
      </c>
      <c r="E8886" s="626"/>
      <c r="F8886" s="626"/>
    </row>
    <row r="8887" spans="1:6">
      <c r="A8887" t="str">
        <f t="shared" si="138"/>
        <v/>
      </c>
      <c r="E8887" s="626"/>
      <c r="F8887" s="626"/>
    </row>
    <row r="8888" spans="1:6">
      <c r="A8888" t="str">
        <f t="shared" si="138"/>
        <v/>
      </c>
      <c r="E8888" s="626"/>
      <c r="F8888" s="626"/>
    </row>
    <row r="8889" spans="1:6">
      <c r="A8889" t="str">
        <f t="shared" si="138"/>
        <v/>
      </c>
      <c r="E8889" s="626"/>
      <c r="F8889" s="626"/>
    </row>
    <row r="8890" spans="1:6">
      <c r="A8890" t="str">
        <f t="shared" si="138"/>
        <v/>
      </c>
      <c r="E8890" s="626"/>
      <c r="F8890" s="626"/>
    </row>
    <row r="8891" spans="1:6">
      <c r="A8891" t="str">
        <f t="shared" si="138"/>
        <v/>
      </c>
      <c r="E8891" s="626"/>
      <c r="F8891" s="626"/>
    </row>
    <row r="8892" spans="1:6">
      <c r="A8892" t="str">
        <f t="shared" si="138"/>
        <v/>
      </c>
      <c r="E8892" s="626"/>
      <c r="F8892" s="626"/>
    </row>
    <row r="8893" spans="1:6">
      <c r="A8893" t="str">
        <f t="shared" si="138"/>
        <v/>
      </c>
      <c r="E8893" s="626"/>
      <c r="F8893" s="626"/>
    </row>
    <row r="8894" spans="1:6">
      <c r="A8894" t="str">
        <f t="shared" si="138"/>
        <v/>
      </c>
      <c r="E8894" s="626"/>
      <c r="F8894" s="626"/>
    </row>
    <row r="8895" spans="1:6">
      <c r="A8895" t="str">
        <f t="shared" si="138"/>
        <v/>
      </c>
      <c r="E8895" s="626"/>
      <c r="F8895" s="626"/>
    </row>
    <row r="8896" spans="1:6">
      <c r="A8896" t="str">
        <f t="shared" si="138"/>
        <v/>
      </c>
      <c r="E8896" s="626"/>
      <c r="F8896" s="626"/>
    </row>
    <row r="8897" spans="1:6">
      <c r="A8897" t="str">
        <f t="shared" si="138"/>
        <v/>
      </c>
      <c r="E8897" s="626"/>
      <c r="F8897" s="626"/>
    </row>
    <row r="8898" spans="1:6">
      <c r="A8898" t="str">
        <f t="shared" ref="A8898:A8961" si="139">B8898&amp;E8898&amp;J8898</f>
        <v/>
      </c>
      <c r="E8898" s="626"/>
      <c r="F8898" s="626"/>
    </row>
    <row r="8899" spans="1:6">
      <c r="A8899" t="str">
        <f t="shared" si="139"/>
        <v/>
      </c>
      <c r="E8899" s="626"/>
      <c r="F8899" s="626"/>
    </row>
    <row r="8900" spans="1:6">
      <c r="A8900" t="str">
        <f t="shared" si="139"/>
        <v/>
      </c>
      <c r="E8900" s="626"/>
      <c r="F8900" s="626"/>
    </row>
    <row r="8901" spans="1:6">
      <c r="A8901" t="str">
        <f t="shared" si="139"/>
        <v/>
      </c>
      <c r="E8901" s="626"/>
      <c r="F8901" s="626"/>
    </row>
    <row r="8902" spans="1:6">
      <c r="A8902" t="str">
        <f t="shared" si="139"/>
        <v/>
      </c>
      <c r="E8902" s="626"/>
      <c r="F8902" s="626"/>
    </row>
    <row r="8903" spans="1:6">
      <c r="A8903" t="str">
        <f t="shared" si="139"/>
        <v/>
      </c>
      <c r="E8903" s="626"/>
      <c r="F8903" s="626"/>
    </row>
    <row r="8904" spans="1:6">
      <c r="A8904" t="str">
        <f t="shared" si="139"/>
        <v/>
      </c>
      <c r="E8904" s="626"/>
      <c r="F8904" s="626"/>
    </row>
    <row r="8905" spans="1:6">
      <c r="A8905" t="str">
        <f t="shared" si="139"/>
        <v/>
      </c>
      <c r="E8905" s="626"/>
      <c r="F8905" s="626"/>
    </row>
    <row r="8906" spans="1:6">
      <c r="A8906" t="str">
        <f t="shared" si="139"/>
        <v/>
      </c>
      <c r="E8906" s="626"/>
      <c r="F8906" s="626"/>
    </row>
    <row r="8907" spans="1:6">
      <c r="A8907" t="str">
        <f t="shared" si="139"/>
        <v/>
      </c>
      <c r="E8907" s="626"/>
      <c r="F8907" s="626"/>
    </row>
    <row r="8908" spans="1:6">
      <c r="A8908" t="str">
        <f t="shared" si="139"/>
        <v/>
      </c>
      <c r="E8908" s="626"/>
      <c r="F8908" s="626"/>
    </row>
    <row r="8909" spans="1:6">
      <c r="A8909" t="str">
        <f t="shared" si="139"/>
        <v/>
      </c>
      <c r="E8909" s="626"/>
      <c r="F8909" s="626"/>
    </row>
    <row r="8910" spans="1:6">
      <c r="A8910" t="str">
        <f t="shared" si="139"/>
        <v/>
      </c>
      <c r="E8910" s="626"/>
      <c r="F8910" s="626"/>
    </row>
    <row r="8911" spans="1:6">
      <c r="A8911" t="str">
        <f t="shared" si="139"/>
        <v/>
      </c>
      <c r="E8911" s="626"/>
      <c r="F8911" s="626"/>
    </row>
    <row r="8912" spans="1:6">
      <c r="A8912" t="str">
        <f t="shared" si="139"/>
        <v/>
      </c>
      <c r="E8912" s="626"/>
      <c r="F8912" s="626"/>
    </row>
    <row r="8913" spans="1:6">
      <c r="A8913" t="str">
        <f t="shared" si="139"/>
        <v/>
      </c>
      <c r="E8913" s="626"/>
      <c r="F8913" s="626"/>
    </row>
    <row r="8914" spans="1:6">
      <c r="A8914" t="str">
        <f t="shared" si="139"/>
        <v/>
      </c>
      <c r="E8914" s="626"/>
      <c r="F8914" s="626"/>
    </row>
    <row r="8915" spans="1:6">
      <c r="A8915" t="str">
        <f t="shared" si="139"/>
        <v/>
      </c>
      <c r="E8915" s="626"/>
      <c r="F8915" s="626"/>
    </row>
    <row r="8916" spans="1:6">
      <c r="A8916" t="str">
        <f t="shared" si="139"/>
        <v/>
      </c>
      <c r="E8916" s="626"/>
      <c r="F8916" s="626"/>
    </row>
    <row r="8917" spans="1:6">
      <c r="A8917" t="str">
        <f t="shared" si="139"/>
        <v/>
      </c>
      <c r="E8917" s="626"/>
      <c r="F8917" s="626"/>
    </row>
    <row r="8918" spans="1:6">
      <c r="A8918" t="str">
        <f t="shared" si="139"/>
        <v/>
      </c>
      <c r="E8918" s="626"/>
      <c r="F8918" s="626"/>
    </row>
    <row r="8919" spans="1:6">
      <c r="A8919" t="str">
        <f t="shared" si="139"/>
        <v/>
      </c>
      <c r="E8919" s="626"/>
      <c r="F8919" s="626"/>
    </row>
    <row r="8920" spans="1:6">
      <c r="A8920" t="str">
        <f t="shared" si="139"/>
        <v/>
      </c>
      <c r="E8920" s="626"/>
      <c r="F8920" s="626"/>
    </row>
    <row r="8921" spans="1:6">
      <c r="A8921" t="str">
        <f t="shared" si="139"/>
        <v/>
      </c>
      <c r="E8921" s="626"/>
      <c r="F8921" s="626"/>
    </row>
    <row r="8922" spans="1:6">
      <c r="A8922" t="str">
        <f t="shared" si="139"/>
        <v/>
      </c>
      <c r="E8922" s="626"/>
      <c r="F8922" s="626"/>
    </row>
    <row r="8923" spans="1:6">
      <c r="A8923" t="str">
        <f t="shared" si="139"/>
        <v/>
      </c>
      <c r="E8923" s="626"/>
      <c r="F8923" s="626"/>
    </row>
    <row r="8924" spans="1:6">
      <c r="A8924" t="str">
        <f t="shared" si="139"/>
        <v/>
      </c>
      <c r="E8924" s="626"/>
      <c r="F8924" s="626"/>
    </row>
    <row r="8925" spans="1:6">
      <c r="A8925" t="str">
        <f t="shared" si="139"/>
        <v/>
      </c>
      <c r="E8925" s="626"/>
      <c r="F8925" s="626"/>
    </row>
    <row r="8926" spans="1:6">
      <c r="A8926" t="str">
        <f t="shared" si="139"/>
        <v/>
      </c>
      <c r="E8926" s="626"/>
      <c r="F8926" s="626"/>
    </row>
    <row r="8927" spans="1:6">
      <c r="A8927" t="str">
        <f t="shared" si="139"/>
        <v/>
      </c>
      <c r="E8927" s="626"/>
      <c r="F8927" s="626"/>
    </row>
    <row r="8928" spans="1:6">
      <c r="A8928" t="str">
        <f t="shared" si="139"/>
        <v/>
      </c>
      <c r="E8928" s="626"/>
      <c r="F8928" s="626"/>
    </row>
    <row r="8929" spans="1:6">
      <c r="A8929" t="str">
        <f t="shared" si="139"/>
        <v/>
      </c>
      <c r="E8929" s="626"/>
      <c r="F8929" s="626"/>
    </row>
    <row r="8930" spans="1:6">
      <c r="A8930" t="str">
        <f t="shared" si="139"/>
        <v/>
      </c>
      <c r="E8930" s="626"/>
      <c r="F8930" s="626"/>
    </row>
    <row r="8931" spans="1:6">
      <c r="A8931" t="str">
        <f t="shared" si="139"/>
        <v/>
      </c>
      <c r="E8931" s="626"/>
      <c r="F8931" s="626"/>
    </row>
    <row r="8932" spans="1:6">
      <c r="A8932" t="str">
        <f t="shared" si="139"/>
        <v/>
      </c>
      <c r="E8932" s="626"/>
      <c r="F8932" s="626"/>
    </row>
    <row r="8933" spans="1:6">
      <c r="A8933" t="str">
        <f t="shared" si="139"/>
        <v/>
      </c>
      <c r="E8933" s="626"/>
      <c r="F8933" s="626"/>
    </row>
    <row r="8934" spans="1:6">
      <c r="A8934" t="str">
        <f t="shared" si="139"/>
        <v/>
      </c>
      <c r="E8934" s="626"/>
      <c r="F8934" s="626"/>
    </row>
    <row r="8935" spans="1:6">
      <c r="A8935" t="str">
        <f t="shared" si="139"/>
        <v/>
      </c>
      <c r="E8935" s="626"/>
      <c r="F8935" s="626"/>
    </row>
    <row r="8936" spans="1:6">
      <c r="A8936" t="str">
        <f t="shared" si="139"/>
        <v/>
      </c>
      <c r="E8936" s="626"/>
      <c r="F8936" s="626"/>
    </row>
    <row r="8937" spans="1:6">
      <c r="A8937" t="str">
        <f t="shared" si="139"/>
        <v/>
      </c>
      <c r="E8937" s="626"/>
      <c r="F8937" s="626"/>
    </row>
    <row r="8938" spans="1:6">
      <c r="A8938" t="str">
        <f t="shared" si="139"/>
        <v/>
      </c>
      <c r="E8938" s="626"/>
      <c r="F8938" s="626"/>
    </row>
    <row r="8939" spans="1:6">
      <c r="A8939" t="str">
        <f t="shared" si="139"/>
        <v/>
      </c>
      <c r="E8939" s="626"/>
      <c r="F8939" s="626"/>
    </row>
    <row r="8940" spans="1:6">
      <c r="A8940" t="str">
        <f t="shared" si="139"/>
        <v/>
      </c>
      <c r="E8940" s="626"/>
      <c r="F8940" s="626"/>
    </row>
    <row r="8941" spans="1:6">
      <c r="A8941" t="str">
        <f t="shared" si="139"/>
        <v/>
      </c>
      <c r="E8941" s="626"/>
      <c r="F8941" s="626"/>
    </row>
    <row r="8942" spans="1:6">
      <c r="A8942" t="str">
        <f t="shared" si="139"/>
        <v/>
      </c>
      <c r="E8942" s="626"/>
      <c r="F8942" s="626"/>
    </row>
    <row r="8943" spans="1:6">
      <c r="A8943" t="str">
        <f t="shared" si="139"/>
        <v/>
      </c>
      <c r="E8943" s="626"/>
      <c r="F8943" s="626"/>
    </row>
    <row r="8944" spans="1:6">
      <c r="A8944" t="str">
        <f t="shared" si="139"/>
        <v/>
      </c>
      <c r="E8944" s="626"/>
      <c r="F8944" s="626"/>
    </row>
    <row r="8945" spans="1:6">
      <c r="A8945" t="str">
        <f t="shared" si="139"/>
        <v/>
      </c>
      <c r="E8945" s="626"/>
      <c r="F8945" s="626"/>
    </row>
    <row r="8946" spans="1:6">
      <c r="A8946" t="str">
        <f t="shared" si="139"/>
        <v/>
      </c>
      <c r="E8946" s="626"/>
      <c r="F8946" s="626"/>
    </row>
    <row r="8947" spans="1:6">
      <c r="A8947" t="str">
        <f t="shared" si="139"/>
        <v/>
      </c>
      <c r="E8947" s="626"/>
      <c r="F8947" s="626"/>
    </row>
    <row r="8948" spans="1:6">
      <c r="A8948" t="str">
        <f t="shared" si="139"/>
        <v/>
      </c>
      <c r="E8948" s="626"/>
      <c r="F8948" s="626"/>
    </row>
    <row r="8949" spans="1:6">
      <c r="A8949" t="str">
        <f t="shared" si="139"/>
        <v/>
      </c>
      <c r="E8949" s="626"/>
      <c r="F8949" s="626"/>
    </row>
    <row r="8950" spans="1:6">
      <c r="A8950" t="str">
        <f t="shared" si="139"/>
        <v/>
      </c>
      <c r="E8950" s="626"/>
      <c r="F8950" s="626"/>
    </row>
    <row r="8951" spans="1:6">
      <c r="A8951" t="str">
        <f t="shared" si="139"/>
        <v/>
      </c>
      <c r="E8951" s="626"/>
      <c r="F8951" s="626"/>
    </row>
    <row r="8952" spans="1:6">
      <c r="A8952" t="str">
        <f t="shared" si="139"/>
        <v/>
      </c>
      <c r="E8952" s="626"/>
      <c r="F8952" s="626"/>
    </row>
    <row r="8953" spans="1:6">
      <c r="A8953" t="str">
        <f t="shared" si="139"/>
        <v/>
      </c>
      <c r="E8953" s="626"/>
      <c r="F8953" s="626"/>
    </row>
    <row r="8954" spans="1:6">
      <c r="A8954" t="str">
        <f t="shared" si="139"/>
        <v/>
      </c>
      <c r="E8954" s="626"/>
      <c r="F8954" s="626"/>
    </row>
    <row r="8955" spans="1:6">
      <c r="A8955" t="str">
        <f t="shared" si="139"/>
        <v/>
      </c>
      <c r="E8955" s="626"/>
      <c r="F8955" s="626"/>
    </row>
    <row r="8956" spans="1:6">
      <c r="A8956" t="str">
        <f t="shared" si="139"/>
        <v/>
      </c>
      <c r="E8956" s="626"/>
      <c r="F8956" s="626"/>
    </row>
    <row r="8957" spans="1:6">
      <c r="A8957" t="str">
        <f t="shared" si="139"/>
        <v/>
      </c>
      <c r="E8957" s="626"/>
      <c r="F8957" s="626"/>
    </row>
    <row r="8958" spans="1:6">
      <c r="A8958" t="str">
        <f t="shared" si="139"/>
        <v/>
      </c>
      <c r="E8958" s="626"/>
      <c r="F8958" s="626"/>
    </row>
    <row r="8959" spans="1:6">
      <c r="A8959" t="str">
        <f t="shared" si="139"/>
        <v/>
      </c>
      <c r="E8959" s="626"/>
      <c r="F8959" s="626"/>
    </row>
    <row r="8960" spans="1:6">
      <c r="A8960" t="str">
        <f t="shared" si="139"/>
        <v/>
      </c>
      <c r="E8960" s="626"/>
      <c r="F8960" s="626"/>
    </row>
    <row r="8961" spans="1:6">
      <c r="A8961" t="str">
        <f t="shared" si="139"/>
        <v/>
      </c>
      <c r="E8961" s="626"/>
      <c r="F8961" s="626"/>
    </row>
    <row r="8962" spans="1:6">
      <c r="A8962" t="str">
        <f t="shared" ref="A8962:A9025" si="140">B8962&amp;E8962&amp;J8962</f>
        <v/>
      </c>
      <c r="E8962" s="626"/>
      <c r="F8962" s="626"/>
    </row>
    <row r="8963" spans="1:6">
      <c r="A8963" t="str">
        <f t="shared" si="140"/>
        <v/>
      </c>
      <c r="E8963" s="626"/>
      <c r="F8963" s="626"/>
    </row>
    <row r="8964" spans="1:6">
      <c r="A8964" t="str">
        <f t="shared" si="140"/>
        <v/>
      </c>
      <c r="E8964" s="626"/>
      <c r="F8964" s="626"/>
    </row>
    <row r="8965" spans="1:6">
      <c r="A8965" t="str">
        <f t="shared" si="140"/>
        <v/>
      </c>
      <c r="E8965" s="626"/>
      <c r="F8965" s="626"/>
    </row>
    <row r="8966" spans="1:6">
      <c r="A8966" t="str">
        <f t="shared" si="140"/>
        <v/>
      </c>
      <c r="E8966" s="626"/>
      <c r="F8966" s="626"/>
    </row>
    <row r="8967" spans="1:6">
      <c r="A8967" t="str">
        <f t="shared" si="140"/>
        <v/>
      </c>
      <c r="E8967" s="626"/>
      <c r="F8967" s="626"/>
    </row>
    <row r="8968" spans="1:6">
      <c r="A8968" t="str">
        <f t="shared" si="140"/>
        <v/>
      </c>
      <c r="E8968" s="626"/>
      <c r="F8968" s="626"/>
    </row>
    <row r="8969" spans="1:6">
      <c r="A8969" t="str">
        <f t="shared" si="140"/>
        <v/>
      </c>
      <c r="E8969" s="626"/>
      <c r="F8969" s="626"/>
    </row>
    <row r="8970" spans="1:6">
      <c r="A8970" t="str">
        <f t="shared" si="140"/>
        <v/>
      </c>
      <c r="E8970" s="626"/>
      <c r="F8970" s="626"/>
    </row>
    <row r="8971" spans="1:6">
      <c r="A8971" t="str">
        <f t="shared" si="140"/>
        <v/>
      </c>
      <c r="E8971" s="626"/>
      <c r="F8971" s="626"/>
    </row>
    <row r="8972" spans="1:6">
      <c r="A8972" t="str">
        <f t="shared" si="140"/>
        <v/>
      </c>
      <c r="E8972" s="626"/>
      <c r="F8972" s="626"/>
    </row>
    <row r="8973" spans="1:6">
      <c r="A8973" t="str">
        <f t="shared" si="140"/>
        <v/>
      </c>
      <c r="E8973" s="626"/>
      <c r="F8973" s="626"/>
    </row>
    <row r="8974" spans="1:6">
      <c r="A8974" t="str">
        <f t="shared" si="140"/>
        <v/>
      </c>
      <c r="E8974" s="626"/>
      <c r="F8974" s="626"/>
    </row>
    <row r="8975" spans="1:6">
      <c r="A8975" t="str">
        <f t="shared" si="140"/>
        <v/>
      </c>
      <c r="E8975" s="626"/>
      <c r="F8975" s="626"/>
    </row>
    <row r="8976" spans="1:6">
      <c r="A8976" t="str">
        <f t="shared" si="140"/>
        <v/>
      </c>
      <c r="E8976" s="626"/>
      <c r="F8976" s="626"/>
    </row>
    <row r="8977" spans="1:6">
      <c r="A8977" t="str">
        <f t="shared" si="140"/>
        <v/>
      </c>
      <c r="E8977" s="626"/>
      <c r="F8977" s="626"/>
    </row>
    <row r="8978" spans="1:6">
      <c r="A8978" t="str">
        <f t="shared" si="140"/>
        <v/>
      </c>
      <c r="E8978" s="626"/>
      <c r="F8978" s="626"/>
    </row>
    <row r="8979" spans="1:6">
      <c r="A8979" t="str">
        <f t="shared" si="140"/>
        <v/>
      </c>
      <c r="E8979" s="626"/>
      <c r="F8979" s="626"/>
    </row>
    <row r="8980" spans="1:6">
      <c r="A8980" t="str">
        <f t="shared" si="140"/>
        <v/>
      </c>
      <c r="E8980" s="626"/>
      <c r="F8980" s="626"/>
    </row>
    <row r="8981" spans="1:6">
      <c r="A8981" t="str">
        <f t="shared" si="140"/>
        <v/>
      </c>
      <c r="E8981" s="626"/>
      <c r="F8981" s="626"/>
    </row>
    <row r="8982" spans="1:6">
      <c r="A8982" t="str">
        <f t="shared" si="140"/>
        <v/>
      </c>
      <c r="E8982" s="626"/>
      <c r="F8982" s="626"/>
    </row>
    <row r="8983" spans="1:6">
      <c r="A8983" t="str">
        <f t="shared" si="140"/>
        <v/>
      </c>
      <c r="E8983" s="626"/>
      <c r="F8983" s="626"/>
    </row>
    <row r="8984" spans="1:6">
      <c r="A8984" t="str">
        <f t="shared" si="140"/>
        <v/>
      </c>
      <c r="E8984" s="626"/>
      <c r="F8984" s="626"/>
    </row>
    <row r="8985" spans="1:6">
      <c r="A8985" t="str">
        <f t="shared" si="140"/>
        <v/>
      </c>
      <c r="E8985" s="626"/>
      <c r="F8985" s="626"/>
    </row>
    <row r="8986" spans="1:6">
      <c r="A8986" t="str">
        <f t="shared" si="140"/>
        <v/>
      </c>
      <c r="E8986" s="626"/>
      <c r="F8986" s="626"/>
    </row>
    <row r="8987" spans="1:6">
      <c r="A8987" t="str">
        <f t="shared" si="140"/>
        <v/>
      </c>
      <c r="E8987" s="626"/>
      <c r="F8987" s="626"/>
    </row>
    <row r="8988" spans="1:6">
      <c r="A8988" t="str">
        <f t="shared" si="140"/>
        <v/>
      </c>
      <c r="E8988" s="626"/>
      <c r="F8988" s="626"/>
    </row>
    <row r="8989" spans="1:6">
      <c r="A8989" t="str">
        <f t="shared" si="140"/>
        <v/>
      </c>
      <c r="E8989" s="626"/>
      <c r="F8989" s="626"/>
    </row>
    <row r="8990" spans="1:6">
      <c r="A8990" t="str">
        <f t="shared" si="140"/>
        <v/>
      </c>
      <c r="E8990" s="626"/>
      <c r="F8990" s="626"/>
    </row>
    <row r="8991" spans="1:6">
      <c r="A8991" t="str">
        <f t="shared" si="140"/>
        <v/>
      </c>
      <c r="E8991" s="626"/>
      <c r="F8991" s="626"/>
    </row>
    <row r="8992" spans="1:6">
      <c r="A8992" t="str">
        <f t="shared" si="140"/>
        <v/>
      </c>
      <c r="E8992" s="626"/>
      <c r="F8992" s="626"/>
    </row>
    <row r="8993" spans="1:6">
      <c r="A8993" t="str">
        <f t="shared" si="140"/>
        <v/>
      </c>
      <c r="E8993" s="626"/>
      <c r="F8993" s="626"/>
    </row>
    <row r="8994" spans="1:6">
      <c r="A8994" t="str">
        <f t="shared" si="140"/>
        <v/>
      </c>
      <c r="E8994" s="626"/>
      <c r="F8994" s="626"/>
    </row>
    <row r="8995" spans="1:6">
      <c r="A8995" t="str">
        <f t="shared" si="140"/>
        <v/>
      </c>
      <c r="E8995" s="626"/>
      <c r="F8995" s="626"/>
    </row>
    <row r="8996" spans="1:6">
      <c r="A8996" t="str">
        <f t="shared" si="140"/>
        <v/>
      </c>
      <c r="E8996" s="626"/>
      <c r="F8996" s="626"/>
    </row>
    <row r="8997" spans="1:6">
      <c r="A8997" t="str">
        <f t="shared" si="140"/>
        <v/>
      </c>
      <c r="E8997" s="626"/>
      <c r="F8997" s="626"/>
    </row>
    <row r="8998" spans="1:6">
      <c r="A8998" t="str">
        <f t="shared" si="140"/>
        <v/>
      </c>
      <c r="E8998" s="626"/>
      <c r="F8998" s="626"/>
    </row>
    <row r="8999" spans="1:6">
      <c r="A8999" t="str">
        <f t="shared" si="140"/>
        <v/>
      </c>
      <c r="E8999" s="626"/>
      <c r="F8999" s="626"/>
    </row>
    <row r="9000" spans="1:6">
      <c r="A9000" t="str">
        <f t="shared" si="140"/>
        <v/>
      </c>
      <c r="E9000" s="626"/>
      <c r="F9000" s="626"/>
    </row>
    <row r="9001" spans="1:6">
      <c r="A9001" t="str">
        <f t="shared" si="140"/>
        <v/>
      </c>
      <c r="E9001" s="626"/>
      <c r="F9001" s="626"/>
    </row>
    <row r="9002" spans="1:6">
      <c r="A9002" t="str">
        <f t="shared" si="140"/>
        <v/>
      </c>
      <c r="E9002" s="626"/>
      <c r="F9002" s="626"/>
    </row>
    <row r="9003" spans="1:6">
      <c r="A9003" t="str">
        <f t="shared" si="140"/>
        <v/>
      </c>
      <c r="E9003" s="626"/>
      <c r="F9003" s="626"/>
    </row>
    <row r="9004" spans="1:6">
      <c r="A9004" t="str">
        <f t="shared" si="140"/>
        <v/>
      </c>
      <c r="E9004" s="626"/>
      <c r="F9004" s="626"/>
    </row>
    <row r="9005" spans="1:6">
      <c r="A9005" t="str">
        <f t="shared" si="140"/>
        <v/>
      </c>
      <c r="E9005" s="626"/>
      <c r="F9005" s="626"/>
    </row>
    <row r="9006" spans="1:6">
      <c r="A9006" t="str">
        <f t="shared" si="140"/>
        <v/>
      </c>
      <c r="E9006" s="626"/>
      <c r="F9006" s="626"/>
    </row>
    <row r="9007" spans="1:6">
      <c r="A9007" t="str">
        <f t="shared" si="140"/>
        <v/>
      </c>
      <c r="E9007" s="626"/>
      <c r="F9007" s="626"/>
    </row>
    <row r="9008" spans="1:6">
      <c r="A9008" t="str">
        <f t="shared" si="140"/>
        <v/>
      </c>
      <c r="E9008" s="626"/>
      <c r="F9008" s="626"/>
    </row>
    <row r="9009" spans="1:6">
      <c r="A9009" t="str">
        <f t="shared" si="140"/>
        <v/>
      </c>
      <c r="E9009" s="626"/>
      <c r="F9009" s="626"/>
    </row>
    <row r="9010" spans="1:6">
      <c r="A9010" t="str">
        <f t="shared" si="140"/>
        <v/>
      </c>
      <c r="E9010" s="626"/>
      <c r="F9010" s="626"/>
    </row>
    <row r="9011" spans="1:6">
      <c r="A9011" t="str">
        <f t="shared" si="140"/>
        <v/>
      </c>
      <c r="E9011" s="626"/>
      <c r="F9011" s="626"/>
    </row>
    <row r="9012" spans="1:6">
      <c r="A9012" t="str">
        <f t="shared" si="140"/>
        <v/>
      </c>
      <c r="E9012" s="626"/>
      <c r="F9012" s="626"/>
    </row>
    <row r="9013" spans="1:6">
      <c r="A9013" t="str">
        <f t="shared" si="140"/>
        <v/>
      </c>
      <c r="E9013" s="626"/>
      <c r="F9013" s="626"/>
    </row>
    <row r="9014" spans="1:6">
      <c r="A9014" t="str">
        <f t="shared" si="140"/>
        <v/>
      </c>
      <c r="E9014" s="626"/>
      <c r="F9014" s="626"/>
    </row>
    <row r="9015" spans="1:6">
      <c r="A9015" t="str">
        <f t="shared" si="140"/>
        <v/>
      </c>
      <c r="E9015" s="626"/>
      <c r="F9015" s="626"/>
    </row>
    <row r="9016" spans="1:6">
      <c r="A9016" t="str">
        <f t="shared" si="140"/>
        <v/>
      </c>
      <c r="E9016" s="626"/>
      <c r="F9016" s="626"/>
    </row>
    <row r="9017" spans="1:6">
      <c r="A9017" t="str">
        <f t="shared" si="140"/>
        <v/>
      </c>
      <c r="E9017" s="626"/>
      <c r="F9017" s="626"/>
    </row>
    <row r="9018" spans="1:6">
      <c r="A9018" t="str">
        <f t="shared" si="140"/>
        <v/>
      </c>
      <c r="E9018" s="626"/>
      <c r="F9018" s="626"/>
    </row>
    <row r="9019" spans="1:6">
      <c r="A9019" t="str">
        <f t="shared" si="140"/>
        <v/>
      </c>
      <c r="E9019" s="626"/>
      <c r="F9019" s="626"/>
    </row>
    <row r="9020" spans="1:6">
      <c r="A9020" t="str">
        <f t="shared" si="140"/>
        <v/>
      </c>
      <c r="E9020" s="626"/>
      <c r="F9020" s="626"/>
    </row>
    <row r="9021" spans="1:6">
      <c r="A9021" t="str">
        <f t="shared" si="140"/>
        <v/>
      </c>
      <c r="E9021" s="626"/>
      <c r="F9021" s="626"/>
    </row>
    <row r="9022" spans="1:6">
      <c r="A9022" t="str">
        <f t="shared" si="140"/>
        <v/>
      </c>
      <c r="E9022" s="626"/>
      <c r="F9022" s="626"/>
    </row>
    <row r="9023" spans="1:6">
      <c r="A9023" t="str">
        <f t="shared" si="140"/>
        <v/>
      </c>
      <c r="E9023" s="626"/>
      <c r="F9023" s="626"/>
    </row>
    <row r="9024" spans="1:6">
      <c r="A9024" t="str">
        <f t="shared" si="140"/>
        <v/>
      </c>
      <c r="E9024" s="626"/>
      <c r="F9024" s="626"/>
    </row>
    <row r="9025" spans="1:6">
      <c r="A9025" t="str">
        <f t="shared" si="140"/>
        <v/>
      </c>
      <c r="E9025" s="626"/>
      <c r="F9025" s="626"/>
    </row>
    <row r="9026" spans="1:6">
      <c r="A9026" t="str">
        <f t="shared" ref="A9026:A9089" si="141">B9026&amp;E9026&amp;J9026</f>
        <v/>
      </c>
      <c r="E9026" s="626"/>
      <c r="F9026" s="626"/>
    </row>
    <row r="9027" spans="1:6">
      <c r="A9027" t="str">
        <f t="shared" si="141"/>
        <v/>
      </c>
      <c r="E9027" s="626"/>
      <c r="F9027" s="626"/>
    </row>
    <row r="9028" spans="1:6">
      <c r="A9028" t="str">
        <f t="shared" si="141"/>
        <v/>
      </c>
      <c r="E9028" s="626"/>
      <c r="F9028" s="626"/>
    </row>
    <row r="9029" spans="1:6">
      <c r="A9029" t="str">
        <f t="shared" si="141"/>
        <v/>
      </c>
      <c r="E9029" s="626"/>
      <c r="F9029" s="626"/>
    </row>
    <row r="9030" spans="1:6">
      <c r="A9030" t="str">
        <f t="shared" si="141"/>
        <v/>
      </c>
      <c r="E9030" s="626"/>
      <c r="F9030" s="626"/>
    </row>
    <row r="9031" spans="1:6">
      <c r="A9031" t="str">
        <f t="shared" si="141"/>
        <v/>
      </c>
      <c r="E9031" s="626"/>
      <c r="F9031" s="626"/>
    </row>
    <row r="9032" spans="1:6">
      <c r="A9032" t="str">
        <f t="shared" si="141"/>
        <v/>
      </c>
      <c r="E9032" s="626"/>
      <c r="F9032" s="626"/>
    </row>
    <row r="9033" spans="1:6">
      <c r="A9033" t="str">
        <f t="shared" si="141"/>
        <v/>
      </c>
      <c r="E9033" s="626"/>
      <c r="F9033" s="626"/>
    </row>
    <row r="9034" spans="1:6">
      <c r="A9034" t="str">
        <f t="shared" si="141"/>
        <v/>
      </c>
      <c r="E9034" s="626"/>
      <c r="F9034" s="626"/>
    </row>
    <row r="9035" spans="1:6">
      <c r="A9035" t="str">
        <f t="shared" si="141"/>
        <v/>
      </c>
      <c r="E9035" s="626"/>
      <c r="F9035" s="626"/>
    </row>
    <row r="9036" spans="1:6">
      <c r="A9036" t="str">
        <f t="shared" si="141"/>
        <v/>
      </c>
      <c r="E9036" s="626"/>
      <c r="F9036" s="626"/>
    </row>
    <row r="9037" spans="1:6">
      <c r="A9037" t="str">
        <f t="shared" si="141"/>
        <v/>
      </c>
      <c r="E9037" s="626"/>
      <c r="F9037" s="626"/>
    </row>
    <row r="9038" spans="1:6">
      <c r="A9038" t="str">
        <f t="shared" si="141"/>
        <v/>
      </c>
      <c r="E9038" s="626"/>
      <c r="F9038" s="626"/>
    </row>
    <row r="9039" spans="1:6">
      <c r="A9039" t="str">
        <f t="shared" si="141"/>
        <v/>
      </c>
      <c r="E9039" s="626"/>
      <c r="F9039" s="626"/>
    </row>
    <row r="9040" spans="1:6">
      <c r="A9040" t="str">
        <f t="shared" si="141"/>
        <v/>
      </c>
      <c r="E9040" s="626"/>
      <c r="F9040" s="626"/>
    </row>
    <row r="9041" spans="1:6">
      <c r="A9041" t="str">
        <f t="shared" si="141"/>
        <v/>
      </c>
      <c r="E9041" s="626"/>
      <c r="F9041" s="626"/>
    </row>
    <row r="9042" spans="1:6">
      <c r="A9042" t="str">
        <f t="shared" si="141"/>
        <v/>
      </c>
      <c r="E9042" s="626"/>
      <c r="F9042" s="626"/>
    </row>
    <row r="9043" spans="1:6">
      <c r="A9043" t="str">
        <f t="shared" si="141"/>
        <v/>
      </c>
      <c r="E9043" s="626"/>
      <c r="F9043" s="626"/>
    </row>
    <row r="9044" spans="1:6">
      <c r="A9044" t="str">
        <f t="shared" si="141"/>
        <v/>
      </c>
      <c r="E9044" s="626"/>
      <c r="F9044" s="626"/>
    </row>
    <row r="9045" spans="1:6">
      <c r="A9045" t="str">
        <f t="shared" si="141"/>
        <v/>
      </c>
      <c r="E9045" s="626"/>
      <c r="F9045" s="626"/>
    </row>
    <row r="9046" spans="1:6">
      <c r="A9046" t="str">
        <f t="shared" si="141"/>
        <v/>
      </c>
      <c r="E9046" s="626"/>
      <c r="F9046" s="626"/>
    </row>
    <row r="9047" spans="1:6">
      <c r="A9047" t="str">
        <f t="shared" si="141"/>
        <v/>
      </c>
      <c r="E9047" s="626"/>
      <c r="F9047" s="626"/>
    </row>
    <row r="9048" spans="1:6">
      <c r="A9048" t="str">
        <f t="shared" si="141"/>
        <v/>
      </c>
      <c r="E9048" s="626"/>
      <c r="F9048" s="626"/>
    </row>
    <row r="9049" spans="1:6">
      <c r="A9049" t="str">
        <f t="shared" si="141"/>
        <v/>
      </c>
      <c r="E9049" s="626"/>
      <c r="F9049" s="626"/>
    </row>
    <row r="9050" spans="1:6">
      <c r="A9050" t="str">
        <f t="shared" si="141"/>
        <v/>
      </c>
      <c r="E9050" s="626"/>
      <c r="F9050" s="626"/>
    </row>
    <row r="9051" spans="1:6">
      <c r="A9051" t="str">
        <f t="shared" si="141"/>
        <v/>
      </c>
      <c r="E9051" s="626"/>
      <c r="F9051" s="626"/>
    </row>
    <row r="9052" spans="1:6">
      <c r="A9052" t="str">
        <f t="shared" si="141"/>
        <v/>
      </c>
      <c r="E9052" s="626"/>
      <c r="F9052" s="626"/>
    </row>
    <row r="9053" spans="1:6">
      <c r="A9053" t="str">
        <f t="shared" si="141"/>
        <v/>
      </c>
      <c r="E9053" s="626"/>
      <c r="F9053" s="626"/>
    </row>
    <row r="9054" spans="1:6">
      <c r="A9054" t="str">
        <f t="shared" si="141"/>
        <v/>
      </c>
      <c r="E9054" s="626"/>
      <c r="F9054" s="626"/>
    </row>
    <row r="9055" spans="1:6">
      <c r="A9055" t="str">
        <f t="shared" si="141"/>
        <v/>
      </c>
      <c r="E9055" s="626"/>
      <c r="F9055" s="626"/>
    </row>
    <row r="9056" spans="1:6">
      <c r="A9056" t="str">
        <f t="shared" si="141"/>
        <v/>
      </c>
      <c r="E9056" s="626"/>
      <c r="F9056" s="626"/>
    </row>
    <row r="9057" spans="1:6">
      <c r="A9057" t="str">
        <f t="shared" si="141"/>
        <v/>
      </c>
      <c r="E9057" s="626"/>
      <c r="F9057" s="626"/>
    </row>
    <row r="9058" spans="1:6">
      <c r="A9058" t="str">
        <f t="shared" si="141"/>
        <v/>
      </c>
      <c r="E9058" s="626"/>
      <c r="F9058" s="626"/>
    </row>
    <row r="9059" spans="1:6">
      <c r="A9059" t="str">
        <f t="shared" si="141"/>
        <v/>
      </c>
      <c r="E9059" s="626"/>
      <c r="F9059" s="626"/>
    </row>
    <row r="9060" spans="1:6">
      <c r="A9060" t="str">
        <f t="shared" si="141"/>
        <v/>
      </c>
      <c r="E9060" s="626"/>
      <c r="F9060" s="626"/>
    </row>
    <row r="9061" spans="1:6">
      <c r="A9061" t="str">
        <f t="shared" si="141"/>
        <v/>
      </c>
      <c r="E9061" s="626"/>
      <c r="F9061" s="626"/>
    </row>
    <row r="9062" spans="1:6">
      <c r="A9062" t="str">
        <f t="shared" si="141"/>
        <v/>
      </c>
      <c r="E9062" s="626"/>
      <c r="F9062" s="626"/>
    </row>
    <row r="9063" spans="1:6">
      <c r="A9063" t="str">
        <f t="shared" si="141"/>
        <v/>
      </c>
      <c r="E9063" s="626"/>
      <c r="F9063" s="626"/>
    </row>
    <row r="9064" spans="1:6">
      <c r="A9064" t="str">
        <f t="shared" si="141"/>
        <v/>
      </c>
      <c r="E9064" s="626"/>
      <c r="F9064" s="626"/>
    </row>
    <row r="9065" spans="1:6">
      <c r="A9065" t="str">
        <f t="shared" si="141"/>
        <v/>
      </c>
      <c r="E9065" s="626"/>
      <c r="F9065" s="626"/>
    </row>
    <row r="9066" spans="1:6">
      <c r="A9066" t="str">
        <f t="shared" si="141"/>
        <v/>
      </c>
      <c r="E9066" s="626"/>
      <c r="F9066" s="626"/>
    </row>
    <row r="9067" spans="1:6">
      <c r="A9067" t="str">
        <f t="shared" si="141"/>
        <v/>
      </c>
      <c r="E9067" s="626"/>
      <c r="F9067" s="626"/>
    </row>
    <row r="9068" spans="1:6">
      <c r="A9068" t="str">
        <f t="shared" si="141"/>
        <v/>
      </c>
      <c r="E9068" s="626"/>
      <c r="F9068" s="626"/>
    </row>
    <row r="9069" spans="1:6">
      <c r="A9069" t="str">
        <f t="shared" si="141"/>
        <v/>
      </c>
      <c r="E9069" s="626"/>
      <c r="F9069" s="626"/>
    </row>
    <row r="9070" spans="1:6">
      <c r="A9070" t="str">
        <f t="shared" si="141"/>
        <v/>
      </c>
      <c r="E9070" s="626"/>
      <c r="F9070" s="626"/>
    </row>
    <row r="9071" spans="1:6">
      <c r="A9071" t="str">
        <f t="shared" si="141"/>
        <v/>
      </c>
      <c r="E9071" s="626"/>
      <c r="F9071" s="626"/>
    </row>
    <row r="9072" spans="1:6">
      <c r="A9072" t="str">
        <f t="shared" si="141"/>
        <v/>
      </c>
      <c r="E9072" s="626"/>
      <c r="F9072" s="626"/>
    </row>
    <row r="9073" spans="1:6">
      <c r="A9073" t="str">
        <f t="shared" si="141"/>
        <v/>
      </c>
      <c r="E9073" s="626"/>
      <c r="F9073" s="626"/>
    </row>
    <row r="9074" spans="1:6">
      <c r="A9074" t="str">
        <f t="shared" si="141"/>
        <v/>
      </c>
      <c r="E9074" s="626"/>
      <c r="F9074" s="626"/>
    </row>
    <row r="9075" spans="1:6">
      <c r="A9075" t="str">
        <f t="shared" si="141"/>
        <v/>
      </c>
      <c r="E9075" s="626"/>
      <c r="F9075" s="626"/>
    </row>
    <row r="9076" spans="1:6">
      <c r="A9076" t="str">
        <f t="shared" si="141"/>
        <v/>
      </c>
      <c r="E9076" s="626"/>
      <c r="F9076" s="626"/>
    </row>
    <row r="9077" spans="1:6">
      <c r="A9077" t="str">
        <f t="shared" si="141"/>
        <v/>
      </c>
      <c r="E9077" s="626"/>
      <c r="F9077" s="626"/>
    </row>
    <row r="9078" spans="1:6">
      <c r="A9078" t="str">
        <f t="shared" si="141"/>
        <v/>
      </c>
      <c r="E9078" s="626"/>
      <c r="F9078" s="626"/>
    </row>
    <row r="9079" spans="1:6">
      <c r="A9079" t="str">
        <f t="shared" si="141"/>
        <v/>
      </c>
      <c r="E9079" s="626"/>
      <c r="F9079" s="626"/>
    </row>
    <row r="9080" spans="1:6">
      <c r="A9080" t="str">
        <f t="shared" si="141"/>
        <v/>
      </c>
      <c r="E9080" s="626"/>
      <c r="F9080" s="626"/>
    </row>
    <row r="9081" spans="1:6">
      <c r="A9081" t="str">
        <f t="shared" si="141"/>
        <v/>
      </c>
      <c r="E9081" s="626"/>
      <c r="F9081" s="626"/>
    </row>
    <row r="9082" spans="1:6">
      <c r="A9082" t="str">
        <f t="shared" si="141"/>
        <v/>
      </c>
      <c r="E9082" s="626"/>
      <c r="F9082" s="626"/>
    </row>
    <row r="9083" spans="1:6">
      <c r="A9083" t="str">
        <f t="shared" si="141"/>
        <v/>
      </c>
      <c r="E9083" s="626"/>
      <c r="F9083" s="626"/>
    </row>
    <row r="9084" spans="1:6">
      <c r="A9084" t="str">
        <f t="shared" si="141"/>
        <v/>
      </c>
      <c r="E9084" s="626"/>
      <c r="F9084" s="626"/>
    </row>
    <row r="9085" spans="1:6">
      <c r="A9085" t="str">
        <f t="shared" si="141"/>
        <v/>
      </c>
      <c r="E9085" s="626"/>
      <c r="F9085" s="626"/>
    </row>
    <row r="9086" spans="1:6">
      <c r="A9086" t="str">
        <f t="shared" si="141"/>
        <v/>
      </c>
      <c r="E9086" s="626"/>
      <c r="F9086" s="626"/>
    </row>
    <row r="9087" spans="1:6">
      <c r="A9087" t="str">
        <f t="shared" si="141"/>
        <v/>
      </c>
      <c r="E9087" s="626"/>
      <c r="F9087" s="626"/>
    </row>
    <row r="9088" spans="1:6">
      <c r="A9088" t="str">
        <f t="shared" si="141"/>
        <v/>
      </c>
      <c r="E9088" s="626"/>
      <c r="F9088" s="626"/>
    </row>
    <row r="9089" spans="1:6">
      <c r="A9089" t="str">
        <f t="shared" si="141"/>
        <v/>
      </c>
      <c r="E9089" s="626"/>
      <c r="F9089" s="626"/>
    </row>
    <row r="9090" spans="1:6">
      <c r="A9090" t="str">
        <f t="shared" ref="A9090:A9153" si="142">B9090&amp;E9090&amp;J9090</f>
        <v/>
      </c>
      <c r="E9090" s="626"/>
      <c r="F9090" s="626"/>
    </row>
    <row r="9091" spans="1:6">
      <c r="A9091" t="str">
        <f t="shared" si="142"/>
        <v/>
      </c>
      <c r="E9091" s="626"/>
      <c r="F9091" s="626"/>
    </row>
    <row r="9092" spans="1:6">
      <c r="A9092" t="str">
        <f t="shared" si="142"/>
        <v/>
      </c>
      <c r="E9092" s="626"/>
      <c r="F9092" s="626"/>
    </row>
    <row r="9093" spans="1:6">
      <c r="A9093" t="str">
        <f t="shared" si="142"/>
        <v/>
      </c>
      <c r="E9093" s="626"/>
      <c r="F9093" s="626"/>
    </row>
    <row r="9094" spans="1:6">
      <c r="A9094" t="str">
        <f t="shared" si="142"/>
        <v/>
      </c>
      <c r="E9094" s="626"/>
      <c r="F9094" s="626"/>
    </row>
    <row r="9095" spans="1:6">
      <c r="A9095" t="str">
        <f t="shared" si="142"/>
        <v/>
      </c>
      <c r="E9095" s="626"/>
      <c r="F9095" s="626"/>
    </row>
    <row r="9096" spans="1:6">
      <c r="A9096" t="str">
        <f t="shared" si="142"/>
        <v/>
      </c>
      <c r="E9096" s="626"/>
      <c r="F9096" s="626"/>
    </row>
    <row r="9097" spans="1:6">
      <c r="A9097" t="str">
        <f t="shared" si="142"/>
        <v/>
      </c>
      <c r="E9097" s="626"/>
      <c r="F9097" s="626"/>
    </row>
    <row r="9098" spans="1:6">
      <c r="A9098" t="str">
        <f t="shared" si="142"/>
        <v/>
      </c>
      <c r="E9098" s="626"/>
      <c r="F9098" s="626"/>
    </row>
    <row r="9099" spans="1:6">
      <c r="A9099" t="str">
        <f t="shared" si="142"/>
        <v/>
      </c>
      <c r="E9099" s="626"/>
      <c r="F9099" s="626"/>
    </row>
    <row r="9100" spans="1:6">
      <c r="A9100" t="str">
        <f t="shared" si="142"/>
        <v/>
      </c>
      <c r="E9100" s="626"/>
      <c r="F9100" s="626"/>
    </row>
    <row r="9101" spans="1:6">
      <c r="A9101" t="str">
        <f t="shared" si="142"/>
        <v/>
      </c>
      <c r="E9101" s="626"/>
      <c r="F9101" s="626"/>
    </row>
    <row r="9102" spans="1:6">
      <c r="A9102" t="str">
        <f t="shared" si="142"/>
        <v/>
      </c>
      <c r="E9102" s="626"/>
      <c r="F9102" s="626"/>
    </row>
    <row r="9103" spans="1:6">
      <c r="A9103" t="str">
        <f t="shared" si="142"/>
        <v/>
      </c>
      <c r="E9103" s="626"/>
      <c r="F9103" s="626"/>
    </row>
    <row r="9104" spans="1:6">
      <c r="A9104" t="str">
        <f t="shared" si="142"/>
        <v/>
      </c>
      <c r="E9104" s="626"/>
      <c r="F9104" s="626"/>
    </row>
    <row r="9105" spans="1:6">
      <c r="A9105" t="str">
        <f t="shared" si="142"/>
        <v/>
      </c>
      <c r="E9105" s="626"/>
      <c r="F9105" s="626"/>
    </row>
    <row r="9106" spans="1:6">
      <c r="A9106" t="str">
        <f t="shared" si="142"/>
        <v/>
      </c>
      <c r="E9106" s="626"/>
      <c r="F9106" s="626"/>
    </row>
    <row r="9107" spans="1:6">
      <c r="A9107" t="str">
        <f t="shared" si="142"/>
        <v/>
      </c>
      <c r="E9107" s="626"/>
      <c r="F9107" s="626"/>
    </row>
    <row r="9108" spans="1:6">
      <c r="A9108" t="str">
        <f t="shared" si="142"/>
        <v/>
      </c>
      <c r="E9108" s="626"/>
      <c r="F9108" s="626"/>
    </row>
    <row r="9109" spans="1:6">
      <c r="A9109" t="str">
        <f t="shared" si="142"/>
        <v/>
      </c>
      <c r="E9109" s="626"/>
      <c r="F9109" s="626"/>
    </row>
    <row r="9110" spans="1:6">
      <c r="A9110" t="str">
        <f t="shared" si="142"/>
        <v/>
      </c>
      <c r="E9110" s="626"/>
      <c r="F9110" s="626"/>
    </row>
    <row r="9111" spans="1:6">
      <c r="A9111" t="str">
        <f t="shared" si="142"/>
        <v/>
      </c>
      <c r="E9111" s="626"/>
      <c r="F9111" s="626"/>
    </row>
    <row r="9112" spans="1:6">
      <c r="A9112" t="str">
        <f t="shared" si="142"/>
        <v/>
      </c>
      <c r="E9112" s="626"/>
      <c r="F9112" s="626"/>
    </row>
    <row r="9113" spans="1:6">
      <c r="A9113" t="str">
        <f t="shared" si="142"/>
        <v/>
      </c>
      <c r="E9113" s="626"/>
      <c r="F9113" s="626"/>
    </row>
    <row r="9114" spans="1:6">
      <c r="A9114" t="str">
        <f t="shared" si="142"/>
        <v/>
      </c>
      <c r="E9114" s="626"/>
      <c r="F9114" s="626"/>
    </row>
    <row r="9115" spans="1:6">
      <c r="A9115" t="str">
        <f t="shared" si="142"/>
        <v/>
      </c>
      <c r="E9115" s="626"/>
      <c r="F9115" s="626"/>
    </row>
    <row r="9116" spans="1:6">
      <c r="A9116" t="str">
        <f t="shared" si="142"/>
        <v/>
      </c>
      <c r="E9116" s="626"/>
      <c r="F9116" s="626"/>
    </row>
    <row r="9117" spans="1:6">
      <c r="A9117" t="str">
        <f t="shared" si="142"/>
        <v/>
      </c>
      <c r="E9117" s="626"/>
      <c r="F9117" s="626"/>
    </row>
    <row r="9118" spans="1:6">
      <c r="A9118" t="str">
        <f t="shared" si="142"/>
        <v/>
      </c>
      <c r="E9118" s="626"/>
      <c r="F9118" s="626"/>
    </row>
    <row r="9119" spans="1:6">
      <c r="A9119" t="str">
        <f t="shared" si="142"/>
        <v/>
      </c>
      <c r="E9119" s="626"/>
      <c r="F9119" s="626"/>
    </row>
    <row r="9120" spans="1:6">
      <c r="A9120" t="str">
        <f t="shared" si="142"/>
        <v/>
      </c>
      <c r="E9120" s="626"/>
      <c r="F9120" s="626"/>
    </row>
    <row r="9121" spans="1:6">
      <c r="A9121" t="str">
        <f t="shared" si="142"/>
        <v/>
      </c>
      <c r="E9121" s="626"/>
      <c r="F9121" s="626"/>
    </row>
    <row r="9122" spans="1:6">
      <c r="A9122" t="str">
        <f t="shared" si="142"/>
        <v/>
      </c>
      <c r="E9122" s="626"/>
      <c r="F9122" s="626"/>
    </row>
    <row r="9123" spans="1:6">
      <c r="A9123" t="str">
        <f t="shared" si="142"/>
        <v/>
      </c>
      <c r="E9123" s="626"/>
      <c r="F9123" s="626"/>
    </row>
    <row r="9124" spans="1:6">
      <c r="A9124" t="str">
        <f t="shared" si="142"/>
        <v/>
      </c>
      <c r="E9124" s="626"/>
      <c r="F9124" s="626"/>
    </row>
    <row r="9125" spans="1:6">
      <c r="A9125" t="str">
        <f t="shared" si="142"/>
        <v/>
      </c>
      <c r="E9125" s="626"/>
      <c r="F9125" s="626"/>
    </row>
    <row r="9126" spans="1:6">
      <c r="A9126" t="str">
        <f t="shared" si="142"/>
        <v/>
      </c>
      <c r="E9126" s="626"/>
      <c r="F9126" s="626"/>
    </row>
    <row r="9127" spans="1:6">
      <c r="A9127" t="str">
        <f t="shared" si="142"/>
        <v/>
      </c>
      <c r="E9127" s="626"/>
      <c r="F9127" s="626"/>
    </row>
    <row r="9128" spans="1:6">
      <c r="A9128" t="str">
        <f t="shared" si="142"/>
        <v/>
      </c>
      <c r="E9128" s="626"/>
      <c r="F9128" s="626"/>
    </row>
    <row r="9129" spans="1:6">
      <c r="A9129" t="str">
        <f t="shared" si="142"/>
        <v/>
      </c>
      <c r="E9129" s="626"/>
      <c r="F9129" s="626"/>
    </row>
    <row r="9130" spans="1:6">
      <c r="A9130" t="str">
        <f t="shared" si="142"/>
        <v/>
      </c>
      <c r="E9130" s="626"/>
      <c r="F9130" s="626"/>
    </row>
    <row r="9131" spans="1:6">
      <c r="A9131" t="str">
        <f t="shared" si="142"/>
        <v/>
      </c>
      <c r="E9131" s="626"/>
      <c r="F9131" s="626"/>
    </row>
    <row r="9132" spans="1:6">
      <c r="A9132" t="str">
        <f t="shared" si="142"/>
        <v/>
      </c>
      <c r="E9132" s="626"/>
      <c r="F9132" s="626"/>
    </row>
    <row r="9133" spans="1:6">
      <c r="A9133" t="str">
        <f t="shared" si="142"/>
        <v/>
      </c>
      <c r="E9133" s="626"/>
      <c r="F9133" s="626"/>
    </row>
    <row r="9134" spans="1:6">
      <c r="A9134" t="str">
        <f t="shared" si="142"/>
        <v/>
      </c>
      <c r="E9134" s="626"/>
      <c r="F9134" s="626"/>
    </row>
    <row r="9135" spans="1:6">
      <c r="A9135" t="str">
        <f t="shared" si="142"/>
        <v/>
      </c>
      <c r="E9135" s="626"/>
      <c r="F9135" s="626"/>
    </row>
    <row r="9136" spans="1:6">
      <c r="A9136" t="str">
        <f t="shared" si="142"/>
        <v/>
      </c>
      <c r="E9136" s="626"/>
      <c r="F9136" s="626"/>
    </row>
    <row r="9137" spans="1:6">
      <c r="A9137" t="str">
        <f t="shared" si="142"/>
        <v/>
      </c>
      <c r="E9137" s="626"/>
      <c r="F9137" s="626"/>
    </row>
    <row r="9138" spans="1:6">
      <c r="A9138" t="str">
        <f t="shared" si="142"/>
        <v/>
      </c>
      <c r="E9138" s="626"/>
      <c r="F9138" s="626"/>
    </row>
    <row r="9139" spans="1:6">
      <c r="A9139" t="str">
        <f t="shared" si="142"/>
        <v/>
      </c>
      <c r="E9139" s="626"/>
      <c r="F9139" s="626"/>
    </row>
    <row r="9140" spans="1:6">
      <c r="A9140" t="str">
        <f t="shared" si="142"/>
        <v/>
      </c>
      <c r="E9140" s="626"/>
      <c r="F9140" s="626"/>
    </row>
    <row r="9141" spans="1:6">
      <c r="A9141" t="str">
        <f t="shared" si="142"/>
        <v/>
      </c>
      <c r="E9141" s="626"/>
      <c r="F9141" s="626"/>
    </row>
    <row r="9142" spans="1:6">
      <c r="A9142" t="str">
        <f t="shared" si="142"/>
        <v/>
      </c>
      <c r="E9142" s="626"/>
      <c r="F9142" s="626"/>
    </row>
    <row r="9143" spans="1:6">
      <c r="A9143" t="str">
        <f t="shared" si="142"/>
        <v/>
      </c>
      <c r="E9143" s="626"/>
      <c r="F9143" s="626"/>
    </row>
    <row r="9144" spans="1:6">
      <c r="A9144" t="str">
        <f t="shared" si="142"/>
        <v/>
      </c>
      <c r="E9144" s="626"/>
      <c r="F9144" s="626"/>
    </row>
    <row r="9145" spans="1:6">
      <c r="A9145" t="str">
        <f t="shared" si="142"/>
        <v/>
      </c>
      <c r="E9145" s="626"/>
      <c r="F9145" s="626"/>
    </row>
    <row r="9146" spans="1:6">
      <c r="A9146" t="str">
        <f t="shared" si="142"/>
        <v/>
      </c>
      <c r="E9146" s="626"/>
      <c r="F9146" s="626"/>
    </row>
    <row r="9147" spans="1:6">
      <c r="A9147" t="str">
        <f t="shared" si="142"/>
        <v/>
      </c>
      <c r="E9147" s="626"/>
      <c r="F9147" s="626"/>
    </row>
    <row r="9148" spans="1:6">
      <c r="A9148" t="str">
        <f t="shared" si="142"/>
        <v/>
      </c>
      <c r="E9148" s="626"/>
      <c r="F9148" s="626"/>
    </row>
    <row r="9149" spans="1:6">
      <c r="A9149" t="str">
        <f t="shared" si="142"/>
        <v/>
      </c>
      <c r="E9149" s="626"/>
      <c r="F9149" s="626"/>
    </row>
    <row r="9150" spans="1:6">
      <c r="A9150" t="str">
        <f t="shared" si="142"/>
        <v/>
      </c>
      <c r="E9150" s="626"/>
      <c r="F9150" s="626"/>
    </row>
    <row r="9151" spans="1:6">
      <c r="A9151" t="str">
        <f t="shared" si="142"/>
        <v/>
      </c>
      <c r="E9151" s="626"/>
      <c r="F9151" s="626"/>
    </row>
    <row r="9152" spans="1:6">
      <c r="A9152" t="str">
        <f t="shared" si="142"/>
        <v/>
      </c>
      <c r="E9152" s="626"/>
      <c r="F9152" s="626"/>
    </row>
    <row r="9153" spans="1:6">
      <c r="A9153" t="str">
        <f t="shared" si="142"/>
        <v/>
      </c>
      <c r="E9153" s="626"/>
      <c r="F9153" s="626"/>
    </row>
    <row r="9154" spans="1:6">
      <c r="A9154" t="str">
        <f t="shared" ref="A9154:A9217" si="143">B9154&amp;E9154&amp;J9154</f>
        <v/>
      </c>
      <c r="E9154" s="626"/>
      <c r="F9154" s="626"/>
    </row>
    <row r="9155" spans="1:6">
      <c r="A9155" t="str">
        <f t="shared" si="143"/>
        <v/>
      </c>
      <c r="E9155" s="626"/>
      <c r="F9155" s="626"/>
    </row>
    <row r="9156" spans="1:6">
      <c r="A9156" t="str">
        <f t="shared" si="143"/>
        <v/>
      </c>
      <c r="E9156" s="626"/>
      <c r="F9156" s="626"/>
    </row>
    <row r="9157" spans="1:6">
      <c r="A9157" t="str">
        <f t="shared" si="143"/>
        <v/>
      </c>
      <c r="E9157" s="626"/>
      <c r="F9157" s="626"/>
    </row>
    <row r="9158" spans="1:6">
      <c r="A9158" t="str">
        <f t="shared" si="143"/>
        <v/>
      </c>
      <c r="E9158" s="626"/>
      <c r="F9158" s="626"/>
    </row>
    <row r="9159" spans="1:6">
      <c r="A9159" t="str">
        <f t="shared" si="143"/>
        <v/>
      </c>
      <c r="E9159" s="626"/>
      <c r="F9159" s="626"/>
    </row>
    <row r="9160" spans="1:6">
      <c r="A9160" t="str">
        <f t="shared" si="143"/>
        <v/>
      </c>
      <c r="E9160" s="626"/>
      <c r="F9160" s="626"/>
    </row>
    <row r="9161" spans="1:6">
      <c r="A9161" t="str">
        <f t="shared" si="143"/>
        <v/>
      </c>
      <c r="E9161" s="626"/>
      <c r="F9161" s="626"/>
    </row>
    <row r="9162" spans="1:6">
      <c r="A9162" t="str">
        <f t="shared" si="143"/>
        <v/>
      </c>
      <c r="E9162" s="626"/>
      <c r="F9162" s="626"/>
    </row>
    <row r="9163" spans="1:6">
      <c r="A9163" t="str">
        <f t="shared" si="143"/>
        <v/>
      </c>
      <c r="E9163" s="626"/>
      <c r="F9163" s="626"/>
    </row>
    <row r="9164" spans="1:6">
      <c r="A9164" t="str">
        <f t="shared" si="143"/>
        <v/>
      </c>
      <c r="E9164" s="626"/>
      <c r="F9164" s="626"/>
    </row>
    <row r="9165" spans="1:6">
      <c r="A9165" t="str">
        <f t="shared" si="143"/>
        <v/>
      </c>
      <c r="E9165" s="626"/>
      <c r="F9165" s="626"/>
    </row>
    <row r="9166" spans="1:6">
      <c r="A9166" t="str">
        <f t="shared" si="143"/>
        <v/>
      </c>
      <c r="E9166" s="626"/>
      <c r="F9166" s="626"/>
    </row>
    <row r="9167" spans="1:6">
      <c r="A9167" t="str">
        <f t="shared" si="143"/>
        <v/>
      </c>
      <c r="E9167" s="626"/>
      <c r="F9167" s="626"/>
    </row>
    <row r="9168" spans="1:6">
      <c r="A9168" t="str">
        <f t="shared" si="143"/>
        <v/>
      </c>
      <c r="E9168" s="626"/>
      <c r="F9168" s="626"/>
    </row>
    <row r="9169" spans="1:6">
      <c r="A9169" t="str">
        <f t="shared" si="143"/>
        <v/>
      </c>
      <c r="E9169" s="626"/>
      <c r="F9169" s="626"/>
    </row>
    <row r="9170" spans="1:6">
      <c r="A9170" t="str">
        <f t="shared" si="143"/>
        <v/>
      </c>
      <c r="E9170" s="626"/>
      <c r="F9170" s="626"/>
    </row>
    <row r="9171" spans="1:6">
      <c r="A9171" t="str">
        <f t="shared" si="143"/>
        <v/>
      </c>
      <c r="E9171" s="626"/>
      <c r="F9171" s="626"/>
    </row>
    <row r="9172" spans="1:6">
      <c r="A9172" t="str">
        <f t="shared" si="143"/>
        <v/>
      </c>
      <c r="E9172" s="626"/>
      <c r="F9172" s="626"/>
    </row>
    <row r="9173" spans="1:6">
      <c r="A9173" t="str">
        <f t="shared" si="143"/>
        <v/>
      </c>
      <c r="E9173" s="626"/>
      <c r="F9173" s="626"/>
    </row>
    <row r="9174" spans="1:6">
      <c r="A9174" t="str">
        <f t="shared" si="143"/>
        <v/>
      </c>
      <c r="E9174" s="626"/>
      <c r="F9174" s="626"/>
    </row>
    <row r="9175" spans="1:6">
      <c r="A9175" t="str">
        <f t="shared" si="143"/>
        <v/>
      </c>
      <c r="E9175" s="626"/>
      <c r="F9175" s="626"/>
    </row>
    <row r="9176" spans="1:6">
      <c r="A9176" t="str">
        <f t="shared" si="143"/>
        <v/>
      </c>
      <c r="E9176" s="626"/>
      <c r="F9176" s="626"/>
    </row>
    <row r="9177" spans="1:6">
      <c r="A9177" t="str">
        <f t="shared" si="143"/>
        <v/>
      </c>
      <c r="E9177" s="626"/>
      <c r="F9177" s="626"/>
    </row>
    <row r="9178" spans="1:6">
      <c r="A9178" t="str">
        <f t="shared" si="143"/>
        <v/>
      </c>
      <c r="E9178" s="626"/>
      <c r="F9178" s="626"/>
    </row>
    <row r="9179" spans="1:6">
      <c r="A9179" t="str">
        <f t="shared" si="143"/>
        <v/>
      </c>
      <c r="E9179" s="626"/>
      <c r="F9179" s="626"/>
    </row>
    <row r="9180" spans="1:6">
      <c r="A9180" t="str">
        <f t="shared" si="143"/>
        <v/>
      </c>
      <c r="E9180" s="626"/>
      <c r="F9180" s="626"/>
    </row>
    <row r="9181" spans="1:6">
      <c r="A9181" t="str">
        <f t="shared" si="143"/>
        <v/>
      </c>
      <c r="E9181" s="626"/>
      <c r="F9181" s="626"/>
    </row>
    <row r="9182" spans="1:6">
      <c r="A9182" t="str">
        <f t="shared" si="143"/>
        <v/>
      </c>
      <c r="E9182" s="626"/>
      <c r="F9182" s="626"/>
    </row>
    <row r="9183" spans="1:6">
      <c r="A9183" t="str">
        <f t="shared" si="143"/>
        <v/>
      </c>
      <c r="E9183" s="626"/>
      <c r="F9183" s="626"/>
    </row>
    <row r="9184" spans="1:6">
      <c r="A9184" t="str">
        <f t="shared" si="143"/>
        <v/>
      </c>
      <c r="E9184" s="626"/>
      <c r="F9184" s="626"/>
    </row>
    <row r="9185" spans="1:6">
      <c r="A9185" t="str">
        <f t="shared" si="143"/>
        <v/>
      </c>
      <c r="E9185" s="626"/>
      <c r="F9185" s="626"/>
    </row>
    <row r="9186" spans="1:6">
      <c r="A9186" t="str">
        <f t="shared" si="143"/>
        <v/>
      </c>
      <c r="E9186" s="626"/>
      <c r="F9186" s="626"/>
    </row>
    <row r="9187" spans="1:6">
      <c r="A9187" t="str">
        <f t="shared" si="143"/>
        <v/>
      </c>
      <c r="E9187" s="626"/>
      <c r="F9187" s="626"/>
    </row>
    <row r="9188" spans="1:6">
      <c r="A9188" t="str">
        <f t="shared" si="143"/>
        <v/>
      </c>
      <c r="E9188" s="626"/>
      <c r="F9188" s="626"/>
    </row>
    <row r="9189" spans="1:6">
      <c r="A9189" t="str">
        <f t="shared" si="143"/>
        <v/>
      </c>
      <c r="E9189" s="626"/>
      <c r="F9189" s="626"/>
    </row>
    <row r="9190" spans="1:6">
      <c r="A9190" t="str">
        <f t="shared" si="143"/>
        <v/>
      </c>
      <c r="E9190" s="626"/>
      <c r="F9190" s="626"/>
    </row>
    <row r="9191" spans="1:6">
      <c r="A9191" t="str">
        <f t="shared" si="143"/>
        <v/>
      </c>
      <c r="E9191" s="626"/>
      <c r="F9191" s="626"/>
    </row>
    <row r="9192" spans="1:6">
      <c r="A9192" t="str">
        <f t="shared" si="143"/>
        <v/>
      </c>
      <c r="E9192" s="626"/>
      <c r="F9192" s="626"/>
    </row>
    <row r="9193" spans="1:6">
      <c r="A9193" t="str">
        <f t="shared" si="143"/>
        <v/>
      </c>
      <c r="E9193" s="626"/>
      <c r="F9193" s="626"/>
    </row>
    <row r="9194" spans="1:6">
      <c r="A9194" t="str">
        <f t="shared" si="143"/>
        <v/>
      </c>
      <c r="E9194" s="626"/>
      <c r="F9194" s="626"/>
    </row>
    <row r="9195" spans="1:6">
      <c r="A9195" t="str">
        <f t="shared" si="143"/>
        <v/>
      </c>
      <c r="E9195" s="626"/>
      <c r="F9195" s="626"/>
    </row>
    <row r="9196" spans="1:6">
      <c r="A9196" t="str">
        <f t="shared" si="143"/>
        <v/>
      </c>
      <c r="E9196" s="626"/>
      <c r="F9196" s="626"/>
    </row>
    <row r="9197" spans="1:6">
      <c r="A9197" t="str">
        <f t="shared" si="143"/>
        <v/>
      </c>
      <c r="E9197" s="626"/>
      <c r="F9197" s="626"/>
    </row>
    <row r="9198" spans="1:6">
      <c r="A9198" t="str">
        <f t="shared" si="143"/>
        <v/>
      </c>
      <c r="E9198" s="626"/>
      <c r="F9198" s="626"/>
    </row>
    <row r="9199" spans="1:6">
      <c r="A9199" t="str">
        <f t="shared" si="143"/>
        <v/>
      </c>
      <c r="E9199" s="626"/>
      <c r="F9199" s="626"/>
    </row>
    <row r="9200" spans="1:6">
      <c r="A9200" t="str">
        <f t="shared" si="143"/>
        <v/>
      </c>
      <c r="E9200" s="626"/>
      <c r="F9200" s="626"/>
    </row>
    <row r="9201" spans="1:6">
      <c r="A9201" t="str">
        <f t="shared" si="143"/>
        <v/>
      </c>
      <c r="E9201" s="626"/>
      <c r="F9201" s="626"/>
    </row>
    <row r="9202" spans="1:6">
      <c r="A9202" t="str">
        <f t="shared" si="143"/>
        <v/>
      </c>
      <c r="E9202" s="626"/>
      <c r="F9202" s="626"/>
    </row>
    <row r="9203" spans="1:6">
      <c r="A9203" t="str">
        <f t="shared" si="143"/>
        <v/>
      </c>
      <c r="E9203" s="626"/>
      <c r="F9203" s="626"/>
    </row>
    <row r="9204" spans="1:6">
      <c r="A9204" t="str">
        <f t="shared" si="143"/>
        <v/>
      </c>
      <c r="E9204" s="626"/>
      <c r="F9204" s="626"/>
    </row>
    <row r="9205" spans="1:6">
      <c r="A9205" t="str">
        <f t="shared" si="143"/>
        <v/>
      </c>
      <c r="E9205" s="626"/>
      <c r="F9205" s="626"/>
    </row>
    <row r="9206" spans="1:6">
      <c r="A9206" t="str">
        <f t="shared" si="143"/>
        <v/>
      </c>
      <c r="E9206" s="626"/>
      <c r="F9206" s="626"/>
    </row>
    <row r="9207" spans="1:6">
      <c r="A9207" t="str">
        <f t="shared" si="143"/>
        <v/>
      </c>
      <c r="E9207" s="626"/>
      <c r="F9207" s="626"/>
    </row>
    <row r="9208" spans="1:6">
      <c r="A9208" t="str">
        <f t="shared" si="143"/>
        <v/>
      </c>
      <c r="E9208" s="626"/>
      <c r="F9208" s="626"/>
    </row>
    <row r="9209" spans="1:6">
      <c r="A9209" t="str">
        <f t="shared" si="143"/>
        <v/>
      </c>
      <c r="E9209" s="626"/>
      <c r="F9209" s="626"/>
    </row>
    <row r="9210" spans="1:6">
      <c r="A9210" t="str">
        <f t="shared" si="143"/>
        <v/>
      </c>
      <c r="E9210" s="626"/>
      <c r="F9210" s="626"/>
    </row>
    <row r="9211" spans="1:6">
      <c r="A9211" t="str">
        <f t="shared" si="143"/>
        <v/>
      </c>
      <c r="E9211" s="626"/>
      <c r="F9211" s="626"/>
    </row>
    <row r="9212" spans="1:6">
      <c r="A9212" t="str">
        <f t="shared" si="143"/>
        <v/>
      </c>
      <c r="E9212" s="626"/>
      <c r="F9212" s="626"/>
    </row>
    <row r="9213" spans="1:6">
      <c r="A9213" t="str">
        <f t="shared" si="143"/>
        <v/>
      </c>
      <c r="E9213" s="626"/>
      <c r="F9213" s="626"/>
    </row>
    <row r="9214" spans="1:6">
      <c r="A9214" t="str">
        <f t="shared" si="143"/>
        <v/>
      </c>
      <c r="E9214" s="626"/>
      <c r="F9214" s="626"/>
    </row>
    <row r="9215" spans="1:6">
      <c r="A9215" t="str">
        <f t="shared" si="143"/>
        <v/>
      </c>
      <c r="E9215" s="626"/>
      <c r="F9215" s="626"/>
    </row>
    <row r="9216" spans="1:6">
      <c r="A9216" t="str">
        <f t="shared" si="143"/>
        <v/>
      </c>
      <c r="E9216" s="626"/>
      <c r="F9216" s="626"/>
    </row>
    <row r="9217" spans="1:6">
      <c r="A9217" t="str">
        <f t="shared" si="143"/>
        <v/>
      </c>
      <c r="E9217" s="626"/>
      <c r="F9217" s="626"/>
    </row>
    <row r="9218" spans="1:6">
      <c r="A9218" t="str">
        <f t="shared" ref="A9218:A9281" si="144">B9218&amp;E9218&amp;J9218</f>
        <v/>
      </c>
      <c r="E9218" s="626"/>
      <c r="F9218" s="626"/>
    </row>
    <row r="9219" spans="1:6">
      <c r="A9219" t="str">
        <f t="shared" si="144"/>
        <v/>
      </c>
      <c r="E9219" s="626"/>
      <c r="F9219" s="626"/>
    </row>
    <row r="9220" spans="1:6">
      <c r="A9220" t="str">
        <f t="shared" si="144"/>
        <v/>
      </c>
      <c r="E9220" s="626"/>
      <c r="F9220" s="626"/>
    </row>
    <row r="9221" spans="1:6">
      <c r="A9221" t="str">
        <f t="shared" si="144"/>
        <v/>
      </c>
      <c r="E9221" s="626"/>
      <c r="F9221" s="626"/>
    </row>
    <row r="9222" spans="1:6">
      <c r="A9222" t="str">
        <f t="shared" si="144"/>
        <v/>
      </c>
      <c r="E9222" s="626"/>
      <c r="F9222" s="626"/>
    </row>
    <row r="9223" spans="1:6">
      <c r="A9223" t="str">
        <f t="shared" si="144"/>
        <v/>
      </c>
      <c r="E9223" s="626"/>
      <c r="F9223" s="626"/>
    </row>
    <row r="9224" spans="1:6">
      <c r="A9224" t="str">
        <f t="shared" si="144"/>
        <v/>
      </c>
      <c r="E9224" s="626"/>
      <c r="F9224" s="626"/>
    </row>
    <row r="9225" spans="1:6">
      <c r="A9225" t="str">
        <f t="shared" si="144"/>
        <v/>
      </c>
      <c r="E9225" s="626"/>
      <c r="F9225" s="626"/>
    </row>
    <row r="9226" spans="1:6">
      <c r="A9226" t="str">
        <f t="shared" si="144"/>
        <v/>
      </c>
      <c r="E9226" s="626"/>
      <c r="F9226" s="626"/>
    </row>
    <row r="9227" spans="1:6">
      <c r="A9227" t="str">
        <f t="shared" si="144"/>
        <v/>
      </c>
      <c r="E9227" s="626"/>
      <c r="F9227" s="626"/>
    </row>
    <row r="9228" spans="1:6">
      <c r="A9228" t="str">
        <f t="shared" si="144"/>
        <v/>
      </c>
      <c r="E9228" s="626"/>
      <c r="F9228" s="626"/>
    </row>
    <row r="9229" spans="1:6">
      <c r="A9229" t="str">
        <f t="shared" si="144"/>
        <v/>
      </c>
      <c r="E9229" s="626"/>
      <c r="F9229" s="626"/>
    </row>
    <row r="9230" spans="1:6">
      <c r="A9230" t="str">
        <f t="shared" si="144"/>
        <v/>
      </c>
      <c r="E9230" s="626"/>
      <c r="F9230" s="626"/>
    </row>
    <row r="9231" spans="1:6">
      <c r="A9231" t="str">
        <f t="shared" si="144"/>
        <v/>
      </c>
      <c r="E9231" s="626"/>
      <c r="F9231" s="626"/>
    </row>
    <row r="9232" spans="1:6">
      <c r="A9232" t="str">
        <f t="shared" si="144"/>
        <v/>
      </c>
      <c r="E9232" s="626"/>
      <c r="F9232" s="626"/>
    </row>
    <row r="9233" spans="1:6">
      <c r="A9233" t="str">
        <f t="shared" si="144"/>
        <v/>
      </c>
      <c r="E9233" s="626"/>
      <c r="F9233" s="626"/>
    </row>
    <row r="9234" spans="1:6">
      <c r="A9234" t="str">
        <f t="shared" si="144"/>
        <v/>
      </c>
      <c r="E9234" s="626"/>
      <c r="F9234" s="626"/>
    </row>
    <row r="9235" spans="1:6">
      <c r="A9235" t="str">
        <f t="shared" si="144"/>
        <v/>
      </c>
      <c r="E9235" s="626"/>
      <c r="F9235" s="626"/>
    </row>
    <row r="9236" spans="1:6">
      <c r="A9236" t="str">
        <f t="shared" si="144"/>
        <v/>
      </c>
      <c r="E9236" s="626"/>
      <c r="F9236" s="626"/>
    </row>
    <row r="9237" spans="1:6">
      <c r="A9237" t="str">
        <f t="shared" si="144"/>
        <v/>
      </c>
      <c r="E9237" s="626"/>
      <c r="F9237" s="626"/>
    </row>
    <row r="9238" spans="1:6">
      <c r="A9238" t="str">
        <f t="shared" si="144"/>
        <v/>
      </c>
      <c r="E9238" s="626"/>
      <c r="F9238" s="626"/>
    </row>
    <row r="9239" spans="1:6">
      <c r="A9239" t="str">
        <f t="shared" si="144"/>
        <v/>
      </c>
      <c r="E9239" s="626"/>
      <c r="F9239" s="626"/>
    </row>
    <row r="9240" spans="1:6">
      <c r="A9240" t="str">
        <f t="shared" si="144"/>
        <v/>
      </c>
      <c r="E9240" s="626"/>
      <c r="F9240" s="626"/>
    </row>
    <row r="9241" spans="1:6">
      <c r="A9241" t="str">
        <f t="shared" si="144"/>
        <v/>
      </c>
      <c r="E9241" s="626"/>
      <c r="F9241" s="626"/>
    </row>
    <row r="9242" spans="1:6">
      <c r="A9242" t="str">
        <f t="shared" si="144"/>
        <v/>
      </c>
      <c r="E9242" s="626"/>
      <c r="F9242" s="626"/>
    </row>
    <row r="9243" spans="1:6">
      <c r="A9243" t="str">
        <f t="shared" si="144"/>
        <v/>
      </c>
      <c r="E9243" s="626"/>
      <c r="F9243" s="626"/>
    </row>
    <row r="9244" spans="1:6">
      <c r="A9244" t="str">
        <f t="shared" si="144"/>
        <v/>
      </c>
      <c r="E9244" s="626"/>
      <c r="F9244" s="626"/>
    </row>
    <row r="9245" spans="1:6">
      <c r="A9245" t="str">
        <f t="shared" si="144"/>
        <v/>
      </c>
      <c r="E9245" s="626"/>
      <c r="F9245" s="626"/>
    </row>
    <row r="9246" spans="1:6">
      <c r="A9246" t="str">
        <f t="shared" si="144"/>
        <v/>
      </c>
      <c r="E9246" s="626"/>
      <c r="F9246" s="626"/>
    </row>
    <row r="9247" spans="1:6">
      <c r="A9247" t="str">
        <f t="shared" si="144"/>
        <v/>
      </c>
      <c r="E9247" s="626"/>
      <c r="F9247" s="626"/>
    </row>
    <row r="9248" spans="1:6">
      <c r="A9248" t="str">
        <f t="shared" si="144"/>
        <v/>
      </c>
      <c r="E9248" s="626"/>
      <c r="F9248" s="626"/>
    </row>
    <row r="9249" spans="1:6">
      <c r="A9249" t="str">
        <f t="shared" si="144"/>
        <v/>
      </c>
      <c r="E9249" s="626"/>
      <c r="F9249" s="626"/>
    </row>
    <row r="9250" spans="1:6">
      <c r="A9250" t="str">
        <f t="shared" si="144"/>
        <v/>
      </c>
      <c r="E9250" s="626"/>
      <c r="F9250" s="626"/>
    </row>
    <row r="9251" spans="1:6">
      <c r="A9251" t="str">
        <f t="shared" si="144"/>
        <v/>
      </c>
      <c r="E9251" s="626"/>
      <c r="F9251" s="626"/>
    </row>
    <row r="9252" spans="1:6">
      <c r="A9252" t="str">
        <f t="shared" si="144"/>
        <v/>
      </c>
      <c r="E9252" s="626"/>
      <c r="F9252" s="626"/>
    </row>
    <row r="9253" spans="1:6">
      <c r="A9253" t="str">
        <f t="shared" si="144"/>
        <v/>
      </c>
      <c r="E9253" s="626"/>
      <c r="F9253" s="626"/>
    </row>
    <row r="9254" spans="1:6">
      <c r="A9254" t="str">
        <f t="shared" si="144"/>
        <v/>
      </c>
      <c r="E9254" s="626"/>
      <c r="F9254" s="626"/>
    </row>
    <row r="9255" spans="1:6">
      <c r="A9255" t="str">
        <f t="shared" si="144"/>
        <v/>
      </c>
      <c r="E9255" s="626"/>
      <c r="F9255" s="626"/>
    </row>
    <row r="9256" spans="1:6">
      <c r="A9256" t="str">
        <f t="shared" si="144"/>
        <v/>
      </c>
      <c r="E9256" s="626"/>
      <c r="F9256" s="626"/>
    </row>
    <row r="9257" spans="1:6">
      <c r="A9257" t="str">
        <f t="shared" si="144"/>
        <v/>
      </c>
      <c r="E9257" s="626"/>
      <c r="F9257" s="626"/>
    </row>
    <row r="9258" spans="1:6">
      <c r="A9258" t="str">
        <f t="shared" si="144"/>
        <v/>
      </c>
      <c r="E9258" s="626"/>
      <c r="F9258" s="626"/>
    </row>
    <row r="9259" spans="1:6">
      <c r="A9259" t="str">
        <f t="shared" si="144"/>
        <v/>
      </c>
      <c r="E9259" s="626"/>
      <c r="F9259" s="626"/>
    </row>
    <row r="9260" spans="1:6">
      <c r="A9260" t="str">
        <f t="shared" si="144"/>
        <v/>
      </c>
      <c r="E9260" s="626"/>
      <c r="F9260" s="626"/>
    </row>
    <row r="9261" spans="1:6">
      <c r="A9261" t="str">
        <f t="shared" si="144"/>
        <v/>
      </c>
      <c r="E9261" s="626"/>
      <c r="F9261" s="626"/>
    </row>
    <row r="9262" spans="1:6">
      <c r="A9262" t="str">
        <f t="shared" si="144"/>
        <v/>
      </c>
      <c r="E9262" s="626"/>
      <c r="F9262" s="626"/>
    </row>
    <row r="9263" spans="1:6">
      <c r="A9263" t="str">
        <f t="shared" si="144"/>
        <v/>
      </c>
      <c r="E9263" s="626"/>
      <c r="F9263" s="626"/>
    </row>
    <row r="9264" spans="1:6">
      <c r="A9264" t="str">
        <f t="shared" si="144"/>
        <v/>
      </c>
      <c r="E9264" s="626"/>
      <c r="F9264" s="626"/>
    </row>
    <row r="9265" spans="1:6">
      <c r="A9265" t="str">
        <f t="shared" si="144"/>
        <v/>
      </c>
      <c r="E9265" s="626"/>
      <c r="F9265" s="626"/>
    </row>
    <row r="9266" spans="1:6">
      <c r="A9266" t="str">
        <f t="shared" si="144"/>
        <v/>
      </c>
      <c r="E9266" s="626"/>
      <c r="F9266" s="626"/>
    </row>
    <row r="9267" spans="1:6">
      <c r="A9267" t="str">
        <f t="shared" si="144"/>
        <v/>
      </c>
      <c r="E9267" s="626"/>
      <c r="F9267" s="626"/>
    </row>
    <row r="9268" spans="1:6">
      <c r="A9268" t="str">
        <f t="shared" si="144"/>
        <v/>
      </c>
      <c r="E9268" s="626"/>
      <c r="F9268" s="626"/>
    </row>
    <row r="9269" spans="1:6">
      <c r="A9269" t="str">
        <f t="shared" si="144"/>
        <v/>
      </c>
      <c r="E9269" s="626"/>
      <c r="F9269" s="626"/>
    </row>
    <row r="9270" spans="1:6">
      <c r="A9270" t="str">
        <f t="shared" si="144"/>
        <v/>
      </c>
      <c r="E9270" s="626"/>
      <c r="F9270" s="626"/>
    </row>
    <row r="9271" spans="1:6">
      <c r="A9271" t="str">
        <f t="shared" si="144"/>
        <v/>
      </c>
      <c r="E9271" s="626"/>
      <c r="F9271" s="626"/>
    </row>
    <row r="9272" spans="1:6">
      <c r="A9272" t="str">
        <f t="shared" si="144"/>
        <v/>
      </c>
      <c r="E9272" s="626"/>
      <c r="F9272" s="626"/>
    </row>
    <row r="9273" spans="1:6">
      <c r="A9273" t="str">
        <f t="shared" si="144"/>
        <v/>
      </c>
      <c r="E9273" s="626"/>
      <c r="F9273" s="626"/>
    </row>
    <row r="9274" spans="1:6">
      <c r="A9274" t="str">
        <f t="shared" si="144"/>
        <v/>
      </c>
      <c r="E9274" s="626"/>
      <c r="F9274" s="626"/>
    </row>
    <row r="9275" spans="1:6">
      <c r="A9275" t="str">
        <f t="shared" si="144"/>
        <v/>
      </c>
      <c r="E9275" s="626"/>
      <c r="F9275" s="626"/>
    </row>
    <row r="9276" spans="1:6">
      <c r="A9276" t="str">
        <f t="shared" si="144"/>
        <v/>
      </c>
      <c r="E9276" s="626"/>
      <c r="F9276" s="626"/>
    </row>
    <row r="9277" spans="1:6">
      <c r="A9277" t="str">
        <f t="shared" si="144"/>
        <v/>
      </c>
      <c r="E9277" s="626"/>
      <c r="F9277" s="626"/>
    </row>
    <row r="9278" spans="1:6">
      <c r="A9278" t="str">
        <f t="shared" si="144"/>
        <v/>
      </c>
      <c r="E9278" s="626"/>
      <c r="F9278" s="626"/>
    </row>
    <row r="9279" spans="1:6">
      <c r="A9279" t="str">
        <f t="shared" si="144"/>
        <v/>
      </c>
      <c r="E9279" s="626"/>
      <c r="F9279" s="626"/>
    </row>
    <row r="9280" spans="1:6">
      <c r="A9280" t="str">
        <f t="shared" si="144"/>
        <v/>
      </c>
      <c r="E9280" s="626"/>
      <c r="F9280" s="626"/>
    </row>
    <row r="9281" spans="1:6">
      <c r="A9281" t="str">
        <f t="shared" si="144"/>
        <v/>
      </c>
      <c r="E9281" s="626"/>
      <c r="F9281" s="626"/>
    </row>
    <row r="9282" spans="1:6">
      <c r="A9282" t="str">
        <f t="shared" ref="A9282:A9345" si="145">B9282&amp;E9282&amp;J9282</f>
        <v/>
      </c>
      <c r="E9282" s="626"/>
      <c r="F9282" s="626"/>
    </row>
    <row r="9283" spans="1:6">
      <c r="A9283" t="str">
        <f t="shared" si="145"/>
        <v/>
      </c>
      <c r="E9283" s="626"/>
      <c r="F9283" s="626"/>
    </row>
    <row r="9284" spans="1:6">
      <c r="A9284" t="str">
        <f t="shared" si="145"/>
        <v/>
      </c>
      <c r="E9284" s="626"/>
      <c r="F9284" s="626"/>
    </row>
    <row r="9285" spans="1:6">
      <c r="A9285" t="str">
        <f t="shared" si="145"/>
        <v/>
      </c>
      <c r="E9285" s="626"/>
      <c r="F9285" s="626"/>
    </row>
    <row r="9286" spans="1:6">
      <c r="A9286" t="str">
        <f t="shared" si="145"/>
        <v/>
      </c>
      <c r="E9286" s="626"/>
      <c r="F9286" s="626"/>
    </row>
    <row r="9287" spans="1:6">
      <c r="A9287" t="str">
        <f t="shared" si="145"/>
        <v/>
      </c>
      <c r="E9287" s="626"/>
      <c r="F9287" s="626"/>
    </row>
    <row r="9288" spans="1:6">
      <c r="A9288" t="str">
        <f t="shared" si="145"/>
        <v/>
      </c>
      <c r="E9288" s="626"/>
      <c r="F9288" s="626"/>
    </row>
    <row r="9289" spans="1:6">
      <c r="A9289" t="str">
        <f t="shared" si="145"/>
        <v/>
      </c>
      <c r="E9289" s="626"/>
      <c r="F9289" s="626"/>
    </row>
    <row r="9290" spans="1:6">
      <c r="A9290" t="str">
        <f t="shared" si="145"/>
        <v/>
      </c>
      <c r="E9290" s="626"/>
      <c r="F9290" s="626"/>
    </row>
    <row r="9291" spans="1:6">
      <c r="A9291" t="str">
        <f t="shared" si="145"/>
        <v/>
      </c>
      <c r="E9291" s="626"/>
      <c r="F9291" s="626"/>
    </row>
    <row r="9292" spans="1:6">
      <c r="A9292" t="str">
        <f t="shared" si="145"/>
        <v/>
      </c>
      <c r="E9292" s="626"/>
      <c r="F9292" s="626"/>
    </row>
    <row r="9293" spans="1:6">
      <c r="A9293" t="str">
        <f t="shared" si="145"/>
        <v/>
      </c>
      <c r="E9293" s="626"/>
      <c r="F9293" s="626"/>
    </row>
    <row r="9294" spans="1:6">
      <c r="A9294" t="str">
        <f t="shared" si="145"/>
        <v/>
      </c>
      <c r="E9294" s="626"/>
      <c r="F9294" s="626"/>
    </row>
    <row r="9295" spans="1:6">
      <c r="A9295" t="str">
        <f t="shared" si="145"/>
        <v/>
      </c>
      <c r="E9295" s="626"/>
      <c r="F9295" s="626"/>
    </row>
    <row r="9296" spans="1:6">
      <c r="A9296" t="str">
        <f t="shared" si="145"/>
        <v/>
      </c>
      <c r="E9296" s="626"/>
      <c r="F9296" s="626"/>
    </row>
    <row r="9297" spans="1:6">
      <c r="A9297" t="str">
        <f t="shared" si="145"/>
        <v/>
      </c>
      <c r="E9297" s="626"/>
      <c r="F9297" s="626"/>
    </row>
    <row r="9298" spans="1:6">
      <c r="A9298" t="str">
        <f t="shared" si="145"/>
        <v/>
      </c>
      <c r="E9298" s="626"/>
      <c r="F9298" s="626"/>
    </row>
    <row r="9299" spans="1:6">
      <c r="A9299" t="str">
        <f t="shared" si="145"/>
        <v/>
      </c>
      <c r="E9299" s="626"/>
      <c r="F9299" s="626"/>
    </row>
    <row r="9300" spans="1:6">
      <c r="A9300" t="str">
        <f t="shared" si="145"/>
        <v/>
      </c>
      <c r="E9300" s="626"/>
      <c r="F9300" s="626"/>
    </row>
    <row r="9301" spans="1:6">
      <c r="A9301" t="str">
        <f t="shared" si="145"/>
        <v/>
      </c>
      <c r="E9301" s="626"/>
      <c r="F9301" s="626"/>
    </row>
    <row r="9302" spans="1:6">
      <c r="A9302" t="str">
        <f t="shared" si="145"/>
        <v/>
      </c>
      <c r="E9302" s="626"/>
      <c r="F9302" s="626"/>
    </row>
    <row r="9303" spans="1:6">
      <c r="A9303" t="str">
        <f t="shared" si="145"/>
        <v/>
      </c>
      <c r="E9303" s="626"/>
      <c r="F9303" s="626"/>
    </row>
    <row r="9304" spans="1:6">
      <c r="A9304" t="str">
        <f t="shared" si="145"/>
        <v/>
      </c>
      <c r="E9304" s="626"/>
      <c r="F9304" s="626"/>
    </row>
    <row r="9305" spans="1:6">
      <c r="A9305" t="str">
        <f t="shared" si="145"/>
        <v/>
      </c>
      <c r="E9305" s="626"/>
      <c r="F9305" s="626"/>
    </row>
    <row r="9306" spans="1:6">
      <c r="A9306" t="str">
        <f t="shared" si="145"/>
        <v/>
      </c>
      <c r="E9306" s="626"/>
      <c r="F9306" s="626"/>
    </row>
    <row r="9307" spans="1:6">
      <c r="A9307" t="str">
        <f t="shared" si="145"/>
        <v/>
      </c>
      <c r="E9307" s="626"/>
      <c r="F9307" s="626"/>
    </row>
    <row r="9308" spans="1:6">
      <c r="A9308" t="str">
        <f t="shared" si="145"/>
        <v/>
      </c>
      <c r="E9308" s="626"/>
      <c r="F9308" s="626"/>
    </row>
    <row r="9309" spans="1:6">
      <c r="A9309" t="str">
        <f t="shared" si="145"/>
        <v/>
      </c>
      <c r="E9309" s="626"/>
      <c r="F9309" s="626"/>
    </row>
    <row r="9310" spans="1:6">
      <c r="A9310" t="str">
        <f t="shared" si="145"/>
        <v/>
      </c>
      <c r="E9310" s="626"/>
      <c r="F9310" s="626"/>
    </row>
    <row r="9311" spans="1:6">
      <c r="A9311" t="str">
        <f t="shared" si="145"/>
        <v/>
      </c>
      <c r="E9311" s="626"/>
      <c r="F9311" s="626"/>
    </row>
    <row r="9312" spans="1:6">
      <c r="A9312" t="str">
        <f t="shared" si="145"/>
        <v/>
      </c>
      <c r="E9312" s="626"/>
      <c r="F9312" s="626"/>
    </row>
    <row r="9313" spans="1:6">
      <c r="A9313" t="str">
        <f t="shared" si="145"/>
        <v/>
      </c>
      <c r="E9313" s="626"/>
      <c r="F9313" s="626"/>
    </row>
    <row r="9314" spans="1:6">
      <c r="A9314" t="str">
        <f t="shared" si="145"/>
        <v/>
      </c>
      <c r="E9314" s="626"/>
      <c r="F9314" s="626"/>
    </row>
    <row r="9315" spans="1:6">
      <c r="A9315" t="str">
        <f t="shared" si="145"/>
        <v/>
      </c>
      <c r="E9315" s="626"/>
      <c r="F9315" s="626"/>
    </row>
    <row r="9316" spans="1:6">
      <c r="A9316" t="str">
        <f t="shared" si="145"/>
        <v/>
      </c>
      <c r="E9316" s="626"/>
      <c r="F9316" s="626"/>
    </row>
    <row r="9317" spans="1:6">
      <c r="A9317" t="str">
        <f t="shared" si="145"/>
        <v/>
      </c>
      <c r="E9317" s="626"/>
      <c r="F9317" s="626"/>
    </row>
    <row r="9318" spans="1:6">
      <c r="A9318" t="str">
        <f t="shared" si="145"/>
        <v/>
      </c>
      <c r="E9318" s="626"/>
      <c r="F9318" s="626"/>
    </row>
    <row r="9319" spans="1:6">
      <c r="A9319" t="str">
        <f t="shared" si="145"/>
        <v/>
      </c>
      <c r="E9319" s="626"/>
      <c r="F9319" s="626"/>
    </row>
    <row r="9320" spans="1:6">
      <c r="A9320" t="str">
        <f t="shared" si="145"/>
        <v/>
      </c>
      <c r="E9320" s="626"/>
      <c r="F9320" s="626"/>
    </row>
    <row r="9321" spans="1:6">
      <c r="A9321" t="str">
        <f t="shared" si="145"/>
        <v/>
      </c>
      <c r="E9321" s="626"/>
      <c r="F9321" s="626"/>
    </row>
    <row r="9322" spans="1:6">
      <c r="A9322" t="str">
        <f t="shared" si="145"/>
        <v/>
      </c>
      <c r="E9322" s="626"/>
      <c r="F9322" s="626"/>
    </row>
    <row r="9323" spans="1:6">
      <c r="A9323" t="str">
        <f t="shared" si="145"/>
        <v/>
      </c>
      <c r="E9323" s="626"/>
      <c r="F9323" s="626"/>
    </row>
    <row r="9324" spans="1:6">
      <c r="A9324" t="str">
        <f t="shared" si="145"/>
        <v/>
      </c>
      <c r="E9324" s="626"/>
      <c r="F9324" s="626"/>
    </row>
    <row r="9325" spans="1:6">
      <c r="A9325" t="str">
        <f t="shared" si="145"/>
        <v/>
      </c>
      <c r="E9325" s="626"/>
      <c r="F9325" s="626"/>
    </row>
    <row r="9326" spans="1:6">
      <c r="A9326" t="str">
        <f t="shared" si="145"/>
        <v/>
      </c>
      <c r="E9326" s="626"/>
      <c r="F9326" s="626"/>
    </row>
    <row r="9327" spans="1:6">
      <c r="A9327" t="str">
        <f t="shared" si="145"/>
        <v/>
      </c>
      <c r="E9327" s="626"/>
      <c r="F9327" s="626"/>
    </row>
    <row r="9328" spans="1:6">
      <c r="A9328" t="str">
        <f t="shared" si="145"/>
        <v/>
      </c>
      <c r="E9328" s="626"/>
      <c r="F9328" s="626"/>
    </row>
    <row r="9329" spans="1:6">
      <c r="A9329" t="str">
        <f t="shared" si="145"/>
        <v/>
      </c>
      <c r="E9329" s="626"/>
      <c r="F9329" s="626"/>
    </row>
    <row r="9330" spans="1:6">
      <c r="A9330" t="str">
        <f t="shared" si="145"/>
        <v/>
      </c>
      <c r="E9330" s="626"/>
      <c r="F9330" s="626"/>
    </row>
    <row r="9331" spans="1:6">
      <c r="A9331" t="str">
        <f t="shared" si="145"/>
        <v/>
      </c>
      <c r="E9331" s="626"/>
      <c r="F9331" s="626"/>
    </row>
    <row r="9332" spans="1:6">
      <c r="A9332" t="str">
        <f t="shared" si="145"/>
        <v/>
      </c>
      <c r="E9332" s="626"/>
      <c r="F9332" s="626"/>
    </row>
    <row r="9333" spans="1:6">
      <c r="A9333" t="str">
        <f t="shared" si="145"/>
        <v/>
      </c>
      <c r="E9333" s="626"/>
      <c r="F9333" s="626"/>
    </row>
    <row r="9334" spans="1:6">
      <c r="A9334" t="str">
        <f t="shared" si="145"/>
        <v/>
      </c>
      <c r="E9334" s="626"/>
      <c r="F9334" s="626"/>
    </row>
    <row r="9335" spans="1:6">
      <c r="A9335" t="str">
        <f t="shared" si="145"/>
        <v/>
      </c>
      <c r="E9335" s="626"/>
      <c r="F9335" s="626"/>
    </row>
    <row r="9336" spans="1:6">
      <c r="A9336" t="str">
        <f t="shared" si="145"/>
        <v/>
      </c>
      <c r="E9336" s="626"/>
      <c r="F9336" s="626"/>
    </row>
    <row r="9337" spans="1:6">
      <c r="A9337" t="str">
        <f t="shared" si="145"/>
        <v/>
      </c>
      <c r="E9337" s="626"/>
      <c r="F9337" s="626"/>
    </row>
    <row r="9338" spans="1:6">
      <c r="A9338" t="str">
        <f t="shared" si="145"/>
        <v/>
      </c>
      <c r="E9338" s="626"/>
      <c r="F9338" s="626"/>
    </row>
    <row r="9339" spans="1:6">
      <c r="A9339" t="str">
        <f t="shared" si="145"/>
        <v/>
      </c>
      <c r="E9339" s="626"/>
      <c r="F9339" s="626"/>
    </row>
    <row r="9340" spans="1:6">
      <c r="A9340" t="str">
        <f t="shared" si="145"/>
        <v/>
      </c>
      <c r="E9340" s="626"/>
      <c r="F9340" s="626"/>
    </row>
    <row r="9341" spans="1:6">
      <c r="A9341" t="str">
        <f t="shared" si="145"/>
        <v/>
      </c>
      <c r="E9341" s="626"/>
      <c r="F9341" s="626"/>
    </row>
    <row r="9342" spans="1:6">
      <c r="A9342" t="str">
        <f t="shared" si="145"/>
        <v/>
      </c>
      <c r="E9342" s="626"/>
      <c r="F9342" s="626"/>
    </row>
    <row r="9343" spans="1:6">
      <c r="A9343" t="str">
        <f t="shared" si="145"/>
        <v/>
      </c>
      <c r="E9343" s="626"/>
      <c r="F9343" s="626"/>
    </row>
    <row r="9344" spans="1:6">
      <c r="A9344" t="str">
        <f t="shared" si="145"/>
        <v/>
      </c>
      <c r="E9344" s="626"/>
      <c r="F9344" s="626"/>
    </row>
    <row r="9345" spans="1:6">
      <c r="A9345" t="str">
        <f t="shared" si="145"/>
        <v/>
      </c>
      <c r="E9345" s="626"/>
      <c r="F9345" s="626"/>
    </row>
    <row r="9346" spans="1:6">
      <c r="A9346" t="str">
        <f t="shared" ref="A9346:A9409" si="146">B9346&amp;E9346&amp;J9346</f>
        <v/>
      </c>
      <c r="E9346" s="626"/>
      <c r="F9346" s="626"/>
    </row>
    <row r="9347" spans="1:6">
      <c r="A9347" t="str">
        <f t="shared" si="146"/>
        <v/>
      </c>
      <c r="E9347" s="626"/>
      <c r="F9347" s="626"/>
    </row>
    <row r="9348" spans="1:6">
      <c r="A9348" t="str">
        <f t="shared" si="146"/>
        <v/>
      </c>
      <c r="E9348" s="626"/>
      <c r="F9348" s="626"/>
    </row>
    <row r="9349" spans="1:6">
      <c r="A9349" t="str">
        <f t="shared" si="146"/>
        <v/>
      </c>
      <c r="E9349" s="626"/>
      <c r="F9349" s="626"/>
    </row>
    <row r="9350" spans="1:6">
      <c r="A9350" t="str">
        <f t="shared" si="146"/>
        <v/>
      </c>
      <c r="E9350" s="626"/>
      <c r="F9350" s="626"/>
    </row>
    <row r="9351" spans="1:6">
      <c r="A9351" t="str">
        <f t="shared" si="146"/>
        <v/>
      </c>
      <c r="E9351" s="626"/>
      <c r="F9351" s="626"/>
    </row>
    <row r="9352" spans="1:6">
      <c r="A9352" t="str">
        <f t="shared" si="146"/>
        <v/>
      </c>
      <c r="E9352" s="626"/>
      <c r="F9352" s="626"/>
    </row>
    <row r="9353" spans="1:6">
      <c r="A9353" t="str">
        <f t="shared" si="146"/>
        <v/>
      </c>
      <c r="E9353" s="626"/>
      <c r="F9353" s="626"/>
    </row>
    <row r="9354" spans="1:6">
      <c r="A9354" t="str">
        <f t="shared" si="146"/>
        <v/>
      </c>
      <c r="E9354" s="626"/>
      <c r="F9354" s="626"/>
    </row>
    <row r="9355" spans="1:6">
      <c r="A9355" t="str">
        <f t="shared" si="146"/>
        <v/>
      </c>
      <c r="E9355" s="626"/>
      <c r="F9355" s="626"/>
    </row>
    <row r="9356" spans="1:6">
      <c r="A9356" t="str">
        <f t="shared" si="146"/>
        <v/>
      </c>
      <c r="E9356" s="626"/>
      <c r="F9356" s="626"/>
    </row>
    <row r="9357" spans="1:6">
      <c r="A9357" t="str">
        <f t="shared" si="146"/>
        <v/>
      </c>
      <c r="E9357" s="626"/>
      <c r="F9357" s="626"/>
    </row>
    <row r="9358" spans="1:6">
      <c r="A9358" t="str">
        <f t="shared" si="146"/>
        <v/>
      </c>
      <c r="E9358" s="626"/>
      <c r="F9358" s="626"/>
    </row>
    <row r="9359" spans="1:6">
      <c r="A9359" t="str">
        <f t="shared" si="146"/>
        <v/>
      </c>
      <c r="E9359" s="626"/>
      <c r="F9359" s="626"/>
    </row>
    <row r="9360" spans="1:6">
      <c r="A9360" t="str">
        <f t="shared" si="146"/>
        <v/>
      </c>
      <c r="E9360" s="626"/>
      <c r="F9360" s="626"/>
    </row>
    <row r="9361" spans="1:6">
      <c r="A9361" t="str">
        <f t="shared" si="146"/>
        <v/>
      </c>
      <c r="E9361" s="626"/>
      <c r="F9361" s="626"/>
    </row>
    <row r="9362" spans="1:6">
      <c r="A9362" t="str">
        <f t="shared" si="146"/>
        <v/>
      </c>
      <c r="E9362" s="626"/>
      <c r="F9362" s="626"/>
    </row>
    <row r="9363" spans="1:6">
      <c r="A9363" t="str">
        <f t="shared" si="146"/>
        <v/>
      </c>
      <c r="E9363" s="626"/>
      <c r="F9363" s="626"/>
    </row>
    <row r="9364" spans="1:6">
      <c r="A9364" t="str">
        <f t="shared" si="146"/>
        <v/>
      </c>
      <c r="E9364" s="626"/>
      <c r="F9364" s="626"/>
    </row>
    <row r="9365" spans="1:6">
      <c r="A9365" t="str">
        <f t="shared" si="146"/>
        <v/>
      </c>
      <c r="E9365" s="626"/>
      <c r="F9365" s="626"/>
    </row>
    <row r="9366" spans="1:6">
      <c r="A9366" t="str">
        <f t="shared" si="146"/>
        <v/>
      </c>
      <c r="E9366" s="626"/>
      <c r="F9366" s="626"/>
    </row>
    <row r="9367" spans="1:6">
      <c r="A9367" t="str">
        <f t="shared" si="146"/>
        <v/>
      </c>
      <c r="E9367" s="626"/>
      <c r="F9367" s="626"/>
    </row>
    <row r="9368" spans="1:6">
      <c r="A9368" t="str">
        <f t="shared" si="146"/>
        <v/>
      </c>
      <c r="E9368" s="626"/>
      <c r="F9368" s="626"/>
    </row>
    <row r="9369" spans="1:6">
      <c r="A9369" t="str">
        <f t="shared" si="146"/>
        <v/>
      </c>
      <c r="E9369" s="626"/>
      <c r="F9369" s="626"/>
    </row>
    <row r="9370" spans="1:6">
      <c r="A9370" t="str">
        <f t="shared" si="146"/>
        <v/>
      </c>
      <c r="E9370" s="626"/>
      <c r="F9370" s="626"/>
    </row>
    <row r="9371" spans="1:6">
      <c r="A9371" t="str">
        <f t="shared" si="146"/>
        <v/>
      </c>
      <c r="E9371" s="626"/>
      <c r="F9371" s="626"/>
    </row>
    <row r="9372" spans="1:6">
      <c r="A9372" t="str">
        <f t="shared" si="146"/>
        <v/>
      </c>
      <c r="E9372" s="626"/>
      <c r="F9372" s="626"/>
    </row>
    <row r="9373" spans="1:6">
      <c r="A9373" t="str">
        <f t="shared" si="146"/>
        <v/>
      </c>
      <c r="E9373" s="626"/>
      <c r="F9373" s="626"/>
    </row>
    <row r="9374" spans="1:6">
      <c r="A9374" t="str">
        <f t="shared" si="146"/>
        <v/>
      </c>
      <c r="E9374" s="626"/>
      <c r="F9374" s="626"/>
    </row>
    <row r="9375" spans="1:6">
      <c r="A9375" t="str">
        <f t="shared" si="146"/>
        <v/>
      </c>
      <c r="E9375" s="626"/>
      <c r="F9375" s="626"/>
    </row>
    <row r="9376" spans="1:6">
      <c r="A9376" t="str">
        <f t="shared" si="146"/>
        <v/>
      </c>
      <c r="E9376" s="626"/>
      <c r="F9376" s="626"/>
    </row>
    <row r="9377" spans="1:6">
      <c r="A9377" t="str">
        <f t="shared" si="146"/>
        <v/>
      </c>
      <c r="E9377" s="626"/>
      <c r="F9377" s="626"/>
    </row>
    <row r="9378" spans="1:6">
      <c r="A9378" t="str">
        <f t="shared" si="146"/>
        <v/>
      </c>
      <c r="E9378" s="626"/>
      <c r="F9378" s="626"/>
    </row>
    <row r="9379" spans="1:6">
      <c r="A9379" t="str">
        <f t="shared" si="146"/>
        <v/>
      </c>
      <c r="E9379" s="626"/>
      <c r="F9379" s="626"/>
    </row>
    <row r="9380" spans="1:6">
      <c r="A9380" t="str">
        <f t="shared" si="146"/>
        <v/>
      </c>
      <c r="E9380" s="626"/>
      <c r="F9380" s="626"/>
    </row>
    <row r="9381" spans="1:6">
      <c r="A9381" t="str">
        <f t="shared" si="146"/>
        <v/>
      </c>
      <c r="E9381" s="626"/>
      <c r="F9381" s="626"/>
    </row>
    <row r="9382" spans="1:6">
      <c r="A9382" t="str">
        <f t="shared" si="146"/>
        <v/>
      </c>
      <c r="E9382" s="626"/>
      <c r="F9382" s="626"/>
    </row>
    <row r="9383" spans="1:6">
      <c r="A9383" t="str">
        <f t="shared" si="146"/>
        <v/>
      </c>
      <c r="E9383" s="626"/>
      <c r="F9383" s="626"/>
    </row>
    <row r="9384" spans="1:6">
      <c r="A9384" t="str">
        <f t="shared" si="146"/>
        <v/>
      </c>
      <c r="E9384" s="626"/>
      <c r="F9384" s="626"/>
    </row>
    <row r="9385" spans="1:6">
      <c r="A9385" t="str">
        <f t="shared" si="146"/>
        <v/>
      </c>
      <c r="E9385" s="626"/>
      <c r="F9385" s="626"/>
    </row>
    <row r="9386" spans="1:6">
      <c r="A9386" t="str">
        <f t="shared" si="146"/>
        <v/>
      </c>
      <c r="E9386" s="626"/>
      <c r="F9386" s="626"/>
    </row>
    <row r="9387" spans="1:6">
      <c r="A9387" t="str">
        <f t="shared" si="146"/>
        <v/>
      </c>
      <c r="E9387" s="626"/>
      <c r="F9387" s="626"/>
    </row>
    <row r="9388" spans="1:6">
      <c r="A9388" t="str">
        <f t="shared" si="146"/>
        <v/>
      </c>
      <c r="E9388" s="626"/>
      <c r="F9388" s="626"/>
    </row>
    <row r="9389" spans="1:6">
      <c r="A9389" t="str">
        <f t="shared" si="146"/>
        <v/>
      </c>
      <c r="E9389" s="626"/>
      <c r="F9389" s="626"/>
    </row>
    <row r="9390" spans="1:6">
      <c r="A9390" t="str">
        <f t="shared" si="146"/>
        <v/>
      </c>
      <c r="E9390" s="626"/>
      <c r="F9390" s="626"/>
    </row>
    <row r="9391" spans="1:6">
      <c r="A9391" t="str">
        <f t="shared" si="146"/>
        <v/>
      </c>
      <c r="E9391" s="626"/>
      <c r="F9391" s="626"/>
    </row>
    <row r="9392" spans="1:6">
      <c r="A9392" t="str">
        <f t="shared" si="146"/>
        <v/>
      </c>
      <c r="E9392" s="626"/>
      <c r="F9392" s="626"/>
    </row>
    <row r="9393" spans="1:6">
      <c r="A9393" t="str">
        <f t="shared" si="146"/>
        <v/>
      </c>
      <c r="E9393" s="626"/>
      <c r="F9393" s="626"/>
    </row>
    <row r="9394" spans="1:6">
      <c r="A9394" t="str">
        <f t="shared" si="146"/>
        <v/>
      </c>
      <c r="E9394" s="626"/>
      <c r="F9394" s="626"/>
    </row>
    <row r="9395" spans="1:6">
      <c r="A9395" t="str">
        <f t="shared" si="146"/>
        <v/>
      </c>
      <c r="E9395" s="626"/>
      <c r="F9395" s="626"/>
    </row>
    <row r="9396" spans="1:6">
      <c r="A9396" t="str">
        <f t="shared" si="146"/>
        <v/>
      </c>
      <c r="E9396" s="626"/>
      <c r="F9396" s="626"/>
    </row>
    <row r="9397" spans="1:6">
      <c r="A9397" t="str">
        <f t="shared" si="146"/>
        <v/>
      </c>
      <c r="E9397" s="626"/>
      <c r="F9397" s="626"/>
    </row>
    <row r="9398" spans="1:6">
      <c r="A9398" t="str">
        <f t="shared" si="146"/>
        <v/>
      </c>
      <c r="E9398" s="626"/>
      <c r="F9398" s="626"/>
    </row>
    <row r="9399" spans="1:6">
      <c r="A9399" t="str">
        <f t="shared" si="146"/>
        <v/>
      </c>
      <c r="E9399" s="626"/>
      <c r="F9399" s="626"/>
    </row>
    <row r="9400" spans="1:6">
      <c r="A9400" t="str">
        <f t="shared" si="146"/>
        <v/>
      </c>
      <c r="E9400" s="626"/>
      <c r="F9400" s="626"/>
    </row>
    <row r="9401" spans="1:6">
      <c r="A9401" t="str">
        <f t="shared" si="146"/>
        <v/>
      </c>
      <c r="E9401" s="626"/>
      <c r="F9401" s="626"/>
    </row>
    <row r="9402" spans="1:6">
      <c r="A9402" t="str">
        <f t="shared" si="146"/>
        <v/>
      </c>
      <c r="E9402" s="626"/>
      <c r="F9402" s="626"/>
    </row>
    <row r="9403" spans="1:6">
      <c r="A9403" t="str">
        <f t="shared" si="146"/>
        <v/>
      </c>
      <c r="E9403" s="626"/>
      <c r="F9403" s="626"/>
    </row>
    <row r="9404" spans="1:6">
      <c r="A9404" t="str">
        <f t="shared" si="146"/>
        <v/>
      </c>
      <c r="E9404" s="626"/>
      <c r="F9404" s="626"/>
    </row>
    <row r="9405" spans="1:6">
      <c r="A9405" t="str">
        <f t="shared" si="146"/>
        <v/>
      </c>
      <c r="E9405" s="626"/>
      <c r="F9405" s="626"/>
    </row>
    <row r="9406" spans="1:6">
      <c r="A9406" t="str">
        <f t="shared" si="146"/>
        <v/>
      </c>
      <c r="E9406" s="626"/>
      <c r="F9406" s="626"/>
    </row>
    <row r="9407" spans="1:6">
      <c r="A9407" t="str">
        <f t="shared" si="146"/>
        <v/>
      </c>
      <c r="E9407" s="626"/>
      <c r="F9407" s="626"/>
    </row>
    <row r="9408" spans="1:6">
      <c r="A9408" t="str">
        <f t="shared" si="146"/>
        <v/>
      </c>
      <c r="E9408" s="626"/>
      <c r="F9408" s="626"/>
    </row>
    <row r="9409" spans="1:6">
      <c r="A9409" t="str">
        <f t="shared" si="146"/>
        <v/>
      </c>
      <c r="E9409" s="626"/>
      <c r="F9409" s="626"/>
    </row>
    <row r="9410" spans="1:6">
      <c r="A9410" t="str">
        <f t="shared" ref="A9410:A9473" si="147">B9410&amp;E9410&amp;J9410</f>
        <v/>
      </c>
      <c r="E9410" s="626"/>
      <c r="F9410" s="626"/>
    </row>
    <row r="9411" spans="1:6">
      <c r="A9411" t="str">
        <f t="shared" si="147"/>
        <v/>
      </c>
      <c r="E9411" s="626"/>
      <c r="F9411" s="626"/>
    </row>
    <row r="9412" spans="1:6">
      <c r="A9412" t="str">
        <f t="shared" si="147"/>
        <v/>
      </c>
      <c r="E9412" s="626"/>
      <c r="F9412" s="626"/>
    </row>
    <row r="9413" spans="1:6">
      <c r="A9413" t="str">
        <f t="shared" si="147"/>
        <v/>
      </c>
      <c r="E9413" s="626"/>
      <c r="F9413" s="626"/>
    </row>
    <row r="9414" spans="1:6">
      <c r="A9414" t="str">
        <f t="shared" si="147"/>
        <v/>
      </c>
      <c r="E9414" s="626"/>
      <c r="F9414" s="626"/>
    </row>
    <row r="9415" spans="1:6">
      <c r="A9415" t="str">
        <f t="shared" si="147"/>
        <v/>
      </c>
      <c r="E9415" s="626"/>
      <c r="F9415" s="626"/>
    </row>
    <row r="9416" spans="1:6">
      <c r="A9416" t="str">
        <f t="shared" si="147"/>
        <v/>
      </c>
      <c r="E9416" s="626"/>
      <c r="F9416" s="626"/>
    </row>
    <row r="9417" spans="1:6">
      <c r="A9417" t="str">
        <f t="shared" si="147"/>
        <v/>
      </c>
      <c r="E9417" s="626"/>
      <c r="F9417" s="626"/>
    </row>
    <row r="9418" spans="1:6">
      <c r="A9418" t="str">
        <f t="shared" si="147"/>
        <v/>
      </c>
      <c r="E9418" s="626"/>
      <c r="F9418" s="626"/>
    </row>
    <row r="9419" spans="1:6">
      <c r="A9419" t="str">
        <f t="shared" si="147"/>
        <v/>
      </c>
      <c r="E9419" s="626"/>
      <c r="F9419" s="626"/>
    </row>
    <row r="9420" spans="1:6">
      <c r="A9420" t="str">
        <f t="shared" si="147"/>
        <v/>
      </c>
      <c r="E9420" s="626"/>
      <c r="F9420" s="626"/>
    </row>
    <row r="9421" spans="1:6">
      <c r="A9421" t="str">
        <f t="shared" si="147"/>
        <v/>
      </c>
      <c r="E9421" s="626"/>
      <c r="F9421" s="626"/>
    </row>
    <row r="9422" spans="1:6">
      <c r="A9422" t="str">
        <f t="shared" si="147"/>
        <v/>
      </c>
      <c r="E9422" s="626"/>
      <c r="F9422" s="626"/>
    </row>
    <row r="9423" spans="1:6">
      <c r="A9423" t="str">
        <f t="shared" si="147"/>
        <v/>
      </c>
      <c r="E9423" s="626"/>
      <c r="F9423" s="626"/>
    </row>
    <row r="9424" spans="1:6">
      <c r="A9424" t="str">
        <f t="shared" si="147"/>
        <v/>
      </c>
      <c r="E9424" s="626"/>
      <c r="F9424" s="626"/>
    </row>
    <row r="9425" spans="1:6">
      <c r="A9425" t="str">
        <f t="shared" si="147"/>
        <v/>
      </c>
      <c r="E9425" s="626"/>
      <c r="F9425" s="626"/>
    </row>
    <row r="9426" spans="1:6">
      <c r="A9426" t="str">
        <f t="shared" si="147"/>
        <v/>
      </c>
      <c r="E9426" s="626"/>
      <c r="F9426" s="626"/>
    </row>
    <row r="9427" spans="1:6">
      <c r="A9427" t="str">
        <f t="shared" si="147"/>
        <v/>
      </c>
      <c r="E9427" s="626"/>
      <c r="F9427" s="626"/>
    </row>
    <row r="9428" spans="1:6">
      <c r="A9428" t="str">
        <f t="shared" si="147"/>
        <v/>
      </c>
      <c r="E9428" s="626"/>
      <c r="F9428" s="626"/>
    </row>
    <row r="9429" spans="1:6">
      <c r="A9429" t="str">
        <f t="shared" si="147"/>
        <v/>
      </c>
      <c r="E9429" s="626"/>
      <c r="F9429" s="626"/>
    </row>
    <row r="9430" spans="1:6">
      <c r="A9430" t="str">
        <f t="shared" si="147"/>
        <v/>
      </c>
      <c r="E9430" s="626"/>
      <c r="F9430" s="626"/>
    </row>
    <row r="9431" spans="1:6">
      <c r="A9431" t="str">
        <f t="shared" si="147"/>
        <v/>
      </c>
      <c r="E9431" s="626"/>
      <c r="F9431" s="626"/>
    </row>
    <row r="9432" spans="1:6">
      <c r="A9432" t="str">
        <f t="shared" si="147"/>
        <v/>
      </c>
      <c r="E9432" s="626"/>
      <c r="F9432" s="626"/>
    </row>
    <row r="9433" spans="1:6">
      <c r="A9433" t="str">
        <f t="shared" si="147"/>
        <v/>
      </c>
      <c r="E9433" s="626"/>
      <c r="F9433" s="626"/>
    </row>
    <row r="9434" spans="1:6">
      <c r="A9434" t="str">
        <f t="shared" si="147"/>
        <v/>
      </c>
      <c r="E9434" s="626"/>
      <c r="F9434" s="626"/>
    </row>
    <row r="9435" spans="1:6">
      <c r="A9435" t="str">
        <f t="shared" si="147"/>
        <v/>
      </c>
      <c r="E9435" s="626"/>
      <c r="F9435" s="626"/>
    </row>
    <row r="9436" spans="1:6">
      <c r="A9436" t="str">
        <f t="shared" si="147"/>
        <v/>
      </c>
      <c r="E9436" s="626"/>
      <c r="F9436" s="626"/>
    </row>
    <row r="9437" spans="1:6">
      <c r="A9437" t="str">
        <f t="shared" si="147"/>
        <v/>
      </c>
      <c r="E9437" s="626"/>
      <c r="F9437" s="626"/>
    </row>
    <row r="9438" spans="1:6">
      <c r="A9438" t="str">
        <f t="shared" si="147"/>
        <v/>
      </c>
      <c r="E9438" s="626"/>
      <c r="F9438" s="626"/>
    </row>
    <row r="9439" spans="1:6">
      <c r="A9439" t="str">
        <f t="shared" si="147"/>
        <v/>
      </c>
      <c r="E9439" s="626"/>
      <c r="F9439" s="626"/>
    </row>
    <row r="9440" spans="1:6">
      <c r="A9440" t="str">
        <f t="shared" si="147"/>
        <v/>
      </c>
      <c r="E9440" s="626"/>
      <c r="F9440" s="626"/>
    </row>
    <row r="9441" spans="1:6">
      <c r="A9441" t="str">
        <f t="shared" si="147"/>
        <v/>
      </c>
      <c r="E9441" s="626"/>
      <c r="F9441" s="626"/>
    </row>
    <row r="9442" spans="1:6">
      <c r="A9442" t="str">
        <f t="shared" si="147"/>
        <v/>
      </c>
      <c r="E9442" s="626"/>
      <c r="F9442" s="626"/>
    </row>
    <row r="9443" spans="1:6">
      <c r="A9443" t="str">
        <f t="shared" si="147"/>
        <v/>
      </c>
      <c r="E9443" s="626"/>
      <c r="F9443" s="626"/>
    </row>
    <row r="9444" spans="1:6">
      <c r="A9444" t="str">
        <f t="shared" si="147"/>
        <v/>
      </c>
      <c r="E9444" s="626"/>
      <c r="F9444" s="626"/>
    </row>
    <row r="9445" spans="1:6">
      <c r="A9445" t="str">
        <f t="shared" si="147"/>
        <v/>
      </c>
      <c r="E9445" s="626"/>
      <c r="F9445" s="626"/>
    </row>
    <row r="9446" spans="1:6">
      <c r="A9446" t="str">
        <f t="shared" si="147"/>
        <v/>
      </c>
      <c r="E9446" s="626"/>
      <c r="F9446" s="626"/>
    </row>
    <row r="9447" spans="1:6">
      <c r="A9447" t="str">
        <f t="shared" si="147"/>
        <v/>
      </c>
      <c r="E9447" s="626"/>
      <c r="F9447" s="626"/>
    </row>
    <row r="9448" spans="1:6">
      <c r="A9448" t="str">
        <f t="shared" si="147"/>
        <v/>
      </c>
      <c r="E9448" s="626"/>
      <c r="F9448" s="626"/>
    </row>
    <row r="9449" spans="1:6">
      <c r="A9449" t="str">
        <f t="shared" si="147"/>
        <v/>
      </c>
      <c r="E9449" s="626"/>
      <c r="F9449" s="626"/>
    </row>
    <row r="9450" spans="1:6">
      <c r="A9450" t="str">
        <f t="shared" si="147"/>
        <v/>
      </c>
      <c r="E9450" s="626"/>
      <c r="F9450" s="626"/>
    </row>
    <row r="9451" spans="1:6">
      <c r="A9451" t="str">
        <f t="shared" si="147"/>
        <v/>
      </c>
      <c r="E9451" s="626"/>
      <c r="F9451" s="626"/>
    </row>
    <row r="9452" spans="1:6">
      <c r="A9452" t="str">
        <f t="shared" si="147"/>
        <v/>
      </c>
      <c r="E9452" s="626"/>
      <c r="F9452" s="626"/>
    </row>
    <row r="9453" spans="1:6">
      <c r="A9453" t="str">
        <f t="shared" si="147"/>
        <v/>
      </c>
      <c r="E9453" s="626"/>
      <c r="F9453" s="626"/>
    </row>
    <row r="9454" spans="1:6">
      <c r="A9454" t="str">
        <f t="shared" si="147"/>
        <v/>
      </c>
      <c r="E9454" s="626"/>
      <c r="F9454" s="626"/>
    </row>
    <row r="9455" spans="1:6">
      <c r="A9455" t="str">
        <f t="shared" si="147"/>
        <v/>
      </c>
      <c r="E9455" s="626"/>
      <c r="F9455" s="626"/>
    </row>
    <row r="9456" spans="1:6">
      <c r="A9456" t="str">
        <f t="shared" si="147"/>
        <v/>
      </c>
      <c r="E9456" s="626"/>
      <c r="F9456" s="626"/>
    </row>
    <row r="9457" spans="1:6">
      <c r="A9457" t="str">
        <f t="shared" si="147"/>
        <v/>
      </c>
      <c r="E9457" s="626"/>
      <c r="F9457" s="626"/>
    </row>
    <row r="9458" spans="1:6">
      <c r="A9458" t="str">
        <f t="shared" si="147"/>
        <v/>
      </c>
      <c r="E9458" s="626"/>
      <c r="F9458" s="626"/>
    </row>
    <row r="9459" spans="1:6">
      <c r="A9459" t="str">
        <f t="shared" si="147"/>
        <v/>
      </c>
      <c r="E9459" s="626"/>
      <c r="F9459" s="626"/>
    </row>
    <row r="9460" spans="1:6">
      <c r="A9460" t="str">
        <f t="shared" si="147"/>
        <v/>
      </c>
      <c r="E9460" s="626"/>
      <c r="F9460" s="626"/>
    </row>
    <row r="9461" spans="1:6">
      <c r="A9461" t="str">
        <f t="shared" si="147"/>
        <v/>
      </c>
      <c r="E9461" s="626"/>
      <c r="F9461" s="626"/>
    </row>
    <row r="9462" spans="1:6">
      <c r="A9462" t="str">
        <f t="shared" si="147"/>
        <v/>
      </c>
      <c r="E9462" s="626"/>
      <c r="F9462" s="626"/>
    </row>
    <row r="9463" spans="1:6">
      <c r="A9463" t="str">
        <f t="shared" si="147"/>
        <v/>
      </c>
      <c r="E9463" s="626"/>
      <c r="F9463" s="626"/>
    </row>
    <row r="9464" spans="1:6">
      <c r="A9464" t="str">
        <f t="shared" si="147"/>
        <v/>
      </c>
      <c r="E9464" s="626"/>
      <c r="F9464" s="626"/>
    </row>
    <row r="9465" spans="1:6">
      <c r="A9465" t="str">
        <f t="shared" si="147"/>
        <v/>
      </c>
      <c r="E9465" s="626"/>
      <c r="F9465" s="626"/>
    </row>
    <row r="9466" spans="1:6">
      <c r="A9466" t="str">
        <f t="shared" si="147"/>
        <v/>
      </c>
      <c r="E9466" s="626"/>
      <c r="F9466" s="626"/>
    </row>
    <row r="9467" spans="1:6">
      <c r="A9467" t="str">
        <f t="shared" si="147"/>
        <v/>
      </c>
      <c r="E9467" s="626"/>
      <c r="F9467" s="626"/>
    </row>
    <row r="9468" spans="1:6">
      <c r="A9468" t="str">
        <f t="shared" si="147"/>
        <v/>
      </c>
      <c r="E9468" s="626"/>
      <c r="F9468" s="626"/>
    </row>
    <row r="9469" spans="1:6">
      <c r="A9469" t="str">
        <f t="shared" si="147"/>
        <v/>
      </c>
      <c r="E9469" s="626"/>
      <c r="F9469" s="626"/>
    </row>
    <row r="9470" spans="1:6">
      <c r="A9470" t="str">
        <f t="shared" si="147"/>
        <v/>
      </c>
      <c r="E9470" s="626"/>
      <c r="F9470" s="626"/>
    </row>
    <row r="9471" spans="1:6">
      <c r="A9471" t="str">
        <f t="shared" si="147"/>
        <v/>
      </c>
      <c r="E9471" s="626"/>
      <c r="F9471" s="626"/>
    </row>
    <row r="9472" spans="1:6">
      <c r="A9472" t="str">
        <f t="shared" si="147"/>
        <v/>
      </c>
      <c r="E9472" s="626"/>
      <c r="F9472" s="626"/>
    </row>
    <row r="9473" spans="1:6">
      <c r="A9473" t="str">
        <f t="shared" si="147"/>
        <v/>
      </c>
      <c r="E9473" s="626"/>
      <c r="F9473" s="626"/>
    </row>
    <row r="9474" spans="1:6">
      <c r="A9474" t="str">
        <f t="shared" ref="A9474:A9537" si="148">B9474&amp;E9474&amp;J9474</f>
        <v/>
      </c>
      <c r="E9474" s="626"/>
      <c r="F9474" s="626"/>
    </row>
    <row r="9475" spans="1:6">
      <c r="A9475" t="str">
        <f t="shared" si="148"/>
        <v/>
      </c>
      <c r="E9475" s="626"/>
      <c r="F9475" s="626"/>
    </row>
    <row r="9476" spans="1:6">
      <c r="A9476" t="str">
        <f t="shared" si="148"/>
        <v/>
      </c>
      <c r="E9476" s="626"/>
      <c r="F9476" s="626"/>
    </row>
    <row r="9477" spans="1:6">
      <c r="A9477" t="str">
        <f t="shared" si="148"/>
        <v/>
      </c>
      <c r="E9477" s="626"/>
      <c r="F9477" s="626"/>
    </row>
    <row r="9478" spans="1:6">
      <c r="A9478" t="str">
        <f t="shared" si="148"/>
        <v/>
      </c>
      <c r="E9478" s="626"/>
      <c r="F9478" s="626"/>
    </row>
    <row r="9479" spans="1:6">
      <c r="A9479" t="str">
        <f t="shared" si="148"/>
        <v/>
      </c>
      <c r="E9479" s="626"/>
      <c r="F9479" s="626"/>
    </row>
    <row r="9480" spans="1:6">
      <c r="A9480" t="str">
        <f t="shared" si="148"/>
        <v/>
      </c>
      <c r="E9480" s="626"/>
      <c r="F9480" s="626"/>
    </row>
    <row r="9481" spans="1:6">
      <c r="A9481" t="str">
        <f t="shared" si="148"/>
        <v/>
      </c>
      <c r="E9481" s="626"/>
      <c r="F9481" s="626"/>
    </row>
    <row r="9482" spans="1:6">
      <c r="A9482" t="str">
        <f t="shared" si="148"/>
        <v/>
      </c>
      <c r="E9482" s="626"/>
      <c r="F9482" s="626"/>
    </row>
    <row r="9483" spans="1:6">
      <c r="A9483" t="str">
        <f t="shared" si="148"/>
        <v/>
      </c>
      <c r="E9483" s="626"/>
      <c r="F9483" s="626"/>
    </row>
    <row r="9484" spans="1:6">
      <c r="A9484" t="str">
        <f t="shared" si="148"/>
        <v/>
      </c>
      <c r="E9484" s="626"/>
      <c r="F9484" s="626"/>
    </row>
    <row r="9485" spans="1:6">
      <c r="A9485" t="str">
        <f t="shared" si="148"/>
        <v/>
      </c>
      <c r="E9485" s="626"/>
      <c r="F9485" s="626"/>
    </row>
    <row r="9486" spans="1:6">
      <c r="A9486" t="str">
        <f t="shared" si="148"/>
        <v/>
      </c>
      <c r="E9486" s="626"/>
      <c r="F9486" s="626"/>
    </row>
    <row r="9487" spans="1:6">
      <c r="A9487" t="str">
        <f t="shared" si="148"/>
        <v/>
      </c>
      <c r="E9487" s="626"/>
      <c r="F9487" s="626"/>
    </row>
    <row r="9488" spans="1:6">
      <c r="A9488" t="str">
        <f t="shared" si="148"/>
        <v/>
      </c>
      <c r="E9488" s="626"/>
      <c r="F9488" s="626"/>
    </row>
    <row r="9489" spans="1:6">
      <c r="A9489" t="str">
        <f t="shared" si="148"/>
        <v/>
      </c>
      <c r="E9489" s="626"/>
      <c r="F9489" s="626"/>
    </row>
    <row r="9490" spans="1:6">
      <c r="A9490" t="str">
        <f t="shared" si="148"/>
        <v/>
      </c>
      <c r="E9490" s="626"/>
      <c r="F9490" s="626"/>
    </row>
    <row r="9491" spans="1:6">
      <c r="A9491" t="str">
        <f t="shared" si="148"/>
        <v/>
      </c>
      <c r="E9491" s="626"/>
      <c r="F9491" s="626"/>
    </row>
    <row r="9492" spans="1:6">
      <c r="A9492" t="str">
        <f t="shared" si="148"/>
        <v/>
      </c>
      <c r="E9492" s="626"/>
      <c r="F9492" s="626"/>
    </row>
    <row r="9493" spans="1:6">
      <c r="A9493" t="str">
        <f t="shared" si="148"/>
        <v/>
      </c>
      <c r="E9493" s="626"/>
      <c r="F9493" s="626"/>
    </row>
    <row r="9494" spans="1:6">
      <c r="A9494" t="str">
        <f t="shared" si="148"/>
        <v/>
      </c>
      <c r="E9494" s="626"/>
      <c r="F9494" s="626"/>
    </row>
    <row r="9495" spans="1:6">
      <c r="A9495" t="str">
        <f t="shared" si="148"/>
        <v/>
      </c>
      <c r="E9495" s="626"/>
      <c r="F9495" s="626"/>
    </row>
    <row r="9496" spans="1:6">
      <c r="A9496" t="str">
        <f t="shared" si="148"/>
        <v/>
      </c>
      <c r="E9496" s="626"/>
      <c r="F9496" s="626"/>
    </row>
    <row r="9497" spans="1:6">
      <c r="A9497" t="str">
        <f t="shared" si="148"/>
        <v/>
      </c>
      <c r="E9497" s="626"/>
      <c r="F9497" s="626"/>
    </row>
    <row r="9498" spans="1:6">
      <c r="A9498" t="str">
        <f t="shared" si="148"/>
        <v/>
      </c>
      <c r="E9498" s="626"/>
      <c r="F9498" s="626"/>
    </row>
    <row r="9499" spans="1:6">
      <c r="A9499" t="str">
        <f t="shared" si="148"/>
        <v/>
      </c>
      <c r="E9499" s="626"/>
      <c r="F9499" s="626"/>
    </row>
    <row r="9500" spans="1:6">
      <c r="A9500" t="str">
        <f t="shared" si="148"/>
        <v/>
      </c>
      <c r="E9500" s="626"/>
      <c r="F9500" s="626"/>
    </row>
    <row r="9501" spans="1:6">
      <c r="A9501" t="str">
        <f t="shared" si="148"/>
        <v/>
      </c>
      <c r="E9501" s="626"/>
      <c r="F9501" s="626"/>
    </row>
    <row r="9502" spans="1:6">
      <c r="A9502" t="str">
        <f t="shared" si="148"/>
        <v/>
      </c>
      <c r="E9502" s="626"/>
      <c r="F9502" s="626"/>
    </row>
    <row r="9503" spans="1:6">
      <c r="A9503" t="str">
        <f t="shared" si="148"/>
        <v/>
      </c>
      <c r="E9503" s="626"/>
      <c r="F9503" s="626"/>
    </row>
    <row r="9504" spans="1:6">
      <c r="A9504" t="str">
        <f t="shared" si="148"/>
        <v/>
      </c>
      <c r="E9504" s="626"/>
      <c r="F9504" s="626"/>
    </row>
    <row r="9505" spans="1:6">
      <c r="A9505" t="str">
        <f t="shared" si="148"/>
        <v/>
      </c>
      <c r="E9505" s="626"/>
      <c r="F9505" s="626"/>
    </row>
    <row r="9506" spans="1:6">
      <c r="A9506" t="str">
        <f t="shared" si="148"/>
        <v/>
      </c>
      <c r="E9506" s="626"/>
      <c r="F9506" s="626"/>
    </row>
    <row r="9507" spans="1:6">
      <c r="A9507" t="str">
        <f t="shared" si="148"/>
        <v/>
      </c>
      <c r="E9507" s="626"/>
      <c r="F9507" s="626"/>
    </row>
    <row r="9508" spans="1:6">
      <c r="A9508" t="str">
        <f t="shared" si="148"/>
        <v/>
      </c>
      <c r="E9508" s="626"/>
      <c r="F9508" s="626"/>
    </row>
    <row r="9509" spans="1:6">
      <c r="A9509" t="str">
        <f t="shared" si="148"/>
        <v/>
      </c>
      <c r="E9509" s="626"/>
      <c r="F9509" s="626"/>
    </row>
    <row r="9510" spans="1:6">
      <c r="A9510" t="str">
        <f t="shared" si="148"/>
        <v/>
      </c>
      <c r="E9510" s="626"/>
      <c r="F9510" s="626"/>
    </row>
    <row r="9511" spans="1:6">
      <c r="A9511" t="str">
        <f t="shared" si="148"/>
        <v/>
      </c>
      <c r="E9511" s="626"/>
      <c r="F9511" s="626"/>
    </row>
    <row r="9512" spans="1:6">
      <c r="A9512" t="str">
        <f t="shared" si="148"/>
        <v/>
      </c>
      <c r="E9512" s="626"/>
      <c r="F9512" s="626"/>
    </row>
    <row r="9513" spans="1:6">
      <c r="A9513" t="str">
        <f t="shared" si="148"/>
        <v/>
      </c>
      <c r="E9513" s="626"/>
      <c r="F9513" s="626"/>
    </row>
    <row r="9514" spans="1:6">
      <c r="A9514" t="str">
        <f t="shared" si="148"/>
        <v/>
      </c>
      <c r="E9514" s="626"/>
      <c r="F9514" s="626"/>
    </row>
    <row r="9515" spans="1:6">
      <c r="A9515" t="str">
        <f t="shared" si="148"/>
        <v/>
      </c>
      <c r="E9515" s="626"/>
      <c r="F9515" s="626"/>
    </row>
    <row r="9516" spans="1:6">
      <c r="A9516" t="str">
        <f t="shared" si="148"/>
        <v/>
      </c>
      <c r="E9516" s="626"/>
      <c r="F9516" s="626"/>
    </row>
    <row r="9517" spans="1:6">
      <c r="A9517" t="str">
        <f t="shared" si="148"/>
        <v/>
      </c>
      <c r="E9517" s="626"/>
      <c r="F9517" s="626"/>
    </row>
    <row r="9518" spans="1:6">
      <c r="A9518" t="str">
        <f t="shared" si="148"/>
        <v/>
      </c>
      <c r="E9518" s="626"/>
      <c r="F9518" s="626"/>
    </row>
    <row r="9519" spans="1:6">
      <c r="A9519" t="str">
        <f t="shared" si="148"/>
        <v/>
      </c>
      <c r="E9519" s="626"/>
      <c r="F9519" s="626"/>
    </row>
    <row r="9520" spans="1:6">
      <c r="A9520" t="str">
        <f t="shared" si="148"/>
        <v/>
      </c>
      <c r="E9520" s="626"/>
      <c r="F9520" s="626"/>
    </row>
    <row r="9521" spans="1:6">
      <c r="A9521" t="str">
        <f t="shared" si="148"/>
        <v/>
      </c>
      <c r="E9521" s="626"/>
      <c r="F9521" s="626"/>
    </row>
    <row r="9522" spans="1:6">
      <c r="A9522" t="str">
        <f t="shared" si="148"/>
        <v/>
      </c>
      <c r="E9522" s="626"/>
      <c r="F9522" s="626"/>
    </row>
    <row r="9523" spans="1:6">
      <c r="A9523" t="str">
        <f t="shared" si="148"/>
        <v/>
      </c>
      <c r="E9523" s="626"/>
      <c r="F9523" s="626"/>
    </row>
    <row r="9524" spans="1:6">
      <c r="A9524" t="str">
        <f t="shared" si="148"/>
        <v/>
      </c>
      <c r="E9524" s="626"/>
      <c r="F9524" s="626"/>
    </row>
    <row r="9525" spans="1:6">
      <c r="A9525" t="str">
        <f t="shared" si="148"/>
        <v/>
      </c>
      <c r="E9525" s="626"/>
      <c r="F9525" s="626"/>
    </row>
    <row r="9526" spans="1:6">
      <c r="A9526" t="str">
        <f t="shared" si="148"/>
        <v/>
      </c>
      <c r="E9526" s="626"/>
      <c r="F9526" s="626"/>
    </row>
    <row r="9527" spans="1:6">
      <c r="A9527" t="str">
        <f t="shared" si="148"/>
        <v/>
      </c>
      <c r="E9527" s="626"/>
      <c r="F9527" s="626"/>
    </row>
    <row r="9528" spans="1:6">
      <c r="A9528" t="str">
        <f t="shared" si="148"/>
        <v/>
      </c>
      <c r="E9528" s="626"/>
      <c r="F9528" s="626"/>
    </row>
    <row r="9529" spans="1:6">
      <c r="A9529" t="str">
        <f t="shared" si="148"/>
        <v/>
      </c>
      <c r="E9529" s="626"/>
      <c r="F9529" s="626"/>
    </row>
    <row r="9530" spans="1:6">
      <c r="A9530" t="str">
        <f t="shared" si="148"/>
        <v/>
      </c>
      <c r="E9530" s="626"/>
      <c r="F9530" s="626"/>
    </row>
    <row r="9531" spans="1:6">
      <c r="A9531" t="str">
        <f t="shared" si="148"/>
        <v/>
      </c>
      <c r="E9531" s="626"/>
      <c r="F9531" s="626"/>
    </row>
    <row r="9532" spans="1:6">
      <c r="A9532" t="str">
        <f t="shared" si="148"/>
        <v/>
      </c>
      <c r="E9532" s="626"/>
      <c r="F9532" s="626"/>
    </row>
    <row r="9533" spans="1:6">
      <c r="A9533" t="str">
        <f t="shared" si="148"/>
        <v/>
      </c>
      <c r="E9533" s="626"/>
      <c r="F9533" s="626"/>
    </row>
    <row r="9534" spans="1:6">
      <c r="A9534" t="str">
        <f t="shared" si="148"/>
        <v/>
      </c>
      <c r="E9534" s="626"/>
      <c r="F9534" s="626"/>
    </row>
    <row r="9535" spans="1:6">
      <c r="A9535" t="str">
        <f t="shared" si="148"/>
        <v/>
      </c>
      <c r="E9535" s="626"/>
      <c r="F9535" s="626"/>
    </row>
    <row r="9536" spans="1:6">
      <c r="A9536" t="str">
        <f t="shared" si="148"/>
        <v/>
      </c>
      <c r="E9536" s="626"/>
      <c r="F9536" s="626"/>
    </row>
    <row r="9537" spans="1:6">
      <c r="A9537" t="str">
        <f t="shared" si="148"/>
        <v/>
      </c>
      <c r="E9537" s="626"/>
      <c r="F9537" s="626"/>
    </row>
    <row r="9538" spans="1:6">
      <c r="A9538" t="str">
        <f t="shared" ref="A9538:A9601" si="149">B9538&amp;E9538&amp;J9538</f>
        <v/>
      </c>
      <c r="E9538" s="626"/>
      <c r="F9538" s="626"/>
    </row>
    <row r="9539" spans="1:6">
      <c r="A9539" t="str">
        <f t="shared" si="149"/>
        <v/>
      </c>
      <c r="E9539" s="626"/>
      <c r="F9539" s="626"/>
    </row>
    <row r="9540" spans="1:6">
      <c r="A9540" t="str">
        <f t="shared" si="149"/>
        <v/>
      </c>
      <c r="E9540" s="626"/>
      <c r="F9540" s="626"/>
    </row>
    <row r="9541" spans="1:6">
      <c r="A9541" t="str">
        <f t="shared" si="149"/>
        <v/>
      </c>
      <c r="E9541" s="626"/>
      <c r="F9541" s="626"/>
    </row>
    <row r="9542" spans="1:6">
      <c r="A9542" t="str">
        <f t="shared" si="149"/>
        <v/>
      </c>
      <c r="E9542" s="626"/>
      <c r="F9542" s="626"/>
    </row>
    <row r="9543" spans="1:6">
      <c r="A9543" t="str">
        <f t="shared" si="149"/>
        <v/>
      </c>
      <c r="E9543" s="626"/>
      <c r="F9543" s="626"/>
    </row>
    <row r="9544" spans="1:6">
      <c r="A9544" t="str">
        <f t="shared" si="149"/>
        <v/>
      </c>
      <c r="E9544" s="626"/>
      <c r="F9544" s="626"/>
    </row>
    <row r="9545" spans="1:6">
      <c r="A9545" t="str">
        <f t="shared" si="149"/>
        <v/>
      </c>
      <c r="E9545" s="626"/>
      <c r="F9545" s="626"/>
    </row>
    <row r="9546" spans="1:6">
      <c r="A9546" t="str">
        <f t="shared" si="149"/>
        <v/>
      </c>
      <c r="E9546" s="626"/>
      <c r="F9546" s="626"/>
    </row>
    <row r="9547" spans="1:6">
      <c r="A9547" t="str">
        <f t="shared" si="149"/>
        <v/>
      </c>
      <c r="E9547" s="626"/>
      <c r="F9547" s="626"/>
    </row>
    <row r="9548" spans="1:6">
      <c r="A9548" t="str">
        <f t="shared" si="149"/>
        <v/>
      </c>
      <c r="E9548" s="626"/>
      <c r="F9548" s="626"/>
    </row>
    <row r="9549" spans="1:6">
      <c r="A9549" t="str">
        <f t="shared" si="149"/>
        <v/>
      </c>
      <c r="E9549" s="626"/>
      <c r="F9549" s="626"/>
    </row>
    <row r="9550" spans="1:6">
      <c r="A9550" t="str">
        <f t="shared" si="149"/>
        <v/>
      </c>
      <c r="E9550" s="626"/>
      <c r="F9550" s="626"/>
    </row>
    <row r="9551" spans="1:6">
      <c r="A9551" t="str">
        <f t="shared" si="149"/>
        <v/>
      </c>
      <c r="E9551" s="626"/>
      <c r="F9551" s="626"/>
    </row>
    <row r="9552" spans="1:6">
      <c r="A9552" t="str">
        <f t="shared" si="149"/>
        <v/>
      </c>
      <c r="E9552" s="626"/>
      <c r="F9552" s="626"/>
    </row>
    <row r="9553" spans="1:6">
      <c r="A9553" t="str">
        <f t="shared" si="149"/>
        <v/>
      </c>
      <c r="E9553" s="626"/>
      <c r="F9553" s="626"/>
    </row>
    <row r="9554" spans="1:6">
      <c r="A9554" t="str">
        <f t="shared" si="149"/>
        <v/>
      </c>
      <c r="E9554" s="626"/>
      <c r="F9554" s="626"/>
    </row>
    <row r="9555" spans="1:6">
      <c r="A9555" t="str">
        <f t="shared" si="149"/>
        <v/>
      </c>
      <c r="E9555" s="626"/>
      <c r="F9555" s="626"/>
    </row>
    <row r="9556" spans="1:6">
      <c r="A9556" t="str">
        <f t="shared" si="149"/>
        <v/>
      </c>
      <c r="E9556" s="626"/>
      <c r="F9556" s="626"/>
    </row>
    <row r="9557" spans="1:6">
      <c r="A9557" t="str">
        <f t="shared" si="149"/>
        <v/>
      </c>
      <c r="E9557" s="626"/>
      <c r="F9557" s="626"/>
    </row>
    <row r="9558" spans="1:6">
      <c r="A9558" t="str">
        <f t="shared" si="149"/>
        <v/>
      </c>
      <c r="E9558" s="626"/>
      <c r="F9558" s="626"/>
    </row>
    <row r="9559" spans="1:6">
      <c r="A9559" t="str">
        <f t="shared" si="149"/>
        <v/>
      </c>
      <c r="E9559" s="626"/>
      <c r="F9559" s="626"/>
    </row>
    <row r="9560" spans="1:6">
      <c r="A9560" t="str">
        <f t="shared" si="149"/>
        <v/>
      </c>
      <c r="E9560" s="626"/>
      <c r="F9560" s="626"/>
    </row>
    <row r="9561" spans="1:6">
      <c r="A9561" t="str">
        <f t="shared" si="149"/>
        <v/>
      </c>
      <c r="E9561" s="626"/>
      <c r="F9561" s="626"/>
    </row>
    <row r="9562" spans="1:6">
      <c r="A9562" t="str">
        <f t="shared" si="149"/>
        <v/>
      </c>
      <c r="E9562" s="626"/>
      <c r="F9562" s="626"/>
    </row>
    <row r="9563" spans="1:6">
      <c r="A9563" t="str">
        <f t="shared" si="149"/>
        <v/>
      </c>
      <c r="E9563" s="626"/>
      <c r="F9563" s="626"/>
    </row>
    <row r="9564" spans="1:6">
      <c r="A9564" t="str">
        <f t="shared" si="149"/>
        <v/>
      </c>
      <c r="E9564" s="626"/>
      <c r="F9564" s="626"/>
    </row>
    <row r="9565" spans="1:6">
      <c r="A9565" t="str">
        <f t="shared" si="149"/>
        <v/>
      </c>
      <c r="E9565" s="626"/>
      <c r="F9565" s="626"/>
    </row>
    <row r="9566" spans="1:6">
      <c r="A9566" t="str">
        <f t="shared" si="149"/>
        <v/>
      </c>
      <c r="E9566" s="626"/>
      <c r="F9566" s="626"/>
    </row>
    <row r="9567" spans="1:6">
      <c r="A9567" t="str">
        <f t="shared" si="149"/>
        <v/>
      </c>
      <c r="E9567" s="626"/>
      <c r="F9567" s="626"/>
    </row>
    <row r="9568" spans="1:6">
      <c r="A9568" t="str">
        <f t="shared" si="149"/>
        <v/>
      </c>
      <c r="E9568" s="626"/>
      <c r="F9568" s="626"/>
    </row>
    <row r="9569" spans="1:6">
      <c r="A9569" t="str">
        <f t="shared" si="149"/>
        <v/>
      </c>
      <c r="E9569" s="626"/>
      <c r="F9569" s="626"/>
    </row>
    <row r="9570" spans="1:6">
      <c r="A9570" t="str">
        <f t="shared" si="149"/>
        <v/>
      </c>
      <c r="E9570" s="626"/>
      <c r="F9570" s="626"/>
    </row>
    <row r="9571" spans="1:6">
      <c r="A9571" t="str">
        <f t="shared" si="149"/>
        <v/>
      </c>
      <c r="E9571" s="626"/>
      <c r="F9571" s="626"/>
    </row>
    <row r="9572" spans="1:6">
      <c r="A9572" t="str">
        <f t="shared" si="149"/>
        <v/>
      </c>
      <c r="E9572" s="626"/>
      <c r="F9572" s="626"/>
    </row>
    <row r="9573" spans="1:6">
      <c r="A9573" t="str">
        <f t="shared" si="149"/>
        <v/>
      </c>
      <c r="E9573" s="626"/>
      <c r="F9573" s="626"/>
    </row>
    <row r="9574" spans="1:6">
      <c r="A9574" t="str">
        <f t="shared" si="149"/>
        <v/>
      </c>
      <c r="E9574" s="626"/>
      <c r="F9574" s="626"/>
    </row>
    <row r="9575" spans="1:6">
      <c r="A9575" t="str">
        <f t="shared" si="149"/>
        <v/>
      </c>
      <c r="E9575" s="626"/>
      <c r="F9575" s="626"/>
    </row>
    <row r="9576" spans="1:6">
      <c r="A9576" t="str">
        <f t="shared" si="149"/>
        <v/>
      </c>
      <c r="E9576" s="626"/>
      <c r="F9576" s="626"/>
    </row>
    <row r="9577" spans="1:6">
      <c r="A9577" t="str">
        <f t="shared" si="149"/>
        <v/>
      </c>
      <c r="E9577" s="626"/>
      <c r="F9577" s="626"/>
    </row>
    <row r="9578" spans="1:6">
      <c r="A9578" t="str">
        <f t="shared" si="149"/>
        <v/>
      </c>
      <c r="E9578" s="626"/>
      <c r="F9578" s="626"/>
    </row>
    <row r="9579" spans="1:6">
      <c r="A9579" t="str">
        <f t="shared" si="149"/>
        <v/>
      </c>
      <c r="E9579" s="626"/>
      <c r="F9579" s="626"/>
    </row>
    <row r="9580" spans="1:6">
      <c r="A9580" t="str">
        <f t="shared" si="149"/>
        <v/>
      </c>
      <c r="E9580" s="626"/>
      <c r="F9580" s="626"/>
    </row>
    <row r="9581" spans="1:6">
      <c r="A9581" t="str">
        <f t="shared" si="149"/>
        <v/>
      </c>
      <c r="E9581" s="626"/>
      <c r="F9581" s="626"/>
    </row>
    <row r="9582" spans="1:6">
      <c r="A9582" t="str">
        <f t="shared" si="149"/>
        <v/>
      </c>
      <c r="E9582" s="626"/>
      <c r="F9582" s="626"/>
    </row>
    <row r="9583" spans="1:6">
      <c r="A9583" t="str">
        <f t="shared" si="149"/>
        <v/>
      </c>
      <c r="E9583" s="626"/>
      <c r="F9583" s="626"/>
    </row>
    <row r="9584" spans="1:6">
      <c r="A9584" t="str">
        <f t="shared" si="149"/>
        <v/>
      </c>
      <c r="E9584" s="626"/>
      <c r="F9584" s="626"/>
    </row>
    <row r="9585" spans="1:6">
      <c r="A9585" t="str">
        <f t="shared" si="149"/>
        <v/>
      </c>
      <c r="E9585" s="626"/>
      <c r="F9585" s="626"/>
    </row>
    <row r="9586" spans="1:6">
      <c r="A9586" t="str">
        <f t="shared" si="149"/>
        <v/>
      </c>
      <c r="E9586" s="626"/>
      <c r="F9586" s="626"/>
    </row>
    <row r="9587" spans="1:6">
      <c r="A9587" t="str">
        <f t="shared" si="149"/>
        <v/>
      </c>
      <c r="E9587" s="626"/>
      <c r="F9587" s="626"/>
    </row>
    <row r="9588" spans="1:6">
      <c r="A9588" t="str">
        <f t="shared" si="149"/>
        <v/>
      </c>
      <c r="E9588" s="626"/>
      <c r="F9588" s="626"/>
    </row>
    <row r="9589" spans="1:6">
      <c r="A9589" t="str">
        <f t="shared" si="149"/>
        <v/>
      </c>
      <c r="E9589" s="626"/>
      <c r="F9589" s="626"/>
    </row>
    <row r="9590" spans="1:6">
      <c r="A9590" t="str">
        <f t="shared" si="149"/>
        <v/>
      </c>
      <c r="E9590" s="626"/>
      <c r="F9590" s="626"/>
    </row>
    <row r="9591" spans="1:6">
      <c r="A9591" t="str">
        <f t="shared" si="149"/>
        <v/>
      </c>
      <c r="E9591" s="626"/>
      <c r="F9591" s="626"/>
    </row>
    <row r="9592" spans="1:6">
      <c r="A9592" t="str">
        <f t="shared" si="149"/>
        <v/>
      </c>
      <c r="E9592" s="626"/>
      <c r="F9592" s="626"/>
    </row>
    <row r="9593" spans="1:6">
      <c r="A9593" t="str">
        <f t="shared" si="149"/>
        <v/>
      </c>
      <c r="E9593" s="626"/>
      <c r="F9593" s="626"/>
    </row>
    <row r="9594" spans="1:6">
      <c r="A9594" t="str">
        <f t="shared" si="149"/>
        <v/>
      </c>
      <c r="E9594" s="626"/>
      <c r="F9594" s="626"/>
    </row>
    <row r="9595" spans="1:6">
      <c r="A9595" t="str">
        <f t="shared" si="149"/>
        <v/>
      </c>
      <c r="E9595" s="626"/>
      <c r="F9595" s="626"/>
    </row>
    <row r="9596" spans="1:6">
      <c r="A9596" t="str">
        <f t="shared" si="149"/>
        <v/>
      </c>
      <c r="E9596" s="626"/>
      <c r="F9596" s="626"/>
    </row>
    <row r="9597" spans="1:6">
      <c r="A9597" t="str">
        <f t="shared" si="149"/>
        <v/>
      </c>
      <c r="E9597" s="626"/>
      <c r="F9597" s="626"/>
    </row>
    <row r="9598" spans="1:6">
      <c r="A9598" t="str">
        <f t="shared" si="149"/>
        <v/>
      </c>
      <c r="E9598" s="626"/>
      <c r="F9598" s="626"/>
    </row>
    <row r="9599" spans="1:6">
      <c r="A9599" t="str">
        <f t="shared" si="149"/>
        <v/>
      </c>
      <c r="E9599" s="626"/>
      <c r="F9599" s="626"/>
    </row>
    <row r="9600" spans="1:6">
      <c r="A9600" t="str">
        <f t="shared" si="149"/>
        <v/>
      </c>
      <c r="E9600" s="626"/>
      <c r="F9600" s="626"/>
    </row>
    <row r="9601" spans="1:6">
      <c r="A9601" t="str">
        <f t="shared" si="149"/>
        <v/>
      </c>
      <c r="E9601" s="626"/>
      <c r="F9601" s="626"/>
    </row>
    <row r="9602" spans="1:6">
      <c r="A9602" t="str">
        <f t="shared" ref="A9602:A9665" si="150">B9602&amp;E9602&amp;J9602</f>
        <v/>
      </c>
      <c r="E9602" s="626"/>
      <c r="F9602" s="626"/>
    </row>
    <row r="9603" spans="1:6">
      <c r="A9603" t="str">
        <f t="shared" si="150"/>
        <v/>
      </c>
      <c r="E9603" s="626"/>
      <c r="F9603" s="626"/>
    </row>
    <row r="9604" spans="1:6">
      <c r="A9604" t="str">
        <f t="shared" si="150"/>
        <v/>
      </c>
      <c r="E9604" s="626"/>
      <c r="F9604" s="626"/>
    </row>
    <row r="9605" spans="1:6">
      <c r="A9605" t="str">
        <f t="shared" si="150"/>
        <v/>
      </c>
      <c r="E9605" s="626"/>
      <c r="F9605" s="626"/>
    </row>
    <row r="9606" spans="1:6">
      <c r="A9606" t="str">
        <f t="shared" si="150"/>
        <v/>
      </c>
      <c r="E9606" s="626"/>
      <c r="F9606" s="626"/>
    </row>
    <row r="9607" spans="1:6">
      <c r="A9607" t="str">
        <f t="shared" si="150"/>
        <v/>
      </c>
      <c r="E9607" s="626"/>
      <c r="F9607" s="626"/>
    </row>
    <row r="9608" spans="1:6">
      <c r="A9608" t="str">
        <f t="shared" si="150"/>
        <v/>
      </c>
      <c r="E9608" s="626"/>
      <c r="F9608" s="626"/>
    </row>
    <row r="9609" spans="1:6">
      <c r="A9609" t="str">
        <f t="shared" si="150"/>
        <v/>
      </c>
      <c r="E9609" s="626"/>
      <c r="F9609" s="626"/>
    </row>
    <row r="9610" spans="1:6">
      <c r="A9610" t="str">
        <f t="shared" si="150"/>
        <v/>
      </c>
      <c r="E9610" s="626"/>
      <c r="F9610" s="626"/>
    </row>
    <row r="9611" spans="1:6">
      <c r="A9611" t="str">
        <f t="shared" si="150"/>
        <v/>
      </c>
      <c r="E9611" s="626"/>
      <c r="F9611" s="626"/>
    </row>
    <row r="9612" spans="1:6">
      <c r="A9612" t="str">
        <f t="shared" si="150"/>
        <v/>
      </c>
      <c r="E9612" s="626"/>
      <c r="F9612" s="626"/>
    </row>
    <row r="9613" spans="1:6">
      <c r="A9613" t="str">
        <f t="shared" si="150"/>
        <v/>
      </c>
      <c r="E9613" s="626"/>
      <c r="F9613" s="626"/>
    </row>
    <row r="9614" spans="1:6">
      <c r="A9614" t="str">
        <f t="shared" si="150"/>
        <v/>
      </c>
      <c r="E9614" s="626"/>
      <c r="F9614" s="626"/>
    </row>
    <row r="9615" spans="1:6">
      <c r="A9615" t="str">
        <f t="shared" si="150"/>
        <v/>
      </c>
      <c r="E9615" s="626"/>
      <c r="F9615" s="626"/>
    </row>
    <row r="9616" spans="1:6">
      <c r="A9616" t="str">
        <f t="shared" si="150"/>
        <v/>
      </c>
      <c r="E9616" s="626"/>
      <c r="F9616" s="626"/>
    </row>
    <row r="9617" spans="1:6">
      <c r="A9617" t="str">
        <f t="shared" si="150"/>
        <v/>
      </c>
      <c r="E9617" s="626"/>
      <c r="F9617" s="626"/>
    </row>
    <row r="9618" spans="1:6">
      <c r="A9618" t="str">
        <f t="shared" si="150"/>
        <v/>
      </c>
      <c r="E9618" s="626"/>
      <c r="F9618" s="626"/>
    </row>
    <row r="9619" spans="1:6">
      <c r="A9619" t="str">
        <f t="shared" si="150"/>
        <v/>
      </c>
      <c r="E9619" s="626"/>
      <c r="F9619" s="626"/>
    </row>
    <row r="9620" spans="1:6">
      <c r="A9620" t="str">
        <f t="shared" si="150"/>
        <v/>
      </c>
      <c r="E9620" s="626"/>
      <c r="F9620" s="626"/>
    </row>
    <row r="9621" spans="1:6">
      <c r="A9621" t="str">
        <f t="shared" si="150"/>
        <v/>
      </c>
      <c r="E9621" s="626"/>
      <c r="F9621" s="626"/>
    </row>
    <row r="9622" spans="1:6">
      <c r="A9622" t="str">
        <f t="shared" si="150"/>
        <v/>
      </c>
      <c r="E9622" s="626"/>
      <c r="F9622" s="626"/>
    </row>
    <row r="9623" spans="1:6">
      <c r="A9623" t="str">
        <f t="shared" si="150"/>
        <v/>
      </c>
      <c r="E9623" s="626"/>
      <c r="F9623" s="626"/>
    </row>
    <row r="9624" spans="1:6">
      <c r="A9624" t="str">
        <f t="shared" si="150"/>
        <v/>
      </c>
      <c r="E9624" s="626"/>
      <c r="F9624" s="626"/>
    </row>
    <row r="9625" spans="1:6">
      <c r="A9625" t="str">
        <f t="shared" si="150"/>
        <v/>
      </c>
      <c r="E9625" s="626"/>
      <c r="F9625" s="626"/>
    </row>
    <row r="9626" spans="1:6">
      <c r="A9626" t="str">
        <f t="shared" si="150"/>
        <v/>
      </c>
      <c r="E9626" s="626"/>
      <c r="F9626" s="626"/>
    </row>
    <row r="9627" spans="1:6">
      <c r="A9627" t="str">
        <f t="shared" si="150"/>
        <v/>
      </c>
      <c r="E9627" s="626"/>
      <c r="F9627" s="626"/>
    </row>
    <row r="9628" spans="1:6">
      <c r="A9628" t="str">
        <f t="shared" si="150"/>
        <v/>
      </c>
      <c r="E9628" s="626"/>
      <c r="F9628" s="626"/>
    </row>
    <row r="9629" spans="1:6">
      <c r="A9629" t="str">
        <f t="shared" si="150"/>
        <v/>
      </c>
      <c r="E9629" s="626"/>
      <c r="F9629" s="626"/>
    </row>
    <row r="9630" spans="1:6">
      <c r="A9630" t="str">
        <f t="shared" si="150"/>
        <v/>
      </c>
      <c r="E9630" s="626"/>
      <c r="F9630" s="626"/>
    </row>
    <row r="9631" spans="1:6">
      <c r="A9631" t="str">
        <f t="shared" si="150"/>
        <v/>
      </c>
      <c r="E9631" s="626"/>
      <c r="F9631" s="626"/>
    </row>
    <row r="9632" spans="1:6">
      <c r="A9632" t="str">
        <f t="shared" si="150"/>
        <v/>
      </c>
      <c r="E9632" s="626"/>
      <c r="F9632" s="626"/>
    </row>
    <row r="9633" spans="1:6">
      <c r="A9633" t="str">
        <f t="shared" si="150"/>
        <v/>
      </c>
      <c r="E9633" s="626"/>
      <c r="F9633" s="626"/>
    </row>
    <row r="9634" spans="1:6">
      <c r="A9634" t="str">
        <f t="shared" si="150"/>
        <v/>
      </c>
      <c r="E9634" s="626"/>
      <c r="F9634" s="626"/>
    </row>
    <row r="9635" spans="1:6">
      <c r="A9635" t="str">
        <f t="shared" si="150"/>
        <v/>
      </c>
      <c r="E9635" s="626"/>
      <c r="F9635" s="626"/>
    </row>
    <row r="9636" spans="1:6">
      <c r="A9636" t="str">
        <f t="shared" si="150"/>
        <v/>
      </c>
      <c r="E9636" s="626"/>
      <c r="F9636" s="626"/>
    </row>
    <row r="9637" spans="1:6">
      <c r="A9637" t="str">
        <f t="shared" si="150"/>
        <v/>
      </c>
      <c r="E9637" s="626"/>
      <c r="F9637" s="626"/>
    </row>
    <row r="9638" spans="1:6">
      <c r="A9638" t="str">
        <f t="shared" si="150"/>
        <v/>
      </c>
      <c r="E9638" s="626"/>
      <c r="F9638" s="626"/>
    </row>
    <row r="9639" spans="1:6">
      <c r="A9639" t="str">
        <f t="shared" si="150"/>
        <v/>
      </c>
      <c r="E9639" s="626"/>
      <c r="F9639" s="626"/>
    </row>
    <row r="9640" spans="1:6">
      <c r="A9640" t="str">
        <f t="shared" si="150"/>
        <v/>
      </c>
      <c r="E9640" s="626"/>
      <c r="F9640" s="626"/>
    </row>
    <row r="9641" spans="1:6">
      <c r="A9641" t="str">
        <f t="shared" si="150"/>
        <v/>
      </c>
      <c r="E9641" s="626"/>
      <c r="F9641" s="626"/>
    </row>
    <row r="9642" spans="1:6">
      <c r="A9642" t="str">
        <f t="shared" si="150"/>
        <v/>
      </c>
      <c r="E9642" s="626"/>
      <c r="F9642" s="626"/>
    </row>
    <row r="9643" spans="1:6">
      <c r="A9643" t="str">
        <f t="shared" si="150"/>
        <v/>
      </c>
      <c r="E9643" s="626"/>
      <c r="F9643" s="626"/>
    </row>
    <row r="9644" spans="1:6">
      <c r="A9644" t="str">
        <f t="shared" si="150"/>
        <v/>
      </c>
      <c r="E9644" s="626"/>
      <c r="F9644" s="626"/>
    </row>
    <row r="9645" spans="1:6">
      <c r="A9645" t="str">
        <f t="shared" si="150"/>
        <v/>
      </c>
      <c r="E9645" s="626"/>
      <c r="F9645" s="626"/>
    </row>
    <row r="9646" spans="1:6">
      <c r="A9646" t="str">
        <f t="shared" si="150"/>
        <v/>
      </c>
      <c r="E9646" s="626"/>
      <c r="F9646" s="626"/>
    </row>
    <row r="9647" spans="1:6">
      <c r="A9647" t="str">
        <f t="shared" si="150"/>
        <v/>
      </c>
      <c r="E9647" s="626"/>
      <c r="F9647" s="626"/>
    </row>
    <row r="9648" spans="1:6">
      <c r="A9648" t="str">
        <f t="shared" si="150"/>
        <v/>
      </c>
      <c r="E9648" s="626"/>
      <c r="F9648" s="626"/>
    </row>
    <row r="9649" spans="1:6">
      <c r="A9649" t="str">
        <f t="shared" si="150"/>
        <v/>
      </c>
      <c r="E9649" s="626"/>
      <c r="F9649" s="626"/>
    </row>
    <row r="9650" spans="1:6">
      <c r="A9650" t="str">
        <f t="shared" si="150"/>
        <v/>
      </c>
      <c r="E9650" s="626"/>
      <c r="F9650" s="626"/>
    </row>
    <row r="9651" spans="1:6">
      <c r="A9651" t="str">
        <f t="shared" si="150"/>
        <v/>
      </c>
      <c r="E9651" s="626"/>
      <c r="F9651" s="626"/>
    </row>
    <row r="9652" spans="1:6">
      <c r="A9652" t="str">
        <f t="shared" si="150"/>
        <v/>
      </c>
      <c r="E9652" s="626"/>
      <c r="F9652" s="626"/>
    </row>
    <row r="9653" spans="1:6">
      <c r="A9653" t="str">
        <f t="shared" si="150"/>
        <v/>
      </c>
      <c r="E9653" s="626"/>
      <c r="F9653" s="626"/>
    </row>
    <row r="9654" spans="1:6">
      <c r="A9654" t="str">
        <f t="shared" si="150"/>
        <v/>
      </c>
      <c r="E9654" s="626"/>
      <c r="F9654" s="626"/>
    </row>
    <row r="9655" spans="1:6">
      <c r="A9655" t="str">
        <f t="shared" si="150"/>
        <v/>
      </c>
      <c r="E9655" s="626"/>
      <c r="F9655" s="626"/>
    </row>
    <row r="9656" spans="1:6">
      <c r="A9656" t="str">
        <f t="shared" si="150"/>
        <v/>
      </c>
      <c r="E9656" s="626"/>
      <c r="F9656" s="626"/>
    </row>
    <row r="9657" spans="1:6">
      <c r="A9657" t="str">
        <f t="shared" si="150"/>
        <v/>
      </c>
      <c r="E9657" s="626"/>
      <c r="F9657" s="626"/>
    </row>
    <row r="9658" spans="1:6">
      <c r="A9658" t="str">
        <f t="shared" si="150"/>
        <v/>
      </c>
      <c r="E9658" s="626"/>
      <c r="F9658" s="626"/>
    </row>
    <row r="9659" spans="1:6">
      <c r="A9659" t="str">
        <f t="shared" si="150"/>
        <v/>
      </c>
      <c r="E9659" s="626"/>
      <c r="F9659" s="626"/>
    </row>
    <row r="9660" spans="1:6">
      <c r="A9660" t="str">
        <f t="shared" si="150"/>
        <v/>
      </c>
      <c r="E9660" s="626"/>
      <c r="F9660" s="626"/>
    </row>
    <row r="9661" spans="1:6">
      <c r="A9661" t="str">
        <f t="shared" si="150"/>
        <v/>
      </c>
      <c r="E9661" s="626"/>
      <c r="F9661" s="626"/>
    </row>
    <row r="9662" spans="1:6">
      <c r="A9662" t="str">
        <f t="shared" si="150"/>
        <v/>
      </c>
      <c r="E9662" s="626"/>
      <c r="F9662" s="626"/>
    </row>
    <row r="9663" spans="1:6">
      <c r="A9663" t="str">
        <f t="shared" si="150"/>
        <v/>
      </c>
      <c r="E9663" s="626"/>
      <c r="F9663" s="626"/>
    </row>
    <row r="9664" spans="1:6">
      <c r="A9664" t="str">
        <f t="shared" si="150"/>
        <v/>
      </c>
      <c r="E9664" s="626"/>
      <c r="F9664" s="626"/>
    </row>
    <row r="9665" spans="1:6">
      <c r="A9665" t="str">
        <f t="shared" si="150"/>
        <v/>
      </c>
      <c r="E9665" s="626"/>
      <c r="F9665" s="626"/>
    </row>
    <row r="9666" spans="1:6">
      <c r="A9666" t="str">
        <f t="shared" ref="A9666:A9729" si="151">B9666&amp;E9666&amp;J9666</f>
        <v/>
      </c>
      <c r="E9666" s="626"/>
      <c r="F9666" s="626"/>
    </row>
    <row r="9667" spans="1:6">
      <c r="A9667" t="str">
        <f t="shared" si="151"/>
        <v/>
      </c>
      <c r="E9667" s="626"/>
      <c r="F9667" s="626"/>
    </row>
    <row r="9668" spans="1:6">
      <c r="A9668" t="str">
        <f t="shared" si="151"/>
        <v/>
      </c>
      <c r="E9668" s="626"/>
      <c r="F9668" s="626"/>
    </row>
    <row r="9669" spans="1:6">
      <c r="A9669" t="str">
        <f t="shared" si="151"/>
        <v/>
      </c>
      <c r="E9669" s="626"/>
      <c r="F9669" s="626"/>
    </row>
    <row r="9670" spans="1:6">
      <c r="A9670" t="str">
        <f t="shared" si="151"/>
        <v/>
      </c>
      <c r="E9670" s="626"/>
      <c r="F9670" s="626"/>
    </row>
    <row r="9671" spans="1:6">
      <c r="A9671" t="str">
        <f t="shared" si="151"/>
        <v/>
      </c>
      <c r="E9671" s="626"/>
      <c r="F9671" s="626"/>
    </row>
    <row r="9672" spans="1:6">
      <c r="A9672" t="str">
        <f t="shared" si="151"/>
        <v/>
      </c>
      <c r="E9672" s="626"/>
      <c r="F9672" s="626"/>
    </row>
    <row r="9673" spans="1:6">
      <c r="A9673" t="str">
        <f t="shared" si="151"/>
        <v/>
      </c>
      <c r="E9673" s="626"/>
      <c r="F9673" s="626"/>
    </row>
    <row r="9674" spans="1:6">
      <c r="A9674" t="str">
        <f t="shared" si="151"/>
        <v/>
      </c>
      <c r="E9674" s="626"/>
      <c r="F9674" s="626"/>
    </row>
    <row r="9675" spans="1:6">
      <c r="A9675" t="str">
        <f t="shared" si="151"/>
        <v/>
      </c>
      <c r="E9675" s="626"/>
      <c r="F9675" s="626"/>
    </row>
    <row r="9676" spans="1:6">
      <c r="A9676" t="str">
        <f t="shared" si="151"/>
        <v/>
      </c>
      <c r="E9676" s="626"/>
      <c r="F9676" s="626"/>
    </row>
    <row r="9677" spans="1:6">
      <c r="A9677" t="str">
        <f t="shared" si="151"/>
        <v/>
      </c>
      <c r="E9677" s="626"/>
      <c r="F9677" s="626"/>
    </row>
    <row r="9678" spans="1:6">
      <c r="A9678" t="str">
        <f t="shared" si="151"/>
        <v/>
      </c>
      <c r="E9678" s="626"/>
      <c r="F9678" s="626"/>
    </row>
    <row r="9679" spans="1:6">
      <c r="A9679" t="str">
        <f t="shared" si="151"/>
        <v/>
      </c>
      <c r="E9679" s="626"/>
      <c r="F9679" s="626"/>
    </row>
    <row r="9680" spans="1:6">
      <c r="A9680" t="str">
        <f t="shared" si="151"/>
        <v/>
      </c>
      <c r="E9680" s="626"/>
      <c r="F9680" s="626"/>
    </row>
    <row r="9681" spans="1:6">
      <c r="A9681" t="str">
        <f t="shared" si="151"/>
        <v/>
      </c>
      <c r="E9681" s="626"/>
      <c r="F9681" s="626"/>
    </row>
    <row r="9682" spans="1:6">
      <c r="A9682" t="str">
        <f t="shared" si="151"/>
        <v/>
      </c>
      <c r="E9682" s="626"/>
      <c r="F9682" s="626"/>
    </row>
    <row r="9683" spans="1:6">
      <c r="A9683" t="str">
        <f t="shared" si="151"/>
        <v/>
      </c>
      <c r="E9683" s="626"/>
      <c r="F9683" s="626"/>
    </row>
    <row r="9684" spans="1:6">
      <c r="A9684" t="str">
        <f t="shared" si="151"/>
        <v/>
      </c>
      <c r="E9684" s="626"/>
      <c r="F9684" s="626"/>
    </row>
    <row r="9685" spans="1:6">
      <c r="A9685" t="str">
        <f t="shared" si="151"/>
        <v/>
      </c>
      <c r="E9685" s="626"/>
      <c r="F9685" s="626"/>
    </row>
    <row r="9686" spans="1:6">
      <c r="A9686" t="str">
        <f t="shared" si="151"/>
        <v/>
      </c>
      <c r="E9686" s="626"/>
      <c r="F9686" s="626"/>
    </row>
    <row r="9687" spans="1:6">
      <c r="A9687" t="str">
        <f t="shared" si="151"/>
        <v/>
      </c>
      <c r="E9687" s="626"/>
      <c r="F9687" s="626"/>
    </row>
    <row r="9688" spans="1:6">
      <c r="A9688" t="str">
        <f t="shared" si="151"/>
        <v/>
      </c>
      <c r="E9688" s="626"/>
      <c r="F9688" s="626"/>
    </row>
    <row r="9689" spans="1:6">
      <c r="A9689" t="str">
        <f t="shared" si="151"/>
        <v/>
      </c>
      <c r="E9689" s="626"/>
      <c r="F9689" s="626"/>
    </row>
    <row r="9690" spans="1:6">
      <c r="A9690" t="str">
        <f t="shared" si="151"/>
        <v/>
      </c>
      <c r="E9690" s="626"/>
      <c r="F9690" s="626"/>
    </row>
    <row r="9691" spans="1:6">
      <c r="A9691" t="str">
        <f t="shared" si="151"/>
        <v/>
      </c>
      <c r="E9691" s="626"/>
      <c r="F9691" s="626"/>
    </row>
    <row r="9692" spans="1:6">
      <c r="A9692" t="str">
        <f t="shared" si="151"/>
        <v/>
      </c>
      <c r="E9692" s="626"/>
      <c r="F9692" s="626"/>
    </row>
    <row r="9693" spans="1:6">
      <c r="A9693" t="str">
        <f t="shared" si="151"/>
        <v/>
      </c>
      <c r="E9693" s="626"/>
      <c r="F9693" s="626"/>
    </row>
    <row r="9694" spans="1:6">
      <c r="A9694" t="str">
        <f t="shared" si="151"/>
        <v/>
      </c>
      <c r="E9694" s="626"/>
      <c r="F9694" s="626"/>
    </row>
    <row r="9695" spans="1:6">
      <c r="A9695" t="str">
        <f t="shared" si="151"/>
        <v/>
      </c>
      <c r="E9695" s="626"/>
      <c r="F9695" s="626"/>
    </row>
    <row r="9696" spans="1:6">
      <c r="A9696" t="str">
        <f t="shared" si="151"/>
        <v/>
      </c>
      <c r="E9696" s="626"/>
      <c r="F9696" s="626"/>
    </row>
    <row r="9697" spans="1:6">
      <c r="A9697" t="str">
        <f t="shared" si="151"/>
        <v/>
      </c>
      <c r="E9697" s="626"/>
      <c r="F9697" s="626"/>
    </row>
    <row r="9698" spans="1:6">
      <c r="A9698" t="str">
        <f t="shared" si="151"/>
        <v/>
      </c>
      <c r="E9698" s="626"/>
      <c r="F9698" s="626"/>
    </row>
    <row r="9699" spans="1:6">
      <c r="A9699" t="str">
        <f t="shared" si="151"/>
        <v/>
      </c>
      <c r="E9699" s="626"/>
      <c r="F9699" s="626"/>
    </row>
    <row r="9700" spans="1:6">
      <c r="A9700" t="str">
        <f t="shared" si="151"/>
        <v/>
      </c>
      <c r="E9700" s="626"/>
      <c r="F9700" s="626"/>
    </row>
    <row r="9701" spans="1:6">
      <c r="A9701" t="str">
        <f t="shared" si="151"/>
        <v/>
      </c>
      <c r="E9701" s="626"/>
      <c r="F9701" s="626"/>
    </row>
    <row r="9702" spans="1:6">
      <c r="A9702" t="str">
        <f t="shared" si="151"/>
        <v/>
      </c>
      <c r="E9702" s="626"/>
      <c r="F9702" s="626"/>
    </row>
    <row r="9703" spans="1:6">
      <c r="A9703" t="str">
        <f t="shared" si="151"/>
        <v/>
      </c>
      <c r="E9703" s="626"/>
      <c r="F9703" s="626"/>
    </row>
    <row r="9704" spans="1:6">
      <c r="A9704" t="str">
        <f t="shared" si="151"/>
        <v/>
      </c>
      <c r="E9704" s="626"/>
      <c r="F9704" s="626"/>
    </row>
    <row r="9705" spans="1:6">
      <c r="A9705" t="str">
        <f t="shared" si="151"/>
        <v/>
      </c>
      <c r="E9705" s="626"/>
      <c r="F9705" s="626"/>
    </row>
    <row r="9706" spans="1:6">
      <c r="A9706" t="str">
        <f t="shared" si="151"/>
        <v/>
      </c>
      <c r="E9706" s="626"/>
      <c r="F9706" s="626"/>
    </row>
    <row r="9707" spans="1:6">
      <c r="A9707" t="str">
        <f t="shared" si="151"/>
        <v/>
      </c>
      <c r="E9707" s="626"/>
      <c r="F9707" s="626"/>
    </row>
    <row r="9708" spans="1:6">
      <c r="A9708" t="str">
        <f t="shared" si="151"/>
        <v/>
      </c>
      <c r="E9708" s="626"/>
      <c r="F9708" s="626"/>
    </row>
    <row r="9709" spans="1:6">
      <c r="A9709" t="str">
        <f t="shared" si="151"/>
        <v/>
      </c>
      <c r="E9709" s="626"/>
      <c r="F9709" s="626"/>
    </row>
    <row r="9710" spans="1:6">
      <c r="A9710" t="str">
        <f t="shared" si="151"/>
        <v/>
      </c>
      <c r="E9710" s="626"/>
      <c r="F9710" s="626"/>
    </row>
    <row r="9711" spans="1:6">
      <c r="A9711" t="str">
        <f t="shared" si="151"/>
        <v/>
      </c>
      <c r="E9711" s="626"/>
      <c r="F9711" s="626"/>
    </row>
    <row r="9712" spans="1:6">
      <c r="A9712" t="str">
        <f t="shared" si="151"/>
        <v/>
      </c>
      <c r="E9712" s="626"/>
      <c r="F9712" s="626"/>
    </row>
    <row r="9713" spans="1:6">
      <c r="A9713" t="str">
        <f t="shared" si="151"/>
        <v/>
      </c>
      <c r="E9713" s="626"/>
      <c r="F9713" s="626"/>
    </row>
    <row r="9714" spans="1:6">
      <c r="A9714" t="str">
        <f t="shared" si="151"/>
        <v/>
      </c>
      <c r="E9714" s="626"/>
      <c r="F9714" s="626"/>
    </row>
    <row r="9715" spans="1:6">
      <c r="A9715" t="str">
        <f t="shared" si="151"/>
        <v/>
      </c>
      <c r="E9715" s="626"/>
      <c r="F9715" s="626"/>
    </row>
    <row r="9716" spans="1:6">
      <c r="A9716" t="str">
        <f t="shared" si="151"/>
        <v/>
      </c>
      <c r="E9716" s="626"/>
      <c r="F9716" s="626"/>
    </row>
    <row r="9717" spans="1:6">
      <c r="A9717" t="str">
        <f t="shared" si="151"/>
        <v/>
      </c>
      <c r="E9717" s="626"/>
      <c r="F9717" s="626"/>
    </row>
    <row r="9718" spans="1:6">
      <c r="A9718" t="str">
        <f t="shared" si="151"/>
        <v/>
      </c>
      <c r="E9718" s="626"/>
      <c r="F9718" s="626"/>
    </row>
    <row r="9719" spans="1:6">
      <c r="A9719" t="str">
        <f t="shared" si="151"/>
        <v/>
      </c>
      <c r="E9719" s="626"/>
      <c r="F9719" s="626"/>
    </row>
    <row r="9720" spans="1:6">
      <c r="A9720" t="str">
        <f t="shared" si="151"/>
        <v/>
      </c>
      <c r="E9720" s="626"/>
      <c r="F9720" s="626"/>
    </row>
    <row r="9721" spans="1:6">
      <c r="A9721" t="str">
        <f t="shared" si="151"/>
        <v/>
      </c>
      <c r="E9721" s="626"/>
      <c r="F9721" s="626"/>
    </row>
    <row r="9722" spans="1:6">
      <c r="A9722" t="str">
        <f t="shared" si="151"/>
        <v/>
      </c>
      <c r="E9722" s="626"/>
      <c r="F9722" s="626"/>
    </row>
    <row r="9723" spans="1:6">
      <c r="A9723" t="str">
        <f t="shared" si="151"/>
        <v/>
      </c>
      <c r="E9723" s="626"/>
      <c r="F9723" s="626"/>
    </row>
    <row r="9724" spans="1:6">
      <c r="A9724" t="str">
        <f t="shared" si="151"/>
        <v/>
      </c>
      <c r="E9724" s="626"/>
      <c r="F9724" s="626"/>
    </row>
    <row r="9725" spans="1:6">
      <c r="A9725" t="str">
        <f t="shared" si="151"/>
        <v/>
      </c>
      <c r="E9725" s="626"/>
      <c r="F9725" s="626"/>
    </row>
    <row r="9726" spans="1:6">
      <c r="A9726" t="str">
        <f t="shared" si="151"/>
        <v/>
      </c>
      <c r="E9726" s="626"/>
      <c r="F9726" s="626"/>
    </row>
    <row r="9727" spans="1:6">
      <c r="A9727" t="str">
        <f t="shared" si="151"/>
        <v/>
      </c>
      <c r="E9727" s="626"/>
      <c r="F9727" s="626"/>
    </row>
    <row r="9728" spans="1:6">
      <c r="A9728" t="str">
        <f t="shared" si="151"/>
        <v/>
      </c>
      <c r="E9728" s="626"/>
      <c r="F9728" s="626"/>
    </row>
    <row r="9729" spans="1:6">
      <c r="A9729" t="str">
        <f t="shared" si="151"/>
        <v/>
      </c>
      <c r="E9729" s="626"/>
      <c r="F9729" s="626"/>
    </row>
    <row r="9730" spans="1:6">
      <c r="A9730" t="str">
        <f t="shared" ref="A9730:A9793" si="152">B9730&amp;E9730&amp;J9730</f>
        <v/>
      </c>
      <c r="E9730" s="626"/>
      <c r="F9730" s="626"/>
    </row>
    <row r="9731" spans="1:6">
      <c r="A9731" t="str">
        <f t="shared" si="152"/>
        <v/>
      </c>
      <c r="E9731" s="626"/>
      <c r="F9731" s="626"/>
    </row>
    <row r="9732" spans="1:6">
      <c r="A9732" t="str">
        <f t="shared" si="152"/>
        <v/>
      </c>
      <c r="E9732" s="626"/>
      <c r="F9732" s="626"/>
    </row>
    <row r="9733" spans="1:6">
      <c r="A9733" t="str">
        <f t="shared" si="152"/>
        <v/>
      </c>
      <c r="E9733" s="626"/>
      <c r="F9733" s="626"/>
    </row>
    <row r="9734" spans="1:6">
      <c r="A9734" t="str">
        <f t="shared" si="152"/>
        <v/>
      </c>
      <c r="E9734" s="626"/>
      <c r="F9734" s="626"/>
    </row>
    <row r="9735" spans="1:6">
      <c r="A9735" t="str">
        <f t="shared" si="152"/>
        <v/>
      </c>
      <c r="E9735" s="626"/>
      <c r="F9735" s="626"/>
    </row>
    <row r="9736" spans="1:6">
      <c r="A9736" t="str">
        <f t="shared" si="152"/>
        <v/>
      </c>
      <c r="E9736" s="626"/>
      <c r="F9736" s="626"/>
    </row>
    <row r="9737" spans="1:6">
      <c r="A9737" t="str">
        <f t="shared" si="152"/>
        <v/>
      </c>
      <c r="E9737" s="626"/>
      <c r="F9737" s="626"/>
    </row>
    <row r="9738" spans="1:6">
      <c r="A9738" t="str">
        <f t="shared" si="152"/>
        <v/>
      </c>
      <c r="E9738" s="626"/>
      <c r="F9738" s="626"/>
    </row>
    <row r="9739" spans="1:6">
      <c r="A9739" t="str">
        <f t="shared" si="152"/>
        <v/>
      </c>
      <c r="E9739" s="626"/>
      <c r="F9739" s="626"/>
    </row>
    <row r="9740" spans="1:6">
      <c r="A9740" t="str">
        <f t="shared" si="152"/>
        <v/>
      </c>
      <c r="E9740" s="626"/>
      <c r="F9740" s="626"/>
    </row>
    <row r="9741" spans="1:6">
      <c r="A9741" t="str">
        <f t="shared" si="152"/>
        <v/>
      </c>
      <c r="E9741" s="626"/>
      <c r="F9741" s="626"/>
    </row>
    <row r="9742" spans="1:6">
      <c r="A9742" t="str">
        <f t="shared" si="152"/>
        <v/>
      </c>
      <c r="E9742" s="626"/>
      <c r="F9742" s="626"/>
    </row>
    <row r="9743" spans="1:6">
      <c r="A9743" t="str">
        <f t="shared" si="152"/>
        <v/>
      </c>
      <c r="E9743" s="626"/>
      <c r="F9743" s="626"/>
    </row>
    <row r="9744" spans="1:6">
      <c r="A9744" t="str">
        <f t="shared" si="152"/>
        <v/>
      </c>
      <c r="E9744" s="626"/>
      <c r="F9744" s="626"/>
    </row>
    <row r="9745" spans="1:6">
      <c r="A9745" t="str">
        <f t="shared" si="152"/>
        <v/>
      </c>
      <c r="E9745" s="626"/>
      <c r="F9745" s="626"/>
    </row>
    <row r="9746" spans="1:6">
      <c r="A9746" t="str">
        <f t="shared" si="152"/>
        <v/>
      </c>
      <c r="E9746" s="626"/>
      <c r="F9746" s="626"/>
    </row>
    <row r="9747" spans="1:6">
      <c r="A9747" t="str">
        <f t="shared" si="152"/>
        <v/>
      </c>
      <c r="E9747" s="626"/>
      <c r="F9747" s="626"/>
    </row>
    <row r="9748" spans="1:6">
      <c r="A9748" t="str">
        <f t="shared" si="152"/>
        <v/>
      </c>
      <c r="E9748" s="626"/>
      <c r="F9748" s="626"/>
    </row>
    <row r="9749" spans="1:6">
      <c r="A9749" t="str">
        <f t="shared" si="152"/>
        <v/>
      </c>
      <c r="E9749" s="626"/>
      <c r="F9749" s="626"/>
    </row>
    <row r="9750" spans="1:6">
      <c r="A9750" t="str">
        <f t="shared" si="152"/>
        <v/>
      </c>
      <c r="E9750" s="626"/>
      <c r="F9750" s="626"/>
    </row>
    <row r="9751" spans="1:6">
      <c r="A9751" t="str">
        <f t="shared" si="152"/>
        <v/>
      </c>
      <c r="E9751" s="626"/>
      <c r="F9751" s="626"/>
    </row>
    <row r="9752" spans="1:6">
      <c r="A9752" t="str">
        <f t="shared" si="152"/>
        <v/>
      </c>
      <c r="E9752" s="626"/>
      <c r="F9752" s="626"/>
    </row>
    <row r="9753" spans="1:6">
      <c r="A9753" t="str">
        <f t="shared" si="152"/>
        <v/>
      </c>
      <c r="E9753" s="626"/>
      <c r="F9753" s="626"/>
    </row>
    <row r="9754" spans="1:6">
      <c r="A9754" t="str">
        <f t="shared" si="152"/>
        <v/>
      </c>
      <c r="E9754" s="626"/>
      <c r="F9754" s="626"/>
    </row>
    <row r="9755" spans="1:6">
      <c r="A9755" t="str">
        <f t="shared" si="152"/>
        <v/>
      </c>
      <c r="E9755" s="626"/>
      <c r="F9755" s="626"/>
    </row>
    <row r="9756" spans="1:6">
      <c r="A9756" t="str">
        <f t="shared" si="152"/>
        <v/>
      </c>
      <c r="E9756" s="626"/>
      <c r="F9756" s="626"/>
    </row>
    <row r="9757" spans="1:6">
      <c r="A9757" t="str">
        <f t="shared" si="152"/>
        <v/>
      </c>
      <c r="E9757" s="626"/>
      <c r="F9757" s="626"/>
    </row>
    <row r="9758" spans="1:6">
      <c r="A9758" t="str">
        <f t="shared" si="152"/>
        <v/>
      </c>
      <c r="E9758" s="626"/>
      <c r="F9758" s="626"/>
    </row>
    <row r="9759" spans="1:6">
      <c r="A9759" t="str">
        <f t="shared" si="152"/>
        <v/>
      </c>
      <c r="E9759" s="626"/>
      <c r="F9759" s="626"/>
    </row>
    <row r="9760" spans="1:6">
      <c r="A9760" t="str">
        <f t="shared" si="152"/>
        <v/>
      </c>
      <c r="E9760" s="626"/>
      <c r="F9760" s="626"/>
    </row>
    <row r="9761" spans="1:6">
      <c r="A9761" t="str">
        <f t="shared" si="152"/>
        <v/>
      </c>
      <c r="E9761" s="626"/>
      <c r="F9761" s="626"/>
    </row>
    <row r="9762" spans="1:6">
      <c r="A9762" t="str">
        <f t="shared" si="152"/>
        <v/>
      </c>
      <c r="E9762" s="626"/>
      <c r="F9762" s="626"/>
    </row>
    <row r="9763" spans="1:6">
      <c r="A9763" t="str">
        <f t="shared" si="152"/>
        <v/>
      </c>
      <c r="E9763" s="626"/>
      <c r="F9763" s="626"/>
    </row>
    <row r="9764" spans="1:6">
      <c r="A9764" t="str">
        <f t="shared" si="152"/>
        <v/>
      </c>
      <c r="E9764" s="626"/>
      <c r="F9764" s="626"/>
    </row>
    <row r="9765" spans="1:6">
      <c r="A9765" t="str">
        <f t="shared" si="152"/>
        <v/>
      </c>
      <c r="E9765" s="626"/>
      <c r="F9765" s="626"/>
    </row>
    <row r="9766" spans="1:6">
      <c r="A9766" t="str">
        <f t="shared" si="152"/>
        <v/>
      </c>
      <c r="E9766" s="626"/>
      <c r="F9766" s="626"/>
    </row>
    <row r="9767" spans="1:6">
      <c r="A9767" t="str">
        <f t="shared" si="152"/>
        <v/>
      </c>
      <c r="E9767" s="626"/>
      <c r="F9767" s="626"/>
    </row>
    <row r="9768" spans="1:6">
      <c r="A9768" t="str">
        <f t="shared" si="152"/>
        <v/>
      </c>
      <c r="E9768" s="626"/>
      <c r="F9768" s="626"/>
    </row>
    <row r="9769" spans="1:6">
      <c r="A9769" t="str">
        <f t="shared" si="152"/>
        <v/>
      </c>
      <c r="E9769" s="626"/>
      <c r="F9769" s="626"/>
    </row>
    <row r="9770" spans="1:6">
      <c r="A9770" t="str">
        <f t="shared" si="152"/>
        <v/>
      </c>
      <c r="E9770" s="626"/>
      <c r="F9770" s="626"/>
    </row>
    <row r="9771" spans="1:6">
      <c r="A9771" t="str">
        <f t="shared" si="152"/>
        <v/>
      </c>
      <c r="E9771" s="626"/>
      <c r="F9771" s="626"/>
    </row>
    <row r="9772" spans="1:6">
      <c r="A9772" t="str">
        <f t="shared" si="152"/>
        <v/>
      </c>
      <c r="E9772" s="626"/>
      <c r="F9772" s="626"/>
    </row>
    <row r="9773" spans="1:6">
      <c r="A9773" t="str">
        <f t="shared" si="152"/>
        <v/>
      </c>
      <c r="E9773" s="626"/>
      <c r="F9773" s="626"/>
    </row>
    <row r="9774" spans="1:6">
      <c r="A9774" t="str">
        <f t="shared" si="152"/>
        <v/>
      </c>
      <c r="E9774" s="626"/>
      <c r="F9774" s="626"/>
    </row>
    <row r="9775" spans="1:6">
      <c r="A9775" t="str">
        <f t="shared" si="152"/>
        <v/>
      </c>
      <c r="E9775" s="626"/>
      <c r="F9775" s="626"/>
    </row>
    <row r="9776" spans="1:6">
      <c r="A9776" t="str">
        <f t="shared" si="152"/>
        <v/>
      </c>
      <c r="E9776" s="626"/>
      <c r="F9776" s="626"/>
    </row>
    <row r="9777" spans="1:6">
      <c r="A9777" t="str">
        <f t="shared" si="152"/>
        <v/>
      </c>
      <c r="E9777" s="626"/>
      <c r="F9777" s="626"/>
    </row>
    <row r="9778" spans="1:6">
      <c r="A9778" t="str">
        <f t="shared" si="152"/>
        <v/>
      </c>
      <c r="E9778" s="626"/>
      <c r="F9778" s="626"/>
    </row>
    <row r="9779" spans="1:6">
      <c r="A9779" t="str">
        <f t="shared" si="152"/>
        <v/>
      </c>
      <c r="E9779" s="626"/>
      <c r="F9779" s="626"/>
    </row>
    <row r="9780" spans="1:6">
      <c r="A9780" t="str">
        <f t="shared" si="152"/>
        <v/>
      </c>
      <c r="E9780" s="626"/>
      <c r="F9780" s="626"/>
    </row>
    <row r="9781" spans="1:6">
      <c r="A9781" t="str">
        <f t="shared" si="152"/>
        <v/>
      </c>
      <c r="E9781" s="626"/>
      <c r="F9781" s="626"/>
    </row>
    <row r="9782" spans="1:6">
      <c r="A9782" t="str">
        <f t="shared" si="152"/>
        <v/>
      </c>
      <c r="E9782" s="626"/>
      <c r="F9782" s="626"/>
    </row>
    <row r="9783" spans="1:6">
      <c r="A9783" t="str">
        <f t="shared" si="152"/>
        <v/>
      </c>
      <c r="E9783" s="626"/>
      <c r="F9783" s="626"/>
    </row>
    <row r="9784" spans="1:6">
      <c r="A9784" t="str">
        <f t="shared" si="152"/>
        <v/>
      </c>
      <c r="E9784" s="626"/>
      <c r="F9784" s="626"/>
    </row>
    <row r="9785" spans="1:6">
      <c r="A9785" t="str">
        <f t="shared" si="152"/>
        <v/>
      </c>
      <c r="E9785" s="626"/>
      <c r="F9785" s="626"/>
    </row>
    <row r="9786" spans="1:6">
      <c r="A9786" t="str">
        <f t="shared" si="152"/>
        <v/>
      </c>
      <c r="E9786" s="626"/>
      <c r="F9786" s="626"/>
    </row>
    <row r="9787" spans="1:6">
      <c r="A9787" t="str">
        <f t="shared" si="152"/>
        <v/>
      </c>
      <c r="E9787" s="626"/>
      <c r="F9787" s="626"/>
    </row>
    <row r="9788" spans="1:6">
      <c r="A9788" t="str">
        <f t="shared" si="152"/>
        <v/>
      </c>
      <c r="E9788" s="626"/>
      <c r="F9788" s="626"/>
    </row>
    <row r="9789" spans="1:6">
      <c r="A9789" t="str">
        <f t="shared" si="152"/>
        <v/>
      </c>
      <c r="E9789" s="626"/>
      <c r="F9789" s="626"/>
    </row>
    <row r="9790" spans="1:6">
      <c r="A9790" t="str">
        <f t="shared" si="152"/>
        <v/>
      </c>
      <c r="E9790" s="626"/>
      <c r="F9790" s="626"/>
    </row>
    <row r="9791" spans="1:6">
      <c r="A9791" t="str">
        <f t="shared" si="152"/>
        <v/>
      </c>
      <c r="E9791" s="626"/>
      <c r="F9791" s="626"/>
    </row>
    <row r="9792" spans="1:6">
      <c r="A9792" t="str">
        <f t="shared" si="152"/>
        <v/>
      </c>
      <c r="E9792" s="626"/>
      <c r="F9792" s="626"/>
    </row>
    <row r="9793" spans="1:6">
      <c r="A9793" t="str">
        <f t="shared" si="152"/>
        <v/>
      </c>
      <c r="E9793" s="626"/>
      <c r="F9793" s="626"/>
    </row>
    <row r="9794" spans="1:6">
      <c r="A9794" t="str">
        <f t="shared" ref="A9794:A9857" si="153">B9794&amp;E9794&amp;J9794</f>
        <v/>
      </c>
      <c r="E9794" s="626"/>
      <c r="F9794" s="626"/>
    </row>
    <row r="9795" spans="1:6">
      <c r="A9795" t="str">
        <f t="shared" si="153"/>
        <v/>
      </c>
      <c r="E9795" s="626"/>
      <c r="F9795" s="626"/>
    </row>
    <row r="9796" spans="1:6">
      <c r="A9796" t="str">
        <f t="shared" si="153"/>
        <v/>
      </c>
      <c r="E9796" s="626"/>
      <c r="F9796" s="626"/>
    </row>
    <row r="9797" spans="1:6">
      <c r="A9797" t="str">
        <f t="shared" si="153"/>
        <v/>
      </c>
      <c r="E9797" s="626"/>
      <c r="F9797" s="626"/>
    </row>
    <row r="9798" spans="1:6">
      <c r="A9798" t="str">
        <f t="shared" si="153"/>
        <v/>
      </c>
      <c r="E9798" s="626"/>
      <c r="F9798" s="626"/>
    </row>
    <row r="9799" spans="1:6">
      <c r="A9799" t="str">
        <f t="shared" si="153"/>
        <v/>
      </c>
      <c r="E9799" s="626"/>
      <c r="F9799" s="626"/>
    </row>
    <row r="9800" spans="1:6">
      <c r="A9800" t="str">
        <f t="shared" si="153"/>
        <v/>
      </c>
      <c r="E9800" s="626"/>
      <c r="F9800" s="626"/>
    </row>
    <row r="9801" spans="1:6">
      <c r="A9801" t="str">
        <f t="shared" si="153"/>
        <v/>
      </c>
      <c r="E9801" s="626"/>
      <c r="F9801" s="626"/>
    </row>
    <row r="9802" spans="1:6">
      <c r="A9802" t="str">
        <f t="shared" si="153"/>
        <v/>
      </c>
      <c r="E9802" s="626"/>
      <c r="F9802" s="626"/>
    </row>
    <row r="9803" spans="1:6">
      <c r="A9803" t="str">
        <f t="shared" si="153"/>
        <v/>
      </c>
      <c r="E9803" s="626"/>
      <c r="F9803" s="626"/>
    </row>
    <row r="9804" spans="1:6">
      <c r="A9804" t="str">
        <f t="shared" si="153"/>
        <v/>
      </c>
      <c r="E9804" s="626"/>
      <c r="F9804" s="626"/>
    </row>
    <row r="9805" spans="1:6">
      <c r="A9805" t="str">
        <f t="shared" si="153"/>
        <v/>
      </c>
      <c r="E9805" s="626"/>
      <c r="F9805" s="626"/>
    </row>
    <row r="9806" spans="1:6">
      <c r="A9806" t="str">
        <f t="shared" si="153"/>
        <v/>
      </c>
      <c r="E9806" s="626"/>
      <c r="F9806" s="626"/>
    </row>
    <row r="9807" spans="1:6">
      <c r="A9807" t="str">
        <f t="shared" si="153"/>
        <v/>
      </c>
      <c r="E9807" s="626"/>
      <c r="F9807" s="626"/>
    </row>
    <row r="9808" spans="1:6">
      <c r="A9808" t="str">
        <f t="shared" si="153"/>
        <v/>
      </c>
      <c r="E9808" s="626"/>
      <c r="F9808" s="626"/>
    </row>
    <row r="9809" spans="1:6">
      <c r="A9809" t="str">
        <f t="shared" si="153"/>
        <v/>
      </c>
      <c r="E9809" s="626"/>
      <c r="F9809" s="626"/>
    </row>
    <row r="9810" spans="1:6">
      <c r="A9810" t="str">
        <f t="shared" si="153"/>
        <v/>
      </c>
      <c r="E9810" s="626"/>
      <c r="F9810" s="626"/>
    </row>
    <row r="9811" spans="1:6">
      <c r="A9811" t="str">
        <f t="shared" si="153"/>
        <v/>
      </c>
      <c r="E9811" s="626"/>
      <c r="F9811" s="626"/>
    </row>
    <row r="9812" spans="1:6">
      <c r="A9812" t="str">
        <f t="shared" si="153"/>
        <v/>
      </c>
      <c r="E9812" s="626"/>
      <c r="F9812" s="626"/>
    </row>
    <row r="9813" spans="1:6">
      <c r="A9813" t="str">
        <f t="shared" si="153"/>
        <v/>
      </c>
      <c r="E9813" s="626"/>
      <c r="F9813" s="626"/>
    </row>
    <row r="9814" spans="1:6">
      <c r="A9814" t="str">
        <f t="shared" si="153"/>
        <v/>
      </c>
      <c r="E9814" s="626"/>
      <c r="F9814" s="626"/>
    </row>
    <row r="9815" spans="1:6">
      <c r="A9815" t="str">
        <f t="shared" si="153"/>
        <v/>
      </c>
      <c r="E9815" s="626"/>
      <c r="F9815" s="626"/>
    </row>
    <row r="9816" spans="1:6">
      <c r="A9816" t="str">
        <f t="shared" si="153"/>
        <v/>
      </c>
      <c r="E9816" s="626"/>
      <c r="F9816" s="626"/>
    </row>
    <row r="9817" spans="1:6">
      <c r="A9817" t="str">
        <f t="shared" si="153"/>
        <v/>
      </c>
      <c r="E9817" s="626"/>
      <c r="F9817" s="626"/>
    </row>
    <row r="9818" spans="1:6">
      <c r="A9818" t="str">
        <f t="shared" si="153"/>
        <v/>
      </c>
      <c r="E9818" s="626"/>
      <c r="F9818" s="626"/>
    </row>
    <row r="9819" spans="1:6">
      <c r="A9819" t="str">
        <f t="shared" si="153"/>
        <v/>
      </c>
      <c r="E9819" s="626"/>
      <c r="F9819" s="626"/>
    </row>
    <row r="9820" spans="1:6">
      <c r="A9820" t="str">
        <f t="shared" si="153"/>
        <v/>
      </c>
      <c r="E9820" s="626"/>
      <c r="F9820" s="626"/>
    </row>
    <row r="9821" spans="1:6">
      <c r="A9821" t="str">
        <f t="shared" si="153"/>
        <v/>
      </c>
      <c r="E9821" s="626"/>
      <c r="F9821" s="626"/>
    </row>
    <row r="9822" spans="1:6">
      <c r="A9822" t="str">
        <f t="shared" si="153"/>
        <v/>
      </c>
      <c r="E9822" s="626"/>
      <c r="F9822" s="626"/>
    </row>
    <row r="9823" spans="1:6">
      <c r="A9823" t="str">
        <f t="shared" si="153"/>
        <v/>
      </c>
      <c r="E9823" s="626"/>
      <c r="F9823" s="626"/>
    </row>
    <row r="9824" spans="1:6">
      <c r="A9824" t="str">
        <f t="shared" si="153"/>
        <v/>
      </c>
      <c r="E9824" s="626"/>
      <c r="F9824" s="626"/>
    </row>
    <row r="9825" spans="1:6">
      <c r="A9825" t="str">
        <f t="shared" si="153"/>
        <v/>
      </c>
      <c r="E9825" s="626"/>
      <c r="F9825" s="626"/>
    </row>
    <row r="9826" spans="1:6">
      <c r="A9826" t="str">
        <f t="shared" si="153"/>
        <v/>
      </c>
      <c r="E9826" s="626"/>
      <c r="F9826" s="626"/>
    </row>
    <row r="9827" spans="1:6">
      <c r="A9827" t="str">
        <f t="shared" si="153"/>
        <v/>
      </c>
      <c r="E9827" s="626"/>
      <c r="F9827" s="626"/>
    </row>
    <row r="9828" spans="1:6">
      <c r="A9828" t="str">
        <f t="shared" si="153"/>
        <v/>
      </c>
      <c r="E9828" s="626"/>
      <c r="F9828" s="626"/>
    </row>
    <row r="9829" spans="1:6">
      <c r="A9829" t="str">
        <f t="shared" si="153"/>
        <v/>
      </c>
      <c r="E9829" s="626"/>
      <c r="F9829" s="626"/>
    </row>
    <row r="9830" spans="1:6">
      <c r="A9830" t="str">
        <f t="shared" si="153"/>
        <v/>
      </c>
      <c r="E9830" s="626"/>
      <c r="F9830" s="626"/>
    </row>
    <row r="9831" spans="1:6">
      <c r="A9831" t="str">
        <f t="shared" si="153"/>
        <v/>
      </c>
      <c r="E9831" s="626"/>
      <c r="F9831" s="626"/>
    </row>
    <row r="9832" spans="1:6">
      <c r="A9832" t="str">
        <f t="shared" si="153"/>
        <v/>
      </c>
      <c r="E9832" s="626"/>
      <c r="F9832" s="626"/>
    </row>
    <row r="9833" spans="1:6">
      <c r="A9833" t="str">
        <f t="shared" si="153"/>
        <v/>
      </c>
      <c r="E9833" s="626"/>
      <c r="F9833" s="626"/>
    </row>
    <row r="9834" spans="1:6">
      <c r="A9834" t="str">
        <f t="shared" si="153"/>
        <v/>
      </c>
      <c r="E9834" s="626"/>
      <c r="F9834" s="626"/>
    </row>
    <row r="9835" spans="1:6">
      <c r="A9835" t="str">
        <f t="shared" si="153"/>
        <v/>
      </c>
      <c r="E9835" s="626"/>
      <c r="F9835" s="626"/>
    </row>
    <row r="9836" spans="1:6">
      <c r="A9836" t="str">
        <f t="shared" si="153"/>
        <v/>
      </c>
      <c r="E9836" s="626"/>
      <c r="F9836" s="626"/>
    </row>
    <row r="9837" spans="1:6">
      <c r="A9837" t="str">
        <f t="shared" si="153"/>
        <v/>
      </c>
      <c r="E9837" s="626"/>
      <c r="F9837" s="626"/>
    </row>
    <row r="9838" spans="1:6">
      <c r="A9838" t="str">
        <f t="shared" si="153"/>
        <v/>
      </c>
      <c r="E9838" s="626"/>
      <c r="F9838" s="626"/>
    </row>
    <row r="9839" spans="1:6">
      <c r="A9839" t="str">
        <f t="shared" si="153"/>
        <v/>
      </c>
      <c r="E9839" s="626"/>
      <c r="F9839" s="626"/>
    </row>
    <row r="9840" spans="1:6">
      <c r="A9840" t="str">
        <f t="shared" si="153"/>
        <v/>
      </c>
      <c r="E9840" s="626"/>
      <c r="F9840" s="626"/>
    </row>
    <row r="9841" spans="1:6">
      <c r="A9841" t="str">
        <f t="shared" si="153"/>
        <v/>
      </c>
      <c r="E9841" s="626"/>
      <c r="F9841" s="626"/>
    </row>
    <row r="9842" spans="1:6">
      <c r="A9842" t="str">
        <f t="shared" si="153"/>
        <v/>
      </c>
      <c r="E9842" s="626"/>
      <c r="F9842" s="626"/>
    </row>
    <row r="9843" spans="1:6">
      <c r="A9843" t="str">
        <f t="shared" si="153"/>
        <v/>
      </c>
      <c r="E9843" s="626"/>
      <c r="F9843" s="626"/>
    </row>
    <row r="9844" spans="1:6">
      <c r="A9844" t="str">
        <f t="shared" si="153"/>
        <v/>
      </c>
      <c r="E9844" s="626"/>
      <c r="F9844" s="626"/>
    </row>
    <row r="9845" spans="1:6">
      <c r="A9845" t="str">
        <f t="shared" si="153"/>
        <v/>
      </c>
      <c r="E9845" s="626"/>
      <c r="F9845" s="626"/>
    </row>
    <row r="9846" spans="1:6">
      <c r="A9846" t="str">
        <f t="shared" si="153"/>
        <v/>
      </c>
      <c r="E9846" s="626"/>
      <c r="F9846" s="626"/>
    </row>
    <row r="9847" spans="1:6">
      <c r="A9847" t="str">
        <f t="shared" si="153"/>
        <v/>
      </c>
      <c r="E9847" s="626"/>
      <c r="F9847" s="626"/>
    </row>
    <row r="9848" spans="1:6">
      <c r="A9848" t="str">
        <f t="shared" si="153"/>
        <v/>
      </c>
      <c r="E9848" s="626"/>
      <c r="F9848" s="626"/>
    </row>
    <row r="9849" spans="1:6">
      <c r="A9849" t="str">
        <f t="shared" si="153"/>
        <v/>
      </c>
      <c r="E9849" s="626"/>
      <c r="F9849" s="626"/>
    </row>
    <row r="9850" spans="1:6">
      <c r="A9850" t="str">
        <f t="shared" si="153"/>
        <v/>
      </c>
      <c r="E9850" s="626"/>
      <c r="F9850" s="626"/>
    </row>
    <row r="9851" spans="1:6">
      <c r="A9851" t="str">
        <f t="shared" si="153"/>
        <v/>
      </c>
      <c r="E9851" s="626"/>
      <c r="F9851" s="626"/>
    </row>
    <row r="9852" spans="1:6">
      <c r="A9852" t="str">
        <f t="shared" si="153"/>
        <v/>
      </c>
      <c r="E9852" s="626"/>
      <c r="F9852" s="626"/>
    </row>
    <row r="9853" spans="1:6">
      <c r="A9853" t="str">
        <f t="shared" si="153"/>
        <v/>
      </c>
      <c r="E9853" s="626"/>
      <c r="F9853" s="626"/>
    </row>
    <row r="9854" spans="1:6">
      <c r="A9854" t="str">
        <f t="shared" si="153"/>
        <v/>
      </c>
      <c r="E9854" s="626"/>
      <c r="F9854" s="626"/>
    </row>
    <row r="9855" spans="1:6">
      <c r="A9855" t="str">
        <f t="shared" si="153"/>
        <v/>
      </c>
      <c r="E9855" s="626"/>
      <c r="F9855" s="626"/>
    </row>
    <row r="9856" spans="1:6">
      <c r="A9856" t="str">
        <f t="shared" si="153"/>
        <v/>
      </c>
      <c r="E9856" s="626"/>
      <c r="F9856" s="626"/>
    </row>
    <row r="9857" spans="1:6">
      <c r="A9857" t="str">
        <f t="shared" si="153"/>
        <v/>
      </c>
      <c r="E9857" s="626"/>
      <c r="F9857" s="626"/>
    </row>
    <row r="9858" spans="1:6">
      <c r="A9858" t="str">
        <f t="shared" ref="A9858:A9921" si="154">B9858&amp;E9858&amp;J9858</f>
        <v/>
      </c>
      <c r="E9858" s="626"/>
      <c r="F9858" s="626"/>
    </row>
    <row r="9859" spans="1:6">
      <c r="A9859" t="str">
        <f t="shared" si="154"/>
        <v/>
      </c>
      <c r="E9859" s="626"/>
      <c r="F9859" s="626"/>
    </row>
    <row r="9860" spans="1:6">
      <c r="A9860" t="str">
        <f t="shared" si="154"/>
        <v/>
      </c>
      <c r="E9860" s="626"/>
      <c r="F9860" s="626"/>
    </row>
    <row r="9861" spans="1:6">
      <c r="A9861" t="str">
        <f t="shared" si="154"/>
        <v/>
      </c>
      <c r="E9861" s="626"/>
      <c r="F9861" s="626"/>
    </row>
    <row r="9862" spans="1:6">
      <c r="A9862" t="str">
        <f t="shared" si="154"/>
        <v/>
      </c>
      <c r="E9862" s="626"/>
      <c r="F9862" s="626"/>
    </row>
    <row r="9863" spans="1:6">
      <c r="A9863" t="str">
        <f t="shared" si="154"/>
        <v/>
      </c>
      <c r="E9863" s="626"/>
      <c r="F9863" s="626"/>
    </row>
    <row r="9864" spans="1:6">
      <c r="A9864" t="str">
        <f t="shared" si="154"/>
        <v/>
      </c>
      <c r="E9864" s="626"/>
      <c r="F9864" s="626"/>
    </row>
    <row r="9865" spans="1:6">
      <c r="A9865" t="str">
        <f t="shared" si="154"/>
        <v/>
      </c>
      <c r="E9865" s="626"/>
      <c r="F9865" s="626"/>
    </row>
    <row r="9866" spans="1:6">
      <c r="A9866" t="str">
        <f t="shared" si="154"/>
        <v/>
      </c>
      <c r="E9866" s="626"/>
      <c r="F9866" s="626"/>
    </row>
    <row r="9867" spans="1:6">
      <c r="A9867" t="str">
        <f t="shared" si="154"/>
        <v/>
      </c>
      <c r="E9867" s="626"/>
      <c r="F9867" s="626"/>
    </row>
    <row r="9868" spans="1:6">
      <c r="A9868" t="str">
        <f t="shared" si="154"/>
        <v/>
      </c>
      <c r="E9868" s="626"/>
      <c r="F9868" s="626"/>
    </row>
    <row r="9869" spans="1:6">
      <c r="A9869" t="str">
        <f t="shared" si="154"/>
        <v/>
      </c>
      <c r="E9869" s="626"/>
      <c r="F9869" s="626"/>
    </row>
    <row r="9870" spans="1:6">
      <c r="A9870" t="str">
        <f t="shared" si="154"/>
        <v/>
      </c>
      <c r="E9870" s="626"/>
      <c r="F9870" s="626"/>
    </row>
    <row r="9871" spans="1:6">
      <c r="A9871" t="str">
        <f t="shared" si="154"/>
        <v/>
      </c>
      <c r="E9871" s="626"/>
      <c r="F9871" s="626"/>
    </row>
    <row r="9872" spans="1:6">
      <c r="A9872" t="str">
        <f t="shared" si="154"/>
        <v/>
      </c>
      <c r="E9872" s="626"/>
      <c r="F9872" s="626"/>
    </row>
    <row r="9873" spans="1:6">
      <c r="A9873" t="str">
        <f t="shared" si="154"/>
        <v/>
      </c>
      <c r="E9873" s="626"/>
      <c r="F9873" s="626"/>
    </row>
    <row r="9874" spans="1:6">
      <c r="A9874" t="str">
        <f t="shared" si="154"/>
        <v/>
      </c>
      <c r="E9874" s="626"/>
      <c r="F9874" s="626"/>
    </row>
    <row r="9875" spans="1:6">
      <c r="A9875" t="str">
        <f t="shared" si="154"/>
        <v/>
      </c>
      <c r="E9875" s="626"/>
      <c r="F9875" s="626"/>
    </row>
    <row r="9876" spans="1:6">
      <c r="A9876" t="str">
        <f t="shared" si="154"/>
        <v/>
      </c>
      <c r="E9876" s="626"/>
      <c r="F9876" s="626"/>
    </row>
    <row r="9877" spans="1:6">
      <c r="A9877" t="str">
        <f t="shared" si="154"/>
        <v/>
      </c>
      <c r="E9877" s="626"/>
      <c r="F9877" s="626"/>
    </row>
    <row r="9878" spans="1:6">
      <c r="A9878" t="str">
        <f t="shared" si="154"/>
        <v/>
      </c>
      <c r="E9878" s="626"/>
      <c r="F9878" s="626"/>
    </row>
    <row r="9879" spans="1:6">
      <c r="A9879" t="str">
        <f t="shared" si="154"/>
        <v/>
      </c>
      <c r="E9879" s="626"/>
      <c r="F9879" s="626"/>
    </row>
    <row r="9880" spans="1:6">
      <c r="A9880" t="str">
        <f t="shared" si="154"/>
        <v/>
      </c>
      <c r="E9880" s="626"/>
      <c r="F9880" s="626"/>
    </row>
    <row r="9881" spans="1:6">
      <c r="A9881" t="str">
        <f t="shared" si="154"/>
        <v/>
      </c>
      <c r="E9881" s="626"/>
      <c r="F9881" s="626"/>
    </row>
    <row r="9882" spans="1:6">
      <c r="A9882" t="str">
        <f t="shared" si="154"/>
        <v/>
      </c>
      <c r="E9882" s="626"/>
      <c r="F9882" s="626"/>
    </row>
    <row r="9883" spans="1:6">
      <c r="A9883" t="str">
        <f t="shared" si="154"/>
        <v/>
      </c>
      <c r="E9883" s="626"/>
      <c r="F9883" s="626"/>
    </row>
    <row r="9884" spans="1:6">
      <c r="A9884" t="str">
        <f t="shared" si="154"/>
        <v/>
      </c>
      <c r="E9884" s="626"/>
      <c r="F9884" s="626"/>
    </row>
    <row r="9885" spans="1:6">
      <c r="A9885" t="str">
        <f t="shared" si="154"/>
        <v/>
      </c>
      <c r="E9885" s="626"/>
      <c r="F9885" s="626"/>
    </row>
    <row r="9886" spans="1:6">
      <c r="A9886" t="str">
        <f t="shared" si="154"/>
        <v/>
      </c>
      <c r="E9886" s="626"/>
      <c r="F9886" s="626"/>
    </row>
    <row r="9887" spans="1:6">
      <c r="A9887" t="str">
        <f t="shared" si="154"/>
        <v/>
      </c>
      <c r="E9887" s="626"/>
      <c r="F9887" s="626"/>
    </row>
    <row r="9888" spans="1:6">
      <c r="A9888" t="str">
        <f t="shared" si="154"/>
        <v/>
      </c>
      <c r="E9888" s="626"/>
      <c r="F9888" s="626"/>
    </row>
    <row r="9889" spans="1:6">
      <c r="A9889" t="str">
        <f t="shared" si="154"/>
        <v/>
      </c>
      <c r="E9889" s="626"/>
      <c r="F9889" s="626"/>
    </row>
    <row r="9890" spans="1:6">
      <c r="A9890" t="str">
        <f t="shared" si="154"/>
        <v/>
      </c>
      <c r="E9890" s="626"/>
      <c r="F9890" s="626"/>
    </row>
    <row r="9891" spans="1:6">
      <c r="A9891" t="str">
        <f t="shared" si="154"/>
        <v/>
      </c>
      <c r="E9891" s="626"/>
      <c r="F9891" s="626"/>
    </row>
    <row r="9892" spans="1:6">
      <c r="A9892" t="str">
        <f t="shared" si="154"/>
        <v/>
      </c>
      <c r="E9892" s="626"/>
      <c r="F9892" s="626"/>
    </row>
    <row r="9893" spans="1:6">
      <c r="A9893" t="str">
        <f t="shared" si="154"/>
        <v/>
      </c>
      <c r="E9893" s="626"/>
      <c r="F9893" s="626"/>
    </row>
    <row r="9894" spans="1:6">
      <c r="A9894" t="str">
        <f t="shared" si="154"/>
        <v/>
      </c>
      <c r="E9894" s="626"/>
      <c r="F9894" s="626"/>
    </row>
    <row r="9895" spans="1:6">
      <c r="A9895" t="str">
        <f t="shared" si="154"/>
        <v/>
      </c>
      <c r="E9895" s="626"/>
      <c r="F9895" s="626"/>
    </row>
    <row r="9896" spans="1:6">
      <c r="A9896" t="str">
        <f t="shared" si="154"/>
        <v/>
      </c>
      <c r="E9896" s="626"/>
      <c r="F9896" s="626"/>
    </row>
    <row r="9897" spans="1:6">
      <c r="A9897" t="str">
        <f t="shared" si="154"/>
        <v/>
      </c>
      <c r="E9897" s="626"/>
      <c r="F9897" s="626"/>
    </row>
    <row r="9898" spans="1:6">
      <c r="A9898" t="str">
        <f t="shared" si="154"/>
        <v/>
      </c>
      <c r="E9898" s="626"/>
      <c r="F9898" s="626"/>
    </row>
    <row r="9899" spans="1:6">
      <c r="A9899" t="str">
        <f t="shared" si="154"/>
        <v/>
      </c>
      <c r="E9899" s="626"/>
      <c r="F9899" s="626"/>
    </row>
    <row r="9900" spans="1:6">
      <c r="A9900" t="str">
        <f t="shared" si="154"/>
        <v/>
      </c>
      <c r="E9900" s="626"/>
      <c r="F9900" s="626"/>
    </row>
    <row r="9901" spans="1:6">
      <c r="A9901" t="str">
        <f t="shared" si="154"/>
        <v/>
      </c>
      <c r="E9901" s="626"/>
      <c r="F9901" s="626"/>
    </row>
    <row r="9902" spans="1:6">
      <c r="A9902" t="str">
        <f t="shared" si="154"/>
        <v/>
      </c>
      <c r="E9902" s="626"/>
      <c r="F9902" s="626"/>
    </row>
    <row r="9903" spans="1:6">
      <c r="A9903" t="str">
        <f t="shared" si="154"/>
        <v/>
      </c>
      <c r="E9903" s="626"/>
      <c r="F9903" s="626"/>
    </row>
    <row r="9904" spans="1:6">
      <c r="A9904" t="str">
        <f t="shared" si="154"/>
        <v/>
      </c>
      <c r="E9904" s="626"/>
      <c r="F9904" s="626"/>
    </row>
    <row r="9905" spans="1:6">
      <c r="A9905" t="str">
        <f t="shared" si="154"/>
        <v/>
      </c>
      <c r="E9905" s="626"/>
      <c r="F9905" s="626"/>
    </row>
    <row r="9906" spans="1:6">
      <c r="A9906" t="str">
        <f t="shared" si="154"/>
        <v/>
      </c>
      <c r="E9906" s="626"/>
      <c r="F9906" s="626"/>
    </row>
    <row r="9907" spans="1:6">
      <c r="A9907" t="str">
        <f t="shared" si="154"/>
        <v/>
      </c>
      <c r="E9907" s="626"/>
      <c r="F9907" s="626"/>
    </row>
    <row r="9908" spans="1:6">
      <c r="A9908" t="str">
        <f t="shared" si="154"/>
        <v/>
      </c>
      <c r="E9908" s="626"/>
      <c r="F9908" s="626"/>
    </row>
    <row r="9909" spans="1:6">
      <c r="A9909" t="str">
        <f t="shared" si="154"/>
        <v/>
      </c>
      <c r="E9909" s="626"/>
      <c r="F9909" s="626"/>
    </row>
    <row r="9910" spans="1:6">
      <c r="A9910" t="str">
        <f t="shared" si="154"/>
        <v/>
      </c>
      <c r="E9910" s="626"/>
      <c r="F9910" s="626"/>
    </row>
    <row r="9911" spans="1:6">
      <c r="A9911" t="str">
        <f t="shared" si="154"/>
        <v/>
      </c>
      <c r="E9911" s="626"/>
      <c r="F9911" s="626"/>
    </row>
    <row r="9912" spans="1:6">
      <c r="A9912" t="str">
        <f t="shared" si="154"/>
        <v/>
      </c>
      <c r="E9912" s="626"/>
      <c r="F9912" s="626"/>
    </row>
    <row r="9913" spans="1:6">
      <c r="A9913" t="str">
        <f t="shared" si="154"/>
        <v/>
      </c>
      <c r="E9913" s="626"/>
      <c r="F9913" s="626"/>
    </row>
    <row r="9914" spans="1:6">
      <c r="A9914" t="str">
        <f t="shared" si="154"/>
        <v/>
      </c>
      <c r="E9914" s="626"/>
      <c r="F9914" s="626"/>
    </row>
    <row r="9915" spans="1:6">
      <c r="A9915" t="str">
        <f t="shared" si="154"/>
        <v/>
      </c>
      <c r="E9915" s="626"/>
      <c r="F9915" s="626"/>
    </row>
    <row r="9916" spans="1:6">
      <c r="A9916" t="str">
        <f t="shared" si="154"/>
        <v/>
      </c>
      <c r="E9916" s="626"/>
      <c r="F9916" s="626"/>
    </row>
    <row r="9917" spans="1:6">
      <c r="A9917" t="str">
        <f t="shared" si="154"/>
        <v/>
      </c>
      <c r="E9917" s="626"/>
      <c r="F9917" s="626"/>
    </row>
    <row r="9918" spans="1:6">
      <c r="A9918" t="str">
        <f t="shared" si="154"/>
        <v/>
      </c>
      <c r="E9918" s="626"/>
      <c r="F9918" s="626"/>
    </row>
    <row r="9919" spans="1:6">
      <c r="A9919" t="str">
        <f t="shared" si="154"/>
        <v/>
      </c>
      <c r="E9919" s="626"/>
      <c r="F9919" s="626"/>
    </row>
    <row r="9920" spans="1:6">
      <c r="A9920" t="str">
        <f t="shared" si="154"/>
        <v/>
      </c>
      <c r="E9920" s="626"/>
      <c r="F9920" s="626"/>
    </row>
    <row r="9921" spans="1:6">
      <c r="A9921" t="str">
        <f t="shared" si="154"/>
        <v/>
      </c>
      <c r="E9921" s="626"/>
      <c r="F9921" s="626"/>
    </row>
    <row r="9922" spans="1:6">
      <c r="A9922" t="str">
        <f t="shared" ref="A9922:A9985" si="155">B9922&amp;E9922&amp;J9922</f>
        <v/>
      </c>
      <c r="E9922" s="626"/>
      <c r="F9922" s="626"/>
    </row>
    <row r="9923" spans="1:6">
      <c r="A9923" t="str">
        <f t="shared" si="155"/>
        <v/>
      </c>
      <c r="E9923" s="626"/>
      <c r="F9923" s="626"/>
    </row>
    <row r="9924" spans="1:6">
      <c r="A9924" t="str">
        <f t="shared" si="155"/>
        <v/>
      </c>
      <c r="E9924" s="626"/>
      <c r="F9924" s="626"/>
    </row>
    <row r="9925" spans="1:6">
      <c r="A9925" t="str">
        <f t="shared" si="155"/>
        <v/>
      </c>
      <c r="E9925" s="626"/>
      <c r="F9925" s="626"/>
    </row>
    <row r="9926" spans="1:6">
      <c r="A9926" t="str">
        <f t="shared" si="155"/>
        <v/>
      </c>
      <c r="E9926" s="626"/>
      <c r="F9926" s="626"/>
    </row>
    <row r="9927" spans="1:6">
      <c r="A9927" t="str">
        <f t="shared" si="155"/>
        <v/>
      </c>
      <c r="E9927" s="626"/>
      <c r="F9927" s="626"/>
    </row>
    <row r="9928" spans="1:6">
      <c r="A9928" t="str">
        <f t="shared" si="155"/>
        <v/>
      </c>
      <c r="E9928" s="626"/>
      <c r="F9928" s="626"/>
    </row>
    <row r="9929" spans="1:6">
      <c r="A9929" t="str">
        <f t="shared" si="155"/>
        <v/>
      </c>
      <c r="E9929" s="626"/>
      <c r="F9929" s="626"/>
    </row>
    <row r="9930" spans="1:6">
      <c r="A9930" t="str">
        <f t="shared" si="155"/>
        <v/>
      </c>
      <c r="E9930" s="626"/>
      <c r="F9930" s="626"/>
    </row>
    <row r="9931" spans="1:6">
      <c r="A9931" t="str">
        <f t="shared" si="155"/>
        <v/>
      </c>
      <c r="E9931" s="626"/>
      <c r="F9931" s="626"/>
    </row>
    <row r="9932" spans="1:6">
      <c r="A9932" t="str">
        <f t="shared" si="155"/>
        <v/>
      </c>
      <c r="E9932" s="626"/>
      <c r="F9932" s="626"/>
    </row>
    <row r="9933" spans="1:6">
      <c r="A9933" t="str">
        <f t="shared" si="155"/>
        <v/>
      </c>
      <c r="E9933" s="626"/>
      <c r="F9933" s="626"/>
    </row>
    <row r="9934" spans="1:6">
      <c r="A9934" t="str">
        <f t="shared" si="155"/>
        <v/>
      </c>
      <c r="E9934" s="626"/>
      <c r="F9934" s="626"/>
    </row>
    <row r="9935" spans="1:6">
      <c r="A9935" t="str">
        <f t="shared" si="155"/>
        <v/>
      </c>
      <c r="E9935" s="626"/>
      <c r="F9935" s="626"/>
    </row>
    <row r="9936" spans="1:6">
      <c r="A9936" t="str">
        <f t="shared" si="155"/>
        <v/>
      </c>
      <c r="E9936" s="626"/>
      <c r="F9936" s="626"/>
    </row>
    <row r="9937" spans="1:6">
      <c r="A9937" t="str">
        <f t="shared" si="155"/>
        <v/>
      </c>
      <c r="E9937" s="626"/>
      <c r="F9937" s="626"/>
    </row>
    <row r="9938" spans="1:6">
      <c r="A9938" t="str">
        <f t="shared" si="155"/>
        <v/>
      </c>
      <c r="E9938" s="626"/>
      <c r="F9938" s="626"/>
    </row>
    <row r="9939" spans="1:6">
      <c r="A9939" t="str">
        <f t="shared" si="155"/>
        <v/>
      </c>
      <c r="E9939" s="626"/>
      <c r="F9939" s="626"/>
    </row>
    <row r="9940" spans="1:6">
      <c r="A9940" t="str">
        <f t="shared" si="155"/>
        <v/>
      </c>
      <c r="E9940" s="626"/>
      <c r="F9940" s="626"/>
    </row>
    <row r="9941" spans="1:6">
      <c r="A9941" t="str">
        <f t="shared" si="155"/>
        <v/>
      </c>
      <c r="E9941" s="626"/>
      <c r="F9941" s="626"/>
    </row>
    <row r="9942" spans="1:6">
      <c r="A9942" t="str">
        <f t="shared" si="155"/>
        <v/>
      </c>
      <c r="E9942" s="626"/>
      <c r="F9942" s="626"/>
    </row>
    <row r="9943" spans="1:6">
      <c r="A9943" t="str">
        <f t="shared" si="155"/>
        <v/>
      </c>
      <c r="E9943" s="626"/>
      <c r="F9943" s="626"/>
    </row>
    <row r="9944" spans="1:6">
      <c r="A9944" t="str">
        <f t="shared" si="155"/>
        <v/>
      </c>
      <c r="E9944" s="626"/>
      <c r="F9944" s="626"/>
    </row>
    <row r="9945" spans="1:6">
      <c r="A9945" t="str">
        <f t="shared" si="155"/>
        <v/>
      </c>
      <c r="E9945" s="626"/>
      <c r="F9945" s="626"/>
    </row>
    <row r="9946" spans="1:6">
      <c r="A9946" t="str">
        <f t="shared" si="155"/>
        <v/>
      </c>
      <c r="E9946" s="626"/>
      <c r="F9946" s="626"/>
    </row>
    <row r="9947" spans="1:6">
      <c r="A9947" t="str">
        <f t="shared" si="155"/>
        <v/>
      </c>
      <c r="E9947" s="626"/>
      <c r="F9947" s="626"/>
    </row>
    <row r="9948" spans="1:6">
      <c r="A9948" t="str">
        <f t="shared" si="155"/>
        <v/>
      </c>
      <c r="E9948" s="626"/>
      <c r="F9948" s="626"/>
    </row>
    <row r="9949" spans="1:6">
      <c r="A9949" t="str">
        <f t="shared" si="155"/>
        <v/>
      </c>
      <c r="E9949" s="626"/>
      <c r="F9949" s="626"/>
    </row>
    <row r="9950" spans="1:6">
      <c r="A9950" t="str">
        <f t="shared" si="155"/>
        <v/>
      </c>
      <c r="E9950" s="626"/>
      <c r="F9950" s="626"/>
    </row>
    <row r="9951" spans="1:6">
      <c r="A9951" t="str">
        <f t="shared" si="155"/>
        <v/>
      </c>
      <c r="E9951" s="626"/>
      <c r="F9951" s="626"/>
    </row>
    <row r="9952" spans="1:6">
      <c r="A9952" t="str">
        <f t="shared" si="155"/>
        <v/>
      </c>
      <c r="E9952" s="626"/>
      <c r="F9952" s="626"/>
    </row>
    <row r="9953" spans="1:6">
      <c r="A9953" t="str">
        <f t="shared" si="155"/>
        <v/>
      </c>
      <c r="E9953" s="626"/>
      <c r="F9953" s="626"/>
    </row>
    <row r="9954" spans="1:6">
      <c r="A9954" t="str">
        <f t="shared" si="155"/>
        <v/>
      </c>
      <c r="E9954" s="626"/>
      <c r="F9954" s="626"/>
    </row>
    <row r="9955" spans="1:6">
      <c r="A9955" t="str">
        <f t="shared" si="155"/>
        <v/>
      </c>
      <c r="E9955" s="626"/>
      <c r="F9955" s="626"/>
    </row>
    <row r="9956" spans="1:6">
      <c r="A9956" t="str">
        <f t="shared" si="155"/>
        <v/>
      </c>
      <c r="E9956" s="626"/>
      <c r="F9956" s="626"/>
    </row>
    <row r="9957" spans="1:6">
      <c r="A9957" t="str">
        <f t="shared" si="155"/>
        <v/>
      </c>
      <c r="E9957" s="626"/>
      <c r="F9957" s="626"/>
    </row>
    <row r="9958" spans="1:6">
      <c r="A9958" t="str">
        <f t="shared" si="155"/>
        <v/>
      </c>
      <c r="E9958" s="626"/>
      <c r="F9958" s="626"/>
    </row>
    <row r="9959" spans="1:6">
      <c r="A9959" t="str">
        <f t="shared" si="155"/>
        <v/>
      </c>
      <c r="E9959" s="626"/>
      <c r="F9959" s="626"/>
    </row>
    <row r="9960" spans="1:6">
      <c r="A9960" t="str">
        <f t="shared" si="155"/>
        <v/>
      </c>
      <c r="E9960" s="626"/>
      <c r="F9960" s="626"/>
    </row>
    <row r="9961" spans="1:6">
      <c r="A9961" t="str">
        <f t="shared" si="155"/>
        <v/>
      </c>
      <c r="E9961" s="626"/>
      <c r="F9961" s="626"/>
    </row>
    <row r="9962" spans="1:6">
      <c r="A9962" t="str">
        <f t="shared" si="155"/>
        <v/>
      </c>
      <c r="E9962" s="626"/>
      <c r="F9962" s="626"/>
    </row>
    <row r="9963" spans="1:6">
      <c r="A9963" t="str">
        <f t="shared" si="155"/>
        <v/>
      </c>
      <c r="E9963" s="626"/>
      <c r="F9963" s="626"/>
    </row>
    <row r="9964" spans="1:6">
      <c r="A9964" t="str">
        <f t="shared" si="155"/>
        <v/>
      </c>
      <c r="E9964" s="626"/>
      <c r="F9964" s="626"/>
    </row>
    <row r="9965" spans="1:6">
      <c r="A9965" t="str">
        <f t="shared" si="155"/>
        <v/>
      </c>
      <c r="E9965" s="626"/>
      <c r="F9965" s="626"/>
    </row>
    <row r="9966" spans="1:6">
      <c r="A9966" t="str">
        <f t="shared" si="155"/>
        <v/>
      </c>
      <c r="E9966" s="626"/>
      <c r="F9966" s="626"/>
    </row>
    <row r="9967" spans="1:6">
      <c r="A9967" t="str">
        <f t="shared" si="155"/>
        <v/>
      </c>
      <c r="E9967" s="626"/>
      <c r="F9967" s="626"/>
    </row>
    <row r="9968" spans="1:6">
      <c r="A9968" t="str">
        <f t="shared" si="155"/>
        <v/>
      </c>
      <c r="E9968" s="626"/>
      <c r="F9968" s="626"/>
    </row>
    <row r="9969" spans="1:6">
      <c r="A9969" t="str">
        <f t="shared" si="155"/>
        <v/>
      </c>
      <c r="E9969" s="626"/>
      <c r="F9969" s="626"/>
    </row>
    <row r="9970" spans="1:6">
      <c r="A9970" t="str">
        <f t="shared" si="155"/>
        <v/>
      </c>
      <c r="E9970" s="626"/>
      <c r="F9970" s="626"/>
    </row>
    <row r="9971" spans="1:6">
      <c r="A9971" t="str">
        <f t="shared" si="155"/>
        <v/>
      </c>
      <c r="E9971" s="626"/>
      <c r="F9971" s="626"/>
    </row>
    <row r="9972" spans="1:6">
      <c r="A9972" t="str">
        <f t="shared" si="155"/>
        <v/>
      </c>
      <c r="E9972" s="626"/>
      <c r="F9972" s="626"/>
    </row>
    <row r="9973" spans="1:6">
      <c r="A9973" t="str">
        <f t="shared" si="155"/>
        <v/>
      </c>
      <c r="E9973" s="626"/>
      <c r="F9973" s="626"/>
    </row>
    <row r="9974" spans="1:6">
      <c r="A9974" t="str">
        <f t="shared" si="155"/>
        <v/>
      </c>
      <c r="E9974" s="626"/>
      <c r="F9974" s="626"/>
    </row>
    <row r="9975" spans="1:6">
      <c r="A9975" t="str">
        <f t="shared" si="155"/>
        <v/>
      </c>
      <c r="E9975" s="626"/>
      <c r="F9975" s="626"/>
    </row>
    <row r="9976" spans="1:6">
      <c r="A9976" t="str">
        <f t="shared" si="155"/>
        <v/>
      </c>
      <c r="E9976" s="626"/>
      <c r="F9976" s="626"/>
    </row>
    <row r="9977" spans="1:6">
      <c r="A9977" t="str">
        <f t="shared" si="155"/>
        <v/>
      </c>
      <c r="E9977" s="626"/>
      <c r="F9977" s="626"/>
    </row>
    <row r="9978" spans="1:6">
      <c r="A9978" t="str">
        <f t="shared" si="155"/>
        <v/>
      </c>
      <c r="E9978" s="626"/>
      <c r="F9978" s="626"/>
    </row>
    <row r="9979" spans="1:6">
      <c r="A9979" t="str">
        <f t="shared" si="155"/>
        <v/>
      </c>
      <c r="E9979" s="626"/>
      <c r="F9979" s="626"/>
    </row>
    <row r="9980" spans="1:6">
      <c r="A9980" t="str">
        <f t="shared" si="155"/>
        <v/>
      </c>
      <c r="E9980" s="626"/>
      <c r="F9980" s="626"/>
    </row>
    <row r="9981" spans="1:6">
      <c r="A9981" t="str">
        <f t="shared" si="155"/>
        <v/>
      </c>
      <c r="E9981" s="626"/>
      <c r="F9981" s="626"/>
    </row>
    <row r="9982" spans="1:6">
      <c r="A9982" t="str">
        <f t="shared" si="155"/>
        <v/>
      </c>
      <c r="E9982" s="626"/>
      <c r="F9982" s="626"/>
    </row>
    <row r="9983" spans="1:6">
      <c r="A9983" t="str">
        <f t="shared" si="155"/>
        <v/>
      </c>
      <c r="E9983" s="626"/>
      <c r="F9983" s="626"/>
    </row>
    <row r="9984" spans="1:6">
      <c r="A9984" t="str">
        <f t="shared" si="155"/>
        <v/>
      </c>
      <c r="E9984" s="626"/>
      <c r="F9984" s="626"/>
    </row>
    <row r="9985" spans="1:6">
      <c r="A9985" t="str">
        <f t="shared" si="155"/>
        <v/>
      </c>
      <c r="E9985" s="626"/>
      <c r="F9985" s="626"/>
    </row>
    <row r="9986" spans="1:6">
      <c r="A9986" t="str">
        <f t="shared" ref="A9986:A10049" si="156">B9986&amp;E9986&amp;J9986</f>
        <v/>
      </c>
      <c r="E9986" s="626"/>
      <c r="F9986" s="626"/>
    </row>
    <row r="9987" spans="1:6">
      <c r="A9987" t="str">
        <f t="shared" si="156"/>
        <v/>
      </c>
      <c r="E9987" s="626"/>
      <c r="F9987" s="626"/>
    </row>
    <row r="9988" spans="1:6">
      <c r="A9988" t="str">
        <f t="shared" si="156"/>
        <v/>
      </c>
      <c r="E9988" s="626"/>
      <c r="F9988" s="626"/>
    </row>
    <row r="9989" spans="1:6">
      <c r="A9989" t="str">
        <f t="shared" si="156"/>
        <v/>
      </c>
      <c r="E9989" s="626"/>
      <c r="F9989" s="626"/>
    </row>
    <row r="9990" spans="1:6">
      <c r="A9990" t="str">
        <f t="shared" si="156"/>
        <v/>
      </c>
      <c r="E9990" s="626"/>
      <c r="F9990" s="626"/>
    </row>
    <row r="9991" spans="1:6">
      <c r="A9991" t="str">
        <f t="shared" si="156"/>
        <v/>
      </c>
      <c r="E9991" s="626"/>
      <c r="F9991" s="626"/>
    </row>
    <row r="9992" spans="1:6">
      <c r="A9992" t="str">
        <f t="shared" si="156"/>
        <v/>
      </c>
      <c r="E9992" s="626"/>
      <c r="F9992" s="626"/>
    </row>
    <row r="9993" spans="1:6">
      <c r="A9993" t="str">
        <f t="shared" si="156"/>
        <v/>
      </c>
      <c r="E9993" s="626"/>
      <c r="F9993" s="626"/>
    </row>
    <row r="9994" spans="1:6">
      <c r="A9994" t="str">
        <f t="shared" si="156"/>
        <v/>
      </c>
      <c r="E9994" s="626"/>
      <c r="F9994" s="626"/>
    </row>
    <row r="9995" spans="1:6">
      <c r="A9995" t="str">
        <f t="shared" si="156"/>
        <v/>
      </c>
      <c r="E9995" s="626"/>
      <c r="F9995" s="626"/>
    </row>
    <row r="9996" spans="1:6">
      <c r="A9996" t="str">
        <f t="shared" si="156"/>
        <v/>
      </c>
      <c r="E9996" s="626"/>
      <c r="F9996" s="626"/>
    </row>
    <row r="9997" spans="1:6">
      <c r="A9997" t="str">
        <f t="shared" si="156"/>
        <v/>
      </c>
      <c r="E9997" s="626"/>
      <c r="F9997" s="626"/>
    </row>
    <row r="9998" spans="1:6">
      <c r="A9998" t="str">
        <f t="shared" si="156"/>
        <v/>
      </c>
      <c r="E9998" s="626"/>
      <c r="F9998" s="626"/>
    </row>
    <row r="9999" spans="1:6">
      <c r="A9999" t="str">
        <f t="shared" si="156"/>
        <v/>
      </c>
      <c r="E9999" s="626"/>
      <c r="F9999" s="626"/>
    </row>
    <row r="10000" spans="1:6">
      <c r="A10000" t="str">
        <f t="shared" si="156"/>
        <v/>
      </c>
      <c r="E10000" s="626"/>
      <c r="F10000" s="626"/>
    </row>
    <row r="10001" spans="1:6">
      <c r="A10001" t="str">
        <f t="shared" si="156"/>
        <v/>
      </c>
      <c r="E10001" s="626"/>
      <c r="F10001" s="626"/>
    </row>
    <row r="10002" spans="1:6">
      <c r="A10002" t="str">
        <f t="shared" si="156"/>
        <v/>
      </c>
      <c r="E10002" s="626"/>
      <c r="F10002" s="626"/>
    </row>
    <row r="10003" spans="1:6">
      <c r="A10003" t="str">
        <f t="shared" si="156"/>
        <v/>
      </c>
      <c r="E10003" s="626"/>
      <c r="F10003" s="626"/>
    </row>
    <row r="10004" spans="1:6">
      <c r="A10004" t="str">
        <f t="shared" si="156"/>
        <v/>
      </c>
      <c r="E10004" s="626"/>
      <c r="F10004" s="626"/>
    </row>
    <row r="10005" spans="1:6">
      <c r="A10005" t="str">
        <f t="shared" si="156"/>
        <v/>
      </c>
      <c r="E10005" s="626"/>
      <c r="F10005" s="626"/>
    </row>
    <row r="10006" spans="1:6">
      <c r="A10006" t="str">
        <f t="shared" si="156"/>
        <v/>
      </c>
      <c r="E10006" s="626"/>
      <c r="F10006" s="626"/>
    </row>
    <row r="10007" spans="1:6">
      <c r="A10007" t="str">
        <f t="shared" si="156"/>
        <v/>
      </c>
      <c r="E10007" s="626"/>
      <c r="F10007" s="626"/>
    </row>
    <row r="10008" spans="1:6">
      <c r="A10008" t="str">
        <f t="shared" si="156"/>
        <v/>
      </c>
      <c r="E10008" s="626"/>
      <c r="F10008" s="626"/>
    </row>
    <row r="10009" spans="1:6">
      <c r="A10009" t="str">
        <f t="shared" si="156"/>
        <v/>
      </c>
      <c r="E10009" s="626"/>
      <c r="F10009" s="626"/>
    </row>
    <row r="10010" spans="1:6">
      <c r="A10010" t="str">
        <f t="shared" si="156"/>
        <v/>
      </c>
      <c r="E10010" s="626"/>
      <c r="F10010" s="626"/>
    </row>
    <row r="10011" spans="1:6">
      <c r="A10011" t="str">
        <f t="shared" si="156"/>
        <v/>
      </c>
      <c r="E10011" s="626"/>
      <c r="F10011" s="626"/>
    </row>
    <row r="10012" spans="1:6">
      <c r="A10012" t="str">
        <f t="shared" si="156"/>
        <v/>
      </c>
      <c r="E10012" s="626"/>
      <c r="F10012" s="626"/>
    </row>
    <row r="10013" spans="1:6">
      <c r="A10013" t="str">
        <f t="shared" si="156"/>
        <v/>
      </c>
      <c r="E10013" s="626"/>
      <c r="F10013" s="626"/>
    </row>
    <row r="10014" spans="1:6">
      <c r="A10014" t="str">
        <f t="shared" si="156"/>
        <v/>
      </c>
      <c r="E10014" s="626"/>
      <c r="F10014" s="626"/>
    </row>
    <row r="10015" spans="1:6">
      <c r="A10015" t="str">
        <f t="shared" si="156"/>
        <v/>
      </c>
      <c r="E10015" s="626"/>
      <c r="F10015" s="626"/>
    </row>
    <row r="10016" spans="1:6">
      <c r="A10016" t="str">
        <f t="shared" si="156"/>
        <v/>
      </c>
      <c r="E10016" s="626"/>
      <c r="F10016" s="626"/>
    </row>
    <row r="10017" spans="1:6">
      <c r="A10017" t="str">
        <f t="shared" si="156"/>
        <v/>
      </c>
      <c r="E10017" s="626"/>
      <c r="F10017" s="626"/>
    </row>
    <row r="10018" spans="1:6">
      <c r="A10018" t="str">
        <f t="shared" si="156"/>
        <v/>
      </c>
      <c r="E10018" s="626"/>
      <c r="F10018" s="626"/>
    </row>
    <row r="10019" spans="1:6">
      <c r="A10019" t="str">
        <f t="shared" si="156"/>
        <v/>
      </c>
      <c r="E10019" s="626"/>
      <c r="F10019" s="626"/>
    </row>
    <row r="10020" spans="1:6">
      <c r="A10020" t="str">
        <f t="shared" si="156"/>
        <v/>
      </c>
      <c r="E10020" s="626"/>
      <c r="F10020" s="626"/>
    </row>
    <row r="10021" spans="1:6">
      <c r="A10021" t="str">
        <f t="shared" si="156"/>
        <v/>
      </c>
      <c r="E10021" s="626"/>
      <c r="F10021" s="626"/>
    </row>
    <row r="10022" spans="1:6">
      <c r="A10022" t="str">
        <f t="shared" si="156"/>
        <v/>
      </c>
      <c r="E10022" s="626"/>
      <c r="F10022" s="626"/>
    </row>
    <row r="10023" spans="1:6">
      <c r="A10023" t="str">
        <f t="shared" si="156"/>
        <v/>
      </c>
      <c r="E10023" s="626"/>
      <c r="F10023" s="626"/>
    </row>
    <row r="10024" spans="1:6">
      <c r="A10024" t="str">
        <f t="shared" si="156"/>
        <v/>
      </c>
      <c r="E10024" s="626"/>
      <c r="F10024" s="626"/>
    </row>
    <row r="10025" spans="1:6">
      <c r="A10025" t="str">
        <f t="shared" si="156"/>
        <v/>
      </c>
      <c r="E10025" s="626"/>
      <c r="F10025" s="626"/>
    </row>
    <row r="10026" spans="1:6">
      <c r="A10026" t="str">
        <f t="shared" si="156"/>
        <v/>
      </c>
      <c r="E10026" s="626"/>
      <c r="F10026" s="626"/>
    </row>
    <row r="10027" spans="1:6">
      <c r="A10027" t="str">
        <f t="shared" si="156"/>
        <v/>
      </c>
      <c r="E10027" s="626"/>
      <c r="F10027" s="626"/>
    </row>
    <row r="10028" spans="1:6">
      <c r="A10028" t="str">
        <f t="shared" si="156"/>
        <v/>
      </c>
      <c r="E10028" s="626"/>
      <c r="F10028" s="626"/>
    </row>
    <row r="10029" spans="1:6">
      <c r="A10029" t="str">
        <f t="shared" si="156"/>
        <v/>
      </c>
      <c r="E10029" s="626"/>
      <c r="F10029" s="626"/>
    </row>
    <row r="10030" spans="1:6">
      <c r="A10030" t="str">
        <f t="shared" si="156"/>
        <v/>
      </c>
      <c r="E10030" s="626"/>
      <c r="F10030" s="626"/>
    </row>
    <row r="10031" spans="1:6">
      <c r="A10031" t="str">
        <f t="shared" si="156"/>
        <v/>
      </c>
      <c r="E10031" s="626"/>
      <c r="F10031" s="626"/>
    </row>
    <row r="10032" spans="1:6">
      <c r="A10032" t="str">
        <f t="shared" si="156"/>
        <v/>
      </c>
      <c r="E10032" s="626"/>
      <c r="F10032" s="626"/>
    </row>
    <row r="10033" spans="1:6">
      <c r="A10033" t="str">
        <f t="shared" si="156"/>
        <v/>
      </c>
      <c r="E10033" s="626"/>
      <c r="F10033" s="626"/>
    </row>
    <row r="10034" spans="1:6">
      <c r="A10034" t="str">
        <f t="shared" si="156"/>
        <v/>
      </c>
      <c r="E10034" s="626"/>
      <c r="F10034" s="626"/>
    </row>
    <row r="10035" spans="1:6">
      <c r="A10035" t="str">
        <f t="shared" si="156"/>
        <v/>
      </c>
      <c r="E10035" s="626"/>
      <c r="F10035" s="626"/>
    </row>
    <row r="10036" spans="1:6">
      <c r="A10036" t="str">
        <f t="shared" si="156"/>
        <v/>
      </c>
      <c r="E10036" s="626"/>
      <c r="F10036" s="626"/>
    </row>
    <row r="10037" spans="1:6">
      <c r="A10037" t="str">
        <f t="shared" si="156"/>
        <v/>
      </c>
      <c r="E10037" s="626"/>
      <c r="F10037" s="626"/>
    </row>
    <row r="10038" spans="1:6">
      <c r="A10038" t="str">
        <f t="shared" si="156"/>
        <v/>
      </c>
      <c r="E10038" s="626"/>
      <c r="F10038" s="626"/>
    </row>
    <row r="10039" spans="1:6">
      <c r="A10039" t="str">
        <f t="shared" si="156"/>
        <v/>
      </c>
      <c r="E10039" s="626"/>
      <c r="F10039" s="626"/>
    </row>
    <row r="10040" spans="1:6">
      <c r="A10040" t="str">
        <f t="shared" si="156"/>
        <v/>
      </c>
      <c r="E10040" s="626"/>
      <c r="F10040" s="626"/>
    </row>
    <row r="10041" spans="1:6">
      <c r="A10041" t="str">
        <f t="shared" si="156"/>
        <v/>
      </c>
      <c r="E10041" s="626"/>
      <c r="F10041" s="626"/>
    </row>
    <row r="10042" spans="1:6">
      <c r="A10042" t="str">
        <f t="shared" si="156"/>
        <v/>
      </c>
      <c r="E10042" s="626"/>
      <c r="F10042" s="626"/>
    </row>
    <row r="10043" spans="1:6">
      <c r="A10043" t="str">
        <f t="shared" si="156"/>
        <v/>
      </c>
      <c r="E10043" s="626"/>
      <c r="F10043" s="626"/>
    </row>
    <row r="10044" spans="1:6">
      <c r="A10044" t="str">
        <f t="shared" si="156"/>
        <v/>
      </c>
      <c r="E10044" s="626"/>
      <c r="F10044" s="626"/>
    </row>
    <row r="10045" spans="1:6">
      <c r="A10045" t="str">
        <f t="shared" si="156"/>
        <v/>
      </c>
      <c r="E10045" s="626"/>
      <c r="F10045" s="626"/>
    </row>
    <row r="10046" spans="1:6">
      <c r="A10046" t="str">
        <f t="shared" si="156"/>
        <v/>
      </c>
      <c r="E10046" s="626"/>
      <c r="F10046" s="626"/>
    </row>
    <row r="10047" spans="1:6">
      <c r="A10047" t="str">
        <f t="shared" si="156"/>
        <v/>
      </c>
      <c r="E10047" s="626"/>
      <c r="F10047" s="626"/>
    </row>
    <row r="10048" spans="1:6">
      <c r="A10048" t="str">
        <f t="shared" si="156"/>
        <v/>
      </c>
      <c r="E10048" s="626"/>
      <c r="F10048" s="626"/>
    </row>
    <row r="10049" spans="1:6">
      <c r="A10049" t="str">
        <f t="shared" si="156"/>
        <v/>
      </c>
      <c r="E10049" s="626"/>
      <c r="F10049" s="626"/>
    </row>
    <row r="10050" spans="1:6">
      <c r="A10050" t="str">
        <f t="shared" ref="A10050:A10113" si="157">B10050&amp;E10050&amp;J10050</f>
        <v/>
      </c>
      <c r="E10050" s="626"/>
      <c r="F10050" s="626"/>
    </row>
    <row r="10051" spans="1:6">
      <c r="A10051" t="str">
        <f t="shared" si="157"/>
        <v/>
      </c>
      <c r="E10051" s="626"/>
      <c r="F10051" s="626"/>
    </row>
    <row r="10052" spans="1:6">
      <c r="A10052" t="str">
        <f t="shared" si="157"/>
        <v/>
      </c>
      <c r="E10052" s="626"/>
      <c r="F10052" s="626"/>
    </row>
    <row r="10053" spans="1:6">
      <c r="A10053" t="str">
        <f t="shared" si="157"/>
        <v/>
      </c>
      <c r="E10053" s="626"/>
      <c r="F10053" s="626"/>
    </row>
    <row r="10054" spans="1:6">
      <c r="A10054" t="str">
        <f t="shared" si="157"/>
        <v/>
      </c>
      <c r="E10054" s="626"/>
      <c r="F10054" s="626"/>
    </row>
    <row r="10055" spans="1:6">
      <c r="A10055" t="str">
        <f t="shared" si="157"/>
        <v/>
      </c>
      <c r="E10055" s="626"/>
      <c r="F10055" s="626"/>
    </row>
    <row r="10056" spans="1:6">
      <c r="A10056" t="str">
        <f t="shared" si="157"/>
        <v/>
      </c>
      <c r="E10056" s="626"/>
      <c r="F10056" s="626"/>
    </row>
    <row r="10057" spans="1:6">
      <c r="A10057" t="str">
        <f t="shared" si="157"/>
        <v/>
      </c>
      <c r="E10057" s="626"/>
      <c r="F10057" s="626"/>
    </row>
    <row r="10058" spans="1:6">
      <c r="A10058" t="str">
        <f t="shared" si="157"/>
        <v/>
      </c>
      <c r="E10058" s="626"/>
      <c r="F10058" s="626"/>
    </row>
    <row r="10059" spans="1:6">
      <c r="A10059" t="str">
        <f t="shared" si="157"/>
        <v/>
      </c>
      <c r="E10059" s="626"/>
      <c r="F10059" s="626"/>
    </row>
    <row r="10060" spans="1:6">
      <c r="A10060" t="str">
        <f t="shared" si="157"/>
        <v/>
      </c>
      <c r="E10060" s="626"/>
      <c r="F10060" s="626"/>
    </row>
    <row r="10061" spans="1:6">
      <c r="A10061" t="str">
        <f t="shared" si="157"/>
        <v/>
      </c>
      <c r="E10061" s="626"/>
      <c r="F10061" s="626"/>
    </row>
    <row r="10062" spans="1:6">
      <c r="A10062" t="str">
        <f t="shared" si="157"/>
        <v/>
      </c>
      <c r="E10062" s="626"/>
      <c r="F10062" s="626"/>
    </row>
    <row r="10063" spans="1:6">
      <c r="A10063" t="str">
        <f t="shared" si="157"/>
        <v/>
      </c>
      <c r="E10063" s="626"/>
      <c r="F10063" s="626"/>
    </row>
    <row r="10064" spans="1:6">
      <c r="A10064" t="str">
        <f t="shared" si="157"/>
        <v/>
      </c>
      <c r="E10064" s="626"/>
      <c r="F10064" s="626"/>
    </row>
    <row r="10065" spans="1:6">
      <c r="A10065" t="str">
        <f t="shared" si="157"/>
        <v/>
      </c>
      <c r="E10065" s="626"/>
      <c r="F10065" s="626"/>
    </row>
    <row r="10066" spans="1:6">
      <c r="A10066" t="str">
        <f t="shared" si="157"/>
        <v/>
      </c>
      <c r="E10066" s="626"/>
      <c r="F10066" s="626"/>
    </row>
    <row r="10067" spans="1:6">
      <c r="A10067" t="str">
        <f t="shared" si="157"/>
        <v/>
      </c>
      <c r="E10067" s="626"/>
      <c r="F10067" s="626"/>
    </row>
    <row r="10068" spans="1:6">
      <c r="A10068" t="str">
        <f t="shared" si="157"/>
        <v/>
      </c>
      <c r="E10068" s="626"/>
      <c r="F10068" s="626"/>
    </row>
    <row r="10069" spans="1:6">
      <c r="A10069" t="str">
        <f t="shared" si="157"/>
        <v/>
      </c>
      <c r="E10069" s="626"/>
      <c r="F10069" s="626"/>
    </row>
    <row r="10070" spans="1:6">
      <c r="A10070" t="str">
        <f t="shared" si="157"/>
        <v/>
      </c>
      <c r="E10070" s="626"/>
      <c r="F10070" s="626"/>
    </row>
    <row r="10071" spans="1:6">
      <c r="A10071" t="str">
        <f t="shared" si="157"/>
        <v/>
      </c>
      <c r="E10071" s="626"/>
      <c r="F10071" s="626"/>
    </row>
    <row r="10072" spans="1:6">
      <c r="A10072" t="str">
        <f t="shared" si="157"/>
        <v/>
      </c>
      <c r="E10072" s="626"/>
      <c r="F10072" s="626"/>
    </row>
    <row r="10073" spans="1:6">
      <c r="A10073" t="str">
        <f t="shared" si="157"/>
        <v/>
      </c>
      <c r="E10073" s="626"/>
      <c r="F10073" s="626"/>
    </row>
    <row r="10074" spans="1:6">
      <c r="A10074" t="str">
        <f t="shared" si="157"/>
        <v/>
      </c>
      <c r="E10074" s="626"/>
      <c r="F10074" s="626"/>
    </row>
    <row r="10075" spans="1:6">
      <c r="A10075" t="str">
        <f t="shared" si="157"/>
        <v/>
      </c>
      <c r="E10075" s="626"/>
      <c r="F10075" s="626"/>
    </row>
    <row r="10076" spans="1:6">
      <c r="A10076" t="str">
        <f t="shared" si="157"/>
        <v/>
      </c>
      <c r="E10076" s="626"/>
      <c r="F10076" s="626"/>
    </row>
    <row r="10077" spans="1:6">
      <c r="A10077" t="str">
        <f t="shared" si="157"/>
        <v/>
      </c>
      <c r="E10077" s="626"/>
      <c r="F10077" s="626"/>
    </row>
    <row r="10078" spans="1:6">
      <c r="A10078" t="str">
        <f t="shared" si="157"/>
        <v/>
      </c>
      <c r="E10078" s="626"/>
      <c r="F10078" s="626"/>
    </row>
    <row r="10079" spans="1:6">
      <c r="A10079" t="str">
        <f t="shared" si="157"/>
        <v/>
      </c>
      <c r="E10079" s="626"/>
      <c r="F10079" s="626"/>
    </row>
    <row r="10080" spans="1:6">
      <c r="A10080" t="str">
        <f t="shared" si="157"/>
        <v/>
      </c>
      <c r="E10080" s="626"/>
      <c r="F10080" s="626"/>
    </row>
    <row r="10081" spans="1:6">
      <c r="A10081" t="str">
        <f t="shared" si="157"/>
        <v/>
      </c>
      <c r="E10081" s="626"/>
      <c r="F10081" s="626"/>
    </row>
    <row r="10082" spans="1:6">
      <c r="A10082" t="str">
        <f t="shared" si="157"/>
        <v/>
      </c>
      <c r="E10082" s="626"/>
      <c r="F10082" s="626"/>
    </row>
    <row r="10083" spans="1:6">
      <c r="A10083" t="str">
        <f t="shared" si="157"/>
        <v/>
      </c>
      <c r="E10083" s="626"/>
      <c r="F10083" s="626"/>
    </row>
    <row r="10084" spans="1:6">
      <c r="A10084" t="str">
        <f t="shared" si="157"/>
        <v/>
      </c>
      <c r="E10084" s="626"/>
      <c r="F10084" s="626"/>
    </row>
    <row r="10085" spans="1:6">
      <c r="A10085" t="str">
        <f t="shared" si="157"/>
        <v/>
      </c>
      <c r="E10085" s="626"/>
      <c r="F10085" s="626"/>
    </row>
    <row r="10086" spans="1:6">
      <c r="A10086" t="str">
        <f t="shared" si="157"/>
        <v/>
      </c>
      <c r="E10086" s="626"/>
      <c r="F10086" s="626"/>
    </row>
    <row r="10087" spans="1:6">
      <c r="A10087" t="str">
        <f t="shared" si="157"/>
        <v/>
      </c>
      <c r="E10087" s="626"/>
      <c r="F10087" s="626"/>
    </row>
    <row r="10088" spans="1:6">
      <c r="A10088" t="str">
        <f t="shared" si="157"/>
        <v/>
      </c>
      <c r="E10088" s="626"/>
      <c r="F10088" s="626"/>
    </row>
    <row r="10089" spans="1:6">
      <c r="A10089" t="str">
        <f t="shared" si="157"/>
        <v/>
      </c>
      <c r="E10089" s="626"/>
      <c r="F10089" s="626"/>
    </row>
    <row r="10090" spans="1:6">
      <c r="A10090" t="str">
        <f t="shared" si="157"/>
        <v/>
      </c>
      <c r="E10090" s="626"/>
      <c r="F10090" s="626"/>
    </row>
    <row r="10091" spans="1:6">
      <c r="A10091" t="str">
        <f t="shared" si="157"/>
        <v/>
      </c>
      <c r="E10091" s="626"/>
      <c r="F10091" s="626"/>
    </row>
    <row r="10092" spans="1:6">
      <c r="A10092" t="str">
        <f t="shared" si="157"/>
        <v/>
      </c>
      <c r="E10092" s="626"/>
      <c r="F10092" s="626"/>
    </row>
    <row r="10093" spans="1:6">
      <c r="A10093" t="str">
        <f t="shared" si="157"/>
        <v/>
      </c>
      <c r="E10093" s="626"/>
      <c r="F10093" s="626"/>
    </row>
    <row r="10094" spans="1:6">
      <c r="A10094" t="str">
        <f t="shared" si="157"/>
        <v/>
      </c>
      <c r="E10094" s="626"/>
      <c r="F10094" s="626"/>
    </row>
    <row r="10095" spans="1:6">
      <c r="A10095" t="str">
        <f t="shared" si="157"/>
        <v/>
      </c>
      <c r="E10095" s="626"/>
      <c r="F10095" s="626"/>
    </row>
    <row r="10096" spans="1:6">
      <c r="A10096" t="str">
        <f t="shared" si="157"/>
        <v/>
      </c>
      <c r="E10096" s="626"/>
      <c r="F10096" s="626"/>
    </row>
    <row r="10097" spans="1:6">
      <c r="A10097" t="str">
        <f t="shared" si="157"/>
        <v/>
      </c>
      <c r="E10097" s="626"/>
      <c r="F10097" s="626"/>
    </row>
    <row r="10098" spans="1:6">
      <c r="A10098" t="str">
        <f t="shared" si="157"/>
        <v/>
      </c>
      <c r="E10098" s="626"/>
      <c r="F10098" s="626"/>
    </row>
    <row r="10099" spans="1:6">
      <c r="A10099" t="str">
        <f t="shared" si="157"/>
        <v/>
      </c>
      <c r="E10099" s="626"/>
      <c r="F10099" s="626"/>
    </row>
    <row r="10100" spans="1:6">
      <c r="A10100" t="str">
        <f t="shared" si="157"/>
        <v/>
      </c>
      <c r="E10100" s="626"/>
      <c r="F10100" s="626"/>
    </row>
    <row r="10101" spans="1:6">
      <c r="A10101" t="str">
        <f t="shared" si="157"/>
        <v/>
      </c>
      <c r="E10101" s="626"/>
      <c r="F10101" s="626"/>
    </row>
    <row r="10102" spans="1:6">
      <c r="A10102" t="str">
        <f t="shared" si="157"/>
        <v/>
      </c>
      <c r="E10102" s="626"/>
      <c r="F10102" s="626"/>
    </row>
    <row r="10103" spans="1:6">
      <c r="A10103" t="str">
        <f t="shared" si="157"/>
        <v/>
      </c>
      <c r="E10103" s="626"/>
      <c r="F10103" s="626"/>
    </row>
    <row r="10104" spans="1:6">
      <c r="A10104" t="str">
        <f t="shared" si="157"/>
        <v/>
      </c>
      <c r="E10104" s="626"/>
      <c r="F10104" s="626"/>
    </row>
    <row r="10105" spans="1:6">
      <c r="A10105" t="str">
        <f t="shared" si="157"/>
        <v/>
      </c>
      <c r="E10105" s="626"/>
      <c r="F10105" s="626"/>
    </row>
    <row r="10106" spans="1:6">
      <c r="A10106" t="str">
        <f t="shared" si="157"/>
        <v/>
      </c>
      <c r="E10106" s="626"/>
      <c r="F10106" s="626"/>
    </row>
    <row r="10107" spans="1:6">
      <c r="A10107" t="str">
        <f t="shared" si="157"/>
        <v/>
      </c>
      <c r="E10107" s="626"/>
      <c r="F10107" s="626"/>
    </row>
    <row r="10108" spans="1:6">
      <c r="A10108" t="str">
        <f t="shared" si="157"/>
        <v/>
      </c>
      <c r="E10108" s="626"/>
      <c r="F10108" s="626"/>
    </row>
    <row r="10109" spans="1:6">
      <c r="A10109" t="str">
        <f t="shared" si="157"/>
        <v/>
      </c>
      <c r="E10109" s="626"/>
      <c r="F10109" s="626"/>
    </row>
    <row r="10110" spans="1:6">
      <c r="A10110" t="str">
        <f t="shared" si="157"/>
        <v/>
      </c>
      <c r="E10110" s="626"/>
      <c r="F10110" s="626"/>
    </row>
    <row r="10111" spans="1:6">
      <c r="A10111" t="str">
        <f t="shared" si="157"/>
        <v/>
      </c>
      <c r="E10111" s="626"/>
      <c r="F10111" s="626"/>
    </row>
    <row r="10112" spans="1:6">
      <c r="A10112" t="str">
        <f t="shared" si="157"/>
        <v/>
      </c>
      <c r="E10112" s="626"/>
      <c r="F10112" s="626"/>
    </row>
    <row r="10113" spans="1:6">
      <c r="A10113" t="str">
        <f t="shared" si="157"/>
        <v/>
      </c>
      <c r="E10113" s="626"/>
      <c r="F10113" s="626"/>
    </row>
    <row r="10114" spans="1:6">
      <c r="A10114" t="str">
        <f t="shared" ref="A10114:A10177" si="158">B10114&amp;E10114&amp;J10114</f>
        <v/>
      </c>
      <c r="E10114" s="626"/>
      <c r="F10114" s="626"/>
    </row>
    <row r="10115" spans="1:6">
      <c r="A10115" t="str">
        <f t="shared" si="158"/>
        <v/>
      </c>
      <c r="E10115" s="626"/>
      <c r="F10115" s="626"/>
    </row>
    <row r="10116" spans="1:6">
      <c r="A10116" t="str">
        <f t="shared" si="158"/>
        <v/>
      </c>
      <c r="E10116" s="626"/>
      <c r="F10116" s="626"/>
    </row>
    <row r="10117" spans="1:6">
      <c r="A10117" t="str">
        <f t="shared" si="158"/>
        <v/>
      </c>
      <c r="E10117" s="626"/>
      <c r="F10117" s="626"/>
    </row>
    <row r="10118" spans="1:6">
      <c r="A10118" t="str">
        <f t="shared" si="158"/>
        <v/>
      </c>
      <c r="E10118" s="626"/>
      <c r="F10118" s="626"/>
    </row>
    <row r="10119" spans="1:6">
      <c r="A10119" t="str">
        <f t="shared" si="158"/>
        <v/>
      </c>
      <c r="E10119" s="626"/>
      <c r="F10119" s="626"/>
    </row>
    <row r="10120" spans="1:6">
      <c r="A10120" t="str">
        <f t="shared" si="158"/>
        <v/>
      </c>
      <c r="E10120" s="626"/>
      <c r="F10120" s="626"/>
    </row>
    <row r="10121" spans="1:6">
      <c r="A10121" t="str">
        <f t="shared" si="158"/>
        <v/>
      </c>
      <c r="E10121" s="626"/>
      <c r="F10121" s="626"/>
    </row>
    <row r="10122" spans="1:6">
      <c r="A10122" t="str">
        <f t="shared" si="158"/>
        <v/>
      </c>
      <c r="E10122" s="626"/>
      <c r="F10122" s="626"/>
    </row>
    <row r="10123" spans="1:6">
      <c r="A10123" t="str">
        <f t="shared" si="158"/>
        <v/>
      </c>
      <c r="E10123" s="626"/>
      <c r="F10123" s="626"/>
    </row>
    <row r="10124" spans="1:6">
      <c r="A10124" t="str">
        <f t="shared" si="158"/>
        <v/>
      </c>
      <c r="E10124" s="626"/>
      <c r="F10124" s="626"/>
    </row>
    <row r="10125" spans="1:6">
      <c r="A10125" t="str">
        <f t="shared" si="158"/>
        <v/>
      </c>
      <c r="E10125" s="626"/>
      <c r="F10125" s="626"/>
    </row>
    <row r="10126" spans="1:6">
      <c r="A10126" t="str">
        <f t="shared" si="158"/>
        <v/>
      </c>
      <c r="E10126" s="626"/>
      <c r="F10126" s="626"/>
    </row>
    <row r="10127" spans="1:6">
      <c r="A10127" t="str">
        <f t="shared" si="158"/>
        <v/>
      </c>
      <c r="E10127" s="626"/>
      <c r="F10127" s="626"/>
    </row>
    <row r="10128" spans="1:6">
      <c r="A10128" t="str">
        <f t="shared" si="158"/>
        <v/>
      </c>
      <c r="E10128" s="626"/>
      <c r="F10128" s="626"/>
    </row>
    <row r="10129" spans="1:6">
      <c r="A10129" t="str">
        <f t="shared" si="158"/>
        <v/>
      </c>
      <c r="E10129" s="626"/>
      <c r="F10129" s="626"/>
    </row>
    <row r="10130" spans="1:6">
      <c r="A10130" t="str">
        <f t="shared" si="158"/>
        <v/>
      </c>
      <c r="E10130" s="626"/>
      <c r="F10130" s="626"/>
    </row>
    <row r="10131" spans="1:6">
      <c r="A10131" t="str">
        <f t="shared" si="158"/>
        <v/>
      </c>
      <c r="E10131" s="626"/>
      <c r="F10131" s="626"/>
    </row>
    <row r="10132" spans="1:6">
      <c r="A10132" t="str">
        <f t="shared" si="158"/>
        <v/>
      </c>
      <c r="E10132" s="626"/>
      <c r="F10132" s="626"/>
    </row>
    <row r="10133" spans="1:6">
      <c r="A10133" t="str">
        <f t="shared" si="158"/>
        <v/>
      </c>
      <c r="E10133" s="626"/>
      <c r="F10133" s="626"/>
    </row>
    <row r="10134" spans="1:6">
      <c r="A10134" t="str">
        <f t="shared" si="158"/>
        <v/>
      </c>
      <c r="E10134" s="626"/>
      <c r="F10134" s="626"/>
    </row>
    <row r="10135" spans="1:6">
      <c r="A10135" t="str">
        <f t="shared" si="158"/>
        <v/>
      </c>
      <c r="E10135" s="626"/>
      <c r="F10135" s="626"/>
    </row>
    <row r="10136" spans="1:6">
      <c r="A10136" t="str">
        <f t="shared" si="158"/>
        <v/>
      </c>
      <c r="E10136" s="626"/>
      <c r="F10136" s="626"/>
    </row>
    <row r="10137" spans="1:6">
      <c r="A10137" t="str">
        <f t="shared" si="158"/>
        <v/>
      </c>
      <c r="E10137" s="626"/>
      <c r="F10137" s="626"/>
    </row>
    <row r="10138" spans="1:6">
      <c r="A10138" t="str">
        <f t="shared" si="158"/>
        <v/>
      </c>
      <c r="E10138" s="626"/>
      <c r="F10138" s="626"/>
    </row>
    <row r="10139" spans="1:6">
      <c r="A10139" t="str">
        <f t="shared" si="158"/>
        <v/>
      </c>
      <c r="E10139" s="626"/>
      <c r="F10139" s="626"/>
    </row>
    <row r="10140" spans="1:6">
      <c r="A10140" t="str">
        <f t="shared" si="158"/>
        <v/>
      </c>
      <c r="E10140" s="626"/>
      <c r="F10140" s="626"/>
    </row>
    <row r="10141" spans="1:6">
      <c r="A10141" t="str">
        <f t="shared" si="158"/>
        <v/>
      </c>
      <c r="E10141" s="626"/>
      <c r="F10141" s="626"/>
    </row>
    <row r="10142" spans="1:6">
      <c r="A10142" t="str">
        <f t="shared" si="158"/>
        <v/>
      </c>
      <c r="E10142" s="626"/>
      <c r="F10142" s="626"/>
    </row>
    <row r="10143" spans="1:6">
      <c r="A10143" t="str">
        <f t="shared" si="158"/>
        <v/>
      </c>
      <c r="E10143" s="626"/>
      <c r="F10143" s="626"/>
    </row>
    <row r="10144" spans="1:6">
      <c r="A10144" t="str">
        <f t="shared" si="158"/>
        <v/>
      </c>
      <c r="E10144" s="626"/>
      <c r="F10144" s="626"/>
    </row>
    <row r="10145" spans="1:6">
      <c r="A10145" t="str">
        <f t="shared" si="158"/>
        <v/>
      </c>
      <c r="E10145" s="626"/>
      <c r="F10145" s="626"/>
    </row>
    <row r="10146" spans="1:6">
      <c r="A10146" t="str">
        <f t="shared" si="158"/>
        <v/>
      </c>
      <c r="E10146" s="626"/>
      <c r="F10146" s="626"/>
    </row>
    <row r="10147" spans="1:6">
      <c r="A10147" t="str">
        <f t="shared" si="158"/>
        <v/>
      </c>
      <c r="E10147" s="626"/>
      <c r="F10147" s="626"/>
    </row>
    <row r="10148" spans="1:6">
      <c r="A10148" t="str">
        <f t="shared" si="158"/>
        <v/>
      </c>
      <c r="E10148" s="626"/>
      <c r="F10148" s="626"/>
    </row>
    <row r="10149" spans="1:6">
      <c r="A10149" t="str">
        <f t="shared" si="158"/>
        <v/>
      </c>
      <c r="E10149" s="626"/>
      <c r="F10149" s="626"/>
    </row>
    <row r="10150" spans="1:6">
      <c r="A10150" t="str">
        <f t="shared" si="158"/>
        <v/>
      </c>
      <c r="E10150" s="626"/>
      <c r="F10150" s="626"/>
    </row>
    <row r="10151" spans="1:6">
      <c r="A10151" t="str">
        <f t="shared" si="158"/>
        <v/>
      </c>
      <c r="E10151" s="626"/>
      <c r="F10151" s="626"/>
    </row>
    <row r="10152" spans="1:6">
      <c r="A10152" t="str">
        <f t="shared" si="158"/>
        <v/>
      </c>
      <c r="E10152" s="626"/>
      <c r="F10152" s="626"/>
    </row>
    <row r="10153" spans="1:6">
      <c r="A10153" t="str">
        <f t="shared" si="158"/>
        <v/>
      </c>
      <c r="E10153" s="626"/>
      <c r="F10153" s="626"/>
    </row>
    <row r="10154" spans="1:6">
      <c r="A10154" t="str">
        <f t="shared" si="158"/>
        <v/>
      </c>
      <c r="E10154" s="626"/>
      <c r="F10154" s="626"/>
    </row>
    <row r="10155" spans="1:6">
      <c r="A10155" t="str">
        <f t="shared" si="158"/>
        <v/>
      </c>
      <c r="E10155" s="626"/>
      <c r="F10155" s="626"/>
    </row>
    <row r="10156" spans="1:6">
      <c r="A10156" t="str">
        <f t="shared" si="158"/>
        <v/>
      </c>
      <c r="E10156" s="626"/>
      <c r="F10156" s="626"/>
    </row>
    <row r="10157" spans="1:6">
      <c r="A10157" t="str">
        <f t="shared" si="158"/>
        <v/>
      </c>
      <c r="E10157" s="626"/>
      <c r="F10157" s="626"/>
    </row>
    <row r="10158" spans="1:6">
      <c r="A10158" t="str">
        <f t="shared" si="158"/>
        <v/>
      </c>
      <c r="E10158" s="626"/>
      <c r="F10158" s="626"/>
    </row>
    <row r="10159" spans="1:6">
      <c r="A10159" t="str">
        <f t="shared" si="158"/>
        <v/>
      </c>
      <c r="E10159" s="626"/>
      <c r="F10159" s="626"/>
    </row>
    <row r="10160" spans="1:6">
      <c r="A10160" t="str">
        <f t="shared" si="158"/>
        <v/>
      </c>
      <c r="E10160" s="626"/>
      <c r="F10160" s="626"/>
    </row>
    <row r="10161" spans="1:6">
      <c r="A10161" t="str">
        <f t="shared" si="158"/>
        <v/>
      </c>
      <c r="E10161" s="626"/>
      <c r="F10161" s="626"/>
    </row>
    <row r="10162" spans="1:6">
      <c r="A10162" t="str">
        <f t="shared" si="158"/>
        <v/>
      </c>
      <c r="E10162" s="626"/>
      <c r="F10162" s="626"/>
    </row>
    <row r="10163" spans="1:6">
      <c r="A10163" t="str">
        <f t="shared" si="158"/>
        <v/>
      </c>
      <c r="E10163" s="626"/>
      <c r="F10163" s="626"/>
    </row>
    <row r="10164" spans="1:6">
      <c r="A10164" t="str">
        <f t="shared" si="158"/>
        <v/>
      </c>
      <c r="E10164" s="626"/>
      <c r="F10164" s="626"/>
    </row>
    <row r="10165" spans="1:6">
      <c r="A10165" t="str">
        <f t="shared" si="158"/>
        <v/>
      </c>
      <c r="E10165" s="626"/>
      <c r="F10165" s="626"/>
    </row>
    <row r="10166" spans="1:6">
      <c r="A10166" t="str">
        <f t="shared" si="158"/>
        <v/>
      </c>
      <c r="E10166" s="626"/>
      <c r="F10166" s="626"/>
    </row>
    <row r="10167" spans="1:6">
      <c r="A10167" t="str">
        <f t="shared" si="158"/>
        <v/>
      </c>
      <c r="E10167" s="626"/>
      <c r="F10167" s="626"/>
    </row>
    <row r="10168" spans="1:6">
      <c r="A10168" t="str">
        <f t="shared" si="158"/>
        <v/>
      </c>
      <c r="E10168" s="626"/>
      <c r="F10168" s="626"/>
    </row>
    <row r="10169" spans="1:6">
      <c r="A10169" t="str">
        <f t="shared" si="158"/>
        <v/>
      </c>
      <c r="E10169" s="626"/>
      <c r="F10169" s="626"/>
    </row>
    <row r="10170" spans="1:6">
      <c r="A10170" t="str">
        <f t="shared" si="158"/>
        <v/>
      </c>
      <c r="E10170" s="626"/>
      <c r="F10170" s="626"/>
    </row>
    <row r="10171" spans="1:6">
      <c r="A10171" t="str">
        <f t="shared" si="158"/>
        <v/>
      </c>
      <c r="E10171" s="626"/>
      <c r="F10171" s="626"/>
    </row>
    <row r="10172" spans="1:6">
      <c r="A10172" t="str">
        <f t="shared" si="158"/>
        <v/>
      </c>
      <c r="E10172" s="626"/>
      <c r="F10172" s="626"/>
    </row>
    <row r="10173" spans="1:6">
      <c r="A10173" t="str">
        <f t="shared" si="158"/>
        <v/>
      </c>
      <c r="E10173" s="626"/>
      <c r="F10173" s="626"/>
    </row>
    <row r="10174" spans="1:6">
      <c r="A10174" t="str">
        <f t="shared" si="158"/>
        <v/>
      </c>
      <c r="E10174" s="626"/>
      <c r="F10174" s="626"/>
    </row>
    <row r="10175" spans="1:6">
      <c r="A10175" t="str">
        <f t="shared" si="158"/>
        <v/>
      </c>
      <c r="E10175" s="626"/>
      <c r="F10175" s="626"/>
    </row>
    <row r="10176" spans="1:6">
      <c r="A10176" t="str">
        <f t="shared" si="158"/>
        <v/>
      </c>
      <c r="E10176" s="626"/>
      <c r="F10176" s="626"/>
    </row>
    <row r="10177" spans="1:6">
      <c r="A10177" t="str">
        <f t="shared" si="158"/>
        <v/>
      </c>
      <c r="E10177" s="626"/>
      <c r="F10177" s="626"/>
    </row>
    <row r="10178" spans="1:6">
      <c r="A10178" t="str">
        <f t="shared" ref="A10178:A10241" si="159">B10178&amp;E10178&amp;J10178</f>
        <v/>
      </c>
      <c r="E10178" s="626"/>
      <c r="F10178" s="626"/>
    </row>
    <row r="10179" spans="1:6">
      <c r="A10179" t="str">
        <f t="shared" si="159"/>
        <v/>
      </c>
      <c r="E10179" s="626"/>
      <c r="F10179" s="626"/>
    </row>
    <row r="10180" spans="1:6">
      <c r="A10180" t="str">
        <f t="shared" si="159"/>
        <v/>
      </c>
      <c r="E10180" s="626"/>
      <c r="F10180" s="626"/>
    </row>
    <row r="10181" spans="1:6">
      <c r="A10181" t="str">
        <f t="shared" si="159"/>
        <v/>
      </c>
      <c r="E10181" s="626"/>
      <c r="F10181" s="626"/>
    </row>
    <row r="10182" spans="1:6">
      <c r="A10182" t="str">
        <f t="shared" si="159"/>
        <v/>
      </c>
      <c r="E10182" s="626"/>
      <c r="F10182" s="626"/>
    </row>
    <row r="10183" spans="1:6">
      <c r="A10183" t="str">
        <f t="shared" si="159"/>
        <v/>
      </c>
      <c r="E10183" s="626"/>
      <c r="F10183" s="626"/>
    </row>
    <row r="10184" spans="1:6">
      <c r="A10184" t="str">
        <f t="shared" si="159"/>
        <v/>
      </c>
      <c r="E10184" s="626"/>
      <c r="F10184" s="626"/>
    </row>
    <row r="10185" spans="1:6">
      <c r="A10185" t="str">
        <f t="shared" si="159"/>
        <v/>
      </c>
      <c r="E10185" s="626"/>
      <c r="F10185" s="626"/>
    </row>
    <row r="10186" spans="1:6">
      <c r="A10186" t="str">
        <f t="shared" si="159"/>
        <v/>
      </c>
      <c r="E10186" s="626"/>
      <c r="F10186" s="626"/>
    </row>
    <row r="10187" spans="1:6">
      <c r="A10187" t="str">
        <f t="shared" si="159"/>
        <v/>
      </c>
      <c r="E10187" s="626"/>
      <c r="F10187" s="626"/>
    </row>
    <row r="10188" spans="1:6">
      <c r="A10188" t="str">
        <f t="shared" si="159"/>
        <v/>
      </c>
      <c r="E10188" s="626"/>
      <c r="F10188" s="626"/>
    </row>
    <row r="10189" spans="1:6">
      <c r="A10189" t="str">
        <f t="shared" si="159"/>
        <v/>
      </c>
      <c r="E10189" s="626"/>
      <c r="F10189" s="626"/>
    </row>
    <row r="10190" spans="1:6">
      <c r="A10190" t="str">
        <f t="shared" si="159"/>
        <v/>
      </c>
      <c r="E10190" s="626"/>
      <c r="F10190" s="626"/>
    </row>
    <row r="10191" spans="1:6">
      <c r="A10191" t="str">
        <f t="shared" si="159"/>
        <v/>
      </c>
      <c r="E10191" s="626"/>
      <c r="F10191" s="626"/>
    </row>
    <row r="10192" spans="1:6">
      <c r="A10192" t="str">
        <f t="shared" si="159"/>
        <v/>
      </c>
      <c r="E10192" s="626"/>
      <c r="F10192" s="626"/>
    </row>
    <row r="10193" spans="1:6">
      <c r="A10193" t="str">
        <f t="shared" si="159"/>
        <v/>
      </c>
      <c r="E10193" s="626"/>
      <c r="F10193" s="626"/>
    </row>
    <row r="10194" spans="1:6">
      <c r="A10194" t="str">
        <f t="shared" si="159"/>
        <v/>
      </c>
      <c r="E10194" s="626"/>
      <c r="F10194" s="626"/>
    </row>
    <row r="10195" spans="1:6">
      <c r="A10195" t="str">
        <f t="shared" si="159"/>
        <v/>
      </c>
      <c r="E10195" s="626"/>
      <c r="F10195" s="626"/>
    </row>
    <row r="10196" spans="1:6">
      <c r="A10196" t="str">
        <f t="shared" si="159"/>
        <v/>
      </c>
      <c r="E10196" s="626"/>
      <c r="F10196" s="626"/>
    </row>
    <row r="10197" spans="1:6">
      <c r="A10197" t="str">
        <f t="shared" si="159"/>
        <v/>
      </c>
      <c r="E10197" s="626"/>
      <c r="F10197" s="626"/>
    </row>
    <row r="10198" spans="1:6">
      <c r="A10198" t="str">
        <f t="shared" si="159"/>
        <v/>
      </c>
      <c r="E10198" s="626"/>
      <c r="F10198" s="626"/>
    </row>
    <row r="10199" spans="1:6">
      <c r="A10199" t="str">
        <f t="shared" si="159"/>
        <v/>
      </c>
      <c r="E10199" s="626"/>
      <c r="F10199" s="626"/>
    </row>
    <row r="10200" spans="1:6">
      <c r="A10200" t="str">
        <f t="shared" si="159"/>
        <v/>
      </c>
      <c r="E10200" s="626"/>
      <c r="F10200" s="626"/>
    </row>
    <row r="10201" spans="1:6">
      <c r="A10201" t="str">
        <f t="shared" si="159"/>
        <v/>
      </c>
      <c r="E10201" s="626"/>
      <c r="F10201" s="626"/>
    </row>
    <row r="10202" spans="1:6">
      <c r="A10202" t="str">
        <f t="shared" si="159"/>
        <v/>
      </c>
      <c r="E10202" s="626"/>
      <c r="F10202" s="626"/>
    </row>
    <row r="10203" spans="1:6">
      <c r="A10203" t="str">
        <f t="shared" si="159"/>
        <v/>
      </c>
      <c r="E10203" s="626"/>
      <c r="F10203" s="626"/>
    </row>
    <row r="10204" spans="1:6">
      <c r="A10204" t="str">
        <f t="shared" si="159"/>
        <v/>
      </c>
      <c r="E10204" s="626"/>
      <c r="F10204" s="626"/>
    </row>
    <row r="10205" spans="1:6">
      <c r="A10205" t="str">
        <f t="shared" si="159"/>
        <v/>
      </c>
      <c r="E10205" s="626"/>
      <c r="F10205" s="626"/>
    </row>
    <row r="10206" spans="1:6">
      <c r="A10206" t="str">
        <f t="shared" si="159"/>
        <v/>
      </c>
      <c r="E10206" s="626"/>
      <c r="F10206" s="626"/>
    </row>
    <row r="10207" spans="1:6">
      <c r="A10207" t="str">
        <f t="shared" si="159"/>
        <v/>
      </c>
      <c r="E10207" s="626"/>
      <c r="F10207" s="626"/>
    </row>
    <row r="10208" spans="1:6">
      <c r="A10208" t="str">
        <f t="shared" si="159"/>
        <v/>
      </c>
      <c r="E10208" s="626"/>
      <c r="F10208" s="626"/>
    </row>
    <row r="10209" spans="1:6">
      <c r="A10209" t="str">
        <f t="shared" si="159"/>
        <v/>
      </c>
      <c r="E10209" s="626"/>
      <c r="F10209" s="626"/>
    </row>
    <row r="10210" spans="1:6">
      <c r="A10210" t="str">
        <f t="shared" si="159"/>
        <v/>
      </c>
      <c r="E10210" s="626"/>
      <c r="F10210" s="626"/>
    </row>
    <row r="10211" spans="1:6">
      <c r="A10211" t="str">
        <f t="shared" si="159"/>
        <v/>
      </c>
      <c r="E10211" s="626"/>
      <c r="F10211" s="626"/>
    </row>
    <row r="10212" spans="1:6">
      <c r="A10212" t="str">
        <f t="shared" si="159"/>
        <v/>
      </c>
      <c r="E10212" s="626"/>
      <c r="F10212" s="626"/>
    </row>
    <row r="10213" spans="1:6">
      <c r="A10213" t="str">
        <f t="shared" si="159"/>
        <v/>
      </c>
      <c r="E10213" s="626"/>
      <c r="F10213" s="626"/>
    </row>
    <row r="10214" spans="1:6">
      <c r="A10214" t="str">
        <f t="shared" si="159"/>
        <v/>
      </c>
      <c r="E10214" s="626"/>
      <c r="F10214" s="626"/>
    </row>
    <row r="10215" spans="1:6">
      <c r="A10215" t="str">
        <f t="shared" si="159"/>
        <v/>
      </c>
      <c r="E10215" s="626"/>
      <c r="F10215" s="626"/>
    </row>
    <row r="10216" spans="1:6">
      <c r="A10216" t="str">
        <f t="shared" si="159"/>
        <v/>
      </c>
      <c r="E10216" s="626"/>
      <c r="F10216" s="626"/>
    </row>
    <row r="10217" spans="1:6">
      <c r="A10217" t="str">
        <f t="shared" si="159"/>
        <v/>
      </c>
      <c r="E10217" s="626"/>
      <c r="F10217" s="626"/>
    </row>
    <row r="10218" spans="1:6">
      <c r="A10218" t="str">
        <f t="shared" si="159"/>
        <v/>
      </c>
      <c r="E10218" s="626"/>
      <c r="F10218" s="626"/>
    </row>
    <row r="10219" spans="1:6">
      <c r="A10219" t="str">
        <f t="shared" si="159"/>
        <v/>
      </c>
      <c r="E10219" s="626"/>
      <c r="F10219" s="626"/>
    </row>
    <row r="10220" spans="1:6">
      <c r="A10220" t="str">
        <f t="shared" si="159"/>
        <v/>
      </c>
      <c r="E10220" s="626"/>
      <c r="F10220" s="626"/>
    </row>
    <row r="10221" spans="1:6">
      <c r="A10221" t="str">
        <f t="shared" si="159"/>
        <v/>
      </c>
      <c r="E10221" s="626"/>
      <c r="F10221" s="626"/>
    </row>
    <row r="10222" spans="1:6">
      <c r="A10222" t="str">
        <f t="shared" si="159"/>
        <v/>
      </c>
      <c r="E10222" s="626"/>
      <c r="F10222" s="626"/>
    </row>
    <row r="10223" spans="1:6">
      <c r="A10223" t="str">
        <f t="shared" si="159"/>
        <v/>
      </c>
      <c r="E10223" s="626"/>
      <c r="F10223" s="626"/>
    </row>
    <row r="10224" spans="1:6">
      <c r="A10224" t="str">
        <f t="shared" si="159"/>
        <v/>
      </c>
      <c r="E10224" s="626"/>
      <c r="F10224" s="626"/>
    </row>
    <row r="10225" spans="1:6">
      <c r="A10225" t="str">
        <f t="shared" si="159"/>
        <v/>
      </c>
      <c r="E10225" s="626"/>
      <c r="F10225" s="626"/>
    </row>
    <row r="10226" spans="1:6">
      <c r="A10226" t="str">
        <f t="shared" si="159"/>
        <v/>
      </c>
      <c r="E10226" s="626"/>
      <c r="F10226" s="626"/>
    </row>
    <row r="10227" spans="1:6">
      <c r="A10227" t="str">
        <f t="shared" si="159"/>
        <v/>
      </c>
      <c r="E10227" s="626"/>
      <c r="F10227" s="626"/>
    </row>
    <row r="10228" spans="1:6">
      <c r="A10228" t="str">
        <f t="shared" si="159"/>
        <v/>
      </c>
      <c r="E10228" s="626"/>
      <c r="F10228" s="626"/>
    </row>
    <row r="10229" spans="1:6">
      <c r="A10229" t="str">
        <f t="shared" si="159"/>
        <v/>
      </c>
      <c r="E10229" s="626"/>
      <c r="F10229" s="626"/>
    </row>
    <row r="10230" spans="1:6">
      <c r="A10230" t="str">
        <f t="shared" si="159"/>
        <v/>
      </c>
      <c r="E10230" s="626"/>
      <c r="F10230" s="626"/>
    </row>
    <row r="10231" spans="1:6">
      <c r="A10231" t="str">
        <f t="shared" si="159"/>
        <v/>
      </c>
      <c r="E10231" s="626"/>
      <c r="F10231" s="626"/>
    </row>
    <row r="10232" spans="1:6">
      <c r="A10232" t="str">
        <f t="shared" si="159"/>
        <v/>
      </c>
      <c r="E10232" s="626"/>
      <c r="F10232" s="626"/>
    </row>
    <row r="10233" spans="1:6">
      <c r="A10233" t="str">
        <f t="shared" si="159"/>
        <v/>
      </c>
      <c r="E10233" s="626"/>
      <c r="F10233" s="626"/>
    </row>
    <row r="10234" spans="1:6">
      <c r="A10234" t="str">
        <f t="shared" si="159"/>
        <v/>
      </c>
      <c r="E10234" s="626"/>
      <c r="F10234" s="626"/>
    </row>
    <row r="10235" spans="1:6">
      <c r="A10235" t="str">
        <f t="shared" si="159"/>
        <v/>
      </c>
      <c r="E10235" s="626"/>
      <c r="F10235" s="626"/>
    </row>
    <row r="10236" spans="1:6">
      <c r="A10236" t="str">
        <f t="shared" si="159"/>
        <v/>
      </c>
      <c r="E10236" s="626"/>
      <c r="F10236" s="626"/>
    </row>
    <row r="10237" spans="1:6">
      <c r="A10237" t="str">
        <f t="shared" si="159"/>
        <v/>
      </c>
      <c r="E10237" s="626"/>
      <c r="F10237" s="626"/>
    </row>
    <row r="10238" spans="1:6">
      <c r="A10238" t="str">
        <f t="shared" si="159"/>
        <v/>
      </c>
      <c r="E10238" s="626"/>
      <c r="F10238" s="626"/>
    </row>
    <row r="10239" spans="1:6">
      <c r="A10239" t="str">
        <f t="shared" si="159"/>
        <v/>
      </c>
      <c r="E10239" s="626"/>
      <c r="F10239" s="626"/>
    </row>
    <row r="10240" spans="1:6">
      <c r="A10240" t="str">
        <f t="shared" si="159"/>
        <v/>
      </c>
      <c r="E10240" s="626"/>
      <c r="F10240" s="626"/>
    </row>
    <row r="10241" spans="1:6">
      <c r="A10241" t="str">
        <f t="shared" si="159"/>
        <v/>
      </c>
      <c r="E10241" s="626"/>
      <c r="F10241" s="626"/>
    </row>
    <row r="10242" spans="1:6">
      <c r="A10242" t="str">
        <f t="shared" ref="A10242:A10305" si="160">B10242&amp;E10242&amp;J10242</f>
        <v/>
      </c>
      <c r="E10242" s="626"/>
      <c r="F10242" s="626"/>
    </row>
    <row r="10243" spans="1:6">
      <c r="A10243" t="str">
        <f t="shared" si="160"/>
        <v/>
      </c>
      <c r="E10243" s="626"/>
      <c r="F10243" s="626"/>
    </row>
    <row r="10244" spans="1:6">
      <c r="A10244" t="str">
        <f t="shared" si="160"/>
        <v/>
      </c>
      <c r="E10244" s="626"/>
      <c r="F10244" s="626"/>
    </row>
    <row r="10245" spans="1:6">
      <c r="A10245" t="str">
        <f t="shared" si="160"/>
        <v/>
      </c>
      <c r="E10245" s="626"/>
      <c r="F10245" s="626"/>
    </row>
    <row r="10246" spans="1:6">
      <c r="A10246" t="str">
        <f t="shared" si="160"/>
        <v/>
      </c>
      <c r="E10246" s="626"/>
      <c r="F10246" s="626"/>
    </row>
    <row r="10247" spans="1:6">
      <c r="A10247" t="str">
        <f t="shared" si="160"/>
        <v/>
      </c>
      <c r="E10247" s="626"/>
      <c r="F10247" s="626"/>
    </row>
    <row r="10248" spans="1:6">
      <c r="A10248" t="str">
        <f t="shared" si="160"/>
        <v/>
      </c>
      <c r="E10248" s="626"/>
      <c r="F10248" s="626"/>
    </row>
    <row r="10249" spans="1:6">
      <c r="A10249" t="str">
        <f t="shared" si="160"/>
        <v/>
      </c>
      <c r="E10249" s="626"/>
      <c r="F10249" s="626"/>
    </row>
    <row r="10250" spans="1:6">
      <c r="A10250" t="str">
        <f t="shared" si="160"/>
        <v/>
      </c>
      <c r="E10250" s="626"/>
      <c r="F10250" s="626"/>
    </row>
    <row r="10251" spans="1:6">
      <c r="A10251" t="str">
        <f t="shared" si="160"/>
        <v/>
      </c>
      <c r="E10251" s="626"/>
      <c r="F10251" s="626"/>
    </row>
    <row r="10252" spans="1:6">
      <c r="A10252" t="str">
        <f t="shared" si="160"/>
        <v/>
      </c>
      <c r="E10252" s="626"/>
      <c r="F10252" s="626"/>
    </row>
    <row r="10253" spans="1:6">
      <c r="A10253" t="str">
        <f t="shared" si="160"/>
        <v/>
      </c>
      <c r="E10253" s="626"/>
      <c r="F10253" s="626"/>
    </row>
    <row r="10254" spans="1:6">
      <c r="A10254" t="str">
        <f t="shared" si="160"/>
        <v/>
      </c>
      <c r="E10254" s="626"/>
      <c r="F10254" s="626"/>
    </row>
    <row r="10255" spans="1:6">
      <c r="A10255" t="str">
        <f t="shared" si="160"/>
        <v/>
      </c>
      <c r="E10255" s="626"/>
      <c r="F10255" s="626"/>
    </row>
    <row r="10256" spans="1:6">
      <c r="A10256" t="str">
        <f t="shared" si="160"/>
        <v/>
      </c>
      <c r="E10256" s="626"/>
      <c r="F10256" s="626"/>
    </row>
    <row r="10257" spans="1:6">
      <c r="A10257" t="str">
        <f t="shared" si="160"/>
        <v/>
      </c>
      <c r="E10257" s="626"/>
      <c r="F10257" s="626"/>
    </row>
    <row r="10258" spans="1:6">
      <c r="A10258" t="str">
        <f t="shared" si="160"/>
        <v/>
      </c>
      <c r="E10258" s="626"/>
      <c r="F10258" s="626"/>
    </row>
    <row r="10259" spans="1:6">
      <c r="A10259" t="str">
        <f t="shared" si="160"/>
        <v/>
      </c>
      <c r="E10259" s="626"/>
      <c r="F10259" s="626"/>
    </row>
    <row r="10260" spans="1:6">
      <c r="A10260" t="str">
        <f t="shared" si="160"/>
        <v/>
      </c>
      <c r="E10260" s="626"/>
      <c r="F10260" s="626"/>
    </row>
    <row r="10261" spans="1:6">
      <c r="A10261" t="str">
        <f t="shared" si="160"/>
        <v/>
      </c>
      <c r="E10261" s="626"/>
      <c r="F10261" s="626"/>
    </row>
    <row r="10262" spans="1:6">
      <c r="A10262" t="str">
        <f t="shared" si="160"/>
        <v/>
      </c>
      <c r="E10262" s="626"/>
      <c r="F10262" s="626"/>
    </row>
    <row r="10263" spans="1:6">
      <c r="A10263" t="str">
        <f t="shared" si="160"/>
        <v/>
      </c>
      <c r="E10263" s="626"/>
      <c r="F10263" s="626"/>
    </row>
    <row r="10264" spans="1:6">
      <c r="A10264" t="str">
        <f t="shared" si="160"/>
        <v/>
      </c>
      <c r="E10264" s="626"/>
      <c r="F10264" s="626"/>
    </row>
    <row r="10265" spans="1:6">
      <c r="A10265" t="str">
        <f t="shared" si="160"/>
        <v/>
      </c>
      <c r="E10265" s="626"/>
      <c r="F10265" s="626"/>
    </row>
    <row r="10266" spans="1:6">
      <c r="A10266" t="str">
        <f t="shared" si="160"/>
        <v/>
      </c>
      <c r="E10266" s="626"/>
      <c r="F10266" s="626"/>
    </row>
    <row r="10267" spans="1:6">
      <c r="A10267" t="str">
        <f t="shared" si="160"/>
        <v/>
      </c>
      <c r="E10267" s="626"/>
      <c r="F10267" s="626"/>
    </row>
    <row r="10268" spans="1:6">
      <c r="A10268" t="str">
        <f t="shared" si="160"/>
        <v/>
      </c>
      <c r="E10268" s="626"/>
      <c r="F10268" s="626"/>
    </row>
    <row r="10269" spans="1:6">
      <c r="A10269" t="str">
        <f t="shared" si="160"/>
        <v/>
      </c>
      <c r="E10269" s="626"/>
      <c r="F10269" s="626"/>
    </row>
    <row r="10270" spans="1:6">
      <c r="A10270" t="str">
        <f t="shared" si="160"/>
        <v/>
      </c>
      <c r="E10270" s="626"/>
      <c r="F10270" s="626"/>
    </row>
    <row r="10271" spans="1:6">
      <c r="A10271" t="str">
        <f t="shared" si="160"/>
        <v/>
      </c>
      <c r="E10271" s="626"/>
      <c r="F10271" s="626"/>
    </row>
    <row r="10272" spans="1:6">
      <c r="A10272" t="str">
        <f t="shared" si="160"/>
        <v/>
      </c>
      <c r="E10272" s="626"/>
      <c r="F10272" s="626"/>
    </row>
    <row r="10273" spans="1:6">
      <c r="A10273" t="str">
        <f t="shared" si="160"/>
        <v/>
      </c>
      <c r="E10273" s="626"/>
      <c r="F10273" s="626"/>
    </row>
    <row r="10274" spans="1:6">
      <c r="A10274" t="str">
        <f t="shared" si="160"/>
        <v/>
      </c>
      <c r="E10274" s="626"/>
      <c r="F10274" s="626"/>
    </row>
    <row r="10275" spans="1:6">
      <c r="A10275" t="str">
        <f t="shared" si="160"/>
        <v/>
      </c>
      <c r="E10275" s="626"/>
      <c r="F10275" s="626"/>
    </row>
    <row r="10276" spans="1:6">
      <c r="A10276" t="str">
        <f t="shared" si="160"/>
        <v/>
      </c>
      <c r="E10276" s="626"/>
      <c r="F10276" s="626"/>
    </row>
    <row r="10277" spans="1:6">
      <c r="A10277" t="str">
        <f t="shared" si="160"/>
        <v/>
      </c>
      <c r="E10277" s="626"/>
      <c r="F10277" s="626"/>
    </row>
    <row r="10278" spans="1:6">
      <c r="A10278" t="str">
        <f t="shared" si="160"/>
        <v/>
      </c>
      <c r="E10278" s="626"/>
      <c r="F10278" s="626"/>
    </row>
    <row r="10279" spans="1:6">
      <c r="A10279" t="str">
        <f t="shared" si="160"/>
        <v/>
      </c>
      <c r="E10279" s="626"/>
      <c r="F10279" s="626"/>
    </row>
    <row r="10280" spans="1:6">
      <c r="A10280" t="str">
        <f t="shared" si="160"/>
        <v/>
      </c>
      <c r="E10280" s="626"/>
      <c r="F10280" s="626"/>
    </row>
    <row r="10281" spans="1:6">
      <c r="A10281" t="str">
        <f t="shared" si="160"/>
        <v/>
      </c>
      <c r="E10281" s="626"/>
      <c r="F10281" s="626"/>
    </row>
    <row r="10282" spans="1:6">
      <c r="A10282" t="str">
        <f t="shared" si="160"/>
        <v/>
      </c>
      <c r="E10282" s="626"/>
      <c r="F10282" s="626"/>
    </row>
    <row r="10283" spans="1:6">
      <c r="A10283" t="str">
        <f t="shared" si="160"/>
        <v/>
      </c>
      <c r="E10283" s="626"/>
      <c r="F10283" s="626"/>
    </row>
    <row r="10284" spans="1:6">
      <c r="A10284" t="str">
        <f t="shared" si="160"/>
        <v/>
      </c>
      <c r="E10284" s="626"/>
      <c r="F10284" s="626"/>
    </row>
    <row r="10285" spans="1:6">
      <c r="A10285" t="str">
        <f t="shared" si="160"/>
        <v/>
      </c>
      <c r="E10285" s="626"/>
      <c r="F10285" s="626"/>
    </row>
    <row r="10286" spans="1:6">
      <c r="A10286" t="str">
        <f t="shared" si="160"/>
        <v/>
      </c>
      <c r="E10286" s="626"/>
      <c r="F10286" s="626"/>
    </row>
    <row r="10287" spans="1:6">
      <c r="A10287" t="str">
        <f t="shared" si="160"/>
        <v/>
      </c>
      <c r="E10287" s="626"/>
      <c r="F10287" s="626"/>
    </row>
    <row r="10288" spans="1:6">
      <c r="A10288" t="str">
        <f t="shared" si="160"/>
        <v/>
      </c>
      <c r="E10288" s="626"/>
      <c r="F10288" s="626"/>
    </row>
    <row r="10289" spans="1:6">
      <c r="A10289" t="str">
        <f t="shared" si="160"/>
        <v/>
      </c>
      <c r="E10289" s="626"/>
      <c r="F10289" s="626"/>
    </row>
    <row r="10290" spans="1:6">
      <c r="A10290" t="str">
        <f t="shared" si="160"/>
        <v/>
      </c>
      <c r="E10290" s="626"/>
      <c r="F10290" s="626"/>
    </row>
    <row r="10291" spans="1:6">
      <c r="A10291" t="str">
        <f t="shared" si="160"/>
        <v/>
      </c>
      <c r="E10291" s="626"/>
      <c r="F10291" s="626"/>
    </row>
    <row r="10292" spans="1:6">
      <c r="A10292" t="str">
        <f t="shared" si="160"/>
        <v/>
      </c>
      <c r="E10292" s="626"/>
      <c r="F10292" s="626"/>
    </row>
    <row r="10293" spans="1:6">
      <c r="A10293" t="str">
        <f t="shared" si="160"/>
        <v/>
      </c>
      <c r="E10293" s="626"/>
      <c r="F10293" s="626"/>
    </row>
    <row r="10294" spans="1:6">
      <c r="A10294" t="str">
        <f t="shared" si="160"/>
        <v/>
      </c>
      <c r="E10294" s="626"/>
      <c r="F10294" s="626"/>
    </row>
    <row r="10295" spans="1:6">
      <c r="A10295" t="str">
        <f t="shared" si="160"/>
        <v/>
      </c>
      <c r="E10295" s="626"/>
      <c r="F10295" s="626"/>
    </row>
    <row r="10296" spans="1:6">
      <c r="A10296" t="str">
        <f t="shared" si="160"/>
        <v/>
      </c>
      <c r="E10296" s="626"/>
      <c r="F10296" s="626"/>
    </row>
    <row r="10297" spans="1:6">
      <c r="A10297" t="str">
        <f t="shared" si="160"/>
        <v/>
      </c>
      <c r="E10297" s="626"/>
      <c r="F10297" s="626"/>
    </row>
    <row r="10298" spans="1:6">
      <c r="A10298" t="str">
        <f t="shared" si="160"/>
        <v/>
      </c>
      <c r="E10298" s="626"/>
      <c r="F10298" s="626"/>
    </row>
    <row r="10299" spans="1:6">
      <c r="A10299" t="str">
        <f t="shared" si="160"/>
        <v/>
      </c>
      <c r="E10299" s="626"/>
      <c r="F10299" s="626"/>
    </row>
    <row r="10300" spans="1:6">
      <c r="A10300" t="str">
        <f t="shared" si="160"/>
        <v/>
      </c>
      <c r="E10300" s="626"/>
      <c r="F10300" s="626"/>
    </row>
    <row r="10301" spans="1:6">
      <c r="A10301" t="str">
        <f t="shared" si="160"/>
        <v/>
      </c>
      <c r="E10301" s="626"/>
      <c r="F10301" s="626"/>
    </row>
    <row r="10302" spans="1:6">
      <c r="A10302" t="str">
        <f t="shared" si="160"/>
        <v/>
      </c>
      <c r="E10302" s="626"/>
      <c r="F10302" s="626"/>
    </row>
    <row r="10303" spans="1:6">
      <c r="A10303" t="str">
        <f t="shared" si="160"/>
        <v/>
      </c>
      <c r="E10303" s="626"/>
      <c r="F10303" s="626"/>
    </row>
    <row r="10304" spans="1:6">
      <c r="A10304" t="str">
        <f t="shared" si="160"/>
        <v/>
      </c>
      <c r="E10304" s="626"/>
      <c r="F10304" s="626"/>
    </row>
    <row r="10305" spans="1:6">
      <c r="A10305" t="str">
        <f t="shared" si="160"/>
        <v/>
      </c>
      <c r="E10305" s="626"/>
      <c r="F10305" s="626"/>
    </row>
    <row r="10306" spans="1:6">
      <c r="A10306" t="str">
        <f t="shared" ref="A10306:A10369" si="161">B10306&amp;E10306&amp;J10306</f>
        <v/>
      </c>
      <c r="E10306" s="626"/>
      <c r="F10306" s="626"/>
    </row>
    <row r="10307" spans="1:6">
      <c r="A10307" t="str">
        <f t="shared" si="161"/>
        <v/>
      </c>
      <c r="E10307" s="626"/>
      <c r="F10307" s="626"/>
    </row>
    <row r="10308" spans="1:6">
      <c r="A10308" t="str">
        <f t="shared" si="161"/>
        <v/>
      </c>
      <c r="E10308" s="626"/>
      <c r="F10308" s="626"/>
    </row>
    <row r="10309" spans="1:6">
      <c r="A10309" t="str">
        <f t="shared" si="161"/>
        <v/>
      </c>
      <c r="E10309" s="626"/>
      <c r="F10309" s="626"/>
    </row>
    <row r="10310" spans="1:6">
      <c r="A10310" t="str">
        <f t="shared" si="161"/>
        <v/>
      </c>
      <c r="E10310" s="626"/>
      <c r="F10310" s="626"/>
    </row>
    <row r="10311" spans="1:6">
      <c r="A10311" t="str">
        <f t="shared" si="161"/>
        <v/>
      </c>
      <c r="E10311" s="626"/>
      <c r="F10311" s="626"/>
    </row>
    <row r="10312" spans="1:6">
      <c r="A10312" t="str">
        <f t="shared" si="161"/>
        <v/>
      </c>
      <c r="E10312" s="626"/>
      <c r="F10312" s="626"/>
    </row>
    <row r="10313" spans="1:6">
      <c r="A10313" t="str">
        <f t="shared" si="161"/>
        <v/>
      </c>
      <c r="E10313" s="626"/>
      <c r="F10313" s="626"/>
    </row>
    <row r="10314" spans="1:6">
      <c r="A10314" t="str">
        <f t="shared" si="161"/>
        <v/>
      </c>
      <c r="E10314" s="626"/>
      <c r="F10314" s="626"/>
    </row>
    <row r="10315" spans="1:6">
      <c r="A10315" t="str">
        <f t="shared" si="161"/>
        <v/>
      </c>
      <c r="E10315" s="626"/>
      <c r="F10315" s="626"/>
    </row>
    <row r="10316" spans="1:6">
      <c r="A10316" t="str">
        <f t="shared" si="161"/>
        <v/>
      </c>
      <c r="E10316" s="626"/>
      <c r="F10316" s="626"/>
    </row>
    <row r="10317" spans="1:6">
      <c r="A10317" t="str">
        <f t="shared" si="161"/>
        <v/>
      </c>
      <c r="E10317" s="626"/>
      <c r="F10317" s="626"/>
    </row>
    <row r="10318" spans="1:6">
      <c r="A10318" t="str">
        <f t="shared" si="161"/>
        <v/>
      </c>
      <c r="E10318" s="626"/>
      <c r="F10318" s="626"/>
    </row>
    <row r="10319" spans="1:6">
      <c r="A10319" t="str">
        <f t="shared" si="161"/>
        <v/>
      </c>
      <c r="E10319" s="626"/>
      <c r="F10319" s="626"/>
    </row>
    <row r="10320" spans="1:6">
      <c r="A10320" t="str">
        <f t="shared" si="161"/>
        <v/>
      </c>
      <c r="E10320" s="626"/>
      <c r="F10320" s="626"/>
    </row>
    <row r="10321" spans="1:6">
      <c r="A10321" t="str">
        <f t="shared" si="161"/>
        <v/>
      </c>
      <c r="E10321" s="626"/>
      <c r="F10321" s="626"/>
    </row>
    <row r="10322" spans="1:6">
      <c r="A10322" t="str">
        <f t="shared" si="161"/>
        <v/>
      </c>
      <c r="E10322" s="626"/>
      <c r="F10322" s="626"/>
    </row>
    <row r="10323" spans="1:6">
      <c r="A10323" t="str">
        <f t="shared" si="161"/>
        <v/>
      </c>
      <c r="E10323" s="626"/>
      <c r="F10323" s="626"/>
    </row>
    <row r="10324" spans="1:6">
      <c r="A10324" t="str">
        <f t="shared" si="161"/>
        <v/>
      </c>
      <c r="E10324" s="626"/>
      <c r="F10324" s="626"/>
    </row>
    <row r="10325" spans="1:6">
      <c r="A10325" t="str">
        <f t="shared" si="161"/>
        <v/>
      </c>
      <c r="E10325" s="626"/>
      <c r="F10325" s="626"/>
    </row>
    <row r="10326" spans="1:6">
      <c r="A10326" t="str">
        <f t="shared" si="161"/>
        <v/>
      </c>
      <c r="E10326" s="626"/>
      <c r="F10326" s="626"/>
    </row>
    <row r="10327" spans="1:6">
      <c r="A10327" t="str">
        <f t="shared" si="161"/>
        <v/>
      </c>
      <c r="E10327" s="626"/>
      <c r="F10327" s="626"/>
    </row>
    <row r="10328" spans="1:6">
      <c r="A10328" t="str">
        <f t="shared" si="161"/>
        <v/>
      </c>
      <c r="E10328" s="626"/>
      <c r="F10328" s="626"/>
    </row>
    <row r="10329" spans="1:6">
      <c r="A10329" t="str">
        <f t="shared" si="161"/>
        <v/>
      </c>
      <c r="E10329" s="626"/>
      <c r="F10329" s="626"/>
    </row>
    <row r="10330" spans="1:6">
      <c r="A10330" t="str">
        <f t="shared" si="161"/>
        <v/>
      </c>
      <c r="E10330" s="626"/>
      <c r="F10330" s="626"/>
    </row>
    <row r="10331" spans="1:6">
      <c r="A10331" t="str">
        <f t="shared" si="161"/>
        <v/>
      </c>
      <c r="E10331" s="626"/>
      <c r="F10331" s="626"/>
    </row>
    <row r="10332" spans="1:6">
      <c r="A10332" t="str">
        <f t="shared" si="161"/>
        <v/>
      </c>
      <c r="E10332" s="626"/>
      <c r="F10332" s="626"/>
    </row>
    <row r="10333" spans="1:6">
      <c r="A10333" t="str">
        <f t="shared" si="161"/>
        <v/>
      </c>
      <c r="E10333" s="626"/>
      <c r="F10333" s="626"/>
    </row>
    <row r="10334" spans="1:6">
      <c r="A10334" t="str">
        <f t="shared" si="161"/>
        <v/>
      </c>
      <c r="E10334" s="626"/>
      <c r="F10334" s="626"/>
    </row>
    <row r="10335" spans="1:6">
      <c r="A10335" t="str">
        <f t="shared" si="161"/>
        <v/>
      </c>
      <c r="E10335" s="626"/>
      <c r="F10335" s="626"/>
    </row>
    <row r="10336" spans="1:6">
      <c r="A10336" t="str">
        <f t="shared" si="161"/>
        <v/>
      </c>
      <c r="E10336" s="626"/>
      <c r="F10336" s="626"/>
    </row>
    <row r="10337" spans="1:6">
      <c r="A10337" t="str">
        <f t="shared" si="161"/>
        <v/>
      </c>
      <c r="E10337" s="626"/>
      <c r="F10337" s="626"/>
    </row>
    <row r="10338" spans="1:6">
      <c r="A10338" t="str">
        <f t="shared" si="161"/>
        <v/>
      </c>
      <c r="E10338" s="626"/>
      <c r="F10338" s="626"/>
    </row>
    <row r="10339" spans="1:6">
      <c r="A10339" t="str">
        <f t="shared" si="161"/>
        <v/>
      </c>
      <c r="E10339" s="626"/>
      <c r="F10339" s="626"/>
    </row>
    <row r="10340" spans="1:6">
      <c r="A10340" t="str">
        <f t="shared" si="161"/>
        <v/>
      </c>
      <c r="E10340" s="626"/>
      <c r="F10340" s="626"/>
    </row>
    <row r="10341" spans="1:6">
      <c r="A10341" t="str">
        <f t="shared" si="161"/>
        <v/>
      </c>
      <c r="E10341" s="626"/>
      <c r="F10341" s="626"/>
    </row>
    <row r="10342" spans="1:6">
      <c r="A10342" t="str">
        <f t="shared" si="161"/>
        <v/>
      </c>
      <c r="E10342" s="626"/>
      <c r="F10342" s="626"/>
    </row>
    <row r="10343" spans="1:6">
      <c r="A10343" t="str">
        <f t="shared" si="161"/>
        <v/>
      </c>
      <c r="E10343" s="626"/>
      <c r="F10343" s="626"/>
    </row>
    <row r="10344" spans="1:6">
      <c r="A10344" t="str">
        <f t="shared" si="161"/>
        <v/>
      </c>
      <c r="E10344" s="626"/>
      <c r="F10344" s="626"/>
    </row>
    <row r="10345" spans="1:6">
      <c r="A10345" t="str">
        <f t="shared" si="161"/>
        <v/>
      </c>
      <c r="E10345" s="626"/>
      <c r="F10345" s="626"/>
    </row>
    <row r="10346" spans="1:6">
      <c r="A10346" t="str">
        <f t="shared" si="161"/>
        <v/>
      </c>
      <c r="E10346" s="626"/>
      <c r="F10346" s="626"/>
    </row>
    <row r="10347" spans="1:6">
      <c r="A10347" t="str">
        <f t="shared" si="161"/>
        <v/>
      </c>
      <c r="E10347" s="626"/>
      <c r="F10347" s="626"/>
    </row>
    <row r="10348" spans="1:6">
      <c r="A10348" t="str">
        <f t="shared" si="161"/>
        <v/>
      </c>
      <c r="E10348" s="626"/>
      <c r="F10348" s="626"/>
    </row>
    <row r="10349" spans="1:6">
      <c r="A10349" t="str">
        <f t="shared" si="161"/>
        <v/>
      </c>
      <c r="E10349" s="626"/>
      <c r="F10349" s="626"/>
    </row>
    <row r="10350" spans="1:6">
      <c r="A10350" t="str">
        <f t="shared" si="161"/>
        <v/>
      </c>
      <c r="E10350" s="626"/>
      <c r="F10350" s="626"/>
    </row>
    <row r="10351" spans="1:6">
      <c r="A10351" t="str">
        <f t="shared" si="161"/>
        <v/>
      </c>
      <c r="E10351" s="626"/>
      <c r="F10351" s="626"/>
    </row>
    <row r="10352" spans="1:6">
      <c r="A10352" t="str">
        <f t="shared" si="161"/>
        <v/>
      </c>
      <c r="E10352" s="626"/>
      <c r="F10352" s="626"/>
    </row>
    <row r="10353" spans="1:6">
      <c r="A10353" t="str">
        <f t="shared" si="161"/>
        <v/>
      </c>
      <c r="E10353" s="626"/>
      <c r="F10353" s="626"/>
    </row>
    <row r="10354" spans="1:6">
      <c r="A10354" t="str">
        <f t="shared" si="161"/>
        <v/>
      </c>
      <c r="E10354" s="626"/>
      <c r="F10354" s="626"/>
    </row>
    <row r="10355" spans="1:6">
      <c r="A10355" t="str">
        <f t="shared" si="161"/>
        <v/>
      </c>
      <c r="E10355" s="626"/>
      <c r="F10355" s="626"/>
    </row>
    <row r="10356" spans="1:6">
      <c r="A10356" t="str">
        <f t="shared" si="161"/>
        <v/>
      </c>
      <c r="E10356" s="626"/>
      <c r="F10356" s="626"/>
    </row>
    <row r="10357" spans="1:6">
      <c r="A10357" t="str">
        <f t="shared" si="161"/>
        <v/>
      </c>
      <c r="E10357" s="626"/>
      <c r="F10357" s="626"/>
    </row>
    <row r="10358" spans="1:6">
      <c r="A10358" t="str">
        <f t="shared" si="161"/>
        <v/>
      </c>
      <c r="E10358" s="626"/>
      <c r="F10358" s="626"/>
    </row>
    <row r="10359" spans="1:6">
      <c r="A10359" t="str">
        <f t="shared" si="161"/>
        <v/>
      </c>
      <c r="E10359" s="626"/>
      <c r="F10359" s="626"/>
    </row>
    <row r="10360" spans="1:6">
      <c r="A10360" t="str">
        <f t="shared" si="161"/>
        <v/>
      </c>
      <c r="E10360" s="626"/>
      <c r="F10360" s="626"/>
    </row>
    <row r="10361" spans="1:6">
      <c r="A10361" t="str">
        <f t="shared" si="161"/>
        <v/>
      </c>
      <c r="E10361" s="626"/>
      <c r="F10361" s="626"/>
    </row>
    <row r="10362" spans="1:6">
      <c r="A10362" t="str">
        <f t="shared" si="161"/>
        <v/>
      </c>
      <c r="E10362" s="626"/>
      <c r="F10362" s="626"/>
    </row>
    <row r="10363" spans="1:6">
      <c r="A10363" t="str">
        <f t="shared" si="161"/>
        <v/>
      </c>
      <c r="E10363" s="626"/>
      <c r="F10363" s="626"/>
    </row>
    <row r="10364" spans="1:6">
      <c r="A10364" t="str">
        <f t="shared" si="161"/>
        <v/>
      </c>
      <c r="E10364" s="626"/>
      <c r="F10364" s="626"/>
    </row>
    <row r="10365" spans="1:6">
      <c r="A10365" t="str">
        <f t="shared" si="161"/>
        <v/>
      </c>
      <c r="E10365" s="626"/>
      <c r="F10365" s="626"/>
    </row>
    <row r="10366" spans="1:6">
      <c r="A10366" t="str">
        <f t="shared" si="161"/>
        <v/>
      </c>
      <c r="E10366" s="626"/>
      <c r="F10366" s="626"/>
    </row>
    <row r="10367" spans="1:6">
      <c r="A10367" t="str">
        <f t="shared" si="161"/>
        <v/>
      </c>
      <c r="E10367" s="626"/>
      <c r="F10367" s="626"/>
    </row>
    <row r="10368" spans="1:6">
      <c r="A10368" t="str">
        <f t="shared" si="161"/>
        <v/>
      </c>
      <c r="E10368" s="626"/>
      <c r="F10368" s="626"/>
    </row>
    <row r="10369" spans="1:6">
      <c r="A10369" t="str">
        <f t="shared" si="161"/>
        <v/>
      </c>
      <c r="E10369" s="626"/>
      <c r="F10369" s="626"/>
    </row>
    <row r="10370" spans="1:6">
      <c r="A10370" t="str">
        <f t="shared" ref="A10370:A10433" si="162">B10370&amp;E10370&amp;J10370</f>
        <v/>
      </c>
      <c r="E10370" s="626"/>
      <c r="F10370" s="626"/>
    </row>
    <row r="10371" spans="1:6">
      <c r="A10371" t="str">
        <f t="shared" si="162"/>
        <v/>
      </c>
      <c r="E10371" s="626"/>
      <c r="F10371" s="626"/>
    </row>
    <row r="10372" spans="1:6">
      <c r="A10372" t="str">
        <f t="shared" si="162"/>
        <v/>
      </c>
      <c r="E10372" s="626"/>
      <c r="F10372" s="626"/>
    </row>
    <row r="10373" spans="1:6">
      <c r="A10373" t="str">
        <f t="shared" si="162"/>
        <v/>
      </c>
      <c r="E10373" s="626"/>
      <c r="F10373" s="626"/>
    </row>
    <row r="10374" spans="1:6">
      <c r="A10374" t="str">
        <f t="shared" si="162"/>
        <v/>
      </c>
      <c r="E10374" s="626"/>
      <c r="F10374" s="626"/>
    </row>
    <row r="10375" spans="1:6">
      <c r="A10375" t="str">
        <f t="shared" si="162"/>
        <v/>
      </c>
      <c r="E10375" s="626"/>
      <c r="F10375" s="626"/>
    </row>
    <row r="10376" spans="1:6">
      <c r="A10376" t="str">
        <f t="shared" si="162"/>
        <v/>
      </c>
      <c r="E10376" s="626"/>
      <c r="F10376" s="626"/>
    </row>
    <row r="10377" spans="1:6">
      <c r="A10377" t="str">
        <f t="shared" si="162"/>
        <v/>
      </c>
      <c r="E10377" s="626"/>
      <c r="F10377" s="626"/>
    </row>
    <row r="10378" spans="1:6">
      <c r="A10378" t="str">
        <f t="shared" si="162"/>
        <v/>
      </c>
      <c r="E10378" s="626"/>
      <c r="F10378" s="626"/>
    </row>
    <row r="10379" spans="1:6">
      <c r="A10379" t="str">
        <f t="shared" si="162"/>
        <v/>
      </c>
      <c r="E10379" s="626"/>
      <c r="F10379" s="626"/>
    </row>
    <row r="10380" spans="1:6">
      <c r="A10380" t="str">
        <f t="shared" si="162"/>
        <v/>
      </c>
      <c r="E10380" s="626"/>
      <c r="F10380" s="626"/>
    </row>
    <row r="10381" spans="1:6">
      <c r="A10381" t="str">
        <f t="shared" si="162"/>
        <v/>
      </c>
      <c r="E10381" s="626"/>
      <c r="F10381" s="626"/>
    </row>
    <row r="10382" spans="1:6">
      <c r="A10382" t="str">
        <f t="shared" si="162"/>
        <v/>
      </c>
      <c r="E10382" s="626"/>
      <c r="F10382" s="626"/>
    </row>
    <row r="10383" spans="1:6">
      <c r="A10383" t="str">
        <f t="shared" si="162"/>
        <v/>
      </c>
      <c r="E10383" s="626"/>
      <c r="F10383" s="626"/>
    </row>
    <row r="10384" spans="1:6">
      <c r="A10384" t="str">
        <f t="shared" si="162"/>
        <v/>
      </c>
      <c r="E10384" s="626"/>
      <c r="F10384" s="626"/>
    </row>
    <row r="10385" spans="1:6">
      <c r="A10385" t="str">
        <f t="shared" si="162"/>
        <v/>
      </c>
      <c r="E10385" s="626"/>
      <c r="F10385" s="626"/>
    </row>
    <row r="10386" spans="1:6">
      <c r="A10386" t="str">
        <f t="shared" si="162"/>
        <v/>
      </c>
      <c r="E10386" s="626"/>
      <c r="F10386" s="626"/>
    </row>
    <row r="10387" spans="1:6">
      <c r="A10387" t="str">
        <f t="shared" si="162"/>
        <v/>
      </c>
      <c r="E10387" s="626"/>
      <c r="F10387" s="626"/>
    </row>
    <row r="10388" spans="1:6">
      <c r="A10388" t="str">
        <f t="shared" si="162"/>
        <v/>
      </c>
      <c r="E10388" s="626"/>
      <c r="F10388" s="626"/>
    </row>
    <row r="10389" spans="1:6">
      <c r="A10389" t="str">
        <f t="shared" si="162"/>
        <v/>
      </c>
      <c r="E10389" s="626"/>
      <c r="F10389" s="626"/>
    </row>
    <row r="10390" spans="1:6">
      <c r="A10390" t="str">
        <f t="shared" si="162"/>
        <v/>
      </c>
      <c r="E10390" s="626"/>
      <c r="F10390" s="626"/>
    </row>
    <row r="10391" spans="1:6">
      <c r="A10391" t="str">
        <f t="shared" si="162"/>
        <v/>
      </c>
      <c r="E10391" s="626"/>
      <c r="F10391" s="626"/>
    </row>
    <row r="10392" spans="1:6">
      <c r="A10392" t="str">
        <f t="shared" si="162"/>
        <v/>
      </c>
      <c r="E10392" s="626"/>
      <c r="F10392" s="626"/>
    </row>
    <row r="10393" spans="1:6">
      <c r="A10393" t="str">
        <f t="shared" si="162"/>
        <v/>
      </c>
      <c r="E10393" s="626"/>
      <c r="F10393" s="626"/>
    </row>
    <row r="10394" spans="1:6">
      <c r="A10394" t="str">
        <f t="shared" si="162"/>
        <v/>
      </c>
      <c r="E10394" s="626"/>
      <c r="F10394" s="626"/>
    </row>
    <row r="10395" spans="1:6">
      <c r="A10395" t="str">
        <f t="shared" si="162"/>
        <v/>
      </c>
      <c r="E10395" s="626"/>
      <c r="F10395" s="626"/>
    </row>
    <row r="10396" spans="1:6">
      <c r="A10396" t="str">
        <f t="shared" si="162"/>
        <v/>
      </c>
      <c r="E10396" s="626"/>
      <c r="F10396" s="626"/>
    </row>
    <row r="10397" spans="1:6">
      <c r="A10397" t="str">
        <f t="shared" si="162"/>
        <v/>
      </c>
      <c r="E10397" s="626"/>
      <c r="F10397" s="626"/>
    </row>
    <row r="10398" spans="1:6">
      <c r="A10398" t="str">
        <f t="shared" si="162"/>
        <v/>
      </c>
      <c r="E10398" s="626"/>
      <c r="F10398" s="626"/>
    </row>
    <row r="10399" spans="1:6">
      <c r="A10399" t="str">
        <f t="shared" si="162"/>
        <v/>
      </c>
      <c r="E10399" s="626"/>
      <c r="F10399" s="626"/>
    </row>
    <row r="10400" spans="1:6">
      <c r="A10400" t="str">
        <f t="shared" si="162"/>
        <v/>
      </c>
      <c r="E10400" s="626"/>
      <c r="F10400" s="626"/>
    </row>
    <row r="10401" spans="1:6">
      <c r="A10401" t="str">
        <f t="shared" si="162"/>
        <v/>
      </c>
      <c r="E10401" s="626"/>
      <c r="F10401" s="626"/>
    </row>
    <row r="10402" spans="1:6">
      <c r="A10402" t="str">
        <f t="shared" si="162"/>
        <v/>
      </c>
      <c r="E10402" s="626"/>
      <c r="F10402" s="626"/>
    </row>
    <row r="10403" spans="1:6">
      <c r="A10403" t="str">
        <f t="shared" si="162"/>
        <v/>
      </c>
      <c r="E10403" s="626"/>
      <c r="F10403" s="626"/>
    </row>
    <row r="10404" spans="1:6">
      <c r="A10404" t="str">
        <f t="shared" si="162"/>
        <v/>
      </c>
      <c r="E10404" s="626"/>
      <c r="F10404" s="626"/>
    </row>
    <row r="10405" spans="1:6">
      <c r="A10405" t="str">
        <f t="shared" si="162"/>
        <v/>
      </c>
      <c r="E10405" s="626"/>
      <c r="F10405" s="626"/>
    </row>
    <row r="10406" spans="1:6">
      <c r="A10406" t="str">
        <f t="shared" si="162"/>
        <v/>
      </c>
      <c r="E10406" s="626"/>
      <c r="F10406" s="626"/>
    </row>
    <row r="10407" spans="1:6">
      <c r="A10407" t="str">
        <f t="shared" si="162"/>
        <v/>
      </c>
      <c r="E10407" s="626"/>
      <c r="F10407" s="626"/>
    </row>
    <row r="10408" spans="1:6">
      <c r="A10408" t="str">
        <f t="shared" si="162"/>
        <v/>
      </c>
      <c r="E10408" s="626"/>
      <c r="F10408" s="626"/>
    </row>
    <row r="10409" spans="1:6">
      <c r="A10409" t="str">
        <f t="shared" si="162"/>
        <v/>
      </c>
      <c r="E10409" s="626"/>
      <c r="F10409" s="626"/>
    </row>
    <row r="10410" spans="1:6">
      <c r="A10410" t="str">
        <f t="shared" si="162"/>
        <v/>
      </c>
      <c r="E10410" s="626"/>
      <c r="F10410" s="626"/>
    </row>
    <row r="10411" spans="1:6">
      <c r="A10411" t="str">
        <f t="shared" si="162"/>
        <v/>
      </c>
      <c r="E10411" s="626"/>
      <c r="F10411" s="626"/>
    </row>
    <row r="10412" spans="1:6">
      <c r="A10412" t="str">
        <f t="shared" si="162"/>
        <v/>
      </c>
      <c r="E10412" s="626"/>
      <c r="F10412" s="626"/>
    </row>
    <row r="10413" spans="1:6">
      <c r="A10413" t="str">
        <f t="shared" si="162"/>
        <v/>
      </c>
      <c r="E10413" s="626"/>
      <c r="F10413" s="626"/>
    </row>
    <row r="10414" spans="1:6">
      <c r="A10414" t="str">
        <f t="shared" si="162"/>
        <v/>
      </c>
      <c r="E10414" s="626"/>
      <c r="F10414" s="626"/>
    </row>
    <row r="10415" spans="1:6">
      <c r="A10415" t="str">
        <f t="shared" si="162"/>
        <v/>
      </c>
      <c r="E10415" s="626"/>
      <c r="F10415" s="626"/>
    </row>
    <row r="10416" spans="1:6">
      <c r="A10416" t="str">
        <f t="shared" si="162"/>
        <v/>
      </c>
      <c r="E10416" s="626"/>
      <c r="F10416" s="626"/>
    </row>
    <row r="10417" spans="1:6">
      <c r="A10417" t="str">
        <f t="shared" si="162"/>
        <v/>
      </c>
      <c r="E10417" s="626"/>
      <c r="F10417" s="626"/>
    </row>
    <row r="10418" spans="1:6">
      <c r="A10418" t="str">
        <f t="shared" si="162"/>
        <v/>
      </c>
      <c r="E10418" s="626"/>
      <c r="F10418" s="626"/>
    </row>
    <row r="10419" spans="1:6">
      <c r="A10419" t="str">
        <f t="shared" si="162"/>
        <v/>
      </c>
      <c r="E10419" s="626"/>
      <c r="F10419" s="626"/>
    </row>
    <row r="10420" spans="1:6">
      <c r="A10420" t="str">
        <f t="shared" si="162"/>
        <v/>
      </c>
      <c r="E10420" s="626"/>
      <c r="F10420" s="626"/>
    </row>
    <row r="10421" spans="1:6">
      <c r="A10421" t="str">
        <f t="shared" si="162"/>
        <v/>
      </c>
      <c r="E10421" s="626"/>
      <c r="F10421" s="626"/>
    </row>
    <row r="10422" spans="1:6">
      <c r="A10422" t="str">
        <f t="shared" si="162"/>
        <v/>
      </c>
      <c r="E10422" s="626"/>
      <c r="F10422" s="626"/>
    </row>
    <row r="10423" spans="1:6">
      <c r="A10423" t="str">
        <f t="shared" si="162"/>
        <v/>
      </c>
      <c r="E10423" s="626"/>
      <c r="F10423" s="626"/>
    </row>
    <row r="10424" spans="1:6">
      <c r="A10424" t="str">
        <f t="shared" si="162"/>
        <v/>
      </c>
      <c r="E10424" s="626"/>
      <c r="F10424" s="626"/>
    </row>
    <row r="10425" spans="1:6">
      <c r="A10425" t="str">
        <f t="shared" si="162"/>
        <v/>
      </c>
      <c r="E10425" s="626"/>
      <c r="F10425" s="626"/>
    </row>
    <row r="10426" spans="1:6">
      <c r="A10426" t="str">
        <f t="shared" si="162"/>
        <v/>
      </c>
      <c r="E10426" s="626"/>
      <c r="F10426" s="626"/>
    </row>
    <row r="10427" spans="1:6">
      <c r="A10427" t="str">
        <f t="shared" si="162"/>
        <v/>
      </c>
      <c r="E10427" s="626"/>
      <c r="F10427" s="626"/>
    </row>
    <row r="10428" spans="1:6">
      <c r="A10428" t="str">
        <f t="shared" si="162"/>
        <v/>
      </c>
      <c r="E10428" s="626"/>
      <c r="F10428" s="626"/>
    </row>
    <row r="10429" spans="1:6">
      <c r="A10429" t="str">
        <f t="shared" si="162"/>
        <v/>
      </c>
      <c r="E10429" s="626"/>
      <c r="F10429" s="626"/>
    </row>
    <row r="10430" spans="1:6">
      <c r="A10430" t="str">
        <f t="shared" si="162"/>
        <v/>
      </c>
      <c r="E10430" s="626"/>
      <c r="F10430" s="626"/>
    </row>
    <row r="10431" spans="1:6">
      <c r="A10431" t="str">
        <f t="shared" si="162"/>
        <v/>
      </c>
      <c r="E10431" s="626"/>
      <c r="F10431" s="626"/>
    </row>
    <row r="10432" spans="1:6">
      <c r="A10432" t="str">
        <f t="shared" si="162"/>
        <v/>
      </c>
      <c r="E10432" s="626"/>
      <c r="F10432" s="626"/>
    </row>
    <row r="10433" spans="1:6">
      <c r="A10433" t="str">
        <f t="shared" si="162"/>
        <v/>
      </c>
      <c r="E10433" s="626"/>
      <c r="F10433" s="626"/>
    </row>
    <row r="10434" spans="1:6">
      <c r="A10434" t="str">
        <f t="shared" ref="A10434:A10497" si="163">B10434&amp;E10434&amp;J10434</f>
        <v/>
      </c>
      <c r="E10434" s="626"/>
      <c r="F10434" s="626"/>
    </row>
    <row r="10435" spans="1:6">
      <c r="A10435" t="str">
        <f t="shared" si="163"/>
        <v/>
      </c>
      <c r="E10435" s="626"/>
      <c r="F10435" s="626"/>
    </row>
    <row r="10436" spans="1:6">
      <c r="A10436" t="str">
        <f t="shared" si="163"/>
        <v/>
      </c>
      <c r="E10436" s="626"/>
      <c r="F10436" s="626"/>
    </row>
    <row r="10437" spans="1:6">
      <c r="A10437" t="str">
        <f t="shared" si="163"/>
        <v/>
      </c>
      <c r="E10437" s="626"/>
      <c r="F10437" s="626"/>
    </row>
    <row r="10438" spans="1:6">
      <c r="A10438" t="str">
        <f t="shared" si="163"/>
        <v/>
      </c>
      <c r="E10438" s="626"/>
      <c r="F10438" s="626"/>
    </row>
    <row r="10439" spans="1:6">
      <c r="A10439" t="str">
        <f t="shared" si="163"/>
        <v/>
      </c>
      <c r="E10439" s="626"/>
      <c r="F10439" s="626"/>
    </row>
    <row r="10440" spans="1:6">
      <c r="A10440" t="str">
        <f t="shared" si="163"/>
        <v/>
      </c>
      <c r="E10440" s="626"/>
      <c r="F10440" s="626"/>
    </row>
    <row r="10441" spans="1:6">
      <c r="A10441" t="str">
        <f t="shared" si="163"/>
        <v/>
      </c>
      <c r="E10441" s="626"/>
      <c r="F10441" s="626"/>
    </row>
    <row r="10442" spans="1:6">
      <c r="A10442" t="str">
        <f t="shared" si="163"/>
        <v/>
      </c>
      <c r="E10442" s="626"/>
      <c r="F10442" s="626"/>
    </row>
    <row r="10443" spans="1:6">
      <c r="A10443" t="str">
        <f t="shared" si="163"/>
        <v/>
      </c>
      <c r="E10443" s="626"/>
      <c r="F10443" s="626"/>
    </row>
    <row r="10444" spans="1:6">
      <c r="A10444" t="str">
        <f t="shared" si="163"/>
        <v/>
      </c>
      <c r="E10444" s="626"/>
      <c r="F10444" s="626"/>
    </row>
    <row r="10445" spans="1:6">
      <c r="A10445" t="str">
        <f t="shared" si="163"/>
        <v/>
      </c>
      <c r="E10445" s="626"/>
      <c r="F10445" s="626"/>
    </row>
    <row r="10446" spans="1:6">
      <c r="A10446" t="str">
        <f t="shared" si="163"/>
        <v/>
      </c>
      <c r="E10446" s="626"/>
      <c r="F10446" s="626"/>
    </row>
    <row r="10447" spans="1:6">
      <c r="A10447" t="str">
        <f t="shared" si="163"/>
        <v/>
      </c>
      <c r="E10447" s="626"/>
      <c r="F10447" s="626"/>
    </row>
    <row r="10448" spans="1:6">
      <c r="A10448" t="str">
        <f t="shared" si="163"/>
        <v/>
      </c>
      <c r="E10448" s="626"/>
      <c r="F10448" s="626"/>
    </row>
    <row r="10449" spans="1:6">
      <c r="A10449" t="str">
        <f t="shared" si="163"/>
        <v/>
      </c>
      <c r="E10449" s="626"/>
      <c r="F10449" s="626"/>
    </row>
    <row r="10450" spans="1:6">
      <c r="A10450" t="str">
        <f t="shared" si="163"/>
        <v/>
      </c>
      <c r="E10450" s="626"/>
      <c r="F10450" s="626"/>
    </row>
    <row r="10451" spans="1:6">
      <c r="A10451" t="str">
        <f t="shared" si="163"/>
        <v/>
      </c>
      <c r="E10451" s="626"/>
      <c r="F10451" s="626"/>
    </row>
    <row r="10452" spans="1:6">
      <c r="A10452" t="str">
        <f t="shared" si="163"/>
        <v/>
      </c>
      <c r="E10452" s="626"/>
      <c r="F10452" s="626"/>
    </row>
    <row r="10453" spans="1:6">
      <c r="A10453" t="str">
        <f t="shared" si="163"/>
        <v/>
      </c>
      <c r="E10453" s="626"/>
      <c r="F10453" s="626"/>
    </row>
    <row r="10454" spans="1:6">
      <c r="A10454" t="str">
        <f t="shared" si="163"/>
        <v/>
      </c>
      <c r="E10454" s="626"/>
      <c r="F10454" s="626"/>
    </row>
    <row r="10455" spans="1:6">
      <c r="A10455" t="str">
        <f t="shared" si="163"/>
        <v/>
      </c>
      <c r="E10455" s="626"/>
      <c r="F10455" s="626"/>
    </row>
    <row r="10456" spans="1:6">
      <c r="A10456" t="str">
        <f t="shared" si="163"/>
        <v/>
      </c>
      <c r="E10456" s="626"/>
      <c r="F10456" s="626"/>
    </row>
    <row r="10457" spans="1:6">
      <c r="A10457" t="str">
        <f t="shared" si="163"/>
        <v/>
      </c>
      <c r="E10457" s="626"/>
      <c r="F10457" s="626"/>
    </row>
    <row r="10458" spans="1:6">
      <c r="A10458" t="str">
        <f t="shared" si="163"/>
        <v/>
      </c>
      <c r="E10458" s="626"/>
      <c r="F10458" s="626"/>
    </row>
    <row r="10459" spans="1:6">
      <c r="A10459" t="str">
        <f t="shared" si="163"/>
        <v/>
      </c>
      <c r="E10459" s="626"/>
      <c r="F10459" s="626"/>
    </row>
    <row r="10460" spans="1:6">
      <c r="A10460" t="str">
        <f t="shared" si="163"/>
        <v/>
      </c>
      <c r="E10460" s="626"/>
      <c r="F10460" s="626"/>
    </row>
    <row r="10461" spans="1:6">
      <c r="A10461" t="str">
        <f t="shared" si="163"/>
        <v/>
      </c>
      <c r="E10461" s="626"/>
      <c r="F10461" s="626"/>
    </row>
    <row r="10462" spans="1:6">
      <c r="A10462" t="str">
        <f t="shared" si="163"/>
        <v/>
      </c>
      <c r="E10462" s="626"/>
      <c r="F10462" s="626"/>
    </row>
    <row r="10463" spans="1:6">
      <c r="A10463" t="str">
        <f t="shared" si="163"/>
        <v/>
      </c>
      <c r="E10463" s="626"/>
      <c r="F10463" s="626"/>
    </row>
    <row r="10464" spans="1:6">
      <c r="A10464" t="str">
        <f t="shared" si="163"/>
        <v/>
      </c>
      <c r="E10464" s="626"/>
      <c r="F10464" s="626"/>
    </row>
    <row r="10465" spans="1:6">
      <c r="A10465" t="str">
        <f t="shared" si="163"/>
        <v/>
      </c>
      <c r="E10465" s="626"/>
      <c r="F10465" s="626"/>
    </row>
    <row r="10466" spans="1:6">
      <c r="A10466" t="str">
        <f t="shared" si="163"/>
        <v/>
      </c>
      <c r="E10466" s="626"/>
      <c r="F10466" s="626"/>
    </row>
    <row r="10467" spans="1:6">
      <c r="A10467" t="str">
        <f t="shared" si="163"/>
        <v/>
      </c>
      <c r="E10467" s="626"/>
      <c r="F10467" s="626"/>
    </row>
    <row r="10468" spans="1:6">
      <c r="A10468" t="str">
        <f t="shared" si="163"/>
        <v/>
      </c>
      <c r="E10468" s="626"/>
      <c r="F10468" s="626"/>
    </row>
    <row r="10469" spans="1:6">
      <c r="A10469" t="str">
        <f t="shared" si="163"/>
        <v/>
      </c>
      <c r="E10469" s="626"/>
      <c r="F10469" s="626"/>
    </row>
    <row r="10470" spans="1:6">
      <c r="A10470" t="str">
        <f t="shared" si="163"/>
        <v/>
      </c>
      <c r="E10470" s="626"/>
      <c r="F10470" s="626"/>
    </row>
    <row r="10471" spans="1:6">
      <c r="A10471" t="str">
        <f t="shared" si="163"/>
        <v/>
      </c>
      <c r="E10471" s="626"/>
      <c r="F10471" s="626"/>
    </row>
    <row r="10472" spans="1:6">
      <c r="A10472" t="str">
        <f t="shared" si="163"/>
        <v/>
      </c>
      <c r="E10472" s="626"/>
      <c r="F10472" s="626"/>
    </row>
    <row r="10473" spans="1:6">
      <c r="A10473" t="str">
        <f t="shared" si="163"/>
        <v/>
      </c>
      <c r="E10473" s="626"/>
      <c r="F10473" s="626"/>
    </row>
    <row r="10474" spans="1:6">
      <c r="A10474" t="str">
        <f t="shared" si="163"/>
        <v/>
      </c>
      <c r="E10474" s="626"/>
      <c r="F10474" s="626"/>
    </row>
    <row r="10475" spans="1:6">
      <c r="A10475" t="str">
        <f t="shared" si="163"/>
        <v/>
      </c>
      <c r="E10475" s="626"/>
      <c r="F10475" s="626"/>
    </row>
    <row r="10476" spans="1:6">
      <c r="A10476" t="str">
        <f t="shared" si="163"/>
        <v/>
      </c>
      <c r="E10476" s="626"/>
      <c r="F10476" s="626"/>
    </row>
    <row r="10477" spans="1:6">
      <c r="A10477" t="str">
        <f t="shared" si="163"/>
        <v/>
      </c>
      <c r="E10477" s="626"/>
      <c r="F10477" s="626"/>
    </row>
    <row r="10478" spans="1:6">
      <c r="A10478" t="str">
        <f t="shared" si="163"/>
        <v/>
      </c>
      <c r="E10478" s="626"/>
      <c r="F10478" s="626"/>
    </row>
    <row r="10479" spans="1:6">
      <c r="A10479" t="str">
        <f t="shared" si="163"/>
        <v/>
      </c>
      <c r="E10479" s="626"/>
      <c r="F10479" s="626"/>
    </row>
    <row r="10480" spans="1:6">
      <c r="A10480" t="str">
        <f t="shared" si="163"/>
        <v/>
      </c>
      <c r="E10480" s="626"/>
      <c r="F10480" s="626"/>
    </row>
    <row r="10481" spans="1:6">
      <c r="A10481" t="str">
        <f t="shared" si="163"/>
        <v/>
      </c>
      <c r="E10481" s="626"/>
      <c r="F10481" s="626"/>
    </row>
    <row r="10482" spans="1:6">
      <c r="A10482" t="str">
        <f t="shared" si="163"/>
        <v/>
      </c>
      <c r="E10482" s="626"/>
      <c r="F10482" s="626"/>
    </row>
    <row r="10483" spans="1:6">
      <c r="A10483" t="str">
        <f t="shared" si="163"/>
        <v/>
      </c>
      <c r="E10483" s="626"/>
      <c r="F10483" s="626"/>
    </row>
    <row r="10484" spans="1:6">
      <c r="A10484" t="str">
        <f t="shared" si="163"/>
        <v/>
      </c>
      <c r="E10484" s="626"/>
      <c r="F10484" s="626"/>
    </row>
    <row r="10485" spans="1:6">
      <c r="A10485" t="str">
        <f t="shared" si="163"/>
        <v/>
      </c>
      <c r="E10485" s="626"/>
      <c r="F10485" s="626"/>
    </row>
    <row r="10486" spans="1:6">
      <c r="A10486" t="str">
        <f t="shared" si="163"/>
        <v/>
      </c>
      <c r="E10486" s="626"/>
      <c r="F10486" s="626"/>
    </row>
    <row r="10487" spans="1:6">
      <c r="A10487" t="str">
        <f t="shared" si="163"/>
        <v/>
      </c>
      <c r="E10487" s="626"/>
      <c r="F10487" s="626"/>
    </row>
    <row r="10488" spans="1:6">
      <c r="A10488" t="str">
        <f t="shared" si="163"/>
        <v/>
      </c>
      <c r="E10488" s="626"/>
      <c r="F10488" s="626"/>
    </row>
    <row r="10489" spans="1:6">
      <c r="A10489" t="str">
        <f t="shared" si="163"/>
        <v/>
      </c>
      <c r="E10489" s="626"/>
      <c r="F10489" s="626"/>
    </row>
    <row r="10490" spans="1:6">
      <c r="A10490" t="str">
        <f t="shared" si="163"/>
        <v/>
      </c>
      <c r="E10490" s="626"/>
      <c r="F10490" s="626"/>
    </row>
    <row r="10491" spans="1:6">
      <c r="A10491" t="str">
        <f t="shared" si="163"/>
        <v/>
      </c>
      <c r="E10491" s="626"/>
      <c r="F10491" s="626"/>
    </row>
    <row r="10492" spans="1:6">
      <c r="A10492" t="str">
        <f t="shared" si="163"/>
        <v/>
      </c>
      <c r="E10492" s="626"/>
      <c r="F10492" s="626"/>
    </row>
    <row r="10493" spans="1:6">
      <c r="A10493" t="str">
        <f t="shared" si="163"/>
        <v/>
      </c>
      <c r="E10493" s="626"/>
      <c r="F10493" s="626"/>
    </row>
    <row r="10494" spans="1:6">
      <c r="A10494" t="str">
        <f t="shared" si="163"/>
        <v/>
      </c>
      <c r="E10494" s="626"/>
      <c r="F10494" s="626"/>
    </row>
    <row r="10495" spans="1:6">
      <c r="A10495" t="str">
        <f t="shared" si="163"/>
        <v/>
      </c>
      <c r="E10495" s="626"/>
      <c r="F10495" s="626"/>
    </row>
    <row r="10496" spans="1:6">
      <c r="A10496" t="str">
        <f t="shared" si="163"/>
        <v/>
      </c>
      <c r="E10496" s="626"/>
      <c r="F10496" s="626"/>
    </row>
    <row r="10497" spans="1:6">
      <c r="A10497" t="str">
        <f t="shared" si="163"/>
        <v/>
      </c>
      <c r="E10497" s="626"/>
      <c r="F10497" s="626"/>
    </row>
    <row r="10498" spans="1:6">
      <c r="A10498" t="str">
        <f t="shared" ref="A10498:A10561" si="164">B10498&amp;E10498&amp;J10498</f>
        <v/>
      </c>
      <c r="E10498" s="626"/>
      <c r="F10498" s="626"/>
    </row>
    <row r="10499" spans="1:6">
      <c r="A10499" t="str">
        <f t="shared" si="164"/>
        <v/>
      </c>
      <c r="E10499" s="626"/>
      <c r="F10499" s="626"/>
    </row>
    <row r="10500" spans="1:6">
      <c r="A10500" t="str">
        <f t="shared" si="164"/>
        <v/>
      </c>
      <c r="E10500" s="626"/>
      <c r="F10500" s="626"/>
    </row>
    <row r="10501" spans="1:6">
      <c r="A10501" t="str">
        <f t="shared" si="164"/>
        <v/>
      </c>
      <c r="E10501" s="626"/>
      <c r="F10501" s="626"/>
    </row>
    <row r="10502" spans="1:6">
      <c r="A10502" t="str">
        <f t="shared" si="164"/>
        <v/>
      </c>
      <c r="E10502" s="626"/>
      <c r="F10502" s="626"/>
    </row>
    <row r="10503" spans="1:6">
      <c r="A10503" t="str">
        <f t="shared" si="164"/>
        <v/>
      </c>
      <c r="E10503" s="626"/>
      <c r="F10503" s="626"/>
    </row>
    <row r="10504" spans="1:6">
      <c r="A10504" t="str">
        <f t="shared" si="164"/>
        <v/>
      </c>
      <c r="E10504" s="626"/>
      <c r="F10504" s="626"/>
    </row>
    <row r="10505" spans="1:6">
      <c r="A10505" t="str">
        <f t="shared" si="164"/>
        <v/>
      </c>
      <c r="E10505" s="626"/>
      <c r="F10505" s="626"/>
    </row>
    <row r="10506" spans="1:6">
      <c r="A10506" t="str">
        <f t="shared" si="164"/>
        <v/>
      </c>
      <c r="E10506" s="626"/>
      <c r="F10506" s="626"/>
    </row>
    <row r="10507" spans="1:6">
      <c r="A10507" t="str">
        <f t="shared" si="164"/>
        <v/>
      </c>
      <c r="E10507" s="626"/>
      <c r="F10507" s="626"/>
    </row>
    <row r="10508" spans="1:6">
      <c r="A10508" t="str">
        <f t="shared" si="164"/>
        <v/>
      </c>
      <c r="E10508" s="626"/>
      <c r="F10508" s="626"/>
    </row>
    <row r="10509" spans="1:6">
      <c r="A10509" t="str">
        <f t="shared" si="164"/>
        <v/>
      </c>
      <c r="E10509" s="626"/>
      <c r="F10509" s="626"/>
    </row>
    <row r="10510" spans="1:6">
      <c r="A10510" t="str">
        <f t="shared" si="164"/>
        <v/>
      </c>
      <c r="E10510" s="626"/>
      <c r="F10510" s="626"/>
    </row>
    <row r="10511" spans="1:6">
      <c r="A10511" t="str">
        <f t="shared" si="164"/>
        <v/>
      </c>
      <c r="E10511" s="626"/>
      <c r="F10511" s="626"/>
    </row>
    <row r="10512" spans="1:6">
      <c r="A10512" t="str">
        <f t="shared" si="164"/>
        <v/>
      </c>
      <c r="E10512" s="626"/>
      <c r="F10512" s="626"/>
    </row>
    <row r="10513" spans="1:6">
      <c r="A10513" t="str">
        <f t="shared" si="164"/>
        <v/>
      </c>
      <c r="E10513" s="626"/>
      <c r="F10513" s="626"/>
    </row>
    <row r="10514" spans="1:6">
      <c r="A10514" t="str">
        <f t="shared" si="164"/>
        <v/>
      </c>
      <c r="E10514" s="626"/>
      <c r="F10514" s="626"/>
    </row>
    <row r="10515" spans="1:6">
      <c r="A10515" t="str">
        <f t="shared" si="164"/>
        <v/>
      </c>
      <c r="E10515" s="626"/>
      <c r="F10515" s="626"/>
    </row>
    <row r="10516" spans="1:6">
      <c r="A10516" t="str">
        <f t="shared" si="164"/>
        <v/>
      </c>
      <c r="E10516" s="626"/>
      <c r="F10516" s="626"/>
    </row>
    <row r="10517" spans="1:6">
      <c r="A10517" t="str">
        <f t="shared" si="164"/>
        <v/>
      </c>
      <c r="E10517" s="626"/>
      <c r="F10517" s="626"/>
    </row>
    <row r="10518" spans="1:6">
      <c r="A10518" t="str">
        <f t="shared" si="164"/>
        <v/>
      </c>
      <c r="E10518" s="626"/>
      <c r="F10518" s="626"/>
    </row>
    <row r="10519" spans="1:6">
      <c r="A10519" t="str">
        <f t="shared" si="164"/>
        <v/>
      </c>
      <c r="E10519" s="626"/>
      <c r="F10519" s="626"/>
    </row>
    <row r="10520" spans="1:6">
      <c r="A10520" t="str">
        <f t="shared" si="164"/>
        <v/>
      </c>
      <c r="E10520" s="626"/>
      <c r="F10520" s="626"/>
    </row>
    <row r="10521" spans="1:6">
      <c r="A10521" t="str">
        <f t="shared" si="164"/>
        <v/>
      </c>
      <c r="E10521" s="626"/>
      <c r="F10521" s="626"/>
    </row>
    <row r="10522" spans="1:6">
      <c r="A10522" t="str">
        <f t="shared" si="164"/>
        <v/>
      </c>
      <c r="E10522" s="626"/>
      <c r="F10522" s="626"/>
    </row>
    <row r="10523" spans="1:6">
      <c r="A10523" t="str">
        <f t="shared" si="164"/>
        <v/>
      </c>
      <c r="E10523" s="626"/>
      <c r="F10523" s="626"/>
    </row>
    <row r="10524" spans="1:6">
      <c r="A10524" t="str">
        <f t="shared" si="164"/>
        <v/>
      </c>
      <c r="E10524" s="626"/>
      <c r="F10524" s="626"/>
    </row>
    <row r="10525" spans="1:6">
      <c r="A10525" t="str">
        <f t="shared" si="164"/>
        <v/>
      </c>
      <c r="E10525" s="626"/>
      <c r="F10525" s="626"/>
    </row>
    <row r="10526" spans="1:6">
      <c r="A10526" t="str">
        <f t="shared" si="164"/>
        <v/>
      </c>
      <c r="E10526" s="626"/>
      <c r="F10526" s="626"/>
    </row>
    <row r="10527" spans="1:6">
      <c r="A10527" t="str">
        <f t="shared" si="164"/>
        <v/>
      </c>
      <c r="E10527" s="626"/>
      <c r="F10527" s="626"/>
    </row>
    <row r="10528" spans="1:6">
      <c r="A10528" t="str">
        <f t="shared" si="164"/>
        <v/>
      </c>
      <c r="E10528" s="626"/>
      <c r="F10528" s="626"/>
    </row>
    <row r="10529" spans="1:6">
      <c r="A10529" t="str">
        <f t="shared" si="164"/>
        <v/>
      </c>
      <c r="E10529" s="626"/>
      <c r="F10529" s="626"/>
    </row>
    <row r="10530" spans="1:6">
      <c r="A10530" t="str">
        <f t="shared" si="164"/>
        <v/>
      </c>
      <c r="E10530" s="626"/>
      <c r="F10530" s="626"/>
    </row>
    <row r="10531" spans="1:6">
      <c r="A10531" t="str">
        <f t="shared" si="164"/>
        <v/>
      </c>
      <c r="E10531" s="626"/>
      <c r="F10531" s="626"/>
    </row>
    <row r="10532" spans="1:6">
      <c r="A10532" t="str">
        <f t="shared" si="164"/>
        <v/>
      </c>
      <c r="E10532" s="626"/>
      <c r="F10532" s="626"/>
    </row>
    <row r="10533" spans="1:6">
      <c r="A10533" t="str">
        <f t="shared" si="164"/>
        <v/>
      </c>
      <c r="E10533" s="626"/>
      <c r="F10533" s="626"/>
    </row>
    <row r="10534" spans="1:6">
      <c r="A10534" t="str">
        <f t="shared" si="164"/>
        <v/>
      </c>
      <c r="E10534" s="626"/>
      <c r="F10534" s="626"/>
    </row>
    <row r="10535" spans="1:6">
      <c r="A10535" t="str">
        <f t="shared" si="164"/>
        <v/>
      </c>
      <c r="E10535" s="626"/>
      <c r="F10535" s="626"/>
    </row>
    <row r="10536" spans="1:6">
      <c r="A10536" t="str">
        <f t="shared" si="164"/>
        <v/>
      </c>
      <c r="E10536" s="626"/>
      <c r="F10536" s="626"/>
    </row>
    <row r="10537" spans="1:6">
      <c r="A10537" t="str">
        <f t="shared" si="164"/>
        <v/>
      </c>
      <c r="E10537" s="626"/>
      <c r="F10537" s="626"/>
    </row>
    <row r="10538" spans="1:6">
      <c r="A10538" t="str">
        <f t="shared" si="164"/>
        <v/>
      </c>
      <c r="E10538" s="626"/>
      <c r="F10538" s="626"/>
    </row>
    <row r="10539" spans="1:6">
      <c r="A10539" t="str">
        <f t="shared" si="164"/>
        <v/>
      </c>
      <c r="E10539" s="626"/>
      <c r="F10539" s="626"/>
    </row>
    <row r="10540" spans="1:6">
      <c r="A10540" t="str">
        <f t="shared" si="164"/>
        <v/>
      </c>
      <c r="E10540" s="626"/>
      <c r="F10540" s="626"/>
    </row>
    <row r="10541" spans="1:6">
      <c r="A10541" t="str">
        <f t="shared" si="164"/>
        <v/>
      </c>
      <c r="E10541" s="626"/>
      <c r="F10541" s="626"/>
    </row>
    <row r="10542" spans="1:6">
      <c r="A10542" t="str">
        <f t="shared" si="164"/>
        <v/>
      </c>
      <c r="E10542" s="626"/>
      <c r="F10542" s="626"/>
    </row>
    <row r="10543" spans="1:6">
      <c r="A10543" t="str">
        <f t="shared" si="164"/>
        <v/>
      </c>
      <c r="E10543" s="626"/>
      <c r="F10543" s="626"/>
    </row>
    <row r="10544" spans="1:6">
      <c r="A10544" t="str">
        <f t="shared" si="164"/>
        <v/>
      </c>
      <c r="E10544" s="626"/>
      <c r="F10544" s="626"/>
    </row>
    <row r="10545" spans="1:6">
      <c r="A10545" t="str">
        <f t="shared" si="164"/>
        <v/>
      </c>
      <c r="E10545" s="626"/>
      <c r="F10545" s="626"/>
    </row>
    <row r="10546" spans="1:6">
      <c r="A10546" t="str">
        <f t="shared" si="164"/>
        <v/>
      </c>
      <c r="E10546" s="626"/>
      <c r="F10546" s="626"/>
    </row>
    <row r="10547" spans="1:6">
      <c r="A10547" t="str">
        <f t="shared" si="164"/>
        <v/>
      </c>
      <c r="E10547" s="626"/>
      <c r="F10547" s="626"/>
    </row>
    <row r="10548" spans="1:6">
      <c r="A10548" t="str">
        <f t="shared" si="164"/>
        <v/>
      </c>
      <c r="E10548" s="626"/>
      <c r="F10548" s="626"/>
    </row>
    <row r="10549" spans="1:6">
      <c r="A10549" t="str">
        <f t="shared" si="164"/>
        <v/>
      </c>
      <c r="E10549" s="626"/>
      <c r="F10549" s="626"/>
    </row>
    <row r="10550" spans="1:6">
      <c r="A10550" t="str">
        <f t="shared" si="164"/>
        <v/>
      </c>
      <c r="E10550" s="626"/>
      <c r="F10550" s="626"/>
    </row>
    <row r="10551" spans="1:6">
      <c r="A10551" t="str">
        <f t="shared" si="164"/>
        <v/>
      </c>
      <c r="E10551" s="626"/>
      <c r="F10551" s="626"/>
    </row>
    <row r="10552" spans="1:6">
      <c r="A10552" t="str">
        <f t="shared" si="164"/>
        <v/>
      </c>
      <c r="E10552" s="626"/>
      <c r="F10552" s="626"/>
    </row>
    <row r="10553" spans="1:6">
      <c r="A10553" t="str">
        <f t="shared" si="164"/>
        <v/>
      </c>
      <c r="E10553" s="626"/>
      <c r="F10553" s="626"/>
    </row>
    <row r="10554" spans="1:6">
      <c r="A10554" t="str">
        <f t="shared" si="164"/>
        <v/>
      </c>
      <c r="E10554" s="626"/>
      <c r="F10554" s="626"/>
    </row>
    <row r="10555" spans="1:6">
      <c r="A10555" t="str">
        <f t="shared" si="164"/>
        <v/>
      </c>
      <c r="E10555" s="626"/>
      <c r="F10555" s="626"/>
    </row>
    <row r="10556" spans="1:6">
      <c r="A10556" t="str">
        <f t="shared" si="164"/>
        <v/>
      </c>
      <c r="E10556" s="626"/>
      <c r="F10556" s="626"/>
    </row>
    <row r="10557" spans="1:6">
      <c r="A10557" t="str">
        <f t="shared" si="164"/>
        <v/>
      </c>
      <c r="E10557" s="626"/>
      <c r="F10557" s="626"/>
    </row>
    <row r="10558" spans="1:6">
      <c r="A10558" t="str">
        <f t="shared" si="164"/>
        <v/>
      </c>
      <c r="E10558" s="626"/>
      <c r="F10558" s="626"/>
    </row>
    <row r="10559" spans="1:6">
      <c r="A10559" t="str">
        <f t="shared" si="164"/>
        <v/>
      </c>
      <c r="E10559" s="626"/>
      <c r="F10559" s="626"/>
    </row>
    <row r="10560" spans="1:6">
      <c r="A10560" t="str">
        <f t="shared" si="164"/>
        <v/>
      </c>
      <c r="E10560" s="626"/>
      <c r="F10560" s="626"/>
    </row>
    <row r="10561" spans="1:6">
      <c r="A10561" t="str">
        <f t="shared" si="164"/>
        <v/>
      </c>
      <c r="E10561" s="626"/>
      <c r="F10561" s="626"/>
    </row>
    <row r="10562" spans="1:6">
      <c r="A10562" t="str">
        <f t="shared" ref="A10562:A10625" si="165">B10562&amp;E10562&amp;J10562</f>
        <v/>
      </c>
      <c r="E10562" s="626"/>
      <c r="F10562" s="626"/>
    </row>
    <row r="10563" spans="1:6">
      <c r="A10563" t="str">
        <f t="shared" si="165"/>
        <v/>
      </c>
      <c r="E10563" s="626"/>
      <c r="F10563" s="626"/>
    </row>
    <row r="10564" spans="1:6">
      <c r="A10564" t="str">
        <f t="shared" si="165"/>
        <v/>
      </c>
      <c r="E10564" s="626"/>
      <c r="F10564" s="626"/>
    </row>
    <row r="10565" spans="1:6">
      <c r="A10565" t="str">
        <f t="shared" si="165"/>
        <v/>
      </c>
      <c r="E10565" s="626"/>
      <c r="F10565" s="626"/>
    </row>
    <row r="10566" spans="1:6">
      <c r="A10566" t="str">
        <f t="shared" si="165"/>
        <v/>
      </c>
      <c r="E10566" s="626"/>
      <c r="F10566" s="626"/>
    </row>
    <row r="10567" spans="1:6">
      <c r="A10567" t="str">
        <f t="shared" si="165"/>
        <v/>
      </c>
      <c r="E10567" s="626"/>
      <c r="F10567" s="626"/>
    </row>
    <row r="10568" spans="1:6">
      <c r="A10568" t="str">
        <f t="shared" si="165"/>
        <v/>
      </c>
      <c r="E10568" s="626"/>
      <c r="F10568" s="626"/>
    </row>
    <row r="10569" spans="1:6">
      <c r="A10569" t="str">
        <f t="shared" si="165"/>
        <v/>
      </c>
      <c r="E10569" s="626"/>
      <c r="F10569" s="626"/>
    </row>
    <row r="10570" spans="1:6">
      <c r="A10570" t="str">
        <f t="shared" si="165"/>
        <v/>
      </c>
      <c r="E10570" s="626"/>
      <c r="F10570" s="626"/>
    </row>
    <row r="10571" spans="1:6">
      <c r="A10571" t="str">
        <f t="shared" si="165"/>
        <v/>
      </c>
      <c r="E10571" s="626"/>
      <c r="F10571" s="626"/>
    </row>
    <row r="10572" spans="1:6">
      <c r="A10572" t="str">
        <f t="shared" si="165"/>
        <v/>
      </c>
      <c r="E10572" s="626"/>
      <c r="F10572" s="626"/>
    </row>
    <row r="10573" spans="1:6">
      <c r="A10573" t="str">
        <f t="shared" si="165"/>
        <v/>
      </c>
      <c r="E10573" s="626"/>
      <c r="F10573" s="626"/>
    </row>
    <row r="10574" spans="1:6">
      <c r="A10574" t="str">
        <f t="shared" si="165"/>
        <v/>
      </c>
      <c r="E10574" s="626"/>
      <c r="F10574" s="626"/>
    </row>
    <row r="10575" spans="1:6">
      <c r="A10575" t="str">
        <f t="shared" si="165"/>
        <v/>
      </c>
      <c r="E10575" s="626"/>
      <c r="F10575" s="626"/>
    </row>
    <row r="10576" spans="1:6">
      <c r="A10576" t="str">
        <f t="shared" si="165"/>
        <v/>
      </c>
      <c r="E10576" s="626"/>
      <c r="F10576" s="626"/>
    </row>
    <row r="10577" spans="1:6">
      <c r="A10577" t="str">
        <f t="shared" si="165"/>
        <v/>
      </c>
      <c r="E10577" s="626"/>
      <c r="F10577" s="626"/>
    </row>
    <row r="10578" spans="1:6">
      <c r="A10578" t="str">
        <f t="shared" si="165"/>
        <v/>
      </c>
      <c r="E10578" s="626"/>
      <c r="F10578" s="626"/>
    </row>
    <row r="10579" spans="1:6">
      <c r="A10579" t="str">
        <f t="shared" si="165"/>
        <v/>
      </c>
      <c r="E10579" s="626"/>
      <c r="F10579" s="626"/>
    </row>
    <row r="10580" spans="1:6">
      <c r="A10580" t="str">
        <f t="shared" si="165"/>
        <v/>
      </c>
      <c r="E10580" s="626"/>
      <c r="F10580" s="626"/>
    </row>
    <row r="10581" spans="1:6">
      <c r="A10581" t="str">
        <f t="shared" si="165"/>
        <v/>
      </c>
      <c r="E10581" s="626"/>
      <c r="F10581" s="626"/>
    </row>
    <row r="10582" spans="1:6">
      <c r="A10582" t="str">
        <f t="shared" si="165"/>
        <v/>
      </c>
      <c r="E10582" s="626"/>
      <c r="F10582" s="626"/>
    </row>
    <row r="10583" spans="1:6">
      <c r="A10583" t="str">
        <f t="shared" si="165"/>
        <v/>
      </c>
      <c r="E10583" s="626"/>
      <c r="F10583" s="626"/>
    </row>
    <row r="10584" spans="1:6">
      <c r="A10584" t="str">
        <f t="shared" si="165"/>
        <v/>
      </c>
      <c r="E10584" s="626"/>
      <c r="F10584" s="626"/>
    </row>
    <row r="10585" spans="1:6">
      <c r="A10585" t="str">
        <f t="shared" si="165"/>
        <v/>
      </c>
      <c r="E10585" s="626"/>
      <c r="F10585" s="626"/>
    </row>
    <row r="10586" spans="1:6">
      <c r="A10586" t="str">
        <f t="shared" si="165"/>
        <v/>
      </c>
      <c r="E10586" s="626"/>
      <c r="F10586" s="626"/>
    </row>
    <row r="10587" spans="1:6">
      <c r="A10587" t="str">
        <f t="shared" si="165"/>
        <v/>
      </c>
      <c r="E10587" s="626"/>
      <c r="F10587" s="626"/>
    </row>
    <row r="10588" spans="1:6">
      <c r="A10588" t="str">
        <f t="shared" si="165"/>
        <v/>
      </c>
      <c r="E10588" s="626"/>
      <c r="F10588" s="626"/>
    </row>
    <row r="10589" spans="1:6">
      <c r="A10589" t="str">
        <f t="shared" si="165"/>
        <v/>
      </c>
      <c r="E10589" s="626"/>
      <c r="F10589" s="626"/>
    </row>
    <row r="10590" spans="1:6">
      <c r="A10590" t="str">
        <f t="shared" si="165"/>
        <v/>
      </c>
      <c r="E10590" s="626"/>
      <c r="F10590" s="626"/>
    </row>
    <row r="10591" spans="1:6">
      <c r="A10591" t="str">
        <f t="shared" si="165"/>
        <v/>
      </c>
      <c r="E10591" s="626"/>
      <c r="F10591" s="626"/>
    </row>
    <row r="10592" spans="1:6">
      <c r="A10592" t="str">
        <f t="shared" si="165"/>
        <v/>
      </c>
      <c r="E10592" s="626"/>
      <c r="F10592" s="626"/>
    </row>
    <row r="10593" spans="1:6">
      <c r="A10593" t="str">
        <f t="shared" si="165"/>
        <v/>
      </c>
      <c r="E10593" s="626"/>
      <c r="F10593" s="626"/>
    </row>
    <row r="10594" spans="1:6">
      <c r="A10594" t="str">
        <f t="shared" si="165"/>
        <v/>
      </c>
      <c r="E10594" s="626"/>
      <c r="F10594" s="626"/>
    </row>
    <row r="10595" spans="1:6">
      <c r="A10595" t="str">
        <f t="shared" si="165"/>
        <v/>
      </c>
      <c r="E10595" s="626"/>
      <c r="F10595" s="626"/>
    </row>
    <row r="10596" spans="1:6">
      <c r="A10596" t="str">
        <f t="shared" si="165"/>
        <v/>
      </c>
      <c r="E10596" s="626"/>
      <c r="F10596" s="626"/>
    </row>
    <row r="10597" spans="1:6">
      <c r="A10597" t="str">
        <f t="shared" si="165"/>
        <v/>
      </c>
      <c r="E10597" s="626"/>
      <c r="F10597" s="626"/>
    </row>
    <row r="10598" spans="1:6">
      <c r="A10598" t="str">
        <f t="shared" si="165"/>
        <v/>
      </c>
      <c r="E10598" s="626"/>
      <c r="F10598" s="626"/>
    </row>
    <row r="10599" spans="1:6">
      <c r="A10599" t="str">
        <f t="shared" si="165"/>
        <v/>
      </c>
      <c r="E10599" s="626"/>
      <c r="F10599" s="626"/>
    </row>
    <row r="10600" spans="1:6">
      <c r="A10600" t="str">
        <f t="shared" si="165"/>
        <v/>
      </c>
      <c r="E10600" s="626"/>
      <c r="F10600" s="626"/>
    </row>
    <row r="10601" spans="1:6">
      <c r="A10601" t="str">
        <f t="shared" si="165"/>
        <v/>
      </c>
      <c r="E10601" s="626"/>
      <c r="F10601" s="626"/>
    </row>
    <row r="10602" spans="1:6">
      <c r="A10602" t="str">
        <f t="shared" si="165"/>
        <v/>
      </c>
      <c r="E10602" s="626"/>
      <c r="F10602" s="626"/>
    </row>
    <row r="10603" spans="1:6">
      <c r="A10603" t="str">
        <f t="shared" si="165"/>
        <v/>
      </c>
      <c r="E10603" s="626"/>
      <c r="F10603" s="626"/>
    </row>
    <row r="10604" spans="1:6">
      <c r="A10604" t="str">
        <f t="shared" si="165"/>
        <v/>
      </c>
      <c r="E10604" s="626"/>
      <c r="F10604" s="626"/>
    </row>
    <row r="10605" spans="1:6">
      <c r="A10605" t="str">
        <f t="shared" si="165"/>
        <v/>
      </c>
      <c r="E10605" s="626"/>
      <c r="F10605" s="626"/>
    </row>
    <row r="10606" spans="1:6">
      <c r="A10606" t="str">
        <f t="shared" si="165"/>
        <v/>
      </c>
      <c r="E10606" s="626"/>
      <c r="F10606" s="626"/>
    </row>
    <row r="10607" spans="1:6">
      <c r="A10607" t="str">
        <f t="shared" si="165"/>
        <v/>
      </c>
      <c r="E10607" s="626"/>
      <c r="F10607" s="626"/>
    </row>
    <row r="10608" spans="1:6">
      <c r="A10608" t="str">
        <f t="shared" si="165"/>
        <v/>
      </c>
      <c r="E10608" s="626"/>
      <c r="F10608" s="626"/>
    </row>
    <row r="10609" spans="1:6">
      <c r="A10609" t="str">
        <f t="shared" si="165"/>
        <v/>
      </c>
      <c r="E10609" s="626"/>
      <c r="F10609" s="626"/>
    </row>
    <row r="10610" spans="1:6">
      <c r="A10610" t="str">
        <f t="shared" si="165"/>
        <v/>
      </c>
      <c r="E10610" s="626"/>
      <c r="F10610" s="626"/>
    </row>
    <row r="10611" spans="1:6">
      <c r="A10611" t="str">
        <f t="shared" si="165"/>
        <v/>
      </c>
      <c r="E10611" s="626"/>
      <c r="F10611" s="626"/>
    </row>
    <row r="10612" spans="1:6">
      <c r="A10612" t="str">
        <f t="shared" si="165"/>
        <v/>
      </c>
      <c r="E10612" s="626"/>
      <c r="F10612" s="626"/>
    </row>
    <row r="10613" spans="1:6">
      <c r="A10613" t="str">
        <f t="shared" si="165"/>
        <v/>
      </c>
      <c r="E10613" s="626"/>
      <c r="F10613" s="626"/>
    </row>
    <row r="10614" spans="1:6">
      <c r="A10614" t="str">
        <f t="shared" si="165"/>
        <v/>
      </c>
      <c r="E10614" s="626"/>
      <c r="F10614" s="626"/>
    </row>
    <row r="10615" spans="1:6">
      <c r="A10615" t="str">
        <f t="shared" si="165"/>
        <v/>
      </c>
      <c r="E10615" s="626"/>
      <c r="F10615" s="626"/>
    </row>
    <row r="10616" spans="1:6">
      <c r="A10616" t="str">
        <f t="shared" si="165"/>
        <v/>
      </c>
      <c r="E10616" s="626"/>
      <c r="F10616" s="626"/>
    </row>
    <row r="10617" spans="1:6">
      <c r="A10617" t="str">
        <f t="shared" si="165"/>
        <v/>
      </c>
      <c r="E10617" s="626"/>
      <c r="F10617" s="626"/>
    </row>
    <row r="10618" spans="1:6">
      <c r="A10618" t="str">
        <f t="shared" si="165"/>
        <v/>
      </c>
      <c r="E10618" s="626"/>
      <c r="F10618" s="626"/>
    </row>
    <row r="10619" spans="1:6">
      <c r="A10619" t="str">
        <f t="shared" si="165"/>
        <v/>
      </c>
      <c r="E10619" s="626"/>
      <c r="F10619" s="626"/>
    </row>
    <row r="10620" spans="1:6">
      <c r="A10620" t="str">
        <f t="shared" si="165"/>
        <v/>
      </c>
      <c r="E10620" s="626"/>
      <c r="F10620" s="626"/>
    </row>
    <row r="10621" spans="1:6">
      <c r="A10621" t="str">
        <f t="shared" si="165"/>
        <v/>
      </c>
      <c r="E10621" s="626"/>
      <c r="F10621" s="626"/>
    </row>
    <row r="10622" spans="1:6">
      <c r="A10622" t="str">
        <f t="shared" si="165"/>
        <v/>
      </c>
      <c r="E10622" s="626"/>
      <c r="F10622" s="626"/>
    </row>
    <row r="10623" spans="1:6">
      <c r="A10623" t="str">
        <f t="shared" si="165"/>
        <v/>
      </c>
      <c r="E10623" s="626"/>
      <c r="F10623" s="626"/>
    </row>
    <row r="10624" spans="1:6">
      <c r="A10624" t="str">
        <f t="shared" si="165"/>
        <v/>
      </c>
      <c r="E10624" s="626"/>
      <c r="F10624" s="626"/>
    </row>
    <row r="10625" spans="1:6">
      <c r="A10625" t="str">
        <f t="shared" si="165"/>
        <v/>
      </c>
      <c r="E10625" s="626"/>
      <c r="F10625" s="626"/>
    </row>
    <row r="10626" spans="1:6">
      <c r="A10626" t="str">
        <f t="shared" ref="A10626:A10689" si="166">B10626&amp;E10626&amp;J10626</f>
        <v/>
      </c>
      <c r="E10626" s="626"/>
      <c r="F10626" s="626"/>
    </row>
    <row r="10627" spans="1:6">
      <c r="A10627" t="str">
        <f t="shared" si="166"/>
        <v/>
      </c>
      <c r="E10627" s="626"/>
      <c r="F10627" s="626"/>
    </row>
    <row r="10628" spans="1:6">
      <c r="A10628" t="str">
        <f t="shared" si="166"/>
        <v/>
      </c>
      <c r="E10628" s="626"/>
      <c r="F10628" s="626"/>
    </row>
    <row r="10629" spans="1:6">
      <c r="A10629" t="str">
        <f t="shared" si="166"/>
        <v/>
      </c>
      <c r="E10629" s="626"/>
      <c r="F10629" s="626"/>
    </row>
    <row r="10630" spans="1:6">
      <c r="A10630" t="str">
        <f t="shared" si="166"/>
        <v/>
      </c>
      <c r="E10630" s="626"/>
      <c r="F10630" s="626"/>
    </row>
    <row r="10631" spans="1:6">
      <c r="A10631" t="str">
        <f t="shared" si="166"/>
        <v/>
      </c>
      <c r="E10631" s="626"/>
      <c r="F10631" s="626"/>
    </row>
    <row r="10632" spans="1:6">
      <c r="A10632" t="str">
        <f t="shared" si="166"/>
        <v/>
      </c>
      <c r="E10632" s="626"/>
      <c r="F10632" s="626"/>
    </row>
    <row r="10633" spans="1:6">
      <c r="A10633" t="str">
        <f t="shared" si="166"/>
        <v/>
      </c>
      <c r="E10633" s="626"/>
      <c r="F10633" s="626"/>
    </row>
    <row r="10634" spans="1:6">
      <c r="A10634" t="str">
        <f t="shared" si="166"/>
        <v/>
      </c>
      <c r="E10634" s="626"/>
      <c r="F10634" s="626"/>
    </row>
    <row r="10635" spans="1:6">
      <c r="A10635" t="str">
        <f t="shared" si="166"/>
        <v/>
      </c>
      <c r="E10635" s="626"/>
      <c r="F10635" s="626"/>
    </row>
    <row r="10636" spans="1:6">
      <c r="A10636" t="str">
        <f t="shared" si="166"/>
        <v/>
      </c>
      <c r="E10636" s="626"/>
      <c r="F10636" s="626"/>
    </row>
    <row r="10637" spans="1:6">
      <c r="A10637" t="str">
        <f t="shared" si="166"/>
        <v/>
      </c>
      <c r="E10637" s="626"/>
      <c r="F10637" s="626"/>
    </row>
    <row r="10638" spans="1:6">
      <c r="A10638" t="str">
        <f t="shared" si="166"/>
        <v/>
      </c>
      <c r="E10638" s="626"/>
      <c r="F10638" s="626"/>
    </row>
    <row r="10639" spans="1:6">
      <c r="A10639" t="str">
        <f t="shared" si="166"/>
        <v/>
      </c>
      <c r="E10639" s="626"/>
      <c r="F10639" s="626"/>
    </row>
    <row r="10640" spans="1:6">
      <c r="A10640" t="str">
        <f t="shared" si="166"/>
        <v/>
      </c>
      <c r="E10640" s="626"/>
      <c r="F10640" s="626"/>
    </row>
    <row r="10641" spans="1:6">
      <c r="A10641" t="str">
        <f t="shared" si="166"/>
        <v/>
      </c>
      <c r="E10641" s="626"/>
      <c r="F10641" s="626"/>
    </row>
    <row r="10642" spans="1:6">
      <c r="A10642" t="str">
        <f t="shared" si="166"/>
        <v/>
      </c>
      <c r="E10642" s="626"/>
      <c r="F10642" s="626"/>
    </row>
    <row r="10643" spans="1:6">
      <c r="A10643" t="str">
        <f t="shared" si="166"/>
        <v/>
      </c>
      <c r="E10643" s="626"/>
      <c r="F10643" s="626"/>
    </row>
    <row r="10644" spans="1:6">
      <c r="A10644" t="str">
        <f t="shared" si="166"/>
        <v/>
      </c>
      <c r="E10644" s="626"/>
      <c r="F10644" s="626"/>
    </row>
    <row r="10645" spans="1:6">
      <c r="A10645" t="str">
        <f t="shared" si="166"/>
        <v/>
      </c>
      <c r="E10645" s="626"/>
      <c r="F10645" s="626"/>
    </row>
    <row r="10646" spans="1:6">
      <c r="A10646" t="str">
        <f t="shared" si="166"/>
        <v/>
      </c>
      <c r="E10646" s="626"/>
      <c r="F10646" s="626"/>
    </row>
    <row r="10647" spans="1:6">
      <c r="A10647" t="str">
        <f t="shared" si="166"/>
        <v/>
      </c>
      <c r="E10647" s="626"/>
      <c r="F10647" s="626"/>
    </row>
    <row r="10648" spans="1:6">
      <c r="A10648" t="str">
        <f t="shared" si="166"/>
        <v/>
      </c>
      <c r="E10648" s="626"/>
      <c r="F10648" s="626"/>
    </row>
    <row r="10649" spans="1:6">
      <c r="A10649" t="str">
        <f t="shared" si="166"/>
        <v/>
      </c>
      <c r="E10649" s="626"/>
      <c r="F10649" s="626"/>
    </row>
    <row r="10650" spans="1:6">
      <c r="A10650" t="str">
        <f t="shared" si="166"/>
        <v/>
      </c>
      <c r="E10650" s="626"/>
      <c r="F10650" s="626"/>
    </row>
    <row r="10651" spans="1:6">
      <c r="A10651" t="str">
        <f t="shared" si="166"/>
        <v/>
      </c>
      <c r="E10651" s="626"/>
      <c r="F10651" s="626"/>
    </row>
    <row r="10652" spans="1:6">
      <c r="A10652" t="str">
        <f t="shared" si="166"/>
        <v/>
      </c>
      <c r="E10652" s="626"/>
      <c r="F10652" s="626"/>
    </row>
    <row r="10653" spans="1:6">
      <c r="A10653" t="str">
        <f t="shared" si="166"/>
        <v/>
      </c>
      <c r="E10653" s="626"/>
      <c r="F10653" s="626"/>
    </row>
    <row r="10654" spans="1:6">
      <c r="A10654" t="str">
        <f t="shared" si="166"/>
        <v/>
      </c>
      <c r="E10654" s="626"/>
      <c r="F10654" s="626"/>
    </row>
    <row r="10655" spans="1:6">
      <c r="A10655" t="str">
        <f t="shared" si="166"/>
        <v/>
      </c>
      <c r="E10655" s="626"/>
      <c r="F10655" s="626"/>
    </row>
    <row r="10656" spans="1:6">
      <c r="A10656" t="str">
        <f t="shared" si="166"/>
        <v/>
      </c>
      <c r="E10656" s="626"/>
      <c r="F10656" s="626"/>
    </row>
    <row r="10657" spans="1:6">
      <c r="A10657" t="str">
        <f t="shared" si="166"/>
        <v/>
      </c>
      <c r="E10657" s="626"/>
      <c r="F10657" s="626"/>
    </row>
    <row r="10658" spans="1:6">
      <c r="A10658" t="str">
        <f t="shared" si="166"/>
        <v/>
      </c>
      <c r="E10658" s="626"/>
      <c r="F10658" s="626"/>
    </row>
    <row r="10659" spans="1:6">
      <c r="A10659" t="str">
        <f t="shared" si="166"/>
        <v/>
      </c>
      <c r="E10659" s="626"/>
      <c r="F10659" s="626"/>
    </row>
    <row r="10660" spans="1:6">
      <c r="A10660" t="str">
        <f t="shared" si="166"/>
        <v/>
      </c>
      <c r="E10660" s="626"/>
      <c r="F10660" s="626"/>
    </row>
    <row r="10661" spans="1:6">
      <c r="A10661" t="str">
        <f t="shared" si="166"/>
        <v/>
      </c>
      <c r="E10661" s="626"/>
      <c r="F10661" s="626"/>
    </row>
    <row r="10662" spans="1:6">
      <c r="A10662" t="str">
        <f t="shared" si="166"/>
        <v/>
      </c>
      <c r="E10662" s="626"/>
      <c r="F10662" s="626"/>
    </row>
    <row r="10663" spans="1:6">
      <c r="A10663" t="str">
        <f t="shared" si="166"/>
        <v/>
      </c>
      <c r="E10663" s="626"/>
      <c r="F10663" s="626"/>
    </row>
    <row r="10664" spans="1:6">
      <c r="A10664" t="str">
        <f t="shared" si="166"/>
        <v/>
      </c>
      <c r="E10664" s="626"/>
      <c r="F10664" s="626"/>
    </row>
    <row r="10665" spans="1:6">
      <c r="A10665" t="str">
        <f t="shared" si="166"/>
        <v/>
      </c>
      <c r="E10665" s="626"/>
      <c r="F10665" s="626"/>
    </row>
    <row r="10666" spans="1:6">
      <c r="A10666" t="str">
        <f t="shared" si="166"/>
        <v/>
      </c>
      <c r="E10666" s="626"/>
      <c r="F10666" s="626"/>
    </row>
    <row r="10667" spans="1:6">
      <c r="A10667" t="str">
        <f t="shared" si="166"/>
        <v/>
      </c>
      <c r="E10667" s="626"/>
      <c r="F10667" s="626"/>
    </row>
    <row r="10668" spans="1:6">
      <c r="A10668" t="str">
        <f t="shared" si="166"/>
        <v/>
      </c>
      <c r="E10668" s="626"/>
      <c r="F10668" s="626"/>
    </row>
    <row r="10669" spans="1:6">
      <c r="A10669" t="str">
        <f t="shared" si="166"/>
        <v/>
      </c>
      <c r="E10669" s="626"/>
      <c r="F10669" s="626"/>
    </row>
    <row r="10670" spans="1:6">
      <c r="A10670" t="str">
        <f t="shared" si="166"/>
        <v/>
      </c>
      <c r="E10670" s="626"/>
      <c r="F10670" s="626"/>
    </row>
    <row r="10671" spans="1:6">
      <c r="A10671" t="str">
        <f t="shared" si="166"/>
        <v/>
      </c>
      <c r="E10671" s="626"/>
      <c r="F10671" s="626"/>
    </row>
    <row r="10672" spans="1:6">
      <c r="A10672" t="str">
        <f t="shared" si="166"/>
        <v/>
      </c>
      <c r="E10672" s="626"/>
      <c r="F10672" s="626"/>
    </row>
    <row r="10673" spans="1:6">
      <c r="A10673" t="str">
        <f t="shared" si="166"/>
        <v/>
      </c>
      <c r="E10673" s="626"/>
      <c r="F10673" s="626"/>
    </row>
    <row r="10674" spans="1:6">
      <c r="A10674" t="str">
        <f t="shared" si="166"/>
        <v/>
      </c>
      <c r="E10674" s="626"/>
      <c r="F10674" s="626"/>
    </row>
    <row r="10675" spans="1:6">
      <c r="A10675" t="str">
        <f t="shared" si="166"/>
        <v/>
      </c>
      <c r="E10675" s="626"/>
      <c r="F10675" s="626"/>
    </row>
    <row r="10676" spans="1:6">
      <c r="A10676" t="str">
        <f t="shared" si="166"/>
        <v/>
      </c>
      <c r="E10676" s="626"/>
      <c r="F10676" s="626"/>
    </row>
    <row r="10677" spans="1:6">
      <c r="A10677" t="str">
        <f t="shared" si="166"/>
        <v/>
      </c>
      <c r="E10677" s="626"/>
      <c r="F10677" s="626"/>
    </row>
    <row r="10678" spans="1:6">
      <c r="A10678" t="str">
        <f t="shared" si="166"/>
        <v/>
      </c>
      <c r="E10678" s="626"/>
      <c r="F10678" s="626"/>
    </row>
    <row r="10679" spans="1:6">
      <c r="A10679" t="str">
        <f t="shared" si="166"/>
        <v/>
      </c>
      <c r="E10679" s="626"/>
      <c r="F10679" s="626"/>
    </row>
    <row r="10680" spans="1:6">
      <c r="A10680" t="str">
        <f t="shared" si="166"/>
        <v/>
      </c>
      <c r="E10680" s="626"/>
      <c r="F10680" s="626"/>
    </row>
    <row r="10681" spans="1:6">
      <c r="A10681" t="str">
        <f t="shared" si="166"/>
        <v/>
      </c>
      <c r="E10681" s="626"/>
      <c r="F10681" s="626"/>
    </row>
    <row r="10682" spans="1:6">
      <c r="A10682" t="str">
        <f t="shared" si="166"/>
        <v/>
      </c>
      <c r="E10682" s="626"/>
      <c r="F10682" s="626"/>
    </row>
    <row r="10683" spans="1:6">
      <c r="A10683" t="str">
        <f t="shared" si="166"/>
        <v/>
      </c>
      <c r="E10683" s="626"/>
      <c r="F10683" s="626"/>
    </row>
    <row r="10684" spans="1:6">
      <c r="A10684" t="str">
        <f t="shared" si="166"/>
        <v/>
      </c>
      <c r="E10684" s="626"/>
      <c r="F10684" s="626"/>
    </row>
    <row r="10685" spans="1:6">
      <c r="A10685" t="str">
        <f t="shared" si="166"/>
        <v/>
      </c>
      <c r="E10685" s="626"/>
      <c r="F10685" s="626"/>
    </row>
    <row r="10686" spans="1:6">
      <c r="A10686" t="str">
        <f t="shared" si="166"/>
        <v/>
      </c>
      <c r="E10686" s="626"/>
      <c r="F10686" s="626"/>
    </row>
    <row r="10687" spans="1:6">
      <c r="A10687" t="str">
        <f t="shared" si="166"/>
        <v/>
      </c>
      <c r="E10687" s="626"/>
      <c r="F10687" s="626"/>
    </row>
    <row r="10688" spans="1:6">
      <c r="A10688" t="str">
        <f t="shared" si="166"/>
        <v/>
      </c>
      <c r="E10688" s="626"/>
      <c r="F10688" s="626"/>
    </row>
    <row r="10689" spans="1:6">
      <c r="A10689" t="str">
        <f t="shared" si="166"/>
        <v/>
      </c>
      <c r="E10689" s="626"/>
      <c r="F10689" s="626"/>
    </row>
    <row r="10690" spans="1:6">
      <c r="A10690" t="str">
        <f t="shared" ref="A10690:A10753" si="167">B10690&amp;E10690&amp;J10690</f>
        <v/>
      </c>
      <c r="E10690" s="626"/>
      <c r="F10690" s="626"/>
    </row>
    <row r="10691" spans="1:6">
      <c r="A10691" t="str">
        <f t="shared" si="167"/>
        <v/>
      </c>
      <c r="E10691" s="626"/>
      <c r="F10691" s="626"/>
    </row>
    <row r="10692" spans="1:6">
      <c r="A10692" t="str">
        <f t="shared" si="167"/>
        <v/>
      </c>
      <c r="E10692" s="626"/>
      <c r="F10692" s="626"/>
    </row>
    <row r="10693" spans="1:6">
      <c r="A10693" t="str">
        <f t="shared" si="167"/>
        <v/>
      </c>
      <c r="E10693" s="626"/>
      <c r="F10693" s="626"/>
    </row>
    <row r="10694" spans="1:6">
      <c r="A10694" t="str">
        <f t="shared" si="167"/>
        <v/>
      </c>
      <c r="E10694" s="626"/>
      <c r="F10694" s="626"/>
    </row>
    <row r="10695" spans="1:6">
      <c r="A10695" t="str">
        <f t="shared" si="167"/>
        <v/>
      </c>
      <c r="E10695" s="626"/>
      <c r="F10695" s="626"/>
    </row>
    <row r="10696" spans="1:6">
      <c r="A10696" t="str">
        <f t="shared" si="167"/>
        <v/>
      </c>
      <c r="E10696" s="626"/>
      <c r="F10696" s="626"/>
    </row>
    <row r="10697" spans="1:6">
      <c r="A10697" t="str">
        <f t="shared" si="167"/>
        <v/>
      </c>
      <c r="E10697" s="626"/>
      <c r="F10697" s="626"/>
    </row>
    <row r="10698" spans="1:6">
      <c r="A10698" t="str">
        <f t="shared" si="167"/>
        <v/>
      </c>
      <c r="E10698" s="626"/>
      <c r="F10698" s="626"/>
    </row>
    <row r="10699" spans="1:6">
      <c r="A10699" t="str">
        <f t="shared" si="167"/>
        <v/>
      </c>
      <c r="E10699" s="626"/>
      <c r="F10699" s="626"/>
    </row>
    <row r="10700" spans="1:6">
      <c r="A10700" t="str">
        <f t="shared" si="167"/>
        <v/>
      </c>
      <c r="E10700" s="626"/>
      <c r="F10700" s="626"/>
    </row>
    <row r="10701" spans="1:6">
      <c r="A10701" t="str">
        <f t="shared" si="167"/>
        <v/>
      </c>
      <c r="E10701" s="626"/>
      <c r="F10701" s="626"/>
    </row>
    <row r="10702" spans="1:6">
      <c r="A10702" t="str">
        <f t="shared" si="167"/>
        <v/>
      </c>
      <c r="E10702" s="626"/>
      <c r="F10702" s="626"/>
    </row>
    <row r="10703" spans="1:6">
      <c r="A10703" t="str">
        <f t="shared" si="167"/>
        <v/>
      </c>
      <c r="E10703" s="626"/>
      <c r="F10703" s="626"/>
    </row>
    <row r="10704" spans="1:6">
      <c r="A10704" t="str">
        <f t="shared" si="167"/>
        <v/>
      </c>
      <c r="E10704" s="626"/>
      <c r="F10704" s="626"/>
    </row>
    <row r="10705" spans="1:6">
      <c r="A10705" t="str">
        <f t="shared" si="167"/>
        <v/>
      </c>
      <c r="E10705" s="626"/>
      <c r="F10705" s="626"/>
    </row>
    <row r="10706" spans="1:6">
      <c r="A10706" t="str">
        <f t="shared" si="167"/>
        <v/>
      </c>
      <c r="E10706" s="626"/>
      <c r="F10706" s="626"/>
    </row>
    <row r="10707" spans="1:6">
      <c r="A10707" t="str">
        <f t="shared" si="167"/>
        <v/>
      </c>
      <c r="E10707" s="626"/>
      <c r="F10707" s="626"/>
    </row>
    <row r="10708" spans="1:6">
      <c r="A10708" t="str">
        <f t="shared" si="167"/>
        <v/>
      </c>
      <c r="E10708" s="626"/>
      <c r="F10708" s="626"/>
    </row>
    <row r="10709" spans="1:6">
      <c r="A10709" t="str">
        <f t="shared" si="167"/>
        <v/>
      </c>
      <c r="E10709" s="626"/>
      <c r="F10709" s="626"/>
    </row>
    <row r="10710" spans="1:6">
      <c r="A10710" t="str">
        <f t="shared" si="167"/>
        <v/>
      </c>
      <c r="E10710" s="626"/>
      <c r="F10710" s="626"/>
    </row>
    <row r="10711" spans="1:6">
      <c r="A10711" t="str">
        <f t="shared" si="167"/>
        <v/>
      </c>
      <c r="E10711" s="626"/>
      <c r="F10711" s="626"/>
    </row>
    <row r="10712" spans="1:6">
      <c r="A10712" t="str">
        <f t="shared" si="167"/>
        <v/>
      </c>
      <c r="E10712" s="626"/>
      <c r="F10712" s="626"/>
    </row>
    <row r="10713" spans="1:6">
      <c r="A10713" t="str">
        <f t="shared" si="167"/>
        <v/>
      </c>
      <c r="E10713" s="626"/>
      <c r="F10713" s="626"/>
    </row>
    <row r="10714" spans="1:6">
      <c r="A10714" t="str">
        <f t="shared" si="167"/>
        <v/>
      </c>
      <c r="E10714" s="626"/>
      <c r="F10714" s="626"/>
    </row>
    <row r="10715" spans="1:6">
      <c r="A10715" t="str">
        <f t="shared" si="167"/>
        <v/>
      </c>
      <c r="E10715" s="626"/>
      <c r="F10715" s="626"/>
    </row>
    <row r="10716" spans="1:6">
      <c r="A10716" t="str">
        <f t="shared" si="167"/>
        <v/>
      </c>
      <c r="E10716" s="626"/>
      <c r="F10716" s="626"/>
    </row>
    <row r="10717" spans="1:6">
      <c r="A10717" t="str">
        <f t="shared" si="167"/>
        <v/>
      </c>
      <c r="E10717" s="626"/>
      <c r="F10717" s="626"/>
    </row>
    <row r="10718" spans="1:6">
      <c r="A10718" t="str">
        <f t="shared" si="167"/>
        <v/>
      </c>
      <c r="E10718" s="626"/>
      <c r="F10718" s="626"/>
    </row>
    <row r="10719" spans="1:6">
      <c r="A10719" t="str">
        <f t="shared" si="167"/>
        <v/>
      </c>
      <c r="E10719" s="626"/>
      <c r="F10719" s="626"/>
    </row>
    <row r="10720" spans="1:6">
      <c r="A10720" t="str">
        <f t="shared" si="167"/>
        <v/>
      </c>
      <c r="E10720" s="626"/>
      <c r="F10720" s="626"/>
    </row>
    <row r="10721" spans="1:6">
      <c r="A10721" t="str">
        <f t="shared" si="167"/>
        <v/>
      </c>
      <c r="E10721" s="626"/>
      <c r="F10721" s="626"/>
    </row>
    <row r="10722" spans="1:6">
      <c r="A10722" t="str">
        <f t="shared" si="167"/>
        <v/>
      </c>
      <c r="E10722" s="626"/>
      <c r="F10722" s="626"/>
    </row>
    <row r="10723" spans="1:6">
      <c r="A10723" t="str">
        <f t="shared" si="167"/>
        <v/>
      </c>
      <c r="E10723" s="626"/>
      <c r="F10723" s="626"/>
    </row>
    <row r="10724" spans="1:6">
      <c r="A10724" t="str">
        <f t="shared" si="167"/>
        <v/>
      </c>
      <c r="E10724" s="626"/>
      <c r="F10724" s="626"/>
    </row>
    <row r="10725" spans="1:6">
      <c r="A10725" t="str">
        <f t="shared" si="167"/>
        <v/>
      </c>
      <c r="E10725" s="626"/>
      <c r="F10725" s="626"/>
    </row>
    <row r="10726" spans="1:6">
      <c r="A10726" t="str">
        <f t="shared" si="167"/>
        <v/>
      </c>
      <c r="E10726" s="626"/>
      <c r="F10726" s="626"/>
    </row>
    <row r="10727" spans="1:6">
      <c r="A10727" t="str">
        <f t="shared" si="167"/>
        <v/>
      </c>
      <c r="E10727" s="626"/>
      <c r="F10727" s="626"/>
    </row>
    <row r="10728" spans="1:6">
      <c r="A10728" t="str">
        <f t="shared" si="167"/>
        <v/>
      </c>
      <c r="E10728" s="626"/>
      <c r="F10728" s="626"/>
    </row>
    <row r="10729" spans="1:6">
      <c r="A10729" t="str">
        <f t="shared" si="167"/>
        <v/>
      </c>
      <c r="E10729" s="626"/>
      <c r="F10729" s="626"/>
    </row>
    <row r="10730" spans="1:6">
      <c r="A10730" t="str">
        <f t="shared" si="167"/>
        <v/>
      </c>
      <c r="E10730" s="626"/>
      <c r="F10730" s="626"/>
    </row>
    <row r="10731" spans="1:6">
      <c r="A10731" t="str">
        <f t="shared" si="167"/>
        <v/>
      </c>
      <c r="E10731" s="626"/>
      <c r="F10731" s="626"/>
    </row>
    <row r="10732" spans="1:6">
      <c r="A10732" t="str">
        <f t="shared" si="167"/>
        <v/>
      </c>
      <c r="E10732" s="626"/>
      <c r="F10732" s="626"/>
    </row>
    <row r="10733" spans="1:6">
      <c r="A10733" t="str">
        <f t="shared" si="167"/>
        <v/>
      </c>
      <c r="E10733" s="626"/>
      <c r="F10733" s="626"/>
    </row>
    <row r="10734" spans="1:6">
      <c r="A10734" t="str">
        <f t="shared" si="167"/>
        <v/>
      </c>
      <c r="E10734" s="626"/>
      <c r="F10734" s="626"/>
    </row>
    <row r="10735" spans="1:6">
      <c r="A10735" t="str">
        <f t="shared" si="167"/>
        <v/>
      </c>
      <c r="E10735" s="626"/>
      <c r="F10735" s="626"/>
    </row>
    <row r="10736" spans="1:6">
      <c r="A10736" t="str">
        <f t="shared" si="167"/>
        <v/>
      </c>
      <c r="E10736" s="626"/>
      <c r="F10736" s="626"/>
    </row>
    <row r="10737" spans="1:6">
      <c r="A10737" t="str">
        <f t="shared" si="167"/>
        <v/>
      </c>
      <c r="E10737" s="626"/>
      <c r="F10737" s="626"/>
    </row>
    <row r="10738" spans="1:6">
      <c r="A10738" t="str">
        <f t="shared" si="167"/>
        <v/>
      </c>
      <c r="E10738" s="626"/>
      <c r="F10738" s="626"/>
    </row>
    <row r="10739" spans="1:6">
      <c r="A10739" t="str">
        <f t="shared" si="167"/>
        <v/>
      </c>
      <c r="E10739" s="626"/>
      <c r="F10739" s="626"/>
    </row>
    <row r="10740" spans="1:6">
      <c r="A10740" t="str">
        <f t="shared" si="167"/>
        <v/>
      </c>
      <c r="E10740" s="626"/>
      <c r="F10740" s="626"/>
    </row>
    <row r="10741" spans="1:6">
      <c r="A10741" t="str">
        <f t="shared" si="167"/>
        <v/>
      </c>
      <c r="E10741" s="626"/>
      <c r="F10741" s="626"/>
    </row>
    <row r="10742" spans="1:6">
      <c r="A10742" t="str">
        <f t="shared" si="167"/>
        <v/>
      </c>
      <c r="E10742" s="626"/>
      <c r="F10742" s="626"/>
    </row>
    <row r="10743" spans="1:6">
      <c r="A10743" t="str">
        <f t="shared" si="167"/>
        <v/>
      </c>
      <c r="E10743" s="626"/>
      <c r="F10743" s="626"/>
    </row>
    <row r="10744" spans="1:6">
      <c r="A10744" t="str">
        <f t="shared" si="167"/>
        <v/>
      </c>
      <c r="E10744" s="626"/>
      <c r="F10744" s="626"/>
    </row>
    <row r="10745" spans="1:6">
      <c r="A10745" t="str">
        <f t="shared" si="167"/>
        <v/>
      </c>
      <c r="E10745" s="626"/>
      <c r="F10745" s="626"/>
    </row>
    <row r="10746" spans="1:6">
      <c r="A10746" t="str">
        <f t="shared" si="167"/>
        <v/>
      </c>
      <c r="E10746" s="626"/>
      <c r="F10746" s="626"/>
    </row>
    <row r="10747" spans="1:6">
      <c r="A10747" t="str">
        <f t="shared" si="167"/>
        <v/>
      </c>
      <c r="E10747" s="626"/>
      <c r="F10747" s="626"/>
    </row>
    <row r="10748" spans="1:6">
      <c r="A10748" t="str">
        <f t="shared" si="167"/>
        <v/>
      </c>
      <c r="E10748" s="626"/>
      <c r="F10748" s="626"/>
    </row>
    <row r="10749" spans="1:6">
      <c r="A10749" t="str">
        <f t="shared" si="167"/>
        <v/>
      </c>
      <c r="E10749" s="626"/>
      <c r="F10749" s="626"/>
    </row>
    <row r="10750" spans="1:6">
      <c r="A10750" t="str">
        <f t="shared" si="167"/>
        <v/>
      </c>
      <c r="E10750" s="626"/>
      <c r="F10750" s="626"/>
    </row>
    <row r="10751" spans="1:6">
      <c r="A10751" t="str">
        <f t="shared" si="167"/>
        <v/>
      </c>
      <c r="E10751" s="626"/>
      <c r="F10751" s="626"/>
    </row>
    <row r="10752" spans="1:6">
      <c r="A10752" t="str">
        <f t="shared" si="167"/>
        <v/>
      </c>
      <c r="E10752" s="626"/>
      <c r="F10752" s="626"/>
    </row>
    <row r="10753" spans="1:6">
      <c r="A10753" t="str">
        <f t="shared" si="167"/>
        <v/>
      </c>
      <c r="E10753" s="626"/>
      <c r="F10753" s="626"/>
    </row>
    <row r="10754" spans="1:6">
      <c r="A10754" t="str">
        <f t="shared" ref="A10754:A10817" si="168">B10754&amp;E10754&amp;J10754</f>
        <v/>
      </c>
      <c r="E10754" s="626"/>
      <c r="F10754" s="626"/>
    </row>
    <row r="10755" spans="1:6">
      <c r="A10755" t="str">
        <f t="shared" si="168"/>
        <v/>
      </c>
      <c r="E10755" s="626"/>
      <c r="F10755" s="626"/>
    </row>
    <row r="10756" spans="1:6">
      <c r="A10756" t="str">
        <f t="shared" si="168"/>
        <v/>
      </c>
      <c r="E10756" s="626"/>
      <c r="F10756" s="626"/>
    </row>
    <row r="10757" spans="1:6">
      <c r="A10757" t="str">
        <f t="shared" si="168"/>
        <v/>
      </c>
      <c r="E10757" s="626"/>
      <c r="F10757" s="626"/>
    </row>
    <row r="10758" spans="1:6">
      <c r="A10758" t="str">
        <f t="shared" si="168"/>
        <v/>
      </c>
      <c r="E10758" s="626"/>
      <c r="F10758" s="626"/>
    </row>
    <row r="10759" spans="1:6">
      <c r="A10759" t="str">
        <f t="shared" si="168"/>
        <v/>
      </c>
      <c r="E10759" s="626"/>
      <c r="F10759" s="626"/>
    </row>
    <row r="10760" spans="1:6">
      <c r="A10760" t="str">
        <f t="shared" si="168"/>
        <v/>
      </c>
      <c r="E10760" s="626"/>
      <c r="F10760" s="626"/>
    </row>
    <row r="10761" spans="1:6">
      <c r="A10761" t="str">
        <f t="shared" si="168"/>
        <v/>
      </c>
      <c r="E10761" s="626"/>
      <c r="F10761" s="626"/>
    </row>
    <row r="10762" spans="1:6">
      <c r="A10762" t="str">
        <f t="shared" si="168"/>
        <v/>
      </c>
      <c r="E10762" s="626"/>
      <c r="F10762" s="626"/>
    </row>
    <row r="10763" spans="1:6">
      <c r="A10763" t="str">
        <f t="shared" si="168"/>
        <v/>
      </c>
      <c r="E10763" s="626"/>
      <c r="F10763" s="626"/>
    </row>
    <row r="10764" spans="1:6">
      <c r="A10764" t="str">
        <f t="shared" si="168"/>
        <v/>
      </c>
      <c r="E10764" s="626"/>
      <c r="F10764" s="626"/>
    </row>
    <row r="10765" spans="1:6">
      <c r="A10765" t="str">
        <f t="shared" si="168"/>
        <v/>
      </c>
      <c r="E10765" s="626"/>
      <c r="F10765" s="626"/>
    </row>
    <row r="10766" spans="1:6">
      <c r="A10766" t="str">
        <f t="shared" si="168"/>
        <v/>
      </c>
      <c r="E10766" s="626"/>
      <c r="F10766" s="626"/>
    </row>
    <row r="10767" spans="1:6">
      <c r="A10767" t="str">
        <f t="shared" si="168"/>
        <v/>
      </c>
      <c r="E10767" s="626"/>
      <c r="F10767" s="626"/>
    </row>
    <row r="10768" spans="1:6">
      <c r="A10768" t="str">
        <f t="shared" si="168"/>
        <v/>
      </c>
      <c r="E10768" s="626"/>
      <c r="F10768" s="626"/>
    </row>
    <row r="10769" spans="1:6">
      <c r="A10769" t="str">
        <f t="shared" si="168"/>
        <v/>
      </c>
      <c r="E10769" s="626"/>
      <c r="F10769" s="626"/>
    </row>
    <row r="10770" spans="1:6">
      <c r="A10770" t="str">
        <f t="shared" si="168"/>
        <v/>
      </c>
      <c r="E10770" s="626"/>
      <c r="F10770" s="626"/>
    </row>
    <row r="10771" spans="1:6">
      <c r="A10771" t="str">
        <f t="shared" si="168"/>
        <v/>
      </c>
      <c r="E10771" s="626"/>
      <c r="F10771" s="626"/>
    </row>
    <row r="10772" spans="1:6">
      <c r="A10772" t="str">
        <f t="shared" si="168"/>
        <v/>
      </c>
      <c r="E10772" s="626"/>
      <c r="F10772" s="626"/>
    </row>
    <row r="10773" spans="1:6">
      <c r="A10773" t="str">
        <f t="shared" si="168"/>
        <v/>
      </c>
      <c r="E10773" s="626"/>
      <c r="F10773" s="626"/>
    </row>
    <row r="10774" spans="1:6">
      <c r="A10774" t="str">
        <f t="shared" si="168"/>
        <v/>
      </c>
      <c r="E10774" s="626"/>
      <c r="F10774" s="626"/>
    </row>
    <row r="10775" spans="1:6">
      <c r="A10775" t="str">
        <f t="shared" si="168"/>
        <v/>
      </c>
      <c r="E10775" s="626"/>
      <c r="F10775" s="626"/>
    </row>
    <row r="10776" spans="1:6">
      <c r="A10776" t="str">
        <f t="shared" si="168"/>
        <v/>
      </c>
      <c r="E10776" s="626"/>
      <c r="F10776" s="626"/>
    </row>
    <row r="10777" spans="1:6">
      <c r="A10777" t="str">
        <f t="shared" si="168"/>
        <v/>
      </c>
      <c r="E10777" s="626"/>
      <c r="F10777" s="626"/>
    </row>
    <row r="10778" spans="1:6">
      <c r="A10778" t="str">
        <f t="shared" si="168"/>
        <v/>
      </c>
      <c r="E10778" s="626"/>
      <c r="F10778" s="626"/>
    </row>
    <row r="10779" spans="1:6">
      <c r="A10779" t="str">
        <f t="shared" si="168"/>
        <v/>
      </c>
      <c r="E10779" s="626"/>
      <c r="F10779" s="626"/>
    </row>
    <row r="10780" spans="1:6">
      <c r="A10780" t="str">
        <f t="shared" si="168"/>
        <v/>
      </c>
      <c r="E10780" s="626"/>
      <c r="F10780" s="626"/>
    </row>
    <row r="10781" spans="1:6">
      <c r="A10781" t="str">
        <f t="shared" si="168"/>
        <v/>
      </c>
      <c r="E10781" s="626"/>
      <c r="F10781" s="626"/>
    </row>
    <row r="10782" spans="1:6">
      <c r="A10782" t="str">
        <f t="shared" si="168"/>
        <v/>
      </c>
      <c r="E10782" s="626"/>
      <c r="F10782" s="626"/>
    </row>
    <row r="10783" spans="1:6">
      <c r="A10783" t="str">
        <f t="shared" si="168"/>
        <v/>
      </c>
      <c r="E10783" s="626"/>
      <c r="F10783" s="626"/>
    </row>
    <row r="10784" spans="1:6">
      <c r="A10784" t="str">
        <f t="shared" si="168"/>
        <v/>
      </c>
      <c r="E10784" s="626"/>
      <c r="F10784" s="626"/>
    </row>
    <row r="10785" spans="1:6">
      <c r="A10785" t="str">
        <f t="shared" si="168"/>
        <v/>
      </c>
      <c r="E10785" s="626"/>
      <c r="F10785" s="626"/>
    </row>
    <row r="10786" spans="1:6">
      <c r="A10786" t="str">
        <f t="shared" si="168"/>
        <v/>
      </c>
      <c r="E10786" s="626"/>
      <c r="F10786" s="626"/>
    </row>
    <row r="10787" spans="1:6">
      <c r="A10787" t="str">
        <f t="shared" si="168"/>
        <v/>
      </c>
      <c r="E10787" s="626"/>
      <c r="F10787" s="626"/>
    </row>
    <row r="10788" spans="1:6">
      <c r="A10788" t="str">
        <f t="shared" si="168"/>
        <v/>
      </c>
      <c r="E10788" s="626"/>
      <c r="F10788" s="626"/>
    </row>
    <row r="10789" spans="1:6">
      <c r="A10789" t="str">
        <f t="shared" si="168"/>
        <v/>
      </c>
      <c r="E10789" s="626"/>
      <c r="F10789" s="626"/>
    </row>
    <row r="10790" spans="1:6">
      <c r="A10790" t="str">
        <f t="shared" si="168"/>
        <v/>
      </c>
      <c r="E10790" s="626"/>
      <c r="F10790" s="626"/>
    </row>
    <row r="10791" spans="1:6">
      <c r="A10791" t="str">
        <f t="shared" si="168"/>
        <v/>
      </c>
      <c r="E10791" s="626"/>
      <c r="F10791" s="626"/>
    </row>
    <row r="10792" spans="1:6">
      <c r="A10792" t="str">
        <f t="shared" si="168"/>
        <v/>
      </c>
      <c r="E10792" s="626"/>
      <c r="F10792" s="626"/>
    </row>
    <row r="10793" spans="1:6">
      <c r="A10793" t="str">
        <f t="shared" si="168"/>
        <v/>
      </c>
      <c r="E10793" s="626"/>
      <c r="F10793" s="626"/>
    </row>
    <row r="10794" spans="1:6">
      <c r="A10794" t="str">
        <f t="shared" si="168"/>
        <v/>
      </c>
      <c r="E10794" s="626"/>
      <c r="F10794" s="626"/>
    </row>
    <row r="10795" spans="1:6">
      <c r="A10795" t="str">
        <f t="shared" si="168"/>
        <v/>
      </c>
      <c r="E10795" s="626"/>
      <c r="F10795" s="626"/>
    </row>
    <row r="10796" spans="1:6">
      <c r="A10796" t="str">
        <f t="shared" si="168"/>
        <v/>
      </c>
      <c r="E10796" s="626"/>
      <c r="F10796" s="626"/>
    </row>
    <row r="10797" spans="1:6">
      <c r="A10797" t="str">
        <f t="shared" si="168"/>
        <v/>
      </c>
      <c r="E10797" s="626"/>
      <c r="F10797" s="626"/>
    </row>
    <row r="10798" spans="1:6">
      <c r="A10798" t="str">
        <f t="shared" si="168"/>
        <v/>
      </c>
      <c r="E10798" s="626"/>
      <c r="F10798" s="626"/>
    </row>
    <row r="10799" spans="1:6">
      <c r="A10799" t="str">
        <f t="shared" si="168"/>
        <v/>
      </c>
      <c r="E10799" s="626"/>
      <c r="F10799" s="626"/>
    </row>
    <row r="10800" spans="1:6">
      <c r="A10800" t="str">
        <f t="shared" si="168"/>
        <v/>
      </c>
      <c r="E10800" s="626"/>
      <c r="F10800" s="626"/>
    </row>
    <row r="10801" spans="1:6">
      <c r="A10801" t="str">
        <f t="shared" si="168"/>
        <v/>
      </c>
      <c r="E10801" s="626"/>
      <c r="F10801" s="626"/>
    </row>
    <row r="10802" spans="1:6">
      <c r="A10802" t="str">
        <f t="shared" si="168"/>
        <v/>
      </c>
      <c r="E10802" s="626"/>
      <c r="F10802" s="626"/>
    </row>
    <row r="10803" spans="1:6">
      <c r="A10803" t="str">
        <f t="shared" si="168"/>
        <v/>
      </c>
      <c r="E10803" s="626"/>
      <c r="F10803" s="626"/>
    </row>
    <row r="10804" spans="1:6">
      <c r="A10804" t="str">
        <f t="shared" si="168"/>
        <v/>
      </c>
      <c r="E10804" s="626"/>
      <c r="F10804" s="626"/>
    </row>
    <row r="10805" spans="1:6">
      <c r="A10805" t="str">
        <f t="shared" si="168"/>
        <v/>
      </c>
      <c r="E10805" s="626"/>
      <c r="F10805" s="626"/>
    </row>
    <row r="10806" spans="1:6">
      <c r="A10806" t="str">
        <f t="shared" si="168"/>
        <v/>
      </c>
      <c r="E10806" s="626"/>
      <c r="F10806" s="626"/>
    </row>
    <row r="10807" spans="1:6">
      <c r="A10807" t="str">
        <f t="shared" si="168"/>
        <v/>
      </c>
      <c r="E10807" s="626"/>
      <c r="F10807" s="626"/>
    </row>
    <row r="10808" spans="1:6">
      <c r="A10808" t="str">
        <f t="shared" si="168"/>
        <v/>
      </c>
      <c r="E10808" s="626"/>
      <c r="F10808" s="626"/>
    </row>
    <row r="10809" spans="1:6">
      <c r="A10809" t="str">
        <f t="shared" si="168"/>
        <v/>
      </c>
      <c r="E10809" s="626"/>
      <c r="F10809" s="626"/>
    </row>
    <row r="10810" spans="1:6">
      <c r="A10810" t="str">
        <f t="shared" si="168"/>
        <v/>
      </c>
      <c r="E10810" s="626"/>
      <c r="F10810" s="626"/>
    </row>
    <row r="10811" spans="1:6">
      <c r="A10811" t="str">
        <f t="shared" si="168"/>
        <v/>
      </c>
      <c r="E10811" s="626"/>
      <c r="F10811" s="626"/>
    </row>
    <row r="10812" spans="1:6">
      <c r="A10812" t="str">
        <f t="shared" si="168"/>
        <v/>
      </c>
      <c r="E10812" s="626"/>
      <c r="F10812" s="626"/>
    </row>
    <row r="10813" spans="1:6">
      <c r="A10813" t="str">
        <f t="shared" si="168"/>
        <v/>
      </c>
      <c r="E10813" s="626"/>
      <c r="F10813" s="626"/>
    </row>
    <row r="10814" spans="1:6">
      <c r="A10814" t="str">
        <f t="shared" si="168"/>
        <v/>
      </c>
      <c r="E10814" s="626"/>
      <c r="F10814" s="626"/>
    </row>
    <row r="10815" spans="1:6">
      <c r="A10815" t="str">
        <f t="shared" si="168"/>
        <v/>
      </c>
      <c r="E10815" s="626"/>
      <c r="F10815" s="626"/>
    </row>
    <row r="10816" spans="1:6">
      <c r="A10816" t="str">
        <f t="shared" si="168"/>
        <v/>
      </c>
      <c r="E10816" s="626"/>
      <c r="F10816" s="626"/>
    </row>
    <row r="10817" spans="1:6">
      <c r="A10817" t="str">
        <f t="shared" si="168"/>
        <v/>
      </c>
      <c r="E10817" s="626"/>
      <c r="F10817" s="626"/>
    </row>
    <row r="10818" spans="1:6">
      <c r="A10818" t="str">
        <f t="shared" ref="A10818:A10881" si="169">B10818&amp;E10818&amp;J10818</f>
        <v/>
      </c>
      <c r="E10818" s="626"/>
      <c r="F10818" s="626"/>
    </row>
    <row r="10819" spans="1:6">
      <c r="A10819" t="str">
        <f t="shared" si="169"/>
        <v/>
      </c>
      <c r="E10819" s="626"/>
      <c r="F10819" s="626"/>
    </row>
    <row r="10820" spans="1:6">
      <c r="A10820" t="str">
        <f t="shared" si="169"/>
        <v/>
      </c>
      <c r="E10820" s="626"/>
      <c r="F10820" s="626"/>
    </row>
    <row r="10821" spans="1:6">
      <c r="A10821" t="str">
        <f t="shared" si="169"/>
        <v/>
      </c>
      <c r="E10821" s="626"/>
      <c r="F10821" s="626"/>
    </row>
    <row r="10822" spans="1:6">
      <c r="A10822" t="str">
        <f t="shared" si="169"/>
        <v/>
      </c>
      <c r="E10822" s="626"/>
      <c r="F10822" s="626"/>
    </row>
    <row r="10823" spans="1:6">
      <c r="A10823" t="str">
        <f t="shared" si="169"/>
        <v/>
      </c>
      <c r="E10823" s="626"/>
      <c r="F10823" s="626"/>
    </row>
    <row r="10824" spans="1:6">
      <c r="A10824" t="str">
        <f t="shared" si="169"/>
        <v/>
      </c>
      <c r="E10824" s="626"/>
      <c r="F10824" s="626"/>
    </row>
    <row r="10825" spans="1:6">
      <c r="A10825" t="str">
        <f t="shared" si="169"/>
        <v/>
      </c>
      <c r="E10825" s="626"/>
      <c r="F10825" s="626"/>
    </row>
    <row r="10826" spans="1:6">
      <c r="A10826" t="str">
        <f t="shared" si="169"/>
        <v/>
      </c>
      <c r="E10826" s="626"/>
      <c r="F10826" s="626"/>
    </row>
    <row r="10827" spans="1:6">
      <c r="A10827" t="str">
        <f t="shared" si="169"/>
        <v/>
      </c>
      <c r="E10827" s="626"/>
      <c r="F10827" s="626"/>
    </row>
    <row r="10828" spans="1:6">
      <c r="A10828" t="str">
        <f t="shared" si="169"/>
        <v/>
      </c>
      <c r="E10828" s="626"/>
      <c r="F10828" s="626"/>
    </row>
    <row r="10829" spans="1:6">
      <c r="A10829" t="str">
        <f t="shared" si="169"/>
        <v/>
      </c>
      <c r="E10829" s="626"/>
      <c r="F10829" s="626"/>
    </row>
    <row r="10830" spans="1:6">
      <c r="A10830" t="str">
        <f t="shared" si="169"/>
        <v/>
      </c>
      <c r="E10830" s="626"/>
      <c r="F10830" s="626"/>
    </row>
    <row r="10831" spans="1:6">
      <c r="A10831" t="str">
        <f t="shared" si="169"/>
        <v/>
      </c>
      <c r="E10831" s="626"/>
      <c r="F10831" s="626"/>
    </row>
    <row r="10832" spans="1:6">
      <c r="A10832" t="str">
        <f t="shared" si="169"/>
        <v/>
      </c>
      <c r="E10832" s="626"/>
      <c r="F10832" s="626"/>
    </row>
    <row r="10833" spans="1:6">
      <c r="A10833" t="str">
        <f t="shared" si="169"/>
        <v/>
      </c>
      <c r="E10833" s="626"/>
      <c r="F10833" s="626"/>
    </row>
    <row r="10834" spans="1:6">
      <c r="A10834" t="str">
        <f t="shared" si="169"/>
        <v/>
      </c>
      <c r="E10834" s="626"/>
      <c r="F10834" s="626"/>
    </row>
    <row r="10835" spans="1:6">
      <c r="A10835" t="str">
        <f t="shared" si="169"/>
        <v/>
      </c>
      <c r="E10835" s="626"/>
      <c r="F10835" s="626"/>
    </row>
    <row r="10836" spans="1:6">
      <c r="A10836" t="str">
        <f t="shared" si="169"/>
        <v/>
      </c>
      <c r="E10836" s="626"/>
      <c r="F10836" s="626"/>
    </row>
    <row r="10837" spans="1:6">
      <c r="A10837" t="str">
        <f t="shared" si="169"/>
        <v/>
      </c>
      <c r="E10837" s="626"/>
      <c r="F10837" s="626"/>
    </row>
    <row r="10838" spans="1:6">
      <c r="A10838" t="str">
        <f t="shared" si="169"/>
        <v/>
      </c>
      <c r="E10838" s="626"/>
      <c r="F10838" s="626"/>
    </row>
    <row r="10839" spans="1:6">
      <c r="A10839" t="str">
        <f t="shared" si="169"/>
        <v/>
      </c>
      <c r="E10839" s="626"/>
      <c r="F10839" s="626"/>
    </row>
    <row r="10840" spans="1:6">
      <c r="A10840" t="str">
        <f t="shared" si="169"/>
        <v/>
      </c>
      <c r="E10840" s="626"/>
      <c r="F10840" s="626"/>
    </row>
    <row r="10841" spans="1:6">
      <c r="A10841" t="str">
        <f t="shared" si="169"/>
        <v/>
      </c>
      <c r="E10841" s="626"/>
      <c r="F10841" s="626"/>
    </row>
    <row r="10842" spans="1:6">
      <c r="A10842" t="str">
        <f t="shared" si="169"/>
        <v/>
      </c>
      <c r="E10842" s="626"/>
      <c r="F10842" s="626"/>
    </row>
    <row r="10843" spans="1:6">
      <c r="A10843" t="str">
        <f t="shared" si="169"/>
        <v/>
      </c>
      <c r="E10843" s="626"/>
      <c r="F10843" s="626"/>
    </row>
    <row r="10844" spans="1:6">
      <c r="A10844" t="str">
        <f t="shared" si="169"/>
        <v/>
      </c>
      <c r="E10844" s="626"/>
      <c r="F10844" s="626"/>
    </row>
    <row r="10845" spans="1:6">
      <c r="A10845" t="str">
        <f t="shared" si="169"/>
        <v/>
      </c>
      <c r="E10845" s="626"/>
      <c r="F10845" s="626"/>
    </row>
    <row r="10846" spans="1:6">
      <c r="A10846" t="str">
        <f t="shared" si="169"/>
        <v/>
      </c>
      <c r="E10846" s="626"/>
      <c r="F10846" s="626"/>
    </row>
    <row r="10847" spans="1:6">
      <c r="A10847" t="str">
        <f t="shared" si="169"/>
        <v/>
      </c>
      <c r="E10847" s="626"/>
      <c r="F10847" s="626"/>
    </row>
    <row r="10848" spans="1:6">
      <c r="A10848" t="str">
        <f t="shared" si="169"/>
        <v/>
      </c>
      <c r="E10848" s="626"/>
      <c r="F10848" s="626"/>
    </row>
    <row r="10849" spans="1:6">
      <c r="A10849" t="str">
        <f t="shared" si="169"/>
        <v/>
      </c>
      <c r="E10849" s="626"/>
      <c r="F10849" s="626"/>
    </row>
    <row r="10850" spans="1:6">
      <c r="A10850" t="str">
        <f t="shared" si="169"/>
        <v/>
      </c>
      <c r="E10850" s="626"/>
      <c r="F10850" s="626"/>
    </row>
    <row r="10851" spans="1:6">
      <c r="A10851" t="str">
        <f t="shared" si="169"/>
        <v/>
      </c>
      <c r="E10851" s="626"/>
      <c r="F10851" s="626"/>
    </row>
    <row r="10852" spans="1:6">
      <c r="A10852" t="str">
        <f t="shared" si="169"/>
        <v/>
      </c>
      <c r="E10852" s="626"/>
      <c r="F10852" s="626"/>
    </row>
    <row r="10853" spans="1:6">
      <c r="A10853" t="str">
        <f t="shared" si="169"/>
        <v/>
      </c>
      <c r="E10853" s="626"/>
      <c r="F10853" s="626"/>
    </row>
    <row r="10854" spans="1:6">
      <c r="A10854" t="str">
        <f t="shared" si="169"/>
        <v/>
      </c>
      <c r="E10854" s="626"/>
      <c r="F10854" s="626"/>
    </row>
    <row r="10855" spans="1:6">
      <c r="A10855" t="str">
        <f t="shared" si="169"/>
        <v/>
      </c>
      <c r="E10855" s="626"/>
      <c r="F10855" s="626"/>
    </row>
    <row r="10856" spans="1:6">
      <c r="A10856" t="str">
        <f t="shared" si="169"/>
        <v/>
      </c>
      <c r="E10856" s="626"/>
      <c r="F10856" s="626"/>
    </row>
    <row r="10857" spans="1:6">
      <c r="A10857" t="str">
        <f t="shared" si="169"/>
        <v/>
      </c>
      <c r="E10857" s="626"/>
      <c r="F10857" s="626"/>
    </row>
    <row r="10858" spans="1:6">
      <c r="A10858" t="str">
        <f t="shared" si="169"/>
        <v/>
      </c>
      <c r="E10858" s="626"/>
      <c r="F10858" s="626"/>
    </row>
    <row r="10859" spans="1:6">
      <c r="A10859" t="str">
        <f t="shared" si="169"/>
        <v/>
      </c>
      <c r="E10859" s="626"/>
      <c r="F10859" s="626"/>
    </row>
    <row r="10860" spans="1:6">
      <c r="A10860" t="str">
        <f t="shared" si="169"/>
        <v/>
      </c>
      <c r="E10860" s="626"/>
      <c r="F10860" s="626"/>
    </row>
    <row r="10861" spans="1:6">
      <c r="A10861" t="str">
        <f t="shared" si="169"/>
        <v/>
      </c>
      <c r="E10861" s="626"/>
      <c r="F10861" s="626"/>
    </row>
    <row r="10862" spans="1:6">
      <c r="A10862" t="str">
        <f t="shared" si="169"/>
        <v/>
      </c>
      <c r="E10862" s="626"/>
      <c r="F10862" s="626"/>
    </row>
    <row r="10863" spans="1:6">
      <c r="A10863" t="str">
        <f t="shared" si="169"/>
        <v/>
      </c>
      <c r="E10863" s="626"/>
      <c r="F10863" s="626"/>
    </row>
    <row r="10864" spans="1:6">
      <c r="A10864" t="str">
        <f t="shared" si="169"/>
        <v/>
      </c>
      <c r="E10864" s="626"/>
      <c r="F10864" s="626"/>
    </row>
    <row r="10865" spans="1:6">
      <c r="A10865" t="str">
        <f t="shared" si="169"/>
        <v/>
      </c>
      <c r="E10865" s="626"/>
      <c r="F10865" s="626"/>
    </row>
    <row r="10866" spans="1:6">
      <c r="A10866" t="str">
        <f t="shared" si="169"/>
        <v/>
      </c>
      <c r="E10866" s="626"/>
      <c r="F10866" s="626"/>
    </row>
    <row r="10867" spans="1:6">
      <c r="A10867" t="str">
        <f t="shared" si="169"/>
        <v/>
      </c>
      <c r="E10867" s="626"/>
      <c r="F10867" s="626"/>
    </row>
    <row r="10868" spans="1:6">
      <c r="A10868" t="str">
        <f t="shared" si="169"/>
        <v/>
      </c>
      <c r="E10868" s="626"/>
      <c r="F10868" s="626"/>
    </row>
    <row r="10869" spans="1:6">
      <c r="A10869" t="str">
        <f t="shared" si="169"/>
        <v/>
      </c>
      <c r="E10869" s="626"/>
      <c r="F10869" s="626"/>
    </row>
    <row r="10870" spans="1:6">
      <c r="A10870" t="str">
        <f t="shared" si="169"/>
        <v/>
      </c>
      <c r="E10870" s="626"/>
      <c r="F10870" s="626"/>
    </row>
    <row r="10871" spans="1:6">
      <c r="A10871" t="str">
        <f t="shared" si="169"/>
        <v/>
      </c>
      <c r="E10871" s="626"/>
      <c r="F10871" s="626"/>
    </row>
    <row r="10872" spans="1:6">
      <c r="A10872" t="str">
        <f t="shared" si="169"/>
        <v/>
      </c>
      <c r="E10872" s="626"/>
      <c r="F10872" s="626"/>
    </row>
    <row r="10873" spans="1:6">
      <c r="A10873" t="str">
        <f t="shared" si="169"/>
        <v/>
      </c>
      <c r="E10873" s="626"/>
      <c r="F10873" s="626"/>
    </row>
    <row r="10874" spans="1:6">
      <c r="A10874" t="str">
        <f t="shared" si="169"/>
        <v/>
      </c>
      <c r="E10874" s="626"/>
      <c r="F10874" s="626"/>
    </row>
    <row r="10875" spans="1:6">
      <c r="A10875" t="str">
        <f t="shared" si="169"/>
        <v/>
      </c>
      <c r="E10875" s="626"/>
      <c r="F10875" s="626"/>
    </row>
    <row r="10876" spans="1:6">
      <c r="A10876" t="str">
        <f t="shared" si="169"/>
        <v/>
      </c>
      <c r="E10876" s="626"/>
      <c r="F10876" s="626"/>
    </row>
    <row r="10877" spans="1:6">
      <c r="A10877" t="str">
        <f t="shared" si="169"/>
        <v/>
      </c>
      <c r="E10877" s="626"/>
      <c r="F10877" s="626"/>
    </row>
    <row r="10878" spans="1:6">
      <c r="A10878" t="str">
        <f t="shared" si="169"/>
        <v/>
      </c>
      <c r="E10878" s="626"/>
      <c r="F10878" s="626"/>
    </row>
    <row r="10879" spans="1:6">
      <c r="A10879" t="str">
        <f t="shared" si="169"/>
        <v/>
      </c>
      <c r="E10879" s="626"/>
      <c r="F10879" s="626"/>
    </row>
    <row r="10880" spans="1:6">
      <c r="A10880" t="str">
        <f t="shared" si="169"/>
        <v/>
      </c>
      <c r="E10880" s="626"/>
      <c r="F10880" s="626"/>
    </row>
    <row r="10881" spans="1:6">
      <c r="A10881" t="str">
        <f t="shared" si="169"/>
        <v/>
      </c>
      <c r="E10881" s="626"/>
      <c r="F10881" s="626"/>
    </row>
    <row r="10882" spans="1:6">
      <c r="A10882" t="str">
        <f t="shared" ref="A10882:A10945" si="170">B10882&amp;E10882&amp;J10882</f>
        <v/>
      </c>
      <c r="E10882" s="626"/>
      <c r="F10882" s="626"/>
    </row>
    <row r="10883" spans="1:6">
      <c r="A10883" t="str">
        <f t="shared" si="170"/>
        <v/>
      </c>
      <c r="E10883" s="626"/>
      <c r="F10883" s="626"/>
    </row>
    <row r="10884" spans="1:6">
      <c r="A10884" t="str">
        <f t="shared" si="170"/>
        <v/>
      </c>
      <c r="E10884" s="626"/>
      <c r="F10884" s="626"/>
    </row>
    <row r="10885" spans="1:6">
      <c r="A10885" t="str">
        <f t="shared" si="170"/>
        <v/>
      </c>
      <c r="E10885" s="626"/>
      <c r="F10885" s="626"/>
    </row>
    <row r="10886" spans="1:6">
      <c r="A10886" t="str">
        <f t="shared" si="170"/>
        <v/>
      </c>
      <c r="E10886" s="626"/>
      <c r="F10886" s="626"/>
    </row>
    <row r="10887" spans="1:6">
      <c r="A10887" t="str">
        <f t="shared" si="170"/>
        <v/>
      </c>
      <c r="E10887" s="626"/>
      <c r="F10887" s="626"/>
    </row>
    <row r="10888" spans="1:6">
      <c r="A10888" t="str">
        <f t="shared" si="170"/>
        <v/>
      </c>
      <c r="E10888" s="626"/>
      <c r="F10888" s="626"/>
    </row>
    <row r="10889" spans="1:6">
      <c r="A10889" t="str">
        <f t="shared" si="170"/>
        <v/>
      </c>
      <c r="E10889" s="626"/>
      <c r="F10889" s="626"/>
    </row>
    <row r="10890" spans="1:6">
      <c r="A10890" t="str">
        <f t="shared" si="170"/>
        <v/>
      </c>
      <c r="E10890" s="626"/>
      <c r="F10890" s="626"/>
    </row>
    <row r="10891" spans="1:6">
      <c r="A10891" t="str">
        <f t="shared" si="170"/>
        <v/>
      </c>
      <c r="E10891" s="626"/>
      <c r="F10891" s="626"/>
    </row>
    <row r="10892" spans="1:6">
      <c r="A10892" t="str">
        <f t="shared" si="170"/>
        <v/>
      </c>
      <c r="E10892" s="626"/>
      <c r="F10892" s="626"/>
    </row>
    <row r="10893" spans="1:6">
      <c r="A10893" t="str">
        <f t="shared" si="170"/>
        <v/>
      </c>
      <c r="E10893" s="626"/>
      <c r="F10893" s="626"/>
    </row>
    <row r="10894" spans="1:6">
      <c r="A10894" t="str">
        <f t="shared" si="170"/>
        <v/>
      </c>
      <c r="E10894" s="626"/>
      <c r="F10894" s="626"/>
    </row>
    <row r="10895" spans="1:6">
      <c r="A10895" t="str">
        <f t="shared" si="170"/>
        <v/>
      </c>
      <c r="E10895" s="626"/>
      <c r="F10895" s="626"/>
    </row>
    <row r="10896" spans="1:6">
      <c r="A10896" t="str">
        <f t="shared" si="170"/>
        <v/>
      </c>
      <c r="E10896" s="626"/>
      <c r="F10896" s="626"/>
    </row>
    <row r="10897" spans="1:6">
      <c r="A10897" t="str">
        <f t="shared" si="170"/>
        <v/>
      </c>
      <c r="E10897" s="626"/>
      <c r="F10897" s="626"/>
    </row>
    <row r="10898" spans="1:6">
      <c r="A10898" t="str">
        <f t="shared" si="170"/>
        <v/>
      </c>
      <c r="E10898" s="626"/>
      <c r="F10898" s="626"/>
    </row>
    <row r="10899" spans="1:6">
      <c r="A10899" t="str">
        <f t="shared" si="170"/>
        <v/>
      </c>
      <c r="E10899" s="626"/>
      <c r="F10899" s="626"/>
    </row>
    <row r="10900" spans="1:6">
      <c r="A10900" t="str">
        <f t="shared" si="170"/>
        <v/>
      </c>
      <c r="E10900" s="626"/>
      <c r="F10900" s="626"/>
    </row>
    <row r="10901" spans="1:6">
      <c r="A10901" t="str">
        <f t="shared" si="170"/>
        <v/>
      </c>
      <c r="E10901" s="626"/>
      <c r="F10901" s="626"/>
    </row>
    <row r="10902" spans="1:6">
      <c r="A10902" t="str">
        <f t="shared" si="170"/>
        <v/>
      </c>
      <c r="E10902" s="626"/>
      <c r="F10902" s="626"/>
    </row>
    <row r="10903" spans="1:6">
      <c r="A10903" t="str">
        <f t="shared" si="170"/>
        <v/>
      </c>
      <c r="E10903" s="626"/>
      <c r="F10903" s="626"/>
    </row>
    <row r="10904" spans="1:6">
      <c r="A10904" t="str">
        <f t="shared" si="170"/>
        <v/>
      </c>
      <c r="E10904" s="626"/>
      <c r="F10904" s="626"/>
    </row>
    <row r="10905" spans="1:6">
      <c r="A10905" t="str">
        <f t="shared" si="170"/>
        <v/>
      </c>
      <c r="E10905" s="626"/>
      <c r="F10905" s="626"/>
    </row>
    <row r="10906" spans="1:6">
      <c r="A10906" t="str">
        <f t="shared" si="170"/>
        <v/>
      </c>
      <c r="E10906" s="626"/>
      <c r="F10906" s="626"/>
    </row>
    <row r="10907" spans="1:6">
      <c r="A10907" t="str">
        <f t="shared" si="170"/>
        <v/>
      </c>
      <c r="E10907" s="626"/>
      <c r="F10907" s="626"/>
    </row>
    <row r="10908" spans="1:6">
      <c r="A10908" t="str">
        <f t="shared" si="170"/>
        <v/>
      </c>
      <c r="E10908" s="626"/>
      <c r="F10908" s="626"/>
    </row>
    <row r="10909" spans="1:6">
      <c r="A10909" t="str">
        <f t="shared" si="170"/>
        <v/>
      </c>
      <c r="E10909" s="626"/>
      <c r="F10909" s="626"/>
    </row>
    <row r="10910" spans="1:6">
      <c r="A10910" t="str">
        <f t="shared" si="170"/>
        <v/>
      </c>
      <c r="E10910" s="626"/>
      <c r="F10910" s="626"/>
    </row>
    <row r="10911" spans="1:6">
      <c r="A10911" t="str">
        <f t="shared" si="170"/>
        <v/>
      </c>
      <c r="E10911" s="626"/>
      <c r="F10911" s="626"/>
    </row>
    <row r="10912" spans="1:6">
      <c r="A10912" t="str">
        <f t="shared" si="170"/>
        <v/>
      </c>
      <c r="E10912" s="626"/>
      <c r="F10912" s="626"/>
    </row>
    <row r="10913" spans="1:6">
      <c r="A10913" t="str">
        <f t="shared" si="170"/>
        <v/>
      </c>
      <c r="E10913" s="626"/>
      <c r="F10913" s="626"/>
    </row>
    <row r="10914" spans="1:6">
      <c r="A10914" t="str">
        <f t="shared" si="170"/>
        <v/>
      </c>
      <c r="E10914" s="626"/>
      <c r="F10914" s="626"/>
    </row>
    <row r="10915" spans="1:6">
      <c r="A10915" t="str">
        <f t="shared" si="170"/>
        <v/>
      </c>
      <c r="E10915" s="626"/>
      <c r="F10915" s="626"/>
    </row>
    <row r="10916" spans="1:6">
      <c r="A10916" t="str">
        <f t="shared" si="170"/>
        <v/>
      </c>
      <c r="E10916" s="626"/>
      <c r="F10916" s="626"/>
    </row>
    <row r="10917" spans="1:6">
      <c r="A10917" t="str">
        <f t="shared" si="170"/>
        <v/>
      </c>
      <c r="E10917" s="626"/>
      <c r="F10917" s="626"/>
    </row>
    <row r="10918" spans="1:6">
      <c r="A10918" t="str">
        <f t="shared" si="170"/>
        <v/>
      </c>
      <c r="E10918" s="626"/>
      <c r="F10918" s="626"/>
    </row>
    <row r="10919" spans="1:6">
      <c r="A10919" t="str">
        <f t="shared" si="170"/>
        <v/>
      </c>
      <c r="E10919" s="626"/>
      <c r="F10919" s="626"/>
    </row>
    <row r="10920" spans="1:6">
      <c r="A10920" t="str">
        <f t="shared" si="170"/>
        <v/>
      </c>
      <c r="E10920" s="626"/>
      <c r="F10920" s="626"/>
    </row>
    <row r="10921" spans="1:6">
      <c r="A10921" t="str">
        <f t="shared" si="170"/>
        <v/>
      </c>
      <c r="E10921" s="626"/>
      <c r="F10921" s="626"/>
    </row>
    <row r="10922" spans="1:6">
      <c r="A10922" t="str">
        <f t="shared" si="170"/>
        <v/>
      </c>
      <c r="E10922" s="626"/>
      <c r="F10922" s="626"/>
    </row>
    <row r="10923" spans="1:6">
      <c r="A10923" t="str">
        <f t="shared" si="170"/>
        <v/>
      </c>
      <c r="E10923" s="626"/>
      <c r="F10923" s="626"/>
    </row>
    <row r="10924" spans="1:6">
      <c r="A10924" t="str">
        <f t="shared" si="170"/>
        <v/>
      </c>
      <c r="E10924" s="626"/>
      <c r="F10924" s="626"/>
    </row>
    <row r="10925" spans="1:6">
      <c r="A10925" t="str">
        <f t="shared" si="170"/>
        <v/>
      </c>
      <c r="E10925" s="626"/>
      <c r="F10925" s="626"/>
    </row>
    <row r="10926" spans="1:6">
      <c r="A10926" t="str">
        <f t="shared" si="170"/>
        <v/>
      </c>
      <c r="E10926" s="626"/>
      <c r="F10926" s="626"/>
    </row>
    <row r="10927" spans="1:6">
      <c r="A10927" t="str">
        <f t="shared" si="170"/>
        <v/>
      </c>
      <c r="E10927" s="626"/>
      <c r="F10927" s="626"/>
    </row>
    <row r="10928" spans="1:6">
      <c r="A10928" t="str">
        <f t="shared" si="170"/>
        <v/>
      </c>
      <c r="E10928" s="626"/>
      <c r="F10928" s="626"/>
    </row>
    <row r="10929" spans="1:6">
      <c r="A10929" t="str">
        <f t="shared" si="170"/>
        <v/>
      </c>
      <c r="E10929" s="626"/>
      <c r="F10929" s="626"/>
    </row>
    <row r="10930" spans="1:6">
      <c r="A10930" t="str">
        <f t="shared" si="170"/>
        <v/>
      </c>
      <c r="E10930" s="626"/>
      <c r="F10930" s="626"/>
    </row>
    <row r="10931" spans="1:6">
      <c r="A10931" t="str">
        <f t="shared" si="170"/>
        <v/>
      </c>
      <c r="E10931" s="626"/>
      <c r="F10931" s="626"/>
    </row>
    <row r="10932" spans="1:6">
      <c r="A10932" t="str">
        <f t="shared" si="170"/>
        <v/>
      </c>
      <c r="E10932" s="626"/>
      <c r="F10932" s="626"/>
    </row>
    <row r="10933" spans="1:6">
      <c r="A10933" t="str">
        <f t="shared" si="170"/>
        <v/>
      </c>
      <c r="E10933" s="626"/>
      <c r="F10933" s="626"/>
    </row>
    <row r="10934" spans="1:6">
      <c r="A10934" t="str">
        <f t="shared" si="170"/>
        <v/>
      </c>
      <c r="E10934" s="626"/>
      <c r="F10934" s="626"/>
    </row>
    <row r="10935" spans="1:6">
      <c r="A10935" t="str">
        <f t="shared" si="170"/>
        <v/>
      </c>
      <c r="E10935" s="626"/>
      <c r="F10935" s="626"/>
    </row>
    <row r="10936" spans="1:6">
      <c r="A10936" t="str">
        <f t="shared" si="170"/>
        <v/>
      </c>
      <c r="E10936" s="626"/>
      <c r="F10936" s="626"/>
    </row>
    <row r="10937" spans="1:6">
      <c r="A10937" t="str">
        <f t="shared" si="170"/>
        <v/>
      </c>
      <c r="E10937" s="626"/>
      <c r="F10937" s="626"/>
    </row>
    <row r="10938" spans="1:6">
      <c r="A10938" t="str">
        <f t="shared" si="170"/>
        <v/>
      </c>
      <c r="E10938" s="626"/>
      <c r="F10938" s="626"/>
    </row>
    <row r="10939" spans="1:6">
      <c r="A10939" t="str">
        <f t="shared" si="170"/>
        <v/>
      </c>
      <c r="E10939" s="626"/>
      <c r="F10939" s="626"/>
    </row>
    <row r="10940" spans="1:6">
      <c r="A10940" t="str">
        <f t="shared" si="170"/>
        <v/>
      </c>
      <c r="E10940" s="626"/>
      <c r="F10940" s="626"/>
    </row>
    <row r="10941" spans="1:6">
      <c r="A10941" t="str">
        <f t="shared" si="170"/>
        <v/>
      </c>
      <c r="E10941" s="626"/>
      <c r="F10941" s="626"/>
    </row>
    <row r="10942" spans="1:6">
      <c r="A10942" t="str">
        <f t="shared" si="170"/>
        <v/>
      </c>
      <c r="E10942" s="626"/>
      <c r="F10942" s="626"/>
    </row>
    <row r="10943" spans="1:6">
      <c r="A10943" t="str">
        <f t="shared" si="170"/>
        <v/>
      </c>
      <c r="E10943" s="626"/>
      <c r="F10943" s="626"/>
    </row>
    <row r="10944" spans="1:6">
      <c r="A10944" t="str">
        <f t="shared" si="170"/>
        <v/>
      </c>
      <c r="E10944" s="626"/>
      <c r="F10944" s="626"/>
    </row>
    <row r="10945" spans="1:6">
      <c r="A10945" t="str">
        <f t="shared" si="170"/>
        <v/>
      </c>
      <c r="E10945" s="626"/>
      <c r="F10945" s="626"/>
    </row>
    <row r="10946" spans="1:6">
      <c r="A10946" t="str">
        <f t="shared" ref="A10946:A11009" si="171">B10946&amp;E10946&amp;J10946</f>
        <v/>
      </c>
      <c r="E10946" s="626"/>
      <c r="F10946" s="626"/>
    </row>
    <row r="10947" spans="1:6">
      <c r="A10947" t="str">
        <f t="shared" si="171"/>
        <v/>
      </c>
      <c r="E10947" s="626"/>
      <c r="F10947" s="626"/>
    </row>
    <row r="10948" spans="1:6">
      <c r="A10948" t="str">
        <f t="shared" si="171"/>
        <v/>
      </c>
      <c r="E10948" s="626"/>
      <c r="F10948" s="626"/>
    </row>
    <row r="10949" spans="1:6">
      <c r="A10949" t="str">
        <f t="shared" si="171"/>
        <v/>
      </c>
      <c r="E10949" s="626"/>
      <c r="F10949" s="626"/>
    </row>
    <row r="10950" spans="1:6">
      <c r="A10950" t="str">
        <f t="shared" si="171"/>
        <v/>
      </c>
      <c r="E10950" s="626"/>
      <c r="F10950" s="626"/>
    </row>
    <row r="10951" spans="1:6">
      <c r="A10951" t="str">
        <f t="shared" si="171"/>
        <v/>
      </c>
      <c r="E10951" s="626"/>
      <c r="F10951" s="626"/>
    </row>
    <row r="10952" spans="1:6">
      <c r="A10952" t="str">
        <f t="shared" si="171"/>
        <v/>
      </c>
      <c r="E10952" s="626"/>
      <c r="F10952" s="626"/>
    </row>
    <row r="10953" spans="1:6">
      <c r="A10953" t="str">
        <f t="shared" si="171"/>
        <v/>
      </c>
      <c r="E10953" s="626"/>
      <c r="F10953" s="626"/>
    </row>
    <row r="10954" spans="1:6">
      <c r="A10954" t="str">
        <f t="shared" si="171"/>
        <v/>
      </c>
      <c r="E10954" s="626"/>
      <c r="F10954" s="626"/>
    </row>
    <row r="10955" spans="1:6">
      <c r="A10955" t="str">
        <f t="shared" si="171"/>
        <v/>
      </c>
      <c r="E10955" s="626"/>
      <c r="F10955" s="626"/>
    </row>
    <row r="10956" spans="1:6">
      <c r="A10956" t="str">
        <f t="shared" si="171"/>
        <v/>
      </c>
      <c r="E10956" s="626"/>
      <c r="F10956" s="626"/>
    </row>
    <row r="10957" spans="1:6">
      <c r="A10957" t="str">
        <f t="shared" si="171"/>
        <v/>
      </c>
      <c r="E10957" s="626"/>
      <c r="F10957" s="626"/>
    </row>
    <row r="10958" spans="1:6">
      <c r="A10958" t="str">
        <f t="shared" si="171"/>
        <v/>
      </c>
      <c r="E10958" s="626"/>
      <c r="F10958" s="626"/>
    </row>
    <row r="10959" spans="1:6">
      <c r="A10959" t="str">
        <f t="shared" si="171"/>
        <v/>
      </c>
      <c r="E10959" s="626"/>
      <c r="F10959" s="626"/>
    </row>
    <row r="10960" spans="1:6">
      <c r="A10960" t="str">
        <f t="shared" si="171"/>
        <v/>
      </c>
      <c r="E10960" s="626"/>
      <c r="F10960" s="626"/>
    </row>
    <row r="10961" spans="1:6">
      <c r="A10961" t="str">
        <f t="shared" si="171"/>
        <v/>
      </c>
      <c r="E10961" s="626"/>
      <c r="F10961" s="626"/>
    </row>
    <row r="10962" spans="1:6">
      <c r="A10962" t="str">
        <f t="shared" si="171"/>
        <v/>
      </c>
      <c r="E10962" s="626"/>
      <c r="F10962" s="626"/>
    </row>
    <row r="10963" spans="1:6">
      <c r="A10963" t="str">
        <f t="shared" si="171"/>
        <v/>
      </c>
      <c r="E10963" s="626"/>
      <c r="F10963" s="626"/>
    </row>
    <row r="10964" spans="1:6">
      <c r="A10964" t="str">
        <f t="shared" si="171"/>
        <v/>
      </c>
      <c r="E10964" s="626"/>
      <c r="F10964" s="626"/>
    </row>
    <row r="10965" spans="1:6">
      <c r="A10965" t="str">
        <f t="shared" si="171"/>
        <v/>
      </c>
      <c r="E10965" s="626"/>
      <c r="F10965" s="626"/>
    </row>
    <row r="10966" spans="1:6">
      <c r="A10966" t="str">
        <f t="shared" si="171"/>
        <v/>
      </c>
      <c r="E10966" s="626"/>
      <c r="F10966" s="626"/>
    </row>
    <row r="10967" spans="1:6">
      <c r="A10967" t="str">
        <f t="shared" si="171"/>
        <v/>
      </c>
      <c r="E10967" s="626"/>
      <c r="F10967" s="626"/>
    </row>
    <row r="10968" spans="1:6">
      <c r="A10968" t="str">
        <f t="shared" si="171"/>
        <v/>
      </c>
      <c r="E10968" s="626"/>
      <c r="F10968" s="626"/>
    </row>
    <row r="10969" spans="1:6">
      <c r="A10969" t="str">
        <f t="shared" si="171"/>
        <v/>
      </c>
      <c r="E10969" s="626"/>
      <c r="F10969" s="626"/>
    </row>
    <row r="10970" spans="1:6">
      <c r="A10970" t="str">
        <f t="shared" si="171"/>
        <v/>
      </c>
      <c r="E10970" s="626"/>
      <c r="F10970" s="626"/>
    </row>
    <row r="10971" spans="1:6">
      <c r="A10971" t="str">
        <f t="shared" si="171"/>
        <v/>
      </c>
      <c r="E10971" s="626"/>
      <c r="F10971" s="626"/>
    </row>
    <row r="10972" spans="1:6">
      <c r="A10972" t="str">
        <f t="shared" si="171"/>
        <v/>
      </c>
      <c r="E10972" s="626"/>
      <c r="F10972" s="626"/>
    </row>
    <row r="10973" spans="1:6">
      <c r="A10973" t="str">
        <f t="shared" si="171"/>
        <v/>
      </c>
      <c r="E10973" s="626"/>
      <c r="F10973" s="626"/>
    </row>
    <row r="10974" spans="1:6">
      <c r="A10974" t="str">
        <f t="shared" si="171"/>
        <v/>
      </c>
      <c r="E10974" s="626"/>
      <c r="F10974" s="626"/>
    </row>
    <row r="10975" spans="1:6">
      <c r="A10975" t="str">
        <f t="shared" si="171"/>
        <v/>
      </c>
      <c r="E10975" s="626"/>
      <c r="F10975" s="626"/>
    </row>
    <row r="10976" spans="1:6">
      <c r="A10976" t="str">
        <f t="shared" si="171"/>
        <v/>
      </c>
      <c r="E10976" s="626"/>
      <c r="F10976" s="626"/>
    </row>
    <row r="10977" spans="1:6">
      <c r="A10977" t="str">
        <f t="shared" si="171"/>
        <v/>
      </c>
      <c r="E10977" s="626"/>
      <c r="F10977" s="626"/>
    </row>
    <row r="10978" spans="1:6">
      <c r="A10978" t="str">
        <f t="shared" si="171"/>
        <v/>
      </c>
      <c r="E10978" s="626"/>
      <c r="F10978" s="626"/>
    </row>
    <row r="10979" spans="1:6">
      <c r="A10979" t="str">
        <f t="shared" si="171"/>
        <v/>
      </c>
      <c r="E10979" s="626"/>
      <c r="F10979" s="626"/>
    </row>
    <row r="10980" spans="1:6">
      <c r="A10980" t="str">
        <f t="shared" si="171"/>
        <v/>
      </c>
      <c r="E10980" s="626"/>
      <c r="F10980" s="626"/>
    </row>
    <row r="10981" spans="1:6">
      <c r="A10981" t="str">
        <f t="shared" si="171"/>
        <v/>
      </c>
      <c r="E10981" s="626"/>
      <c r="F10981" s="626"/>
    </row>
    <row r="10982" spans="1:6">
      <c r="A10982" t="str">
        <f t="shared" si="171"/>
        <v/>
      </c>
      <c r="E10982" s="626"/>
      <c r="F10982" s="626"/>
    </row>
    <row r="10983" spans="1:6">
      <c r="A10983" t="str">
        <f t="shared" si="171"/>
        <v/>
      </c>
      <c r="E10983" s="626"/>
      <c r="F10983" s="626"/>
    </row>
    <row r="10984" spans="1:6">
      <c r="A10984" t="str">
        <f t="shared" si="171"/>
        <v/>
      </c>
      <c r="E10984" s="626"/>
      <c r="F10984" s="626"/>
    </row>
    <row r="10985" spans="1:6">
      <c r="A10985" t="str">
        <f t="shared" si="171"/>
        <v/>
      </c>
      <c r="E10985" s="626"/>
      <c r="F10985" s="626"/>
    </row>
    <row r="10986" spans="1:6">
      <c r="A10986" t="str">
        <f t="shared" si="171"/>
        <v/>
      </c>
      <c r="E10986" s="626"/>
      <c r="F10986" s="626"/>
    </row>
    <row r="10987" spans="1:6">
      <c r="A10987" t="str">
        <f t="shared" si="171"/>
        <v/>
      </c>
      <c r="E10987" s="626"/>
      <c r="F10987" s="626"/>
    </row>
    <row r="10988" spans="1:6">
      <c r="A10988" t="str">
        <f t="shared" si="171"/>
        <v/>
      </c>
      <c r="E10988" s="626"/>
      <c r="F10988" s="626"/>
    </row>
    <row r="10989" spans="1:6">
      <c r="A10989" t="str">
        <f t="shared" si="171"/>
        <v/>
      </c>
      <c r="E10989" s="626"/>
      <c r="F10989" s="626"/>
    </row>
    <row r="10990" spans="1:6">
      <c r="A10990" t="str">
        <f t="shared" si="171"/>
        <v/>
      </c>
      <c r="E10990" s="626"/>
      <c r="F10990" s="626"/>
    </row>
    <row r="10991" spans="1:6">
      <c r="A10991" t="str">
        <f t="shared" si="171"/>
        <v/>
      </c>
      <c r="E10991" s="626"/>
      <c r="F10991" s="626"/>
    </row>
    <row r="10992" spans="1:6">
      <c r="A10992" t="str">
        <f t="shared" si="171"/>
        <v/>
      </c>
      <c r="E10992" s="626"/>
      <c r="F10992" s="626"/>
    </row>
    <row r="10993" spans="1:6">
      <c r="A10993" t="str">
        <f t="shared" si="171"/>
        <v/>
      </c>
      <c r="E10993" s="626"/>
      <c r="F10993" s="626"/>
    </row>
    <row r="10994" spans="1:6">
      <c r="A10994" t="str">
        <f t="shared" si="171"/>
        <v/>
      </c>
      <c r="E10994" s="626"/>
      <c r="F10994" s="626"/>
    </row>
    <row r="10995" spans="1:6">
      <c r="A10995" t="str">
        <f t="shared" si="171"/>
        <v/>
      </c>
      <c r="E10995" s="626"/>
      <c r="F10995" s="626"/>
    </row>
    <row r="10996" spans="1:6">
      <c r="A10996" t="str">
        <f t="shared" si="171"/>
        <v/>
      </c>
      <c r="E10996" s="626"/>
      <c r="F10996" s="626"/>
    </row>
    <row r="10997" spans="1:6">
      <c r="A10997" t="str">
        <f t="shared" si="171"/>
        <v/>
      </c>
      <c r="E10997" s="626"/>
      <c r="F10997" s="626"/>
    </row>
    <row r="10998" spans="1:6">
      <c r="A10998" t="str">
        <f t="shared" si="171"/>
        <v/>
      </c>
      <c r="E10998" s="626"/>
      <c r="F10998" s="626"/>
    </row>
    <row r="10999" spans="1:6">
      <c r="A10999" t="str">
        <f t="shared" si="171"/>
        <v/>
      </c>
      <c r="E10999" s="626"/>
      <c r="F10999" s="626"/>
    </row>
    <row r="11000" spans="1:6">
      <c r="A11000" t="str">
        <f t="shared" si="171"/>
        <v/>
      </c>
      <c r="E11000" s="626"/>
      <c r="F11000" s="626"/>
    </row>
    <row r="11001" spans="1:6">
      <c r="A11001" t="str">
        <f t="shared" si="171"/>
        <v/>
      </c>
      <c r="E11001" s="626"/>
      <c r="F11001" s="626"/>
    </row>
    <row r="11002" spans="1:6">
      <c r="A11002" t="str">
        <f t="shared" si="171"/>
        <v/>
      </c>
      <c r="E11002" s="626"/>
      <c r="F11002" s="626"/>
    </row>
    <row r="11003" spans="1:6">
      <c r="A11003" t="str">
        <f t="shared" si="171"/>
        <v/>
      </c>
      <c r="E11003" s="626"/>
      <c r="F11003" s="626"/>
    </row>
    <row r="11004" spans="1:6">
      <c r="A11004" t="str">
        <f t="shared" si="171"/>
        <v/>
      </c>
      <c r="E11004" s="626"/>
      <c r="F11004" s="626"/>
    </row>
    <row r="11005" spans="1:6">
      <c r="A11005" t="str">
        <f t="shared" si="171"/>
        <v/>
      </c>
      <c r="E11005" s="626"/>
      <c r="F11005" s="626"/>
    </row>
    <row r="11006" spans="1:6">
      <c r="A11006" t="str">
        <f t="shared" si="171"/>
        <v/>
      </c>
      <c r="E11006" s="626"/>
      <c r="F11006" s="626"/>
    </row>
    <row r="11007" spans="1:6">
      <c r="A11007" t="str">
        <f t="shared" si="171"/>
        <v/>
      </c>
      <c r="E11007" s="626"/>
      <c r="F11007" s="626"/>
    </row>
    <row r="11008" spans="1:6">
      <c r="A11008" t="str">
        <f t="shared" si="171"/>
        <v/>
      </c>
      <c r="E11008" s="626"/>
      <c r="F11008" s="626"/>
    </row>
    <row r="11009" spans="1:6">
      <c r="A11009" t="str">
        <f t="shared" si="171"/>
        <v/>
      </c>
      <c r="E11009" s="626"/>
      <c r="F11009" s="626"/>
    </row>
    <row r="11010" spans="1:6">
      <c r="A11010" t="str">
        <f t="shared" ref="A11010:A11073" si="172">B11010&amp;E11010&amp;J11010</f>
        <v/>
      </c>
      <c r="E11010" s="626"/>
      <c r="F11010" s="626"/>
    </row>
    <row r="11011" spans="1:6">
      <c r="A11011" t="str">
        <f t="shared" si="172"/>
        <v/>
      </c>
      <c r="E11011" s="626"/>
      <c r="F11011" s="626"/>
    </row>
    <row r="11012" spans="1:6">
      <c r="A11012" t="str">
        <f t="shared" si="172"/>
        <v/>
      </c>
      <c r="E11012" s="626"/>
      <c r="F11012" s="626"/>
    </row>
    <row r="11013" spans="1:6">
      <c r="A11013" t="str">
        <f t="shared" si="172"/>
        <v/>
      </c>
      <c r="E11013" s="626"/>
      <c r="F11013" s="626"/>
    </row>
    <row r="11014" spans="1:6">
      <c r="A11014" t="str">
        <f t="shared" si="172"/>
        <v/>
      </c>
      <c r="E11014" s="626"/>
      <c r="F11014" s="626"/>
    </row>
    <row r="11015" spans="1:6">
      <c r="A11015" t="str">
        <f t="shared" si="172"/>
        <v/>
      </c>
      <c r="E11015" s="626"/>
      <c r="F11015" s="626"/>
    </row>
    <row r="11016" spans="1:6">
      <c r="A11016" t="str">
        <f t="shared" si="172"/>
        <v/>
      </c>
      <c r="E11016" s="626"/>
      <c r="F11016" s="626"/>
    </row>
    <row r="11017" spans="1:6">
      <c r="A11017" t="str">
        <f t="shared" si="172"/>
        <v/>
      </c>
      <c r="E11017" s="626"/>
      <c r="F11017" s="626"/>
    </row>
    <row r="11018" spans="1:6">
      <c r="A11018" t="str">
        <f t="shared" si="172"/>
        <v/>
      </c>
      <c r="E11018" s="626"/>
      <c r="F11018" s="626"/>
    </row>
    <row r="11019" spans="1:6">
      <c r="A11019" t="str">
        <f t="shared" si="172"/>
        <v/>
      </c>
      <c r="E11019" s="626"/>
      <c r="F11019" s="626"/>
    </row>
    <row r="11020" spans="1:6">
      <c r="A11020" t="str">
        <f t="shared" si="172"/>
        <v/>
      </c>
      <c r="E11020" s="626"/>
      <c r="F11020" s="626"/>
    </row>
    <row r="11021" spans="1:6">
      <c r="A11021" t="str">
        <f t="shared" si="172"/>
        <v/>
      </c>
      <c r="E11021" s="626"/>
      <c r="F11021" s="626"/>
    </row>
    <row r="11022" spans="1:6">
      <c r="A11022" t="str">
        <f t="shared" si="172"/>
        <v/>
      </c>
      <c r="E11022" s="626"/>
      <c r="F11022" s="626"/>
    </row>
    <row r="11023" spans="1:6">
      <c r="A11023" t="str">
        <f t="shared" si="172"/>
        <v/>
      </c>
      <c r="E11023" s="626"/>
      <c r="F11023" s="626"/>
    </row>
    <row r="11024" spans="1:6">
      <c r="A11024" t="str">
        <f t="shared" si="172"/>
        <v/>
      </c>
      <c r="E11024" s="626"/>
      <c r="F11024" s="626"/>
    </row>
    <row r="11025" spans="1:6">
      <c r="A11025" t="str">
        <f t="shared" si="172"/>
        <v/>
      </c>
      <c r="E11025" s="626"/>
      <c r="F11025" s="626"/>
    </row>
    <row r="11026" spans="1:6">
      <c r="A11026" t="str">
        <f t="shared" si="172"/>
        <v/>
      </c>
      <c r="E11026" s="626"/>
      <c r="F11026" s="626"/>
    </row>
    <row r="11027" spans="1:6">
      <c r="A11027" t="str">
        <f t="shared" si="172"/>
        <v/>
      </c>
      <c r="E11027" s="626"/>
      <c r="F11027" s="626"/>
    </row>
    <row r="11028" spans="1:6">
      <c r="A11028" t="str">
        <f t="shared" si="172"/>
        <v/>
      </c>
      <c r="E11028" s="626"/>
      <c r="F11028" s="626"/>
    </row>
    <row r="11029" spans="1:6">
      <c r="A11029" t="str">
        <f t="shared" si="172"/>
        <v/>
      </c>
      <c r="E11029" s="626"/>
      <c r="F11029" s="626"/>
    </row>
    <row r="11030" spans="1:6">
      <c r="A11030" t="str">
        <f t="shared" si="172"/>
        <v/>
      </c>
      <c r="E11030" s="626"/>
      <c r="F11030" s="626"/>
    </row>
    <row r="11031" spans="1:6">
      <c r="A11031" t="str">
        <f t="shared" si="172"/>
        <v/>
      </c>
      <c r="E11031" s="626"/>
      <c r="F11031" s="626"/>
    </row>
    <row r="11032" spans="1:6">
      <c r="A11032" t="str">
        <f t="shared" si="172"/>
        <v/>
      </c>
      <c r="E11032" s="626"/>
      <c r="F11032" s="626"/>
    </row>
    <row r="11033" spans="1:6">
      <c r="A11033" t="str">
        <f t="shared" si="172"/>
        <v/>
      </c>
      <c r="E11033" s="626"/>
      <c r="F11033" s="626"/>
    </row>
    <row r="11034" spans="1:6">
      <c r="A11034" t="str">
        <f t="shared" si="172"/>
        <v/>
      </c>
      <c r="E11034" s="626"/>
      <c r="F11034" s="626"/>
    </row>
    <row r="11035" spans="1:6">
      <c r="A11035" t="str">
        <f t="shared" si="172"/>
        <v/>
      </c>
      <c r="E11035" s="626"/>
      <c r="F11035" s="626"/>
    </row>
    <row r="11036" spans="1:6">
      <c r="A11036" t="str">
        <f t="shared" si="172"/>
        <v/>
      </c>
      <c r="E11036" s="626"/>
      <c r="F11036" s="626"/>
    </row>
    <row r="11037" spans="1:6">
      <c r="A11037" t="str">
        <f t="shared" si="172"/>
        <v/>
      </c>
      <c r="E11037" s="626"/>
      <c r="F11037" s="626"/>
    </row>
    <row r="11038" spans="1:6">
      <c r="A11038" t="str">
        <f t="shared" si="172"/>
        <v/>
      </c>
      <c r="E11038" s="626"/>
      <c r="F11038" s="626"/>
    </row>
    <row r="11039" spans="1:6">
      <c r="A11039" t="str">
        <f t="shared" si="172"/>
        <v/>
      </c>
      <c r="E11039" s="626"/>
      <c r="F11039" s="626"/>
    </row>
    <row r="11040" spans="1:6">
      <c r="A11040" t="str">
        <f t="shared" si="172"/>
        <v/>
      </c>
      <c r="E11040" s="626"/>
      <c r="F11040" s="626"/>
    </row>
    <row r="11041" spans="1:6">
      <c r="A11041" t="str">
        <f t="shared" si="172"/>
        <v/>
      </c>
      <c r="E11041" s="626"/>
      <c r="F11041" s="626"/>
    </row>
    <row r="11042" spans="1:6">
      <c r="A11042" t="str">
        <f t="shared" si="172"/>
        <v/>
      </c>
      <c r="E11042" s="626"/>
      <c r="F11042" s="626"/>
    </row>
    <row r="11043" spans="1:6">
      <c r="A11043" t="str">
        <f t="shared" si="172"/>
        <v/>
      </c>
      <c r="E11043" s="626"/>
      <c r="F11043" s="626"/>
    </row>
    <row r="11044" spans="1:6">
      <c r="A11044" t="str">
        <f t="shared" si="172"/>
        <v/>
      </c>
      <c r="E11044" s="626"/>
      <c r="F11044" s="626"/>
    </row>
    <row r="11045" spans="1:6">
      <c r="A11045" t="str">
        <f t="shared" si="172"/>
        <v/>
      </c>
      <c r="E11045" s="626"/>
      <c r="F11045" s="626"/>
    </row>
    <row r="11046" spans="1:6">
      <c r="A11046" t="str">
        <f t="shared" si="172"/>
        <v/>
      </c>
      <c r="E11046" s="626"/>
      <c r="F11046" s="626"/>
    </row>
    <row r="11047" spans="1:6">
      <c r="A11047" t="str">
        <f t="shared" si="172"/>
        <v/>
      </c>
      <c r="E11047" s="626"/>
      <c r="F11047" s="626"/>
    </row>
    <row r="11048" spans="1:6">
      <c r="A11048" t="str">
        <f t="shared" si="172"/>
        <v/>
      </c>
      <c r="E11048" s="626"/>
      <c r="F11048" s="626"/>
    </row>
    <row r="11049" spans="1:6">
      <c r="A11049" t="str">
        <f t="shared" si="172"/>
        <v/>
      </c>
      <c r="E11049" s="626"/>
      <c r="F11049" s="626"/>
    </row>
    <row r="11050" spans="1:6">
      <c r="A11050" t="str">
        <f t="shared" si="172"/>
        <v/>
      </c>
      <c r="E11050" s="626"/>
      <c r="F11050" s="626"/>
    </row>
    <row r="11051" spans="1:6">
      <c r="A11051" t="str">
        <f t="shared" si="172"/>
        <v/>
      </c>
      <c r="E11051" s="626"/>
      <c r="F11051" s="626"/>
    </row>
    <row r="11052" spans="1:6">
      <c r="A11052" t="str">
        <f t="shared" si="172"/>
        <v/>
      </c>
      <c r="E11052" s="626"/>
      <c r="F11052" s="626"/>
    </row>
    <row r="11053" spans="1:6">
      <c r="A11053" t="str">
        <f t="shared" si="172"/>
        <v/>
      </c>
      <c r="E11053" s="626"/>
      <c r="F11053" s="626"/>
    </row>
    <row r="11054" spans="1:6">
      <c r="A11054" t="str">
        <f t="shared" si="172"/>
        <v/>
      </c>
      <c r="E11054" s="626"/>
      <c r="F11054" s="626"/>
    </row>
    <row r="11055" spans="1:6">
      <c r="A11055" t="str">
        <f t="shared" si="172"/>
        <v/>
      </c>
      <c r="E11055" s="626"/>
      <c r="F11055" s="626"/>
    </row>
    <row r="11056" spans="1:6">
      <c r="A11056" t="str">
        <f t="shared" si="172"/>
        <v/>
      </c>
      <c r="E11056" s="626"/>
      <c r="F11056" s="626"/>
    </row>
    <row r="11057" spans="1:6">
      <c r="A11057" t="str">
        <f t="shared" si="172"/>
        <v/>
      </c>
      <c r="E11057" s="626"/>
      <c r="F11057" s="626"/>
    </row>
    <row r="11058" spans="1:6">
      <c r="A11058" t="str">
        <f t="shared" si="172"/>
        <v/>
      </c>
      <c r="E11058" s="626"/>
      <c r="F11058" s="626"/>
    </row>
    <row r="11059" spans="1:6">
      <c r="A11059" t="str">
        <f t="shared" si="172"/>
        <v/>
      </c>
      <c r="E11059" s="626"/>
      <c r="F11059" s="626"/>
    </row>
    <row r="11060" spans="1:6">
      <c r="A11060" t="str">
        <f t="shared" si="172"/>
        <v/>
      </c>
      <c r="E11060" s="626"/>
      <c r="F11060" s="626"/>
    </row>
    <row r="11061" spans="1:6">
      <c r="A11061" t="str">
        <f t="shared" si="172"/>
        <v/>
      </c>
      <c r="E11061" s="626"/>
      <c r="F11061" s="626"/>
    </row>
    <row r="11062" spans="1:6">
      <c r="A11062" t="str">
        <f t="shared" si="172"/>
        <v/>
      </c>
      <c r="E11062" s="626"/>
      <c r="F11062" s="626"/>
    </row>
    <row r="11063" spans="1:6">
      <c r="A11063" t="str">
        <f t="shared" si="172"/>
        <v/>
      </c>
      <c r="E11063" s="626"/>
      <c r="F11063" s="626"/>
    </row>
    <row r="11064" spans="1:6">
      <c r="A11064" t="str">
        <f t="shared" si="172"/>
        <v/>
      </c>
      <c r="E11064" s="626"/>
      <c r="F11064" s="626"/>
    </row>
    <row r="11065" spans="1:6">
      <c r="A11065" t="str">
        <f t="shared" si="172"/>
        <v/>
      </c>
      <c r="E11065" s="626"/>
      <c r="F11065" s="626"/>
    </row>
    <row r="11066" spans="1:6">
      <c r="A11066" t="str">
        <f t="shared" si="172"/>
        <v/>
      </c>
      <c r="E11066" s="626"/>
      <c r="F11066" s="626"/>
    </row>
    <row r="11067" spans="1:6">
      <c r="A11067" t="str">
        <f t="shared" si="172"/>
        <v/>
      </c>
      <c r="E11067" s="626"/>
      <c r="F11067" s="626"/>
    </row>
    <row r="11068" spans="1:6">
      <c r="A11068" t="str">
        <f t="shared" si="172"/>
        <v/>
      </c>
      <c r="E11068" s="626"/>
      <c r="F11068" s="626"/>
    </row>
    <row r="11069" spans="1:6">
      <c r="A11069" t="str">
        <f t="shared" si="172"/>
        <v/>
      </c>
      <c r="E11069" s="626"/>
      <c r="F11069" s="626"/>
    </row>
    <row r="11070" spans="1:6">
      <c r="A11070" t="str">
        <f t="shared" si="172"/>
        <v/>
      </c>
      <c r="E11070" s="626"/>
      <c r="F11070" s="626"/>
    </row>
    <row r="11071" spans="1:6">
      <c r="A11071" t="str">
        <f t="shared" si="172"/>
        <v/>
      </c>
      <c r="E11071" s="626"/>
      <c r="F11071" s="626"/>
    </row>
    <row r="11072" spans="1:6">
      <c r="A11072" t="str">
        <f t="shared" si="172"/>
        <v/>
      </c>
      <c r="E11072" s="626"/>
      <c r="F11072" s="626"/>
    </row>
    <row r="11073" spans="1:6">
      <c r="A11073" t="str">
        <f t="shared" si="172"/>
        <v/>
      </c>
      <c r="E11073" s="626"/>
      <c r="F11073" s="626"/>
    </row>
    <row r="11074" spans="1:6">
      <c r="A11074" t="str">
        <f t="shared" ref="A11074:A11137" si="173">B11074&amp;E11074&amp;J11074</f>
        <v/>
      </c>
      <c r="E11074" s="626"/>
      <c r="F11074" s="626"/>
    </row>
    <row r="11075" spans="1:6">
      <c r="A11075" t="str">
        <f t="shared" si="173"/>
        <v/>
      </c>
      <c r="E11075" s="626"/>
      <c r="F11075" s="626"/>
    </row>
    <row r="11076" spans="1:6">
      <c r="A11076" t="str">
        <f t="shared" si="173"/>
        <v/>
      </c>
      <c r="E11076" s="626"/>
      <c r="F11076" s="626"/>
    </row>
    <row r="11077" spans="1:6">
      <c r="A11077" t="str">
        <f t="shared" si="173"/>
        <v/>
      </c>
      <c r="E11077" s="626"/>
      <c r="F11077" s="626"/>
    </row>
    <row r="11078" spans="1:6">
      <c r="A11078" t="str">
        <f t="shared" si="173"/>
        <v/>
      </c>
      <c r="E11078" s="626"/>
      <c r="F11078" s="626"/>
    </row>
    <row r="11079" spans="1:6">
      <c r="A11079" t="str">
        <f t="shared" si="173"/>
        <v/>
      </c>
      <c r="E11079" s="626"/>
      <c r="F11079" s="626"/>
    </row>
    <row r="11080" spans="1:6">
      <c r="A11080" t="str">
        <f t="shared" si="173"/>
        <v/>
      </c>
      <c r="E11080" s="626"/>
      <c r="F11080" s="626"/>
    </row>
    <row r="11081" spans="1:6">
      <c r="A11081" t="str">
        <f t="shared" si="173"/>
        <v/>
      </c>
      <c r="E11081" s="626"/>
      <c r="F11081" s="626"/>
    </row>
    <row r="11082" spans="1:6">
      <c r="A11082" t="str">
        <f t="shared" si="173"/>
        <v/>
      </c>
      <c r="E11082" s="626"/>
      <c r="F11082" s="626"/>
    </row>
    <row r="11083" spans="1:6">
      <c r="A11083" t="str">
        <f t="shared" si="173"/>
        <v/>
      </c>
      <c r="E11083" s="626"/>
      <c r="F11083" s="626"/>
    </row>
    <row r="11084" spans="1:6">
      <c r="A11084" t="str">
        <f t="shared" si="173"/>
        <v/>
      </c>
      <c r="E11084" s="626"/>
      <c r="F11084" s="626"/>
    </row>
    <row r="11085" spans="1:6">
      <c r="A11085" t="str">
        <f t="shared" si="173"/>
        <v/>
      </c>
      <c r="E11085" s="626"/>
      <c r="F11085" s="626"/>
    </row>
    <row r="11086" spans="1:6">
      <c r="A11086" t="str">
        <f t="shared" si="173"/>
        <v/>
      </c>
      <c r="E11086" s="626"/>
      <c r="F11086" s="626"/>
    </row>
    <row r="11087" spans="1:6">
      <c r="A11087" t="str">
        <f t="shared" si="173"/>
        <v/>
      </c>
      <c r="E11087" s="626"/>
      <c r="F11087" s="626"/>
    </row>
    <row r="11088" spans="1:6">
      <c r="A11088" t="str">
        <f t="shared" si="173"/>
        <v/>
      </c>
      <c r="E11088" s="626"/>
      <c r="F11088" s="626"/>
    </row>
    <row r="11089" spans="1:6">
      <c r="A11089" t="str">
        <f t="shared" si="173"/>
        <v/>
      </c>
      <c r="E11089" s="626"/>
      <c r="F11089" s="626"/>
    </row>
    <row r="11090" spans="1:6">
      <c r="A11090" t="str">
        <f t="shared" si="173"/>
        <v/>
      </c>
      <c r="E11090" s="626"/>
      <c r="F11090" s="626"/>
    </row>
    <row r="11091" spans="1:6">
      <c r="A11091" t="str">
        <f t="shared" si="173"/>
        <v/>
      </c>
      <c r="E11091" s="626"/>
      <c r="F11091" s="626"/>
    </row>
    <row r="11092" spans="1:6">
      <c r="A11092" t="str">
        <f t="shared" si="173"/>
        <v/>
      </c>
      <c r="E11092" s="626"/>
      <c r="F11092" s="626"/>
    </row>
    <row r="11093" spans="1:6">
      <c r="A11093" t="str">
        <f t="shared" si="173"/>
        <v/>
      </c>
      <c r="E11093" s="626"/>
      <c r="F11093" s="626"/>
    </row>
    <row r="11094" spans="1:6">
      <c r="A11094" t="str">
        <f t="shared" si="173"/>
        <v/>
      </c>
      <c r="E11094" s="626"/>
      <c r="F11094" s="626"/>
    </row>
    <row r="11095" spans="1:6">
      <c r="A11095" t="str">
        <f t="shared" si="173"/>
        <v/>
      </c>
      <c r="E11095" s="626"/>
      <c r="F11095" s="626"/>
    </row>
    <row r="11096" spans="1:6">
      <c r="A11096" t="str">
        <f t="shared" si="173"/>
        <v/>
      </c>
      <c r="E11096" s="626"/>
      <c r="F11096" s="626"/>
    </row>
    <row r="11097" spans="1:6">
      <c r="A11097" t="str">
        <f t="shared" si="173"/>
        <v/>
      </c>
      <c r="E11097" s="626"/>
      <c r="F11097" s="626"/>
    </row>
    <row r="11098" spans="1:6">
      <c r="A11098" t="str">
        <f t="shared" si="173"/>
        <v/>
      </c>
      <c r="E11098" s="626"/>
      <c r="F11098" s="626"/>
    </row>
    <row r="11099" spans="1:6">
      <c r="A11099" t="str">
        <f t="shared" si="173"/>
        <v/>
      </c>
      <c r="E11099" s="626"/>
      <c r="F11099" s="626"/>
    </row>
    <row r="11100" spans="1:6">
      <c r="A11100" t="str">
        <f t="shared" si="173"/>
        <v/>
      </c>
      <c r="E11100" s="626"/>
      <c r="F11100" s="626"/>
    </row>
    <row r="11101" spans="1:6">
      <c r="A11101" t="str">
        <f t="shared" si="173"/>
        <v/>
      </c>
      <c r="E11101" s="626"/>
      <c r="F11101" s="626"/>
    </row>
    <row r="11102" spans="1:6">
      <c r="A11102" t="str">
        <f t="shared" si="173"/>
        <v/>
      </c>
      <c r="E11102" s="626"/>
      <c r="F11102" s="626"/>
    </row>
    <row r="11103" spans="1:6">
      <c r="A11103" t="str">
        <f t="shared" si="173"/>
        <v/>
      </c>
      <c r="E11103" s="626"/>
      <c r="F11103" s="626"/>
    </row>
    <row r="11104" spans="1:6">
      <c r="A11104" t="str">
        <f t="shared" si="173"/>
        <v/>
      </c>
      <c r="E11104" s="626"/>
      <c r="F11104" s="626"/>
    </row>
    <row r="11105" spans="1:6">
      <c r="A11105" t="str">
        <f t="shared" si="173"/>
        <v/>
      </c>
      <c r="E11105" s="626"/>
      <c r="F11105" s="626"/>
    </row>
    <row r="11106" spans="1:6">
      <c r="A11106" t="str">
        <f t="shared" si="173"/>
        <v/>
      </c>
      <c r="E11106" s="626"/>
      <c r="F11106" s="626"/>
    </row>
    <row r="11107" spans="1:6">
      <c r="A11107" t="str">
        <f t="shared" si="173"/>
        <v/>
      </c>
      <c r="E11107" s="626"/>
      <c r="F11107" s="626"/>
    </row>
    <row r="11108" spans="1:6">
      <c r="A11108" t="str">
        <f t="shared" si="173"/>
        <v/>
      </c>
      <c r="E11108" s="626"/>
      <c r="F11108" s="626"/>
    </row>
    <row r="11109" spans="1:6">
      <c r="A11109" t="str">
        <f t="shared" si="173"/>
        <v/>
      </c>
      <c r="E11109" s="626"/>
      <c r="F11109" s="626"/>
    </row>
    <row r="11110" spans="1:6">
      <c r="A11110" t="str">
        <f t="shared" si="173"/>
        <v/>
      </c>
      <c r="E11110" s="626"/>
      <c r="F11110" s="626"/>
    </row>
    <row r="11111" spans="1:6">
      <c r="A11111" t="str">
        <f t="shared" si="173"/>
        <v/>
      </c>
      <c r="E11111" s="626"/>
      <c r="F11111" s="626"/>
    </row>
    <row r="11112" spans="1:6">
      <c r="A11112" t="str">
        <f t="shared" si="173"/>
        <v/>
      </c>
      <c r="E11112" s="626"/>
      <c r="F11112" s="626"/>
    </row>
    <row r="11113" spans="1:6">
      <c r="A11113" t="str">
        <f t="shared" si="173"/>
        <v/>
      </c>
      <c r="E11113" s="626"/>
      <c r="F11113" s="626"/>
    </row>
    <row r="11114" spans="1:6">
      <c r="A11114" t="str">
        <f t="shared" si="173"/>
        <v/>
      </c>
      <c r="E11114" s="626"/>
      <c r="F11114" s="626"/>
    </row>
    <row r="11115" spans="1:6">
      <c r="A11115" t="str">
        <f t="shared" si="173"/>
        <v/>
      </c>
      <c r="E11115" s="626"/>
      <c r="F11115" s="626"/>
    </row>
    <row r="11116" spans="1:6">
      <c r="A11116" t="str">
        <f t="shared" si="173"/>
        <v/>
      </c>
      <c r="E11116" s="626"/>
      <c r="F11116" s="626"/>
    </row>
    <row r="11117" spans="1:6">
      <c r="A11117" t="str">
        <f t="shared" si="173"/>
        <v/>
      </c>
      <c r="E11117" s="626"/>
      <c r="F11117" s="626"/>
    </row>
    <row r="11118" spans="1:6">
      <c r="A11118" t="str">
        <f t="shared" si="173"/>
        <v/>
      </c>
      <c r="E11118" s="626"/>
      <c r="F11118" s="626"/>
    </row>
    <row r="11119" spans="1:6">
      <c r="A11119" t="str">
        <f t="shared" si="173"/>
        <v/>
      </c>
      <c r="E11119" s="626"/>
      <c r="F11119" s="626"/>
    </row>
    <row r="11120" spans="1:6">
      <c r="A11120" t="str">
        <f t="shared" si="173"/>
        <v/>
      </c>
      <c r="E11120" s="626"/>
      <c r="F11120" s="626"/>
    </row>
    <row r="11121" spans="1:6">
      <c r="A11121" t="str">
        <f t="shared" si="173"/>
        <v/>
      </c>
      <c r="E11121" s="626"/>
      <c r="F11121" s="626"/>
    </row>
    <row r="11122" spans="1:6">
      <c r="A11122" t="str">
        <f t="shared" si="173"/>
        <v/>
      </c>
      <c r="E11122" s="626"/>
      <c r="F11122" s="626"/>
    </row>
    <row r="11123" spans="1:6">
      <c r="A11123" t="str">
        <f t="shared" si="173"/>
        <v/>
      </c>
      <c r="E11123" s="626"/>
      <c r="F11123" s="626"/>
    </row>
    <row r="11124" spans="1:6">
      <c r="A11124" t="str">
        <f t="shared" si="173"/>
        <v/>
      </c>
      <c r="E11124" s="626"/>
      <c r="F11124" s="626"/>
    </row>
    <row r="11125" spans="1:6">
      <c r="A11125" t="str">
        <f t="shared" si="173"/>
        <v/>
      </c>
      <c r="E11125" s="626"/>
      <c r="F11125" s="626"/>
    </row>
    <row r="11126" spans="1:6">
      <c r="A11126" t="str">
        <f t="shared" si="173"/>
        <v/>
      </c>
      <c r="E11126" s="626"/>
      <c r="F11126" s="626"/>
    </row>
    <row r="11127" spans="1:6">
      <c r="A11127" t="str">
        <f t="shared" si="173"/>
        <v/>
      </c>
      <c r="E11127" s="626"/>
      <c r="F11127" s="626"/>
    </row>
    <row r="11128" spans="1:6">
      <c r="A11128" t="str">
        <f t="shared" si="173"/>
        <v/>
      </c>
      <c r="E11128" s="626"/>
      <c r="F11128" s="626"/>
    </row>
    <row r="11129" spans="1:6">
      <c r="A11129" t="str">
        <f t="shared" si="173"/>
        <v/>
      </c>
      <c r="E11129" s="626"/>
      <c r="F11129" s="626"/>
    </row>
    <row r="11130" spans="1:6">
      <c r="A11130" t="str">
        <f t="shared" si="173"/>
        <v/>
      </c>
      <c r="E11130" s="626"/>
      <c r="F11130" s="626"/>
    </row>
    <row r="11131" spans="1:6">
      <c r="A11131" t="str">
        <f t="shared" si="173"/>
        <v/>
      </c>
      <c r="E11131" s="626"/>
      <c r="F11131" s="626"/>
    </row>
    <row r="11132" spans="1:6">
      <c r="A11132" t="str">
        <f t="shared" si="173"/>
        <v/>
      </c>
      <c r="E11132" s="626"/>
      <c r="F11132" s="626"/>
    </row>
    <row r="11133" spans="1:6">
      <c r="A11133" t="str">
        <f t="shared" si="173"/>
        <v/>
      </c>
      <c r="E11133" s="626"/>
      <c r="F11133" s="626"/>
    </row>
    <row r="11134" spans="1:6">
      <c r="A11134" t="str">
        <f t="shared" si="173"/>
        <v/>
      </c>
      <c r="E11134" s="626"/>
      <c r="F11134" s="626"/>
    </row>
    <row r="11135" spans="1:6">
      <c r="A11135" t="str">
        <f t="shared" si="173"/>
        <v/>
      </c>
      <c r="E11135" s="626"/>
      <c r="F11135" s="626"/>
    </row>
    <row r="11136" spans="1:6">
      <c r="A11136" t="str">
        <f t="shared" si="173"/>
        <v/>
      </c>
      <c r="E11136" s="626"/>
      <c r="F11136" s="626"/>
    </row>
    <row r="11137" spans="1:6">
      <c r="A11137" t="str">
        <f t="shared" si="173"/>
        <v/>
      </c>
      <c r="E11137" s="626"/>
      <c r="F11137" s="626"/>
    </row>
    <row r="11138" spans="1:6">
      <c r="A11138" t="str">
        <f t="shared" ref="A11138:A11201" si="174">B11138&amp;E11138&amp;J11138</f>
        <v/>
      </c>
      <c r="E11138" s="626"/>
      <c r="F11138" s="626"/>
    </row>
    <row r="11139" spans="1:6">
      <c r="A11139" t="str">
        <f t="shared" si="174"/>
        <v/>
      </c>
      <c r="E11139" s="626"/>
      <c r="F11139" s="626"/>
    </row>
    <row r="11140" spans="1:6">
      <c r="A11140" t="str">
        <f t="shared" si="174"/>
        <v/>
      </c>
      <c r="E11140" s="626"/>
      <c r="F11140" s="626"/>
    </row>
    <row r="11141" spans="1:6">
      <c r="A11141" t="str">
        <f t="shared" si="174"/>
        <v/>
      </c>
      <c r="E11141" s="626"/>
      <c r="F11141" s="626"/>
    </row>
    <row r="11142" spans="1:6">
      <c r="A11142" t="str">
        <f t="shared" si="174"/>
        <v/>
      </c>
      <c r="E11142" s="626"/>
      <c r="F11142" s="626"/>
    </row>
    <row r="11143" spans="1:6">
      <c r="A11143" t="str">
        <f t="shared" si="174"/>
        <v/>
      </c>
      <c r="E11143" s="626"/>
      <c r="F11143" s="626"/>
    </row>
    <row r="11144" spans="1:6">
      <c r="A11144" t="str">
        <f t="shared" si="174"/>
        <v/>
      </c>
      <c r="E11144" s="626"/>
      <c r="F11144" s="626"/>
    </row>
    <row r="11145" spans="1:6">
      <c r="A11145" t="str">
        <f t="shared" si="174"/>
        <v/>
      </c>
      <c r="E11145" s="626"/>
      <c r="F11145" s="626"/>
    </row>
    <row r="11146" spans="1:6">
      <c r="A11146" t="str">
        <f t="shared" si="174"/>
        <v/>
      </c>
      <c r="E11146" s="626"/>
      <c r="F11146" s="626"/>
    </row>
    <row r="11147" spans="1:6">
      <c r="A11147" t="str">
        <f t="shared" si="174"/>
        <v/>
      </c>
      <c r="E11147" s="626"/>
      <c r="F11147" s="626"/>
    </row>
    <row r="11148" spans="1:6">
      <c r="A11148" t="str">
        <f t="shared" si="174"/>
        <v/>
      </c>
      <c r="E11148" s="626"/>
      <c r="F11148" s="626"/>
    </row>
    <row r="11149" spans="1:6">
      <c r="A11149" t="str">
        <f t="shared" si="174"/>
        <v/>
      </c>
      <c r="E11149" s="626"/>
      <c r="F11149" s="626"/>
    </row>
    <row r="11150" spans="1:6">
      <c r="A11150" t="str">
        <f t="shared" si="174"/>
        <v/>
      </c>
      <c r="E11150" s="626"/>
      <c r="F11150" s="626"/>
    </row>
    <row r="11151" spans="1:6">
      <c r="A11151" t="str">
        <f t="shared" si="174"/>
        <v/>
      </c>
      <c r="E11151" s="626"/>
      <c r="F11151" s="626"/>
    </row>
    <row r="11152" spans="1:6">
      <c r="A11152" t="str">
        <f t="shared" si="174"/>
        <v/>
      </c>
      <c r="E11152" s="626"/>
      <c r="F11152" s="626"/>
    </row>
    <row r="11153" spans="1:6">
      <c r="A11153" t="str">
        <f t="shared" si="174"/>
        <v/>
      </c>
      <c r="E11153" s="626"/>
      <c r="F11153" s="626"/>
    </row>
    <row r="11154" spans="1:6">
      <c r="A11154" t="str">
        <f t="shared" si="174"/>
        <v/>
      </c>
      <c r="E11154" s="626"/>
      <c r="F11154" s="626"/>
    </row>
    <row r="11155" spans="1:6">
      <c r="A11155" t="str">
        <f t="shared" si="174"/>
        <v/>
      </c>
      <c r="E11155" s="626"/>
      <c r="F11155" s="626"/>
    </row>
    <row r="11156" spans="1:6">
      <c r="A11156" t="str">
        <f t="shared" si="174"/>
        <v/>
      </c>
      <c r="E11156" s="626"/>
      <c r="F11156" s="626"/>
    </row>
    <row r="11157" spans="1:6">
      <c r="A11157" t="str">
        <f t="shared" si="174"/>
        <v/>
      </c>
      <c r="E11157" s="626"/>
      <c r="F11157" s="626"/>
    </row>
    <row r="11158" spans="1:6">
      <c r="A11158" t="str">
        <f t="shared" si="174"/>
        <v/>
      </c>
      <c r="E11158" s="626"/>
      <c r="F11158" s="626"/>
    </row>
    <row r="11159" spans="1:6">
      <c r="A11159" t="str">
        <f t="shared" si="174"/>
        <v/>
      </c>
      <c r="E11159" s="626"/>
      <c r="F11159" s="626"/>
    </row>
    <row r="11160" spans="1:6">
      <c r="A11160" t="str">
        <f t="shared" si="174"/>
        <v/>
      </c>
      <c r="E11160" s="626"/>
      <c r="F11160" s="626"/>
    </row>
    <row r="11161" spans="1:6">
      <c r="A11161" t="str">
        <f t="shared" si="174"/>
        <v/>
      </c>
      <c r="E11161" s="626"/>
      <c r="F11161" s="626"/>
    </row>
    <row r="11162" spans="1:6">
      <c r="A11162" t="str">
        <f t="shared" si="174"/>
        <v/>
      </c>
      <c r="E11162" s="626"/>
      <c r="F11162" s="626"/>
    </row>
    <row r="11163" spans="1:6">
      <c r="A11163" t="str">
        <f t="shared" si="174"/>
        <v/>
      </c>
      <c r="E11163" s="626"/>
      <c r="F11163" s="626"/>
    </row>
    <row r="11164" spans="1:6">
      <c r="A11164" t="str">
        <f t="shared" si="174"/>
        <v/>
      </c>
      <c r="E11164" s="626"/>
      <c r="F11164" s="626"/>
    </row>
    <row r="11165" spans="1:6">
      <c r="A11165" t="str">
        <f t="shared" si="174"/>
        <v/>
      </c>
      <c r="E11165" s="626"/>
      <c r="F11165" s="626"/>
    </row>
    <row r="11166" spans="1:6">
      <c r="A11166" t="str">
        <f t="shared" si="174"/>
        <v/>
      </c>
      <c r="E11166" s="626"/>
      <c r="F11166" s="626"/>
    </row>
    <row r="11167" spans="1:6">
      <c r="A11167" t="str">
        <f t="shared" si="174"/>
        <v/>
      </c>
      <c r="E11167" s="626"/>
      <c r="F11167" s="626"/>
    </row>
    <row r="11168" spans="1:6">
      <c r="A11168" t="str">
        <f t="shared" si="174"/>
        <v/>
      </c>
      <c r="E11168" s="626"/>
      <c r="F11168" s="626"/>
    </row>
    <row r="11169" spans="1:6">
      <c r="A11169" t="str">
        <f t="shared" si="174"/>
        <v/>
      </c>
      <c r="E11169" s="626"/>
      <c r="F11169" s="626"/>
    </row>
    <row r="11170" spans="1:6">
      <c r="A11170" t="str">
        <f t="shared" si="174"/>
        <v/>
      </c>
      <c r="E11170" s="626"/>
      <c r="F11170" s="626"/>
    </row>
    <row r="11171" spans="1:6">
      <c r="A11171" t="str">
        <f t="shared" si="174"/>
        <v/>
      </c>
      <c r="E11171" s="626"/>
      <c r="F11171" s="626"/>
    </row>
    <row r="11172" spans="1:6">
      <c r="A11172" t="str">
        <f t="shared" si="174"/>
        <v/>
      </c>
      <c r="E11172" s="626"/>
      <c r="F11172" s="626"/>
    </row>
    <row r="11173" spans="1:6">
      <c r="A11173" t="str">
        <f t="shared" si="174"/>
        <v/>
      </c>
      <c r="E11173" s="626"/>
      <c r="F11173" s="626"/>
    </row>
    <row r="11174" spans="1:6">
      <c r="A11174" t="str">
        <f t="shared" si="174"/>
        <v/>
      </c>
      <c r="E11174" s="626"/>
      <c r="F11174" s="626"/>
    </row>
    <row r="11175" spans="1:6">
      <c r="A11175" t="str">
        <f t="shared" si="174"/>
        <v/>
      </c>
      <c r="E11175" s="626"/>
      <c r="F11175" s="626"/>
    </row>
    <row r="11176" spans="1:6">
      <c r="A11176" t="str">
        <f t="shared" si="174"/>
        <v/>
      </c>
      <c r="E11176" s="626"/>
      <c r="F11176" s="626"/>
    </row>
    <row r="11177" spans="1:6">
      <c r="A11177" t="str">
        <f t="shared" si="174"/>
        <v/>
      </c>
      <c r="E11177" s="626"/>
      <c r="F11177" s="626"/>
    </row>
    <row r="11178" spans="1:6">
      <c r="A11178" t="str">
        <f t="shared" si="174"/>
        <v/>
      </c>
      <c r="E11178" s="626"/>
      <c r="F11178" s="626"/>
    </row>
    <row r="11179" spans="1:6">
      <c r="A11179" t="str">
        <f t="shared" si="174"/>
        <v/>
      </c>
      <c r="E11179" s="626"/>
      <c r="F11179" s="626"/>
    </row>
    <row r="11180" spans="1:6">
      <c r="A11180" t="str">
        <f t="shared" si="174"/>
        <v/>
      </c>
      <c r="E11180" s="626"/>
      <c r="F11180" s="626"/>
    </row>
    <row r="11181" spans="1:6">
      <c r="A11181" t="str">
        <f t="shared" si="174"/>
        <v/>
      </c>
      <c r="E11181" s="626"/>
      <c r="F11181" s="626"/>
    </row>
    <row r="11182" spans="1:6">
      <c r="A11182" t="str">
        <f t="shared" si="174"/>
        <v/>
      </c>
      <c r="E11182" s="626"/>
      <c r="F11182" s="626"/>
    </row>
    <row r="11183" spans="1:6">
      <c r="A11183" t="str">
        <f t="shared" si="174"/>
        <v/>
      </c>
      <c r="E11183" s="626"/>
      <c r="F11183" s="626"/>
    </row>
    <row r="11184" spans="1:6">
      <c r="A11184" t="str">
        <f t="shared" si="174"/>
        <v/>
      </c>
      <c r="E11184" s="626"/>
      <c r="F11184" s="626"/>
    </row>
    <row r="11185" spans="1:6">
      <c r="A11185" t="str">
        <f t="shared" si="174"/>
        <v/>
      </c>
      <c r="E11185" s="626"/>
      <c r="F11185" s="626"/>
    </row>
    <row r="11186" spans="1:6">
      <c r="A11186" t="str">
        <f t="shared" si="174"/>
        <v/>
      </c>
      <c r="E11186" s="626"/>
      <c r="F11186" s="626"/>
    </row>
    <row r="11187" spans="1:6">
      <c r="A11187" t="str">
        <f t="shared" si="174"/>
        <v/>
      </c>
      <c r="E11187" s="626"/>
      <c r="F11187" s="626"/>
    </row>
    <row r="11188" spans="1:6">
      <c r="A11188" t="str">
        <f t="shared" si="174"/>
        <v/>
      </c>
      <c r="E11188" s="626"/>
      <c r="F11188" s="626"/>
    </row>
    <row r="11189" spans="1:6">
      <c r="A11189" t="str">
        <f t="shared" si="174"/>
        <v/>
      </c>
      <c r="E11189" s="626"/>
      <c r="F11189" s="626"/>
    </row>
    <row r="11190" spans="1:6">
      <c r="A11190" t="str">
        <f t="shared" si="174"/>
        <v/>
      </c>
      <c r="E11190" s="626"/>
      <c r="F11190" s="626"/>
    </row>
    <row r="11191" spans="1:6">
      <c r="A11191" t="str">
        <f t="shared" si="174"/>
        <v/>
      </c>
      <c r="E11191" s="626"/>
      <c r="F11191" s="626"/>
    </row>
    <row r="11192" spans="1:6">
      <c r="A11192" t="str">
        <f t="shared" si="174"/>
        <v/>
      </c>
      <c r="E11192" s="626"/>
      <c r="F11192" s="626"/>
    </row>
    <row r="11193" spans="1:6">
      <c r="A11193" t="str">
        <f t="shared" si="174"/>
        <v/>
      </c>
      <c r="E11193" s="626"/>
      <c r="F11193" s="626"/>
    </row>
    <row r="11194" spans="1:6">
      <c r="A11194" t="str">
        <f t="shared" si="174"/>
        <v/>
      </c>
      <c r="E11194" s="626"/>
      <c r="F11194" s="626"/>
    </row>
    <row r="11195" spans="1:6">
      <c r="A11195" t="str">
        <f t="shared" si="174"/>
        <v/>
      </c>
      <c r="E11195" s="626"/>
      <c r="F11195" s="626"/>
    </row>
    <row r="11196" spans="1:6">
      <c r="A11196" t="str">
        <f t="shared" si="174"/>
        <v/>
      </c>
      <c r="E11196" s="626"/>
      <c r="F11196" s="626"/>
    </row>
    <row r="11197" spans="1:6">
      <c r="A11197" t="str">
        <f t="shared" si="174"/>
        <v/>
      </c>
      <c r="E11197" s="626"/>
      <c r="F11197" s="626"/>
    </row>
    <row r="11198" spans="1:6">
      <c r="A11198" t="str">
        <f t="shared" si="174"/>
        <v/>
      </c>
      <c r="E11198" s="626"/>
      <c r="F11198" s="626"/>
    </row>
    <row r="11199" spans="1:6">
      <c r="A11199" t="str">
        <f t="shared" si="174"/>
        <v/>
      </c>
      <c r="E11199" s="626"/>
      <c r="F11199" s="626"/>
    </row>
    <row r="11200" spans="1:6">
      <c r="A11200" t="str">
        <f t="shared" si="174"/>
        <v/>
      </c>
      <c r="E11200" s="626"/>
      <c r="F11200" s="626"/>
    </row>
    <row r="11201" spans="1:6">
      <c r="A11201" t="str">
        <f t="shared" si="174"/>
        <v/>
      </c>
      <c r="E11201" s="626"/>
      <c r="F11201" s="626"/>
    </row>
    <row r="11202" spans="1:6">
      <c r="A11202" t="str">
        <f t="shared" ref="A11202:A11265" si="175">B11202&amp;E11202&amp;J11202</f>
        <v/>
      </c>
      <c r="E11202" s="626"/>
      <c r="F11202" s="626"/>
    </row>
    <row r="11203" spans="1:6">
      <c r="A11203" t="str">
        <f t="shared" si="175"/>
        <v/>
      </c>
      <c r="E11203" s="626"/>
      <c r="F11203" s="626"/>
    </row>
    <row r="11204" spans="1:6">
      <c r="A11204" t="str">
        <f t="shared" si="175"/>
        <v/>
      </c>
      <c r="E11204" s="626"/>
      <c r="F11204" s="626"/>
    </row>
    <row r="11205" spans="1:6">
      <c r="A11205" t="str">
        <f t="shared" si="175"/>
        <v/>
      </c>
      <c r="E11205" s="626"/>
      <c r="F11205" s="626"/>
    </row>
    <row r="11206" spans="1:6">
      <c r="A11206" t="str">
        <f t="shared" si="175"/>
        <v/>
      </c>
      <c r="E11206" s="626"/>
      <c r="F11206" s="626"/>
    </row>
    <row r="11207" spans="1:6">
      <c r="A11207" t="str">
        <f t="shared" si="175"/>
        <v/>
      </c>
      <c r="E11207" s="626"/>
      <c r="F11207" s="626"/>
    </row>
    <row r="11208" spans="1:6">
      <c r="A11208" t="str">
        <f t="shared" si="175"/>
        <v/>
      </c>
      <c r="E11208" s="626"/>
      <c r="F11208" s="626"/>
    </row>
    <row r="11209" spans="1:6">
      <c r="A11209" t="str">
        <f t="shared" si="175"/>
        <v/>
      </c>
      <c r="E11209" s="626"/>
      <c r="F11209" s="626"/>
    </row>
    <row r="11210" spans="1:6">
      <c r="A11210" t="str">
        <f t="shared" si="175"/>
        <v/>
      </c>
      <c r="E11210" s="626"/>
      <c r="F11210" s="626"/>
    </row>
    <row r="11211" spans="1:6">
      <c r="A11211" t="str">
        <f t="shared" si="175"/>
        <v/>
      </c>
      <c r="E11211" s="626"/>
      <c r="F11211" s="626"/>
    </row>
    <row r="11212" spans="1:6">
      <c r="A11212" t="str">
        <f t="shared" si="175"/>
        <v/>
      </c>
      <c r="E11212" s="626"/>
      <c r="F11212" s="626"/>
    </row>
    <row r="11213" spans="1:6">
      <c r="A11213" t="str">
        <f t="shared" si="175"/>
        <v/>
      </c>
      <c r="E11213" s="626"/>
      <c r="F11213" s="626"/>
    </row>
    <row r="11214" spans="1:6">
      <c r="A11214" t="str">
        <f t="shared" si="175"/>
        <v/>
      </c>
      <c r="E11214" s="626"/>
      <c r="F11214" s="626"/>
    </row>
    <row r="11215" spans="1:6">
      <c r="A11215" t="str">
        <f t="shared" si="175"/>
        <v/>
      </c>
      <c r="E11215" s="626"/>
      <c r="F11215" s="626"/>
    </row>
    <row r="11216" spans="1:6">
      <c r="A11216" t="str">
        <f t="shared" si="175"/>
        <v/>
      </c>
      <c r="E11216" s="626"/>
      <c r="F11216" s="626"/>
    </row>
    <row r="11217" spans="1:6">
      <c r="A11217" t="str">
        <f t="shared" si="175"/>
        <v/>
      </c>
      <c r="E11217" s="626"/>
      <c r="F11217" s="626"/>
    </row>
    <row r="11218" spans="1:6">
      <c r="A11218" t="str">
        <f t="shared" si="175"/>
        <v/>
      </c>
      <c r="E11218" s="626"/>
      <c r="F11218" s="626"/>
    </row>
    <row r="11219" spans="1:6">
      <c r="A11219" t="str">
        <f t="shared" si="175"/>
        <v/>
      </c>
      <c r="E11219" s="626"/>
      <c r="F11219" s="626"/>
    </row>
    <row r="11220" spans="1:6">
      <c r="A11220" t="str">
        <f t="shared" si="175"/>
        <v/>
      </c>
      <c r="E11220" s="626"/>
      <c r="F11220" s="626"/>
    </row>
    <row r="11221" spans="1:6">
      <c r="A11221" t="str">
        <f t="shared" si="175"/>
        <v/>
      </c>
      <c r="E11221" s="626"/>
      <c r="F11221" s="626"/>
    </row>
    <row r="11222" spans="1:6">
      <c r="A11222" t="str">
        <f t="shared" si="175"/>
        <v/>
      </c>
      <c r="E11222" s="626"/>
      <c r="F11222" s="626"/>
    </row>
    <row r="11223" spans="1:6">
      <c r="A11223" t="str">
        <f t="shared" si="175"/>
        <v/>
      </c>
      <c r="E11223" s="626"/>
      <c r="F11223" s="626"/>
    </row>
    <row r="11224" spans="1:6">
      <c r="A11224" t="str">
        <f t="shared" si="175"/>
        <v/>
      </c>
      <c r="E11224" s="626"/>
      <c r="F11224" s="626"/>
    </row>
    <row r="11225" spans="1:6">
      <c r="A11225" t="str">
        <f t="shared" si="175"/>
        <v/>
      </c>
      <c r="E11225" s="626"/>
      <c r="F11225" s="626"/>
    </row>
    <row r="11226" spans="1:6">
      <c r="A11226" t="str">
        <f t="shared" si="175"/>
        <v/>
      </c>
      <c r="E11226" s="626"/>
      <c r="F11226" s="626"/>
    </row>
    <row r="11227" spans="1:6">
      <c r="A11227" t="str">
        <f t="shared" si="175"/>
        <v/>
      </c>
      <c r="E11227" s="626"/>
      <c r="F11227" s="626"/>
    </row>
    <row r="11228" spans="1:6">
      <c r="A11228" t="str">
        <f t="shared" si="175"/>
        <v/>
      </c>
      <c r="E11228" s="626"/>
      <c r="F11228" s="626"/>
    </row>
    <row r="11229" spans="1:6">
      <c r="A11229" t="str">
        <f t="shared" si="175"/>
        <v/>
      </c>
      <c r="E11229" s="626"/>
      <c r="F11229" s="626"/>
    </row>
    <row r="11230" spans="1:6">
      <c r="A11230" t="str">
        <f t="shared" si="175"/>
        <v/>
      </c>
      <c r="E11230" s="626"/>
      <c r="F11230" s="626"/>
    </row>
    <row r="11231" spans="1:6">
      <c r="A11231" t="str">
        <f t="shared" si="175"/>
        <v/>
      </c>
      <c r="E11231" s="626"/>
      <c r="F11231" s="626"/>
    </row>
    <row r="11232" spans="1:6">
      <c r="A11232" t="str">
        <f t="shared" si="175"/>
        <v/>
      </c>
      <c r="E11232" s="626"/>
      <c r="F11232" s="626"/>
    </row>
    <row r="11233" spans="1:6">
      <c r="A11233" t="str">
        <f t="shared" si="175"/>
        <v/>
      </c>
      <c r="E11233" s="626"/>
      <c r="F11233" s="626"/>
    </row>
    <row r="11234" spans="1:6">
      <c r="A11234" t="str">
        <f t="shared" si="175"/>
        <v/>
      </c>
      <c r="E11234" s="626"/>
      <c r="F11234" s="626"/>
    </row>
    <row r="11235" spans="1:6">
      <c r="A11235" t="str">
        <f t="shared" si="175"/>
        <v/>
      </c>
      <c r="E11235" s="626"/>
      <c r="F11235" s="626"/>
    </row>
    <row r="11236" spans="1:6">
      <c r="A11236" t="str">
        <f t="shared" si="175"/>
        <v/>
      </c>
      <c r="E11236" s="626"/>
      <c r="F11236" s="626"/>
    </row>
    <row r="11237" spans="1:6">
      <c r="A11237" t="str">
        <f t="shared" si="175"/>
        <v/>
      </c>
      <c r="E11237" s="626"/>
      <c r="F11237" s="626"/>
    </row>
    <row r="11238" spans="1:6">
      <c r="A11238" t="str">
        <f t="shared" si="175"/>
        <v/>
      </c>
      <c r="E11238" s="626"/>
      <c r="F11238" s="626"/>
    </row>
    <row r="11239" spans="1:6">
      <c r="A11239" t="str">
        <f t="shared" si="175"/>
        <v/>
      </c>
      <c r="E11239" s="626"/>
      <c r="F11239" s="626"/>
    </row>
    <row r="11240" spans="1:6">
      <c r="A11240" t="str">
        <f t="shared" si="175"/>
        <v/>
      </c>
      <c r="E11240" s="626"/>
      <c r="F11240" s="626"/>
    </row>
    <row r="11241" spans="1:6">
      <c r="A11241" t="str">
        <f t="shared" si="175"/>
        <v/>
      </c>
      <c r="E11241" s="626"/>
      <c r="F11241" s="626"/>
    </row>
    <row r="11242" spans="1:6">
      <c r="A11242" t="str">
        <f t="shared" si="175"/>
        <v/>
      </c>
      <c r="E11242" s="626"/>
      <c r="F11242" s="626"/>
    </row>
    <row r="11243" spans="1:6">
      <c r="A11243" t="str">
        <f t="shared" si="175"/>
        <v/>
      </c>
      <c r="E11243" s="626"/>
      <c r="F11243" s="626"/>
    </row>
    <row r="11244" spans="1:6">
      <c r="A11244" t="str">
        <f t="shared" si="175"/>
        <v/>
      </c>
      <c r="E11244" s="626"/>
      <c r="F11244" s="626"/>
    </row>
    <row r="11245" spans="1:6">
      <c r="A11245" t="str">
        <f t="shared" si="175"/>
        <v/>
      </c>
      <c r="E11245" s="626"/>
      <c r="F11245" s="626"/>
    </row>
    <row r="11246" spans="1:6">
      <c r="A11246" t="str">
        <f t="shared" si="175"/>
        <v/>
      </c>
      <c r="E11246" s="626"/>
      <c r="F11246" s="626"/>
    </row>
    <row r="11247" spans="1:6">
      <c r="A11247" t="str">
        <f t="shared" si="175"/>
        <v/>
      </c>
      <c r="E11247" s="626"/>
      <c r="F11247" s="626"/>
    </row>
    <row r="11248" spans="1:6">
      <c r="A11248" t="str">
        <f t="shared" si="175"/>
        <v/>
      </c>
      <c r="E11248" s="626"/>
      <c r="F11248" s="626"/>
    </row>
    <row r="11249" spans="1:6">
      <c r="A11249" t="str">
        <f t="shared" si="175"/>
        <v/>
      </c>
      <c r="E11249" s="626"/>
      <c r="F11249" s="626"/>
    </row>
    <row r="11250" spans="1:6">
      <c r="A11250" t="str">
        <f t="shared" si="175"/>
        <v/>
      </c>
      <c r="E11250" s="626"/>
      <c r="F11250" s="626"/>
    </row>
    <row r="11251" spans="1:6">
      <c r="A11251" t="str">
        <f t="shared" si="175"/>
        <v/>
      </c>
      <c r="E11251" s="626"/>
      <c r="F11251" s="626"/>
    </row>
    <row r="11252" spans="1:6">
      <c r="A11252" t="str">
        <f t="shared" si="175"/>
        <v/>
      </c>
      <c r="E11252" s="626"/>
      <c r="F11252" s="626"/>
    </row>
    <row r="11253" spans="1:6">
      <c r="A11253" t="str">
        <f t="shared" si="175"/>
        <v/>
      </c>
      <c r="E11253" s="626"/>
      <c r="F11253" s="626"/>
    </row>
    <row r="11254" spans="1:6">
      <c r="A11254" t="str">
        <f t="shared" si="175"/>
        <v/>
      </c>
      <c r="E11254" s="626"/>
      <c r="F11254" s="626"/>
    </row>
    <row r="11255" spans="1:6">
      <c r="A11255" t="str">
        <f t="shared" si="175"/>
        <v/>
      </c>
      <c r="E11255" s="626"/>
      <c r="F11255" s="626"/>
    </row>
    <row r="11256" spans="1:6">
      <c r="A11256" t="str">
        <f t="shared" si="175"/>
        <v/>
      </c>
      <c r="E11256" s="626"/>
      <c r="F11256" s="626"/>
    </row>
    <row r="11257" spans="1:6">
      <c r="A11257" t="str">
        <f t="shared" si="175"/>
        <v/>
      </c>
      <c r="E11257" s="626"/>
      <c r="F11257" s="626"/>
    </row>
    <row r="11258" spans="1:6">
      <c r="A11258" t="str">
        <f t="shared" si="175"/>
        <v/>
      </c>
      <c r="E11258" s="626"/>
      <c r="F11258" s="626"/>
    </row>
    <row r="11259" spans="1:6">
      <c r="A11259" t="str">
        <f t="shared" si="175"/>
        <v/>
      </c>
      <c r="E11259" s="626"/>
      <c r="F11259" s="626"/>
    </row>
    <row r="11260" spans="1:6">
      <c r="A11260" t="str">
        <f t="shared" si="175"/>
        <v/>
      </c>
      <c r="E11260" s="626"/>
      <c r="F11260" s="626"/>
    </row>
    <row r="11261" spans="1:6">
      <c r="A11261" t="str">
        <f t="shared" si="175"/>
        <v/>
      </c>
      <c r="E11261" s="626"/>
      <c r="F11261" s="626"/>
    </row>
    <row r="11262" spans="1:6">
      <c r="A11262" t="str">
        <f t="shared" si="175"/>
        <v/>
      </c>
      <c r="E11262" s="626"/>
      <c r="F11262" s="626"/>
    </row>
    <row r="11263" spans="1:6">
      <c r="A11263" t="str">
        <f t="shared" si="175"/>
        <v/>
      </c>
      <c r="E11263" s="626"/>
      <c r="F11263" s="626"/>
    </row>
    <row r="11264" spans="1:6">
      <c r="A11264" t="str">
        <f t="shared" si="175"/>
        <v/>
      </c>
      <c r="E11264" s="626"/>
      <c r="F11264" s="626"/>
    </row>
    <row r="11265" spans="1:6">
      <c r="A11265" t="str">
        <f t="shared" si="175"/>
        <v/>
      </c>
      <c r="E11265" s="626"/>
      <c r="F11265" s="626"/>
    </row>
    <row r="11266" spans="1:6">
      <c r="A11266" t="str">
        <f t="shared" ref="A11266:A11329" si="176">B11266&amp;E11266&amp;J11266</f>
        <v/>
      </c>
      <c r="E11266" s="626"/>
      <c r="F11266" s="626"/>
    </row>
    <row r="11267" spans="1:6">
      <c r="A11267" t="str">
        <f t="shared" si="176"/>
        <v/>
      </c>
      <c r="E11267" s="626"/>
      <c r="F11267" s="626"/>
    </row>
    <row r="11268" spans="1:6">
      <c r="A11268" t="str">
        <f t="shared" si="176"/>
        <v/>
      </c>
      <c r="E11268" s="626"/>
      <c r="F11268" s="626"/>
    </row>
    <row r="11269" spans="1:6">
      <c r="A11269" t="str">
        <f t="shared" si="176"/>
        <v/>
      </c>
      <c r="E11269" s="626"/>
      <c r="F11269" s="626"/>
    </row>
    <row r="11270" spans="1:6">
      <c r="A11270" t="str">
        <f t="shared" si="176"/>
        <v/>
      </c>
      <c r="E11270" s="626"/>
      <c r="F11270" s="626"/>
    </row>
    <row r="11271" spans="1:6">
      <c r="A11271" t="str">
        <f t="shared" si="176"/>
        <v/>
      </c>
      <c r="E11271" s="626"/>
      <c r="F11271" s="626"/>
    </row>
    <row r="11272" spans="1:6">
      <c r="A11272" t="str">
        <f t="shared" si="176"/>
        <v/>
      </c>
      <c r="E11272" s="626"/>
      <c r="F11272" s="626"/>
    </row>
    <row r="11273" spans="1:6">
      <c r="A11273" t="str">
        <f t="shared" si="176"/>
        <v/>
      </c>
      <c r="E11273" s="626"/>
      <c r="F11273" s="626"/>
    </row>
    <row r="11274" spans="1:6">
      <c r="A11274" t="str">
        <f t="shared" si="176"/>
        <v/>
      </c>
      <c r="E11274" s="626"/>
      <c r="F11274" s="626"/>
    </row>
    <row r="11275" spans="1:6">
      <c r="A11275" t="str">
        <f t="shared" si="176"/>
        <v/>
      </c>
      <c r="E11275" s="626"/>
      <c r="F11275" s="626"/>
    </row>
    <row r="11276" spans="1:6">
      <c r="A11276" t="str">
        <f t="shared" si="176"/>
        <v/>
      </c>
      <c r="E11276" s="626"/>
      <c r="F11276" s="626"/>
    </row>
    <row r="11277" spans="1:6">
      <c r="A11277" t="str">
        <f t="shared" si="176"/>
        <v/>
      </c>
      <c r="E11277" s="626"/>
      <c r="F11277" s="626"/>
    </row>
    <row r="11278" spans="1:6">
      <c r="A11278" t="str">
        <f t="shared" si="176"/>
        <v/>
      </c>
      <c r="E11278" s="626"/>
      <c r="F11278" s="626"/>
    </row>
    <row r="11279" spans="1:6">
      <c r="A11279" t="str">
        <f t="shared" si="176"/>
        <v/>
      </c>
      <c r="E11279" s="626"/>
      <c r="F11279" s="626"/>
    </row>
    <row r="11280" spans="1:6">
      <c r="A11280" t="str">
        <f t="shared" si="176"/>
        <v/>
      </c>
      <c r="E11280" s="626"/>
      <c r="F11280" s="626"/>
    </row>
    <row r="11281" spans="1:6">
      <c r="A11281" t="str">
        <f t="shared" si="176"/>
        <v/>
      </c>
      <c r="E11281" s="626"/>
      <c r="F11281" s="626"/>
    </row>
    <row r="11282" spans="1:6">
      <c r="A11282" t="str">
        <f t="shared" si="176"/>
        <v/>
      </c>
      <c r="E11282" s="626"/>
      <c r="F11282" s="626"/>
    </row>
    <row r="11283" spans="1:6">
      <c r="A11283" t="str">
        <f t="shared" si="176"/>
        <v/>
      </c>
      <c r="E11283" s="626"/>
      <c r="F11283" s="626"/>
    </row>
    <row r="11284" spans="1:6">
      <c r="A11284" t="str">
        <f t="shared" si="176"/>
        <v/>
      </c>
      <c r="E11284" s="626"/>
      <c r="F11284" s="626"/>
    </row>
    <row r="11285" spans="1:6">
      <c r="A11285" t="str">
        <f t="shared" si="176"/>
        <v/>
      </c>
      <c r="E11285" s="626"/>
      <c r="F11285" s="626"/>
    </row>
    <row r="11286" spans="1:6">
      <c r="A11286" t="str">
        <f t="shared" si="176"/>
        <v/>
      </c>
      <c r="E11286" s="626"/>
      <c r="F11286" s="626"/>
    </row>
    <row r="11287" spans="1:6">
      <c r="A11287" t="str">
        <f t="shared" si="176"/>
        <v/>
      </c>
      <c r="E11287" s="626"/>
      <c r="F11287" s="626"/>
    </row>
    <row r="11288" spans="1:6">
      <c r="A11288" t="str">
        <f t="shared" si="176"/>
        <v/>
      </c>
      <c r="E11288" s="626"/>
      <c r="F11288" s="626"/>
    </row>
    <row r="11289" spans="1:6">
      <c r="A11289" t="str">
        <f t="shared" si="176"/>
        <v/>
      </c>
      <c r="E11289" s="626"/>
      <c r="F11289" s="626"/>
    </row>
    <row r="11290" spans="1:6">
      <c r="A11290" t="str">
        <f t="shared" si="176"/>
        <v/>
      </c>
      <c r="E11290" s="626"/>
      <c r="F11290" s="626"/>
    </row>
    <row r="11291" spans="1:6">
      <c r="A11291" t="str">
        <f t="shared" si="176"/>
        <v/>
      </c>
      <c r="E11291" s="626"/>
      <c r="F11291" s="626"/>
    </row>
    <row r="11292" spans="1:6">
      <c r="A11292" t="str">
        <f t="shared" si="176"/>
        <v/>
      </c>
      <c r="E11292" s="626"/>
      <c r="F11292" s="626"/>
    </row>
    <row r="11293" spans="1:6">
      <c r="A11293" t="str">
        <f t="shared" si="176"/>
        <v/>
      </c>
      <c r="E11293" s="626"/>
      <c r="F11293" s="626"/>
    </row>
    <row r="11294" spans="1:6">
      <c r="A11294" t="str">
        <f t="shared" si="176"/>
        <v/>
      </c>
      <c r="E11294" s="626"/>
      <c r="F11294" s="626"/>
    </row>
    <row r="11295" spans="1:6">
      <c r="A11295" t="str">
        <f t="shared" si="176"/>
        <v/>
      </c>
      <c r="E11295" s="626"/>
      <c r="F11295" s="626"/>
    </row>
    <row r="11296" spans="1:6">
      <c r="A11296" t="str">
        <f t="shared" si="176"/>
        <v/>
      </c>
      <c r="E11296" s="626"/>
      <c r="F11296" s="626"/>
    </row>
    <row r="11297" spans="1:6">
      <c r="A11297" t="str">
        <f t="shared" si="176"/>
        <v/>
      </c>
      <c r="E11297" s="626"/>
      <c r="F11297" s="626"/>
    </row>
    <row r="11298" spans="1:6">
      <c r="A11298" t="str">
        <f t="shared" si="176"/>
        <v/>
      </c>
      <c r="E11298" s="626"/>
      <c r="F11298" s="626"/>
    </row>
    <row r="11299" spans="1:6">
      <c r="A11299" t="str">
        <f t="shared" si="176"/>
        <v/>
      </c>
      <c r="E11299" s="626"/>
      <c r="F11299" s="626"/>
    </row>
    <row r="11300" spans="1:6">
      <c r="A11300" t="str">
        <f t="shared" si="176"/>
        <v/>
      </c>
      <c r="E11300" s="626"/>
      <c r="F11300" s="626"/>
    </row>
    <row r="11301" spans="1:6">
      <c r="A11301" t="str">
        <f t="shared" si="176"/>
        <v/>
      </c>
      <c r="E11301" s="626"/>
      <c r="F11301" s="626"/>
    </row>
    <row r="11302" spans="1:6">
      <c r="A11302" t="str">
        <f t="shared" si="176"/>
        <v/>
      </c>
      <c r="E11302" s="626"/>
      <c r="F11302" s="626"/>
    </row>
    <row r="11303" spans="1:6">
      <c r="A11303" t="str">
        <f t="shared" si="176"/>
        <v/>
      </c>
      <c r="E11303" s="626"/>
      <c r="F11303" s="626"/>
    </row>
    <row r="11304" spans="1:6">
      <c r="A11304" t="str">
        <f t="shared" si="176"/>
        <v/>
      </c>
      <c r="E11304" s="626"/>
      <c r="F11304" s="626"/>
    </row>
    <row r="11305" spans="1:6">
      <c r="A11305" t="str">
        <f t="shared" si="176"/>
        <v/>
      </c>
      <c r="E11305" s="626"/>
      <c r="F11305" s="626"/>
    </row>
    <row r="11306" spans="1:6">
      <c r="A11306" t="str">
        <f t="shared" si="176"/>
        <v/>
      </c>
      <c r="E11306" s="626"/>
      <c r="F11306" s="626"/>
    </row>
    <row r="11307" spans="1:6">
      <c r="A11307" t="str">
        <f t="shared" si="176"/>
        <v/>
      </c>
      <c r="E11307" s="626"/>
      <c r="F11307" s="626"/>
    </row>
    <row r="11308" spans="1:6">
      <c r="A11308" t="str">
        <f t="shared" si="176"/>
        <v/>
      </c>
      <c r="E11308" s="626"/>
      <c r="F11308" s="626"/>
    </row>
    <row r="11309" spans="1:6">
      <c r="A11309" t="str">
        <f t="shared" si="176"/>
        <v/>
      </c>
      <c r="E11309" s="626"/>
      <c r="F11309" s="626"/>
    </row>
    <row r="11310" spans="1:6">
      <c r="A11310" t="str">
        <f t="shared" si="176"/>
        <v/>
      </c>
      <c r="E11310" s="626"/>
      <c r="F11310" s="626"/>
    </row>
    <row r="11311" spans="1:6">
      <c r="A11311" t="str">
        <f t="shared" si="176"/>
        <v/>
      </c>
      <c r="E11311" s="626"/>
      <c r="F11311" s="626"/>
    </row>
    <row r="11312" spans="1:6">
      <c r="A11312" t="str">
        <f t="shared" si="176"/>
        <v/>
      </c>
      <c r="E11312" s="626"/>
      <c r="F11312" s="626"/>
    </row>
    <row r="11313" spans="1:6">
      <c r="A11313" t="str">
        <f t="shared" si="176"/>
        <v/>
      </c>
      <c r="E11313" s="626"/>
      <c r="F11313" s="626"/>
    </row>
    <row r="11314" spans="1:6">
      <c r="A11314" t="str">
        <f t="shared" si="176"/>
        <v/>
      </c>
      <c r="E11314" s="626"/>
      <c r="F11314" s="626"/>
    </row>
    <row r="11315" spans="1:6">
      <c r="A11315" t="str">
        <f t="shared" si="176"/>
        <v/>
      </c>
      <c r="E11315" s="626"/>
      <c r="F11315" s="626"/>
    </row>
    <row r="11316" spans="1:6">
      <c r="A11316" t="str">
        <f t="shared" si="176"/>
        <v/>
      </c>
      <c r="E11316" s="626"/>
      <c r="F11316" s="626"/>
    </row>
    <row r="11317" spans="1:6">
      <c r="A11317" t="str">
        <f t="shared" si="176"/>
        <v/>
      </c>
      <c r="E11317" s="626"/>
      <c r="F11317" s="626"/>
    </row>
    <row r="11318" spans="1:6">
      <c r="A11318" t="str">
        <f t="shared" si="176"/>
        <v/>
      </c>
      <c r="E11318" s="626"/>
      <c r="F11318" s="626"/>
    </row>
    <row r="11319" spans="1:6">
      <c r="A11319" t="str">
        <f t="shared" si="176"/>
        <v/>
      </c>
      <c r="E11319" s="626"/>
      <c r="F11319" s="626"/>
    </row>
    <row r="11320" spans="1:6">
      <c r="A11320" t="str">
        <f t="shared" si="176"/>
        <v/>
      </c>
      <c r="E11320" s="626"/>
      <c r="F11320" s="626"/>
    </row>
    <row r="11321" spans="1:6">
      <c r="A11321" t="str">
        <f t="shared" si="176"/>
        <v/>
      </c>
      <c r="E11321" s="626"/>
      <c r="F11321" s="626"/>
    </row>
    <row r="11322" spans="1:6">
      <c r="A11322" t="str">
        <f t="shared" si="176"/>
        <v/>
      </c>
      <c r="E11322" s="626"/>
      <c r="F11322" s="626"/>
    </row>
    <row r="11323" spans="1:6">
      <c r="A11323" t="str">
        <f t="shared" si="176"/>
        <v/>
      </c>
      <c r="E11323" s="626"/>
      <c r="F11323" s="626"/>
    </row>
    <row r="11324" spans="1:6">
      <c r="A11324" t="str">
        <f t="shared" si="176"/>
        <v/>
      </c>
      <c r="E11324" s="626"/>
      <c r="F11324" s="626"/>
    </row>
    <row r="11325" spans="1:6">
      <c r="A11325" t="str">
        <f t="shared" si="176"/>
        <v/>
      </c>
      <c r="E11325" s="626"/>
      <c r="F11325" s="626"/>
    </row>
    <row r="11326" spans="1:6">
      <c r="A11326" t="str">
        <f t="shared" si="176"/>
        <v/>
      </c>
      <c r="E11326" s="626"/>
      <c r="F11326" s="626"/>
    </row>
    <row r="11327" spans="1:6">
      <c r="A11327" t="str">
        <f t="shared" si="176"/>
        <v/>
      </c>
      <c r="E11327" s="626"/>
      <c r="F11327" s="626"/>
    </row>
    <row r="11328" spans="1:6">
      <c r="A11328" t="str">
        <f t="shared" si="176"/>
        <v/>
      </c>
      <c r="E11328" s="626"/>
      <c r="F11328" s="626"/>
    </row>
    <row r="11329" spans="1:6">
      <c r="A11329" t="str">
        <f t="shared" si="176"/>
        <v/>
      </c>
      <c r="E11329" s="626"/>
      <c r="F11329" s="626"/>
    </row>
    <row r="11330" spans="1:6">
      <c r="A11330" t="str">
        <f t="shared" ref="A11330:A11393" si="177">B11330&amp;E11330&amp;J11330</f>
        <v/>
      </c>
      <c r="E11330" s="626"/>
      <c r="F11330" s="626"/>
    </row>
    <row r="11331" spans="1:6">
      <c r="A11331" t="str">
        <f t="shared" si="177"/>
        <v/>
      </c>
      <c r="E11331" s="626"/>
      <c r="F11331" s="626"/>
    </row>
    <row r="11332" spans="1:6">
      <c r="A11332" t="str">
        <f t="shared" si="177"/>
        <v/>
      </c>
      <c r="E11332" s="626"/>
      <c r="F11332" s="626"/>
    </row>
    <row r="11333" spans="1:6">
      <c r="A11333" t="str">
        <f t="shared" si="177"/>
        <v/>
      </c>
      <c r="E11333" s="626"/>
      <c r="F11333" s="626"/>
    </row>
    <row r="11334" spans="1:6">
      <c r="A11334" t="str">
        <f t="shared" si="177"/>
        <v/>
      </c>
      <c r="E11334" s="626"/>
      <c r="F11334" s="626"/>
    </row>
    <row r="11335" spans="1:6">
      <c r="A11335" t="str">
        <f t="shared" si="177"/>
        <v/>
      </c>
      <c r="E11335" s="626"/>
      <c r="F11335" s="626"/>
    </row>
    <row r="11336" spans="1:6">
      <c r="A11336" t="str">
        <f t="shared" si="177"/>
        <v/>
      </c>
      <c r="E11336" s="626"/>
      <c r="F11336" s="626"/>
    </row>
    <row r="11337" spans="1:6">
      <c r="A11337" t="str">
        <f t="shared" si="177"/>
        <v/>
      </c>
      <c r="E11337" s="626"/>
      <c r="F11337" s="626"/>
    </row>
    <row r="11338" spans="1:6">
      <c r="A11338" t="str">
        <f t="shared" si="177"/>
        <v/>
      </c>
      <c r="E11338" s="626"/>
      <c r="F11338" s="626"/>
    </row>
    <row r="11339" spans="1:6">
      <c r="A11339" t="str">
        <f t="shared" si="177"/>
        <v/>
      </c>
      <c r="E11339" s="626"/>
      <c r="F11339" s="626"/>
    </row>
    <row r="11340" spans="1:6">
      <c r="A11340" t="str">
        <f t="shared" si="177"/>
        <v/>
      </c>
      <c r="E11340" s="626"/>
      <c r="F11340" s="626"/>
    </row>
    <row r="11341" spans="1:6">
      <c r="A11341" t="str">
        <f t="shared" si="177"/>
        <v/>
      </c>
      <c r="E11341" s="626"/>
      <c r="F11341" s="626"/>
    </row>
    <row r="11342" spans="1:6">
      <c r="A11342" t="str">
        <f t="shared" si="177"/>
        <v/>
      </c>
      <c r="E11342" s="626"/>
      <c r="F11342" s="626"/>
    </row>
    <row r="11343" spans="1:6">
      <c r="A11343" t="str">
        <f t="shared" si="177"/>
        <v/>
      </c>
      <c r="E11343" s="626"/>
      <c r="F11343" s="626"/>
    </row>
    <row r="11344" spans="1:6">
      <c r="A11344" t="str">
        <f t="shared" si="177"/>
        <v/>
      </c>
      <c r="E11344" s="626"/>
      <c r="F11344" s="626"/>
    </row>
    <row r="11345" spans="1:6">
      <c r="A11345" t="str">
        <f t="shared" si="177"/>
        <v/>
      </c>
      <c r="E11345" s="626"/>
      <c r="F11345" s="626"/>
    </row>
    <row r="11346" spans="1:6">
      <c r="A11346" t="str">
        <f t="shared" si="177"/>
        <v/>
      </c>
      <c r="E11346" s="626"/>
      <c r="F11346" s="626"/>
    </row>
    <row r="11347" spans="1:6">
      <c r="A11347" t="str">
        <f t="shared" si="177"/>
        <v/>
      </c>
      <c r="E11347" s="626"/>
      <c r="F11347" s="626"/>
    </row>
    <row r="11348" spans="1:6">
      <c r="A11348" t="str">
        <f t="shared" si="177"/>
        <v/>
      </c>
      <c r="E11348" s="626"/>
      <c r="F11348" s="626"/>
    </row>
    <row r="11349" spans="1:6">
      <c r="A11349" t="str">
        <f t="shared" si="177"/>
        <v/>
      </c>
      <c r="E11349" s="626"/>
      <c r="F11349" s="626"/>
    </row>
    <row r="11350" spans="1:6">
      <c r="A11350" t="str">
        <f t="shared" si="177"/>
        <v/>
      </c>
      <c r="E11350" s="626"/>
      <c r="F11350" s="626"/>
    </row>
    <row r="11351" spans="1:6">
      <c r="A11351" t="str">
        <f t="shared" si="177"/>
        <v/>
      </c>
      <c r="E11351" s="626"/>
      <c r="F11351" s="626"/>
    </row>
    <row r="11352" spans="1:6">
      <c r="A11352" t="str">
        <f t="shared" si="177"/>
        <v/>
      </c>
      <c r="E11352" s="626"/>
      <c r="F11352" s="626"/>
    </row>
    <row r="11353" spans="1:6">
      <c r="A11353" t="str">
        <f t="shared" si="177"/>
        <v/>
      </c>
      <c r="E11353" s="626"/>
      <c r="F11353" s="626"/>
    </row>
    <row r="11354" spans="1:6">
      <c r="A11354" t="str">
        <f t="shared" si="177"/>
        <v/>
      </c>
      <c r="E11354" s="626"/>
      <c r="F11354" s="626"/>
    </row>
    <row r="11355" spans="1:6">
      <c r="A11355" t="str">
        <f t="shared" si="177"/>
        <v/>
      </c>
      <c r="E11355" s="626"/>
      <c r="F11355" s="626"/>
    </row>
    <row r="11356" spans="1:6">
      <c r="A11356" t="str">
        <f t="shared" si="177"/>
        <v/>
      </c>
      <c r="E11356" s="626"/>
      <c r="F11356" s="626"/>
    </row>
    <row r="11357" spans="1:6">
      <c r="A11357" t="str">
        <f t="shared" si="177"/>
        <v/>
      </c>
      <c r="E11357" s="626"/>
      <c r="F11357" s="626"/>
    </row>
    <row r="11358" spans="1:6">
      <c r="A11358" t="str">
        <f t="shared" si="177"/>
        <v/>
      </c>
      <c r="E11358" s="626"/>
      <c r="F11358" s="626"/>
    </row>
    <row r="11359" spans="1:6">
      <c r="A11359" t="str">
        <f t="shared" si="177"/>
        <v/>
      </c>
      <c r="E11359" s="626"/>
      <c r="F11359" s="626"/>
    </row>
    <row r="11360" spans="1:6">
      <c r="A11360" t="str">
        <f t="shared" si="177"/>
        <v/>
      </c>
      <c r="E11360" s="626"/>
      <c r="F11360" s="626"/>
    </row>
    <row r="11361" spans="1:6">
      <c r="A11361" t="str">
        <f t="shared" si="177"/>
        <v/>
      </c>
      <c r="E11361" s="626"/>
      <c r="F11361" s="626"/>
    </row>
    <row r="11362" spans="1:6">
      <c r="A11362" t="str">
        <f t="shared" si="177"/>
        <v/>
      </c>
      <c r="E11362" s="626"/>
      <c r="F11362" s="626"/>
    </row>
    <row r="11363" spans="1:6">
      <c r="A11363" t="str">
        <f t="shared" si="177"/>
        <v/>
      </c>
      <c r="E11363" s="626"/>
      <c r="F11363" s="626"/>
    </row>
    <row r="11364" spans="1:6">
      <c r="A11364" t="str">
        <f t="shared" si="177"/>
        <v/>
      </c>
      <c r="E11364" s="626"/>
      <c r="F11364" s="626"/>
    </row>
    <row r="11365" spans="1:6">
      <c r="A11365" t="str">
        <f t="shared" si="177"/>
        <v/>
      </c>
      <c r="E11365" s="626"/>
      <c r="F11365" s="626"/>
    </row>
    <row r="11366" spans="1:6">
      <c r="A11366" t="str">
        <f t="shared" si="177"/>
        <v/>
      </c>
      <c r="E11366" s="626"/>
      <c r="F11366" s="626"/>
    </row>
    <row r="11367" spans="1:6">
      <c r="A11367" t="str">
        <f t="shared" si="177"/>
        <v/>
      </c>
      <c r="E11367" s="626"/>
      <c r="F11367" s="626"/>
    </row>
    <row r="11368" spans="1:6">
      <c r="A11368" t="str">
        <f t="shared" si="177"/>
        <v/>
      </c>
      <c r="E11368" s="626"/>
      <c r="F11368" s="626"/>
    </row>
    <row r="11369" spans="1:6">
      <c r="A11369" t="str">
        <f t="shared" si="177"/>
        <v/>
      </c>
      <c r="E11369" s="626"/>
      <c r="F11369" s="626"/>
    </row>
    <row r="11370" spans="1:6">
      <c r="A11370" t="str">
        <f t="shared" si="177"/>
        <v/>
      </c>
      <c r="E11370" s="626"/>
      <c r="F11370" s="626"/>
    </row>
    <row r="11371" spans="1:6">
      <c r="A11371" t="str">
        <f t="shared" si="177"/>
        <v/>
      </c>
      <c r="E11371" s="626"/>
      <c r="F11371" s="626"/>
    </row>
    <row r="11372" spans="1:6">
      <c r="A11372" t="str">
        <f t="shared" si="177"/>
        <v/>
      </c>
      <c r="E11372" s="626"/>
      <c r="F11372" s="626"/>
    </row>
    <row r="11373" spans="1:6">
      <c r="A11373" t="str">
        <f t="shared" si="177"/>
        <v/>
      </c>
      <c r="E11373" s="626"/>
      <c r="F11373" s="626"/>
    </row>
    <row r="11374" spans="1:6">
      <c r="A11374" t="str">
        <f t="shared" si="177"/>
        <v/>
      </c>
      <c r="E11374" s="626"/>
      <c r="F11374" s="626"/>
    </row>
    <row r="11375" spans="1:6">
      <c r="A11375" t="str">
        <f t="shared" si="177"/>
        <v/>
      </c>
      <c r="E11375" s="626"/>
      <c r="F11375" s="626"/>
    </row>
    <row r="11376" spans="1:6">
      <c r="A11376" t="str">
        <f t="shared" si="177"/>
        <v/>
      </c>
      <c r="E11376" s="626"/>
      <c r="F11376" s="626"/>
    </row>
    <row r="11377" spans="1:6">
      <c r="A11377" t="str">
        <f t="shared" si="177"/>
        <v/>
      </c>
      <c r="E11377" s="626"/>
      <c r="F11377" s="626"/>
    </row>
    <row r="11378" spans="1:6">
      <c r="A11378" t="str">
        <f t="shared" si="177"/>
        <v/>
      </c>
      <c r="E11378" s="626"/>
      <c r="F11378" s="626"/>
    </row>
    <row r="11379" spans="1:6">
      <c r="A11379" t="str">
        <f t="shared" si="177"/>
        <v/>
      </c>
      <c r="E11379" s="626"/>
      <c r="F11379" s="626"/>
    </row>
    <row r="11380" spans="1:6">
      <c r="A11380" t="str">
        <f t="shared" si="177"/>
        <v/>
      </c>
      <c r="E11380" s="626"/>
      <c r="F11380" s="626"/>
    </row>
    <row r="11381" spans="1:6">
      <c r="A11381" t="str">
        <f t="shared" si="177"/>
        <v/>
      </c>
      <c r="E11381" s="626"/>
      <c r="F11381" s="626"/>
    </row>
    <row r="11382" spans="1:6">
      <c r="A11382" t="str">
        <f t="shared" si="177"/>
        <v/>
      </c>
      <c r="E11382" s="626"/>
      <c r="F11382" s="626"/>
    </row>
    <row r="11383" spans="1:6">
      <c r="A11383" t="str">
        <f t="shared" si="177"/>
        <v/>
      </c>
      <c r="E11383" s="626"/>
      <c r="F11383" s="626"/>
    </row>
    <row r="11384" spans="1:6">
      <c r="A11384" t="str">
        <f t="shared" si="177"/>
        <v/>
      </c>
      <c r="E11384" s="626"/>
      <c r="F11384" s="626"/>
    </row>
    <row r="11385" spans="1:6">
      <c r="A11385" t="str">
        <f t="shared" si="177"/>
        <v/>
      </c>
      <c r="E11385" s="626"/>
      <c r="F11385" s="626"/>
    </row>
    <row r="11386" spans="1:6">
      <c r="A11386" t="str">
        <f t="shared" si="177"/>
        <v/>
      </c>
      <c r="E11386" s="626"/>
      <c r="F11386" s="626"/>
    </row>
    <row r="11387" spans="1:6">
      <c r="A11387" t="str">
        <f t="shared" si="177"/>
        <v/>
      </c>
      <c r="E11387" s="626"/>
      <c r="F11387" s="626"/>
    </row>
    <row r="11388" spans="1:6">
      <c r="A11388" t="str">
        <f t="shared" si="177"/>
        <v/>
      </c>
      <c r="E11388" s="626"/>
      <c r="F11388" s="626"/>
    </row>
    <row r="11389" spans="1:6">
      <c r="A11389" t="str">
        <f t="shared" si="177"/>
        <v/>
      </c>
      <c r="E11389" s="626"/>
      <c r="F11389" s="626"/>
    </row>
    <row r="11390" spans="1:6">
      <c r="A11390" t="str">
        <f t="shared" si="177"/>
        <v/>
      </c>
      <c r="E11390" s="626"/>
      <c r="F11390" s="626"/>
    </row>
    <row r="11391" spans="1:6">
      <c r="A11391" t="str">
        <f t="shared" si="177"/>
        <v/>
      </c>
      <c r="E11391" s="626"/>
      <c r="F11391" s="626"/>
    </row>
    <row r="11392" spans="1:6">
      <c r="A11392" t="str">
        <f t="shared" si="177"/>
        <v/>
      </c>
      <c r="E11392" s="626"/>
      <c r="F11392" s="626"/>
    </row>
    <row r="11393" spans="1:6">
      <c r="A11393" t="str">
        <f t="shared" si="177"/>
        <v/>
      </c>
      <c r="E11393" s="626"/>
      <c r="F11393" s="626"/>
    </row>
    <row r="11394" spans="1:6">
      <c r="A11394" t="str">
        <f t="shared" ref="A11394:A11457" si="178">B11394&amp;E11394&amp;J11394</f>
        <v/>
      </c>
      <c r="E11394" s="626"/>
      <c r="F11394" s="626"/>
    </row>
    <row r="11395" spans="1:6">
      <c r="A11395" t="str">
        <f t="shared" si="178"/>
        <v/>
      </c>
      <c r="E11395" s="626"/>
      <c r="F11395" s="626"/>
    </row>
    <row r="11396" spans="1:6">
      <c r="A11396" t="str">
        <f t="shared" si="178"/>
        <v/>
      </c>
      <c r="E11396" s="626"/>
      <c r="F11396" s="626"/>
    </row>
    <row r="11397" spans="1:6">
      <c r="A11397" t="str">
        <f t="shared" si="178"/>
        <v/>
      </c>
      <c r="E11397" s="626"/>
      <c r="F11397" s="626"/>
    </row>
    <row r="11398" spans="1:6">
      <c r="A11398" t="str">
        <f t="shared" si="178"/>
        <v/>
      </c>
      <c r="E11398" s="626"/>
      <c r="F11398" s="626"/>
    </row>
    <row r="11399" spans="1:6">
      <c r="A11399" t="str">
        <f t="shared" si="178"/>
        <v/>
      </c>
      <c r="E11399" s="626"/>
      <c r="F11399" s="626"/>
    </row>
    <row r="11400" spans="1:6">
      <c r="A11400" t="str">
        <f t="shared" si="178"/>
        <v/>
      </c>
      <c r="E11400" s="626"/>
      <c r="F11400" s="626"/>
    </row>
    <row r="11401" spans="1:6">
      <c r="A11401" t="str">
        <f t="shared" si="178"/>
        <v/>
      </c>
      <c r="E11401" s="626"/>
      <c r="F11401" s="626"/>
    </row>
    <row r="11402" spans="1:6">
      <c r="A11402" t="str">
        <f t="shared" si="178"/>
        <v/>
      </c>
      <c r="E11402" s="626"/>
      <c r="F11402" s="626"/>
    </row>
    <row r="11403" spans="1:6">
      <c r="A11403" t="str">
        <f t="shared" si="178"/>
        <v/>
      </c>
      <c r="E11403" s="626"/>
      <c r="F11403" s="626"/>
    </row>
    <row r="11404" spans="1:6">
      <c r="A11404" t="str">
        <f t="shared" si="178"/>
        <v/>
      </c>
      <c r="E11404" s="626"/>
      <c r="F11404" s="626"/>
    </row>
    <row r="11405" spans="1:6">
      <c r="A11405" t="str">
        <f t="shared" si="178"/>
        <v/>
      </c>
      <c r="E11405" s="626"/>
      <c r="F11405" s="626"/>
    </row>
    <row r="11406" spans="1:6">
      <c r="A11406" t="str">
        <f t="shared" si="178"/>
        <v/>
      </c>
      <c r="E11406" s="626"/>
      <c r="F11406" s="626"/>
    </row>
    <row r="11407" spans="1:6">
      <c r="A11407" t="str">
        <f t="shared" si="178"/>
        <v/>
      </c>
      <c r="E11407" s="626"/>
      <c r="F11407" s="626"/>
    </row>
    <row r="11408" spans="1:6">
      <c r="A11408" t="str">
        <f t="shared" si="178"/>
        <v/>
      </c>
      <c r="E11408" s="626"/>
      <c r="F11408" s="626"/>
    </row>
    <row r="11409" spans="1:6">
      <c r="A11409" t="str">
        <f t="shared" si="178"/>
        <v/>
      </c>
      <c r="E11409" s="626"/>
      <c r="F11409" s="626"/>
    </row>
    <row r="11410" spans="1:6">
      <c r="A11410" t="str">
        <f t="shared" si="178"/>
        <v/>
      </c>
      <c r="E11410" s="626"/>
      <c r="F11410" s="626"/>
    </row>
    <row r="11411" spans="1:6">
      <c r="A11411" t="str">
        <f t="shared" si="178"/>
        <v/>
      </c>
      <c r="E11411" s="626"/>
      <c r="F11411" s="626"/>
    </row>
    <row r="11412" spans="1:6">
      <c r="A11412" t="str">
        <f t="shared" si="178"/>
        <v/>
      </c>
      <c r="E11412" s="626"/>
      <c r="F11412" s="626"/>
    </row>
    <row r="11413" spans="1:6">
      <c r="A11413" t="str">
        <f t="shared" si="178"/>
        <v/>
      </c>
      <c r="E11413" s="626"/>
      <c r="F11413" s="626"/>
    </row>
    <row r="11414" spans="1:6">
      <c r="A11414" t="str">
        <f t="shared" si="178"/>
        <v/>
      </c>
      <c r="E11414" s="626"/>
      <c r="F11414" s="626"/>
    </row>
    <row r="11415" spans="1:6">
      <c r="A11415" t="str">
        <f t="shared" si="178"/>
        <v/>
      </c>
      <c r="E11415" s="626"/>
      <c r="F11415" s="626"/>
    </row>
    <row r="11416" spans="1:6">
      <c r="A11416" t="str">
        <f t="shared" si="178"/>
        <v/>
      </c>
      <c r="E11416" s="626"/>
      <c r="F11416" s="626"/>
    </row>
    <row r="11417" spans="1:6">
      <c r="A11417" t="str">
        <f t="shared" si="178"/>
        <v/>
      </c>
      <c r="E11417" s="626"/>
      <c r="F11417" s="626"/>
    </row>
    <row r="11418" spans="1:6">
      <c r="A11418" t="str">
        <f t="shared" si="178"/>
        <v/>
      </c>
      <c r="E11418" s="626"/>
      <c r="F11418" s="626"/>
    </row>
    <row r="11419" spans="1:6">
      <c r="A11419" t="str">
        <f t="shared" si="178"/>
        <v/>
      </c>
      <c r="E11419" s="626"/>
      <c r="F11419" s="626"/>
    </row>
    <row r="11420" spans="1:6">
      <c r="A11420" t="str">
        <f t="shared" si="178"/>
        <v/>
      </c>
      <c r="E11420" s="626"/>
      <c r="F11420" s="626"/>
    </row>
    <row r="11421" spans="1:6">
      <c r="A11421" t="str">
        <f t="shared" si="178"/>
        <v/>
      </c>
      <c r="E11421" s="626"/>
      <c r="F11421" s="626"/>
    </row>
    <row r="11422" spans="1:6">
      <c r="A11422" t="str">
        <f t="shared" si="178"/>
        <v/>
      </c>
      <c r="E11422" s="626"/>
      <c r="F11422" s="626"/>
    </row>
    <row r="11423" spans="1:6">
      <c r="A11423" t="str">
        <f t="shared" si="178"/>
        <v/>
      </c>
      <c r="E11423" s="626"/>
      <c r="F11423" s="626"/>
    </row>
    <row r="11424" spans="1:6">
      <c r="A11424" t="str">
        <f t="shared" si="178"/>
        <v/>
      </c>
      <c r="E11424" s="626"/>
      <c r="F11424" s="626"/>
    </row>
    <row r="11425" spans="1:6">
      <c r="A11425" t="str">
        <f t="shared" si="178"/>
        <v/>
      </c>
      <c r="E11425" s="626"/>
      <c r="F11425" s="626"/>
    </row>
    <row r="11426" spans="1:6">
      <c r="A11426" t="str">
        <f t="shared" si="178"/>
        <v/>
      </c>
      <c r="E11426" s="626"/>
      <c r="F11426" s="626"/>
    </row>
    <row r="11427" spans="1:6">
      <c r="A11427" t="str">
        <f t="shared" si="178"/>
        <v/>
      </c>
      <c r="E11427" s="626"/>
      <c r="F11427" s="626"/>
    </row>
    <row r="11428" spans="1:6">
      <c r="A11428" t="str">
        <f t="shared" si="178"/>
        <v/>
      </c>
      <c r="E11428" s="626"/>
      <c r="F11428" s="626"/>
    </row>
    <row r="11429" spans="1:6">
      <c r="A11429" t="str">
        <f t="shared" si="178"/>
        <v/>
      </c>
      <c r="E11429" s="626"/>
      <c r="F11429" s="626"/>
    </row>
    <row r="11430" spans="1:6">
      <c r="A11430" t="str">
        <f t="shared" si="178"/>
        <v/>
      </c>
      <c r="E11430" s="626"/>
      <c r="F11430" s="626"/>
    </row>
    <row r="11431" spans="1:6">
      <c r="A11431" t="str">
        <f t="shared" si="178"/>
        <v/>
      </c>
      <c r="E11431" s="626"/>
      <c r="F11431" s="626"/>
    </row>
    <row r="11432" spans="1:6">
      <c r="A11432" t="str">
        <f t="shared" si="178"/>
        <v/>
      </c>
      <c r="E11432" s="626"/>
      <c r="F11432" s="626"/>
    </row>
    <row r="11433" spans="1:6">
      <c r="A11433" t="str">
        <f t="shared" si="178"/>
        <v/>
      </c>
      <c r="E11433" s="626"/>
      <c r="F11433" s="626"/>
    </row>
    <row r="11434" spans="1:6">
      <c r="A11434" t="str">
        <f t="shared" si="178"/>
        <v/>
      </c>
      <c r="E11434" s="626"/>
      <c r="F11434" s="626"/>
    </row>
    <row r="11435" spans="1:6">
      <c r="A11435" t="str">
        <f t="shared" si="178"/>
        <v/>
      </c>
      <c r="E11435" s="626"/>
      <c r="F11435" s="626"/>
    </row>
    <row r="11436" spans="1:6">
      <c r="A11436" t="str">
        <f t="shared" si="178"/>
        <v/>
      </c>
      <c r="E11436" s="626"/>
      <c r="F11436" s="626"/>
    </row>
    <row r="11437" spans="1:6">
      <c r="A11437" t="str">
        <f t="shared" si="178"/>
        <v/>
      </c>
      <c r="E11437" s="626"/>
      <c r="F11437" s="626"/>
    </row>
    <row r="11438" spans="1:6">
      <c r="A11438" t="str">
        <f t="shared" si="178"/>
        <v/>
      </c>
      <c r="E11438" s="626"/>
      <c r="F11438" s="626"/>
    </row>
    <row r="11439" spans="1:6">
      <c r="A11439" t="str">
        <f t="shared" si="178"/>
        <v/>
      </c>
      <c r="E11439" s="626"/>
      <c r="F11439" s="626"/>
    </row>
    <row r="11440" spans="1:6">
      <c r="A11440" t="str">
        <f t="shared" si="178"/>
        <v/>
      </c>
      <c r="E11440" s="626"/>
      <c r="F11440" s="626"/>
    </row>
    <row r="11441" spans="1:6">
      <c r="A11441" t="str">
        <f t="shared" si="178"/>
        <v/>
      </c>
      <c r="E11441" s="626"/>
      <c r="F11441" s="626"/>
    </row>
    <row r="11442" spans="1:6">
      <c r="A11442" t="str">
        <f t="shared" si="178"/>
        <v/>
      </c>
      <c r="E11442" s="626"/>
      <c r="F11442" s="626"/>
    </row>
    <row r="11443" spans="1:6">
      <c r="A11443" t="str">
        <f t="shared" si="178"/>
        <v/>
      </c>
      <c r="E11443" s="626"/>
      <c r="F11443" s="626"/>
    </row>
    <row r="11444" spans="1:6">
      <c r="A11444" t="str">
        <f t="shared" si="178"/>
        <v/>
      </c>
      <c r="E11444" s="626"/>
      <c r="F11444" s="626"/>
    </row>
    <row r="11445" spans="1:6">
      <c r="A11445" t="str">
        <f t="shared" si="178"/>
        <v/>
      </c>
      <c r="E11445" s="626"/>
      <c r="F11445" s="626"/>
    </row>
    <row r="11446" spans="1:6">
      <c r="A11446" t="str">
        <f t="shared" si="178"/>
        <v/>
      </c>
      <c r="E11446" s="626"/>
      <c r="F11446" s="626"/>
    </row>
    <row r="11447" spans="1:6">
      <c r="A11447" t="str">
        <f t="shared" si="178"/>
        <v/>
      </c>
      <c r="E11447" s="626"/>
      <c r="F11447" s="626"/>
    </row>
    <row r="11448" spans="1:6">
      <c r="A11448" t="str">
        <f t="shared" si="178"/>
        <v/>
      </c>
      <c r="E11448" s="626"/>
      <c r="F11448" s="626"/>
    </row>
    <row r="11449" spans="1:6">
      <c r="A11449" t="str">
        <f t="shared" si="178"/>
        <v/>
      </c>
      <c r="E11449" s="626"/>
      <c r="F11449" s="626"/>
    </row>
    <row r="11450" spans="1:6">
      <c r="A11450" t="str">
        <f t="shared" si="178"/>
        <v/>
      </c>
      <c r="E11450" s="626"/>
      <c r="F11450" s="626"/>
    </row>
    <row r="11451" spans="1:6">
      <c r="A11451" t="str">
        <f t="shared" si="178"/>
        <v/>
      </c>
      <c r="E11451" s="626"/>
      <c r="F11451" s="626"/>
    </row>
    <row r="11452" spans="1:6">
      <c r="A11452" t="str">
        <f t="shared" si="178"/>
        <v/>
      </c>
      <c r="E11452" s="626"/>
      <c r="F11452" s="626"/>
    </row>
    <row r="11453" spans="1:6">
      <c r="A11453" t="str">
        <f t="shared" si="178"/>
        <v/>
      </c>
      <c r="E11453" s="626"/>
      <c r="F11453" s="626"/>
    </row>
    <row r="11454" spans="1:6">
      <c r="A11454" t="str">
        <f t="shared" si="178"/>
        <v/>
      </c>
      <c r="E11454" s="626"/>
      <c r="F11454" s="626"/>
    </row>
    <row r="11455" spans="1:6">
      <c r="A11455" t="str">
        <f t="shared" si="178"/>
        <v/>
      </c>
      <c r="E11455" s="626"/>
      <c r="F11455" s="626"/>
    </row>
    <row r="11456" spans="1:6">
      <c r="A11456" t="str">
        <f t="shared" si="178"/>
        <v/>
      </c>
      <c r="E11456" s="626"/>
      <c r="F11456" s="626"/>
    </row>
    <row r="11457" spans="1:6">
      <c r="A11457" t="str">
        <f t="shared" si="178"/>
        <v/>
      </c>
      <c r="E11457" s="626"/>
      <c r="F11457" s="626"/>
    </row>
    <row r="11458" spans="1:6">
      <c r="A11458" t="str">
        <f t="shared" ref="A11458:A11521" si="179">B11458&amp;E11458&amp;J11458</f>
        <v/>
      </c>
      <c r="E11458" s="626"/>
      <c r="F11458" s="626"/>
    </row>
    <row r="11459" spans="1:6">
      <c r="A11459" t="str">
        <f t="shared" si="179"/>
        <v/>
      </c>
      <c r="E11459" s="626"/>
      <c r="F11459" s="626"/>
    </row>
    <row r="11460" spans="1:6">
      <c r="A11460" t="str">
        <f t="shared" si="179"/>
        <v/>
      </c>
      <c r="E11460" s="626"/>
      <c r="F11460" s="626"/>
    </row>
    <row r="11461" spans="1:6">
      <c r="A11461" t="str">
        <f t="shared" si="179"/>
        <v/>
      </c>
      <c r="E11461" s="626"/>
      <c r="F11461" s="626"/>
    </row>
    <row r="11462" spans="1:6">
      <c r="A11462" t="str">
        <f t="shared" si="179"/>
        <v/>
      </c>
      <c r="E11462" s="626"/>
      <c r="F11462" s="626"/>
    </row>
    <row r="11463" spans="1:6">
      <c r="A11463" t="str">
        <f t="shared" si="179"/>
        <v/>
      </c>
      <c r="E11463" s="626"/>
      <c r="F11463" s="626"/>
    </row>
    <row r="11464" spans="1:6">
      <c r="A11464" t="str">
        <f t="shared" si="179"/>
        <v/>
      </c>
      <c r="E11464" s="626"/>
      <c r="F11464" s="626"/>
    </row>
    <row r="11465" spans="1:6">
      <c r="A11465" t="str">
        <f t="shared" si="179"/>
        <v/>
      </c>
      <c r="E11465" s="626"/>
      <c r="F11465" s="626"/>
    </row>
    <row r="11466" spans="1:6">
      <c r="A11466" t="str">
        <f t="shared" si="179"/>
        <v/>
      </c>
      <c r="E11466" s="626"/>
      <c r="F11466" s="626"/>
    </row>
    <row r="11467" spans="1:6">
      <c r="A11467" t="str">
        <f t="shared" si="179"/>
        <v/>
      </c>
      <c r="E11467" s="626"/>
      <c r="F11467" s="626"/>
    </row>
    <row r="11468" spans="1:6">
      <c r="A11468" t="str">
        <f t="shared" si="179"/>
        <v/>
      </c>
      <c r="E11468" s="626"/>
      <c r="F11468" s="626"/>
    </row>
    <row r="11469" spans="1:6">
      <c r="A11469" t="str">
        <f t="shared" si="179"/>
        <v/>
      </c>
      <c r="E11469" s="626"/>
      <c r="F11469" s="626"/>
    </row>
    <row r="11470" spans="1:6">
      <c r="A11470" t="str">
        <f t="shared" si="179"/>
        <v/>
      </c>
      <c r="E11470" s="626"/>
      <c r="F11470" s="626"/>
    </row>
    <row r="11471" spans="1:6">
      <c r="A11471" t="str">
        <f t="shared" si="179"/>
        <v/>
      </c>
      <c r="E11471" s="626"/>
      <c r="F11471" s="626"/>
    </row>
    <row r="11472" spans="1:6">
      <c r="A11472" t="str">
        <f t="shared" si="179"/>
        <v/>
      </c>
      <c r="E11472" s="626"/>
      <c r="F11472" s="626"/>
    </row>
    <row r="11473" spans="1:6">
      <c r="A11473" t="str">
        <f t="shared" si="179"/>
        <v/>
      </c>
      <c r="E11473" s="626"/>
      <c r="F11473" s="626"/>
    </row>
    <row r="11474" spans="1:6">
      <c r="A11474" t="str">
        <f t="shared" si="179"/>
        <v/>
      </c>
      <c r="E11474" s="626"/>
      <c r="F11474" s="626"/>
    </row>
    <row r="11475" spans="1:6">
      <c r="A11475" t="str">
        <f t="shared" si="179"/>
        <v/>
      </c>
      <c r="E11475" s="626"/>
      <c r="F11475" s="626"/>
    </row>
    <row r="11476" spans="1:6">
      <c r="A11476" t="str">
        <f t="shared" si="179"/>
        <v/>
      </c>
      <c r="E11476" s="626"/>
      <c r="F11476" s="626"/>
    </row>
    <row r="11477" spans="1:6">
      <c r="A11477" t="str">
        <f t="shared" si="179"/>
        <v/>
      </c>
      <c r="E11477" s="626"/>
      <c r="F11477" s="626"/>
    </row>
    <row r="11478" spans="1:6">
      <c r="A11478" t="str">
        <f t="shared" si="179"/>
        <v/>
      </c>
      <c r="E11478" s="626"/>
      <c r="F11478" s="626"/>
    </row>
    <row r="11479" spans="1:6">
      <c r="A11479" t="str">
        <f t="shared" si="179"/>
        <v/>
      </c>
      <c r="E11479" s="626"/>
      <c r="F11479" s="626"/>
    </row>
    <row r="11480" spans="1:6">
      <c r="A11480" t="str">
        <f t="shared" si="179"/>
        <v/>
      </c>
      <c r="E11480" s="626"/>
      <c r="F11480" s="626"/>
    </row>
    <row r="11481" spans="1:6">
      <c r="A11481" t="str">
        <f t="shared" si="179"/>
        <v/>
      </c>
      <c r="E11481" s="626"/>
      <c r="F11481" s="626"/>
    </row>
    <row r="11482" spans="1:6">
      <c r="A11482" t="str">
        <f t="shared" si="179"/>
        <v/>
      </c>
      <c r="E11482" s="626"/>
      <c r="F11482" s="626"/>
    </row>
    <row r="11483" spans="1:6">
      <c r="A11483" t="str">
        <f t="shared" si="179"/>
        <v/>
      </c>
      <c r="E11483" s="626"/>
      <c r="F11483" s="626"/>
    </row>
    <row r="11484" spans="1:6">
      <c r="A11484" t="str">
        <f t="shared" si="179"/>
        <v/>
      </c>
      <c r="E11484" s="626"/>
      <c r="F11484" s="626"/>
    </row>
    <row r="11485" spans="1:6">
      <c r="A11485" t="str">
        <f t="shared" si="179"/>
        <v/>
      </c>
      <c r="E11485" s="626"/>
      <c r="F11485" s="626"/>
    </row>
    <row r="11486" spans="1:6">
      <c r="A11486" t="str">
        <f t="shared" si="179"/>
        <v/>
      </c>
      <c r="E11486" s="626"/>
      <c r="F11486" s="626"/>
    </row>
    <row r="11487" spans="1:6">
      <c r="A11487" t="str">
        <f t="shared" si="179"/>
        <v/>
      </c>
      <c r="E11487" s="626"/>
      <c r="F11487" s="626"/>
    </row>
    <row r="11488" spans="1:6">
      <c r="A11488" t="str">
        <f t="shared" si="179"/>
        <v/>
      </c>
      <c r="E11488" s="626"/>
      <c r="F11488" s="626"/>
    </row>
    <row r="11489" spans="1:6">
      <c r="A11489" t="str">
        <f t="shared" si="179"/>
        <v/>
      </c>
      <c r="E11489" s="626"/>
      <c r="F11489" s="626"/>
    </row>
    <row r="11490" spans="1:6">
      <c r="A11490" t="str">
        <f t="shared" si="179"/>
        <v/>
      </c>
      <c r="E11490" s="626"/>
      <c r="F11490" s="626"/>
    </row>
    <row r="11491" spans="1:6">
      <c r="A11491" t="str">
        <f t="shared" si="179"/>
        <v/>
      </c>
      <c r="E11491" s="626"/>
      <c r="F11491" s="626"/>
    </row>
    <row r="11492" spans="1:6">
      <c r="A11492" t="str">
        <f t="shared" si="179"/>
        <v/>
      </c>
      <c r="E11492" s="626"/>
      <c r="F11492" s="626"/>
    </row>
    <row r="11493" spans="1:6">
      <c r="A11493" t="str">
        <f t="shared" si="179"/>
        <v/>
      </c>
      <c r="E11493" s="626"/>
      <c r="F11493" s="626"/>
    </row>
    <row r="11494" spans="1:6">
      <c r="A11494" t="str">
        <f t="shared" si="179"/>
        <v/>
      </c>
      <c r="E11494" s="626"/>
      <c r="F11494" s="626"/>
    </row>
    <row r="11495" spans="1:6">
      <c r="A11495" t="str">
        <f t="shared" si="179"/>
        <v/>
      </c>
      <c r="E11495" s="626"/>
      <c r="F11495" s="626"/>
    </row>
    <row r="11496" spans="1:6">
      <c r="A11496" t="str">
        <f t="shared" si="179"/>
        <v/>
      </c>
      <c r="E11496" s="626"/>
      <c r="F11496" s="626"/>
    </row>
    <row r="11497" spans="1:6">
      <c r="A11497" t="str">
        <f t="shared" si="179"/>
        <v/>
      </c>
      <c r="E11497" s="626"/>
      <c r="F11497" s="626"/>
    </row>
    <row r="11498" spans="1:6">
      <c r="A11498" t="str">
        <f t="shared" si="179"/>
        <v/>
      </c>
      <c r="E11498" s="626"/>
      <c r="F11498" s="626"/>
    </row>
    <row r="11499" spans="1:6">
      <c r="A11499" t="str">
        <f t="shared" si="179"/>
        <v/>
      </c>
      <c r="E11499" s="626"/>
      <c r="F11499" s="626"/>
    </row>
    <row r="11500" spans="1:6">
      <c r="A11500" t="str">
        <f t="shared" si="179"/>
        <v/>
      </c>
      <c r="E11500" s="626"/>
      <c r="F11500" s="626"/>
    </row>
    <row r="11501" spans="1:6">
      <c r="A11501" t="str">
        <f t="shared" si="179"/>
        <v/>
      </c>
      <c r="E11501" s="626"/>
      <c r="F11501" s="626"/>
    </row>
    <row r="11502" spans="1:6">
      <c r="A11502" t="str">
        <f t="shared" si="179"/>
        <v/>
      </c>
      <c r="E11502" s="626"/>
      <c r="F11502" s="626"/>
    </row>
    <row r="11503" spans="1:6">
      <c r="A11503" t="str">
        <f t="shared" si="179"/>
        <v/>
      </c>
      <c r="E11503" s="626"/>
      <c r="F11503" s="626"/>
    </row>
    <row r="11504" spans="1:6">
      <c r="A11504" t="str">
        <f t="shared" si="179"/>
        <v/>
      </c>
      <c r="E11504" s="626"/>
      <c r="F11504" s="626"/>
    </row>
    <row r="11505" spans="1:6">
      <c r="A11505" t="str">
        <f t="shared" si="179"/>
        <v/>
      </c>
      <c r="E11505" s="626"/>
      <c r="F11505" s="626"/>
    </row>
    <row r="11506" spans="1:6">
      <c r="A11506" t="str">
        <f t="shared" si="179"/>
        <v/>
      </c>
      <c r="E11506" s="626"/>
      <c r="F11506" s="626"/>
    </row>
    <row r="11507" spans="1:6">
      <c r="A11507" t="str">
        <f t="shared" si="179"/>
        <v/>
      </c>
      <c r="E11507" s="626"/>
      <c r="F11507" s="626"/>
    </row>
    <row r="11508" spans="1:6">
      <c r="A11508" t="str">
        <f t="shared" si="179"/>
        <v/>
      </c>
      <c r="E11508" s="626"/>
      <c r="F11508" s="626"/>
    </row>
    <row r="11509" spans="1:6">
      <c r="A11509" t="str">
        <f t="shared" si="179"/>
        <v/>
      </c>
      <c r="E11509" s="626"/>
      <c r="F11509" s="626"/>
    </row>
    <row r="11510" spans="1:6">
      <c r="A11510" t="str">
        <f t="shared" si="179"/>
        <v/>
      </c>
      <c r="E11510" s="626"/>
      <c r="F11510" s="626"/>
    </row>
    <row r="11511" spans="1:6">
      <c r="A11511" t="str">
        <f t="shared" si="179"/>
        <v/>
      </c>
      <c r="E11511" s="626"/>
      <c r="F11511" s="626"/>
    </row>
    <row r="11512" spans="1:6">
      <c r="A11512" t="str">
        <f t="shared" si="179"/>
        <v/>
      </c>
      <c r="E11512" s="626"/>
      <c r="F11512" s="626"/>
    </row>
    <row r="11513" spans="1:6">
      <c r="A11513" t="str">
        <f t="shared" si="179"/>
        <v/>
      </c>
      <c r="E11513" s="626"/>
      <c r="F11513" s="626"/>
    </row>
    <row r="11514" spans="1:6">
      <c r="A11514" t="str">
        <f t="shared" si="179"/>
        <v/>
      </c>
      <c r="E11514" s="626"/>
      <c r="F11514" s="626"/>
    </row>
    <row r="11515" spans="1:6">
      <c r="A11515" t="str">
        <f t="shared" si="179"/>
        <v/>
      </c>
      <c r="E11515" s="626"/>
      <c r="F11515" s="626"/>
    </row>
    <row r="11516" spans="1:6">
      <c r="A11516" t="str">
        <f t="shared" si="179"/>
        <v/>
      </c>
      <c r="E11516" s="626"/>
      <c r="F11516" s="626"/>
    </row>
    <row r="11517" spans="1:6">
      <c r="A11517" t="str">
        <f t="shared" si="179"/>
        <v/>
      </c>
      <c r="E11517" s="626"/>
      <c r="F11517" s="626"/>
    </row>
    <row r="11518" spans="1:6">
      <c r="A11518" t="str">
        <f t="shared" si="179"/>
        <v/>
      </c>
      <c r="E11518" s="626"/>
      <c r="F11518" s="626"/>
    </row>
    <row r="11519" spans="1:6">
      <c r="A11519" t="str">
        <f t="shared" si="179"/>
        <v/>
      </c>
      <c r="E11519" s="626"/>
      <c r="F11519" s="626"/>
    </row>
    <row r="11520" spans="1:6">
      <c r="A11520" t="str">
        <f t="shared" si="179"/>
        <v/>
      </c>
      <c r="E11520" s="626"/>
      <c r="F11520" s="626"/>
    </row>
    <row r="11521" spans="1:6">
      <c r="A11521" t="str">
        <f t="shared" si="179"/>
        <v/>
      </c>
      <c r="E11521" s="626"/>
      <c r="F11521" s="626"/>
    </row>
    <row r="11522" spans="1:6">
      <c r="A11522" t="str">
        <f t="shared" ref="A11522:A11585" si="180">B11522&amp;E11522&amp;J11522</f>
        <v/>
      </c>
      <c r="E11522" s="626"/>
      <c r="F11522" s="626"/>
    </row>
    <row r="11523" spans="1:6">
      <c r="A11523" t="str">
        <f t="shared" si="180"/>
        <v/>
      </c>
      <c r="E11523" s="626"/>
      <c r="F11523" s="626"/>
    </row>
    <row r="11524" spans="1:6">
      <c r="A11524" t="str">
        <f t="shared" si="180"/>
        <v/>
      </c>
      <c r="E11524" s="626"/>
      <c r="F11524" s="626"/>
    </row>
    <row r="11525" spans="1:6">
      <c r="A11525" t="str">
        <f t="shared" si="180"/>
        <v/>
      </c>
      <c r="E11525" s="626"/>
      <c r="F11525" s="626"/>
    </row>
    <row r="11526" spans="1:6">
      <c r="A11526" t="str">
        <f t="shared" si="180"/>
        <v/>
      </c>
      <c r="E11526" s="626"/>
      <c r="F11526" s="626"/>
    </row>
    <row r="11527" spans="1:6">
      <c r="A11527" t="str">
        <f t="shared" si="180"/>
        <v/>
      </c>
      <c r="E11527" s="626"/>
      <c r="F11527" s="626"/>
    </row>
    <row r="11528" spans="1:6">
      <c r="A11528" t="str">
        <f t="shared" si="180"/>
        <v/>
      </c>
      <c r="E11528" s="626"/>
      <c r="F11528" s="626"/>
    </row>
    <row r="11529" spans="1:6">
      <c r="A11529" t="str">
        <f t="shared" si="180"/>
        <v/>
      </c>
      <c r="E11529" s="626"/>
      <c r="F11529" s="626"/>
    </row>
    <row r="11530" spans="1:6">
      <c r="A11530" t="str">
        <f t="shared" si="180"/>
        <v/>
      </c>
      <c r="E11530" s="626"/>
      <c r="F11530" s="626"/>
    </row>
    <row r="11531" spans="1:6">
      <c r="A11531" t="str">
        <f t="shared" si="180"/>
        <v/>
      </c>
      <c r="E11531" s="626"/>
      <c r="F11531" s="626"/>
    </row>
    <row r="11532" spans="1:6">
      <c r="A11532" t="str">
        <f t="shared" si="180"/>
        <v/>
      </c>
      <c r="E11532" s="626"/>
      <c r="F11532" s="626"/>
    </row>
    <row r="11533" spans="1:6">
      <c r="A11533" t="str">
        <f t="shared" si="180"/>
        <v/>
      </c>
      <c r="E11533" s="626"/>
      <c r="F11533" s="626"/>
    </row>
    <row r="11534" spans="1:6">
      <c r="A11534" t="str">
        <f t="shared" si="180"/>
        <v/>
      </c>
      <c r="E11534" s="626"/>
      <c r="F11534" s="626"/>
    </row>
    <row r="11535" spans="1:6">
      <c r="A11535" t="str">
        <f t="shared" si="180"/>
        <v/>
      </c>
      <c r="E11535" s="626"/>
      <c r="F11535" s="626"/>
    </row>
    <row r="11536" spans="1:6">
      <c r="A11536" t="str">
        <f t="shared" si="180"/>
        <v/>
      </c>
      <c r="E11536" s="626"/>
      <c r="F11536" s="626"/>
    </row>
    <row r="11537" spans="1:6">
      <c r="A11537" t="str">
        <f t="shared" si="180"/>
        <v/>
      </c>
      <c r="E11537" s="626"/>
      <c r="F11537" s="626"/>
    </row>
    <row r="11538" spans="1:6">
      <c r="A11538" t="str">
        <f t="shared" si="180"/>
        <v/>
      </c>
      <c r="E11538" s="626"/>
      <c r="F11538" s="626"/>
    </row>
    <row r="11539" spans="1:6">
      <c r="A11539" t="str">
        <f t="shared" si="180"/>
        <v/>
      </c>
      <c r="E11539" s="626"/>
      <c r="F11539" s="626"/>
    </row>
    <row r="11540" spans="1:6">
      <c r="A11540" t="str">
        <f t="shared" si="180"/>
        <v/>
      </c>
      <c r="E11540" s="626"/>
      <c r="F11540" s="626"/>
    </row>
    <row r="11541" spans="1:6">
      <c r="A11541" t="str">
        <f t="shared" si="180"/>
        <v/>
      </c>
      <c r="E11541" s="626"/>
      <c r="F11541" s="626"/>
    </row>
    <row r="11542" spans="1:6">
      <c r="A11542" t="str">
        <f t="shared" si="180"/>
        <v/>
      </c>
      <c r="E11542" s="626"/>
      <c r="F11542" s="626"/>
    </row>
    <row r="11543" spans="1:6">
      <c r="A11543" t="str">
        <f t="shared" si="180"/>
        <v/>
      </c>
      <c r="E11543" s="626"/>
      <c r="F11543" s="626"/>
    </row>
    <row r="11544" spans="1:6">
      <c r="A11544" t="str">
        <f t="shared" si="180"/>
        <v/>
      </c>
      <c r="E11544" s="626"/>
      <c r="F11544" s="626"/>
    </row>
    <row r="11545" spans="1:6">
      <c r="A11545" t="str">
        <f t="shared" si="180"/>
        <v/>
      </c>
      <c r="E11545" s="626"/>
      <c r="F11545" s="626"/>
    </row>
    <row r="11546" spans="1:6">
      <c r="A11546" t="str">
        <f t="shared" si="180"/>
        <v/>
      </c>
      <c r="E11546" s="626"/>
      <c r="F11546" s="626"/>
    </row>
    <row r="11547" spans="1:6">
      <c r="A11547" t="str">
        <f t="shared" si="180"/>
        <v/>
      </c>
      <c r="E11547" s="626"/>
      <c r="F11547" s="626"/>
    </row>
    <row r="11548" spans="1:6">
      <c r="A11548" t="str">
        <f t="shared" si="180"/>
        <v/>
      </c>
      <c r="E11548" s="626"/>
      <c r="F11548" s="626"/>
    </row>
    <row r="11549" spans="1:6">
      <c r="A11549" t="str">
        <f t="shared" si="180"/>
        <v/>
      </c>
      <c r="E11549" s="626"/>
      <c r="F11549" s="626"/>
    </row>
    <row r="11550" spans="1:6">
      <c r="A11550" t="str">
        <f t="shared" si="180"/>
        <v/>
      </c>
      <c r="E11550" s="626"/>
      <c r="F11550" s="626"/>
    </row>
    <row r="11551" spans="1:6">
      <c r="A11551" t="str">
        <f t="shared" si="180"/>
        <v/>
      </c>
      <c r="E11551" s="626"/>
      <c r="F11551" s="626"/>
    </row>
    <row r="11552" spans="1:6">
      <c r="A11552" t="str">
        <f t="shared" si="180"/>
        <v/>
      </c>
      <c r="E11552" s="626"/>
      <c r="F11552" s="626"/>
    </row>
    <row r="11553" spans="1:6">
      <c r="A11553" t="str">
        <f t="shared" si="180"/>
        <v/>
      </c>
      <c r="E11553" s="626"/>
      <c r="F11553" s="626"/>
    </row>
    <row r="11554" spans="1:6">
      <c r="A11554" t="str">
        <f t="shared" si="180"/>
        <v/>
      </c>
      <c r="E11554" s="626"/>
      <c r="F11554" s="626"/>
    </row>
    <row r="11555" spans="1:6">
      <c r="A11555" t="str">
        <f t="shared" si="180"/>
        <v/>
      </c>
      <c r="E11555" s="626"/>
      <c r="F11555" s="626"/>
    </row>
    <row r="11556" spans="1:6">
      <c r="A11556" t="str">
        <f t="shared" si="180"/>
        <v/>
      </c>
      <c r="E11556" s="626"/>
      <c r="F11556" s="626"/>
    </row>
    <row r="11557" spans="1:6">
      <c r="A11557" t="str">
        <f t="shared" si="180"/>
        <v/>
      </c>
      <c r="E11557" s="626"/>
      <c r="F11557" s="626"/>
    </row>
    <row r="11558" spans="1:6">
      <c r="A11558" t="str">
        <f t="shared" si="180"/>
        <v/>
      </c>
      <c r="E11558" s="626"/>
      <c r="F11558" s="626"/>
    </row>
    <row r="11559" spans="1:6">
      <c r="A11559" t="str">
        <f t="shared" si="180"/>
        <v/>
      </c>
      <c r="E11559" s="626"/>
      <c r="F11559" s="626"/>
    </row>
    <row r="11560" spans="1:6">
      <c r="A11560" t="str">
        <f t="shared" si="180"/>
        <v/>
      </c>
      <c r="E11560" s="626"/>
      <c r="F11560" s="626"/>
    </row>
    <row r="11561" spans="1:6">
      <c r="A11561" t="str">
        <f t="shared" si="180"/>
        <v/>
      </c>
      <c r="E11561" s="626"/>
      <c r="F11561" s="626"/>
    </row>
    <row r="11562" spans="1:6">
      <c r="A11562" t="str">
        <f t="shared" si="180"/>
        <v/>
      </c>
      <c r="E11562" s="626"/>
      <c r="F11562" s="626"/>
    </row>
    <row r="11563" spans="1:6">
      <c r="A11563" t="str">
        <f t="shared" si="180"/>
        <v/>
      </c>
      <c r="E11563" s="626"/>
      <c r="F11563" s="626"/>
    </row>
    <row r="11564" spans="1:6">
      <c r="A11564" t="str">
        <f t="shared" si="180"/>
        <v/>
      </c>
      <c r="E11564" s="626"/>
      <c r="F11564" s="626"/>
    </row>
    <row r="11565" spans="1:6">
      <c r="A11565" t="str">
        <f t="shared" si="180"/>
        <v/>
      </c>
      <c r="E11565" s="626"/>
      <c r="F11565" s="626"/>
    </row>
    <row r="11566" spans="1:6">
      <c r="A11566" t="str">
        <f t="shared" si="180"/>
        <v/>
      </c>
      <c r="E11566" s="626"/>
      <c r="F11566" s="626"/>
    </row>
    <row r="11567" spans="1:6">
      <c r="A11567" t="str">
        <f t="shared" si="180"/>
        <v/>
      </c>
      <c r="E11567" s="626"/>
      <c r="F11567" s="626"/>
    </row>
    <row r="11568" spans="1:6">
      <c r="A11568" t="str">
        <f t="shared" si="180"/>
        <v/>
      </c>
      <c r="E11568" s="626"/>
      <c r="F11568" s="626"/>
    </row>
    <row r="11569" spans="1:6">
      <c r="A11569" t="str">
        <f t="shared" si="180"/>
        <v/>
      </c>
      <c r="E11569" s="626"/>
      <c r="F11569" s="626"/>
    </row>
    <row r="11570" spans="1:6">
      <c r="A11570" t="str">
        <f t="shared" si="180"/>
        <v/>
      </c>
      <c r="E11570" s="626"/>
      <c r="F11570" s="626"/>
    </row>
    <row r="11571" spans="1:6">
      <c r="A11571" t="str">
        <f t="shared" si="180"/>
        <v/>
      </c>
      <c r="E11571" s="626"/>
      <c r="F11571" s="626"/>
    </row>
    <row r="11572" spans="1:6">
      <c r="A11572" t="str">
        <f t="shared" si="180"/>
        <v/>
      </c>
      <c r="E11572" s="626"/>
      <c r="F11572" s="626"/>
    </row>
    <row r="11573" spans="1:6">
      <c r="A11573" t="str">
        <f t="shared" si="180"/>
        <v/>
      </c>
      <c r="E11573" s="626"/>
      <c r="F11573" s="626"/>
    </row>
    <row r="11574" spans="1:6">
      <c r="A11574" t="str">
        <f t="shared" si="180"/>
        <v/>
      </c>
      <c r="E11574" s="626"/>
      <c r="F11574" s="626"/>
    </row>
    <row r="11575" spans="1:6">
      <c r="A11575" t="str">
        <f t="shared" si="180"/>
        <v/>
      </c>
      <c r="E11575" s="626"/>
      <c r="F11575" s="626"/>
    </row>
    <row r="11576" spans="1:6">
      <c r="A11576" t="str">
        <f t="shared" si="180"/>
        <v/>
      </c>
      <c r="E11576" s="626"/>
      <c r="F11576" s="626"/>
    </row>
    <row r="11577" spans="1:6">
      <c r="A11577" t="str">
        <f t="shared" si="180"/>
        <v/>
      </c>
      <c r="E11577" s="626"/>
      <c r="F11577" s="626"/>
    </row>
    <row r="11578" spans="1:6">
      <c r="A11578" t="str">
        <f t="shared" si="180"/>
        <v/>
      </c>
      <c r="E11578" s="626"/>
      <c r="F11578" s="626"/>
    </row>
    <row r="11579" spans="1:6">
      <c r="A11579" t="str">
        <f t="shared" si="180"/>
        <v/>
      </c>
      <c r="E11579" s="626"/>
      <c r="F11579" s="626"/>
    </row>
    <row r="11580" spans="1:6">
      <c r="A11580" t="str">
        <f t="shared" si="180"/>
        <v/>
      </c>
      <c r="E11580" s="626"/>
      <c r="F11580" s="626"/>
    </row>
    <row r="11581" spans="1:6">
      <c r="A11581" t="str">
        <f t="shared" si="180"/>
        <v/>
      </c>
      <c r="E11581" s="626"/>
      <c r="F11581" s="626"/>
    </row>
    <row r="11582" spans="1:6">
      <c r="A11582" t="str">
        <f t="shared" si="180"/>
        <v/>
      </c>
      <c r="E11582" s="626"/>
      <c r="F11582" s="626"/>
    </row>
    <row r="11583" spans="1:6">
      <c r="A11583" t="str">
        <f t="shared" si="180"/>
        <v/>
      </c>
      <c r="E11583" s="626"/>
      <c r="F11583" s="626"/>
    </row>
    <row r="11584" spans="1:6">
      <c r="A11584" t="str">
        <f t="shared" si="180"/>
        <v/>
      </c>
      <c r="E11584" s="626"/>
      <c r="F11584" s="626"/>
    </row>
    <row r="11585" spans="1:6">
      <c r="A11585" t="str">
        <f t="shared" si="180"/>
        <v/>
      </c>
      <c r="E11585" s="626"/>
      <c r="F11585" s="626"/>
    </row>
    <row r="11586" spans="1:6">
      <c r="A11586" t="str">
        <f t="shared" ref="A11586:A11649" si="181">B11586&amp;E11586&amp;J11586</f>
        <v/>
      </c>
      <c r="E11586" s="626"/>
      <c r="F11586" s="626"/>
    </row>
    <row r="11587" spans="1:6">
      <c r="A11587" t="str">
        <f t="shared" si="181"/>
        <v/>
      </c>
      <c r="E11587" s="626"/>
      <c r="F11587" s="626"/>
    </row>
    <row r="11588" spans="1:6">
      <c r="A11588" t="str">
        <f t="shared" si="181"/>
        <v/>
      </c>
      <c r="E11588" s="626"/>
      <c r="F11588" s="626"/>
    </row>
    <row r="11589" spans="1:6">
      <c r="A11589" t="str">
        <f t="shared" si="181"/>
        <v/>
      </c>
      <c r="E11589" s="626"/>
      <c r="F11589" s="626"/>
    </row>
    <row r="11590" spans="1:6">
      <c r="A11590" t="str">
        <f t="shared" si="181"/>
        <v/>
      </c>
      <c r="E11590" s="626"/>
      <c r="F11590" s="626"/>
    </row>
    <row r="11591" spans="1:6">
      <c r="A11591" t="str">
        <f t="shared" si="181"/>
        <v/>
      </c>
      <c r="E11591" s="626"/>
      <c r="F11591" s="626"/>
    </row>
    <row r="11592" spans="1:6">
      <c r="A11592" t="str">
        <f t="shared" si="181"/>
        <v/>
      </c>
      <c r="E11592" s="626"/>
      <c r="F11592" s="626"/>
    </row>
    <row r="11593" spans="1:6">
      <c r="A11593" t="str">
        <f t="shared" si="181"/>
        <v/>
      </c>
      <c r="E11593" s="626"/>
      <c r="F11593" s="626"/>
    </row>
    <row r="11594" spans="1:6">
      <c r="A11594" t="str">
        <f t="shared" si="181"/>
        <v/>
      </c>
      <c r="E11594" s="626"/>
      <c r="F11594" s="626"/>
    </row>
    <row r="11595" spans="1:6">
      <c r="A11595" t="str">
        <f t="shared" si="181"/>
        <v/>
      </c>
      <c r="E11595" s="626"/>
      <c r="F11595" s="626"/>
    </row>
    <row r="11596" spans="1:6">
      <c r="A11596" t="str">
        <f t="shared" si="181"/>
        <v/>
      </c>
      <c r="E11596" s="626"/>
      <c r="F11596" s="626"/>
    </row>
    <row r="11597" spans="1:6">
      <c r="A11597" t="str">
        <f t="shared" si="181"/>
        <v/>
      </c>
      <c r="E11597" s="626"/>
      <c r="F11597" s="626"/>
    </row>
    <row r="11598" spans="1:6">
      <c r="A11598" t="str">
        <f t="shared" si="181"/>
        <v/>
      </c>
      <c r="E11598" s="626"/>
      <c r="F11598" s="626"/>
    </row>
    <row r="11599" spans="1:6">
      <c r="A11599" t="str">
        <f t="shared" si="181"/>
        <v/>
      </c>
      <c r="E11599" s="626"/>
      <c r="F11599" s="626"/>
    </row>
    <row r="11600" spans="1:6">
      <c r="A11600" t="str">
        <f t="shared" si="181"/>
        <v/>
      </c>
      <c r="E11600" s="626"/>
      <c r="F11600" s="626"/>
    </row>
    <row r="11601" spans="1:6">
      <c r="A11601" t="str">
        <f t="shared" si="181"/>
        <v/>
      </c>
      <c r="E11601" s="626"/>
      <c r="F11601" s="626"/>
    </row>
    <row r="11602" spans="1:6">
      <c r="A11602" t="str">
        <f t="shared" si="181"/>
        <v/>
      </c>
      <c r="E11602" s="626"/>
      <c r="F11602" s="626"/>
    </row>
    <row r="11603" spans="1:6">
      <c r="A11603" t="str">
        <f t="shared" si="181"/>
        <v/>
      </c>
      <c r="E11603" s="626"/>
      <c r="F11603" s="626"/>
    </row>
    <row r="11604" spans="1:6">
      <c r="A11604" t="str">
        <f t="shared" si="181"/>
        <v/>
      </c>
      <c r="E11604" s="626"/>
      <c r="F11604" s="626"/>
    </row>
    <row r="11605" spans="1:6">
      <c r="A11605" t="str">
        <f t="shared" si="181"/>
        <v/>
      </c>
      <c r="E11605" s="626"/>
      <c r="F11605" s="626"/>
    </row>
    <row r="11606" spans="1:6">
      <c r="A11606" t="str">
        <f t="shared" si="181"/>
        <v/>
      </c>
      <c r="E11606" s="626"/>
      <c r="F11606" s="626"/>
    </row>
    <row r="11607" spans="1:6">
      <c r="A11607" t="str">
        <f t="shared" si="181"/>
        <v/>
      </c>
      <c r="E11607" s="626"/>
      <c r="F11607" s="626"/>
    </row>
    <row r="11608" spans="1:6">
      <c r="A11608" t="str">
        <f t="shared" si="181"/>
        <v/>
      </c>
      <c r="E11608" s="626"/>
      <c r="F11608" s="626"/>
    </row>
    <row r="11609" spans="1:6">
      <c r="A11609" t="str">
        <f t="shared" si="181"/>
        <v/>
      </c>
      <c r="E11609" s="626"/>
      <c r="F11609" s="626"/>
    </row>
    <row r="11610" spans="1:6">
      <c r="A11610" t="str">
        <f t="shared" si="181"/>
        <v/>
      </c>
      <c r="E11610" s="626"/>
      <c r="F11610" s="626"/>
    </row>
    <row r="11611" spans="1:6">
      <c r="A11611" t="str">
        <f t="shared" si="181"/>
        <v/>
      </c>
      <c r="E11611" s="626"/>
      <c r="F11611" s="626"/>
    </row>
    <row r="11612" spans="1:6">
      <c r="A11612" t="str">
        <f t="shared" si="181"/>
        <v/>
      </c>
      <c r="E11612" s="626"/>
      <c r="F11612" s="626"/>
    </row>
    <row r="11613" spans="1:6">
      <c r="A11613" t="str">
        <f t="shared" si="181"/>
        <v/>
      </c>
      <c r="E11613" s="626"/>
      <c r="F11613" s="626"/>
    </row>
    <row r="11614" spans="1:6">
      <c r="A11614" t="str">
        <f t="shared" si="181"/>
        <v/>
      </c>
      <c r="E11614" s="626"/>
      <c r="F11614" s="626"/>
    </row>
    <row r="11615" spans="1:6">
      <c r="A11615" t="str">
        <f t="shared" si="181"/>
        <v/>
      </c>
      <c r="E11615" s="626"/>
      <c r="F11615" s="626"/>
    </row>
    <row r="11616" spans="1:6">
      <c r="A11616" t="str">
        <f t="shared" si="181"/>
        <v/>
      </c>
      <c r="E11616" s="626"/>
      <c r="F11616" s="626"/>
    </row>
    <row r="11617" spans="1:6">
      <c r="A11617" t="str">
        <f t="shared" si="181"/>
        <v/>
      </c>
      <c r="E11617" s="626"/>
      <c r="F11617" s="626"/>
    </row>
    <row r="11618" spans="1:6">
      <c r="A11618" t="str">
        <f t="shared" si="181"/>
        <v/>
      </c>
      <c r="E11618" s="626"/>
      <c r="F11618" s="626"/>
    </row>
    <row r="11619" spans="1:6">
      <c r="A11619" t="str">
        <f t="shared" si="181"/>
        <v/>
      </c>
      <c r="E11619" s="626"/>
      <c r="F11619" s="626"/>
    </row>
    <row r="11620" spans="1:6">
      <c r="A11620" t="str">
        <f t="shared" si="181"/>
        <v/>
      </c>
      <c r="E11620" s="626"/>
      <c r="F11620" s="626"/>
    </row>
    <row r="11621" spans="1:6">
      <c r="A11621" t="str">
        <f t="shared" si="181"/>
        <v/>
      </c>
      <c r="E11621" s="626"/>
      <c r="F11621" s="626"/>
    </row>
    <row r="11622" spans="1:6">
      <c r="A11622" t="str">
        <f t="shared" si="181"/>
        <v/>
      </c>
      <c r="E11622" s="626"/>
      <c r="F11622" s="626"/>
    </row>
    <row r="11623" spans="1:6">
      <c r="A11623" t="str">
        <f t="shared" si="181"/>
        <v/>
      </c>
      <c r="E11623" s="626"/>
      <c r="F11623" s="626"/>
    </row>
    <row r="11624" spans="1:6">
      <c r="A11624" t="str">
        <f t="shared" si="181"/>
        <v/>
      </c>
      <c r="E11624" s="626"/>
      <c r="F11624" s="626"/>
    </row>
    <row r="11625" spans="1:6">
      <c r="A11625" t="str">
        <f t="shared" si="181"/>
        <v/>
      </c>
      <c r="E11625" s="626"/>
      <c r="F11625" s="626"/>
    </row>
    <row r="11626" spans="1:6">
      <c r="A11626" t="str">
        <f t="shared" si="181"/>
        <v/>
      </c>
      <c r="E11626" s="626"/>
      <c r="F11626" s="626"/>
    </row>
    <row r="11627" spans="1:6">
      <c r="A11627" t="str">
        <f t="shared" si="181"/>
        <v/>
      </c>
      <c r="E11627" s="626"/>
      <c r="F11627" s="626"/>
    </row>
    <row r="11628" spans="1:6">
      <c r="A11628" t="str">
        <f t="shared" si="181"/>
        <v/>
      </c>
      <c r="E11628" s="626"/>
      <c r="F11628" s="626"/>
    </row>
    <row r="11629" spans="1:6">
      <c r="A11629" t="str">
        <f t="shared" si="181"/>
        <v/>
      </c>
      <c r="E11629" s="626"/>
      <c r="F11629" s="626"/>
    </row>
    <row r="11630" spans="1:6">
      <c r="A11630" t="str">
        <f t="shared" si="181"/>
        <v/>
      </c>
      <c r="E11630" s="626"/>
      <c r="F11630" s="626"/>
    </row>
    <row r="11631" spans="1:6">
      <c r="A11631" t="str">
        <f t="shared" si="181"/>
        <v/>
      </c>
      <c r="E11631" s="626"/>
      <c r="F11631" s="626"/>
    </row>
    <row r="11632" spans="1:6">
      <c r="A11632" t="str">
        <f t="shared" si="181"/>
        <v/>
      </c>
      <c r="E11632" s="626"/>
      <c r="F11632" s="626"/>
    </row>
    <row r="11633" spans="1:6">
      <c r="A11633" t="str">
        <f t="shared" si="181"/>
        <v/>
      </c>
      <c r="E11633" s="626"/>
      <c r="F11633" s="626"/>
    </row>
    <row r="11634" spans="1:6">
      <c r="A11634" t="str">
        <f t="shared" si="181"/>
        <v/>
      </c>
      <c r="E11634" s="626"/>
      <c r="F11634" s="626"/>
    </row>
    <row r="11635" spans="1:6">
      <c r="A11635" t="str">
        <f t="shared" si="181"/>
        <v/>
      </c>
      <c r="E11635" s="626"/>
      <c r="F11635" s="626"/>
    </row>
    <row r="11636" spans="1:6">
      <c r="A11636" t="str">
        <f t="shared" si="181"/>
        <v/>
      </c>
      <c r="E11636" s="626"/>
      <c r="F11636" s="626"/>
    </row>
    <row r="11637" spans="1:6">
      <c r="A11637" t="str">
        <f t="shared" si="181"/>
        <v/>
      </c>
      <c r="E11637" s="626"/>
      <c r="F11637" s="626"/>
    </row>
    <row r="11638" spans="1:6">
      <c r="A11638" t="str">
        <f t="shared" si="181"/>
        <v/>
      </c>
      <c r="E11638" s="626"/>
      <c r="F11638" s="626"/>
    </row>
    <row r="11639" spans="1:6">
      <c r="A11639" t="str">
        <f t="shared" si="181"/>
        <v/>
      </c>
      <c r="E11639" s="626"/>
      <c r="F11639" s="626"/>
    </row>
    <row r="11640" spans="1:6">
      <c r="A11640" t="str">
        <f t="shared" si="181"/>
        <v/>
      </c>
      <c r="E11640" s="626"/>
      <c r="F11640" s="626"/>
    </row>
    <row r="11641" spans="1:6">
      <c r="A11641" t="str">
        <f t="shared" si="181"/>
        <v/>
      </c>
      <c r="E11641" s="626"/>
      <c r="F11641" s="626"/>
    </row>
    <row r="11642" spans="1:6">
      <c r="A11642" t="str">
        <f t="shared" si="181"/>
        <v/>
      </c>
      <c r="E11642" s="626"/>
      <c r="F11642" s="626"/>
    </row>
    <row r="11643" spans="1:6">
      <c r="A11643" t="str">
        <f t="shared" si="181"/>
        <v/>
      </c>
      <c r="E11643" s="626"/>
      <c r="F11643" s="626"/>
    </row>
    <row r="11644" spans="1:6">
      <c r="A11644" t="str">
        <f t="shared" si="181"/>
        <v/>
      </c>
      <c r="E11644" s="626"/>
      <c r="F11644" s="626"/>
    </row>
    <row r="11645" spans="1:6">
      <c r="A11645" t="str">
        <f t="shared" si="181"/>
        <v/>
      </c>
      <c r="E11645" s="626"/>
      <c r="F11645" s="626"/>
    </row>
    <row r="11646" spans="1:6">
      <c r="A11646" t="str">
        <f t="shared" si="181"/>
        <v/>
      </c>
      <c r="E11646" s="626"/>
      <c r="F11646" s="626"/>
    </row>
    <row r="11647" spans="1:6">
      <c r="A11647" t="str">
        <f t="shared" si="181"/>
        <v/>
      </c>
      <c r="E11647" s="626"/>
      <c r="F11647" s="626"/>
    </row>
    <row r="11648" spans="1:6">
      <c r="A11648" t="str">
        <f t="shared" si="181"/>
        <v/>
      </c>
      <c r="E11648" s="626"/>
      <c r="F11648" s="626"/>
    </row>
    <row r="11649" spans="1:6">
      <c r="A11649" t="str">
        <f t="shared" si="181"/>
        <v/>
      </c>
      <c r="E11649" s="626"/>
      <c r="F11649" s="626"/>
    </row>
    <row r="11650" spans="1:6">
      <c r="A11650" t="str">
        <f t="shared" ref="A11650:A11713" si="182">B11650&amp;E11650&amp;J11650</f>
        <v/>
      </c>
      <c r="E11650" s="626"/>
      <c r="F11650" s="626"/>
    </row>
    <row r="11651" spans="1:6">
      <c r="A11651" t="str">
        <f t="shared" si="182"/>
        <v/>
      </c>
      <c r="E11651" s="626"/>
      <c r="F11651" s="626"/>
    </row>
    <row r="11652" spans="1:6">
      <c r="A11652" t="str">
        <f t="shared" si="182"/>
        <v/>
      </c>
      <c r="E11652" s="626"/>
      <c r="F11652" s="626"/>
    </row>
    <row r="11653" spans="1:6">
      <c r="A11653" t="str">
        <f t="shared" si="182"/>
        <v/>
      </c>
      <c r="E11653" s="626"/>
      <c r="F11653" s="626"/>
    </row>
    <row r="11654" spans="1:6">
      <c r="A11654" t="str">
        <f t="shared" si="182"/>
        <v/>
      </c>
      <c r="E11654" s="626"/>
      <c r="F11654" s="626"/>
    </row>
    <row r="11655" spans="1:6">
      <c r="A11655" t="str">
        <f t="shared" si="182"/>
        <v/>
      </c>
      <c r="E11655" s="626"/>
      <c r="F11655" s="626"/>
    </row>
    <row r="11656" spans="1:6">
      <c r="A11656" t="str">
        <f t="shared" si="182"/>
        <v/>
      </c>
      <c r="E11656" s="626"/>
      <c r="F11656" s="626"/>
    </row>
    <row r="11657" spans="1:6">
      <c r="A11657" t="str">
        <f t="shared" si="182"/>
        <v/>
      </c>
      <c r="E11657" s="626"/>
      <c r="F11657" s="626"/>
    </row>
    <row r="11658" spans="1:6">
      <c r="A11658" t="str">
        <f t="shared" si="182"/>
        <v/>
      </c>
      <c r="E11658" s="626"/>
      <c r="F11658" s="626"/>
    </row>
    <row r="11659" spans="1:6">
      <c r="A11659" t="str">
        <f t="shared" si="182"/>
        <v/>
      </c>
      <c r="E11659" s="626"/>
      <c r="F11659" s="626"/>
    </row>
    <row r="11660" spans="1:6">
      <c r="A11660" t="str">
        <f t="shared" si="182"/>
        <v/>
      </c>
      <c r="E11660" s="626"/>
      <c r="F11660" s="626"/>
    </row>
    <row r="11661" spans="1:6">
      <c r="A11661" t="str">
        <f t="shared" si="182"/>
        <v/>
      </c>
      <c r="E11661" s="626"/>
      <c r="F11661" s="626"/>
    </row>
    <row r="11662" spans="1:6">
      <c r="A11662" t="str">
        <f t="shared" si="182"/>
        <v/>
      </c>
      <c r="E11662" s="626"/>
      <c r="F11662" s="626"/>
    </row>
    <row r="11663" spans="1:6">
      <c r="A11663" t="str">
        <f t="shared" si="182"/>
        <v/>
      </c>
      <c r="E11663" s="626"/>
      <c r="F11663" s="626"/>
    </row>
    <row r="11664" spans="1:6">
      <c r="A11664" t="str">
        <f t="shared" si="182"/>
        <v/>
      </c>
      <c r="E11664" s="626"/>
      <c r="F11664" s="626"/>
    </row>
    <row r="11665" spans="1:6">
      <c r="A11665" t="str">
        <f t="shared" si="182"/>
        <v/>
      </c>
      <c r="E11665" s="626"/>
      <c r="F11665" s="626"/>
    </row>
    <row r="11666" spans="1:6">
      <c r="A11666" t="str">
        <f t="shared" si="182"/>
        <v/>
      </c>
      <c r="E11666" s="626"/>
      <c r="F11666" s="626"/>
    </row>
    <row r="11667" spans="1:6">
      <c r="A11667" t="str">
        <f t="shared" si="182"/>
        <v/>
      </c>
      <c r="E11667" s="626"/>
      <c r="F11667" s="626"/>
    </row>
    <row r="11668" spans="1:6">
      <c r="A11668" t="str">
        <f t="shared" si="182"/>
        <v/>
      </c>
      <c r="E11668" s="626"/>
      <c r="F11668" s="626"/>
    </row>
    <row r="11669" spans="1:6">
      <c r="A11669" t="str">
        <f t="shared" si="182"/>
        <v/>
      </c>
      <c r="E11669" s="626"/>
      <c r="F11669" s="626"/>
    </row>
    <row r="11670" spans="1:6">
      <c r="A11670" t="str">
        <f t="shared" si="182"/>
        <v/>
      </c>
      <c r="E11670" s="626"/>
      <c r="F11670" s="626"/>
    </row>
    <row r="11671" spans="1:6">
      <c r="A11671" t="str">
        <f t="shared" si="182"/>
        <v/>
      </c>
      <c r="E11671" s="626"/>
      <c r="F11671" s="626"/>
    </row>
    <row r="11672" spans="1:6">
      <c r="A11672" t="str">
        <f t="shared" si="182"/>
        <v/>
      </c>
      <c r="E11672" s="626"/>
      <c r="F11672" s="626"/>
    </row>
    <row r="11673" spans="1:6">
      <c r="A11673" t="str">
        <f t="shared" si="182"/>
        <v/>
      </c>
      <c r="E11673" s="626"/>
      <c r="F11673" s="626"/>
    </row>
    <row r="11674" spans="1:6">
      <c r="A11674" t="str">
        <f t="shared" si="182"/>
        <v/>
      </c>
      <c r="E11674" s="626"/>
      <c r="F11674" s="626"/>
    </row>
    <row r="11675" spans="1:6">
      <c r="A11675" t="str">
        <f t="shared" si="182"/>
        <v/>
      </c>
      <c r="E11675" s="626"/>
      <c r="F11675" s="626"/>
    </row>
    <row r="11676" spans="1:6">
      <c r="A11676" t="str">
        <f t="shared" si="182"/>
        <v/>
      </c>
      <c r="E11676" s="626"/>
      <c r="F11676" s="626"/>
    </row>
    <row r="11677" spans="1:6">
      <c r="A11677" t="str">
        <f t="shared" si="182"/>
        <v/>
      </c>
      <c r="E11677" s="626"/>
      <c r="F11677" s="626"/>
    </row>
    <row r="11678" spans="1:6">
      <c r="A11678" t="str">
        <f t="shared" si="182"/>
        <v/>
      </c>
      <c r="E11678" s="626"/>
      <c r="F11678" s="626"/>
    </row>
    <row r="11679" spans="1:6">
      <c r="A11679" t="str">
        <f t="shared" si="182"/>
        <v/>
      </c>
      <c r="E11679" s="626"/>
      <c r="F11679" s="626"/>
    </row>
    <row r="11680" spans="1:6">
      <c r="A11680" t="str">
        <f t="shared" si="182"/>
        <v/>
      </c>
      <c r="E11680" s="626"/>
      <c r="F11680" s="626"/>
    </row>
    <row r="11681" spans="1:6">
      <c r="A11681" t="str">
        <f t="shared" si="182"/>
        <v/>
      </c>
      <c r="E11681" s="626"/>
      <c r="F11681" s="626"/>
    </row>
    <row r="11682" spans="1:6">
      <c r="A11682" t="str">
        <f t="shared" si="182"/>
        <v/>
      </c>
      <c r="E11682" s="626"/>
      <c r="F11682" s="626"/>
    </row>
    <row r="11683" spans="1:6">
      <c r="A11683" t="str">
        <f t="shared" si="182"/>
        <v/>
      </c>
      <c r="E11683" s="626"/>
      <c r="F11683" s="626"/>
    </row>
    <row r="11684" spans="1:6">
      <c r="A11684" t="str">
        <f t="shared" si="182"/>
        <v/>
      </c>
      <c r="E11684" s="626"/>
      <c r="F11684" s="626"/>
    </row>
    <row r="11685" spans="1:6">
      <c r="A11685" t="str">
        <f t="shared" si="182"/>
        <v/>
      </c>
      <c r="E11685" s="626"/>
      <c r="F11685" s="626"/>
    </row>
    <row r="11686" spans="1:6">
      <c r="A11686" t="str">
        <f t="shared" si="182"/>
        <v/>
      </c>
      <c r="E11686" s="626"/>
      <c r="F11686" s="626"/>
    </row>
    <row r="11687" spans="1:6">
      <c r="A11687" t="str">
        <f t="shared" si="182"/>
        <v/>
      </c>
      <c r="E11687" s="626"/>
      <c r="F11687" s="626"/>
    </row>
    <row r="11688" spans="1:6">
      <c r="A11688" t="str">
        <f t="shared" si="182"/>
        <v/>
      </c>
      <c r="E11688" s="626"/>
      <c r="F11688" s="626"/>
    </row>
    <row r="11689" spans="1:6">
      <c r="A11689" t="str">
        <f t="shared" si="182"/>
        <v/>
      </c>
      <c r="E11689" s="626"/>
      <c r="F11689" s="626"/>
    </row>
    <row r="11690" spans="1:6">
      <c r="A11690" t="str">
        <f t="shared" si="182"/>
        <v/>
      </c>
      <c r="E11690" s="626"/>
      <c r="F11690" s="626"/>
    </row>
    <row r="11691" spans="1:6">
      <c r="A11691" t="str">
        <f t="shared" si="182"/>
        <v/>
      </c>
      <c r="E11691" s="626"/>
      <c r="F11691" s="626"/>
    </row>
    <row r="11692" spans="1:6">
      <c r="A11692" t="str">
        <f t="shared" si="182"/>
        <v/>
      </c>
      <c r="E11692" s="626"/>
      <c r="F11692" s="626"/>
    </row>
    <row r="11693" spans="1:6">
      <c r="A11693" t="str">
        <f t="shared" si="182"/>
        <v/>
      </c>
      <c r="E11693" s="626"/>
      <c r="F11693" s="626"/>
    </row>
    <row r="11694" spans="1:6">
      <c r="A11694" t="str">
        <f t="shared" si="182"/>
        <v/>
      </c>
      <c r="E11694" s="626"/>
      <c r="F11694" s="626"/>
    </row>
    <row r="11695" spans="1:6">
      <c r="A11695" t="str">
        <f t="shared" si="182"/>
        <v/>
      </c>
      <c r="E11695" s="626"/>
      <c r="F11695" s="626"/>
    </row>
    <row r="11696" spans="1:6">
      <c r="A11696" t="str">
        <f t="shared" si="182"/>
        <v/>
      </c>
      <c r="E11696" s="626"/>
      <c r="F11696" s="626"/>
    </row>
    <row r="11697" spans="1:6">
      <c r="A11697" t="str">
        <f t="shared" si="182"/>
        <v/>
      </c>
      <c r="E11697" s="626"/>
      <c r="F11697" s="626"/>
    </row>
    <row r="11698" spans="1:6">
      <c r="A11698" t="str">
        <f t="shared" si="182"/>
        <v/>
      </c>
      <c r="E11698" s="626"/>
      <c r="F11698" s="626"/>
    </row>
    <row r="11699" spans="1:6">
      <c r="A11699" t="str">
        <f t="shared" si="182"/>
        <v/>
      </c>
      <c r="E11699" s="626"/>
      <c r="F11699" s="626"/>
    </row>
    <row r="11700" spans="1:6">
      <c r="A11700" t="str">
        <f t="shared" si="182"/>
        <v/>
      </c>
      <c r="E11700" s="626"/>
      <c r="F11700" s="626"/>
    </row>
    <row r="11701" spans="1:6">
      <c r="A11701" t="str">
        <f t="shared" si="182"/>
        <v/>
      </c>
      <c r="E11701" s="626"/>
      <c r="F11701" s="626"/>
    </row>
    <row r="11702" spans="1:6">
      <c r="A11702" t="str">
        <f t="shared" si="182"/>
        <v/>
      </c>
      <c r="E11702" s="626"/>
      <c r="F11702" s="626"/>
    </row>
    <row r="11703" spans="1:6">
      <c r="A11703" t="str">
        <f t="shared" si="182"/>
        <v/>
      </c>
      <c r="E11703" s="626"/>
      <c r="F11703" s="626"/>
    </row>
    <row r="11704" spans="1:6">
      <c r="A11704" t="str">
        <f t="shared" si="182"/>
        <v/>
      </c>
      <c r="E11704" s="626"/>
      <c r="F11704" s="626"/>
    </row>
    <row r="11705" spans="1:6">
      <c r="A11705" t="str">
        <f t="shared" si="182"/>
        <v/>
      </c>
      <c r="E11705" s="626"/>
      <c r="F11705" s="626"/>
    </row>
    <row r="11706" spans="1:6">
      <c r="A11706" t="str">
        <f t="shared" si="182"/>
        <v/>
      </c>
      <c r="E11706" s="626"/>
      <c r="F11706" s="626"/>
    </row>
    <row r="11707" spans="1:6">
      <c r="A11707" t="str">
        <f t="shared" si="182"/>
        <v/>
      </c>
      <c r="E11707" s="626"/>
      <c r="F11707" s="626"/>
    </row>
    <row r="11708" spans="1:6">
      <c r="A11708" t="str">
        <f t="shared" si="182"/>
        <v/>
      </c>
      <c r="E11708" s="626"/>
      <c r="F11708" s="626"/>
    </row>
    <row r="11709" spans="1:6">
      <c r="A11709" t="str">
        <f t="shared" si="182"/>
        <v/>
      </c>
      <c r="E11709" s="626"/>
      <c r="F11709" s="626"/>
    </row>
    <row r="11710" spans="1:6">
      <c r="A11710" t="str">
        <f t="shared" si="182"/>
        <v/>
      </c>
      <c r="E11710" s="626"/>
      <c r="F11710" s="626"/>
    </row>
    <row r="11711" spans="1:6">
      <c r="A11711" t="str">
        <f t="shared" si="182"/>
        <v/>
      </c>
      <c r="E11711" s="626"/>
      <c r="F11711" s="626"/>
    </row>
    <row r="11712" spans="1:6">
      <c r="A11712" t="str">
        <f t="shared" si="182"/>
        <v/>
      </c>
      <c r="E11712" s="626"/>
      <c r="F11712" s="626"/>
    </row>
    <row r="11713" spans="1:6">
      <c r="A11713" t="str">
        <f t="shared" si="182"/>
        <v/>
      </c>
      <c r="E11713" s="626"/>
      <c r="F11713" s="626"/>
    </row>
    <row r="11714" spans="1:6">
      <c r="A11714" t="str">
        <f t="shared" ref="A11714:A11777" si="183">B11714&amp;E11714&amp;J11714</f>
        <v/>
      </c>
      <c r="E11714" s="626"/>
      <c r="F11714" s="626"/>
    </row>
    <row r="11715" spans="1:6">
      <c r="A11715" t="str">
        <f t="shared" si="183"/>
        <v/>
      </c>
      <c r="E11715" s="626"/>
      <c r="F11715" s="626"/>
    </row>
    <row r="11716" spans="1:6">
      <c r="A11716" t="str">
        <f t="shared" si="183"/>
        <v/>
      </c>
      <c r="E11716" s="626"/>
      <c r="F11716" s="626"/>
    </row>
    <row r="11717" spans="1:6">
      <c r="A11717" t="str">
        <f t="shared" si="183"/>
        <v/>
      </c>
      <c r="E11717" s="626"/>
      <c r="F11717" s="626"/>
    </row>
    <row r="11718" spans="1:6">
      <c r="A11718" t="str">
        <f t="shared" si="183"/>
        <v/>
      </c>
      <c r="E11718" s="626"/>
      <c r="F11718" s="626"/>
    </row>
    <row r="11719" spans="1:6">
      <c r="A11719" t="str">
        <f t="shared" si="183"/>
        <v/>
      </c>
      <c r="E11719" s="626"/>
      <c r="F11719" s="626"/>
    </row>
    <row r="11720" spans="1:6">
      <c r="A11720" t="str">
        <f t="shared" si="183"/>
        <v/>
      </c>
      <c r="E11720" s="626"/>
      <c r="F11720" s="626"/>
    </row>
    <row r="11721" spans="1:6">
      <c r="A11721" t="str">
        <f t="shared" si="183"/>
        <v/>
      </c>
      <c r="E11721" s="626"/>
      <c r="F11721" s="626"/>
    </row>
    <row r="11722" spans="1:6">
      <c r="A11722" t="str">
        <f t="shared" si="183"/>
        <v/>
      </c>
      <c r="E11722" s="626"/>
      <c r="F11722" s="626"/>
    </row>
    <row r="11723" spans="1:6">
      <c r="A11723" t="str">
        <f t="shared" si="183"/>
        <v/>
      </c>
      <c r="E11723" s="626"/>
      <c r="F11723" s="626"/>
    </row>
    <row r="11724" spans="1:6">
      <c r="A11724" t="str">
        <f t="shared" si="183"/>
        <v/>
      </c>
      <c r="E11724" s="626"/>
      <c r="F11724" s="626"/>
    </row>
    <row r="11725" spans="1:6">
      <c r="A11725" t="str">
        <f t="shared" si="183"/>
        <v/>
      </c>
      <c r="E11725" s="626"/>
      <c r="F11725" s="626"/>
    </row>
    <row r="11726" spans="1:6">
      <c r="A11726" t="str">
        <f t="shared" si="183"/>
        <v/>
      </c>
      <c r="E11726" s="626"/>
      <c r="F11726" s="626"/>
    </row>
    <row r="11727" spans="1:6">
      <c r="A11727" t="str">
        <f t="shared" si="183"/>
        <v/>
      </c>
      <c r="E11727" s="626"/>
      <c r="F11727" s="626"/>
    </row>
    <row r="11728" spans="1:6">
      <c r="A11728" t="str">
        <f t="shared" si="183"/>
        <v/>
      </c>
      <c r="E11728" s="626"/>
      <c r="F11728" s="626"/>
    </row>
    <row r="11729" spans="1:6">
      <c r="A11729" t="str">
        <f t="shared" si="183"/>
        <v/>
      </c>
      <c r="E11729" s="626"/>
      <c r="F11729" s="626"/>
    </row>
    <row r="11730" spans="1:6">
      <c r="A11730" t="str">
        <f t="shared" si="183"/>
        <v/>
      </c>
      <c r="E11730" s="626"/>
      <c r="F11730" s="626"/>
    </row>
    <row r="11731" spans="1:6">
      <c r="A11731" t="str">
        <f t="shared" si="183"/>
        <v/>
      </c>
      <c r="E11731" s="626"/>
      <c r="F11731" s="626"/>
    </row>
    <row r="11732" spans="1:6">
      <c r="A11732" t="str">
        <f t="shared" si="183"/>
        <v/>
      </c>
      <c r="E11732" s="626"/>
      <c r="F11732" s="626"/>
    </row>
    <row r="11733" spans="1:6">
      <c r="A11733" t="str">
        <f t="shared" si="183"/>
        <v/>
      </c>
      <c r="E11733" s="626"/>
      <c r="F11733" s="626"/>
    </row>
    <row r="11734" spans="1:6">
      <c r="A11734" t="str">
        <f t="shared" si="183"/>
        <v/>
      </c>
      <c r="E11734" s="626"/>
      <c r="F11734" s="626"/>
    </row>
    <row r="11735" spans="1:6">
      <c r="A11735" t="str">
        <f t="shared" si="183"/>
        <v/>
      </c>
      <c r="E11735" s="626"/>
      <c r="F11735" s="626"/>
    </row>
    <row r="11736" spans="1:6">
      <c r="A11736" t="str">
        <f t="shared" si="183"/>
        <v/>
      </c>
      <c r="E11736" s="626"/>
      <c r="F11736" s="626"/>
    </row>
    <row r="11737" spans="1:6">
      <c r="A11737" t="str">
        <f t="shared" si="183"/>
        <v/>
      </c>
      <c r="E11737" s="626"/>
      <c r="F11737" s="626"/>
    </row>
    <row r="11738" spans="1:6">
      <c r="A11738" t="str">
        <f t="shared" si="183"/>
        <v/>
      </c>
      <c r="E11738" s="626"/>
      <c r="F11738" s="626"/>
    </row>
    <row r="11739" spans="1:6">
      <c r="A11739" t="str">
        <f t="shared" si="183"/>
        <v/>
      </c>
      <c r="E11739" s="626"/>
      <c r="F11739" s="626"/>
    </row>
    <row r="11740" spans="1:6">
      <c r="A11740" t="str">
        <f t="shared" si="183"/>
        <v/>
      </c>
      <c r="E11740" s="626"/>
      <c r="F11740" s="626"/>
    </row>
    <row r="11741" spans="1:6">
      <c r="A11741" t="str">
        <f t="shared" si="183"/>
        <v/>
      </c>
      <c r="E11741" s="626"/>
      <c r="F11741" s="626"/>
    </row>
    <row r="11742" spans="1:6">
      <c r="A11742" t="str">
        <f t="shared" si="183"/>
        <v/>
      </c>
      <c r="E11742" s="626"/>
      <c r="F11742" s="626"/>
    </row>
    <row r="11743" spans="1:6">
      <c r="A11743" t="str">
        <f t="shared" si="183"/>
        <v/>
      </c>
      <c r="E11743" s="626"/>
      <c r="F11743" s="626"/>
    </row>
    <row r="11744" spans="1:6">
      <c r="A11744" t="str">
        <f t="shared" si="183"/>
        <v/>
      </c>
      <c r="E11744" s="626"/>
      <c r="F11744" s="626"/>
    </row>
    <row r="11745" spans="1:6">
      <c r="A11745" t="str">
        <f t="shared" si="183"/>
        <v/>
      </c>
      <c r="E11745" s="626"/>
      <c r="F11745" s="626"/>
    </row>
    <row r="11746" spans="1:6">
      <c r="A11746" t="str">
        <f t="shared" si="183"/>
        <v/>
      </c>
      <c r="E11746" s="626"/>
      <c r="F11746" s="626"/>
    </row>
    <row r="11747" spans="1:6">
      <c r="A11747" t="str">
        <f t="shared" si="183"/>
        <v/>
      </c>
      <c r="E11747" s="626"/>
      <c r="F11747" s="626"/>
    </row>
    <row r="11748" spans="1:6">
      <c r="A11748" t="str">
        <f t="shared" si="183"/>
        <v/>
      </c>
      <c r="E11748" s="626"/>
      <c r="F11748" s="626"/>
    </row>
    <row r="11749" spans="1:6">
      <c r="A11749" t="str">
        <f t="shared" si="183"/>
        <v/>
      </c>
      <c r="E11749" s="626"/>
      <c r="F11749" s="626"/>
    </row>
    <row r="11750" spans="1:6">
      <c r="A11750" t="str">
        <f t="shared" si="183"/>
        <v/>
      </c>
      <c r="E11750" s="626"/>
      <c r="F11750" s="626"/>
    </row>
    <row r="11751" spans="1:6">
      <c r="A11751" t="str">
        <f t="shared" si="183"/>
        <v/>
      </c>
      <c r="E11751" s="626"/>
      <c r="F11751" s="626"/>
    </row>
    <row r="11752" spans="1:6">
      <c r="A11752" t="str">
        <f t="shared" si="183"/>
        <v/>
      </c>
      <c r="E11752" s="626"/>
      <c r="F11752" s="626"/>
    </row>
    <row r="11753" spans="1:6">
      <c r="A11753" t="str">
        <f t="shared" si="183"/>
        <v/>
      </c>
      <c r="E11753" s="626"/>
      <c r="F11753" s="626"/>
    </row>
    <row r="11754" spans="1:6">
      <c r="A11754" t="str">
        <f t="shared" si="183"/>
        <v/>
      </c>
      <c r="E11754" s="626"/>
      <c r="F11754" s="626"/>
    </row>
    <row r="11755" spans="1:6">
      <c r="A11755" t="str">
        <f t="shared" si="183"/>
        <v/>
      </c>
      <c r="E11755" s="626"/>
      <c r="F11755" s="626"/>
    </row>
    <row r="11756" spans="1:6">
      <c r="A11756" t="str">
        <f t="shared" si="183"/>
        <v/>
      </c>
      <c r="E11756" s="626"/>
      <c r="F11756" s="626"/>
    </row>
    <row r="11757" spans="1:6">
      <c r="A11757" t="str">
        <f t="shared" si="183"/>
        <v/>
      </c>
      <c r="E11757" s="626"/>
      <c r="F11757" s="626"/>
    </row>
    <row r="11758" spans="1:6">
      <c r="A11758" t="str">
        <f t="shared" si="183"/>
        <v/>
      </c>
      <c r="E11758" s="626"/>
      <c r="F11758" s="626"/>
    </row>
    <row r="11759" spans="1:6">
      <c r="A11759" t="str">
        <f t="shared" si="183"/>
        <v/>
      </c>
      <c r="E11759" s="626"/>
      <c r="F11759" s="626"/>
    </row>
    <row r="11760" spans="1:6">
      <c r="A11760" t="str">
        <f t="shared" si="183"/>
        <v/>
      </c>
      <c r="E11760" s="626"/>
      <c r="F11760" s="626"/>
    </row>
    <row r="11761" spans="1:6">
      <c r="A11761" t="str">
        <f t="shared" si="183"/>
        <v/>
      </c>
      <c r="E11761" s="626"/>
      <c r="F11761" s="626"/>
    </row>
    <row r="11762" spans="1:6">
      <c r="A11762" t="str">
        <f t="shared" si="183"/>
        <v/>
      </c>
      <c r="E11762" s="626"/>
      <c r="F11762" s="626"/>
    </row>
    <row r="11763" spans="1:6">
      <c r="A11763" t="str">
        <f t="shared" si="183"/>
        <v/>
      </c>
      <c r="E11763" s="626"/>
      <c r="F11763" s="626"/>
    </row>
    <row r="11764" spans="1:6">
      <c r="A11764" t="str">
        <f t="shared" si="183"/>
        <v/>
      </c>
      <c r="E11764" s="626"/>
      <c r="F11764" s="626"/>
    </row>
    <row r="11765" spans="1:6">
      <c r="A11765" t="str">
        <f t="shared" si="183"/>
        <v/>
      </c>
      <c r="E11765" s="626"/>
      <c r="F11765" s="626"/>
    </row>
    <row r="11766" spans="1:6">
      <c r="A11766" t="str">
        <f t="shared" si="183"/>
        <v/>
      </c>
      <c r="E11766" s="626"/>
      <c r="F11766" s="626"/>
    </row>
    <row r="11767" spans="1:6">
      <c r="A11767" t="str">
        <f t="shared" si="183"/>
        <v/>
      </c>
      <c r="E11767" s="626"/>
      <c r="F11767" s="626"/>
    </row>
    <row r="11768" spans="1:6">
      <c r="A11768" t="str">
        <f t="shared" si="183"/>
        <v/>
      </c>
      <c r="E11768" s="626"/>
      <c r="F11768" s="626"/>
    </row>
    <row r="11769" spans="1:6">
      <c r="A11769" t="str">
        <f t="shared" si="183"/>
        <v/>
      </c>
      <c r="E11769" s="626"/>
      <c r="F11769" s="626"/>
    </row>
    <row r="11770" spans="1:6">
      <c r="A11770" t="str">
        <f t="shared" si="183"/>
        <v/>
      </c>
      <c r="E11770" s="626"/>
      <c r="F11770" s="626"/>
    </row>
    <row r="11771" spans="1:6">
      <c r="A11771" t="str">
        <f t="shared" si="183"/>
        <v/>
      </c>
      <c r="E11771" s="626"/>
      <c r="F11771" s="626"/>
    </row>
    <row r="11772" spans="1:6">
      <c r="A11772" t="str">
        <f t="shared" si="183"/>
        <v/>
      </c>
      <c r="E11772" s="626"/>
      <c r="F11772" s="626"/>
    </row>
    <row r="11773" spans="1:6">
      <c r="A11773" t="str">
        <f t="shared" si="183"/>
        <v/>
      </c>
      <c r="E11773" s="626"/>
      <c r="F11773" s="626"/>
    </row>
    <row r="11774" spans="1:6">
      <c r="A11774" t="str">
        <f t="shared" si="183"/>
        <v/>
      </c>
      <c r="E11774" s="626"/>
      <c r="F11774" s="626"/>
    </row>
    <row r="11775" spans="1:6">
      <c r="A11775" t="str">
        <f t="shared" si="183"/>
        <v/>
      </c>
      <c r="E11775" s="626"/>
      <c r="F11775" s="626"/>
    </row>
    <row r="11776" spans="1:6">
      <c r="A11776" t="str">
        <f t="shared" si="183"/>
        <v/>
      </c>
      <c r="E11776" s="626"/>
      <c r="F11776" s="626"/>
    </row>
    <row r="11777" spans="1:6">
      <c r="A11777" t="str">
        <f t="shared" si="183"/>
        <v/>
      </c>
      <c r="E11777" s="626"/>
      <c r="F11777" s="626"/>
    </row>
    <row r="11778" spans="1:6">
      <c r="A11778" t="str">
        <f t="shared" ref="A11778:A11841" si="184">B11778&amp;E11778&amp;J11778</f>
        <v/>
      </c>
      <c r="E11778" s="626"/>
      <c r="F11778" s="626"/>
    </row>
    <row r="11779" spans="1:6">
      <c r="A11779" t="str">
        <f t="shared" si="184"/>
        <v/>
      </c>
      <c r="E11779" s="626"/>
      <c r="F11779" s="626"/>
    </row>
    <row r="11780" spans="1:6">
      <c r="A11780" t="str">
        <f t="shared" si="184"/>
        <v/>
      </c>
      <c r="E11780" s="626"/>
      <c r="F11780" s="626"/>
    </row>
    <row r="11781" spans="1:6">
      <c r="A11781" t="str">
        <f t="shared" si="184"/>
        <v/>
      </c>
      <c r="E11781" s="626"/>
      <c r="F11781" s="626"/>
    </row>
    <row r="11782" spans="1:6">
      <c r="A11782" t="str">
        <f t="shared" si="184"/>
        <v/>
      </c>
      <c r="E11782" s="626"/>
      <c r="F11782" s="626"/>
    </row>
    <row r="11783" spans="1:6">
      <c r="A11783" t="str">
        <f t="shared" si="184"/>
        <v/>
      </c>
      <c r="E11783" s="626"/>
      <c r="F11783" s="626"/>
    </row>
    <row r="11784" spans="1:6">
      <c r="A11784" t="str">
        <f t="shared" si="184"/>
        <v/>
      </c>
      <c r="E11784" s="626"/>
      <c r="F11784" s="626"/>
    </row>
    <row r="11785" spans="1:6">
      <c r="A11785" t="str">
        <f t="shared" si="184"/>
        <v/>
      </c>
      <c r="E11785" s="626"/>
      <c r="F11785" s="626"/>
    </row>
    <row r="11786" spans="1:6">
      <c r="A11786" t="str">
        <f t="shared" si="184"/>
        <v/>
      </c>
      <c r="E11786" s="626"/>
      <c r="F11786" s="626"/>
    </row>
    <row r="11787" spans="1:6">
      <c r="A11787" t="str">
        <f t="shared" si="184"/>
        <v/>
      </c>
      <c r="E11787" s="626"/>
      <c r="F11787" s="626"/>
    </row>
    <row r="11788" spans="1:6">
      <c r="A11788" t="str">
        <f t="shared" si="184"/>
        <v/>
      </c>
      <c r="E11788" s="626"/>
      <c r="F11788" s="626"/>
    </row>
    <row r="11789" spans="1:6">
      <c r="A11789" t="str">
        <f t="shared" si="184"/>
        <v/>
      </c>
      <c r="E11789" s="626"/>
      <c r="F11789" s="626"/>
    </row>
    <row r="11790" spans="1:6">
      <c r="A11790" t="str">
        <f t="shared" si="184"/>
        <v/>
      </c>
      <c r="E11790" s="626"/>
      <c r="F11790" s="626"/>
    </row>
    <row r="11791" spans="1:6">
      <c r="A11791" t="str">
        <f t="shared" si="184"/>
        <v/>
      </c>
      <c r="E11791" s="626"/>
      <c r="F11791" s="626"/>
    </row>
    <row r="11792" spans="1:6">
      <c r="A11792" t="str">
        <f t="shared" si="184"/>
        <v/>
      </c>
      <c r="E11792" s="626"/>
      <c r="F11792" s="626"/>
    </row>
    <row r="11793" spans="1:6">
      <c r="A11793" t="str">
        <f t="shared" si="184"/>
        <v/>
      </c>
      <c r="E11793" s="626"/>
      <c r="F11793" s="626"/>
    </row>
    <row r="11794" spans="1:6">
      <c r="A11794" t="str">
        <f t="shared" si="184"/>
        <v/>
      </c>
      <c r="E11794" s="626"/>
      <c r="F11794" s="626"/>
    </row>
    <row r="11795" spans="1:6">
      <c r="A11795" t="str">
        <f t="shared" si="184"/>
        <v/>
      </c>
      <c r="E11795" s="626"/>
      <c r="F11795" s="626"/>
    </row>
    <row r="11796" spans="1:6">
      <c r="A11796" t="str">
        <f t="shared" si="184"/>
        <v/>
      </c>
      <c r="E11796" s="626"/>
      <c r="F11796" s="626"/>
    </row>
    <row r="11797" spans="1:6">
      <c r="A11797" t="str">
        <f t="shared" si="184"/>
        <v/>
      </c>
      <c r="E11797" s="626"/>
      <c r="F11797" s="626"/>
    </row>
    <row r="11798" spans="1:6">
      <c r="A11798" t="str">
        <f t="shared" si="184"/>
        <v/>
      </c>
      <c r="E11798" s="626"/>
      <c r="F11798" s="626"/>
    </row>
    <row r="11799" spans="1:6">
      <c r="A11799" t="str">
        <f t="shared" si="184"/>
        <v/>
      </c>
      <c r="E11799" s="626"/>
      <c r="F11799" s="626"/>
    </row>
    <row r="11800" spans="1:6">
      <c r="A11800" t="str">
        <f t="shared" si="184"/>
        <v/>
      </c>
      <c r="E11800" s="626"/>
      <c r="F11800" s="626"/>
    </row>
    <row r="11801" spans="1:6">
      <c r="A11801" t="str">
        <f t="shared" si="184"/>
        <v/>
      </c>
      <c r="E11801" s="626"/>
      <c r="F11801" s="626"/>
    </row>
    <row r="11802" spans="1:6">
      <c r="A11802" t="str">
        <f t="shared" si="184"/>
        <v/>
      </c>
      <c r="E11802" s="626"/>
      <c r="F11802" s="626"/>
    </row>
    <row r="11803" spans="1:6">
      <c r="A11803" t="str">
        <f t="shared" si="184"/>
        <v/>
      </c>
      <c r="E11803" s="626"/>
      <c r="F11803" s="626"/>
    </row>
    <row r="11804" spans="1:6">
      <c r="A11804" t="str">
        <f t="shared" si="184"/>
        <v/>
      </c>
      <c r="E11804" s="626"/>
      <c r="F11804" s="626"/>
    </row>
    <row r="11805" spans="1:6">
      <c r="A11805" t="str">
        <f t="shared" si="184"/>
        <v/>
      </c>
      <c r="E11805" s="626"/>
      <c r="F11805" s="626"/>
    </row>
    <row r="11806" spans="1:6">
      <c r="A11806" t="str">
        <f t="shared" si="184"/>
        <v/>
      </c>
      <c r="E11806" s="626"/>
      <c r="F11806" s="626"/>
    </row>
    <row r="11807" spans="1:6">
      <c r="A11807" t="str">
        <f t="shared" si="184"/>
        <v/>
      </c>
      <c r="E11807" s="626"/>
      <c r="F11807" s="626"/>
    </row>
    <row r="11808" spans="1:6">
      <c r="A11808" t="str">
        <f t="shared" si="184"/>
        <v/>
      </c>
      <c r="E11808" s="626"/>
      <c r="F11808" s="626"/>
    </row>
    <row r="11809" spans="1:6">
      <c r="A11809" t="str">
        <f t="shared" si="184"/>
        <v/>
      </c>
      <c r="E11809" s="626"/>
      <c r="F11809" s="626"/>
    </row>
    <row r="11810" spans="1:6">
      <c r="A11810" t="str">
        <f t="shared" si="184"/>
        <v/>
      </c>
      <c r="E11810" s="626"/>
      <c r="F11810" s="626"/>
    </row>
    <row r="11811" spans="1:6">
      <c r="A11811" t="str">
        <f t="shared" si="184"/>
        <v/>
      </c>
      <c r="E11811" s="626"/>
      <c r="F11811" s="626"/>
    </row>
    <row r="11812" spans="1:6">
      <c r="A11812" t="str">
        <f t="shared" si="184"/>
        <v/>
      </c>
      <c r="E11812" s="626"/>
      <c r="F11812" s="626"/>
    </row>
    <row r="11813" spans="1:6">
      <c r="A11813" t="str">
        <f t="shared" si="184"/>
        <v/>
      </c>
      <c r="E11813" s="626"/>
      <c r="F11813" s="626"/>
    </row>
    <row r="11814" spans="1:6">
      <c r="A11814" t="str">
        <f t="shared" si="184"/>
        <v/>
      </c>
      <c r="E11814" s="626"/>
      <c r="F11814" s="626"/>
    </row>
    <row r="11815" spans="1:6">
      <c r="A11815" t="str">
        <f t="shared" si="184"/>
        <v/>
      </c>
      <c r="E11815" s="626"/>
      <c r="F11815" s="626"/>
    </row>
    <row r="11816" spans="1:6">
      <c r="A11816" t="str">
        <f t="shared" si="184"/>
        <v/>
      </c>
      <c r="E11816" s="626"/>
      <c r="F11816" s="626"/>
    </row>
    <row r="11817" spans="1:6">
      <c r="A11817" t="str">
        <f t="shared" si="184"/>
        <v/>
      </c>
      <c r="E11817" s="626"/>
      <c r="F11817" s="626"/>
    </row>
    <row r="11818" spans="1:6">
      <c r="A11818" t="str">
        <f t="shared" si="184"/>
        <v/>
      </c>
      <c r="E11818" s="626"/>
      <c r="F11818" s="626"/>
    </row>
    <row r="11819" spans="1:6">
      <c r="A11819" t="str">
        <f t="shared" si="184"/>
        <v/>
      </c>
      <c r="E11819" s="626"/>
      <c r="F11819" s="626"/>
    </row>
    <row r="11820" spans="1:6">
      <c r="A11820" t="str">
        <f t="shared" si="184"/>
        <v/>
      </c>
      <c r="E11820" s="626"/>
      <c r="F11820" s="626"/>
    </row>
    <row r="11821" spans="1:6">
      <c r="A11821" t="str">
        <f t="shared" si="184"/>
        <v/>
      </c>
      <c r="E11821" s="626"/>
      <c r="F11821" s="626"/>
    </row>
    <row r="11822" spans="1:6">
      <c r="A11822" t="str">
        <f t="shared" si="184"/>
        <v/>
      </c>
      <c r="E11822" s="626"/>
      <c r="F11822" s="626"/>
    </row>
    <row r="11823" spans="1:6">
      <c r="A11823" t="str">
        <f t="shared" si="184"/>
        <v/>
      </c>
      <c r="E11823" s="626"/>
      <c r="F11823" s="626"/>
    </row>
    <row r="11824" spans="1:6">
      <c r="A11824" t="str">
        <f t="shared" si="184"/>
        <v/>
      </c>
      <c r="E11824" s="626"/>
      <c r="F11824" s="626"/>
    </row>
    <row r="11825" spans="1:6">
      <c r="A11825" t="str">
        <f t="shared" si="184"/>
        <v/>
      </c>
      <c r="E11825" s="626"/>
      <c r="F11825" s="626"/>
    </row>
    <row r="11826" spans="1:6">
      <c r="A11826" t="str">
        <f t="shared" si="184"/>
        <v/>
      </c>
      <c r="E11826" s="626"/>
      <c r="F11826" s="626"/>
    </row>
    <row r="11827" spans="1:6">
      <c r="A11827" t="str">
        <f t="shared" si="184"/>
        <v/>
      </c>
      <c r="E11827" s="626"/>
      <c r="F11827" s="626"/>
    </row>
    <row r="11828" spans="1:6">
      <c r="A11828" t="str">
        <f t="shared" si="184"/>
        <v/>
      </c>
      <c r="E11828" s="626"/>
      <c r="F11828" s="626"/>
    </row>
    <row r="11829" spans="1:6">
      <c r="A11829" t="str">
        <f t="shared" si="184"/>
        <v/>
      </c>
      <c r="E11829" s="626"/>
      <c r="F11829" s="626"/>
    </row>
    <row r="11830" spans="1:6">
      <c r="A11830" t="str">
        <f t="shared" si="184"/>
        <v/>
      </c>
      <c r="E11830" s="626"/>
      <c r="F11830" s="626"/>
    </row>
    <row r="11831" spans="1:6">
      <c r="A11831" t="str">
        <f t="shared" si="184"/>
        <v/>
      </c>
      <c r="E11831" s="626"/>
      <c r="F11831" s="626"/>
    </row>
    <row r="11832" spans="1:6">
      <c r="A11832" t="str">
        <f t="shared" si="184"/>
        <v/>
      </c>
      <c r="E11832" s="626"/>
      <c r="F11832" s="626"/>
    </row>
    <row r="11833" spans="1:6">
      <c r="A11833" t="str">
        <f t="shared" si="184"/>
        <v/>
      </c>
      <c r="E11833" s="626"/>
      <c r="F11833" s="626"/>
    </row>
    <row r="11834" spans="1:6">
      <c r="A11834" t="str">
        <f t="shared" si="184"/>
        <v/>
      </c>
      <c r="E11834" s="626"/>
      <c r="F11834" s="626"/>
    </row>
    <row r="11835" spans="1:6">
      <c r="A11835" t="str">
        <f t="shared" si="184"/>
        <v/>
      </c>
      <c r="E11835" s="626"/>
      <c r="F11835" s="626"/>
    </row>
    <row r="11836" spans="1:6">
      <c r="A11836" t="str">
        <f t="shared" si="184"/>
        <v/>
      </c>
      <c r="E11836" s="626"/>
      <c r="F11836" s="626"/>
    </row>
    <row r="11837" spans="1:6">
      <c r="A11837" t="str">
        <f t="shared" si="184"/>
        <v/>
      </c>
      <c r="E11837" s="626"/>
      <c r="F11837" s="626"/>
    </row>
    <row r="11838" spans="1:6">
      <c r="A11838" t="str">
        <f t="shared" si="184"/>
        <v/>
      </c>
      <c r="E11838" s="626"/>
      <c r="F11838" s="626"/>
    </row>
    <row r="11839" spans="1:6">
      <c r="A11839" t="str">
        <f t="shared" si="184"/>
        <v/>
      </c>
      <c r="E11839" s="626"/>
      <c r="F11839" s="626"/>
    </row>
    <row r="11840" spans="1:6">
      <c r="A11840" t="str">
        <f t="shared" si="184"/>
        <v/>
      </c>
      <c r="E11840" s="626"/>
      <c r="F11840" s="626"/>
    </row>
    <row r="11841" spans="1:6">
      <c r="A11841" t="str">
        <f t="shared" si="184"/>
        <v/>
      </c>
      <c r="E11841" s="626"/>
      <c r="F11841" s="626"/>
    </row>
    <row r="11842" spans="1:6">
      <c r="A11842" t="str">
        <f t="shared" ref="A11842:A11905" si="185">B11842&amp;E11842&amp;J11842</f>
        <v/>
      </c>
      <c r="E11842" s="626"/>
      <c r="F11842" s="626"/>
    </row>
    <row r="11843" spans="1:6">
      <c r="A11843" t="str">
        <f t="shared" si="185"/>
        <v/>
      </c>
      <c r="E11843" s="626"/>
      <c r="F11843" s="626"/>
    </row>
    <row r="11844" spans="1:6">
      <c r="A11844" t="str">
        <f t="shared" si="185"/>
        <v/>
      </c>
      <c r="E11844" s="626"/>
      <c r="F11844" s="626"/>
    </row>
    <row r="11845" spans="1:6">
      <c r="A11845" t="str">
        <f t="shared" si="185"/>
        <v/>
      </c>
      <c r="E11845" s="626"/>
      <c r="F11845" s="626"/>
    </row>
    <row r="11846" spans="1:6">
      <c r="A11846" t="str">
        <f t="shared" si="185"/>
        <v/>
      </c>
      <c r="E11846" s="626"/>
      <c r="F11846" s="626"/>
    </row>
    <row r="11847" spans="1:6">
      <c r="A11847" t="str">
        <f t="shared" si="185"/>
        <v/>
      </c>
      <c r="E11847" s="626"/>
      <c r="F11847" s="626"/>
    </row>
    <row r="11848" spans="1:6">
      <c r="A11848" t="str">
        <f t="shared" si="185"/>
        <v/>
      </c>
      <c r="E11848" s="626"/>
      <c r="F11848" s="626"/>
    </row>
    <row r="11849" spans="1:6">
      <c r="A11849" t="str">
        <f t="shared" si="185"/>
        <v/>
      </c>
      <c r="E11849" s="626"/>
      <c r="F11849" s="626"/>
    </row>
    <row r="11850" spans="1:6">
      <c r="A11850" t="str">
        <f t="shared" si="185"/>
        <v/>
      </c>
      <c r="E11850" s="626"/>
      <c r="F11850" s="626"/>
    </row>
    <row r="11851" spans="1:6">
      <c r="A11851" t="str">
        <f t="shared" si="185"/>
        <v/>
      </c>
      <c r="E11851" s="626"/>
      <c r="F11851" s="626"/>
    </row>
    <row r="11852" spans="1:6">
      <c r="A11852" t="str">
        <f t="shared" si="185"/>
        <v/>
      </c>
      <c r="E11852" s="626"/>
      <c r="F11852" s="626"/>
    </row>
    <row r="11853" spans="1:6">
      <c r="A11853" t="str">
        <f t="shared" si="185"/>
        <v/>
      </c>
      <c r="E11853" s="626"/>
      <c r="F11853" s="626"/>
    </row>
    <row r="11854" spans="1:6">
      <c r="A11854" t="str">
        <f t="shared" si="185"/>
        <v/>
      </c>
      <c r="E11854" s="626"/>
      <c r="F11854" s="626"/>
    </row>
    <row r="11855" spans="1:6">
      <c r="A11855" t="str">
        <f t="shared" si="185"/>
        <v/>
      </c>
      <c r="E11855" s="626"/>
      <c r="F11855" s="626"/>
    </row>
    <row r="11856" spans="1:6">
      <c r="A11856" t="str">
        <f t="shared" si="185"/>
        <v/>
      </c>
      <c r="E11856" s="626"/>
      <c r="F11856" s="626"/>
    </row>
    <row r="11857" spans="1:6">
      <c r="A11857" t="str">
        <f t="shared" si="185"/>
        <v/>
      </c>
      <c r="E11857" s="626"/>
      <c r="F11857" s="626"/>
    </row>
    <row r="11858" spans="1:6">
      <c r="A11858" t="str">
        <f t="shared" si="185"/>
        <v/>
      </c>
      <c r="E11858" s="626"/>
      <c r="F11858" s="626"/>
    </row>
    <row r="11859" spans="1:6">
      <c r="A11859" t="str">
        <f t="shared" si="185"/>
        <v/>
      </c>
      <c r="E11859" s="626"/>
      <c r="F11859" s="626"/>
    </row>
    <row r="11860" spans="1:6">
      <c r="A11860" t="str">
        <f t="shared" si="185"/>
        <v/>
      </c>
      <c r="E11860" s="626"/>
      <c r="F11860" s="626"/>
    </row>
    <row r="11861" spans="1:6">
      <c r="A11861" t="str">
        <f t="shared" si="185"/>
        <v/>
      </c>
      <c r="E11861" s="626"/>
      <c r="F11861" s="626"/>
    </row>
    <row r="11862" spans="1:6">
      <c r="A11862" t="str">
        <f t="shared" si="185"/>
        <v/>
      </c>
      <c r="E11862" s="626"/>
      <c r="F11862" s="626"/>
    </row>
    <row r="11863" spans="1:6">
      <c r="A11863" t="str">
        <f t="shared" si="185"/>
        <v/>
      </c>
      <c r="E11863" s="626"/>
      <c r="F11863" s="626"/>
    </row>
    <row r="11864" spans="1:6">
      <c r="A11864" t="str">
        <f t="shared" si="185"/>
        <v/>
      </c>
      <c r="E11864" s="626"/>
      <c r="F11864" s="626"/>
    </row>
    <row r="11865" spans="1:6">
      <c r="A11865" t="str">
        <f t="shared" si="185"/>
        <v/>
      </c>
      <c r="E11865" s="626"/>
      <c r="F11865" s="626"/>
    </row>
    <row r="11866" spans="1:6">
      <c r="A11866" t="str">
        <f t="shared" si="185"/>
        <v/>
      </c>
      <c r="E11866" s="626"/>
      <c r="F11866" s="626"/>
    </row>
    <row r="11867" spans="1:6">
      <c r="A11867" t="str">
        <f t="shared" si="185"/>
        <v/>
      </c>
      <c r="E11867" s="626"/>
      <c r="F11867" s="626"/>
    </row>
    <row r="11868" spans="1:6">
      <c r="A11868" t="str">
        <f t="shared" si="185"/>
        <v/>
      </c>
      <c r="E11868" s="626"/>
      <c r="F11868" s="626"/>
    </row>
    <row r="11869" spans="1:6">
      <c r="A11869" t="str">
        <f t="shared" si="185"/>
        <v/>
      </c>
      <c r="E11869" s="626"/>
      <c r="F11869" s="626"/>
    </row>
    <row r="11870" spans="1:6">
      <c r="A11870" t="str">
        <f t="shared" si="185"/>
        <v/>
      </c>
      <c r="E11870" s="626"/>
      <c r="F11870" s="626"/>
    </row>
    <row r="11871" spans="1:6">
      <c r="A11871" t="str">
        <f t="shared" si="185"/>
        <v/>
      </c>
      <c r="E11871" s="626"/>
      <c r="F11871" s="626"/>
    </row>
    <row r="11872" spans="1:6">
      <c r="A11872" t="str">
        <f t="shared" si="185"/>
        <v/>
      </c>
      <c r="E11872" s="626"/>
      <c r="F11872" s="626"/>
    </row>
    <row r="11873" spans="1:6">
      <c r="A11873" t="str">
        <f t="shared" si="185"/>
        <v/>
      </c>
      <c r="E11873" s="626"/>
      <c r="F11873" s="626"/>
    </row>
    <row r="11874" spans="1:6">
      <c r="A11874" t="str">
        <f t="shared" si="185"/>
        <v/>
      </c>
      <c r="E11874" s="626"/>
      <c r="F11874" s="626"/>
    </row>
    <row r="11875" spans="1:6">
      <c r="A11875" t="str">
        <f t="shared" si="185"/>
        <v/>
      </c>
      <c r="E11875" s="626"/>
      <c r="F11875" s="626"/>
    </row>
    <row r="11876" spans="1:6">
      <c r="A11876" t="str">
        <f t="shared" si="185"/>
        <v/>
      </c>
      <c r="E11876" s="626"/>
      <c r="F11876" s="626"/>
    </row>
    <row r="11877" spans="1:6">
      <c r="A11877" t="str">
        <f t="shared" si="185"/>
        <v/>
      </c>
      <c r="E11877" s="626"/>
      <c r="F11877" s="626"/>
    </row>
    <row r="11878" spans="1:6">
      <c r="A11878" t="str">
        <f t="shared" si="185"/>
        <v/>
      </c>
      <c r="E11878" s="626"/>
      <c r="F11878" s="626"/>
    </row>
    <row r="11879" spans="1:6">
      <c r="A11879" t="str">
        <f t="shared" si="185"/>
        <v/>
      </c>
      <c r="E11879" s="626"/>
      <c r="F11879" s="626"/>
    </row>
    <row r="11880" spans="1:6">
      <c r="A11880" t="str">
        <f t="shared" si="185"/>
        <v/>
      </c>
      <c r="E11880" s="626"/>
      <c r="F11880" s="626"/>
    </row>
    <row r="11881" spans="1:6">
      <c r="A11881" t="str">
        <f t="shared" si="185"/>
        <v/>
      </c>
      <c r="E11881" s="626"/>
      <c r="F11881" s="626"/>
    </row>
    <row r="11882" spans="1:6">
      <c r="A11882" t="str">
        <f t="shared" si="185"/>
        <v/>
      </c>
      <c r="E11882" s="626"/>
      <c r="F11882" s="626"/>
    </row>
    <row r="11883" spans="1:6">
      <c r="A11883" t="str">
        <f t="shared" si="185"/>
        <v/>
      </c>
      <c r="E11883" s="626"/>
      <c r="F11883" s="626"/>
    </row>
    <row r="11884" spans="1:6">
      <c r="A11884" t="str">
        <f t="shared" si="185"/>
        <v/>
      </c>
      <c r="E11884" s="626"/>
      <c r="F11884" s="626"/>
    </row>
    <row r="11885" spans="1:6">
      <c r="A11885" t="str">
        <f t="shared" si="185"/>
        <v/>
      </c>
      <c r="E11885" s="626"/>
      <c r="F11885" s="626"/>
    </row>
    <row r="11886" spans="1:6">
      <c r="A11886" t="str">
        <f t="shared" si="185"/>
        <v/>
      </c>
      <c r="E11886" s="626"/>
      <c r="F11886" s="626"/>
    </row>
    <row r="11887" spans="1:6">
      <c r="A11887" t="str">
        <f t="shared" si="185"/>
        <v/>
      </c>
      <c r="E11887" s="626"/>
      <c r="F11887" s="626"/>
    </row>
    <row r="11888" spans="1:6">
      <c r="A11888" t="str">
        <f t="shared" si="185"/>
        <v/>
      </c>
      <c r="E11888" s="626"/>
      <c r="F11888" s="626"/>
    </row>
    <row r="11889" spans="1:6">
      <c r="A11889" t="str">
        <f t="shared" si="185"/>
        <v/>
      </c>
      <c r="E11889" s="626"/>
      <c r="F11889" s="626"/>
    </row>
    <row r="11890" spans="1:6">
      <c r="A11890" t="str">
        <f t="shared" si="185"/>
        <v/>
      </c>
      <c r="E11890" s="626"/>
      <c r="F11890" s="626"/>
    </row>
    <row r="11891" spans="1:6">
      <c r="A11891" t="str">
        <f t="shared" si="185"/>
        <v/>
      </c>
      <c r="E11891" s="626"/>
      <c r="F11891" s="626"/>
    </row>
    <row r="11892" spans="1:6">
      <c r="A11892" t="str">
        <f t="shared" si="185"/>
        <v/>
      </c>
      <c r="E11892" s="626"/>
      <c r="F11892" s="626"/>
    </row>
    <row r="11893" spans="1:6">
      <c r="A11893" t="str">
        <f t="shared" si="185"/>
        <v/>
      </c>
      <c r="E11893" s="626"/>
      <c r="F11893" s="626"/>
    </row>
    <row r="11894" spans="1:6">
      <c r="A11894" t="str">
        <f t="shared" si="185"/>
        <v/>
      </c>
      <c r="E11894" s="626"/>
      <c r="F11894" s="626"/>
    </row>
    <row r="11895" spans="1:6">
      <c r="A11895" t="str">
        <f t="shared" si="185"/>
        <v/>
      </c>
      <c r="E11895" s="626"/>
      <c r="F11895" s="626"/>
    </row>
    <row r="11896" spans="1:6">
      <c r="A11896" t="str">
        <f t="shared" si="185"/>
        <v/>
      </c>
      <c r="E11896" s="626"/>
      <c r="F11896" s="626"/>
    </row>
    <row r="11897" spans="1:6">
      <c r="A11897" t="str">
        <f t="shared" si="185"/>
        <v/>
      </c>
      <c r="E11897" s="626"/>
      <c r="F11897" s="626"/>
    </row>
    <row r="11898" spans="1:6">
      <c r="A11898" t="str">
        <f t="shared" si="185"/>
        <v/>
      </c>
      <c r="E11898" s="626"/>
      <c r="F11898" s="626"/>
    </row>
    <row r="11899" spans="1:6">
      <c r="A11899" t="str">
        <f t="shared" si="185"/>
        <v/>
      </c>
      <c r="E11899" s="626"/>
      <c r="F11899" s="626"/>
    </row>
    <row r="11900" spans="1:6">
      <c r="A11900" t="str">
        <f t="shared" si="185"/>
        <v/>
      </c>
      <c r="E11900" s="626"/>
      <c r="F11900" s="626"/>
    </row>
    <row r="11901" spans="1:6">
      <c r="A11901" t="str">
        <f t="shared" si="185"/>
        <v/>
      </c>
      <c r="E11901" s="626"/>
      <c r="F11901" s="626"/>
    </row>
    <row r="11902" spans="1:6">
      <c r="A11902" t="str">
        <f t="shared" si="185"/>
        <v/>
      </c>
      <c r="E11902" s="626"/>
      <c r="F11902" s="626"/>
    </row>
    <row r="11903" spans="1:6">
      <c r="A11903" t="str">
        <f t="shared" si="185"/>
        <v/>
      </c>
      <c r="E11903" s="626"/>
      <c r="F11903" s="626"/>
    </row>
    <row r="11904" spans="1:6">
      <c r="A11904" t="str">
        <f t="shared" si="185"/>
        <v/>
      </c>
      <c r="E11904" s="626"/>
      <c r="F11904" s="626"/>
    </row>
    <row r="11905" spans="1:6">
      <c r="A11905" t="str">
        <f t="shared" si="185"/>
        <v/>
      </c>
      <c r="E11905" s="626"/>
      <c r="F11905" s="626"/>
    </row>
    <row r="11906" spans="1:6">
      <c r="A11906" t="str">
        <f t="shared" ref="A11906:A11969" si="186">B11906&amp;E11906&amp;J11906</f>
        <v/>
      </c>
      <c r="E11906" s="626"/>
      <c r="F11906" s="626"/>
    </row>
    <row r="11907" spans="1:6">
      <c r="A11907" t="str">
        <f t="shared" si="186"/>
        <v/>
      </c>
      <c r="E11907" s="626"/>
      <c r="F11907" s="626"/>
    </row>
    <row r="11908" spans="1:6">
      <c r="A11908" t="str">
        <f t="shared" si="186"/>
        <v/>
      </c>
      <c r="E11908" s="626"/>
      <c r="F11908" s="626"/>
    </row>
    <row r="11909" spans="1:6">
      <c r="A11909" t="str">
        <f t="shared" si="186"/>
        <v/>
      </c>
      <c r="E11909" s="626"/>
      <c r="F11909" s="626"/>
    </row>
    <row r="11910" spans="1:6">
      <c r="A11910" t="str">
        <f t="shared" si="186"/>
        <v/>
      </c>
      <c r="E11910" s="626"/>
      <c r="F11910" s="626"/>
    </row>
    <row r="11911" spans="1:6">
      <c r="A11911" t="str">
        <f t="shared" si="186"/>
        <v/>
      </c>
      <c r="E11911" s="626"/>
      <c r="F11911" s="626"/>
    </row>
    <row r="11912" spans="1:6">
      <c r="A11912" t="str">
        <f t="shared" si="186"/>
        <v/>
      </c>
      <c r="E11912" s="626"/>
      <c r="F11912" s="626"/>
    </row>
    <row r="11913" spans="1:6">
      <c r="A11913" t="str">
        <f t="shared" si="186"/>
        <v/>
      </c>
      <c r="E11913" s="626"/>
      <c r="F11913" s="626"/>
    </row>
    <row r="11914" spans="1:6">
      <c r="A11914" t="str">
        <f t="shared" si="186"/>
        <v/>
      </c>
      <c r="E11914" s="626"/>
      <c r="F11914" s="626"/>
    </row>
    <row r="11915" spans="1:6">
      <c r="A11915" t="str">
        <f t="shared" si="186"/>
        <v/>
      </c>
      <c r="E11915" s="626"/>
      <c r="F11915" s="626"/>
    </row>
    <row r="11916" spans="1:6">
      <c r="A11916" t="str">
        <f t="shared" si="186"/>
        <v/>
      </c>
      <c r="E11916" s="626"/>
      <c r="F11916" s="626"/>
    </row>
    <row r="11917" spans="1:6">
      <c r="A11917" t="str">
        <f t="shared" si="186"/>
        <v/>
      </c>
      <c r="E11917" s="626"/>
      <c r="F11917" s="626"/>
    </row>
    <row r="11918" spans="1:6">
      <c r="A11918" t="str">
        <f t="shared" si="186"/>
        <v/>
      </c>
      <c r="E11918" s="626"/>
      <c r="F11918" s="626"/>
    </row>
    <row r="11919" spans="1:6">
      <c r="A11919" t="str">
        <f t="shared" si="186"/>
        <v/>
      </c>
      <c r="E11919" s="626"/>
      <c r="F11919" s="626"/>
    </row>
    <row r="11920" spans="1:6">
      <c r="A11920" t="str">
        <f t="shared" si="186"/>
        <v/>
      </c>
      <c r="E11920" s="626"/>
      <c r="F11920" s="626"/>
    </row>
    <row r="11921" spans="1:6">
      <c r="A11921" t="str">
        <f t="shared" si="186"/>
        <v/>
      </c>
      <c r="E11921" s="626"/>
      <c r="F11921" s="626"/>
    </row>
    <row r="11922" spans="1:6">
      <c r="A11922" t="str">
        <f t="shared" si="186"/>
        <v/>
      </c>
      <c r="E11922" s="626"/>
      <c r="F11922" s="626"/>
    </row>
    <row r="11923" spans="1:6">
      <c r="A11923" t="str">
        <f t="shared" si="186"/>
        <v/>
      </c>
      <c r="E11923" s="626"/>
      <c r="F11923" s="626"/>
    </row>
    <row r="11924" spans="1:6">
      <c r="A11924" t="str">
        <f t="shared" si="186"/>
        <v/>
      </c>
      <c r="E11924" s="626"/>
      <c r="F11924" s="626"/>
    </row>
    <row r="11925" spans="1:6">
      <c r="A11925" t="str">
        <f t="shared" si="186"/>
        <v/>
      </c>
      <c r="E11925" s="626"/>
      <c r="F11925" s="626"/>
    </row>
    <row r="11926" spans="1:6">
      <c r="A11926" t="str">
        <f t="shared" si="186"/>
        <v/>
      </c>
      <c r="E11926" s="626"/>
      <c r="F11926" s="626"/>
    </row>
    <row r="11927" spans="1:6">
      <c r="A11927" t="str">
        <f t="shared" si="186"/>
        <v/>
      </c>
      <c r="E11927" s="626"/>
      <c r="F11927" s="626"/>
    </row>
    <row r="11928" spans="1:6">
      <c r="A11928" t="str">
        <f t="shared" si="186"/>
        <v/>
      </c>
      <c r="E11928" s="626"/>
      <c r="F11928" s="626"/>
    </row>
    <row r="11929" spans="1:6">
      <c r="A11929" t="str">
        <f t="shared" si="186"/>
        <v/>
      </c>
      <c r="E11929" s="626"/>
      <c r="F11929" s="626"/>
    </row>
    <row r="11930" spans="1:6">
      <c r="A11930" t="str">
        <f t="shared" si="186"/>
        <v/>
      </c>
      <c r="E11930" s="626"/>
      <c r="F11930" s="626"/>
    </row>
    <row r="11931" spans="1:6">
      <c r="A11931" t="str">
        <f t="shared" si="186"/>
        <v/>
      </c>
      <c r="E11931" s="626"/>
      <c r="F11931" s="626"/>
    </row>
    <row r="11932" spans="1:6">
      <c r="A11932" t="str">
        <f t="shared" si="186"/>
        <v/>
      </c>
      <c r="E11932" s="626"/>
      <c r="F11932" s="626"/>
    </row>
    <row r="11933" spans="1:6">
      <c r="A11933" t="str">
        <f t="shared" si="186"/>
        <v/>
      </c>
      <c r="E11933" s="626"/>
      <c r="F11933" s="626"/>
    </row>
    <row r="11934" spans="1:6">
      <c r="A11934" t="str">
        <f t="shared" si="186"/>
        <v/>
      </c>
      <c r="E11934" s="626"/>
      <c r="F11934" s="626"/>
    </row>
    <row r="11935" spans="1:6">
      <c r="A11935" t="str">
        <f t="shared" si="186"/>
        <v/>
      </c>
      <c r="E11935" s="626"/>
      <c r="F11935" s="626"/>
    </row>
    <row r="11936" spans="1:6">
      <c r="A11936" t="str">
        <f t="shared" si="186"/>
        <v/>
      </c>
      <c r="E11936" s="626"/>
      <c r="F11936" s="626"/>
    </row>
    <row r="11937" spans="1:6">
      <c r="A11937" t="str">
        <f t="shared" si="186"/>
        <v/>
      </c>
      <c r="E11937" s="626"/>
      <c r="F11937" s="626"/>
    </row>
    <row r="11938" spans="1:6">
      <c r="A11938" t="str">
        <f t="shared" si="186"/>
        <v/>
      </c>
      <c r="E11938" s="626"/>
      <c r="F11938" s="626"/>
    </row>
    <row r="11939" spans="1:6">
      <c r="A11939" t="str">
        <f t="shared" si="186"/>
        <v/>
      </c>
      <c r="E11939" s="626"/>
      <c r="F11939" s="626"/>
    </row>
    <row r="11940" spans="1:6">
      <c r="A11940" t="str">
        <f t="shared" si="186"/>
        <v/>
      </c>
      <c r="E11940" s="626"/>
      <c r="F11940" s="626"/>
    </row>
    <row r="11941" spans="1:6">
      <c r="A11941" t="str">
        <f t="shared" si="186"/>
        <v/>
      </c>
      <c r="E11941" s="626"/>
      <c r="F11941" s="626"/>
    </row>
    <row r="11942" spans="1:6">
      <c r="A11942" t="str">
        <f t="shared" si="186"/>
        <v/>
      </c>
      <c r="E11942" s="626"/>
      <c r="F11942" s="626"/>
    </row>
    <row r="11943" spans="1:6">
      <c r="A11943" t="str">
        <f t="shared" si="186"/>
        <v/>
      </c>
      <c r="E11943" s="626"/>
      <c r="F11943" s="626"/>
    </row>
    <row r="11944" spans="1:6">
      <c r="A11944" t="str">
        <f t="shared" si="186"/>
        <v/>
      </c>
      <c r="E11944" s="626"/>
      <c r="F11944" s="626"/>
    </row>
    <row r="11945" spans="1:6">
      <c r="A11945" t="str">
        <f t="shared" si="186"/>
        <v/>
      </c>
      <c r="E11945" s="626"/>
      <c r="F11945" s="626"/>
    </row>
    <row r="11946" spans="1:6">
      <c r="A11946" t="str">
        <f t="shared" si="186"/>
        <v/>
      </c>
      <c r="E11946" s="626"/>
      <c r="F11946" s="626"/>
    </row>
    <row r="11947" spans="1:6">
      <c r="A11947" t="str">
        <f t="shared" si="186"/>
        <v/>
      </c>
      <c r="E11947" s="626"/>
      <c r="F11947" s="626"/>
    </row>
    <row r="11948" spans="1:6">
      <c r="A11948" t="str">
        <f t="shared" si="186"/>
        <v/>
      </c>
      <c r="E11948" s="626"/>
      <c r="F11948" s="626"/>
    </row>
    <row r="11949" spans="1:6">
      <c r="A11949" t="str">
        <f t="shared" si="186"/>
        <v/>
      </c>
      <c r="E11949" s="626"/>
      <c r="F11949" s="626"/>
    </row>
    <row r="11950" spans="1:6">
      <c r="A11950" t="str">
        <f t="shared" si="186"/>
        <v/>
      </c>
      <c r="E11950" s="626"/>
      <c r="F11950" s="626"/>
    </row>
    <row r="11951" spans="1:6">
      <c r="A11951" t="str">
        <f t="shared" si="186"/>
        <v/>
      </c>
      <c r="E11951" s="626"/>
      <c r="F11951" s="626"/>
    </row>
    <row r="11952" spans="1:6">
      <c r="A11952" t="str">
        <f t="shared" si="186"/>
        <v/>
      </c>
      <c r="E11952" s="626"/>
      <c r="F11952" s="626"/>
    </row>
    <row r="11953" spans="1:6">
      <c r="A11953" t="str">
        <f t="shared" si="186"/>
        <v/>
      </c>
      <c r="E11953" s="626"/>
      <c r="F11953" s="626"/>
    </row>
    <row r="11954" spans="1:6">
      <c r="A11954" t="str">
        <f t="shared" si="186"/>
        <v/>
      </c>
      <c r="E11954" s="626"/>
      <c r="F11954" s="626"/>
    </row>
    <row r="11955" spans="1:6">
      <c r="A11955" t="str">
        <f t="shared" si="186"/>
        <v/>
      </c>
      <c r="E11955" s="626"/>
      <c r="F11955" s="626"/>
    </row>
    <row r="11956" spans="1:6">
      <c r="A11956" t="str">
        <f t="shared" si="186"/>
        <v/>
      </c>
      <c r="E11956" s="626"/>
      <c r="F11956" s="626"/>
    </row>
    <row r="11957" spans="1:6">
      <c r="A11957" t="str">
        <f t="shared" si="186"/>
        <v/>
      </c>
      <c r="E11957" s="626"/>
      <c r="F11957" s="626"/>
    </row>
    <row r="11958" spans="1:6">
      <c r="A11958" t="str">
        <f t="shared" si="186"/>
        <v/>
      </c>
      <c r="E11958" s="626"/>
      <c r="F11958" s="626"/>
    </row>
    <row r="11959" spans="1:6">
      <c r="A11959" t="str">
        <f t="shared" si="186"/>
        <v/>
      </c>
      <c r="E11959" s="626"/>
      <c r="F11959" s="626"/>
    </row>
    <row r="11960" spans="1:6">
      <c r="A11960" t="str">
        <f t="shared" si="186"/>
        <v/>
      </c>
      <c r="E11960" s="626"/>
      <c r="F11960" s="626"/>
    </row>
    <row r="11961" spans="1:6">
      <c r="A11961" t="str">
        <f t="shared" si="186"/>
        <v/>
      </c>
      <c r="E11961" s="626"/>
      <c r="F11961" s="626"/>
    </row>
    <row r="11962" spans="1:6">
      <c r="A11962" t="str">
        <f t="shared" si="186"/>
        <v/>
      </c>
      <c r="E11962" s="626"/>
      <c r="F11962" s="626"/>
    </row>
    <row r="11963" spans="1:6">
      <c r="A11963" t="str">
        <f t="shared" si="186"/>
        <v/>
      </c>
      <c r="E11963" s="626"/>
      <c r="F11963" s="626"/>
    </row>
    <row r="11964" spans="1:6">
      <c r="A11964" t="str">
        <f t="shared" si="186"/>
        <v/>
      </c>
      <c r="E11964" s="626"/>
      <c r="F11964" s="626"/>
    </row>
    <row r="11965" spans="1:6">
      <c r="A11965" t="str">
        <f t="shared" si="186"/>
        <v/>
      </c>
      <c r="E11965" s="626"/>
      <c r="F11965" s="626"/>
    </row>
    <row r="11966" spans="1:6">
      <c r="A11966" t="str">
        <f t="shared" si="186"/>
        <v/>
      </c>
      <c r="E11966" s="626"/>
      <c r="F11966" s="626"/>
    </row>
    <row r="11967" spans="1:6">
      <c r="A11967" t="str">
        <f t="shared" si="186"/>
        <v/>
      </c>
      <c r="E11967" s="626"/>
      <c r="F11967" s="626"/>
    </row>
    <row r="11968" spans="1:6">
      <c r="A11968" t="str">
        <f t="shared" si="186"/>
        <v/>
      </c>
      <c r="E11968" s="626"/>
      <c r="F11968" s="626"/>
    </row>
    <row r="11969" spans="1:6">
      <c r="A11969" t="str">
        <f t="shared" si="186"/>
        <v/>
      </c>
      <c r="E11969" s="626"/>
      <c r="F11969" s="626"/>
    </row>
    <row r="11970" spans="1:6">
      <c r="A11970" t="str">
        <f t="shared" ref="A11970:A12033" si="187">B11970&amp;E11970&amp;J11970</f>
        <v/>
      </c>
      <c r="E11970" s="626"/>
      <c r="F11970" s="626"/>
    </row>
    <row r="11971" spans="1:6">
      <c r="A11971" t="str">
        <f t="shared" si="187"/>
        <v/>
      </c>
      <c r="E11971" s="626"/>
      <c r="F11971" s="626"/>
    </row>
    <row r="11972" spans="1:6">
      <c r="A11972" t="str">
        <f t="shared" si="187"/>
        <v/>
      </c>
      <c r="E11972" s="626"/>
      <c r="F11972" s="626"/>
    </row>
    <row r="11973" spans="1:6">
      <c r="A11973" t="str">
        <f t="shared" si="187"/>
        <v/>
      </c>
      <c r="E11973" s="626"/>
      <c r="F11973" s="626"/>
    </row>
    <row r="11974" spans="1:6">
      <c r="A11974" t="str">
        <f t="shared" si="187"/>
        <v/>
      </c>
      <c r="E11974" s="626"/>
      <c r="F11974" s="626"/>
    </row>
    <row r="11975" spans="1:6">
      <c r="A11975" t="str">
        <f t="shared" si="187"/>
        <v/>
      </c>
      <c r="E11975" s="626"/>
      <c r="F11975" s="626"/>
    </row>
    <row r="11976" spans="1:6">
      <c r="A11976" t="str">
        <f t="shared" si="187"/>
        <v/>
      </c>
      <c r="E11976" s="626"/>
      <c r="F11976" s="626"/>
    </row>
    <row r="11977" spans="1:6">
      <c r="A11977" t="str">
        <f t="shared" si="187"/>
        <v/>
      </c>
      <c r="E11977" s="626"/>
      <c r="F11977" s="626"/>
    </row>
    <row r="11978" spans="1:6">
      <c r="A11978" t="str">
        <f t="shared" si="187"/>
        <v/>
      </c>
      <c r="E11978" s="626"/>
      <c r="F11978" s="626"/>
    </row>
    <row r="11979" spans="1:6">
      <c r="A11979" t="str">
        <f t="shared" si="187"/>
        <v/>
      </c>
      <c r="E11979" s="626"/>
      <c r="F11979" s="626"/>
    </row>
    <row r="11980" spans="1:6">
      <c r="A11980" t="str">
        <f t="shared" si="187"/>
        <v/>
      </c>
      <c r="E11980" s="626"/>
      <c r="F11980" s="626"/>
    </row>
    <row r="11981" spans="1:6">
      <c r="A11981" t="str">
        <f t="shared" si="187"/>
        <v/>
      </c>
      <c r="E11981" s="626"/>
      <c r="F11981" s="626"/>
    </row>
    <row r="11982" spans="1:6">
      <c r="A11982" t="str">
        <f t="shared" si="187"/>
        <v/>
      </c>
      <c r="E11982" s="626"/>
      <c r="F11982" s="626"/>
    </row>
    <row r="11983" spans="1:6">
      <c r="A11983" t="str">
        <f t="shared" si="187"/>
        <v/>
      </c>
      <c r="E11983" s="626"/>
      <c r="F11983" s="626"/>
    </row>
    <row r="11984" spans="1:6">
      <c r="A11984" t="str">
        <f t="shared" si="187"/>
        <v/>
      </c>
      <c r="E11984" s="626"/>
      <c r="F11984" s="626"/>
    </row>
    <row r="11985" spans="1:6">
      <c r="A11985" t="str">
        <f t="shared" si="187"/>
        <v/>
      </c>
      <c r="E11985" s="626"/>
      <c r="F11985" s="626"/>
    </row>
    <row r="11986" spans="1:6">
      <c r="A11986" t="str">
        <f t="shared" si="187"/>
        <v/>
      </c>
      <c r="E11986" s="626"/>
      <c r="F11986" s="626"/>
    </row>
    <row r="11987" spans="1:6">
      <c r="A11987" t="str">
        <f t="shared" si="187"/>
        <v/>
      </c>
      <c r="E11987" s="626"/>
      <c r="F11987" s="626"/>
    </row>
    <row r="11988" spans="1:6">
      <c r="A11988" t="str">
        <f t="shared" si="187"/>
        <v/>
      </c>
      <c r="E11988" s="626"/>
      <c r="F11988" s="626"/>
    </row>
    <row r="11989" spans="1:6">
      <c r="A11989" t="str">
        <f t="shared" si="187"/>
        <v/>
      </c>
      <c r="E11989" s="626"/>
      <c r="F11989" s="626"/>
    </row>
    <row r="11990" spans="1:6">
      <c r="A11990" t="str">
        <f t="shared" si="187"/>
        <v/>
      </c>
      <c r="E11990" s="626"/>
      <c r="F11990" s="626"/>
    </row>
    <row r="11991" spans="1:6">
      <c r="A11991" t="str">
        <f t="shared" si="187"/>
        <v/>
      </c>
      <c r="E11991" s="626"/>
      <c r="F11991" s="626"/>
    </row>
    <row r="11992" spans="1:6">
      <c r="A11992" t="str">
        <f t="shared" si="187"/>
        <v/>
      </c>
      <c r="E11992" s="626"/>
      <c r="F11992" s="626"/>
    </row>
    <row r="11993" spans="1:6">
      <c r="A11993" t="str">
        <f t="shared" si="187"/>
        <v/>
      </c>
      <c r="E11993" s="626"/>
      <c r="F11993" s="626"/>
    </row>
    <row r="11994" spans="1:6">
      <c r="A11994" t="str">
        <f t="shared" si="187"/>
        <v/>
      </c>
      <c r="E11994" s="626"/>
      <c r="F11994" s="626"/>
    </row>
    <row r="11995" spans="1:6">
      <c r="A11995" t="str">
        <f t="shared" si="187"/>
        <v/>
      </c>
      <c r="E11995" s="626"/>
      <c r="F11995" s="626"/>
    </row>
    <row r="11996" spans="1:6">
      <c r="A11996" t="str">
        <f t="shared" si="187"/>
        <v/>
      </c>
      <c r="E11996" s="626"/>
      <c r="F11996" s="626"/>
    </row>
    <row r="11997" spans="1:6">
      <c r="A11997" t="str">
        <f t="shared" si="187"/>
        <v/>
      </c>
      <c r="E11997" s="626"/>
      <c r="F11997" s="626"/>
    </row>
    <row r="11998" spans="1:6">
      <c r="A11998" t="str">
        <f t="shared" si="187"/>
        <v/>
      </c>
      <c r="E11998" s="626"/>
      <c r="F11998" s="626"/>
    </row>
    <row r="11999" spans="1:6">
      <c r="A11999" t="str">
        <f t="shared" si="187"/>
        <v/>
      </c>
      <c r="E11999" s="626"/>
      <c r="F11999" s="626"/>
    </row>
    <row r="12000" spans="1:6">
      <c r="A12000" t="str">
        <f t="shared" si="187"/>
        <v/>
      </c>
      <c r="E12000" s="626"/>
      <c r="F12000" s="626"/>
    </row>
    <row r="12001" spans="1:6">
      <c r="A12001" t="str">
        <f t="shared" si="187"/>
        <v/>
      </c>
      <c r="E12001" s="626"/>
      <c r="F12001" s="626"/>
    </row>
    <row r="12002" spans="1:6">
      <c r="A12002" t="str">
        <f t="shared" si="187"/>
        <v/>
      </c>
      <c r="E12002" s="626"/>
      <c r="F12002" s="626"/>
    </row>
    <row r="12003" spans="1:6">
      <c r="A12003" t="str">
        <f t="shared" si="187"/>
        <v/>
      </c>
      <c r="E12003" s="626"/>
      <c r="F12003" s="626"/>
    </row>
    <row r="12004" spans="1:6">
      <c r="A12004" t="str">
        <f t="shared" si="187"/>
        <v/>
      </c>
      <c r="E12004" s="626"/>
      <c r="F12004" s="626"/>
    </row>
    <row r="12005" spans="1:6">
      <c r="A12005" t="str">
        <f t="shared" si="187"/>
        <v/>
      </c>
      <c r="E12005" s="626"/>
      <c r="F12005" s="626"/>
    </row>
    <row r="12006" spans="1:6">
      <c r="A12006" t="str">
        <f t="shared" si="187"/>
        <v/>
      </c>
      <c r="E12006" s="626"/>
      <c r="F12006" s="626"/>
    </row>
    <row r="12007" spans="1:6">
      <c r="A12007" t="str">
        <f t="shared" si="187"/>
        <v/>
      </c>
      <c r="E12007" s="626"/>
      <c r="F12007" s="626"/>
    </row>
    <row r="12008" spans="1:6">
      <c r="A12008" t="str">
        <f t="shared" si="187"/>
        <v/>
      </c>
      <c r="E12008" s="626"/>
      <c r="F12008" s="626"/>
    </row>
    <row r="12009" spans="1:6">
      <c r="A12009" t="str">
        <f t="shared" si="187"/>
        <v/>
      </c>
      <c r="E12009" s="626"/>
      <c r="F12009" s="626"/>
    </row>
    <row r="12010" spans="1:6">
      <c r="A12010" t="str">
        <f t="shared" si="187"/>
        <v/>
      </c>
      <c r="E12010" s="626"/>
      <c r="F12010" s="626"/>
    </row>
    <row r="12011" spans="1:6">
      <c r="A12011" t="str">
        <f t="shared" si="187"/>
        <v/>
      </c>
      <c r="E12011" s="626"/>
      <c r="F12011" s="626"/>
    </row>
    <row r="12012" spans="1:6">
      <c r="A12012" t="str">
        <f t="shared" si="187"/>
        <v/>
      </c>
      <c r="E12012" s="626"/>
      <c r="F12012" s="626"/>
    </row>
    <row r="12013" spans="1:6">
      <c r="A12013" t="str">
        <f t="shared" si="187"/>
        <v/>
      </c>
      <c r="E12013" s="626"/>
      <c r="F12013" s="626"/>
    </row>
    <row r="12014" spans="1:6">
      <c r="A12014" t="str">
        <f t="shared" si="187"/>
        <v/>
      </c>
      <c r="E12014" s="626"/>
      <c r="F12014" s="626"/>
    </row>
    <row r="12015" spans="1:6">
      <c r="A12015" t="str">
        <f t="shared" si="187"/>
        <v/>
      </c>
      <c r="E12015" s="626"/>
      <c r="F12015" s="626"/>
    </row>
    <row r="12016" spans="1:6">
      <c r="A12016" t="str">
        <f t="shared" si="187"/>
        <v/>
      </c>
      <c r="E12016" s="626"/>
      <c r="F12016" s="626"/>
    </row>
    <row r="12017" spans="1:6">
      <c r="A12017" t="str">
        <f t="shared" si="187"/>
        <v/>
      </c>
      <c r="E12017" s="626"/>
      <c r="F12017" s="626"/>
    </row>
    <row r="12018" spans="1:6">
      <c r="A12018" t="str">
        <f t="shared" si="187"/>
        <v/>
      </c>
      <c r="E12018" s="626"/>
      <c r="F12018" s="626"/>
    </row>
    <row r="12019" spans="1:6">
      <c r="A12019" t="str">
        <f t="shared" si="187"/>
        <v/>
      </c>
      <c r="E12019" s="626"/>
      <c r="F12019" s="626"/>
    </row>
    <row r="12020" spans="1:6">
      <c r="A12020" t="str">
        <f t="shared" si="187"/>
        <v/>
      </c>
      <c r="E12020" s="626"/>
      <c r="F12020" s="626"/>
    </row>
    <row r="12021" spans="1:6">
      <c r="A12021" t="str">
        <f t="shared" si="187"/>
        <v/>
      </c>
      <c r="E12021" s="626"/>
      <c r="F12021" s="626"/>
    </row>
    <row r="12022" spans="1:6">
      <c r="A12022" t="str">
        <f t="shared" si="187"/>
        <v/>
      </c>
      <c r="E12022" s="626"/>
      <c r="F12022" s="626"/>
    </row>
    <row r="12023" spans="1:6">
      <c r="A12023" t="str">
        <f t="shared" si="187"/>
        <v/>
      </c>
      <c r="E12023" s="626"/>
      <c r="F12023" s="626"/>
    </row>
    <row r="12024" spans="1:6">
      <c r="A12024" t="str">
        <f t="shared" si="187"/>
        <v/>
      </c>
      <c r="E12024" s="626"/>
      <c r="F12024" s="626"/>
    </row>
    <row r="12025" spans="1:6">
      <c r="A12025" t="str">
        <f t="shared" si="187"/>
        <v/>
      </c>
      <c r="E12025" s="626"/>
      <c r="F12025" s="626"/>
    </row>
    <row r="12026" spans="1:6">
      <c r="A12026" t="str">
        <f t="shared" si="187"/>
        <v/>
      </c>
      <c r="E12026" s="626"/>
      <c r="F12026" s="626"/>
    </row>
    <row r="12027" spans="1:6">
      <c r="A12027" t="str">
        <f t="shared" si="187"/>
        <v/>
      </c>
      <c r="E12027" s="626"/>
      <c r="F12027" s="626"/>
    </row>
    <row r="12028" spans="1:6">
      <c r="A12028" t="str">
        <f t="shared" si="187"/>
        <v/>
      </c>
      <c r="E12028" s="626"/>
      <c r="F12028" s="626"/>
    </row>
    <row r="12029" spans="1:6">
      <c r="A12029" t="str">
        <f t="shared" si="187"/>
        <v/>
      </c>
      <c r="E12029" s="626"/>
      <c r="F12029" s="626"/>
    </row>
    <row r="12030" spans="1:6">
      <c r="A12030" t="str">
        <f t="shared" si="187"/>
        <v/>
      </c>
      <c r="E12030" s="626"/>
      <c r="F12030" s="626"/>
    </row>
    <row r="12031" spans="1:6">
      <c r="A12031" t="str">
        <f t="shared" si="187"/>
        <v/>
      </c>
      <c r="E12031" s="626"/>
      <c r="F12031" s="626"/>
    </row>
    <row r="12032" spans="1:6">
      <c r="A12032" t="str">
        <f t="shared" si="187"/>
        <v/>
      </c>
      <c r="E12032" s="626"/>
      <c r="F12032" s="626"/>
    </row>
    <row r="12033" spans="1:6">
      <c r="A12033" t="str">
        <f t="shared" si="187"/>
        <v/>
      </c>
      <c r="E12033" s="626"/>
      <c r="F12033" s="626"/>
    </row>
    <row r="12034" spans="1:6">
      <c r="A12034" t="str">
        <f t="shared" ref="A12034:A12097" si="188">B12034&amp;E12034&amp;J12034</f>
        <v/>
      </c>
      <c r="E12034" s="626"/>
      <c r="F12034" s="626"/>
    </row>
    <row r="12035" spans="1:6">
      <c r="A12035" t="str">
        <f t="shared" si="188"/>
        <v/>
      </c>
      <c r="E12035" s="626"/>
      <c r="F12035" s="626"/>
    </row>
    <row r="12036" spans="1:6">
      <c r="A12036" t="str">
        <f t="shared" si="188"/>
        <v/>
      </c>
      <c r="E12036" s="626"/>
      <c r="F12036" s="626"/>
    </row>
    <row r="12037" spans="1:6">
      <c r="A12037" t="str">
        <f t="shared" si="188"/>
        <v/>
      </c>
      <c r="E12037" s="626"/>
      <c r="F12037" s="626"/>
    </row>
    <row r="12038" spans="1:6">
      <c r="A12038" t="str">
        <f t="shared" si="188"/>
        <v/>
      </c>
      <c r="E12038" s="626"/>
      <c r="F12038" s="626"/>
    </row>
    <row r="12039" spans="1:6">
      <c r="A12039" t="str">
        <f t="shared" si="188"/>
        <v/>
      </c>
      <c r="E12039" s="626"/>
      <c r="F12039" s="626"/>
    </row>
    <row r="12040" spans="1:6">
      <c r="A12040" t="str">
        <f t="shared" si="188"/>
        <v/>
      </c>
      <c r="E12040" s="626"/>
      <c r="F12040" s="626"/>
    </row>
    <row r="12041" spans="1:6">
      <c r="A12041" t="str">
        <f t="shared" si="188"/>
        <v/>
      </c>
      <c r="E12041" s="626"/>
      <c r="F12041" s="626"/>
    </row>
    <row r="12042" spans="1:6">
      <c r="A12042" t="str">
        <f t="shared" si="188"/>
        <v/>
      </c>
      <c r="E12042" s="626"/>
      <c r="F12042" s="626"/>
    </row>
    <row r="12043" spans="1:6">
      <c r="A12043" t="str">
        <f t="shared" si="188"/>
        <v/>
      </c>
      <c r="E12043" s="626"/>
      <c r="F12043" s="626"/>
    </row>
    <row r="12044" spans="1:6">
      <c r="A12044" t="str">
        <f t="shared" si="188"/>
        <v/>
      </c>
      <c r="E12044" s="626"/>
      <c r="F12044" s="626"/>
    </row>
    <row r="12045" spans="1:6">
      <c r="A12045" t="str">
        <f t="shared" si="188"/>
        <v/>
      </c>
      <c r="E12045" s="626"/>
      <c r="F12045" s="626"/>
    </row>
    <row r="12046" spans="1:6">
      <c r="A12046" t="str">
        <f t="shared" si="188"/>
        <v/>
      </c>
      <c r="E12046" s="626"/>
      <c r="F12046" s="626"/>
    </row>
    <row r="12047" spans="1:6">
      <c r="A12047" t="str">
        <f t="shared" si="188"/>
        <v/>
      </c>
      <c r="E12047" s="626"/>
      <c r="F12047" s="626"/>
    </row>
    <row r="12048" spans="1:6">
      <c r="A12048" t="str">
        <f t="shared" si="188"/>
        <v/>
      </c>
      <c r="E12048" s="626"/>
      <c r="F12048" s="626"/>
    </row>
    <row r="12049" spans="1:6">
      <c r="A12049" t="str">
        <f t="shared" si="188"/>
        <v/>
      </c>
      <c r="E12049" s="626"/>
      <c r="F12049" s="626"/>
    </row>
    <row r="12050" spans="1:6">
      <c r="A12050" t="str">
        <f t="shared" si="188"/>
        <v/>
      </c>
      <c r="E12050" s="626"/>
      <c r="F12050" s="626"/>
    </row>
    <row r="12051" spans="1:6">
      <c r="A12051" t="str">
        <f t="shared" si="188"/>
        <v/>
      </c>
      <c r="E12051" s="626"/>
      <c r="F12051" s="626"/>
    </row>
    <row r="12052" spans="1:6">
      <c r="A12052" t="str">
        <f t="shared" si="188"/>
        <v/>
      </c>
      <c r="E12052" s="626"/>
      <c r="F12052" s="626"/>
    </row>
    <row r="12053" spans="1:6">
      <c r="A12053" t="str">
        <f t="shared" si="188"/>
        <v/>
      </c>
      <c r="E12053" s="626"/>
      <c r="F12053" s="626"/>
    </row>
    <row r="12054" spans="1:6">
      <c r="A12054" t="str">
        <f t="shared" si="188"/>
        <v/>
      </c>
      <c r="E12054" s="626"/>
      <c r="F12054" s="626"/>
    </row>
    <row r="12055" spans="1:6">
      <c r="A12055" t="str">
        <f t="shared" si="188"/>
        <v/>
      </c>
      <c r="E12055" s="626"/>
      <c r="F12055" s="626"/>
    </row>
    <row r="12056" spans="1:6">
      <c r="A12056" t="str">
        <f t="shared" si="188"/>
        <v/>
      </c>
      <c r="E12056" s="626"/>
      <c r="F12056" s="626"/>
    </row>
    <row r="12057" spans="1:6">
      <c r="A12057" t="str">
        <f t="shared" si="188"/>
        <v/>
      </c>
      <c r="E12057" s="626"/>
      <c r="F12057" s="626"/>
    </row>
    <row r="12058" spans="1:6">
      <c r="A12058" t="str">
        <f t="shared" si="188"/>
        <v/>
      </c>
      <c r="E12058" s="626"/>
      <c r="F12058" s="626"/>
    </row>
    <row r="12059" spans="1:6">
      <c r="A12059" t="str">
        <f t="shared" si="188"/>
        <v/>
      </c>
      <c r="E12059" s="626"/>
      <c r="F12059" s="626"/>
    </row>
    <row r="12060" spans="1:6">
      <c r="A12060" t="str">
        <f t="shared" si="188"/>
        <v/>
      </c>
      <c r="E12060" s="626"/>
      <c r="F12060" s="626"/>
    </row>
    <row r="12061" spans="1:6">
      <c r="A12061" t="str">
        <f t="shared" si="188"/>
        <v/>
      </c>
      <c r="E12061" s="626"/>
      <c r="F12061" s="626"/>
    </row>
    <row r="12062" spans="1:6">
      <c r="A12062" t="str">
        <f t="shared" si="188"/>
        <v/>
      </c>
      <c r="E12062" s="626"/>
      <c r="F12062" s="626"/>
    </row>
    <row r="12063" spans="1:6">
      <c r="A12063" t="str">
        <f t="shared" si="188"/>
        <v/>
      </c>
      <c r="E12063" s="626"/>
      <c r="F12063" s="626"/>
    </row>
    <row r="12064" spans="1:6">
      <c r="A12064" t="str">
        <f t="shared" si="188"/>
        <v/>
      </c>
      <c r="E12064" s="626"/>
      <c r="F12064" s="626"/>
    </row>
    <row r="12065" spans="1:6">
      <c r="A12065" t="str">
        <f t="shared" si="188"/>
        <v/>
      </c>
      <c r="E12065" s="626"/>
      <c r="F12065" s="626"/>
    </row>
    <row r="12066" spans="1:6">
      <c r="A12066" t="str">
        <f t="shared" si="188"/>
        <v/>
      </c>
      <c r="E12066" s="626"/>
      <c r="F12066" s="626"/>
    </row>
    <row r="12067" spans="1:6">
      <c r="A12067" t="str">
        <f t="shared" si="188"/>
        <v/>
      </c>
      <c r="E12067" s="626"/>
      <c r="F12067" s="626"/>
    </row>
    <row r="12068" spans="1:6">
      <c r="A12068" t="str">
        <f t="shared" si="188"/>
        <v/>
      </c>
      <c r="E12068" s="626"/>
      <c r="F12068" s="626"/>
    </row>
    <row r="12069" spans="1:6">
      <c r="A12069" t="str">
        <f t="shared" si="188"/>
        <v/>
      </c>
      <c r="E12069" s="626"/>
      <c r="F12069" s="626"/>
    </row>
    <row r="12070" spans="1:6">
      <c r="A12070" t="str">
        <f t="shared" si="188"/>
        <v/>
      </c>
      <c r="E12070" s="626"/>
      <c r="F12070" s="626"/>
    </row>
    <row r="12071" spans="1:6">
      <c r="A12071" t="str">
        <f t="shared" si="188"/>
        <v/>
      </c>
      <c r="E12071" s="626"/>
      <c r="F12071" s="626"/>
    </row>
    <row r="12072" spans="1:6">
      <c r="A12072" t="str">
        <f t="shared" si="188"/>
        <v/>
      </c>
      <c r="E12072" s="626"/>
      <c r="F12072" s="626"/>
    </row>
    <row r="12073" spans="1:6">
      <c r="A12073" t="str">
        <f t="shared" si="188"/>
        <v/>
      </c>
      <c r="E12073" s="626"/>
      <c r="F12073" s="626"/>
    </row>
    <row r="12074" spans="1:6">
      <c r="A12074" t="str">
        <f t="shared" si="188"/>
        <v/>
      </c>
      <c r="E12074" s="626"/>
      <c r="F12074" s="626"/>
    </row>
    <row r="12075" spans="1:6">
      <c r="A12075" t="str">
        <f t="shared" si="188"/>
        <v/>
      </c>
      <c r="E12075" s="626"/>
      <c r="F12075" s="626"/>
    </row>
    <row r="12076" spans="1:6">
      <c r="A12076" t="str">
        <f t="shared" si="188"/>
        <v/>
      </c>
      <c r="E12076" s="626"/>
      <c r="F12076" s="626"/>
    </row>
    <row r="12077" spans="1:6">
      <c r="A12077" t="str">
        <f t="shared" si="188"/>
        <v/>
      </c>
      <c r="E12077" s="626"/>
      <c r="F12077" s="626"/>
    </row>
    <row r="12078" spans="1:6">
      <c r="A12078" t="str">
        <f t="shared" si="188"/>
        <v/>
      </c>
      <c r="E12078" s="626"/>
      <c r="F12078" s="626"/>
    </row>
    <row r="12079" spans="1:6">
      <c r="A12079" t="str">
        <f t="shared" si="188"/>
        <v/>
      </c>
      <c r="E12079" s="626"/>
      <c r="F12079" s="626"/>
    </row>
    <row r="12080" spans="1:6">
      <c r="A12080" t="str">
        <f t="shared" si="188"/>
        <v/>
      </c>
      <c r="E12080" s="626"/>
      <c r="F12080" s="626"/>
    </row>
    <row r="12081" spans="1:6">
      <c r="A12081" t="str">
        <f t="shared" si="188"/>
        <v/>
      </c>
      <c r="E12081" s="626"/>
      <c r="F12081" s="626"/>
    </row>
    <row r="12082" spans="1:6">
      <c r="A12082" t="str">
        <f t="shared" si="188"/>
        <v/>
      </c>
      <c r="E12082" s="626"/>
      <c r="F12082" s="626"/>
    </row>
    <row r="12083" spans="1:6">
      <c r="A12083" t="str">
        <f t="shared" si="188"/>
        <v/>
      </c>
      <c r="E12083" s="626"/>
      <c r="F12083" s="626"/>
    </row>
    <row r="12084" spans="1:6">
      <c r="A12084" t="str">
        <f t="shared" si="188"/>
        <v/>
      </c>
      <c r="E12084" s="626"/>
      <c r="F12084" s="626"/>
    </row>
    <row r="12085" spans="1:6">
      <c r="A12085" t="str">
        <f t="shared" si="188"/>
        <v/>
      </c>
      <c r="E12085" s="626"/>
      <c r="F12085" s="626"/>
    </row>
    <row r="12086" spans="1:6">
      <c r="A12086" t="str">
        <f t="shared" si="188"/>
        <v/>
      </c>
      <c r="E12086" s="626"/>
      <c r="F12086" s="626"/>
    </row>
    <row r="12087" spans="1:6">
      <c r="A12087" t="str">
        <f t="shared" si="188"/>
        <v/>
      </c>
      <c r="E12087" s="626"/>
      <c r="F12087" s="626"/>
    </row>
    <row r="12088" spans="1:6">
      <c r="A12088" t="str">
        <f t="shared" si="188"/>
        <v/>
      </c>
      <c r="E12088" s="626"/>
      <c r="F12088" s="626"/>
    </row>
    <row r="12089" spans="1:6">
      <c r="A12089" t="str">
        <f t="shared" si="188"/>
        <v/>
      </c>
      <c r="E12089" s="626"/>
      <c r="F12089" s="626"/>
    </row>
    <row r="12090" spans="1:6">
      <c r="A12090" t="str">
        <f t="shared" si="188"/>
        <v/>
      </c>
      <c r="E12090" s="626"/>
      <c r="F12090" s="626"/>
    </row>
    <row r="12091" spans="1:6">
      <c r="A12091" t="str">
        <f t="shared" si="188"/>
        <v/>
      </c>
      <c r="E12091" s="626"/>
      <c r="F12091" s="626"/>
    </row>
    <row r="12092" spans="1:6">
      <c r="A12092" t="str">
        <f t="shared" si="188"/>
        <v/>
      </c>
      <c r="E12092" s="626"/>
      <c r="F12092" s="626"/>
    </row>
    <row r="12093" spans="1:6">
      <c r="A12093" t="str">
        <f t="shared" si="188"/>
        <v/>
      </c>
      <c r="E12093" s="626"/>
      <c r="F12093" s="626"/>
    </row>
    <row r="12094" spans="1:6">
      <c r="A12094" t="str">
        <f t="shared" si="188"/>
        <v/>
      </c>
      <c r="E12094" s="626"/>
      <c r="F12094" s="626"/>
    </row>
    <row r="12095" spans="1:6">
      <c r="A12095" t="str">
        <f t="shared" si="188"/>
        <v/>
      </c>
      <c r="E12095" s="626"/>
      <c r="F12095" s="626"/>
    </row>
    <row r="12096" spans="1:6">
      <c r="A12096" t="str">
        <f t="shared" si="188"/>
        <v/>
      </c>
      <c r="E12096" s="626"/>
      <c r="F12096" s="626"/>
    </row>
    <row r="12097" spans="1:6">
      <c r="A12097" t="str">
        <f t="shared" si="188"/>
        <v/>
      </c>
      <c r="E12097" s="626"/>
      <c r="F12097" s="626"/>
    </row>
    <row r="12098" spans="1:6">
      <c r="A12098" t="str">
        <f t="shared" ref="A12098:A12161" si="189">B12098&amp;E12098&amp;J12098</f>
        <v/>
      </c>
      <c r="E12098" s="626"/>
      <c r="F12098" s="626"/>
    </row>
    <row r="12099" spans="1:6">
      <c r="A12099" t="str">
        <f t="shared" si="189"/>
        <v/>
      </c>
      <c r="E12099" s="626"/>
      <c r="F12099" s="626"/>
    </row>
    <row r="12100" spans="1:6">
      <c r="A12100" t="str">
        <f t="shared" si="189"/>
        <v/>
      </c>
      <c r="E12100" s="626"/>
      <c r="F12100" s="626"/>
    </row>
    <row r="12101" spans="1:6">
      <c r="A12101" t="str">
        <f t="shared" si="189"/>
        <v/>
      </c>
      <c r="E12101" s="626"/>
      <c r="F12101" s="626"/>
    </row>
    <row r="12102" spans="1:6">
      <c r="A12102" t="str">
        <f t="shared" si="189"/>
        <v/>
      </c>
      <c r="E12102" s="626"/>
      <c r="F12102" s="626"/>
    </row>
    <row r="12103" spans="1:6">
      <c r="A12103" t="str">
        <f t="shared" si="189"/>
        <v/>
      </c>
      <c r="E12103" s="626"/>
      <c r="F12103" s="626"/>
    </row>
    <row r="12104" spans="1:6">
      <c r="A12104" t="str">
        <f t="shared" si="189"/>
        <v/>
      </c>
      <c r="E12104" s="626"/>
      <c r="F12104" s="626"/>
    </row>
    <row r="12105" spans="1:6">
      <c r="A12105" t="str">
        <f t="shared" si="189"/>
        <v/>
      </c>
      <c r="E12105" s="626"/>
      <c r="F12105" s="626"/>
    </row>
    <row r="12106" spans="1:6">
      <c r="A12106" t="str">
        <f t="shared" si="189"/>
        <v/>
      </c>
      <c r="E12106" s="626"/>
      <c r="F12106" s="626"/>
    </row>
    <row r="12107" spans="1:6">
      <c r="A12107" t="str">
        <f t="shared" si="189"/>
        <v/>
      </c>
      <c r="E12107" s="626"/>
      <c r="F12107" s="626"/>
    </row>
    <row r="12108" spans="1:6">
      <c r="A12108" t="str">
        <f t="shared" si="189"/>
        <v/>
      </c>
      <c r="E12108" s="626"/>
      <c r="F12108" s="626"/>
    </row>
    <row r="12109" spans="1:6">
      <c r="A12109" t="str">
        <f t="shared" si="189"/>
        <v/>
      </c>
      <c r="E12109" s="626"/>
      <c r="F12109" s="626"/>
    </row>
    <row r="12110" spans="1:6">
      <c r="A12110" t="str">
        <f t="shared" si="189"/>
        <v/>
      </c>
      <c r="E12110" s="626"/>
      <c r="F12110" s="626"/>
    </row>
    <row r="12111" spans="1:6">
      <c r="A12111" t="str">
        <f t="shared" si="189"/>
        <v/>
      </c>
      <c r="E12111" s="626"/>
      <c r="F12111" s="626"/>
    </row>
    <row r="12112" spans="1:6">
      <c r="A12112" t="str">
        <f t="shared" si="189"/>
        <v/>
      </c>
      <c r="E12112" s="626"/>
      <c r="F12112" s="626"/>
    </row>
    <row r="12113" spans="1:6">
      <c r="A12113" t="str">
        <f t="shared" si="189"/>
        <v/>
      </c>
      <c r="E12113" s="626"/>
      <c r="F12113" s="626"/>
    </row>
    <row r="12114" spans="1:6">
      <c r="A12114" t="str">
        <f t="shared" si="189"/>
        <v/>
      </c>
      <c r="E12114" s="626"/>
      <c r="F12114" s="626"/>
    </row>
    <row r="12115" spans="1:6">
      <c r="A12115" t="str">
        <f t="shared" si="189"/>
        <v/>
      </c>
      <c r="E12115" s="626"/>
      <c r="F12115" s="626"/>
    </row>
    <row r="12116" spans="1:6">
      <c r="A12116" t="str">
        <f t="shared" si="189"/>
        <v/>
      </c>
      <c r="E12116" s="626"/>
      <c r="F12116" s="626"/>
    </row>
    <row r="12117" spans="1:6">
      <c r="A12117" t="str">
        <f t="shared" si="189"/>
        <v/>
      </c>
      <c r="E12117" s="626"/>
      <c r="F12117" s="626"/>
    </row>
    <row r="12118" spans="1:6">
      <c r="A12118" t="str">
        <f t="shared" si="189"/>
        <v/>
      </c>
      <c r="E12118" s="626"/>
      <c r="F12118" s="626"/>
    </row>
    <row r="12119" spans="1:6">
      <c r="A12119" t="str">
        <f t="shared" si="189"/>
        <v/>
      </c>
      <c r="E12119" s="626"/>
      <c r="F12119" s="626"/>
    </row>
    <row r="12120" spans="1:6">
      <c r="A12120" t="str">
        <f t="shared" si="189"/>
        <v/>
      </c>
      <c r="E12120" s="626"/>
      <c r="F12120" s="626"/>
    </row>
    <row r="12121" spans="1:6">
      <c r="A12121" t="str">
        <f t="shared" si="189"/>
        <v/>
      </c>
      <c r="E12121" s="626"/>
      <c r="F12121" s="626"/>
    </row>
    <row r="12122" spans="1:6">
      <c r="A12122" t="str">
        <f t="shared" si="189"/>
        <v/>
      </c>
      <c r="E12122" s="626"/>
      <c r="F12122" s="626"/>
    </row>
    <row r="12123" spans="1:6">
      <c r="A12123" t="str">
        <f t="shared" si="189"/>
        <v/>
      </c>
      <c r="E12123" s="626"/>
      <c r="F12123" s="626"/>
    </row>
    <row r="12124" spans="1:6">
      <c r="A12124" t="str">
        <f t="shared" si="189"/>
        <v/>
      </c>
      <c r="E12124" s="626"/>
      <c r="F12124" s="626"/>
    </row>
    <row r="12125" spans="1:6">
      <c r="A12125" t="str">
        <f t="shared" si="189"/>
        <v/>
      </c>
      <c r="E12125" s="626"/>
      <c r="F12125" s="626"/>
    </row>
    <row r="12126" spans="1:6">
      <c r="A12126" t="str">
        <f t="shared" si="189"/>
        <v/>
      </c>
      <c r="E12126" s="626"/>
      <c r="F12126" s="626"/>
    </row>
    <row r="12127" spans="1:6">
      <c r="A12127" t="str">
        <f t="shared" si="189"/>
        <v/>
      </c>
      <c r="E12127" s="626"/>
      <c r="F12127" s="626"/>
    </row>
    <row r="12128" spans="1:6">
      <c r="A12128" t="str">
        <f t="shared" si="189"/>
        <v/>
      </c>
      <c r="E12128" s="626"/>
      <c r="F12128" s="626"/>
    </row>
    <row r="12129" spans="1:6">
      <c r="A12129" t="str">
        <f t="shared" si="189"/>
        <v/>
      </c>
      <c r="E12129" s="626"/>
      <c r="F12129" s="626"/>
    </row>
    <row r="12130" spans="1:6">
      <c r="A12130" t="str">
        <f t="shared" si="189"/>
        <v/>
      </c>
      <c r="E12130" s="626"/>
      <c r="F12130" s="626"/>
    </row>
    <row r="12131" spans="1:6">
      <c r="A12131" t="str">
        <f t="shared" si="189"/>
        <v/>
      </c>
      <c r="E12131" s="626"/>
      <c r="F12131" s="626"/>
    </row>
    <row r="12132" spans="1:6">
      <c r="A12132" t="str">
        <f t="shared" si="189"/>
        <v/>
      </c>
      <c r="E12132" s="626"/>
      <c r="F12132" s="626"/>
    </row>
    <row r="12133" spans="1:6">
      <c r="A12133" t="str">
        <f t="shared" si="189"/>
        <v/>
      </c>
      <c r="E12133" s="626"/>
      <c r="F12133" s="626"/>
    </row>
    <row r="12134" spans="1:6">
      <c r="A12134" t="str">
        <f t="shared" si="189"/>
        <v/>
      </c>
      <c r="E12134" s="626"/>
      <c r="F12134" s="626"/>
    </row>
    <row r="12135" spans="1:6">
      <c r="A12135" t="str">
        <f t="shared" si="189"/>
        <v/>
      </c>
      <c r="E12135" s="626"/>
      <c r="F12135" s="626"/>
    </row>
    <row r="12136" spans="1:6">
      <c r="A12136" t="str">
        <f t="shared" si="189"/>
        <v/>
      </c>
      <c r="E12136" s="626"/>
      <c r="F12136" s="626"/>
    </row>
    <row r="12137" spans="1:6">
      <c r="A12137" t="str">
        <f t="shared" si="189"/>
        <v/>
      </c>
      <c r="E12137" s="626"/>
      <c r="F12137" s="626"/>
    </row>
    <row r="12138" spans="1:6">
      <c r="A12138" t="str">
        <f t="shared" si="189"/>
        <v/>
      </c>
      <c r="E12138" s="626"/>
      <c r="F12138" s="626"/>
    </row>
    <row r="12139" spans="1:6">
      <c r="A12139" t="str">
        <f t="shared" si="189"/>
        <v/>
      </c>
      <c r="E12139" s="626"/>
      <c r="F12139" s="626"/>
    </row>
    <row r="12140" spans="1:6">
      <c r="A12140" t="str">
        <f t="shared" si="189"/>
        <v/>
      </c>
      <c r="E12140" s="626"/>
      <c r="F12140" s="626"/>
    </row>
    <row r="12141" spans="1:6">
      <c r="A12141" t="str">
        <f t="shared" si="189"/>
        <v/>
      </c>
      <c r="E12141" s="626"/>
      <c r="F12141" s="626"/>
    </row>
    <row r="12142" spans="1:6">
      <c r="A12142" t="str">
        <f t="shared" si="189"/>
        <v/>
      </c>
      <c r="E12142" s="626"/>
      <c r="F12142" s="626"/>
    </row>
    <row r="12143" spans="1:6">
      <c r="A12143" t="str">
        <f t="shared" si="189"/>
        <v/>
      </c>
      <c r="E12143" s="626"/>
      <c r="F12143" s="626"/>
    </row>
    <row r="12144" spans="1:6">
      <c r="A12144" t="str">
        <f t="shared" si="189"/>
        <v/>
      </c>
      <c r="E12144" s="626"/>
      <c r="F12144" s="626"/>
    </row>
    <row r="12145" spans="1:6">
      <c r="A12145" t="str">
        <f t="shared" si="189"/>
        <v/>
      </c>
      <c r="E12145" s="626"/>
      <c r="F12145" s="626"/>
    </row>
    <row r="12146" spans="1:6">
      <c r="A12146" t="str">
        <f t="shared" si="189"/>
        <v/>
      </c>
      <c r="E12146" s="626"/>
      <c r="F12146" s="626"/>
    </row>
    <row r="12147" spans="1:6">
      <c r="A12147" t="str">
        <f t="shared" si="189"/>
        <v/>
      </c>
      <c r="E12147" s="626"/>
      <c r="F12147" s="626"/>
    </row>
    <row r="12148" spans="1:6">
      <c r="A12148" t="str">
        <f t="shared" si="189"/>
        <v/>
      </c>
      <c r="E12148" s="626"/>
      <c r="F12148" s="626"/>
    </row>
    <row r="12149" spans="1:6">
      <c r="A12149" t="str">
        <f t="shared" si="189"/>
        <v/>
      </c>
      <c r="E12149" s="626"/>
      <c r="F12149" s="626"/>
    </row>
    <row r="12150" spans="1:6">
      <c r="A12150" t="str">
        <f t="shared" si="189"/>
        <v/>
      </c>
      <c r="E12150" s="626"/>
      <c r="F12150" s="626"/>
    </row>
    <row r="12151" spans="1:6">
      <c r="A12151" t="str">
        <f t="shared" si="189"/>
        <v/>
      </c>
      <c r="E12151" s="626"/>
      <c r="F12151" s="626"/>
    </row>
    <row r="12152" spans="1:6">
      <c r="A12152" t="str">
        <f t="shared" si="189"/>
        <v/>
      </c>
      <c r="E12152" s="626"/>
      <c r="F12152" s="626"/>
    </row>
    <row r="12153" spans="1:6">
      <c r="A12153" t="str">
        <f t="shared" si="189"/>
        <v/>
      </c>
      <c r="E12153" s="626"/>
      <c r="F12153" s="626"/>
    </row>
    <row r="12154" spans="1:6">
      <c r="A12154" t="str">
        <f t="shared" si="189"/>
        <v/>
      </c>
      <c r="E12154" s="626"/>
      <c r="F12154" s="626"/>
    </row>
    <row r="12155" spans="1:6">
      <c r="A12155" t="str">
        <f t="shared" si="189"/>
        <v/>
      </c>
      <c r="E12155" s="626"/>
      <c r="F12155" s="626"/>
    </row>
    <row r="12156" spans="1:6">
      <c r="A12156" t="str">
        <f t="shared" si="189"/>
        <v/>
      </c>
      <c r="E12156" s="626"/>
      <c r="F12156" s="626"/>
    </row>
    <row r="12157" spans="1:6">
      <c r="A12157" t="str">
        <f t="shared" si="189"/>
        <v/>
      </c>
      <c r="E12157" s="626"/>
      <c r="F12157" s="626"/>
    </row>
    <row r="12158" spans="1:6">
      <c r="A12158" t="str">
        <f t="shared" si="189"/>
        <v/>
      </c>
      <c r="E12158" s="626"/>
      <c r="F12158" s="626"/>
    </row>
    <row r="12159" spans="1:6">
      <c r="A12159" t="str">
        <f t="shared" si="189"/>
        <v/>
      </c>
      <c r="E12159" s="626"/>
      <c r="F12159" s="626"/>
    </row>
    <row r="12160" spans="1:6">
      <c r="A12160" t="str">
        <f t="shared" si="189"/>
        <v/>
      </c>
      <c r="E12160" s="626"/>
      <c r="F12160" s="626"/>
    </row>
    <row r="12161" spans="1:6">
      <c r="A12161" t="str">
        <f t="shared" si="189"/>
        <v/>
      </c>
      <c r="E12161" s="626"/>
      <c r="F12161" s="626"/>
    </row>
    <row r="12162" spans="1:6">
      <c r="A12162" t="str">
        <f t="shared" ref="A12162:A12225" si="190">B12162&amp;E12162&amp;J12162</f>
        <v/>
      </c>
      <c r="E12162" s="626"/>
      <c r="F12162" s="626"/>
    </row>
    <row r="12163" spans="1:6">
      <c r="A12163" t="str">
        <f t="shared" si="190"/>
        <v/>
      </c>
      <c r="E12163" s="626"/>
      <c r="F12163" s="626"/>
    </row>
    <row r="12164" spans="1:6">
      <c r="A12164" t="str">
        <f t="shared" si="190"/>
        <v/>
      </c>
      <c r="E12164" s="626"/>
      <c r="F12164" s="626"/>
    </row>
    <row r="12165" spans="1:6">
      <c r="A12165" t="str">
        <f t="shared" si="190"/>
        <v/>
      </c>
      <c r="E12165" s="626"/>
      <c r="F12165" s="626"/>
    </row>
    <row r="12166" spans="1:6">
      <c r="A12166" t="str">
        <f t="shared" si="190"/>
        <v/>
      </c>
      <c r="E12166" s="626"/>
      <c r="F12166" s="626"/>
    </row>
    <row r="12167" spans="1:6">
      <c r="A12167" t="str">
        <f t="shared" si="190"/>
        <v/>
      </c>
      <c r="E12167" s="626"/>
      <c r="F12167" s="626"/>
    </row>
    <row r="12168" spans="1:6">
      <c r="A12168" t="str">
        <f t="shared" si="190"/>
        <v/>
      </c>
      <c r="E12168" s="626"/>
      <c r="F12168" s="626"/>
    </row>
    <row r="12169" spans="1:6">
      <c r="A12169" t="str">
        <f t="shared" si="190"/>
        <v/>
      </c>
      <c r="E12169" s="626"/>
      <c r="F12169" s="626"/>
    </row>
    <row r="12170" spans="1:6">
      <c r="A12170" t="str">
        <f t="shared" si="190"/>
        <v/>
      </c>
      <c r="E12170" s="626"/>
      <c r="F12170" s="626"/>
    </row>
    <row r="12171" spans="1:6">
      <c r="A12171" t="str">
        <f t="shared" si="190"/>
        <v/>
      </c>
      <c r="E12171" s="626"/>
      <c r="F12171" s="626"/>
    </row>
    <row r="12172" spans="1:6">
      <c r="A12172" t="str">
        <f t="shared" si="190"/>
        <v/>
      </c>
      <c r="E12172" s="626"/>
      <c r="F12172" s="626"/>
    </row>
    <row r="12173" spans="1:6">
      <c r="A12173" t="str">
        <f t="shared" si="190"/>
        <v/>
      </c>
      <c r="E12173" s="626"/>
      <c r="F12173" s="626"/>
    </row>
    <row r="12174" spans="1:6">
      <c r="A12174" t="str">
        <f t="shared" si="190"/>
        <v/>
      </c>
      <c r="E12174" s="626"/>
      <c r="F12174" s="626"/>
    </row>
    <row r="12175" spans="1:6">
      <c r="A12175" t="str">
        <f t="shared" si="190"/>
        <v/>
      </c>
      <c r="E12175" s="626"/>
      <c r="F12175" s="626"/>
    </row>
    <row r="12176" spans="1:6">
      <c r="A12176" t="str">
        <f t="shared" si="190"/>
        <v/>
      </c>
      <c r="E12176" s="626"/>
      <c r="F12176" s="626"/>
    </row>
    <row r="12177" spans="1:6">
      <c r="A12177" t="str">
        <f t="shared" si="190"/>
        <v/>
      </c>
      <c r="E12177" s="626"/>
      <c r="F12177" s="626"/>
    </row>
    <row r="12178" spans="1:6">
      <c r="A12178" t="str">
        <f t="shared" si="190"/>
        <v/>
      </c>
      <c r="E12178" s="626"/>
      <c r="F12178" s="626"/>
    </row>
    <row r="12179" spans="1:6">
      <c r="A12179" t="str">
        <f t="shared" si="190"/>
        <v/>
      </c>
      <c r="E12179" s="626"/>
      <c r="F12179" s="626"/>
    </row>
    <row r="12180" spans="1:6">
      <c r="A12180" t="str">
        <f t="shared" si="190"/>
        <v/>
      </c>
      <c r="E12180" s="626"/>
      <c r="F12180" s="626"/>
    </row>
    <row r="12181" spans="1:6">
      <c r="A12181" t="str">
        <f t="shared" si="190"/>
        <v/>
      </c>
      <c r="E12181" s="626"/>
      <c r="F12181" s="626"/>
    </row>
    <row r="12182" spans="1:6">
      <c r="A12182" t="str">
        <f t="shared" si="190"/>
        <v/>
      </c>
      <c r="E12182" s="626"/>
      <c r="F12182" s="626"/>
    </row>
    <row r="12183" spans="1:6">
      <c r="A12183" t="str">
        <f t="shared" si="190"/>
        <v/>
      </c>
      <c r="E12183" s="626"/>
      <c r="F12183" s="626"/>
    </row>
    <row r="12184" spans="1:6">
      <c r="A12184" t="str">
        <f t="shared" si="190"/>
        <v/>
      </c>
      <c r="E12184" s="626"/>
      <c r="F12184" s="626"/>
    </row>
    <row r="12185" spans="1:6">
      <c r="A12185" t="str">
        <f t="shared" si="190"/>
        <v/>
      </c>
      <c r="E12185" s="626"/>
      <c r="F12185" s="626"/>
    </row>
    <row r="12186" spans="1:6">
      <c r="A12186" t="str">
        <f t="shared" si="190"/>
        <v/>
      </c>
      <c r="E12186" s="626"/>
      <c r="F12186" s="626"/>
    </row>
    <row r="12187" spans="1:6">
      <c r="A12187" t="str">
        <f t="shared" si="190"/>
        <v/>
      </c>
      <c r="E12187" s="626"/>
      <c r="F12187" s="626"/>
    </row>
    <row r="12188" spans="1:6">
      <c r="A12188" t="str">
        <f t="shared" si="190"/>
        <v/>
      </c>
      <c r="E12188" s="626"/>
      <c r="F12188" s="626"/>
    </row>
    <row r="12189" spans="1:6">
      <c r="A12189" t="str">
        <f t="shared" si="190"/>
        <v/>
      </c>
      <c r="E12189" s="626"/>
      <c r="F12189" s="626"/>
    </row>
    <row r="12190" spans="1:6">
      <c r="A12190" t="str">
        <f t="shared" si="190"/>
        <v/>
      </c>
      <c r="E12190" s="626"/>
      <c r="F12190" s="626"/>
    </row>
    <row r="12191" spans="1:6">
      <c r="A12191" t="str">
        <f t="shared" si="190"/>
        <v/>
      </c>
      <c r="E12191" s="626"/>
      <c r="F12191" s="626"/>
    </row>
    <row r="12192" spans="1:6">
      <c r="A12192" t="str">
        <f t="shared" si="190"/>
        <v/>
      </c>
      <c r="E12192" s="626"/>
      <c r="F12192" s="626"/>
    </row>
    <row r="12193" spans="1:6">
      <c r="A12193" t="str">
        <f t="shared" si="190"/>
        <v/>
      </c>
      <c r="E12193" s="626"/>
      <c r="F12193" s="626"/>
    </row>
    <row r="12194" spans="1:6">
      <c r="A12194" t="str">
        <f t="shared" si="190"/>
        <v/>
      </c>
      <c r="E12194" s="626"/>
      <c r="F12194" s="626"/>
    </row>
    <row r="12195" spans="1:6">
      <c r="A12195" t="str">
        <f t="shared" si="190"/>
        <v/>
      </c>
      <c r="E12195" s="626"/>
      <c r="F12195" s="626"/>
    </row>
    <row r="12196" spans="1:6">
      <c r="A12196" t="str">
        <f t="shared" si="190"/>
        <v/>
      </c>
      <c r="E12196" s="626"/>
      <c r="F12196" s="626"/>
    </row>
    <row r="12197" spans="1:6">
      <c r="A12197" t="str">
        <f t="shared" si="190"/>
        <v/>
      </c>
      <c r="E12197" s="626"/>
      <c r="F12197" s="626"/>
    </row>
    <row r="12198" spans="1:6">
      <c r="A12198" t="str">
        <f t="shared" si="190"/>
        <v/>
      </c>
      <c r="E12198" s="626"/>
      <c r="F12198" s="626"/>
    </row>
    <row r="12199" spans="1:6">
      <c r="A12199" t="str">
        <f t="shared" si="190"/>
        <v/>
      </c>
      <c r="E12199" s="626"/>
      <c r="F12199" s="626"/>
    </row>
    <row r="12200" spans="1:6">
      <c r="A12200" t="str">
        <f t="shared" si="190"/>
        <v/>
      </c>
      <c r="E12200" s="626"/>
      <c r="F12200" s="626"/>
    </row>
    <row r="12201" spans="1:6">
      <c r="A12201" t="str">
        <f t="shared" si="190"/>
        <v/>
      </c>
      <c r="E12201" s="626"/>
      <c r="F12201" s="626"/>
    </row>
    <row r="12202" spans="1:6">
      <c r="A12202" t="str">
        <f t="shared" si="190"/>
        <v/>
      </c>
      <c r="E12202" s="626"/>
      <c r="F12202" s="626"/>
    </row>
    <row r="12203" spans="1:6">
      <c r="A12203" t="str">
        <f t="shared" si="190"/>
        <v/>
      </c>
      <c r="E12203" s="626"/>
      <c r="F12203" s="626"/>
    </row>
    <row r="12204" spans="1:6">
      <c r="A12204" t="str">
        <f t="shared" si="190"/>
        <v/>
      </c>
      <c r="E12204" s="626"/>
      <c r="F12204" s="626"/>
    </row>
    <row r="12205" spans="1:6">
      <c r="A12205" t="str">
        <f t="shared" si="190"/>
        <v/>
      </c>
      <c r="E12205" s="626"/>
      <c r="F12205" s="626"/>
    </row>
    <row r="12206" spans="1:6">
      <c r="A12206" t="str">
        <f t="shared" si="190"/>
        <v/>
      </c>
      <c r="E12206" s="626"/>
      <c r="F12206" s="626"/>
    </row>
    <row r="12207" spans="1:6">
      <c r="A12207" t="str">
        <f t="shared" si="190"/>
        <v/>
      </c>
      <c r="E12207" s="626"/>
      <c r="F12207" s="626"/>
    </row>
    <row r="12208" spans="1:6">
      <c r="A12208" t="str">
        <f t="shared" si="190"/>
        <v/>
      </c>
      <c r="E12208" s="626"/>
      <c r="F12208" s="626"/>
    </row>
    <row r="12209" spans="1:6">
      <c r="A12209" t="str">
        <f t="shared" si="190"/>
        <v/>
      </c>
      <c r="E12209" s="626"/>
      <c r="F12209" s="626"/>
    </row>
    <row r="12210" spans="1:6">
      <c r="A12210" t="str">
        <f t="shared" si="190"/>
        <v/>
      </c>
      <c r="E12210" s="626"/>
      <c r="F12210" s="626"/>
    </row>
    <row r="12211" spans="1:6">
      <c r="A12211" t="str">
        <f t="shared" si="190"/>
        <v/>
      </c>
      <c r="E12211" s="626"/>
      <c r="F12211" s="626"/>
    </row>
    <row r="12212" spans="1:6">
      <c r="A12212" t="str">
        <f t="shared" si="190"/>
        <v/>
      </c>
      <c r="E12212" s="626"/>
      <c r="F12212" s="626"/>
    </row>
    <row r="12213" spans="1:6">
      <c r="A12213" t="str">
        <f t="shared" si="190"/>
        <v/>
      </c>
      <c r="E12213" s="626"/>
      <c r="F12213" s="626"/>
    </row>
    <row r="12214" spans="1:6">
      <c r="A12214" t="str">
        <f t="shared" si="190"/>
        <v/>
      </c>
      <c r="E12214" s="626"/>
      <c r="F12214" s="626"/>
    </row>
    <row r="12215" spans="1:6">
      <c r="A12215" t="str">
        <f t="shared" si="190"/>
        <v/>
      </c>
      <c r="E12215" s="626"/>
      <c r="F12215" s="626"/>
    </row>
    <row r="12216" spans="1:6">
      <c r="A12216" t="str">
        <f t="shared" si="190"/>
        <v/>
      </c>
      <c r="E12216" s="626"/>
      <c r="F12216" s="626"/>
    </row>
    <row r="12217" spans="1:6">
      <c r="A12217" t="str">
        <f t="shared" si="190"/>
        <v/>
      </c>
      <c r="E12217" s="626"/>
      <c r="F12217" s="626"/>
    </row>
    <row r="12218" spans="1:6">
      <c r="A12218" t="str">
        <f t="shared" si="190"/>
        <v/>
      </c>
      <c r="E12218" s="626"/>
      <c r="F12218" s="626"/>
    </row>
    <row r="12219" spans="1:6">
      <c r="A12219" t="str">
        <f t="shared" si="190"/>
        <v/>
      </c>
      <c r="E12219" s="626"/>
      <c r="F12219" s="626"/>
    </row>
    <row r="12220" spans="1:6">
      <c r="A12220" t="str">
        <f t="shared" si="190"/>
        <v/>
      </c>
      <c r="E12220" s="626"/>
      <c r="F12220" s="626"/>
    </row>
    <row r="12221" spans="1:6">
      <c r="A12221" t="str">
        <f t="shared" si="190"/>
        <v/>
      </c>
      <c r="E12221" s="626"/>
      <c r="F12221" s="626"/>
    </row>
    <row r="12222" spans="1:6">
      <c r="A12222" t="str">
        <f t="shared" si="190"/>
        <v/>
      </c>
      <c r="E12222" s="626"/>
      <c r="F12222" s="626"/>
    </row>
    <row r="12223" spans="1:6">
      <c r="A12223" t="str">
        <f t="shared" si="190"/>
        <v/>
      </c>
      <c r="E12223" s="626"/>
      <c r="F12223" s="626"/>
    </row>
    <row r="12224" spans="1:6">
      <c r="A12224" t="str">
        <f t="shared" si="190"/>
        <v/>
      </c>
      <c r="E12224" s="626"/>
      <c r="F12224" s="626"/>
    </row>
    <row r="12225" spans="1:6">
      <c r="A12225" t="str">
        <f t="shared" si="190"/>
        <v/>
      </c>
      <c r="E12225" s="626"/>
      <c r="F12225" s="626"/>
    </row>
    <row r="12226" spans="1:6">
      <c r="A12226" t="str">
        <f t="shared" ref="A12226:A12289" si="191">B12226&amp;E12226&amp;J12226</f>
        <v/>
      </c>
      <c r="E12226" s="626"/>
      <c r="F12226" s="626"/>
    </row>
    <row r="12227" spans="1:6">
      <c r="A12227" t="str">
        <f t="shared" si="191"/>
        <v/>
      </c>
      <c r="E12227" s="626"/>
      <c r="F12227" s="626"/>
    </row>
    <row r="12228" spans="1:6">
      <c r="A12228" t="str">
        <f t="shared" si="191"/>
        <v/>
      </c>
      <c r="E12228" s="626"/>
      <c r="F12228" s="626"/>
    </row>
    <row r="12229" spans="1:6">
      <c r="A12229" t="str">
        <f t="shared" si="191"/>
        <v/>
      </c>
      <c r="E12229" s="626"/>
      <c r="F12229" s="626"/>
    </row>
    <row r="12230" spans="1:6">
      <c r="A12230" t="str">
        <f t="shared" si="191"/>
        <v/>
      </c>
      <c r="E12230" s="626"/>
      <c r="F12230" s="626"/>
    </row>
    <row r="12231" spans="1:6">
      <c r="A12231" t="str">
        <f t="shared" si="191"/>
        <v/>
      </c>
      <c r="E12231" s="626"/>
      <c r="F12231" s="626"/>
    </row>
    <row r="12232" spans="1:6">
      <c r="A12232" t="str">
        <f t="shared" si="191"/>
        <v/>
      </c>
      <c r="E12232" s="626"/>
      <c r="F12232" s="626"/>
    </row>
    <row r="12233" spans="1:6">
      <c r="A12233" t="str">
        <f t="shared" si="191"/>
        <v/>
      </c>
      <c r="E12233" s="626"/>
      <c r="F12233" s="626"/>
    </row>
    <row r="12234" spans="1:6">
      <c r="A12234" t="str">
        <f t="shared" si="191"/>
        <v/>
      </c>
      <c r="E12234" s="626"/>
      <c r="F12234" s="626"/>
    </row>
    <row r="12235" spans="1:6">
      <c r="A12235" t="str">
        <f t="shared" si="191"/>
        <v/>
      </c>
      <c r="E12235" s="626"/>
      <c r="F12235" s="626"/>
    </row>
    <row r="12236" spans="1:6">
      <c r="A12236" t="str">
        <f t="shared" si="191"/>
        <v/>
      </c>
      <c r="E12236" s="626"/>
      <c r="F12236" s="626"/>
    </row>
    <row r="12237" spans="1:6">
      <c r="A12237" t="str">
        <f t="shared" si="191"/>
        <v/>
      </c>
      <c r="E12237" s="626"/>
      <c r="F12237" s="626"/>
    </row>
    <row r="12238" spans="1:6">
      <c r="A12238" t="str">
        <f t="shared" si="191"/>
        <v/>
      </c>
      <c r="E12238" s="626"/>
      <c r="F12238" s="626"/>
    </row>
    <row r="12239" spans="1:6">
      <c r="A12239" t="str">
        <f t="shared" si="191"/>
        <v/>
      </c>
      <c r="E12239" s="626"/>
      <c r="F12239" s="626"/>
    </row>
    <row r="12240" spans="1:6">
      <c r="A12240" t="str">
        <f t="shared" si="191"/>
        <v/>
      </c>
      <c r="E12240" s="626"/>
      <c r="F12240" s="626"/>
    </row>
    <row r="12241" spans="1:6">
      <c r="A12241" t="str">
        <f t="shared" si="191"/>
        <v/>
      </c>
      <c r="E12241" s="626"/>
      <c r="F12241" s="626"/>
    </row>
    <row r="12242" spans="1:6">
      <c r="A12242" t="str">
        <f t="shared" si="191"/>
        <v/>
      </c>
      <c r="E12242" s="626"/>
      <c r="F12242" s="626"/>
    </row>
    <row r="12243" spans="1:6">
      <c r="A12243" t="str">
        <f t="shared" si="191"/>
        <v/>
      </c>
      <c r="E12243" s="626"/>
      <c r="F12243" s="626"/>
    </row>
    <row r="12244" spans="1:6">
      <c r="A12244" t="str">
        <f t="shared" si="191"/>
        <v/>
      </c>
      <c r="E12244" s="626"/>
      <c r="F12244" s="626"/>
    </row>
    <row r="12245" spans="1:6">
      <c r="A12245" t="str">
        <f t="shared" si="191"/>
        <v/>
      </c>
      <c r="E12245" s="626"/>
      <c r="F12245" s="626"/>
    </row>
    <row r="12246" spans="1:6">
      <c r="A12246" t="str">
        <f t="shared" si="191"/>
        <v/>
      </c>
      <c r="E12246" s="626"/>
      <c r="F12246" s="626"/>
    </row>
    <row r="12247" spans="1:6">
      <c r="A12247" t="str">
        <f t="shared" si="191"/>
        <v/>
      </c>
      <c r="E12247" s="626"/>
      <c r="F12247" s="626"/>
    </row>
    <row r="12248" spans="1:6">
      <c r="A12248" t="str">
        <f t="shared" si="191"/>
        <v/>
      </c>
      <c r="E12248" s="626"/>
      <c r="F12248" s="626"/>
    </row>
    <row r="12249" spans="1:6">
      <c r="A12249" t="str">
        <f t="shared" si="191"/>
        <v/>
      </c>
      <c r="E12249" s="626"/>
      <c r="F12249" s="626"/>
    </row>
    <row r="12250" spans="1:6">
      <c r="A12250" t="str">
        <f t="shared" si="191"/>
        <v/>
      </c>
      <c r="E12250" s="626"/>
      <c r="F12250" s="626"/>
    </row>
    <row r="12251" spans="1:6">
      <c r="A12251" t="str">
        <f t="shared" si="191"/>
        <v/>
      </c>
      <c r="E12251" s="626"/>
      <c r="F12251" s="626"/>
    </row>
    <row r="12252" spans="1:6">
      <c r="A12252" t="str">
        <f t="shared" si="191"/>
        <v/>
      </c>
      <c r="E12252" s="626"/>
      <c r="F12252" s="626"/>
    </row>
    <row r="12253" spans="1:6">
      <c r="A12253" t="str">
        <f t="shared" si="191"/>
        <v/>
      </c>
      <c r="E12253" s="626"/>
      <c r="F12253" s="626"/>
    </row>
    <row r="12254" spans="1:6">
      <c r="A12254" t="str">
        <f t="shared" si="191"/>
        <v/>
      </c>
      <c r="E12254" s="626"/>
      <c r="F12254" s="626"/>
    </row>
    <row r="12255" spans="1:6">
      <c r="A12255" t="str">
        <f t="shared" si="191"/>
        <v/>
      </c>
      <c r="E12255" s="626"/>
      <c r="F12255" s="626"/>
    </row>
    <row r="12256" spans="1:6">
      <c r="A12256" t="str">
        <f t="shared" si="191"/>
        <v/>
      </c>
      <c r="E12256" s="626"/>
      <c r="F12256" s="626"/>
    </row>
    <row r="12257" spans="1:6">
      <c r="A12257" t="str">
        <f t="shared" si="191"/>
        <v/>
      </c>
      <c r="E12257" s="626"/>
      <c r="F12257" s="626"/>
    </row>
    <row r="12258" spans="1:6">
      <c r="A12258" t="str">
        <f t="shared" si="191"/>
        <v/>
      </c>
      <c r="E12258" s="626"/>
      <c r="F12258" s="626"/>
    </row>
    <row r="12259" spans="1:6">
      <c r="A12259" t="str">
        <f t="shared" si="191"/>
        <v/>
      </c>
      <c r="E12259" s="626"/>
      <c r="F12259" s="626"/>
    </row>
    <row r="12260" spans="1:6">
      <c r="A12260" t="str">
        <f t="shared" si="191"/>
        <v/>
      </c>
      <c r="E12260" s="626"/>
      <c r="F12260" s="626"/>
    </row>
    <row r="12261" spans="1:6">
      <c r="A12261" t="str">
        <f t="shared" si="191"/>
        <v/>
      </c>
      <c r="E12261" s="626"/>
      <c r="F12261" s="626"/>
    </row>
    <row r="12262" spans="1:6">
      <c r="A12262" t="str">
        <f t="shared" si="191"/>
        <v/>
      </c>
      <c r="E12262" s="626"/>
      <c r="F12262" s="626"/>
    </row>
    <row r="12263" spans="1:6">
      <c r="A12263" t="str">
        <f t="shared" si="191"/>
        <v/>
      </c>
      <c r="E12263" s="626"/>
      <c r="F12263" s="626"/>
    </row>
    <row r="12264" spans="1:6">
      <c r="A12264" t="str">
        <f t="shared" si="191"/>
        <v/>
      </c>
      <c r="E12264" s="626"/>
      <c r="F12264" s="626"/>
    </row>
    <row r="12265" spans="1:6">
      <c r="A12265" t="str">
        <f t="shared" si="191"/>
        <v/>
      </c>
      <c r="E12265" s="626"/>
      <c r="F12265" s="626"/>
    </row>
    <row r="12266" spans="1:6">
      <c r="A12266" t="str">
        <f t="shared" si="191"/>
        <v/>
      </c>
      <c r="E12266" s="626"/>
      <c r="F12266" s="626"/>
    </row>
    <row r="12267" spans="1:6">
      <c r="A12267" t="str">
        <f t="shared" si="191"/>
        <v/>
      </c>
      <c r="E12267" s="626"/>
      <c r="F12267" s="626"/>
    </row>
    <row r="12268" spans="1:6">
      <c r="A12268" t="str">
        <f t="shared" si="191"/>
        <v/>
      </c>
      <c r="E12268" s="626"/>
      <c r="F12268" s="626"/>
    </row>
    <row r="12269" spans="1:6">
      <c r="A12269" t="str">
        <f t="shared" si="191"/>
        <v/>
      </c>
      <c r="E12269" s="626"/>
      <c r="F12269" s="626"/>
    </row>
    <row r="12270" spans="1:6">
      <c r="A12270" t="str">
        <f t="shared" si="191"/>
        <v/>
      </c>
      <c r="E12270" s="626"/>
      <c r="F12270" s="626"/>
    </row>
    <row r="12271" spans="1:6">
      <c r="A12271" t="str">
        <f t="shared" si="191"/>
        <v/>
      </c>
      <c r="E12271" s="626"/>
      <c r="F12271" s="626"/>
    </row>
    <row r="12272" spans="1:6">
      <c r="A12272" t="str">
        <f t="shared" si="191"/>
        <v/>
      </c>
      <c r="E12272" s="626"/>
      <c r="F12272" s="626"/>
    </row>
    <row r="12273" spans="1:6">
      <c r="A12273" t="str">
        <f t="shared" si="191"/>
        <v/>
      </c>
      <c r="E12273" s="626"/>
      <c r="F12273" s="626"/>
    </row>
    <row r="12274" spans="1:6">
      <c r="A12274" t="str">
        <f t="shared" si="191"/>
        <v/>
      </c>
      <c r="E12274" s="626"/>
      <c r="F12274" s="626"/>
    </row>
    <row r="12275" spans="1:6">
      <c r="A12275" t="str">
        <f t="shared" si="191"/>
        <v/>
      </c>
      <c r="E12275" s="626"/>
      <c r="F12275" s="626"/>
    </row>
    <row r="12276" spans="1:6">
      <c r="A12276" t="str">
        <f t="shared" si="191"/>
        <v/>
      </c>
      <c r="E12276" s="626"/>
      <c r="F12276" s="626"/>
    </row>
    <row r="12277" spans="1:6">
      <c r="A12277" t="str">
        <f t="shared" si="191"/>
        <v/>
      </c>
      <c r="E12277" s="626"/>
      <c r="F12277" s="626"/>
    </row>
    <row r="12278" spans="1:6">
      <c r="A12278" t="str">
        <f t="shared" si="191"/>
        <v/>
      </c>
      <c r="E12278" s="626"/>
      <c r="F12278" s="626"/>
    </row>
    <row r="12279" spans="1:6">
      <c r="A12279" t="str">
        <f t="shared" si="191"/>
        <v/>
      </c>
      <c r="E12279" s="626"/>
      <c r="F12279" s="626"/>
    </row>
    <row r="12280" spans="1:6">
      <c r="A12280" t="str">
        <f t="shared" si="191"/>
        <v/>
      </c>
      <c r="E12280" s="626"/>
      <c r="F12280" s="626"/>
    </row>
    <row r="12281" spans="1:6">
      <c r="A12281" t="str">
        <f t="shared" si="191"/>
        <v/>
      </c>
      <c r="E12281" s="626"/>
      <c r="F12281" s="626"/>
    </row>
    <row r="12282" spans="1:6">
      <c r="A12282" t="str">
        <f t="shared" si="191"/>
        <v/>
      </c>
      <c r="E12282" s="626"/>
      <c r="F12282" s="626"/>
    </row>
    <row r="12283" spans="1:6">
      <c r="A12283" t="str">
        <f t="shared" si="191"/>
        <v/>
      </c>
      <c r="E12283" s="626"/>
      <c r="F12283" s="626"/>
    </row>
    <row r="12284" spans="1:6">
      <c r="A12284" t="str">
        <f t="shared" si="191"/>
        <v/>
      </c>
      <c r="E12284" s="626"/>
      <c r="F12284" s="626"/>
    </row>
    <row r="12285" spans="1:6">
      <c r="A12285" t="str">
        <f t="shared" si="191"/>
        <v/>
      </c>
      <c r="E12285" s="626"/>
      <c r="F12285" s="626"/>
    </row>
    <row r="12286" spans="1:6">
      <c r="A12286" t="str">
        <f t="shared" si="191"/>
        <v/>
      </c>
      <c r="E12286" s="626"/>
      <c r="F12286" s="626"/>
    </row>
    <row r="12287" spans="1:6">
      <c r="A12287" t="str">
        <f t="shared" si="191"/>
        <v/>
      </c>
      <c r="E12287" s="626"/>
      <c r="F12287" s="626"/>
    </row>
    <row r="12288" spans="1:6">
      <c r="A12288" t="str">
        <f t="shared" si="191"/>
        <v/>
      </c>
      <c r="E12288" s="626"/>
      <c r="F12288" s="626"/>
    </row>
    <row r="12289" spans="1:6">
      <c r="A12289" t="str">
        <f t="shared" si="191"/>
        <v/>
      </c>
      <c r="E12289" s="626"/>
      <c r="F12289" s="626"/>
    </row>
    <row r="12290" spans="1:6">
      <c r="A12290" t="str">
        <f t="shared" ref="A12290:A12353" si="192">B12290&amp;E12290&amp;J12290</f>
        <v/>
      </c>
      <c r="E12290" s="626"/>
      <c r="F12290" s="626"/>
    </row>
    <row r="12291" spans="1:6">
      <c r="A12291" t="str">
        <f t="shared" si="192"/>
        <v/>
      </c>
      <c r="E12291" s="626"/>
      <c r="F12291" s="626"/>
    </row>
    <row r="12292" spans="1:6">
      <c r="A12292" t="str">
        <f t="shared" si="192"/>
        <v/>
      </c>
      <c r="E12292" s="626"/>
      <c r="F12292" s="626"/>
    </row>
    <row r="12293" spans="1:6">
      <c r="A12293" t="str">
        <f t="shared" si="192"/>
        <v/>
      </c>
      <c r="E12293" s="626"/>
      <c r="F12293" s="626"/>
    </row>
    <row r="12294" spans="1:6">
      <c r="A12294" t="str">
        <f t="shared" si="192"/>
        <v/>
      </c>
      <c r="E12294" s="626"/>
      <c r="F12294" s="626"/>
    </row>
    <row r="12295" spans="1:6">
      <c r="A12295" t="str">
        <f t="shared" si="192"/>
        <v/>
      </c>
      <c r="E12295" s="626"/>
      <c r="F12295" s="626"/>
    </row>
    <row r="12296" spans="1:6">
      <c r="A12296" t="str">
        <f t="shared" si="192"/>
        <v/>
      </c>
      <c r="E12296" s="626"/>
      <c r="F12296" s="626"/>
    </row>
    <row r="12297" spans="1:6">
      <c r="A12297" t="str">
        <f t="shared" si="192"/>
        <v/>
      </c>
      <c r="E12297" s="626"/>
      <c r="F12297" s="626"/>
    </row>
    <row r="12298" spans="1:6">
      <c r="A12298" t="str">
        <f t="shared" si="192"/>
        <v/>
      </c>
      <c r="E12298" s="626"/>
      <c r="F12298" s="626"/>
    </row>
    <row r="12299" spans="1:6">
      <c r="A12299" t="str">
        <f t="shared" si="192"/>
        <v/>
      </c>
      <c r="E12299" s="626"/>
      <c r="F12299" s="626"/>
    </row>
    <row r="12300" spans="1:6">
      <c r="A12300" t="str">
        <f t="shared" si="192"/>
        <v/>
      </c>
      <c r="E12300" s="626"/>
      <c r="F12300" s="626"/>
    </row>
    <row r="12301" spans="1:6">
      <c r="A12301" t="str">
        <f t="shared" si="192"/>
        <v/>
      </c>
      <c r="E12301" s="626"/>
      <c r="F12301" s="626"/>
    </row>
    <row r="12302" spans="1:6">
      <c r="A12302" t="str">
        <f t="shared" si="192"/>
        <v/>
      </c>
      <c r="E12302" s="626"/>
      <c r="F12302" s="626"/>
    </row>
    <row r="12303" spans="1:6">
      <c r="A12303" t="str">
        <f t="shared" si="192"/>
        <v/>
      </c>
      <c r="E12303" s="626"/>
      <c r="F12303" s="626"/>
    </row>
    <row r="12304" spans="1:6">
      <c r="A12304" t="str">
        <f t="shared" si="192"/>
        <v/>
      </c>
      <c r="E12304" s="626"/>
      <c r="F12304" s="626"/>
    </row>
    <row r="12305" spans="1:6">
      <c r="A12305" t="str">
        <f t="shared" si="192"/>
        <v/>
      </c>
      <c r="E12305" s="626"/>
      <c r="F12305" s="626"/>
    </row>
    <row r="12306" spans="1:6">
      <c r="A12306" t="str">
        <f t="shared" si="192"/>
        <v/>
      </c>
      <c r="E12306" s="626"/>
      <c r="F12306" s="626"/>
    </row>
    <row r="12307" spans="1:6">
      <c r="A12307" t="str">
        <f t="shared" si="192"/>
        <v/>
      </c>
      <c r="E12307" s="626"/>
      <c r="F12307" s="626"/>
    </row>
    <row r="12308" spans="1:6">
      <c r="A12308" t="str">
        <f t="shared" si="192"/>
        <v/>
      </c>
      <c r="E12308" s="626"/>
      <c r="F12308" s="626"/>
    </row>
    <row r="12309" spans="1:6">
      <c r="A12309" t="str">
        <f t="shared" si="192"/>
        <v/>
      </c>
      <c r="E12309" s="626"/>
      <c r="F12309" s="626"/>
    </row>
    <row r="12310" spans="1:6">
      <c r="A12310" t="str">
        <f t="shared" si="192"/>
        <v/>
      </c>
      <c r="E12310" s="626"/>
      <c r="F12310" s="626"/>
    </row>
    <row r="12311" spans="1:6">
      <c r="A12311" t="str">
        <f t="shared" si="192"/>
        <v/>
      </c>
      <c r="E12311" s="626"/>
      <c r="F12311" s="626"/>
    </row>
    <row r="12312" spans="1:6">
      <c r="A12312" t="str">
        <f t="shared" si="192"/>
        <v/>
      </c>
      <c r="E12312" s="626"/>
      <c r="F12312" s="626"/>
    </row>
    <row r="12313" spans="1:6">
      <c r="A12313" t="str">
        <f t="shared" si="192"/>
        <v/>
      </c>
      <c r="E12313" s="626"/>
      <c r="F12313" s="626"/>
    </row>
    <row r="12314" spans="1:6">
      <c r="A12314" t="str">
        <f t="shared" si="192"/>
        <v/>
      </c>
      <c r="E12314" s="626"/>
      <c r="F12314" s="626"/>
    </row>
    <row r="12315" spans="1:6">
      <c r="A12315" t="str">
        <f t="shared" si="192"/>
        <v/>
      </c>
      <c r="E12315" s="626"/>
      <c r="F12315" s="626"/>
    </row>
    <row r="12316" spans="1:6">
      <c r="A12316" t="str">
        <f t="shared" si="192"/>
        <v/>
      </c>
      <c r="E12316" s="626"/>
      <c r="F12316" s="626"/>
    </row>
    <row r="12317" spans="1:6">
      <c r="A12317" t="str">
        <f t="shared" si="192"/>
        <v/>
      </c>
      <c r="E12317" s="626"/>
      <c r="F12317" s="626"/>
    </row>
    <row r="12318" spans="1:6">
      <c r="A12318" t="str">
        <f t="shared" si="192"/>
        <v/>
      </c>
      <c r="E12318" s="626"/>
      <c r="F12318" s="626"/>
    </row>
    <row r="12319" spans="1:6">
      <c r="A12319" t="str">
        <f t="shared" si="192"/>
        <v/>
      </c>
      <c r="E12319" s="626"/>
      <c r="F12319" s="626"/>
    </row>
    <row r="12320" spans="1:6">
      <c r="A12320" t="str">
        <f t="shared" si="192"/>
        <v/>
      </c>
      <c r="E12320" s="626"/>
      <c r="F12320" s="626"/>
    </row>
    <row r="12321" spans="1:6">
      <c r="A12321" t="str">
        <f t="shared" si="192"/>
        <v/>
      </c>
      <c r="E12321" s="626"/>
      <c r="F12321" s="626"/>
    </row>
    <row r="12322" spans="1:6">
      <c r="A12322" t="str">
        <f t="shared" si="192"/>
        <v/>
      </c>
      <c r="E12322" s="626"/>
      <c r="F12322" s="626"/>
    </row>
    <row r="12323" spans="1:6">
      <c r="A12323" t="str">
        <f t="shared" si="192"/>
        <v/>
      </c>
      <c r="E12323" s="626"/>
      <c r="F12323" s="626"/>
    </row>
    <row r="12324" spans="1:6">
      <c r="A12324" t="str">
        <f t="shared" si="192"/>
        <v/>
      </c>
      <c r="E12324" s="626"/>
      <c r="F12324" s="626"/>
    </row>
    <row r="12325" spans="1:6">
      <c r="A12325" t="str">
        <f t="shared" si="192"/>
        <v/>
      </c>
      <c r="E12325" s="626"/>
      <c r="F12325" s="626"/>
    </row>
    <row r="12326" spans="1:6">
      <c r="A12326" t="str">
        <f t="shared" si="192"/>
        <v/>
      </c>
      <c r="E12326" s="626"/>
      <c r="F12326" s="626"/>
    </row>
    <row r="12327" spans="1:6">
      <c r="A12327" t="str">
        <f t="shared" si="192"/>
        <v/>
      </c>
      <c r="E12327" s="626"/>
      <c r="F12327" s="626"/>
    </row>
    <row r="12328" spans="1:6">
      <c r="A12328" t="str">
        <f t="shared" si="192"/>
        <v/>
      </c>
      <c r="E12328" s="626"/>
      <c r="F12328" s="626"/>
    </row>
    <row r="12329" spans="1:6">
      <c r="A12329" t="str">
        <f t="shared" si="192"/>
        <v/>
      </c>
      <c r="E12329" s="626"/>
      <c r="F12329" s="626"/>
    </row>
    <row r="12330" spans="1:6">
      <c r="A12330" t="str">
        <f t="shared" si="192"/>
        <v/>
      </c>
      <c r="E12330" s="626"/>
      <c r="F12330" s="626"/>
    </row>
    <row r="12331" spans="1:6">
      <c r="A12331" t="str">
        <f t="shared" si="192"/>
        <v/>
      </c>
      <c r="E12331" s="626"/>
      <c r="F12331" s="626"/>
    </row>
    <row r="12332" spans="1:6">
      <c r="A12332" t="str">
        <f t="shared" si="192"/>
        <v/>
      </c>
      <c r="E12332" s="626"/>
      <c r="F12332" s="626"/>
    </row>
    <row r="12333" spans="1:6">
      <c r="A12333" t="str">
        <f t="shared" si="192"/>
        <v/>
      </c>
      <c r="E12333" s="626"/>
      <c r="F12333" s="626"/>
    </row>
    <row r="12334" spans="1:6">
      <c r="A12334" t="str">
        <f t="shared" si="192"/>
        <v/>
      </c>
      <c r="E12334" s="626"/>
      <c r="F12334" s="626"/>
    </row>
    <row r="12335" spans="1:6">
      <c r="A12335" t="str">
        <f t="shared" si="192"/>
        <v/>
      </c>
      <c r="E12335" s="626"/>
      <c r="F12335" s="626"/>
    </row>
    <row r="12336" spans="1:6">
      <c r="A12336" t="str">
        <f t="shared" si="192"/>
        <v/>
      </c>
      <c r="E12336" s="626"/>
      <c r="F12336" s="626"/>
    </row>
    <row r="12337" spans="1:6">
      <c r="A12337" t="str">
        <f t="shared" si="192"/>
        <v/>
      </c>
      <c r="E12337" s="626"/>
      <c r="F12337" s="626"/>
    </row>
    <row r="12338" spans="1:6">
      <c r="A12338" t="str">
        <f t="shared" si="192"/>
        <v/>
      </c>
      <c r="E12338" s="626"/>
      <c r="F12338" s="626"/>
    </row>
    <row r="12339" spans="1:6">
      <c r="A12339" t="str">
        <f t="shared" si="192"/>
        <v/>
      </c>
      <c r="E12339" s="626"/>
      <c r="F12339" s="626"/>
    </row>
    <row r="12340" spans="1:6">
      <c r="A12340" t="str">
        <f t="shared" si="192"/>
        <v/>
      </c>
      <c r="E12340" s="626"/>
      <c r="F12340" s="626"/>
    </row>
    <row r="12341" spans="1:6">
      <c r="A12341" t="str">
        <f t="shared" si="192"/>
        <v/>
      </c>
      <c r="E12341" s="626"/>
      <c r="F12341" s="626"/>
    </row>
    <row r="12342" spans="1:6">
      <c r="A12342" t="str">
        <f t="shared" si="192"/>
        <v/>
      </c>
      <c r="E12342" s="626"/>
      <c r="F12342" s="626"/>
    </row>
    <row r="12343" spans="1:6">
      <c r="A12343" t="str">
        <f t="shared" si="192"/>
        <v/>
      </c>
      <c r="E12343" s="626"/>
      <c r="F12343" s="626"/>
    </row>
    <row r="12344" spans="1:6">
      <c r="A12344" t="str">
        <f t="shared" si="192"/>
        <v/>
      </c>
      <c r="E12344" s="626"/>
      <c r="F12344" s="626"/>
    </row>
    <row r="12345" spans="1:6">
      <c r="A12345" t="str">
        <f t="shared" si="192"/>
        <v/>
      </c>
      <c r="E12345" s="626"/>
      <c r="F12345" s="626"/>
    </row>
    <row r="12346" spans="1:6">
      <c r="A12346" t="str">
        <f t="shared" si="192"/>
        <v/>
      </c>
      <c r="E12346" s="626"/>
      <c r="F12346" s="626"/>
    </row>
    <row r="12347" spans="1:6">
      <c r="A12347" t="str">
        <f t="shared" si="192"/>
        <v/>
      </c>
      <c r="E12347" s="626"/>
      <c r="F12347" s="626"/>
    </row>
    <row r="12348" spans="1:6">
      <c r="A12348" t="str">
        <f t="shared" si="192"/>
        <v/>
      </c>
      <c r="E12348" s="626"/>
      <c r="F12348" s="626"/>
    </row>
    <row r="12349" spans="1:6">
      <c r="A12349" t="str">
        <f t="shared" si="192"/>
        <v/>
      </c>
      <c r="E12349" s="626"/>
      <c r="F12349" s="626"/>
    </row>
    <row r="12350" spans="1:6">
      <c r="A12350" t="str">
        <f t="shared" si="192"/>
        <v/>
      </c>
      <c r="E12350" s="626"/>
      <c r="F12350" s="626"/>
    </row>
    <row r="12351" spans="1:6">
      <c r="A12351" t="str">
        <f t="shared" si="192"/>
        <v/>
      </c>
      <c r="E12351" s="626"/>
      <c r="F12351" s="626"/>
    </row>
    <row r="12352" spans="1:6">
      <c r="A12352" t="str">
        <f t="shared" si="192"/>
        <v/>
      </c>
      <c r="E12352" s="626"/>
      <c r="F12352" s="626"/>
    </row>
    <row r="12353" spans="1:6">
      <c r="A12353" t="str">
        <f t="shared" si="192"/>
        <v/>
      </c>
      <c r="E12353" s="626"/>
      <c r="F12353" s="626"/>
    </row>
    <row r="12354" spans="1:6">
      <c r="A12354" t="str">
        <f t="shared" ref="A12354:A12417" si="193">B12354&amp;E12354&amp;J12354</f>
        <v/>
      </c>
      <c r="E12354" s="626"/>
      <c r="F12354" s="626"/>
    </row>
    <row r="12355" spans="1:6">
      <c r="A12355" t="str">
        <f t="shared" si="193"/>
        <v/>
      </c>
      <c r="E12355" s="626"/>
      <c r="F12355" s="626"/>
    </row>
    <row r="12356" spans="1:6">
      <c r="A12356" t="str">
        <f t="shared" si="193"/>
        <v/>
      </c>
      <c r="E12356" s="626"/>
      <c r="F12356" s="626"/>
    </row>
    <row r="12357" spans="1:6">
      <c r="A12357" t="str">
        <f t="shared" si="193"/>
        <v/>
      </c>
      <c r="E12357" s="626"/>
      <c r="F12357" s="626"/>
    </row>
    <row r="12358" spans="1:6">
      <c r="A12358" t="str">
        <f t="shared" si="193"/>
        <v/>
      </c>
      <c r="E12358" s="626"/>
      <c r="F12358" s="626"/>
    </row>
    <row r="12359" spans="1:6">
      <c r="A12359" t="str">
        <f t="shared" si="193"/>
        <v/>
      </c>
      <c r="E12359" s="626"/>
      <c r="F12359" s="626"/>
    </row>
    <row r="12360" spans="1:6">
      <c r="A12360" t="str">
        <f t="shared" si="193"/>
        <v/>
      </c>
      <c r="E12360" s="626"/>
      <c r="F12360" s="626"/>
    </row>
    <row r="12361" spans="1:6">
      <c r="A12361" t="str">
        <f t="shared" si="193"/>
        <v/>
      </c>
      <c r="E12361" s="626"/>
      <c r="F12361" s="626"/>
    </row>
    <row r="12362" spans="1:6">
      <c r="A12362" t="str">
        <f t="shared" si="193"/>
        <v/>
      </c>
      <c r="E12362" s="626"/>
      <c r="F12362" s="626"/>
    </row>
    <row r="12363" spans="1:6">
      <c r="A12363" t="str">
        <f t="shared" si="193"/>
        <v/>
      </c>
      <c r="E12363" s="626"/>
      <c r="F12363" s="626"/>
    </row>
    <row r="12364" spans="1:6">
      <c r="A12364" t="str">
        <f t="shared" si="193"/>
        <v/>
      </c>
      <c r="E12364" s="626"/>
      <c r="F12364" s="626"/>
    </row>
    <row r="12365" spans="1:6">
      <c r="A12365" t="str">
        <f t="shared" si="193"/>
        <v/>
      </c>
      <c r="E12365" s="626"/>
      <c r="F12365" s="626"/>
    </row>
    <row r="12366" spans="1:6">
      <c r="A12366" t="str">
        <f t="shared" si="193"/>
        <v/>
      </c>
      <c r="E12366" s="626"/>
      <c r="F12366" s="626"/>
    </row>
    <row r="12367" spans="1:6">
      <c r="A12367" t="str">
        <f t="shared" si="193"/>
        <v/>
      </c>
      <c r="E12367" s="626"/>
      <c r="F12367" s="626"/>
    </row>
    <row r="12368" spans="1:6">
      <c r="A12368" t="str">
        <f t="shared" si="193"/>
        <v/>
      </c>
      <c r="E12368" s="626"/>
      <c r="F12368" s="626"/>
    </row>
    <row r="12369" spans="1:6">
      <c r="A12369" t="str">
        <f t="shared" si="193"/>
        <v/>
      </c>
      <c r="E12369" s="626"/>
      <c r="F12369" s="626"/>
    </row>
    <row r="12370" spans="1:6">
      <c r="A12370" t="str">
        <f t="shared" si="193"/>
        <v/>
      </c>
      <c r="E12370" s="626"/>
      <c r="F12370" s="626"/>
    </row>
    <row r="12371" spans="1:6">
      <c r="A12371" t="str">
        <f t="shared" si="193"/>
        <v/>
      </c>
      <c r="E12371" s="626"/>
      <c r="F12371" s="626"/>
    </row>
    <row r="12372" spans="1:6">
      <c r="A12372" t="str">
        <f t="shared" si="193"/>
        <v/>
      </c>
      <c r="E12372" s="626"/>
      <c r="F12372" s="626"/>
    </row>
    <row r="12373" spans="1:6">
      <c r="A12373" t="str">
        <f t="shared" si="193"/>
        <v/>
      </c>
      <c r="E12373" s="626"/>
      <c r="F12373" s="626"/>
    </row>
    <row r="12374" spans="1:6">
      <c r="A12374" t="str">
        <f t="shared" si="193"/>
        <v/>
      </c>
      <c r="E12374" s="626"/>
      <c r="F12374" s="626"/>
    </row>
    <row r="12375" spans="1:6">
      <c r="A12375" t="str">
        <f t="shared" si="193"/>
        <v/>
      </c>
      <c r="E12375" s="626"/>
      <c r="F12375" s="626"/>
    </row>
    <row r="12376" spans="1:6">
      <c r="A12376" t="str">
        <f t="shared" si="193"/>
        <v/>
      </c>
      <c r="E12376" s="626"/>
      <c r="F12376" s="626"/>
    </row>
    <row r="12377" spans="1:6">
      <c r="A12377" t="str">
        <f t="shared" si="193"/>
        <v/>
      </c>
      <c r="E12377" s="626"/>
      <c r="F12377" s="626"/>
    </row>
    <row r="12378" spans="1:6">
      <c r="A12378" t="str">
        <f t="shared" si="193"/>
        <v/>
      </c>
      <c r="E12378" s="626"/>
      <c r="F12378" s="626"/>
    </row>
    <row r="12379" spans="1:6">
      <c r="A12379" t="str">
        <f t="shared" si="193"/>
        <v/>
      </c>
      <c r="E12379" s="626"/>
      <c r="F12379" s="626"/>
    </row>
    <row r="12380" spans="1:6">
      <c r="A12380" t="str">
        <f t="shared" si="193"/>
        <v/>
      </c>
      <c r="E12380" s="626"/>
      <c r="F12380" s="626"/>
    </row>
    <row r="12381" spans="1:6">
      <c r="A12381" t="str">
        <f t="shared" si="193"/>
        <v/>
      </c>
      <c r="E12381" s="626"/>
      <c r="F12381" s="626"/>
    </row>
    <row r="12382" spans="1:6">
      <c r="A12382" t="str">
        <f t="shared" si="193"/>
        <v/>
      </c>
      <c r="E12382" s="626"/>
      <c r="F12382" s="626"/>
    </row>
    <row r="12383" spans="1:6">
      <c r="A12383" t="str">
        <f t="shared" si="193"/>
        <v/>
      </c>
      <c r="E12383" s="626"/>
      <c r="F12383" s="626"/>
    </row>
    <row r="12384" spans="1:6">
      <c r="A12384" t="str">
        <f t="shared" si="193"/>
        <v/>
      </c>
      <c r="E12384" s="626"/>
      <c r="F12384" s="626"/>
    </row>
    <row r="12385" spans="1:6">
      <c r="A12385" t="str">
        <f t="shared" si="193"/>
        <v/>
      </c>
      <c r="E12385" s="626"/>
      <c r="F12385" s="626"/>
    </row>
    <row r="12386" spans="1:6">
      <c r="A12386" t="str">
        <f t="shared" si="193"/>
        <v/>
      </c>
      <c r="E12386" s="626"/>
      <c r="F12386" s="626"/>
    </row>
    <row r="12387" spans="1:6">
      <c r="A12387" t="str">
        <f t="shared" si="193"/>
        <v/>
      </c>
      <c r="E12387" s="626"/>
      <c r="F12387" s="626"/>
    </row>
    <row r="12388" spans="1:6">
      <c r="A12388" t="str">
        <f t="shared" si="193"/>
        <v/>
      </c>
      <c r="E12388" s="626"/>
      <c r="F12388" s="626"/>
    </row>
    <row r="12389" spans="1:6">
      <c r="A12389" t="str">
        <f t="shared" si="193"/>
        <v/>
      </c>
      <c r="E12389" s="626"/>
      <c r="F12389" s="626"/>
    </row>
    <row r="12390" spans="1:6">
      <c r="A12390" t="str">
        <f t="shared" si="193"/>
        <v/>
      </c>
      <c r="E12390" s="626"/>
      <c r="F12390" s="626"/>
    </row>
    <row r="12391" spans="1:6">
      <c r="A12391" t="str">
        <f t="shared" si="193"/>
        <v/>
      </c>
      <c r="E12391" s="626"/>
      <c r="F12391" s="626"/>
    </row>
    <row r="12392" spans="1:6">
      <c r="A12392" t="str">
        <f t="shared" si="193"/>
        <v/>
      </c>
      <c r="E12392" s="626"/>
      <c r="F12392" s="626"/>
    </row>
    <row r="12393" spans="1:6">
      <c r="A12393" t="str">
        <f t="shared" si="193"/>
        <v/>
      </c>
      <c r="E12393" s="626"/>
      <c r="F12393" s="626"/>
    </row>
    <row r="12394" spans="1:6">
      <c r="A12394" t="str">
        <f t="shared" si="193"/>
        <v/>
      </c>
      <c r="E12394" s="626"/>
      <c r="F12394" s="626"/>
    </row>
    <row r="12395" spans="1:6">
      <c r="A12395" t="str">
        <f t="shared" si="193"/>
        <v/>
      </c>
      <c r="E12395" s="626"/>
      <c r="F12395" s="626"/>
    </row>
    <row r="12396" spans="1:6">
      <c r="A12396" t="str">
        <f t="shared" si="193"/>
        <v/>
      </c>
      <c r="E12396" s="626"/>
      <c r="F12396" s="626"/>
    </row>
    <row r="12397" spans="1:6">
      <c r="A12397" t="str">
        <f t="shared" si="193"/>
        <v/>
      </c>
      <c r="E12397" s="626"/>
      <c r="F12397" s="626"/>
    </row>
    <row r="12398" spans="1:6">
      <c r="A12398" t="str">
        <f t="shared" si="193"/>
        <v/>
      </c>
      <c r="E12398" s="626"/>
      <c r="F12398" s="626"/>
    </row>
    <row r="12399" spans="1:6">
      <c r="A12399" t="str">
        <f t="shared" si="193"/>
        <v/>
      </c>
      <c r="E12399" s="626"/>
      <c r="F12399" s="626"/>
    </row>
    <row r="12400" spans="1:6">
      <c r="A12400" t="str">
        <f t="shared" si="193"/>
        <v/>
      </c>
      <c r="E12400" s="626"/>
      <c r="F12400" s="626"/>
    </row>
    <row r="12401" spans="1:6">
      <c r="A12401" t="str">
        <f t="shared" si="193"/>
        <v/>
      </c>
      <c r="E12401" s="626"/>
      <c r="F12401" s="626"/>
    </row>
    <row r="12402" spans="1:6">
      <c r="A12402" t="str">
        <f t="shared" si="193"/>
        <v/>
      </c>
      <c r="E12402" s="626"/>
      <c r="F12402" s="626"/>
    </row>
    <row r="12403" spans="1:6">
      <c r="A12403" t="str">
        <f t="shared" si="193"/>
        <v/>
      </c>
      <c r="E12403" s="626"/>
      <c r="F12403" s="626"/>
    </row>
    <row r="12404" spans="1:6">
      <c r="A12404" t="str">
        <f t="shared" si="193"/>
        <v/>
      </c>
      <c r="E12404" s="626"/>
      <c r="F12404" s="626"/>
    </row>
    <row r="12405" spans="1:6">
      <c r="A12405" t="str">
        <f t="shared" si="193"/>
        <v/>
      </c>
      <c r="E12405" s="626"/>
      <c r="F12405" s="626"/>
    </row>
    <row r="12406" spans="1:6">
      <c r="A12406" t="str">
        <f t="shared" si="193"/>
        <v/>
      </c>
      <c r="E12406" s="626"/>
      <c r="F12406" s="626"/>
    </row>
    <row r="12407" spans="1:6">
      <c r="A12407" t="str">
        <f t="shared" si="193"/>
        <v/>
      </c>
      <c r="E12407" s="626"/>
      <c r="F12407" s="626"/>
    </row>
    <row r="12408" spans="1:6">
      <c r="A12408" t="str">
        <f t="shared" si="193"/>
        <v/>
      </c>
      <c r="E12408" s="626"/>
      <c r="F12408" s="626"/>
    </row>
    <row r="12409" spans="1:6">
      <c r="A12409" t="str">
        <f t="shared" si="193"/>
        <v/>
      </c>
      <c r="E12409" s="626"/>
      <c r="F12409" s="626"/>
    </row>
    <row r="12410" spans="1:6">
      <c r="A12410" t="str">
        <f t="shared" si="193"/>
        <v/>
      </c>
      <c r="E12410" s="626"/>
      <c r="F12410" s="626"/>
    </row>
    <row r="12411" spans="1:6">
      <c r="A12411" t="str">
        <f t="shared" si="193"/>
        <v/>
      </c>
      <c r="E12411" s="626"/>
      <c r="F12411" s="626"/>
    </row>
    <row r="12412" spans="1:6">
      <c r="A12412" t="str">
        <f t="shared" si="193"/>
        <v/>
      </c>
      <c r="E12412" s="626"/>
      <c r="F12412" s="626"/>
    </row>
    <row r="12413" spans="1:6">
      <c r="A12413" t="str">
        <f t="shared" si="193"/>
        <v/>
      </c>
      <c r="E12413" s="626"/>
      <c r="F12413" s="626"/>
    </row>
    <row r="12414" spans="1:6">
      <c r="A12414" t="str">
        <f t="shared" si="193"/>
        <v/>
      </c>
      <c r="E12414" s="626"/>
      <c r="F12414" s="626"/>
    </row>
    <row r="12415" spans="1:6">
      <c r="A12415" t="str">
        <f t="shared" si="193"/>
        <v/>
      </c>
      <c r="E12415" s="626"/>
      <c r="F12415" s="626"/>
    </row>
    <row r="12416" spans="1:6">
      <c r="A12416" t="str">
        <f t="shared" si="193"/>
        <v/>
      </c>
      <c r="E12416" s="626"/>
      <c r="F12416" s="626"/>
    </row>
    <row r="12417" spans="1:6">
      <c r="A12417" t="str">
        <f t="shared" si="193"/>
        <v/>
      </c>
      <c r="E12417" s="626"/>
      <c r="F12417" s="626"/>
    </row>
    <row r="12418" spans="1:6">
      <c r="A12418" t="str">
        <f t="shared" ref="A12418:A12481" si="194">B12418&amp;E12418&amp;J12418</f>
        <v/>
      </c>
      <c r="E12418" s="626"/>
      <c r="F12418" s="626"/>
    </row>
    <row r="12419" spans="1:6">
      <c r="A12419" t="str">
        <f t="shared" si="194"/>
        <v/>
      </c>
      <c r="E12419" s="626"/>
      <c r="F12419" s="626"/>
    </row>
    <row r="12420" spans="1:6">
      <c r="A12420" t="str">
        <f t="shared" si="194"/>
        <v/>
      </c>
      <c r="E12420" s="626"/>
      <c r="F12420" s="626"/>
    </row>
    <row r="12421" spans="1:6">
      <c r="A12421" t="str">
        <f t="shared" si="194"/>
        <v/>
      </c>
      <c r="E12421" s="626"/>
      <c r="F12421" s="626"/>
    </row>
    <row r="12422" spans="1:6">
      <c r="A12422" t="str">
        <f t="shared" si="194"/>
        <v/>
      </c>
      <c r="E12422" s="626"/>
      <c r="F12422" s="626"/>
    </row>
    <row r="12423" spans="1:6">
      <c r="A12423" t="str">
        <f t="shared" si="194"/>
        <v/>
      </c>
      <c r="E12423" s="626"/>
      <c r="F12423" s="626"/>
    </row>
    <row r="12424" spans="1:6">
      <c r="A12424" t="str">
        <f t="shared" si="194"/>
        <v/>
      </c>
      <c r="E12424" s="626"/>
      <c r="F12424" s="626"/>
    </row>
    <row r="12425" spans="1:6">
      <c r="A12425" t="str">
        <f t="shared" si="194"/>
        <v/>
      </c>
      <c r="E12425" s="626"/>
      <c r="F12425" s="626"/>
    </row>
    <row r="12426" spans="1:6">
      <c r="A12426" t="str">
        <f t="shared" si="194"/>
        <v/>
      </c>
      <c r="E12426" s="626"/>
      <c r="F12426" s="626"/>
    </row>
    <row r="12427" spans="1:6">
      <c r="A12427" t="str">
        <f t="shared" si="194"/>
        <v/>
      </c>
      <c r="E12427" s="626"/>
      <c r="F12427" s="626"/>
    </row>
    <row r="12428" spans="1:6">
      <c r="A12428" t="str">
        <f t="shared" si="194"/>
        <v/>
      </c>
      <c r="E12428" s="626"/>
      <c r="F12428" s="626"/>
    </row>
    <row r="12429" spans="1:6">
      <c r="A12429" t="str">
        <f t="shared" si="194"/>
        <v/>
      </c>
      <c r="E12429" s="626"/>
      <c r="F12429" s="626"/>
    </row>
    <row r="12430" spans="1:6">
      <c r="A12430" t="str">
        <f t="shared" si="194"/>
        <v/>
      </c>
      <c r="E12430" s="626"/>
      <c r="F12430" s="626"/>
    </row>
    <row r="12431" spans="1:6">
      <c r="A12431" t="str">
        <f t="shared" si="194"/>
        <v/>
      </c>
      <c r="E12431" s="626"/>
      <c r="F12431" s="626"/>
    </row>
    <row r="12432" spans="1:6">
      <c r="A12432" t="str">
        <f t="shared" si="194"/>
        <v/>
      </c>
      <c r="E12432" s="626"/>
      <c r="F12432" s="626"/>
    </row>
    <row r="12433" spans="1:6">
      <c r="A12433" t="str">
        <f t="shared" si="194"/>
        <v/>
      </c>
      <c r="E12433" s="626"/>
      <c r="F12433" s="626"/>
    </row>
    <row r="12434" spans="1:6">
      <c r="A12434" t="str">
        <f t="shared" si="194"/>
        <v/>
      </c>
      <c r="E12434" s="626"/>
      <c r="F12434" s="626"/>
    </row>
    <row r="12435" spans="1:6">
      <c r="A12435" t="str">
        <f t="shared" si="194"/>
        <v/>
      </c>
      <c r="E12435" s="626"/>
      <c r="F12435" s="626"/>
    </row>
    <row r="12436" spans="1:6">
      <c r="A12436" t="str">
        <f t="shared" si="194"/>
        <v/>
      </c>
      <c r="E12436" s="626"/>
      <c r="F12436" s="626"/>
    </row>
    <row r="12437" spans="1:6">
      <c r="A12437" t="str">
        <f t="shared" si="194"/>
        <v/>
      </c>
      <c r="E12437" s="626"/>
      <c r="F12437" s="626"/>
    </row>
    <row r="12438" spans="1:6">
      <c r="A12438" t="str">
        <f t="shared" si="194"/>
        <v/>
      </c>
      <c r="E12438" s="626"/>
      <c r="F12438" s="626"/>
    </row>
    <row r="12439" spans="1:6">
      <c r="A12439" t="str">
        <f t="shared" si="194"/>
        <v/>
      </c>
      <c r="E12439" s="626"/>
      <c r="F12439" s="626"/>
    </row>
    <row r="12440" spans="1:6">
      <c r="A12440" t="str">
        <f t="shared" si="194"/>
        <v/>
      </c>
      <c r="E12440" s="626"/>
      <c r="F12440" s="626"/>
    </row>
    <row r="12441" spans="1:6">
      <c r="A12441" t="str">
        <f t="shared" si="194"/>
        <v/>
      </c>
      <c r="E12441" s="626"/>
      <c r="F12441" s="626"/>
    </row>
    <row r="12442" spans="1:6">
      <c r="A12442" t="str">
        <f t="shared" si="194"/>
        <v/>
      </c>
      <c r="E12442" s="626"/>
      <c r="F12442" s="626"/>
    </row>
    <row r="12443" spans="1:6">
      <c r="A12443" t="str">
        <f t="shared" si="194"/>
        <v/>
      </c>
      <c r="E12443" s="626"/>
      <c r="F12443" s="626"/>
    </row>
    <row r="12444" spans="1:6">
      <c r="A12444" t="str">
        <f t="shared" si="194"/>
        <v/>
      </c>
      <c r="E12444" s="626"/>
      <c r="F12444" s="626"/>
    </row>
    <row r="12445" spans="1:6">
      <c r="A12445" t="str">
        <f t="shared" si="194"/>
        <v/>
      </c>
      <c r="E12445" s="626"/>
      <c r="F12445" s="626"/>
    </row>
    <row r="12446" spans="1:6">
      <c r="A12446" t="str">
        <f t="shared" si="194"/>
        <v/>
      </c>
      <c r="E12446" s="626"/>
      <c r="F12446" s="626"/>
    </row>
    <row r="12447" spans="1:6">
      <c r="A12447" t="str">
        <f t="shared" si="194"/>
        <v/>
      </c>
      <c r="E12447" s="626"/>
      <c r="F12447" s="626"/>
    </row>
    <row r="12448" spans="1:6">
      <c r="A12448" t="str">
        <f t="shared" si="194"/>
        <v/>
      </c>
      <c r="E12448" s="626"/>
      <c r="F12448" s="626"/>
    </row>
    <row r="12449" spans="1:6">
      <c r="A12449" t="str">
        <f t="shared" si="194"/>
        <v/>
      </c>
      <c r="E12449" s="626"/>
      <c r="F12449" s="626"/>
    </row>
    <row r="12450" spans="1:6">
      <c r="A12450" t="str">
        <f t="shared" si="194"/>
        <v/>
      </c>
      <c r="E12450" s="626"/>
      <c r="F12450" s="626"/>
    </row>
    <row r="12451" spans="1:6">
      <c r="A12451" t="str">
        <f t="shared" si="194"/>
        <v/>
      </c>
      <c r="E12451" s="626"/>
      <c r="F12451" s="626"/>
    </row>
    <row r="12452" spans="1:6">
      <c r="A12452" t="str">
        <f t="shared" si="194"/>
        <v/>
      </c>
      <c r="E12452" s="626"/>
      <c r="F12452" s="626"/>
    </row>
    <row r="12453" spans="1:6">
      <c r="A12453" t="str">
        <f t="shared" si="194"/>
        <v/>
      </c>
      <c r="E12453" s="626"/>
      <c r="F12453" s="626"/>
    </row>
    <row r="12454" spans="1:6">
      <c r="A12454" t="str">
        <f t="shared" si="194"/>
        <v/>
      </c>
      <c r="E12454" s="626"/>
      <c r="F12454" s="626"/>
    </row>
    <row r="12455" spans="1:6">
      <c r="A12455" t="str">
        <f t="shared" si="194"/>
        <v/>
      </c>
      <c r="E12455" s="626"/>
      <c r="F12455" s="626"/>
    </row>
    <row r="12456" spans="1:6">
      <c r="A12456" t="str">
        <f t="shared" si="194"/>
        <v/>
      </c>
      <c r="E12456" s="626"/>
      <c r="F12456" s="626"/>
    </row>
    <row r="12457" spans="1:6">
      <c r="A12457" t="str">
        <f t="shared" si="194"/>
        <v/>
      </c>
      <c r="E12457" s="626"/>
      <c r="F12457" s="626"/>
    </row>
    <row r="12458" spans="1:6">
      <c r="A12458" t="str">
        <f t="shared" si="194"/>
        <v/>
      </c>
      <c r="E12458" s="626"/>
      <c r="F12458" s="626"/>
    </row>
    <row r="12459" spans="1:6">
      <c r="A12459" t="str">
        <f t="shared" si="194"/>
        <v/>
      </c>
      <c r="E12459" s="626"/>
      <c r="F12459" s="626"/>
    </row>
    <row r="12460" spans="1:6">
      <c r="A12460" t="str">
        <f t="shared" si="194"/>
        <v/>
      </c>
      <c r="E12460" s="626"/>
      <c r="F12460" s="626"/>
    </row>
    <row r="12461" spans="1:6">
      <c r="A12461" t="str">
        <f t="shared" si="194"/>
        <v/>
      </c>
      <c r="E12461" s="626"/>
      <c r="F12461" s="626"/>
    </row>
    <row r="12462" spans="1:6">
      <c r="A12462" t="str">
        <f t="shared" si="194"/>
        <v/>
      </c>
      <c r="E12462" s="626"/>
      <c r="F12462" s="626"/>
    </row>
    <row r="12463" spans="1:6">
      <c r="A12463" t="str">
        <f t="shared" si="194"/>
        <v/>
      </c>
      <c r="E12463" s="626"/>
      <c r="F12463" s="626"/>
    </row>
    <row r="12464" spans="1:6">
      <c r="A12464" t="str">
        <f t="shared" si="194"/>
        <v/>
      </c>
      <c r="E12464" s="626"/>
      <c r="F12464" s="626"/>
    </row>
    <row r="12465" spans="1:6">
      <c r="A12465" t="str">
        <f t="shared" si="194"/>
        <v/>
      </c>
      <c r="E12465" s="626"/>
      <c r="F12465" s="626"/>
    </row>
    <row r="12466" spans="1:6">
      <c r="A12466" t="str">
        <f t="shared" si="194"/>
        <v/>
      </c>
      <c r="E12466" s="626"/>
      <c r="F12466" s="626"/>
    </row>
    <row r="12467" spans="1:6">
      <c r="A12467" t="str">
        <f t="shared" si="194"/>
        <v/>
      </c>
      <c r="E12467" s="626"/>
      <c r="F12467" s="626"/>
    </row>
    <row r="12468" spans="1:6">
      <c r="A12468" t="str">
        <f t="shared" si="194"/>
        <v/>
      </c>
      <c r="E12468" s="626"/>
      <c r="F12468" s="626"/>
    </row>
    <row r="12469" spans="1:6">
      <c r="A12469" t="str">
        <f t="shared" si="194"/>
        <v/>
      </c>
      <c r="E12469" s="626"/>
      <c r="F12469" s="626"/>
    </row>
    <row r="12470" spans="1:6">
      <c r="A12470" t="str">
        <f t="shared" si="194"/>
        <v/>
      </c>
      <c r="E12470" s="626"/>
      <c r="F12470" s="626"/>
    </row>
    <row r="12471" spans="1:6">
      <c r="A12471" t="str">
        <f t="shared" si="194"/>
        <v/>
      </c>
      <c r="E12471" s="626"/>
      <c r="F12471" s="626"/>
    </row>
    <row r="12472" spans="1:6">
      <c r="A12472" t="str">
        <f t="shared" si="194"/>
        <v/>
      </c>
      <c r="E12472" s="626"/>
      <c r="F12472" s="626"/>
    </row>
    <row r="12473" spans="1:6">
      <c r="A12473" t="str">
        <f t="shared" si="194"/>
        <v/>
      </c>
      <c r="E12473" s="626"/>
      <c r="F12473" s="626"/>
    </row>
    <row r="12474" spans="1:6">
      <c r="A12474" t="str">
        <f t="shared" si="194"/>
        <v/>
      </c>
      <c r="E12474" s="626"/>
      <c r="F12474" s="626"/>
    </row>
    <row r="12475" spans="1:6">
      <c r="A12475" t="str">
        <f t="shared" si="194"/>
        <v/>
      </c>
      <c r="E12475" s="626"/>
      <c r="F12475" s="626"/>
    </row>
    <row r="12476" spans="1:6">
      <c r="A12476" t="str">
        <f t="shared" si="194"/>
        <v/>
      </c>
      <c r="E12476" s="626"/>
      <c r="F12476" s="626"/>
    </row>
    <row r="12477" spans="1:6">
      <c r="A12477" t="str">
        <f t="shared" si="194"/>
        <v/>
      </c>
      <c r="E12477" s="626"/>
      <c r="F12477" s="626"/>
    </row>
    <row r="12478" spans="1:6">
      <c r="A12478" t="str">
        <f t="shared" si="194"/>
        <v/>
      </c>
      <c r="E12478" s="626"/>
      <c r="F12478" s="626"/>
    </row>
    <row r="12479" spans="1:6">
      <c r="A12479" t="str">
        <f t="shared" si="194"/>
        <v/>
      </c>
      <c r="E12479" s="626"/>
      <c r="F12479" s="626"/>
    </row>
    <row r="12480" spans="1:6">
      <c r="A12480" t="str">
        <f t="shared" si="194"/>
        <v/>
      </c>
      <c r="E12480" s="626"/>
      <c r="F12480" s="626"/>
    </row>
    <row r="12481" spans="1:6">
      <c r="A12481" t="str">
        <f t="shared" si="194"/>
        <v/>
      </c>
      <c r="E12481" s="626"/>
      <c r="F12481" s="626"/>
    </row>
    <row r="12482" spans="1:6">
      <c r="A12482" t="str">
        <f t="shared" ref="A12482:A12545" si="195">B12482&amp;E12482&amp;J12482</f>
        <v/>
      </c>
      <c r="E12482" s="626"/>
      <c r="F12482" s="626"/>
    </row>
    <row r="12483" spans="1:6">
      <c r="A12483" t="str">
        <f t="shared" si="195"/>
        <v/>
      </c>
      <c r="E12483" s="626"/>
      <c r="F12483" s="626"/>
    </row>
    <row r="12484" spans="1:6">
      <c r="A12484" t="str">
        <f t="shared" si="195"/>
        <v/>
      </c>
      <c r="E12484" s="626"/>
      <c r="F12484" s="626"/>
    </row>
    <row r="12485" spans="1:6">
      <c r="A12485" t="str">
        <f t="shared" si="195"/>
        <v/>
      </c>
      <c r="E12485" s="626"/>
      <c r="F12485" s="626"/>
    </row>
    <row r="12486" spans="1:6">
      <c r="A12486" t="str">
        <f t="shared" si="195"/>
        <v/>
      </c>
      <c r="E12486" s="626"/>
      <c r="F12486" s="626"/>
    </row>
    <row r="12487" spans="1:6">
      <c r="A12487" t="str">
        <f t="shared" si="195"/>
        <v/>
      </c>
      <c r="E12487" s="626"/>
      <c r="F12487" s="626"/>
    </row>
    <row r="12488" spans="1:6">
      <c r="A12488" t="str">
        <f t="shared" si="195"/>
        <v/>
      </c>
      <c r="E12488" s="626"/>
      <c r="F12488" s="626"/>
    </row>
    <row r="12489" spans="1:6">
      <c r="A12489" t="str">
        <f t="shared" si="195"/>
        <v/>
      </c>
      <c r="E12489" s="626"/>
      <c r="F12489" s="626"/>
    </row>
    <row r="12490" spans="1:6">
      <c r="A12490" t="str">
        <f t="shared" si="195"/>
        <v/>
      </c>
      <c r="E12490" s="626"/>
      <c r="F12490" s="626"/>
    </row>
    <row r="12491" spans="1:6">
      <c r="A12491" t="str">
        <f t="shared" si="195"/>
        <v/>
      </c>
      <c r="E12491" s="626"/>
      <c r="F12491" s="626"/>
    </row>
    <row r="12492" spans="1:6">
      <c r="A12492" t="str">
        <f t="shared" si="195"/>
        <v/>
      </c>
      <c r="E12492" s="626"/>
      <c r="F12492" s="626"/>
    </row>
    <row r="12493" spans="1:6">
      <c r="A12493" t="str">
        <f t="shared" si="195"/>
        <v/>
      </c>
      <c r="E12493" s="626"/>
      <c r="F12493" s="626"/>
    </row>
    <row r="12494" spans="1:6">
      <c r="A12494" t="str">
        <f t="shared" si="195"/>
        <v/>
      </c>
      <c r="E12494" s="626"/>
      <c r="F12494" s="626"/>
    </row>
    <row r="12495" spans="1:6">
      <c r="A12495" t="str">
        <f t="shared" si="195"/>
        <v/>
      </c>
      <c r="E12495" s="626"/>
      <c r="F12495" s="626"/>
    </row>
    <row r="12496" spans="1:6">
      <c r="A12496" t="str">
        <f t="shared" si="195"/>
        <v/>
      </c>
      <c r="E12496" s="626"/>
      <c r="F12496" s="626"/>
    </row>
    <row r="12497" spans="1:6">
      <c r="A12497" t="str">
        <f t="shared" si="195"/>
        <v/>
      </c>
      <c r="E12497" s="626"/>
      <c r="F12497" s="626"/>
    </row>
    <row r="12498" spans="1:6">
      <c r="A12498" t="str">
        <f t="shared" si="195"/>
        <v/>
      </c>
      <c r="E12498" s="626"/>
      <c r="F12498" s="626"/>
    </row>
    <row r="12499" spans="1:6">
      <c r="A12499" t="str">
        <f t="shared" si="195"/>
        <v/>
      </c>
      <c r="E12499" s="626"/>
      <c r="F12499" s="626"/>
    </row>
    <row r="12500" spans="1:6">
      <c r="A12500" t="str">
        <f t="shared" si="195"/>
        <v/>
      </c>
      <c r="E12500" s="626"/>
      <c r="F12500" s="626"/>
    </row>
    <row r="12501" spans="1:6">
      <c r="A12501" t="str">
        <f t="shared" si="195"/>
        <v/>
      </c>
      <c r="E12501" s="626"/>
      <c r="F12501" s="626"/>
    </row>
    <row r="12502" spans="1:6">
      <c r="A12502" t="str">
        <f t="shared" si="195"/>
        <v/>
      </c>
      <c r="E12502" s="626"/>
      <c r="F12502" s="626"/>
    </row>
    <row r="12503" spans="1:6">
      <c r="A12503" t="str">
        <f t="shared" si="195"/>
        <v/>
      </c>
      <c r="E12503" s="626"/>
      <c r="F12503" s="626"/>
    </row>
    <row r="12504" spans="1:6">
      <c r="A12504" t="str">
        <f t="shared" si="195"/>
        <v/>
      </c>
      <c r="E12504" s="626"/>
      <c r="F12504" s="626"/>
    </row>
    <row r="12505" spans="1:6">
      <c r="A12505" t="str">
        <f t="shared" si="195"/>
        <v/>
      </c>
      <c r="E12505" s="626"/>
      <c r="F12505" s="626"/>
    </row>
    <row r="12506" spans="1:6">
      <c r="A12506" t="str">
        <f t="shared" si="195"/>
        <v/>
      </c>
      <c r="E12506" s="626"/>
      <c r="F12506" s="626"/>
    </row>
    <row r="12507" spans="1:6">
      <c r="A12507" t="str">
        <f t="shared" si="195"/>
        <v/>
      </c>
      <c r="E12507" s="626"/>
      <c r="F12507" s="626"/>
    </row>
    <row r="12508" spans="1:6">
      <c r="A12508" t="str">
        <f t="shared" si="195"/>
        <v/>
      </c>
      <c r="E12508" s="626"/>
      <c r="F12508" s="626"/>
    </row>
    <row r="12509" spans="1:6">
      <c r="A12509" t="str">
        <f t="shared" si="195"/>
        <v/>
      </c>
      <c r="E12509" s="626"/>
      <c r="F12509" s="626"/>
    </row>
    <row r="12510" spans="1:6">
      <c r="A12510" t="str">
        <f t="shared" si="195"/>
        <v/>
      </c>
      <c r="E12510" s="626"/>
      <c r="F12510" s="626"/>
    </row>
    <row r="12511" spans="1:6">
      <c r="A12511" t="str">
        <f t="shared" si="195"/>
        <v/>
      </c>
      <c r="E12511" s="626"/>
      <c r="F12511" s="626"/>
    </row>
    <row r="12512" spans="1:6">
      <c r="A12512" t="str">
        <f t="shared" si="195"/>
        <v/>
      </c>
      <c r="E12512" s="626"/>
      <c r="F12512" s="626"/>
    </row>
    <row r="12513" spans="1:6">
      <c r="A12513" t="str">
        <f t="shared" si="195"/>
        <v/>
      </c>
      <c r="E12513" s="626"/>
      <c r="F12513" s="626"/>
    </row>
    <row r="12514" spans="1:6">
      <c r="A12514" t="str">
        <f t="shared" si="195"/>
        <v/>
      </c>
      <c r="E12514" s="626"/>
      <c r="F12514" s="626"/>
    </row>
    <row r="12515" spans="1:6">
      <c r="A12515" t="str">
        <f t="shared" si="195"/>
        <v/>
      </c>
      <c r="E12515" s="626"/>
      <c r="F12515" s="626"/>
    </row>
    <row r="12516" spans="1:6">
      <c r="A12516" t="str">
        <f t="shared" si="195"/>
        <v/>
      </c>
      <c r="E12516" s="626"/>
      <c r="F12516" s="626"/>
    </row>
    <row r="12517" spans="1:6">
      <c r="A12517" t="str">
        <f t="shared" si="195"/>
        <v/>
      </c>
      <c r="E12517" s="626"/>
      <c r="F12517" s="626"/>
    </row>
    <row r="12518" spans="1:6">
      <c r="A12518" t="str">
        <f t="shared" si="195"/>
        <v/>
      </c>
      <c r="E12518" s="626"/>
      <c r="F12518" s="626"/>
    </row>
    <row r="12519" spans="1:6">
      <c r="A12519" t="str">
        <f t="shared" si="195"/>
        <v/>
      </c>
      <c r="E12519" s="626"/>
      <c r="F12519" s="626"/>
    </row>
    <row r="12520" spans="1:6">
      <c r="A12520" t="str">
        <f t="shared" si="195"/>
        <v/>
      </c>
      <c r="E12520" s="626"/>
      <c r="F12520" s="626"/>
    </row>
    <row r="12521" spans="1:6">
      <c r="A12521" t="str">
        <f t="shared" si="195"/>
        <v/>
      </c>
      <c r="E12521" s="626"/>
      <c r="F12521" s="626"/>
    </row>
    <row r="12522" spans="1:6">
      <c r="A12522" t="str">
        <f t="shared" si="195"/>
        <v/>
      </c>
      <c r="E12522" s="626"/>
      <c r="F12522" s="626"/>
    </row>
    <row r="12523" spans="1:6">
      <c r="A12523" t="str">
        <f t="shared" si="195"/>
        <v/>
      </c>
      <c r="E12523" s="626"/>
      <c r="F12523" s="626"/>
    </row>
    <row r="12524" spans="1:6">
      <c r="A12524" t="str">
        <f t="shared" si="195"/>
        <v/>
      </c>
      <c r="E12524" s="626"/>
      <c r="F12524" s="626"/>
    </row>
    <row r="12525" spans="1:6">
      <c r="A12525" t="str">
        <f t="shared" si="195"/>
        <v/>
      </c>
      <c r="E12525" s="626"/>
      <c r="F12525" s="626"/>
    </row>
    <row r="12526" spans="1:6">
      <c r="A12526" t="str">
        <f t="shared" si="195"/>
        <v/>
      </c>
      <c r="E12526" s="626"/>
      <c r="F12526" s="626"/>
    </row>
    <row r="12527" spans="1:6">
      <c r="A12527" t="str">
        <f t="shared" si="195"/>
        <v/>
      </c>
      <c r="E12527" s="626"/>
      <c r="F12527" s="626"/>
    </row>
    <row r="12528" spans="1:6">
      <c r="A12528" t="str">
        <f t="shared" si="195"/>
        <v/>
      </c>
      <c r="E12528" s="626"/>
      <c r="F12528" s="626"/>
    </row>
    <row r="12529" spans="1:6">
      <c r="A12529" t="str">
        <f t="shared" si="195"/>
        <v/>
      </c>
      <c r="E12529" s="626"/>
      <c r="F12529" s="626"/>
    </row>
    <row r="12530" spans="1:6">
      <c r="A12530" t="str">
        <f t="shared" si="195"/>
        <v/>
      </c>
      <c r="E12530" s="626"/>
      <c r="F12530" s="626"/>
    </row>
    <row r="12531" spans="1:6">
      <c r="A12531" t="str">
        <f t="shared" si="195"/>
        <v/>
      </c>
      <c r="E12531" s="626"/>
      <c r="F12531" s="626"/>
    </row>
    <row r="12532" spans="1:6">
      <c r="A12532" t="str">
        <f t="shared" si="195"/>
        <v/>
      </c>
      <c r="E12532" s="626"/>
      <c r="F12532" s="626"/>
    </row>
    <row r="12533" spans="1:6">
      <c r="A12533" t="str">
        <f t="shared" si="195"/>
        <v/>
      </c>
      <c r="E12533" s="626"/>
      <c r="F12533" s="626"/>
    </row>
    <row r="12534" spans="1:6">
      <c r="A12534" t="str">
        <f t="shared" si="195"/>
        <v/>
      </c>
      <c r="E12534" s="626"/>
      <c r="F12534" s="626"/>
    </row>
    <row r="12535" spans="1:6">
      <c r="A12535" t="str">
        <f t="shared" si="195"/>
        <v/>
      </c>
      <c r="E12535" s="626"/>
      <c r="F12535" s="626"/>
    </row>
    <row r="12536" spans="1:6">
      <c r="A12536" t="str">
        <f t="shared" si="195"/>
        <v/>
      </c>
      <c r="E12536" s="626"/>
      <c r="F12536" s="626"/>
    </row>
    <row r="12537" spans="1:6">
      <c r="A12537" t="str">
        <f t="shared" si="195"/>
        <v/>
      </c>
      <c r="E12537" s="626"/>
      <c r="F12537" s="626"/>
    </row>
    <row r="12538" spans="1:6">
      <c r="A12538" t="str">
        <f t="shared" si="195"/>
        <v/>
      </c>
      <c r="E12538" s="626"/>
      <c r="F12538" s="626"/>
    </row>
    <row r="12539" spans="1:6">
      <c r="A12539" t="str">
        <f t="shared" si="195"/>
        <v/>
      </c>
      <c r="E12539" s="626"/>
      <c r="F12539" s="626"/>
    </row>
    <row r="12540" spans="1:6">
      <c r="A12540" t="str">
        <f t="shared" si="195"/>
        <v/>
      </c>
      <c r="E12540" s="626"/>
      <c r="F12540" s="626"/>
    </row>
    <row r="12541" spans="1:6">
      <c r="A12541" t="str">
        <f t="shared" si="195"/>
        <v/>
      </c>
      <c r="E12541" s="626"/>
      <c r="F12541" s="626"/>
    </row>
    <row r="12542" spans="1:6">
      <c r="A12542" t="str">
        <f t="shared" si="195"/>
        <v/>
      </c>
      <c r="E12542" s="626"/>
      <c r="F12542" s="626"/>
    </row>
    <row r="12543" spans="1:6">
      <c r="A12543" t="str">
        <f t="shared" si="195"/>
        <v/>
      </c>
      <c r="E12543" s="626"/>
      <c r="F12543" s="626"/>
    </row>
    <row r="12544" spans="1:6">
      <c r="A12544" t="str">
        <f t="shared" si="195"/>
        <v/>
      </c>
      <c r="E12544" s="626"/>
      <c r="F12544" s="626"/>
    </row>
    <row r="12545" spans="1:6">
      <c r="A12545" t="str">
        <f t="shared" si="195"/>
        <v/>
      </c>
      <c r="E12545" s="626"/>
      <c r="F12545" s="626"/>
    </row>
    <row r="12546" spans="1:6">
      <c r="A12546" t="str">
        <f t="shared" ref="A12546:A12609" si="196">B12546&amp;E12546&amp;J12546</f>
        <v/>
      </c>
      <c r="E12546" s="626"/>
      <c r="F12546" s="626"/>
    </row>
    <row r="12547" spans="1:6">
      <c r="A12547" t="str">
        <f t="shared" si="196"/>
        <v/>
      </c>
      <c r="E12547" s="626"/>
      <c r="F12547" s="626"/>
    </row>
    <row r="12548" spans="1:6">
      <c r="A12548" t="str">
        <f t="shared" si="196"/>
        <v/>
      </c>
      <c r="E12548" s="626"/>
      <c r="F12548" s="626"/>
    </row>
    <row r="12549" spans="1:6">
      <c r="A12549" t="str">
        <f t="shared" si="196"/>
        <v/>
      </c>
      <c r="E12549" s="626"/>
      <c r="F12549" s="626"/>
    </row>
    <row r="12550" spans="1:6">
      <c r="A12550" t="str">
        <f t="shared" si="196"/>
        <v/>
      </c>
      <c r="E12550" s="626"/>
      <c r="F12550" s="626"/>
    </row>
    <row r="12551" spans="1:6">
      <c r="A12551" t="str">
        <f t="shared" si="196"/>
        <v/>
      </c>
      <c r="E12551" s="626"/>
      <c r="F12551" s="626"/>
    </row>
    <row r="12552" spans="1:6">
      <c r="A12552" t="str">
        <f t="shared" si="196"/>
        <v/>
      </c>
      <c r="E12552" s="626"/>
      <c r="F12552" s="626"/>
    </row>
    <row r="12553" spans="1:6">
      <c r="A12553" t="str">
        <f t="shared" si="196"/>
        <v/>
      </c>
      <c r="E12553" s="626"/>
      <c r="F12553" s="626"/>
    </row>
    <row r="12554" spans="1:6">
      <c r="A12554" t="str">
        <f t="shared" si="196"/>
        <v/>
      </c>
      <c r="E12554" s="626"/>
      <c r="F12554" s="626"/>
    </row>
    <row r="12555" spans="1:6">
      <c r="A12555" t="str">
        <f t="shared" si="196"/>
        <v/>
      </c>
      <c r="E12555" s="626"/>
      <c r="F12555" s="626"/>
    </row>
    <row r="12556" spans="1:6">
      <c r="A12556" t="str">
        <f t="shared" si="196"/>
        <v/>
      </c>
      <c r="E12556" s="626"/>
      <c r="F12556" s="626"/>
    </row>
    <row r="12557" spans="1:6">
      <c r="A12557" t="str">
        <f t="shared" si="196"/>
        <v/>
      </c>
      <c r="E12557" s="626"/>
      <c r="F12557" s="626"/>
    </row>
    <row r="12558" spans="1:6">
      <c r="A12558" t="str">
        <f t="shared" si="196"/>
        <v/>
      </c>
      <c r="E12558" s="626"/>
      <c r="F12558" s="626"/>
    </row>
    <row r="12559" spans="1:6">
      <c r="A12559" t="str">
        <f t="shared" si="196"/>
        <v/>
      </c>
      <c r="E12559" s="626"/>
      <c r="F12559" s="626"/>
    </row>
    <row r="12560" spans="1:6">
      <c r="A12560" t="str">
        <f t="shared" si="196"/>
        <v/>
      </c>
      <c r="E12560" s="626"/>
      <c r="F12560" s="626"/>
    </row>
    <row r="12561" spans="1:6">
      <c r="A12561" t="str">
        <f t="shared" si="196"/>
        <v/>
      </c>
      <c r="E12561" s="626"/>
      <c r="F12561" s="626"/>
    </row>
    <row r="12562" spans="1:6">
      <c r="A12562" t="str">
        <f t="shared" si="196"/>
        <v/>
      </c>
      <c r="E12562" s="626"/>
      <c r="F12562" s="626"/>
    </row>
    <row r="12563" spans="1:6">
      <c r="A12563" t="str">
        <f t="shared" si="196"/>
        <v/>
      </c>
      <c r="E12563" s="626"/>
      <c r="F12563" s="626"/>
    </row>
    <row r="12564" spans="1:6">
      <c r="A12564" t="str">
        <f t="shared" si="196"/>
        <v/>
      </c>
      <c r="E12564" s="626"/>
      <c r="F12564" s="626"/>
    </row>
    <row r="12565" spans="1:6">
      <c r="A12565" t="str">
        <f t="shared" si="196"/>
        <v/>
      </c>
      <c r="E12565" s="626"/>
      <c r="F12565" s="626"/>
    </row>
    <row r="12566" spans="1:6">
      <c r="A12566" t="str">
        <f t="shared" si="196"/>
        <v/>
      </c>
      <c r="E12566" s="626"/>
      <c r="F12566" s="626"/>
    </row>
    <row r="12567" spans="1:6">
      <c r="A12567" t="str">
        <f t="shared" si="196"/>
        <v/>
      </c>
      <c r="E12567" s="626"/>
      <c r="F12567" s="626"/>
    </row>
    <row r="12568" spans="1:6">
      <c r="A12568" t="str">
        <f t="shared" si="196"/>
        <v/>
      </c>
      <c r="E12568" s="626"/>
      <c r="F12568" s="626"/>
    </row>
    <row r="12569" spans="1:6">
      <c r="A12569" t="str">
        <f t="shared" si="196"/>
        <v/>
      </c>
      <c r="E12569" s="626"/>
      <c r="F12569" s="626"/>
    </row>
    <row r="12570" spans="1:6">
      <c r="A12570" t="str">
        <f t="shared" si="196"/>
        <v/>
      </c>
      <c r="E12570" s="626"/>
      <c r="F12570" s="626"/>
    </row>
    <row r="12571" spans="1:6">
      <c r="A12571" t="str">
        <f t="shared" si="196"/>
        <v/>
      </c>
      <c r="E12571" s="626"/>
      <c r="F12571" s="626"/>
    </row>
    <row r="12572" spans="1:6">
      <c r="A12572" t="str">
        <f t="shared" si="196"/>
        <v/>
      </c>
      <c r="E12572" s="626"/>
      <c r="F12572" s="626"/>
    </row>
    <row r="12573" spans="1:6">
      <c r="A12573" t="str">
        <f t="shared" si="196"/>
        <v/>
      </c>
      <c r="E12573" s="626"/>
      <c r="F12573" s="626"/>
    </row>
    <row r="12574" spans="1:6">
      <c r="A12574" t="str">
        <f t="shared" si="196"/>
        <v/>
      </c>
      <c r="E12574" s="626"/>
      <c r="F12574" s="626"/>
    </row>
    <row r="12575" spans="1:6">
      <c r="A12575" t="str">
        <f t="shared" si="196"/>
        <v/>
      </c>
      <c r="E12575" s="626"/>
      <c r="F12575" s="626"/>
    </row>
    <row r="12576" spans="1:6">
      <c r="A12576" t="str">
        <f t="shared" si="196"/>
        <v/>
      </c>
      <c r="E12576" s="626"/>
      <c r="F12576" s="626"/>
    </row>
    <row r="12577" spans="1:6">
      <c r="A12577" t="str">
        <f t="shared" si="196"/>
        <v/>
      </c>
      <c r="E12577" s="626"/>
      <c r="F12577" s="626"/>
    </row>
    <row r="12578" spans="1:6">
      <c r="A12578" t="str">
        <f t="shared" si="196"/>
        <v/>
      </c>
      <c r="E12578" s="626"/>
      <c r="F12578" s="626"/>
    </row>
    <row r="12579" spans="1:6">
      <c r="A12579" t="str">
        <f t="shared" si="196"/>
        <v/>
      </c>
      <c r="E12579" s="626"/>
      <c r="F12579" s="626"/>
    </row>
    <row r="12580" spans="1:6">
      <c r="A12580" t="str">
        <f t="shared" si="196"/>
        <v/>
      </c>
      <c r="E12580" s="626"/>
      <c r="F12580" s="626"/>
    </row>
    <row r="12581" spans="1:6">
      <c r="A12581" t="str">
        <f t="shared" si="196"/>
        <v/>
      </c>
      <c r="E12581" s="626"/>
      <c r="F12581" s="626"/>
    </row>
    <row r="12582" spans="1:6">
      <c r="A12582" t="str">
        <f t="shared" si="196"/>
        <v/>
      </c>
      <c r="E12582" s="626"/>
      <c r="F12582" s="626"/>
    </row>
    <row r="12583" spans="1:6">
      <c r="A12583" t="str">
        <f t="shared" si="196"/>
        <v/>
      </c>
      <c r="E12583" s="626"/>
      <c r="F12583" s="626"/>
    </row>
    <row r="12584" spans="1:6">
      <c r="A12584" t="str">
        <f t="shared" si="196"/>
        <v/>
      </c>
      <c r="E12584" s="626"/>
      <c r="F12584" s="626"/>
    </row>
    <row r="12585" spans="1:6">
      <c r="A12585" t="str">
        <f t="shared" si="196"/>
        <v/>
      </c>
      <c r="E12585" s="626"/>
      <c r="F12585" s="626"/>
    </row>
    <row r="12586" spans="1:6">
      <c r="A12586" t="str">
        <f t="shared" si="196"/>
        <v/>
      </c>
      <c r="E12586" s="626"/>
      <c r="F12586" s="626"/>
    </row>
    <row r="12587" spans="1:6">
      <c r="A12587" t="str">
        <f t="shared" si="196"/>
        <v/>
      </c>
      <c r="E12587" s="626"/>
      <c r="F12587" s="626"/>
    </row>
    <row r="12588" spans="1:6">
      <c r="A12588" t="str">
        <f t="shared" si="196"/>
        <v/>
      </c>
      <c r="E12588" s="626"/>
      <c r="F12588" s="626"/>
    </row>
    <row r="12589" spans="1:6">
      <c r="A12589" t="str">
        <f t="shared" si="196"/>
        <v/>
      </c>
      <c r="E12589" s="626"/>
      <c r="F12589" s="626"/>
    </row>
    <row r="12590" spans="1:6">
      <c r="A12590" t="str">
        <f t="shared" si="196"/>
        <v/>
      </c>
      <c r="E12590" s="626"/>
      <c r="F12590" s="626"/>
    </row>
    <row r="12591" spans="1:6">
      <c r="A12591" t="str">
        <f t="shared" si="196"/>
        <v/>
      </c>
      <c r="E12591" s="626"/>
      <c r="F12591" s="626"/>
    </row>
    <row r="12592" spans="1:6">
      <c r="A12592" t="str">
        <f t="shared" si="196"/>
        <v/>
      </c>
      <c r="E12592" s="626"/>
      <c r="F12592" s="626"/>
    </row>
    <row r="12593" spans="1:6">
      <c r="A12593" t="str">
        <f t="shared" si="196"/>
        <v/>
      </c>
      <c r="E12593" s="626"/>
      <c r="F12593" s="626"/>
    </row>
    <row r="12594" spans="1:6">
      <c r="A12594" t="str">
        <f t="shared" si="196"/>
        <v/>
      </c>
      <c r="E12594" s="626"/>
      <c r="F12594" s="626"/>
    </row>
    <row r="12595" spans="1:6">
      <c r="A12595" t="str">
        <f t="shared" si="196"/>
        <v/>
      </c>
      <c r="E12595" s="626"/>
      <c r="F12595" s="626"/>
    </row>
    <row r="12596" spans="1:6">
      <c r="A12596" t="str">
        <f t="shared" si="196"/>
        <v/>
      </c>
      <c r="E12596" s="626"/>
      <c r="F12596" s="626"/>
    </row>
    <row r="12597" spans="1:6">
      <c r="A12597" t="str">
        <f t="shared" si="196"/>
        <v/>
      </c>
      <c r="E12597" s="626"/>
      <c r="F12597" s="626"/>
    </row>
    <row r="12598" spans="1:6">
      <c r="A12598" t="str">
        <f t="shared" si="196"/>
        <v/>
      </c>
      <c r="E12598" s="626"/>
      <c r="F12598" s="626"/>
    </row>
    <row r="12599" spans="1:6">
      <c r="A12599" t="str">
        <f t="shared" si="196"/>
        <v/>
      </c>
      <c r="E12599" s="626"/>
      <c r="F12599" s="626"/>
    </row>
    <row r="12600" spans="1:6">
      <c r="A12600" t="str">
        <f t="shared" si="196"/>
        <v/>
      </c>
      <c r="E12600" s="626"/>
      <c r="F12600" s="626"/>
    </row>
    <row r="12601" spans="1:6">
      <c r="A12601" t="str">
        <f t="shared" si="196"/>
        <v/>
      </c>
      <c r="E12601" s="626"/>
      <c r="F12601" s="626"/>
    </row>
    <row r="12602" spans="1:6">
      <c r="A12602" t="str">
        <f t="shared" si="196"/>
        <v/>
      </c>
      <c r="E12602" s="626"/>
      <c r="F12602" s="626"/>
    </row>
    <row r="12603" spans="1:6">
      <c r="A12603" t="str">
        <f t="shared" si="196"/>
        <v/>
      </c>
      <c r="E12603" s="626"/>
      <c r="F12603" s="626"/>
    </row>
    <row r="12604" spans="1:6">
      <c r="A12604" t="str">
        <f t="shared" si="196"/>
        <v/>
      </c>
      <c r="E12604" s="626"/>
      <c r="F12604" s="626"/>
    </row>
    <row r="12605" spans="1:6">
      <c r="A12605" t="str">
        <f t="shared" si="196"/>
        <v/>
      </c>
      <c r="E12605" s="626"/>
      <c r="F12605" s="626"/>
    </row>
    <row r="12606" spans="1:6">
      <c r="A12606" t="str">
        <f t="shared" si="196"/>
        <v/>
      </c>
      <c r="E12606" s="626"/>
      <c r="F12606" s="626"/>
    </row>
    <row r="12607" spans="1:6">
      <c r="A12607" t="str">
        <f t="shared" si="196"/>
        <v/>
      </c>
      <c r="E12607" s="626"/>
      <c r="F12607" s="626"/>
    </row>
    <row r="12608" spans="1:6">
      <c r="A12608" t="str">
        <f t="shared" si="196"/>
        <v/>
      </c>
      <c r="E12608" s="626"/>
      <c r="F12608" s="626"/>
    </row>
    <row r="12609" spans="1:6">
      <c r="A12609" t="str">
        <f t="shared" si="196"/>
        <v/>
      </c>
      <c r="E12609" s="626"/>
      <c r="F12609" s="626"/>
    </row>
    <row r="12610" spans="1:6">
      <c r="A12610" t="str">
        <f t="shared" ref="A12610:A12673" si="197">B12610&amp;E12610&amp;J12610</f>
        <v/>
      </c>
      <c r="E12610" s="626"/>
      <c r="F12610" s="626"/>
    </row>
    <row r="12611" spans="1:6">
      <c r="A12611" t="str">
        <f t="shared" si="197"/>
        <v/>
      </c>
      <c r="E12611" s="626"/>
      <c r="F12611" s="626"/>
    </row>
    <row r="12612" spans="1:6">
      <c r="A12612" t="str">
        <f t="shared" si="197"/>
        <v/>
      </c>
      <c r="E12612" s="626"/>
      <c r="F12612" s="626"/>
    </row>
    <row r="12613" spans="1:6">
      <c r="A12613" t="str">
        <f t="shared" si="197"/>
        <v/>
      </c>
      <c r="E12613" s="626"/>
      <c r="F12613" s="626"/>
    </row>
    <row r="12614" spans="1:6">
      <c r="A12614" t="str">
        <f t="shared" si="197"/>
        <v/>
      </c>
      <c r="E12614" s="626"/>
      <c r="F12614" s="626"/>
    </row>
    <row r="12615" spans="1:6">
      <c r="A12615" t="str">
        <f t="shared" si="197"/>
        <v/>
      </c>
      <c r="E12615" s="626"/>
      <c r="F12615" s="626"/>
    </row>
    <row r="12616" spans="1:6">
      <c r="A12616" t="str">
        <f t="shared" si="197"/>
        <v/>
      </c>
      <c r="E12616" s="626"/>
      <c r="F12616" s="626"/>
    </row>
    <row r="12617" spans="1:6">
      <c r="A12617" t="str">
        <f t="shared" si="197"/>
        <v/>
      </c>
      <c r="E12617" s="626"/>
      <c r="F12617" s="626"/>
    </row>
    <row r="12618" spans="1:6">
      <c r="A12618" t="str">
        <f t="shared" si="197"/>
        <v/>
      </c>
      <c r="E12618" s="626"/>
      <c r="F12618" s="626"/>
    </row>
    <row r="12619" spans="1:6">
      <c r="A12619" t="str">
        <f t="shared" si="197"/>
        <v/>
      </c>
      <c r="E12619" s="626"/>
      <c r="F12619" s="626"/>
    </row>
    <row r="12620" spans="1:6">
      <c r="A12620" t="str">
        <f t="shared" si="197"/>
        <v/>
      </c>
      <c r="E12620" s="626"/>
      <c r="F12620" s="626"/>
    </row>
    <row r="12621" spans="1:6">
      <c r="A12621" t="str">
        <f t="shared" si="197"/>
        <v/>
      </c>
      <c r="E12621" s="626"/>
      <c r="F12621" s="626"/>
    </row>
    <row r="12622" spans="1:6">
      <c r="A12622" t="str">
        <f t="shared" si="197"/>
        <v/>
      </c>
      <c r="E12622" s="626"/>
      <c r="F12622" s="626"/>
    </row>
    <row r="12623" spans="1:6">
      <c r="A12623" t="str">
        <f t="shared" si="197"/>
        <v/>
      </c>
      <c r="E12623" s="626"/>
      <c r="F12623" s="626"/>
    </row>
    <row r="12624" spans="1:6">
      <c r="A12624" t="str">
        <f t="shared" si="197"/>
        <v/>
      </c>
      <c r="E12624" s="626"/>
      <c r="F12624" s="626"/>
    </row>
    <row r="12625" spans="1:6">
      <c r="A12625" t="str">
        <f t="shared" si="197"/>
        <v/>
      </c>
      <c r="E12625" s="626"/>
      <c r="F12625" s="626"/>
    </row>
    <row r="12626" spans="1:6">
      <c r="A12626" t="str">
        <f t="shared" si="197"/>
        <v/>
      </c>
      <c r="E12626" s="626"/>
      <c r="F12626" s="626"/>
    </row>
    <row r="12627" spans="1:6">
      <c r="A12627" t="str">
        <f t="shared" si="197"/>
        <v/>
      </c>
      <c r="E12627" s="626"/>
      <c r="F12627" s="626"/>
    </row>
    <row r="12628" spans="1:6">
      <c r="A12628" t="str">
        <f t="shared" si="197"/>
        <v/>
      </c>
      <c r="E12628" s="626"/>
      <c r="F12628" s="626"/>
    </row>
    <row r="12629" spans="1:6">
      <c r="A12629" t="str">
        <f t="shared" si="197"/>
        <v/>
      </c>
      <c r="E12629" s="626"/>
      <c r="F12629" s="626"/>
    </row>
    <row r="12630" spans="1:6">
      <c r="A12630" t="str">
        <f t="shared" si="197"/>
        <v/>
      </c>
      <c r="E12630" s="626"/>
      <c r="F12630" s="626"/>
    </row>
    <row r="12631" spans="1:6">
      <c r="A12631" t="str">
        <f t="shared" si="197"/>
        <v/>
      </c>
      <c r="E12631" s="626"/>
      <c r="F12631" s="626"/>
    </row>
    <row r="12632" spans="1:6">
      <c r="A12632" t="str">
        <f t="shared" si="197"/>
        <v/>
      </c>
      <c r="E12632" s="626"/>
      <c r="F12632" s="626"/>
    </row>
    <row r="12633" spans="1:6">
      <c r="A12633" t="str">
        <f t="shared" si="197"/>
        <v/>
      </c>
      <c r="E12633" s="626"/>
      <c r="F12633" s="626"/>
    </row>
    <row r="12634" spans="1:6">
      <c r="A12634" t="str">
        <f t="shared" si="197"/>
        <v/>
      </c>
      <c r="E12634" s="626"/>
      <c r="F12634" s="626"/>
    </row>
    <row r="12635" spans="1:6">
      <c r="A12635" t="str">
        <f t="shared" si="197"/>
        <v/>
      </c>
      <c r="E12635" s="626"/>
      <c r="F12635" s="626"/>
    </row>
    <row r="12636" spans="1:6">
      <c r="A12636" t="str">
        <f t="shared" si="197"/>
        <v/>
      </c>
      <c r="E12636" s="626"/>
      <c r="F12636" s="626"/>
    </row>
    <row r="12637" spans="1:6">
      <c r="A12637" t="str">
        <f t="shared" si="197"/>
        <v/>
      </c>
      <c r="E12637" s="626"/>
      <c r="F12637" s="626"/>
    </row>
    <row r="12638" spans="1:6">
      <c r="A12638" t="str">
        <f t="shared" si="197"/>
        <v/>
      </c>
      <c r="E12638" s="626"/>
      <c r="F12638" s="626"/>
    </row>
    <row r="12639" spans="1:6">
      <c r="A12639" t="str">
        <f t="shared" si="197"/>
        <v/>
      </c>
      <c r="E12639" s="626"/>
      <c r="F12639" s="626"/>
    </row>
    <row r="12640" spans="1:6">
      <c r="A12640" t="str">
        <f t="shared" si="197"/>
        <v/>
      </c>
      <c r="E12640" s="626"/>
      <c r="F12640" s="626"/>
    </row>
    <row r="12641" spans="1:6">
      <c r="A12641" t="str">
        <f t="shared" si="197"/>
        <v/>
      </c>
      <c r="E12641" s="626"/>
      <c r="F12641" s="626"/>
    </row>
    <row r="12642" spans="1:6">
      <c r="A12642" t="str">
        <f t="shared" si="197"/>
        <v/>
      </c>
      <c r="E12642" s="626"/>
      <c r="F12642" s="626"/>
    </row>
    <row r="12643" spans="1:6">
      <c r="A12643" t="str">
        <f t="shared" si="197"/>
        <v/>
      </c>
      <c r="E12643" s="626"/>
      <c r="F12643" s="626"/>
    </row>
    <row r="12644" spans="1:6">
      <c r="A12644" t="str">
        <f t="shared" si="197"/>
        <v/>
      </c>
      <c r="E12644" s="626"/>
      <c r="F12644" s="626"/>
    </row>
    <row r="12645" spans="1:6">
      <c r="A12645" t="str">
        <f t="shared" si="197"/>
        <v/>
      </c>
      <c r="E12645" s="626"/>
      <c r="F12645" s="626"/>
    </row>
    <row r="12646" spans="1:6">
      <c r="A12646" t="str">
        <f t="shared" si="197"/>
        <v/>
      </c>
      <c r="E12646" s="626"/>
      <c r="F12646" s="626"/>
    </row>
    <row r="12647" spans="1:6">
      <c r="A12647" t="str">
        <f t="shared" si="197"/>
        <v/>
      </c>
      <c r="E12647" s="626"/>
      <c r="F12647" s="626"/>
    </row>
    <row r="12648" spans="1:6">
      <c r="A12648" t="str">
        <f t="shared" si="197"/>
        <v/>
      </c>
      <c r="E12648" s="626"/>
      <c r="F12648" s="626"/>
    </row>
    <row r="12649" spans="1:6">
      <c r="A12649" t="str">
        <f t="shared" si="197"/>
        <v/>
      </c>
      <c r="E12649" s="626"/>
      <c r="F12649" s="626"/>
    </row>
    <row r="12650" spans="1:6">
      <c r="A12650" t="str">
        <f t="shared" si="197"/>
        <v/>
      </c>
      <c r="E12650" s="626"/>
      <c r="F12650" s="626"/>
    </row>
    <row r="12651" spans="1:6">
      <c r="A12651" t="str">
        <f t="shared" si="197"/>
        <v/>
      </c>
      <c r="E12651" s="626"/>
      <c r="F12651" s="626"/>
    </row>
    <row r="12652" spans="1:6">
      <c r="A12652" t="str">
        <f t="shared" si="197"/>
        <v/>
      </c>
      <c r="E12652" s="626"/>
      <c r="F12652" s="626"/>
    </row>
    <row r="12653" spans="1:6">
      <c r="A12653" t="str">
        <f t="shared" si="197"/>
        <v/>
      </c>
      <c r="E12653" s="626"/>
      <c r="F12653" s="626"/>
    </row>
    <row r="12654" spans="1:6">
      <c r="A12654" t="str">
        <f t="shared" si="197"/>
        <v/>
      </c>
      <c r="E12654" s="626"/>
      <c r="F12654" s="626"/>
    </row>
    <row r="12655" spans="1:6">
      <c r="A12655" t="str">
        <f t="shared" si="197"/>
        <v/>
      </c>
      <c r="E12655" s="626"/>
      <c r="F12655" s="626"/>
    </row>
    <row r="12656" spans="1:6">
      <c r="A12656" t="str">
        <f t="shared" si="197"/>
        <v/>
      </c>
      <c r="E12656" s="626"/>
      <c r="F12656" s="626"/>
    </row>
    <row r="12657" spans="1:6">
      <c r="A12657" t="str">
        <f t="shared" si="197"/>
        <v/>
      </c>
      <c r="E12657" s="626"/>
      <c r="F12657" s="626"/>
    </row>
    <row r="12658" spans="1:6">
      <c r="A12658" t="str">
        <f t="shared" si="197"/>
        <v/>
      </c>
      <c r="E12658" s="626"/>
      <c r="F12658" s="626"/>
    </row>
    <row r="12659" spans="1:6">
      <c r="A12659" t="str">
        <f t="shared" si="197"/>
        <v/>
      </c>
      <c r="E12659" s="626"/>
      <c r="F12659" s="626"/>
    </row>
    <row r="12660" spans="1:6">
      <c r="A12660" t="str">
        <f t="shared" si="197"/>
        <v/>
      </c>
      <c r="E12660" s="626"/>
      <c r="F12660" s="626"/>
    </row>
    <row r="12661" spans="1:6">
      <c r="A12661" t="str">
        <f t="shared" si="197"/>
        <v/>
      </c>
      <c r="E12661" s="626"/>
      <c r="F12661" s="626"/>
    </row>
    <row r="12662" spans="1:6">
      <c r="A12662" t="str">
        <f t="shared" si="197"/>
        <v/>
      </c>
      <c r="E12662" s="626"/>
      <c r="F12662" s="626"/>
    </row>
    <row r="12663" spans="1:6">
      <c r="A12663" t="str">
        <f t="shared" si="197"/>
        <v/>
      </c>
      <c r="E12663" s="626"/>
      <c r="F12663" s="626"/>
    </row>
    <row r="12664" spans="1:6">
      <c r="A12664" t="str">
        <f t="shared" si="197"/>
        <v/>
      </c>
      <c r="E12664" s="626"/>
      <c r="F12664" s="626"/>
    </row>
    <row r="12665" spans="1:6">
      <c r="A12665" t="str">
        <f t="shared" si="197"/>
        <v/>
      </c>
      <c r="E12665" s="626"/>
      <c r="F12665" s="626"/>
    </row>
    <row r="12666" spans="1:6">
      <c r="A12666" t="str">
        <f t="shared" si="197"/>
        <v/>
      </c>
      <c r="E12666" s="626"/>
      <c r="F12666" s="626"/>
    </row>
    <row r="12667" spans="1:6">
      <c r="A12667" t="str">
        <f t="shared" si="197"/>
        <v/>
      </c>
      <c r="E12667" s="626"/>
      <c r="F12667" s="626"/>
    </row>
    <row r="12668" spans="1:6">
      <c r="A12668" t="str">
        <f t="shared" si="197"/>
        <v/>
      </c>
      <c r="E12668" s="626"/>
      <c r="F12668" s="626"/>
    </row>
    <row r="12669" spans="1:6">
      <c r="A12669" t="str">
        <f t="shared" si="197"/>
        <v/>
      </c>
      <c r="E12669" s="626"/>
      <c r="F12669" s="626"/>
    </row>
    <row r="12670" spans="1:6">
      <c r="A12670" t="str">
        <f t="shared" si="197"/>
        <v/>
      </c>
      <c r="E12670" s="626"/>
      <c r="F12670" s="626"/>
    </row>
    <row r="12671" spans="1:6">
      <c r="A12671" t="str">
        <f t="shared" si="197"/>
        <v/>
      </c>
      <c r="E12671" s="626"/>
      <c r="F12671" s="626"/>
    </row>
    <row r="12672" spans="1:6">
      <c r="A12672" t="str">
        <f t="shared" si="197"/>
        <v/>
      </c>
      <c r="E12672" s="626"/>
      <c r="F12672" s="626"/>
    </row>
    <row r="12673" spans="1:6">
      <c r="A12673" t="str">
        <f t="shared" si="197"/>
        <v/>
      </c>
      <c r="E12673" s="626"/>
      <c r="F12673" s="626"/>
    </row>
    <row r="12674" spans="1:6">
      <c r="A12674" t="str">
        <f t="shared" ref="A12674:A12737" si="198">B12674&amp;E12674&amp;J12674</f>
        <v/>
      </c>
      <c r="E12674" s="626"/>
      <c r="F12674" s="626"/>
    </row>
    <row r="12675" spans="1:6">
      <c r="A12675" t="str">
        <f t="shared" si="198"/>
        <v/>
      </c>
      <c r="E12675" s="626"/>
      <c r="F12675" s="626"/>
    </row>
    <row r="12676" spans="1:6">
      <c r="A12676" t="str">
        <f t="shared" si="198"/>
        <v/>
      </c>
      <c r="E12676" s="626"/>
      <c r="F12676" s="626"/>
    </row>
    <row r="12677" spans="1:6">
      <c r="A12677" t="str">
        <f t="shared" si="198"/>
        <v/>
      </c>
      <c r="E12677" s="626"/>
      <c r="F12677" s="626"/>
    </row>
    <row r="12678" spans="1:6">
      <c r="A12678" t="str">
        <f t="shared" si="198"/>
        <v/>
      </c>
      <c r="E12678" s="626"/>
      <c r="F12678" s="626"/>
    </row>
    <row r="12679" spans="1:6">
      <c r="A12679" t="str">
        <f t="shared" si="198"/>
        <v/>
      </c>
      <c r="E12679" s="626"/>
      <c r="F12679" s="626"/>
    </row>
    <row r="12680" spans="1:6">
      <c r="A12680" t="str">
        <f t="shared" si="198"/>
        <v/>
      </c>
      <c r="E12680" s="626"/>
      <c r="F12680" s="626"/>
    </row>
    <row r="12681" spans="1:6">
      <c r="A12681" t="str">
        <f t="shared" si="198"/>
        <v/>
      </c>
      <c r="E12681" s="626"/>
      <c r="F12681" s="626"/>
    </row>
    <row r="12682" spans="1:6">
      <c r="A12682" t="str">
        <f t="shared" si="198"/>
        <v/>
      </c>
      <c r="E12682" s="626"/>
      <c r="F12682" s="626"/>
    </row>
    <row r="12683" spans="1:6">
      <c r="A12683" t="str">
        <f t="shared" si="198"/>
        <v/>
      </c>
      <c r="E12683" s="626"/>
      <c r="F12683" s="626"/>
    </row>
    <row r="12684" spans="1:6">
      <c r="A12684" t="str">
        <f t="shared" si="198"/>
        <v/>
      </c>
      <c r="E12684" s="626"/>
      <c r="F12684" s="626"/>
    </row>
    <row r="12685" spans="1:6">
      <c r="A12685" t="str">
        <f t="shared" si="198"/>
        <v/>
      </c>
      <c r="E12685" s="626"/>
      <c r="F12685" s="626"/>
    </row>
    <row r="12686" spans="1:6">
      <c r="A12686" t="str">
        <f t="shared" si="198"/>
        <v/>
      </c>
      <c r="E12686" s="626"/>
      <c r="F12686" s="626"/>
    </row>
    <row r="12687" spans="1:6">
      <c r="A12687" t="str">
        <f t="shared" si="198"/>
        <v/>
      </c>
      <c r="E12687" s="626"/>
      <c r="F12687" s="626"/>
    </row>
    <row r="12688" spans="1:6">
      <c r="A12688" t="str">
        <f t="shared" si="198"/>
        <v/>
      </c>
      <c r="E12688" s="626"/>
      <c r="F12688" s="626"/>
    </row>
    <row r="12689" spans="1:6">
      <c r="A12689" t="str">
        <f t="shared" si="198"/>
        <v/>
      </c>
      <c r="E12689" s="626"/>
      <c r="F12689" s="626"/>
    </row>
    <row r="12690" spans="1:6">
      <c r="A12690" t="str">
        <f t="shared" si="198"/>
        <v/>
      </c>
      <c r="E12690" s="626"/>
      <c r="F12690" s="626"/>
    </row>
    <row r="12691" spans="1:6">
      <c r="A12691" t="str">
        <f t="shared" si="198"/>
        <v/>
      </c>
      <c r="E12691" s="626"/>
      <c r="F12691" s="626"/>
    </row>
    <row r="12692" spans="1:6">
      <c r="A12692" t="str">
        <f t="shared" si="198"/>
        <v/>
      </c>
      <c r="E12692" s="626"/>
      <c r="F12692" s="626"/>
    </row>
    <row r="12693" spans="1:6">
      <c r="A12693" t="str">
        <f t="shared" si="198"/>
        <v/>
      </c>
      <c r="E12693" s="626"/>
      <c r="F12693" s="626"/>
    </row>
    <row r="12694" spans="1:6">
      <c r="A12694" t="str">
        <f t="shared" si="198"/>
        <v/>
      </c>
      <c r="E12694" s="626"/>
      <c r="F12694" s="626"/>
    </row>
    <row r="12695" spans="1:6">
      <c r="A12695" t="str">
        <f t="shared" si="198"/>
        <v/>
      </c>
      <c r="E12695" s="626"/>
      <c r="F12695" s="626"/>
    </row>
    <row r="12696" spans="1:6">
      <c r="A12696" t="str">
        <f t="shared" si="198"/>
        <v/>
      </c>
      <c r="E12696" s="626"/>
      <c r="F12696" s="626"/>
    </row>
    <row r="12697" spans="1:6">
      <c r="A12697" t="str">
        <f t="shared" si="198"/>
        <v/>
      </c>
      <c r="E12697" s="626"/>
      <c r="F12697" s="626"/>
    </row>
    <row r="12698" spans="1:6">
      <c r="A12698" t="str">
        <f t="shared" si="198"/>
        <v/>
      </c>
      <c r="E12698" s="626"/>
      <c r="F12698" s="626"/>
    </row>
    <row r="12699" spans="1:6">
      <c r="A12699" t="str">
        <f t="shared" si="198"/>
        <v/>
      </c>
      <c r="E12699" s="626"/>
      <c r="F12699" s="626"/>
    </row>
    <row r="12700" spans="1:6">
      <c r="A12700" t="str">
        <f t="shared" si="198"/>
        <v/>
      </c>
      <c r="E12700" s="626"/>
      <c r="F12700" s="626"/>
    </row>
    <row r="12701" spans="1:6">
      <c r="A12701" t="str">
        <f t="shared" si="198"/>
        <v/>
      </c>
      <c r="E12701" s="626"/>
      <c r="F12701" s="626"/>
    </row>
    <row r="12702" spans="1:6">
      <c r="A12702" t="str">
        <f t="shared" si="198"/>
        <v/>
      </c>
      <c r="E12702" s="626"/>
      <c r="F12702" s="626"/>
    </row>
    <row r="12703" spans="1:6">
      <c r="A12703" t="str">
        <f t="shared" si="198"/>
        <v/>
      </c>
      <c r="E12703" s="626"/>
      <c r="F12703" s="626"/>
    </row>
    <row r="12704" spans="1:6">
      <c r="A12704" t="str">
        <f t="shared" si="198"/>
        <v/>
      </c>
      <c r="E12704" s="626"/>
      <c r="F12704" s="626"/>
    </row>
    <row r="12705" spans="1:6">
      <c r="A12705" t="str">
        <f t="shared" si="198"/>
        <v/>
      </c>
      <c r="E12705" s="626"/>
      <c r="F12705" s="626"/>
    </row>
    <row r="12706" spans="1:6">
      <c r="A12706" t="str">
        <f t="shared" si="198"/>
        <v/>
      </c>
      <c r="E12706" s="626"/>
      <c r="F12706" s="626"/>
    </row>
    <row r="12707" spans="1:6">
      <c r="A12707" t="str">
        <f t="shared" si="198"/>
        <v/>
      </c>
      <c r="E12707" s="626"/>
      <c r="F12707" s="626"/>
    </row>
    <row r="12708" spans="1:6">
      <c r="A12708" t="str">
        <f t="shared" si="198"/>
        <v/>
      </c>
      <c r="E12708" s="626"/>
      <c r="F12708" s="626"/>
    </row>
    <row r="12709" spans="1:6">
      <c r="A12709" t="str">
        <f t="shared" si="198"/>
        <v/>
      </c>
      <c r="E12709" s="626"/>
      <c r="F12709" s="626"/>
    </row>
    <row r="12710" spans="1:6">
      <c r="A12710" t="str">
        <f t="shared" si="198"/>
        <v/>
      </c>
      <c r="E12710" s="626"/>
      <c r="F12710" s="626"/>
    </row>
    <row r="12711" spans="1:6">
      <c r="A12711" t="str">
        <f t="shared" si="198"/>
        <v/>
      </c>
      <c r="E12711" s="626"/>
      <c r="F12711" s="626"/>
    </row>
    <row r="12712" spans="1:6">
      <c r="A12712" t="str">
        <f t="shared" si="198"/>
        <v/>
      </c>
      <c r="E12712" s="626"/>
      <c r="F12712" s="626"/>
    </row>
    <row r="12713" spans="1:6">
      <c r="A12713" t="str">
        <f t="shared" si="198"/>
        <v/>
      </c>
      <c r="E12713" s="626"/>
      <c r="F12713" s="626"/>
    </row>
    <row r="12714" spans="1:6">
      <c r="A12714" t="str">
        <f t="shared" si="198"/>
        <v/>
      </c>
      <c r="E12714" s="626"/>
      <c r="F12714" s="626"/>
    </row>
    <row r="12715" spans="1:6">
      <c r="A12715" t="str">
        <f t="shared" si="198"/>
        <v/>
      </c>
      <c r="E12715" s="626"/>
      <c r="F12715" s="626"/>
    </row>
    <row r="12716" spans="1:6">
      <c r="A12716" t="str">
        <f t="shared" si="198"/>
        <v/>
      </c>
      <c r="E12716" s="626"/>
      <c r="F12716" s="626"/>
    </row>
    <row r="12717" spans="1:6">
      <c r="A12717" t="str">
        <f t="shared" si="198"/>
        <v/>
      </c>
      <c r="E12717" s="626"/>
      <c r="F12717" s="626"/>
    </row>
    <row r="12718" spans="1:6">
      <c r="A12718" t="str">
        <f t="shared" si="198"/>
        <v/>
      </c>
      <c r="E12718" s="626"/>
      <c r="F12718" s="626"/>
    </row>
    <row r="12719" spans="1:6">
      <c r="A12719" t="str">
        <f t="shared" si="198"/>
        <v/>
      </c>
      <c r="E12719" s="626"/>
      <c r="F12719" s="626"/>
    </row>
    <row r="12720" spans="1:6">
      <c r="A12720" t="str">
        <f t="shared" si="198"/>
        <v/>
      </c>
      <c r="E12720" s="626"/>
      <c r="F12720" s="626"/>
    </row>
    <row r="12721" spans="1:6">
      <c r="A12721" t="str">
        <f t="shared" si="198"/>
        <v/>
      </c>
      <c r="E12721" s="626"/>
      <c r="F12721" s="626"/>
    </row>
    <row r="12722" spans="1:6">
      <c r="A12722" t="str">
        <f t="shared" si="198"/>
        <v/>
      </c>
      <c r="E12722" s="626"/>
      <c r="F12722" s="626"/>
    </row>
    <row r="12723" spans="1:6">
      <c r="A12723" t="str">
        <f t="shared" si="198"/>
        <v/>
      </c>
      <c r="E12723" s="626"/>
      <c r="F12723" s="626"/>
    </row>
    <row r="12724" spans="1:6">
      <c r="A12724" t="str">
        <f t="shared" si="198"/>
        <v/>
      </c>
      <c r="E12724" s="626"/>
      <c r="F12724" s="626"/>
    </row>
    <row r="12725" spans="1:6">
      <c r="A12725" t="str">
        <f t="shared" si="198"/>
        <v/>
      </c>
      <c r="E12725" s="626"/>
      <c r="F12725" s="626"/>
    </row>
    <row r="12726" spans="1:6">
      <c r="A12726" t="str">
        <f t="shared" si="198"/>
        <v/>
      </c>
      <c r="E12726" s="626"/>
      <c r="F12726" s="626"/>
    </row>
    <row r="12727" spans="1:6">
      <c r="A12727" t="str">
        <f t="shared" si="198"/>
        <v/>
      </c>
      <c r="E12727" s="626"/>
      <c r="F12727" s="626"/>
    </row>
    <row r="12728" spans="1:6">
      <c r="A12728" t="str">
        <f t="shared" si="198"/>
        <v/>
      </c>
      <c r="E12728" s="626"/>
      <c r="F12728" s="626"/>
    </row>
    <row r="12729" spans="1:6">
      <c r="A12729" t="str">
        <f t="shared" si="198"/>
        <v/>
      </c>
      <c r="E12729" s="626"/>
      <c r="F12729" s="626"/>
    </row>
    <row r="12730" spans="1:6">
      <c r="A12730" t="str">
        <f t="shared" si="198"/>
        <v/>
      </c>
      <c r="E12730" s="626"/>
      <c r="F12730" s="626"/>
    </row>
    <row r="12731" spans="1:6">
      <c r="A12731" t="str">
        <f t="shared" si="198"/>
        <v/>
      </c>
      <c r="E12731" s="626"/>
      <c r="F12731" s="626"/>
    </row>
    <row r="12732" spans="1:6">
      <c r="A12732" t="str">
        <f t="shared" si="198"/>
        <v/>
      </c>
      <c r="E12732" s="626"/>
      <c r="F12732" s="626"/>
    </row>
    <row r="12733" spans="1:6">
      <c r="A12733" t="str">
        <f t="shared" si="198"/>
        <v/>
      </c>
      <c r="E12733" s="626"/>
      <c r="F12733" s="626"/>
    </row>
    <row r="12734" spans="1:6">
      <c r="A12734" t="str">
        <f t="shared" si="198"/>
        <v/>
      </c>
      <c r="E12734" s="626"/>
      <c r="F12734" s="626"/>
    </row>
    <row r="12735" spans="1:6">
      <c r="A12735" t="str">
        <f t="shared" si="198"/>
        <v/>
      </c>
      <c r="E12735" s="626"/>
      <c r="F12735" s="626"/>
    </row>
    <row r="12736" spans="1:6">
      <c r="A12736" t="str">
        <f t="shared" si="198"/>
        <v/>
      </c>
      <c r="E12736" s="626"/>
      <c r="F12736" s="626"/>
    </row>
    <row r="12737" spans="1:6">
      <c r="A12737" t="str">
        <f t="shared" si="198"/>
        <v/>
      </c>
      <c r="E12737" s="626"/>
      <c r="F12737" s="626"/>
    </row>
    <row r="12738" spans="1:6">
      <c r="A12738" t="str">
        <f t="shared" ref="A12738:A12801" si="199">B12738&amp;E12738&amp;J12738</f>
        <v/>
      </c>
      <c r="E12738" s="626"/>
      <c r="F12738" s="626"/>
    </row>
    <row r="12739" spans="1:6">
      <c r="A12739" t="str">
        <f t="shared" si="199"/>
        <v/>
      </c>
      <c r="E12739" s="626"/>
      <c r="F12739" s="626"/>
    </row>
    <row r="12740" spans="1:6">
      <c r="A12740" t="str">
        <f t="shared" si="199"/>
        <v/>
      </c>
      <c r="E12740" s="626"/>
      <c r="F12740" s="626"/>
    </row>
    <row r="12741" spans="1:6">
      <c r="A12741" t="str">
        <f t="shared" si="199"/>
        <v/>
      </c>
      <c r="E12741" s="626"/>
      <c r="F12741" s="626"/>
    </row>
    <row r="12742" spans="1:6">
      <c r="A12742" t="str">
        <f t="shared" si="199"/>
        <v/>
      </c>
      <c r="E12742" s="626"/>
      <c r="F12742" s="626"/>
    </row>
    <row r="12743" spans="1:6">
      <c r="A12743" t="str">
        <f t="shared" si="199"/>
        <v/>
      </c>
      <c r="E12743" s="626"/>
      <c r="F12743" s="626"/>
    </row>
    <row r="12744" spans="1:6">
      <c r="A12744" t="str">
        <f t="shared" si="199"/>
        <v/>
      </c>
      <c r="E12744" s="626"/>
      <c r="F12744" s="626"/>
    </row>
    <row r="12745" spans="1:6">
      <c r="A12745" t="str">
        <f t="shared" si="199"/>
        <v/>
      </c>
      <c r="E12745" s="626"/>
      <c r="F12745" s="626"/>
    </row>
    <row r="12746" spans="1:6">
      <c r="A12746" t="str">
        <f t="shared" si="199"/>
        <v/>
      </c>
      <c r="E12746" s="626"/>
      <c r="F12746" s="626"/>
    </row>
    <row r="12747" spans="1:6">
      <c r="A12747" t="str">
        <f t="shared" si="199"/>
        <v/>
      </c>
      <c r="E12747" s="626"/>
      <c r="F12747" s="626"/>
    </row>
    <row r="12748" spans="1:6">
      <c r="A12748" t="str">
        <f t="shared" si="199"/>
        <v/>
      </c>
      <c r="E12748" s="626"/>
      <c r="F12748" s="626"/>
    </row>
    <row r="12749" spans="1:6">
      <c r="A12749" t="str">
        <f t="shared" si="199"/>
        <v/>
      </c>
      <c r="E12749" s="626"/>
      <c r="F12749" s="626"/>
    </row>
    <row r="12750" spans="1:6">
      <c r="A12750" t="str">
        <f t="shared" si="199"/>
        <v/>
      </c>
      <c r="E12750" s="626"/>
      <c r="F12750" s="626"/>
    </row>
    <row r="12751" spans="1:6">
      <c r="A12751" t="str">
        <f t="shared" si="199"/>
        <v/>
      </c>
      <c r="E12751" s="626"/>
      <c r="F12751" s="626"/>
    </row>
    <row r="12752" spans="1:6">
      <c r="A12752" t="str">
        <f t="shared" si="199"/>
        <v/>
      </c>
      <c r="E12752" s="626"/>
      <c r="F12752" s="626"/>
    </row>
    <row r="12753" spans="1:6">
      <c r="A12753" t="str">
        <f t="shared" si="199"/>
        <v/>
      </c>
      <c r="E12753" s="626"/>
      <c r="F12753" s="626"/>
    </row>
    <row r="12754" spans="1:6">
      <c r="A12754" t="str">
        <f t="shared" si="199"/>
        <v/>
      </c>
      <c r="E12754" s="626"/>
      <c r="F12754" s="626"/>
    </row>
    <row r="12755" spans="1:6">
      <c r="A12755" t="str">
        <f t="shared" si="199"/>
        <v/>
      </c>
      <c r="E12755" s="626"/>
      <c r="F12755" s="626"/>
    </row>
    <row r="12756" spans="1:6">
      <c r="A12756" t="str">
        <f t="shared" si="199"/>
        <v/>
      </c>
      <c r="E12756" s="626"/>
      <c r="F12756" s="626"/>
    </row>
    <row r="12757" spans="1:6">
      <c r="A12757" t="str">
        <f t="shared" si="199"/>
        <v/>
      </c>
      <c r="E12757" s="626"/>
      <c r="F12757" s="626"/>
    </row>
    <row r="12758" spans="1:6">
      <c r="A12758" t="str">
        <f t="shared" si="199"/>
        <v/>
      </c>
      <c r="E12758" s="626"/>
      <c r="F12758" s="626"/>
    </row>
    <row r="12759" spans="1:6">
      <c r="A12759" t="str">
        <f t="shared" si="199"/>
        <v/>
      </c>
      <c r="E12759" s="626"/>
      <c r="F12759" s="626"/>
    </row>
    <row r="12760" spans="1:6">
      <c r="A12760" t="str">
        <f t="shared" si="199"/>
        <v/>
      </c>
      <c r="E12760" s="626"/>
      <c r="F12760" s="626"/>
    </row>
    <row r="12761" spans="1:6">
      <c r="A12761" t="str">
        <f t="shared" si="199"/>
        <v/>
      </c>
      <c r="E12761" s="626"/>
      <c r="F12761" s="626"/>
    </row>
    <row r="12762" spans="1:6">
      <c r="A12762" t="str">
        <f t="shared" si="199"/>
        <v/>
      </c>
      <c r="E12762" s="626"/>
      <c r="F12762" s="626"/>
    </row>
    <row r="12763" spans="1:6">
      <c r="A12763" t="str">
        <f t="shared" si="199"/>
        <v/>
      </c>
      <c r="E12763" s="626"/>
      <c r="F12763" s="626"/>
    </row>
    <row r="12764" spans="1:6">
      <c r="A12764" t="str">
        <f t="shared" si="199"/>
        <v/>
      </c>
      <c r="E12764" s="626"/>
      <c r="F12764" s="626"/>
    </row>
    <row r="12765" spans="1:6">
      <c r="A12765" t="str">
        <f t="shared" si="199"/>
        <v/>
      </c>
      <c r="E12765" s="626"/>
      <c r="F12765" s="626"/>
    </row>
    <row r="12766" spans="1:6">
      <c r="A12766" t="str">
        <f t="shared" si="199"/>
        <v/>
      </c>
      <c r="E12766" s="626"/>
      <c r="F12766" s="626"/>
    </row>
    <row r="12767" spans="1:6">
      <c r="A12767" t="str">
        <f t="shared" si="199"/>
        <v/>
      </c>
      <c r="E12767" s="626"/>
      <c r="F12767" s="626"/>
    </row>
    <row r="12768" spans="1:6">
      <c r="A12768" t="str">
        <f t="shared" si="199"/>
        <v/>
      </c>
      <c r="E12768" s="626"/>
      <c r="F12768" s="626"/>
    </row>
    <row r="12769" spans="1:6">
      <c r="A12769" t="str">
        <f t="shared" si="199"/>
        <v/>
      </c>
      <c r="E12769" s="626"/>
      <c r="F12769" s="626"/>
    </row>
    <row r="12770" spans="1:6">
      <c r="A12770" t="str">
        <f t="shared" si="199"/>
        <v/>
      </c>
      <c r="E12770" s="626"/>
      <c r="F12770" s="626"/>
    </row>
    <row r="12771" spans="1:6">
      <c r="A12771" t="str">
        <f t="shared" si="199"/>
        <v/>
      </c>
      <c r="E12771" s="626"/>
      <c r="F12771" s="626"/>
    </row>
    <row r="12772" spans="1:6">
      <c r="A12772" t="str">
        <f t="shared" si="199"/>
        <v/>
      </c>
      <c r="E12772" s="626"/>
      <c r="F12772" s="626"/>
    </row>
    <row r="12773" spans="1:6">
      <c r="A12773" t="str">
        <f t="shared" si="199"/>
        <v/>
      </c>
      <c r="E12773" s="626"/>
      <c r="F12773" s="626"/>
    </row>
    <row r="12774" spans="1:6">
      <c r="A12774" t="str">
        <f t="shared" si="199"/>
        <v/>
      </c>
      <c r="E12774" s="626"/>
      <c r="F12774" s="626"/>
    </row>
    <row r="12775" spans="1:6">
      <c r="A12775" t="str">
        <f t="shared" si="199"/>
        <v/>
      </c>
      <c r="E12775" s="626"/>
      <c r="F12775" s="626"/>
    </row>
    <row r="12776" spans="1:6">
      <c r="A12776" t="str">
        <f t="shared" si="199"/>
        <v/>
      </c>
      <c r="E12776" s="626"/>
      <c r="F12776" s="626"/>
    </row>
    <row r="12777" spans="1:6">
      <c r="A12777" t="str">
        <f t="shared" si="199"/>
        <v/>
      </c>
      <c r="E12777" s="626"/>
      <c r="F12777" s="626"/>
    </row>
    <row r="12778" spans="1:6">
      <c r="A12778" t="str">
        <f t="shared" si="199"/>
        <v/>
      </c>
      <c r="E12778" s="626"/>
      <c r="F12778" s="626"/>
    </row>
    <row r="12779" spans="1:6">
      <c r="A12779" t="str">
        <f t="shared" si="199"/>
        <v/>
      </c>
      <c r="E12779" s="626"/>
      <c r="F12779" s="626"/>
    </row>
    <row r="12780" spans="1:6">
      <c r="A12780" t="str">
        <f t="shared" si="199"/>
        <v/>
      </c>
      <c r="E12780" s="626"/>
      <c r="F12780" s="626"/>
    </row>
    <row r="12781" spans="1:6">
      <c r="A12781" t="str">
        <f t="shared" si="199"/>
        <v/>
      </c>
      <c r="E12781" s="626"/>
      <c r="F12781" s="626"/>
    </row>
    <row r="12782" spans="1:6">
      <c r="A12782" t="str">
        <f t="shared" si="199"/>
        <v/>
      </c>
      <c r="E12782" s="626"/>
      <c r="F12782" s="626"/>
    </row>
    <row r="12783" spans="1:6">
      <c r="A12783" t="str">
        <f t="shared" si="199"/>
        <v/>
      </c>
      <c r="E12783" s="626"/>
      <c r="F12783" s="626"/>
    </row>
    <row r="12784" spans="1:6">
      <c r="A12784" t="str">
        <f t="shared" si="199"/>
        <v/>
      </c>
      <c r="E12784" s="626"/>
      <c r="F12784" s="626"/>
    </row>
    <row r="12785" spans="1:6">
      <c r="A12785" t="str">
        <f t="shared" si="199"/>
        <v/>
      </c>
      <c r="E12785" s="626"/>
      <c r="F12785" s="626"/>
    </row>
    <row r="12786" spans="1:6">
      <c r="A12786" t="str">
        <f t="shared" si="199"/>
        <v/>
      </c>
      <c r="E12786" s="626"/>
      <c r="F12786" s="626"/>
    </row>
    <row r="12787" spans="1:6">
      <c r="A12787" t="str">
        <f t="shared" si="199"/>
        <v/>
      </c>
      <c r="E12787" s="626"/>
      <c r="F12787" s="626"/>
    </row>
    <row r="12788" spans="1:6">
      <c r="A12788" t="str">
        <f t="shared" si="199"/>
        <v/>
      </c>
      <c r="E12788" s="626"/>
      <c r="F12788" s="626"/>
    </row>
    <row r="12789" spans="1:6">
      <c r="A12789" t="str">
        <f t="shared" si="199"/>
        <v/>
      </c>
      <c r="E12789" s="626"/>
      <c r="F12789" s="626"/>
    </row>
    <row r="12790" spans="1:6">
      <c r="A12790" t="str">
        <f t="shared" si="199"/>
        <v/>
      </c>
      <c r="E12790" s="626"/>
      <c r="F12790" s="626"/>
    </row>
    <row r="12791" spans="1:6">
      <c r="A12791" t="str">
        <f t="shared" si="199"/>
        <v/>
      </c>
      <c r="E12791" s="626"/>
      <c r="F12791" s="626"/>
    </row>
    <row r="12792" spans="1:6">
      <c r="A12792" t="str">
        <f t="shared" si="199"/>
        <v/>
      </c>
      <c r="E12792" s="626"/>
      <c r="F12792" s="626"/>
    </row>
    <row r="12793" spans="1:6">
      <c r="A12793" t="str">
        <f t="shared" si="199"/>
        <v/>
      </c>
      <c r="E12793" s="626"/>
      <c r="F12793" s="626"/>
    </row>
    <row r="12794" spans="1:6">
      <c r="A12794" t="str">
        <f t="shared" si="199"/>
        <v/>
      </c>
      <c r="E12794" s="626"/>
      <c r="F12794" s="626"/>
    </row>
    <row r="12795" spans="1:6">
      <c r="A12795" t="str">
        <f t="shared" si="199"/>
        <v/>
      </c>
      <c r="E12795" s="626"/>
      <c r="F12795" s="626"/>
    </row>
    <row r="12796" spans="1:6">
      <c r="A12796" t="str">
        <f t="shared" si="199"/>
        <v/>
      </c>
      <c r="E12796" s="626"/>
      <c r="F12796" s="626"/>
    </row>
    <row r="12797" spans="1:6">
      <c r="A12797" t="str">
        <f t="shared" si="199"/>
        <v/>
      </c>
      <c r="E12797" s="626"/>
      <c r="F12797" s="626"/>
    </row>
    <row r="12798" spans="1:6">
      <c r="A12798" t="str">
        <f t="shared" si="199"/>
        <v/>
      </c>
      <c r="E12798" s="626"/>
      <c r="F12798" s="626"/>
    </row>
    <row r="12799" spans="1:6">
      <c r="A12799" t="str">
        <f t="shared" si="199"/>
        <v/>
      </c>
      <c r="E12799" s="626"/>
      <c r="F12799" s="626"/>
    </row>
    <row r="12800" spans="1:6">
      <c r="A12800" t="str">
        <f t="shared" si="199"/>
        <v/>
      </c>
      <c r="E12800" s="626"/>
      <c r="F12800" s="626"/>
    </row>
    <row r="12801" spans="1:6">
      <c r="A12801" t="str">
        <f t="shared" si="199"/>
        <v/>
      </c>
      <c r="E12801" s="626"/>
      <c r="F12801" s="626"/>
    </row>
    <row r="12802" spans="1:6">
      <c r="A12802" t="str">
        <f t="shared" ref="A12802:A12865" si="200">B12802&amp;E12802&amp;J12802</f>
        <v/>
      </c>
      <c r="E12802" s="626"/>
      <c r="F12802" s="626"/>
    </row>
    <row r="12803" spans="1:6">
      <c r="A12803" t="str">
        <f t="shared" si="200"/>
        <v/>
      </c>
      <c r="E12803" s="626"/>
      <c r="F12803" s="626"/>
    </row>
    <row r="12804" spans="1:6">
      <c r="A12804" t="str">
        <f t="shared" si="200"/>
        <v/>
      </c>
      <c r="E12804" s="626"/>
      <c r="F12804" s="626"/>
    </row>
    <row r="12805" spans="1:6">
      <c r="A12805" t="str">
        <f t="shared" si="200"/>
        <v/>
      </c>
      <c r="E12805" s="626"/>
      <c r="F12805" s="626"/>
    </row>
    <row r="12806" spans="1:6">
      <c r="A12806" t="str">
        <f t="shared" si="200"/>
        <v/>
      </c>
      <c r="E12806" s="626"/>
      <c r="F12806" s="626"/>
    </row>
    <row r="12807" spans="1:6">
      <c r="A12807" t="str">
        <f t="shared" si="200"/>
        <v/>
      </c>
      <c r="E12807" s="626"/>
      <c r="F12807" s="626"/>
    </row>
    <row r="12808" spans="1:6">
      <c r="A12808" t="str">
        <f t="shared" si="200"/>
        <v/>
      </c>
      <c r="E12808" s="626"/>
      <c r="F12808" s="626"/>
    </row>
    <row r="12809" spans="1:6">
      <c r="A12809" t="str">
        <f t="shared" si="200"/>
        <v/>
      </c>
      <c r="E12809" s="626"/>
      <c r="F12809" s="626"/>
    </row>
    <row r="12810" spans="1:6">
      <c r="A12810" t="str">
        <f t="shared" si="200"/>
        <v/>
      </c>
      <c r="E12810" s="626"/>
      <c r="F12810" s="626"/>
    </row>
    <row r="12811" spans="1:6">
      <c r="A12811" t="str">
        <f t="shared" si="200"/>
        <v/>
      </c>
      <c r="E12811" s="626"/>
      <c r="F12811" s="626"/>
    </row>
    <row r="12812" spans="1:6">
      <c r="A12812" t="str">
        <f t="shared" si="200"/>
        <v/>
      </c>
      <c r="E12812" s="626"/>
      <c r="F12812" s="626"/>
    </row>
    <row r="12813" spans="1:6">
      <c r="A12813" t="str">
        <f t="shared" si="200"/>
        <v/>
      </c>
      <c r="E12813" s="626"/>
      <c r="F12813" s="626"/>
    </row>
    <row r="12814" spans="1:6">
      <c r="A12814" t="str">
        <f t="shared" si="200"/>
        <v/>
      </c>
      <c r="E12814" s="626"/>
      <c r="F12814" s="626"/>
    </row>
    <row r="12815" spans="1:6">
      <c r="A12815" t="str">
        <f t="shared" si="200"/>
        <v/>
      </c>
      <c r="E12815" s="626"/>
      <c r="F12815" s="626"/>
    </row>
    <row r="12816" spans="1:6">
      <c r="A12816" t="str">
        <f t="shared" si="200"/>
        <v/>
      </c>
      <c r="E12816" s="626"/>
      <c r="F12816" s="626"/>
    </row>
    <row r="12817" spans="1:6">
      <c r="A12817" t="str">
        <f t="shared" si="200"/>
        <v/>
      </c>
      <c r="E12817" s="626"/>
      <c r="F12817" s="626"/>
    </row>
    <row r="12818" spans="1:6">
      <c r="A12818" t="str">
        <f t="shared" si="200"/>
        <v/>
      </c>
      <c r="E12818" s="626"/>
      <c r="F12818" s="626"/>
    </row>
    <row r="12819" spans="1:6">
      <c r="A12819" t="str">
        <f t="shared" si="200"/>
        <v/>
      </c>
      <c r="E12819" s="626"/>
      <c r="F12819" s="626"/>
    </row>
    <row r="12820" spans="1:6">
      <c r="A12820" t="str">
        <f t="shared" si="200"/>
        <v/>
      </c>
      <c r="E12820" s="626"/>
      <c r="F12820" s="626"/>
    </row>
    <row r="12821" spans="1:6">
      <c r="A12821" t="str">
        <f t="shared" si="200"/>
        <v/>
      </c>
      <c r="E12821" s="626"/>
      <c r="F12821" s="626"/>
    </row>
    <row r="12822" spans="1:6">
      <c r="A12822" t="str">
        <f t="shared" si="200"/>
        <v/>
      </c>
      <c r="E12822" s="626"/>
      <c r="F12822" s="626"/>
    </row>
    <row r="12823" spans="1:6">
      <c r="A12823" t="str">
        <f t="shared" si="200"/>
        <v/>
      </c>
      <c r="E12823" s="626"/>
      <c r="F12823" s="626"/>
    </row>
    <row r="12824" spans="1:6">
      <c r="A12824" t="str">
        <f t="shared" si="200"/>
        <v/>
      </c>
      <c r="E12824" s="626"/>
      <c r="F12824" s="626"/>
    </row>
    <row r="12825" spans="1:6">
      <c r="A12825" t="str">
        <f t="shared" si="200"/>
        <v/>
      </c>
      <c r="E12825" s="626"/>
      <c r="F12825" s="626"/>
    </row>
    <row r="12826" spans="1:6">
      <c r="A12826" t="str">
        <f t="shared" si="200"/>
        <v/>
      </c>
      <c r="E12826" s="626"/>
      <c r="F12826" s="626"/>
    </row>
    <row r="12827" spans="1:6">
      <c r="A12827" t="str">
        <f t="shared" si="200"/>
        <v/>
      </c>
      <c r="E12827" s="626"/>
      <c r="F12827" s="626"/>
    </row>
    <row r="12828" spans="1:6">
      <c r="A12828" t="str">
        <f t="shared" si="200"/>
        <v/>
      </c>
      <c r="E12828" s="626"/>
      <c r="F12828" s="626"/>
    </row>
    <row r="12829" spans="1:6">
      <c r="A12829" t="str">
        <f t="shared" si="200"/>
        <v/>
      </c>
      <c r="E12829" s="626"/>
      <c r="F12829" s="626"/>
    </row>
    <row r="12830" spans="1:6">
      <c r="A12830" t="str">
        <f t="shared" si="200"/>
        <v/>
      </c>
      <c r="E12830" s="626"/>
      <c r="F12830" s="626"/>
    </row>
    <row r="12831" spans="1:6">
      <c r="A12831" t="str">
        <f t="shared" si="200"/>
        <v/>
      </c>
      <c r="E12831" s="626"/>
      <c r="F12831" s="626"/>
    </row>
    <row r="12832" spans="1:6">
      <c r="A12832" t="str">
        <f t="shared" si="200"/>
        <v/>
      </c>
      <c r="E12832" s="626"/>
      <c r="F12832" s="626"/>
    </row>
    <row r="12833" spans="1:6">
      <c r="A12833" t="str">
        <f t="shared" si="200"/>
        <v/>
      </c>
      <c r="E12833" s="626"/>
      <c r="F12833" s="626"/>
    </row>
    <row r="12834" spans="1:6">
      <c r="A12834" t="str">
        <f t="shared" si="200"/>
        <v/>
      </c>
      <c r="E12834" s="626"/>
      <c r="F12834" s="626"/>
    </row>
    <row r="12835" spans="1:6">
      <c r="A12835" t="str">
        <f t="shared" si="200"/>
        <v/>
      </c>
      <c r="E12835" s="626"/>
      <c r="F12835" s="626"/>
    </row>
    <row r="12836" spans="1:6">
      <c r="A12836" t="str">
        <f t="shared" si="200"/>
        <v/>
      </c>
      <c r="E12836" s="626"/>
      <c r="F12836" s="626"/>
    </row>
    <row r="12837" spans="1:6">
      <c r="A12837" t="str">
        <f t="shared" si="200"/>
        <v/>
      </c>
      <c r="E12837" s="626"/>
      <c r="F12837" s="626"/>
    </row>
    <row r="12838" spans="1:6">
      <c r="A12838" t="str">
        <f t="shared" si="200"/>
        <v/>
      </c>
      <c r="E12838" s="626"/>
      <c r="F12838" s="626"/>
    </row>
    <row r="12839" spans="1:6">
      <c r="A12839" t="str">
        <f t="shared" si="200"/>
        <v/>
      </c>
      <c r="E12839" s="626"/>
      <c r="F12839" s="626"/>
    </row>
    <row r="12840" spans="1:6">
      <c r="A12840" t="str">
        <f t="shared" si="200"/>
        <v/>
      </c>
      <c r="E12840" s="626"/>
      <c r="F12840" s="626"/>
    </row>
    <row r="12841" spans="1:6">
      <c r="A12841" t="str">
        <f t="shared" si="200"/>
        <v/>
      </c>
      <c r="E12841" s="626"/>
      <c r="F12841" s="626"/>
    </row>
    <row r="12842" spans="1:6">
      <c r="A12842" t="str">
        <f t="shared" si="200"/>
        <v/>
      </c>
      <c r="E12842" s="626"/>
      <c r="F12842" s="626"/>
    </row>
    <row r="12843" spans="1:6">
      <c r="A12843" t="str">
        <f t="shared" si="200"/>
        <v/>
      </c>
      <c r="E12843" s="626"/>
      <c r="F12843" s="626"/>
    </row>
    <row r="12844" spans="1:6">
      <c r="A12844" t="str">
        <f t="shared" si="200"/>
        <v/>
      </c>
      <c r="E12844" s="626"/>
      <c r="F12844" s="626"/>
    </row>
    <row r="12845" spans="1:6">
      <c r="A12845" t="str">
        <f t="shared" si="200"/>
        <v/>
      </c>
      <c r="E12845" s="626"/>
      <c r="F12845" s="626"/>
    </row>
    <row r="12846" spans="1:6">
      <c r="A12846" t="str">
        <f t="shared" si="200"/>
        <v/>
      </c>
      <c r="E12846" s="626"/>
      <c r="F12846" s="626"/>
    </row>
    <row r="12847" spans="1:6">
      <c r="A12847" t="str">
        <f t="shared" si="200"/>
        <v/>
      </c>
      <c r="E12847" s="626"/>
      <c r="F12847" s="626"/>
    </row>
    <row r="12848" spans="1:6">
      <c r="A12848" t="str">
        <f t="shared" si="200"/>
        <v/>
      </c>
      <c r="E12848" s="626"/>
      <c r="F12848" s="626"/>
    </row>
    <row r="12849" spans="1:6">
      <c r="A12849" t="str">
        <f t="shared" si="200"/>
        <v/>
      </c>
      <c r="E12849" s="626"/>
      <c r="F12849" s="626"/>
    </row>
    <row r="12850" spans="1:6">
      <c r="A12850" t="str">
        <f t="shared" si="200"/>
        <v/>
      </c>
      <c r="E12850" s="626"/>
      <c r="F12850" s="626"/>
    </row>
    <row r="12851" spans="1:6">
      <c r="A12851" t="str">
        <f t="shared" si="200"/>
        <v/>
      </c>
      <c r="E12851" s="626"/>
      <c r="F12851" s="626"/>
    </row>
    <row r="12852" spans="1:6">
      <c r="A12852" t="str">
        <f t="shared" si="200"/>
        <v/>
      </c>
      <c r="E12852" s="626"/>
      <c r="F12852" s="626"/>
    </row>
    <row r="12853" spans="1:6">
      <c r="A12853" t="str">
        <f t="shared" si="200"/>
        <v/>
      </c>
      <c r="E12853" s="626"/>
      <c r="F12853" s="626"/>
    </row>
    <row r="12854" spans="1:6">
      <c r="A12854" t="str">
        <f t="shared" si="200"/>
        <v/>
      </c>
      <c r="E12854" s="626"/>
      <c r="F12854" s="626"/>
    </row>
    <row r="12855" spans="1:6">
      <c r="A12855" t="str">
        <f t="shared" si="200"/>
        <v/>
      </c>
      <c r="E12855" s="626"/>
      <c r="F12855" s="626"/>
    </row>
    <row r="12856" spans="1:6">
      <c r="A12856" t="str">
        <f t="shared" si="200"/>
        <v/>
      </c>
      <c r="E12856" s="626"/>
      <c r="F12856" s="626"/>
    </row>
    <row r="12857" spans="1:6">
      <c r="A12857" t="str">
        <f t="shared" si="200"/>
        <v/>
      </c>
      <c r="E12857" s="626"/>
      <c r="F12857" s="626"/>
    </row>
    <row r="12858" spans="1:6">
      <c r="A12858" t="str">
        <f t="shared" si="200"/>
        <v/>
      </c>
      <c r="E12858" s="626"/>
      <c r="F12858" s="626"/>
    </row>
    <row r="12859" spans="1:6">
      <c r="A12859" t="str">
        <f t="shared" si="200"/>
        <v/>
      </c>
      <c r="E12859" s="626"/>
      <c r="F12859" s="626"/>
    </row>
    <row r="12860" spans="1:6">
      <c r="A12860" t="str">
        <f t="shared" si="200"/>
        <v/>
      </c>
      <c r="E12860" s="626"/>
      <c r="F12860" s="626"/>
    </row>
    <row r="12861" spans="1:6">
      <c r="A12861" t="str">
        <f t="shared" si="200"/>
        <v/>
      </c>
      <c r="E12861" s="626"/>
      <c r="F12861" s="626"/>
    </row>
    <row r="12862" spans="1:6">
      <c r="A12862" t="str">
        <f t="shared" si="200"/>
        <v/>
      </c>
      <c r="E12862" s="626"/>
      <c r="F12862" s="626"/>
    </row>
    <row r="12863" spans="1:6">
      <c r="A12863" t="str">
        <f t="shared" si="200"/>
        <v/>
      </c>
      <c r="E12863" s="626"/>
      <c r="F12863" s="626"/>
    </row>
    <row r="12864" spans="1:6">
      <c r="A12864" t="str">
        <f t="shared" si="200"/>
        <v/>
      </c>
      <c r="E12864" s="626"/>
      <c r="F12864" s="626"/>
    </row>
    <row r="12865" spans="1:6">
      <c r="A12865" t="str">
        <f t="shared" si="200"/>
        <v/>
      </c>
      <c r="E12865" s="626"/>
      <c r="F12865" s="626"/>
    </row>
    <row r="12866" spans="1:6">
      <c r="A12866" t="str">
        <f t="shared" ref="A12866:A12929" si="201">B12866&amp;E12866&amp;J12866</f>
        <v/>
      </c>
      <c r="E12866" s="626"/>
      <c r="F12866" s="626"/>
    </row>
    <row r="12867" spans="1:6">
      <c r="A12867" t="str">
        <f t="shared" si="201"/>
        <v/>
      </c>
      <c r="E12867" s="626"/>
      <c r="F12867" s="626"/>
    </row>
    <row r="12868" spans="1:6">
      <c r="A12868" t="str">
        <f t="shared" si="201"/>
        <v/>
      </c>
      <c r="E12868" s="626"/>
      <c r="F12868" s="626"/>
    </row>
    <row r="12869" spans="1:6">
      <c r="A12869" t="str">
        <f t="shared" si="201"/>
        <v/>
      </c>
      <c r="E12869" s="626"/>
      <c r="F12869" s="626"/>
    </row>
    <row r="12870" spans="1:6">
      <c r="A12870" t="str">
        <f t="shared" si="201"/>
        <v/>
      </c>
      <c r="E12870" s="626"/>
      <c r="F12870" s="626"/>
    </row>
    <row r="12871" spans="1:6">
      <c r="A12871" t="str">
        <f t="shared" si="201"/>
        <v/>
      </c>
      <c r="E12871" s="626"/>
      <c r="F12871" s="626"/>
    </row>
    <row r="12872" spans="1:6">
      <c r="A12872" t="str">
        <f t="shared" si="201"/>
        <v/>
      </c>
      <c r="E12872" s="626"/>
      <c r="F12872" s="626"/>
    </row>
    <row r="12873" spans="1:6">
      <c r="A12873" t="str">
        <f t="shared" si="201"/>
        <v/>
      </c>
      <c r="E12873" s="626"/>
      <c r="F12873" s="626"/>
    </row>
    <row r="12874" spans="1:6">
      <c r="A12874" t="str">
        <f t="shared" si="201"/>
        <v/>
      </c>
      <c r="E12874" s="626"/>
      <c r="F12874" s="626"/>
    </row>
    <row r="12875" spans="1:6">
      <c r="A12875" t="str">
        <f t="shared" si="201"/>
        <v/>
      </c>
      <c r="E12875" s="626"/>
      <c r="F12875" s="626"/>
    </row>
    <row r="12876" spans="1:6">
      <c r="A12876" t="str">
        <f t="shared" si="201"/>
        <v/>
      </c>
      <c r="E12876" s="626"/>
      <c r="F12876" s="626"/>
    </row>
    <row r="12877" spans="1:6">
      <c r="A12877" t="str">
        <f t="shared" si="201"/>
        <v/>
      </c>
      <c r="E12877" s="626"/>
      <c r="F12877" s="626"/>
    </row>
    <row r="12878" spans="1:6">
      <c r="A12878" t="str">
        <f t="shared" si="201"/>
        <v/>
      </c>
      <c r="E12878" s="626"/>
      <c r="F12878" s="626"/>
    </row>
    <row r="12879" spans="1:6">
      <c r="A12879" t="str">
        <f t="shared" si="201"/>
        <v/>
      </c>
      <c r="E12879" s="626"/>
      <c r="F12879" s="626"/>
    </row>
    <row r="12880" spans="1:6">
      <c r="A12880" t="str">
        <f t="shared" si="201"/>
        <v/>
      </c>
      <c r="E12880" s="626"/>
      <c r="F12880" s="626"/>
    </row>
    <row r="12881" spans="1:6">
      <c r="A12881" t="str">
        <f t="shared" si="201"/>
        <v/>
      </c>
      <c r="E12881" s="626"/>
      <c r="F12881" s="626"/>
    </row>
    <row r="12882" spans="1:6">
      <c r="A12882" t="str">
        <f t="shared" si="201"/>
        <v/>
      </c>
      <c r="E12882" s="626"/>
      <c r="F12882" s="626"/>
    </row>
    <row r="12883" spans="1:6">
      <c r="A12883" t="str">
        <f t="shared" si="201"/>
        <v/>
      </c>
      <c r="E12883" s="626"/>
      <c r="F12883" s="626"/>
    </row>
    <row r="12884" spans="1:6">
      <c r="A12884" t="str">
        <f t="shared" si="201"/>
        <v/>
      </c>
      <c r="E12884" s="626"/>
      <c r="F12884" s="626"/>
    </row>
    <row r="12885" spans="1:6">
      <c r="A12885" t="str">
        <f t="shared" si="201"/>
        <v/>
      </c>
      <c r="E12885" s="626"/>
      <c r="F12885" s="626"/>
    </row>
    <row r="12886" spans="1:6">
      <c r="A12886" t="str">
        <f t="shared" si="201"/>
        <v/>
      </c>
      <c r="E12886" s="626"/>
      <c r="F12886" s="626"/>
    </row>
    <row r="12887" spans="1:6">
      <c r="A12887" t="str">
        <f t="shared" si="201"/>
        <v/>
      </c>
      <c r="E12887" s="626"/>
      <c r="F12887" s="626"/>
    </row>
    <row r="12888" spans="1:6">
      <c r="A12888" t="str">
        <f t="shared" si="201"/>
        <v/>
      </c>
      <c r="E12888" s="626"/>
      <c r="F12888" s="626"/>
    </row>
    <row r="12889" spans="1:6">
      <c r="A12889" t="str">
        <f t="shared" si="201"/>
        <v/>
      </c>
      <c r="E12889" s="626"/>
      <c r="F12889" s="626"/>
    </row>
    <row r="12890" spans="1:6">
      <c r="A12890" t="str">
        <f t="shared" si="201"/>
        <v/>
      </c>
      <c r="E12890" s="626"/>
      <c r="F12890" s="626"/>
    </row>
    <row r="12891" spans="1:6">
      <c r="A12891" t="str">
        <f t="shared" si="201"/>
        <v/>
      </c>
      <c r="E12891" s="626"/>
      <c r="F12891" s="626"/>
    </row>
    <row r="12892" spans="1:6">
      <c r="A12892" t="str">
        <f t="shared" si="201"/>
        <v/>
      </c>
      <c r="E12892" s="626"/>
      <c r="F12892" s="626"/>
    </row>
    <row r="12893" spans="1:6">
      <c r="A12893" t="str">
        <f t="shared" si="201"/>
        <v/>
      </c>
      <c r="E12893" s="626"/>
      <c r="F12893" s="626"/>
    </row>
    <row r="12894" spans="1:6">
      <c r="A12894" t="str">
        <f t="shared" si="201"/>
        <v/>
      </c>
      <c r="E12894" s="626"/>
      <c r="F12894" s="626"/>
    </row>
    <row r="12895" spans="1:6">
      <c r="A12895" t="str">
        <f t="shared" si="201"/>
        <v/>
      </c>
      <c r="E12895" s="626"/>
      <c r="F12895" s="626"/>
    </row>
    <row r="12896" spans="1:6">
      <c r="A12896" t="str">
        <f t="shared" si="201"/>
        <v/>
      </c>
      <c r="E12896" s="626"/>
      <c r="F12896" s="626"/>
    </row>
    <row r="12897" spans="1:6">
      <c r="A12897" t="str">
        <f t="shared" si="201"/>
        <v/>
      </c>
      <c r="E12897" s="626"/>
      <c r="F12897" s="626"/>
    </row>
    <row r="12898" spans="1:6">
      <c r="A12898" t="str">
        <f t="shared" si="201"/>
        <v/>
      </c>
      <c r="E12898" s="626"/>
      <c r="F12898" s="626"/>
    </row>
    <row r="12899" spans="1:6">
      <c r="A12899" t="str">
        <f t="shared" si="201"/>
        <v/>
      </c>
      <c r="E12899" s="626"/>
      <c r="F12899" s="626"/>
    </row>
    <row r="12900" spans="1:6">
      <c r="A12900" t="str">
        <f t="shared" si="201"/>
        <v/>
      </c>
      <c r="E12900" s="626"/>
      <c r="F12900" s="626"/>
    </row>
    <row r="12901" spans="1:6">
      <c r="A12901" t="str">
        <f t="shared" si="201"/>
        <v/>
      </c>
      <c r="E12901" s="626"/>
      <c r="F12901" s="626"/>
    </row>
    <row r="12902" spans="1:6">
      <c r="A12902" t="str">
        <f t="shared" si="201"/>
        <v/>
      </c>
      <c r="E12902" s="626"/>
      <c r="F12902" s="626"/>
    </row>
    <row r="12903" spans="1:6">
      <c r="A12903" t="str">
        <f t="shared" si="201"/>
        <v/>
      </c>
      <c r="E12903" s="626"/>
      <c r="F12903" s="626"/>
    </row>
    <row r="12904" spans="1:6">
      <c r="A12904" t="str">
        <f t="shared" si="201"/>
        <v/>
      </c>
      <c r="E12904" s="626"/>
      <c r="F12904" s="626"/>
    </row>
    <row r="12905" spans="1:6">
      <c r="A12905" t="str">
        <f t="shared" si="201"/>
        <v/>
      </c>
      <c r="E12905" s="626"/>
      <c r="F12905" s="626"/>
    </row>
    <row r="12906" spans="1:6">
      <c r="A12906" t="str">
        <f t="shared" si="201"/>
        <v/>
      </c>
      <c r="E12906" s="626"/>
      <c r="F12906" s="626"/>
    </row>
    <row r="12907" spans="1:6">
      <c r="A12907" t="str">
        <f t="shared" si="201"/>
        <v/>
      </c>
      <c r="E12907" s="626"/>
      <c r="F12907" s="626"/>
    </row>
    <row r="12908" spans="1:6">
      <c r="A12908" t="str">
        <f t="shared" si="201"/>
        <v/>
      </c>
      <c r="E12908" s="626"/>
      <c r="F12908" s="626"/>
    </row>
    <row r="12909" spans="1:6">
      <c r="A12909" t="str">
        <f t="shared" si="201"/>
        <v/>
      </c>
      <c r="E12909" s="626"/>
      <c r="F12909" s="626"/>
    </row>
    <row r="12910" spans="1:6">
      <c r="A12910" t="str">
        <f t="shared" si="201"/>
        <v/>
      </c>
      <c r="E12910" s="626"/>
      <c r="F12910" s="626"/>
    </row>
    <row r="12911" spans="1:6">
      <c r="A12911" t="str">
        <f t="shared" si="201"/>
        <v/>
      </c>
      <c r="E12911" s="626"/>
      <c r="F12911" s="626"/>
    </row>
    <row r="12912" spans="1:6">
      <c r="A12912" t="str">
        <f t="shared" si="201"/>
        <v/>
      </c>
      <c r="E12912" s="626"/>
      <c r="F12912" s="626"/>
    </row>
    <row r="12913" spans="1:6">
      <c r="A12913" t="str">
        <f t="shared" si="201"/>
        <v/>
      </c>
      <c r="E12913" s="626"/>
      <c r="F12913" s="626"/>
    </row>
    <row r="12914" spans="1:6">
      <c r="A12914" t="str">
        <f t="shared" si="201"/>
        <v/>
      </c>
      <c r="E12914" s="626"/>
      <c r="F12914" s="626"/>
    </row>
    <row r="12915" spans="1:6">
      <c r="A12915" t="str">
        <f t="shared" si="201"/>
        <v/>
      </c>
      <c r="E12915" s="626"/>
      <c r="F12915" s="626"/>
    </row>
    <row r="12916" spans="1:6">
      <c r="A12916" t="str">
        <f t="shared" si="201"/>
        <v/>
      </c>
      <c r="E12916" s="626"/>
      <c r="F12916" s="626"/>
    </row>
    <row r="12917" spans="1:6">
      <c r="A12917" t="str">
        <f t="shared" si="201"/>
        <v/>
      </c>
      <c r="E12917" s="626"/>
      <c r="F12917" s="626"/>
    </row>
    <row r="12918" spans="1:6">
      <c r="A12918" t="str">
        <f t="shared" si="201"/>
        <v/>
      </c>
      <c r="E12918" s="626"/>
      <c r="F12918" s="626"/>
    </row>
    <row r="12919" spans="1:6">
      <c r="A12919" t="str">
        <f t="shared" si="201"/>
        <v/>
      </c>
      <c r="E12919" s="626"/>
      <c r="F12919" s="626"/>
    </row>
    <row r="12920" spans="1:6">
      <c r="A12920" t="str">
        <f t="shared" si="201"/>
        <v/>
      </c>
      <c r="E12920" s="626"/>
      <c r="F12920" s="626"/>
    </row>
    <row r="12921" spans="1:6">
      <c r="A12921" t="str">
        <f t="shared" si="201"/>
        <v/>
      </c>
      <c r="E12921" s="626"/>
      <c r="F12921" s="626"/>
    </row>
    <row r="12922" spans="1:6">
      <c r="A12922" t="str">
        <f t="shared" si="201"/>
        <v/>
      </c>
      <c r="E12922" s="626"/>
      <c r="F12922" s="626"/>
    </row>
    <row r="12923" spans="1:6">
      <c r="A12923" t="str">
        <f t="shared" si="201"/>
        <v/>
      </c>
      <c r="E12923" s="626"/>
      <c r="F12923" s="626"/>
    </row>
    <row r="12924" spans="1:6">
      <c r="A12924" t="str">
        <f t="shared" si="201"/>
        <v/>
      </c>
      <c r="E12924" s="626"/>
      <c r="F12924" s="626"/>
    </row>
    <row r="12925" spans="1:6">
      <c r="A12925" t="str">
        <f t="shared" si="201"/>
        <v/>
      </c>
      <c r="E12925" s="626"/>
      <c r="F12925" s="626"/>
    </row>
    <row r="12926" spans="1:6">
      <c r="A12926" t="str">
        <f t="shared" si="201"/>
        <v/>
      </c>
      <c r="E12926" s="626"/>
      <c r="F12926" s="626"/>
    </row>
    <row r="12927" spans="1:6">
      <c r="A12927" t="str">
        <f t="shared" si="201"/>
        <v/>
      </c>
      <c r="E12927" s="626"/>
      <c r="F12927" s="626"/>
    </row>
    <row r="12928" spans="1:6">
      <c r="A12928" t="str">
        <f t="shared" si="201"/>
        <v/>
      </c>
      <c r="E12928" s="626"/>
      <c r="F12928" s="626"/>
    </row>
    <row r="12929" spans="1:6">
      <c r="A12929" t="str">
        <f t="shared" si="201"/>
        <v/>
      </c>
      <c r="E12929" s="626"/>
      <c r="F12929" s="626"/>
    </row>
    <row r="12930" spans="1:6">
      <c r="A12930" t="str">
        <f t="shared" ref="A12930:A12993" si="202">B12930&amp;E12930&amp;J12930</f>
        <v/>
      </c>
      <c r="E12930" s="626"/>
      <c r="F12930" s="626"/>
    </row>
    <row r="12931" spans="1:6">
      <c r="A12931" t="str">
        <f t="shared" si="202"/>
        <v/>
      </c>
      <c r="E12931" s="626"/>
      <c r="F12931" s="626"/>
    </row>
    <row r="12932" spans="1:6">
      <c r="A12932" t="str">
        <f t="shared" si="202"/>
        <v/>
      </c>
      <c r="E12932" s="626"/>
      <c r="F12932" s="626"/>
    </row>
    <row r="12933" spans="1:6">
      <c r="A12933" t="str">
        <f t="shared" si="202"/>
        <v/>
      </c>
      <c r="E12933" s="626"/>
      <c r="F12933" s="626"/>
    </row>
    <row r="12934" spans="1:6">
      <c r="A12934" t="str">
        <f t="shared" si="202"/>
        <v/>
      </c>
      <c r="E12934" s="626"/>
      <c r="F12934" s="626"/>
    </row>
    <row r="12935" spans="1:6">
      <c r="A12935" t="str">
        <f t="shared" si="202"/>
        <v/>
      </c>
      <c r="E12935" s="626"/>
      <c r="F12935" s="626"/>
    </row>
    <row r="12936" spans="1:6">
      <c r="A12936" t="str">
        <f t="shared" si="202"/>
        <v/>
      </c>
      <c r="E12936" s="626"/>
      <c r="F12936" s="626"/>
    </row>
    <row r="12937" spans="1:6">
      <c r="A12937" t="str">
        <f t="shared" si="202"/>
        <v/>
      </c>
      <c r="E12937" s="626"/>
      <c r="F12937" s="626"/>
    </row>
    <row r="12938" spans="1:6">
      <c r="A12938" t="str">
        <f t="shared" si="202"/>
        <v/>
      </c>
      <c r="E12938" s="626"/>
      <c r="F12938" s="626"/>
    </row>
    <row r="12939" spans="1:6">
      <c r="A12939" t="str">
        <f t="shared" si="202"/>
        <v/>
      </c>
      <c r="E12939" s="626"/>
      <c r="F12939" s="626"/>
    </row>
    <row r="12940" spans="1:6">
      <c r="A12940" t="str">
        <f t="shared" si="202"/>
        <v/>
      </c>
      <c r="E12940" s="626"/>
      <c r="F12940" s="626"/>
    </row>
    <row r="12941" spans="1:6">
      <c r="A12941" t="str">
        <f t="shared" si="202"/>
        <v/>
      </c>
      <c r="E12941" s="626"/>
      <c r="F12941" s="626"/>
    </row>
    <row r="12942" spans="1:6">
      <c r="A12942" t="str">
        <f t="shared" si="202"/>
        <v/>
      </c>
      <c r="E12942" s="626"/>
      <c r="F12942" s="626"/>
    </row>
    <row r="12943" spans="1:6">
      <c r="A12943" t="str">
        <f t="shared" si="202"/>
        <v/>
      </c>
      <c r="E12943" s="626"/>
      <c r="F12943" s="626"/>
    </row>
    <row r="12944" spans="1:6">
      <c r="A12944" t="str">
        <f t="shared" si="202"/>
        <v/>
      </c>
      <c r="E12944" s="626"/>
      <c r="F12944" s="626"/>
    </row>
    <row r="12945" spans="1:6">
      <c r="A12945" t="str">
        <f t="shared" si="202"/>
        <v/>
      </c>
      <c r="E12945" s="626"/>
      <c r="F12945" s="626"/>
    </row>
    <row r="12946" spans="1:6">
      <c r="A12946" t="str">
        <f t="shared" si="202"/>
        <v/>
      </c>
      <c r="E12946" s="626"/>
      <c r="F12946" s="626"/>
    </row>
    <row r="12947" spans="1:6">
      <c r="A12947" t="str">
        <f t="shared" si="202"/>
        <v/>
      </c>
      <c r="E12947" s="626"/>
      <c r="F12947" s="626"/>
    </row>
    <row r="12948" spans="1:6">
      <c r="A12948" t="str">
        <f t="shared" si="202"/>
        <v/>
      </c>
      <c r="E12948" s="626"/>
      <c r="F12948" s="626"/>
    </row>
    <row r="12949" spans="1:6">
      <c r="A12949" t="str">
        <f t="shared" si="202"/>
        <v/>
      </c>
      <c r="E12949" s="626"/>
      <c r="F12949" s="626"/>
    </row>
    <row r="12950" spans="1:6">
      <c r="A12950" t="str">
        <f t="shared" si="202"/>
        <v/>
      </c>
      <c r="E12950" s="626"/>
      <c r="F12950" s="626"/>
    </row>
    <row r="12951" spans="1:6">
      <c r="A12951" t="str">
        <f t="shared" si="202"/>
        <v/>
      </c>
      <c r="E12951" s="626"/>
      <c r="F12951" s="626"/>
    </row>
    <row r="12952" spans="1:6">
      <c r="A12952" t="str">
        <f t="shared" si="202"/>
        <v/>
      </c>
      <c r="E12952" s="626"/>
      <c r="F12952" s="626"/>
    </row>
    <row r="12953" spans="1:6">
      <c r="A12953" t="str">
        <f t="shared" si="202"/>
        <v/>
      </c>
      <c r="E12953" s="626"/>
      <c r="F12953" s="626"/>
    </row>
    <row r="12954" spans="1:6">
      <c r="A12954" t="str">
        <f t="shared" si="202"/>
        <v/>
      </c>
      <c r="E12954" s="626"/>
      <c r="F12954" s="626"/>
    </row>
    <row r="12955" spans="1:6">
      <c r="A12955" t="str">
        <f t="shared" si="202"/>
        <v/>
      </c>
      <c r="E12955" s="626"/>
      <c r="F12955" s="626"/>
    </row>
    <row r="12956" spans="1:6">
      <c r="A12956" t="str">
        <f t="shared" si="202"/>
        <v/>
      </c>
      <c r="E12956" s="626"/>
      <c r="F12956" s="626"/>
    </row>
    <row r="12957" spans="1:6">
      <c r="A12957" t="str">
        <f t="shared" si="202"/>
        <v/>
      </c>
      <c r="E12957" s="626"/>
      <c r="F12957" s="626"/>
    </row>
    <row r="12958" spans="1:6">
      <c r="A12958" t="str">
        <f t="shared" si="202"/>
        <v/>
      </c>
      <c r="E12958" s="626"/>
      <c r="F12958" s="626"/>
    </row>
    <row r="12959" spans="1:6">
      <c r="A12959" t="str">
        <f t="shared" si="202"/>
        <v/>
      </c>
      <c r="E12959" s="626"/>
      <c r="F12959" s="626"/>
    </row>
    <row r="12960" spans="1:6">
      <c r="A12960" t="str">
        <f t="shared" si="202"/>
        <v/>
      </c>
      <c r="E12960" s="626"/>
      <c r="F12960" s="626"/>
    </row>
    <row r="12961" spans="1:6">
      <c r="A12961" t="str">
        <f t="shared" si="202"/>
        <v/>
      </c>
      <c r="E12961" s="626"/>
      <c r="F12961" s="626"/>
    </row>
    <row r="12962" spans="1:6">
      <c r="A12962" t="str">
        <f t="shared" si="202"/>
        <v/>
      </c>
      <c r="E12962" s="626"/>
      <c r="F12962" s="626"/>
    </row>
    <row r="12963" spans="1:6">
      <c r="A12963" t="str">
        <f t="shared" si="202"/>
        <v/>
      </c>
      <c r="E12963" s="626"/>
      <c r="F12963" s="626"/>
    </row>
    <row r="12964" spans="1:6">
      <c r="A12964" t="str">
        <f t="shared" si="202"/>
        <v/>
      </c>
      <c r="E12964" s="626"/>
      <c r="F12964" s="626"/>
    </row>
    <row r="12965" spans="1:6">
      <c r="A12965" t="str">
        <f t="shared" si="202"/>
        <v/>
      </c>
      <c r="E12965" s="626"/>
      <c r="F12965" s="626"/>
    </row>
    <row r="12966" spans="1:6">
      <c r="A12966" t="str">
        <f t="shared" si="202"/>
        <v/>
      </c>
      <c r="E12966" s="626"/>
      <c r="F12966" s="626"/>
    </row>
    <row r="12967" spans="1:6">
      <c r="A12967" t="str">
        <f t="shared" si="202"/>
        <v/>
      </c>
      <c r="E12967" s="626"/>
      <c r="F12967" s="626"/>
    </row>
    <row r="12968" spans="1:6">
      <c r="A12968" t="str">
        <f t="shared" si="202"/>
        <v/>
      </c>
      <c r="E12968" s="626"/>
      <c r="F12968" s="626"/>
    </row>
    <row r="12969" spans="1:6">
      <c r="A12969" t="str">
        <f t="shared" si="202"/>
        <v/>
      </c>
      <c r="E12969" s="626"/>
      <c r="F12969" s="626"/>
    </row>
    <row r="12970" spans="1:6">
      <c r="A12970" t="str">
        <f t="shared" si="202"/>
        <v/>
      </c>
      <c r="E12970" s="626"/>
      <c r="F12970" s="626"/>
    </row>
    <row r="12971" spans="1:6">
      <c r="A12971" t="str">
        <f t="shared" si="202"/>
        <v/>
      </c>
      <c r="E12971" s="626"/>
      <c r="F12971" s="626"/>
    </row>
    <row r="12972" spans="1:6">
      <c r="A12972" t="str">
        <f t="shared" si="202"/>
        <v/>
      </c>
      <c r="E12972" s="626"/>
      <c r="F12972" s="626"/>
    </row>
    <row r="12973" spans="1:6">
      <c r="A12973" t="str">
        <f t="shared" si="202"/>
        <v/>
      </c>
      <c r="E12973" s="626"/>
      <c r="F12973" s="626"/>
    </row>
    <row r="12974" spans="1:6">
      <c r="A12974" t="str">
        <f t="shared" si="202"/>
        <v/>
      </c>
      <c r="E12974" s="626"/>
      <c r="F12974" s="626"/>
    </row>
    <row r="12975" spans="1:6">
      <c r="A12975" t="str">
        <f t="shared" si="202"/>
        <v/>
      </c>
      <c r="E12975" s="626"/>
      <c r="F12975" s="626"/>
    </row>
    <row r="12976" spans="1:6">
      <c r="A12976" t="str">
        <f t="shared" si="202"/>
        <v/>
      </c>
      <c r="E12976" s="626"/>
      <c r="F12976" s="626"/>
    </row>
    <row r="12977" spans="1:6">
      <c r="A12977" t="str">
        <f t="shared" si="202"/>
        <v/>
      </c>
      <c r="E12977" s="626"/>
      <c r="F12977" s="626"/>
    </row>
    <row r="12978" spans="1:6">
      <c r="A12978" t="str">
        <f t="shared" si="202"/>
        <v/>
      </c>
      <c r="E12978" s="626"/>
      <c r="F12978" s="626"/>
    </row>
    <row r="12979" spans="1:6">
      <c r="A12979" t="str">
        <f t="shared" si="202"/>
        <v/>
      </c>
      <c r="E12979" s="626"/>
      <c r="F12979" s="626"/>
    </row>
    <row r="12980" spans="1:6">
      <c r="A12980" t="str">
        <f t="shared" si="202"/>
        <v/>
      </c>
      <c r="E12980" s="626"/>
      <c r="F12980" s="626"/>
    </row>
    <row r="12981" spans="1:6">
      <c r="A12981" t="str">
        <f t="shared" si="202"/>
        <v/>
      </c>
      <c r="E12981" s="626"/>
      <c r="F12981" s="626"/>
    </row>
    <row r="12982" spans="1:6">
      <c r="A12982" t="str">
        <f t="shared" si="202"/>
        <v/>
      </c>
      <c r="E12982" s="626"/>
      <c r="F12982" s="626"/>
    </row>
    <row r="12983" spans="1:6">
      <c r="A12983" t="str">
        <f t="shared" si="202"/>
        <v/>
      </c>
      <c r="E12983" s="626"/>
      <c r="F12983" s="626"/>
    </row>
    <row r="12984" spans="1:6">
      <c r="A12984" t="str">
        <f t="shared" si="202"/>
        <v/>
      </c>
      <c r="E12984" s="626"/>
      <c r="F12984" s="626"/>
    </row>
    <row r="12985" spans="1:6">
      <c r="A12985" t="str">
        <f t="shared" si="202"/>
        <v/>
      </c>
      <c r="E12985" s="626"/>
      <c r="F12985" s="626"/>
    </row>
    <row r="12986" spans="1:6">
      <c r="A12986" t="str">
        <f t="shared" si="202"/>
        <v/>
      </c>
      <c r="E12986" s="626"/>
      <c r="F12986" s="626"/>
    </row>
    <row r="12987" spans="1:6">
      <c r="A12987" t="str">
        <f t="shared" si="202"/>
        <v/>
      </c>
      <c r="E12987" s="626"/>
      <c r="F12987" s="626"/>
    </row>
    <row r="12988" spans="1:6">
      <c r="A12988" t="str">
        <f t="shared" si="202"/>
        <v/>
      </c>
      <c r="E12988" s="626"/>
      <c r="F12988" s="626"/>
    </row>
    <row r="12989" spans="1:6">
      <c r="A12989" t="str">
        <f t="shared" si="202"/>
        <v/>
      </c>
      <c r="E12989" s="626"/>
      <c r="F12989" s="626"/>
    </row>
    <row r="12990" spans="1:6">
      <c r="A12990" t="str">
        <f t="shared" si="202"/>
        <v/>
      </c>
      <c r="E12990" s="626"/>
      <c r="F12990" s="626"/>
    </row>
    <row r="12991" spans="1:6">
      <c r="A12991" t="str">
        <f t="shared" si="202"/>
        <v/>
      </c>
      <c r="E12991" s="626"/>
      <c r="F12991" s="626"/>
    </row>
    <row r="12992" spans="1:6">
      <c r="A12992" t="str">
        <f t="shared" si="202"/>
        <v/>
      </c>
      <c r="E12992" s="626"/>
      <c r="F12992" s="626"/>
    </row>
    <row r="12993" spans="1:6">
      <c r="A12993" t="str">
        <f t="shared" si="202"/>
        <v/>
      </c>
      <c r="E12993" s="626"/>
      <c r="F12993" s="626"/>
    </row>
    <row r="12994" spans="1:6">
      <c r="A12994" t="str">
        <f t="shared" ref="A12994:A13057" si="203">B12994&amp;E12994&amp;J12994</f>
        <v/>
      </c>
      <c r="E12994" s="626"/>
      <c r="F12994" s="626"/>
    </row>
    <row r="12995" spans="1:6">
      <c r="A12995" t="str">
        <f t="shared" si="203"/>
        <v/>
      </c>
      <c r="E12995" s="626"/>
      <c r="F12995" s="626"/>
    </row>
    <row r="12996" spans="1:6">
      <c r="A12996" t="str">
        <f t="shared" si="203"/>
        <v/>
      </c>
      <c r="E12996" s="626"/>
      <c r="F12996" s="626"/>
    </row>
    <row r="12997" spans="1:6">
      <c r="A12997" t="str">
        <f t="shared" si="203"/>
        <v/>
      </c>
      <c r="E12997" s="626"/>
      <c r="F12997" s="626"/>
    </row>
    <row r="12998" spans="1:6">
      <c r="A12998" t="str">
        <f t="shared" si="203"/>
        <v/>
      </c>
      <c r="E12998" s="626"/>
      <c r="F12998" s="626"/>
    </row>
    <row r="12999" spans="1:6">
      <c r="A12999" t="str">
        <f t="shared" si="203"/>
        <v/>
      </c>
      <c r="E12999" s="626"/>
      <c r="F12999" s="626"/>
    </row>
    <row r="13000" spans="1:6">
      <c r="A13000" t="str">
        <f t="shared" si="203"/>
        <v/>
      </c>
      <c r="E13000" s="626"/>
      <c r="F13000" s="626"/>
    </row>
    <row r="13001" spans="1:6">
      <c r="A13001" t="str">
        <f t="shared" si="203"/>
        <v/>
      </c>
      <c r="E13001" s="626"/>
      <c r="F13001" s="626"/>
    </row>
    <row r="13002" spans="1:6">
      <c r="A13002" t="str">
        <f t="shared" si="203"/>
        <v/>
      </c>
      <c r="E13002" s="626"/>
      <c r="F13002" s="626"/>
    </row>
    <row r="13003" spans="1:6">
      <c r="A13003" t="str">
        <f t="shared" si="203"/>
        <v/>
      </c>
      <c r="E13003" s="626"/>
      <c r="F13003" s="626"/>
    </row>
    <row r="13004" spans="1:6">
      <c r="A13004" t="str">
        <f t="shared" si="203"/>
        <v/>
      </c>
      <c r="E13004" s="626"/>
      <c r="F13004" s="626"/>
    </row>
    <row r="13005" spans="1:6">
      <c r="A13005" t="str">
        <f t="shared" si="203"/>
        <v/>
      </c>
      <c r="E13005" s="626"/>
      <c r="F13005" s="626"/>
    </row>
    <row r="13006" spans="1:6">
      <c r="A13006" t="str">
        <f t="shared" si="203"/>
        <v/>
      </c>
      <c r="E13006" s="626"/>
      <c r="F13006" s="626"/>
    </row>
    <row r="13007" spans="1:6">
      <c r="A13007" t="str">
        <f t="shared" si="203"/>
        <v/>
      </c>
      <c r="E13007" s="626"/>
      <c r="F13007" s="626"/>
    </row>
    <row r="13008" spans="1:6">
      <c r="A13008" t="str">
        <f t="shared" si="203"/>
        <v/>
      </c>
      <c r="E13008" s="626"/>
      <c r="F13008" s="626"/>
    </row>
    <row r="13009" spans="1:6">
      <c r="A13009" t="str">
        <f t="shared" si="203"/>
        <v/>
      </c>
      <c r="E13009" s="626"/>
      <c r="F13009" s="626"/>
    </row>
    <row r="13010" spans="1:6">
      <c r="A13010" t="str">
        <f t="shared" si="203"/>
        <v/>
      </c>
      <c r="E13010" s="626"/>
      <c r="F13010" s="626"/>
    </row>
    <row r="13011" spans="1:6">
      <c r="A13011" t="str">
        <f t="shared" si="203"/>
        <v/>
      </c>
      <c r="E13011" s="626"/>
      <c r="F13011" s="626"/>
    </row>
    <row r="13012" spans="1:6">
      <c r="A13012" t="str">
        <f t="shared" si="203"/>
        <v/>
      </c>
      <c r="E13012" s="626"/>
      <c r="F13012" s="626"/>
    </row>
    <row r="13013" spans="1:6">
      <c r="A13013" t="str">
        <f t="shared" si="203"/>
        <v/>
      </c>
      <c r="E13013" s="626"/>
      <c r="F13013" s="626"/>
    </row>
    <row r="13014" spans="1:6">
      <c r="A13014" t="str">
        <f t="shared" si="203"/>
        <v/>
      </c>
      <c r="E13014" s="626"/>
      <c r="F13014" s="626"/>
    </row>
    <row r="13015" spans="1:6">
      <c r="A13015" t="str">
        <f t="shared" si="203"/>
        <v/>
      </c>
      <c r="E13015" s="626"/>
      <c r="F13015" s="626"/>
    </row>
    <row r="13016" spans="1:6">
      <c r="A13016" t="str">
        <f t="shared" si="203"/>
        <v/>
      </c>
      <c r="E13016" s="626"/>
      <c r="F13016" s="626"/>
    </row>
    <row r="13017" spans="1:6">
      <c r="A13017" t="str">
        <f t="shared" si="203"/>
        <v/>
      </c>
      <c r="E13017" s="626"/>
      <c r="F13017" s="626"/>
    </row>
    <row r="13018" spans="1:6">
      <c r="A13018" t="str">
        <f t="shared" si="203"/>
        <v/>
      </c>
      <c r="E13018" s="626"/>
      <c r="F13018" s="626"/>
    </row>
    <row r="13019" spans="1:6">
      <c r="A13019" t="str">
        <f t="shared" si="203"/>
        <v/>
      </c>
      <c r="E13019" s="626"/>
      <c r="F13019" s="626"/>
    </row>
    <row r="13020" spans="1:6">
      <c r="A13020" t="str">
        <f t="shared" si="203"/>
        <v/>
      </c>
      <c r="E13020" s="626"/>
      <c r="F13020" s="626"/>
    </row>
    <row r="13021" spans="1:6">
      <c r="A13021" t="str">
        <f t="shared" si="203"/>
        <v/>
      </c>
      <c r="E13021" s="626"/>
      <c r="F13021" s="626"/>
    </row>
    <row r="13022" spans="1:6">
      <c r="A13022" t="str">
        <f t="shared" si="203"/>
        <v/>
      </c>
      <c r="E13022" s="626"/>
      <c r="F13022" s="626"/>
    </row>
    <row r="13023" spans="1:6">
      <c r="A13023" t="str">
        <f t="shared" si="203"/>
        <v/>
      </c>
      <c r="E13023" s="626"/>
      <c r="F13023" s="626"/>
    </row>
    <row r="13024" spans="1:6">
      <c r="A13024" t="str">
        <f t="shared" si="203"/>
        <v/>
      </c>
      <c r="E13024" s="626"/>
      <c r="F13024" s="626"/>
    </row>
    <row r="13025" spans="1:6">
      <c r="A13025" t="str">
        <f t="shared" si="203"/>
        <v/>
      </c>
      <c r="E13025" s="626"/>
      <c r="F13025" s="626"/>
    </row>
    <row r="13026" spans="1:6">
      <c r="A13026" t="str">
        <f t="shared" si="203"/>
        <v/>
      </c>
      <c r="E13026" s="626"/>
      <c r="F13026" s="626"/>
    </row>
    <row r="13027" spans="1:6">
      <c r="A13027" t="str">
        <f t="shared" si="203"/>
        <v/>
      </c>
      <c r="E13027" s="626"/>
      <c r="F13027" s="626"/>
    </row>
    <row r="13028" spans="1:6">
      <c r="A13028" t="str">
        <f t="shared" si="203"/>
        <v/>
      </c>
      <c r="E13028" s="626"/>
      <c r="F13028" s="626"/>
    </row>
    <row r="13029" spans="1:6">
      <c r="A13029" t="str">
        <f t="shared" si="203"/>
        <v/>
      </c>
      <c r="E13029" s="626"/>
      <c r="F13029" s="626"/>
    </row>
    <row r="13030" spans="1:6">
      <c r="A13030" t="str">
        <f t="shared" si="203"/>
        <v/>
      </c>
      <c r="E13030" s="626"/>
      <c r="F13030" s="626"/>
    </row>
    <row r="13031" spans="1:6">
      <c r="A13031" t="str">
        <f t="shared" si="203"/>
        <v/>
      </c>
      <c r="E13031" s="626"/>
      <c r="F13031" s="626"/>
    </row>
    <row r="13032" spans="1:6">
      <c r="A13032" t="str">
        <f t="shared" si="203"/>
        <v/>
      </c>
      <c r="E13032" s="626"/>
      <c r="F13032" s="626"/>
    </row>
    <row r="13033" spans="1:6">
      <c r="A13033" t="str">
        <f t="shared" si="203"/>
        <v/>
      </c>
      <c r="E13033" s="626"/>
      <c r="F13033" s="626"/>
    </row>
    <row r="13034" spans="1:6">
      <c r="A13034" t="str">
        <f t="shared" si="203"/>
        <v/>
      </c>
      <c r="E13034" s="626"/>
      <c r="F13034" s="626"/>
    </row>
    <row r="13035" spans="1:6">
      <c r="A13035" t="str">
        <f t="shared" si="203"/>
        <v/>
      </c>
      <c r="E13035" s="626"/>
      <c r="F13035" s="626"/>
    </row>
    <row r="13036" spans="1:6">
      <c r="A13036" t="str">
        <f t="shared" si="203"/>
        <v/>
      </c>
      <c r="E13036" s="626"/>
      <c r="F13036" s="626"/>
    </row>
    <row r="13037" spans="1:6">
      <c r="A13037" t="str">
        <f t="shared" si="203"/>
        <v/>
      </c>
      <c r="E13037" s="626"/>
      <c r="F13037" s="626"/>
    </row>
    <row r="13038" spans="1:6">
      <c r="A13038" t="str">
        <f t="shared" si="203"/>
        <v/>
      </c>
      <c r="E13038" s="626"/>
      <c r="F13038" s="626"/>
    </row>
    <row r="13039" spans="1:6">
      <c r="A13039" t="str">
        <f t="shared" si="203"/>
        <v/>
      </c>
      <c r="E13039" s="626"/>
      <c r="F13039" s="626"/>
    </row>
    <row r="13040" spans="1:6">
      <c r="A13040" t="str">
        <f t="shared" si="203"/>
        <v/>
      </c>
      <c r="E13040" s="626"/>
      <c r="F13040" s="626"/>
    </row>
    <row r="13041" spans="1:6">
      <c r="A13041" t="str">
        <f t="shared" si="203"/>
        <v/>
      </c>
      <c r="E13041" s="626"/>
      <c r="F13041" s="626"/>
    </row>
    <row r="13042" spans="1:6">
      <c r="A13042" t="str">
        <f t="shared" si="203"/>
        <v/>
      </c>
      <c r="E13042" s="626"/>
      <c r="F13042" s="626"/>
    </row>
    <row r="13043" spans="1:6">
      <c r="A13043" t="str">
        <f t="shared" si="203"/>
        <v/>
      </c>
      <c r="E13043" s="626"/>
      <c r="F13043" s="626"/>
    </row>
    <row r="13044" spans="1:6">
      <c r="A13044" t="str">
        <f t="shared" si="203"/>
        <v/>
      </c>
      <c r="E13044" s="626"/>
      <c r="F13044" s="626"/>
    </row>
    <row r="13045" spans="1:6">
      <c r="A13045" t="str">
        <f t="shared" si="203"/>
        <v/>
      </c>
      <c r="E13045" s="626"/>
      <c r="F13045" s="626"/>
    </row>
    <row r="13046" spans="1:6">
      <c r="A13046" t="str">
        <f t="shared" si="203"/>
        <v/>
      </c>
      <c r="E13046" s="626"/>
      <c r="F13046" s="626"/>
    </row>
    <row r="13047" spans="1:6">
      <c r="A13047" t="str">
        <f t="shared" si="203"/>
        <v/>
      </c>
      <c r="E13047" s="626"/>
      <c r="F13047" s="626"/>
    </row>
    <row r="13048" spans="1:6">
      <c r="A13048" t="str">
        <f t="shared" si="203"/>
        <v/>
      </c>
      <c r="E13048" s="626"/>
      <c r="F13048" s="626"/>
    </row>
    <row r="13049" spans="1:6">
      <c r="A13049" t="str">
        <f t="shared" si="203"/>
        <v/>
      </c>
      <c r="E13049" s="626"/>
      <c r="F13049" s="626"/>
    </row>
    <row r="13050" spans="1:6">
      <c r="A13050" t="str">
        <f t="shared" si="203"/>
        <v/>
      </c>
      <c r="E13050" s="626"/>
      <c r="F13050" s="626"/>
    </row>
    <row r="13051" spans="1:6">
      <c r="A13051" t="str">
        <f t="shared" si="203"/>
        <v/>
      </c>
      <c r="E13051" s="626"/>
      <c r="F13051" s="626"/>
    </row>
    <row r="13052" spans="1:6">
      <c r="A13052" t="str">
        <f t="shared" si="203"/>
        <v/>
      </c>
      <c r="E13052" s="626"/>
      <c r="F13052" s="626"/>
    </row>
    <row r="13053" spans="1:6">
      <c r="A13053" t="str">
        <f t="shared" si="203"/>
        <v/>
      </c>
      <c r="E13053" s="626"/>
      <c r="F13053" s="626"/>
    </row>
    <row r="13054" spans="1:6">
      <c r="A13054" t="str">
        <f t="shared" si="203"/>
        <v/>
      </c>
      <c r="E13054" s="626"/>
      <c r="F13054" s="626"/>
    </row>
    <row r="13055" spans="1:6">
      <c r="A13055" t="str">
        <f t="shared" si="203"/>
        <v/>
      </c>
      <c r="E13055" s="626"/>
      <c r="F13055" s="626"/>
    </row>
    <row r="13056" spans="1:6">
      <c r="A13056" t="str">
        <f t="shared" si="203"/>
        <v/>
      </c>
      <c r="E13056" s="626"/>
      <c r="F13056" s="626"/>
    </row>
    <row r="13057" spans="1:6">
      <c r="A13057" t="str">
        <f t="shared" si="203"/>
        <v/>
      </c>
      <c r="E13057" s="626"/>
      <c r="F13057" s="626"/>
    </row>
    <row r="13058" spans="1:6">
      <c r="A13058" t="str">
        <f t="shared" ref="A13058:A13121" si="204">B13058&amp;E13058&amp;J13058</f>
        <v/>
      </c>
      <c r="E13058" s="626"/>
      <c r="F13058" s="626"/>
    </row>
    <row r="13059" spans="1:6">
      <c r="A13059" t="str">
        <f t="shared" si="204"/>
        <v/>
      </c>
      <c r="E13059" s="626"/>
      <c r="F13059" s="626"/>
    </row>
    <row r="13060" spans="1:6">
      <c r="A13060" t="str">
        <f t="shared" si="204"/>
        <v/>
      </c>
      <c r="E13060" s="626"/>
      <c r="F13060" s="626"/>
    </row>
    <row r="13061" spans="1:6">
      <c r="A13061" t="str">
        <f t="shared" si="204"/>
        <v/>
      </c>
      <c r="E13061" s="626"/>
      <c r="F13061" s="626"/>
    </row>
    <row r="13062" spans="1:6">
      <c r="A13062" t="str">
        <f t="shared" si="204"/>
        <v/>
      </c>
      <c r="E13062" s="626"/>
      <c r="F13062" s="626"/>
    </row>
    <row r="13063" spans="1:6">
      <c r="A13063" t="str">
        <f t="shared" si="204"/>
        <v/>
      </c>
      <c r="E13063" s="626"/>
      <c r="F13063" s="626"/>
    </row>
    <row r="13064" spans="1:6">
      <c r="A13064" t="str">
        <f t="shared" si="204"/>
        <v/>
      </c>
      <c r="E13064" s="626"/>
      <c r="F13064" s="626"/>
    </row>
    <row r="13065" spans="1:6">
      <c r="A13065" t="str">
        <f t="shared" si="204"/>
        <v/>
      </c>
      <c r="E13065" s="626"/>
      <c r="F13065" s="626"/>
    </row>
    <row r="13066" spans="1:6">
      <c r="A13066" t="str">
        <f t="shared" si="204"/>
        <v/>
      </c>
      <c r="E13066" s="626"/>
      <c r="F13066" s="626"/>
    </row>
    <row r="13067" spans="1:6">
      <c r="A13067" t="str">
        <f t="shared" si="204"/>
        <v/>
      </c>
      <c r="E13067" s="626"/>
      <c r="F13067" s="626"/>
    </row>
    <row r="13068" spans="1:6">
      <c r="A13068" t="str">
        <f t="shared" si="204"/>
        <v/>
      </c>
      <c r="E13068" s="626"/>
      <c r="F13068" s="626"/>
    </row>
    <row r="13069" spans="1:6">
      <c r="A13069" t="str">
        <f t="shared" si="204"/>
        <v/>
      </c>
      <c r="E13069" s="626"/>
      <c r="F13069" s="626"/>
    </row>
    <row r="13070" spans="1:6">
      <c r="A13070" t="str">
        <f t="shared" si="204"/>
        <v/>
      </c>
      <c r="E13070" s="626"/>
      <c r="F13070" s="626"/>
    </row>
    <row r="13071" spans="1:6">
      <c r="A13071" t="str">
        <f t="shared" si="204"/>
        <v/>
      </c>
      <c r="E13071" s="626"/>
      <c r="F13071" s="626"/>
    </row>
    <row r="13072" spans="1:6">
      <c r="A13072" t="str">
        <f t="shared" si="204"/>
        <v/>
      </c>
      <c r="E13072" s="626"/>
      <c r="F13072" s="626"/>
    </row>
    <row r="13073" spans="1:6">
      <c r="A13073" t="str">
        <f t="shared" si="204"/>
        <v/>
      </c>
      <c r="E13073" s="626"/>
      <c r="F13073" s="626"/>
    </row>
    <row r="13074" spans="1:6">
      <c r="A13074" t="str">
        <f t="shared" si="204"/>
        <v/>
      </c>
      <c r="E13074" s="626"/>
      <c r="F13074" s="626"/>
    </row>
    <row r="13075" spans="1:6">
      <c r="A13075" t="str">
        <f t="shared" si="204"/>
        <v/>
      </c>
      <c r="E13075" s="626"/>
      <c r="F13075" s="626"/>
    </row>
    <row r="13076" spans="1:6">
      <c r="A13076" t="str">
        <f t="shared" si="204"/>
        <v/>
      </c>
      <c r="E13076" s="626"/>
      <c r="F13076" s="626"/>
    </row>
    <row r="13077" spans="1:6">
      <c r="A13077" t="str">
        <f t="shared" si="204"/>
        <v/>
      </c>
      <c r="E13077" s="626"/>
      <c r="F13077" s="626"/>
    </row>
    <row r="13078" spans="1:6">
      <c r="A13078" t="str">
        <f t="shared" si="204"/>
        <v/>
      </c>
      <c r="E13078" s="626"/>
      <c r="F13078" s="626"/>
    </row>
    <row r="13079" spans="1:6">
      <c r="A13079" t="str">
        <f t="shared" si="204"/>
        <v/>
      </c>
      <c r="E13079" s="626"/>
      <c r="F13079" s="626"/>
    </row>
    <row r="13080" spans="1:6">
      <c r="A13080" t="str">
        <f t="shared" si="204"/>
        <v/>
      </c>
      <c r="E13080" s="626"/>
      <c r="F13080" s="626"/>
    </row>
    <row r="13081" spans="1:6">
      <c r="A13081" t="str">
        <f t="shared" si="204"/>
        <v/>
      </c>
      <c r="E13081" s="626"/>
      <c r="F13081" s="626"/>
    </row>
    <row r="13082" spans="1:6">
      <c r="A13082" t="str">
        <f t="shared" si="204"/>
        <v/>
      </c>
      <c r="E13082" s="626"/>
      <c r="F13082" s="626"/>
    </row>
    <row r="13083" spans="1:6">
      <c r="A13083" t="str">
        <f t="shared" si="204"/>
        <v/>
      </c>
      <c r="E13083" s="626"/>
      <c r="F13083" s="626"/>
    </row>
    <row r="13084" spans="1:6">
      <c r="A13084" t="str">
        <f t="shared" si="204"/>
        <v/>
      </c>
      <c r="E13084" s="626"/>
      <c r="F13084" s="626"/>
    </row>
    <row r="13085" spans="1:6">
      <c r="A13085" t="str">
        <f t="shared" si="204"/>
        <v/>
      </c>
      <c r="E13085" s="626"/>
      <c r="F13085" s="626"/>
    </row>
    <row r="13086" spans="1:6">
      <c r="A13086" t="str">
        <f t="shared" si="204"/>
        <v/>
      </c>
      <c r="E13086" s="626"/>
      <c r="F13086" s="626"/>
    </row>
    <row r="13087" spans="1:6">
      <c r="A13087" t="str">
        <f t="shared" si="204"/>
        <v/>
      </c>
      <c r="E13087" s="626"/>
      <c r="F13087" s="626"/>
    </row>
    <row r="13088" spans="1:6">
      <c r="A13088" t="str">
        <f t="shared" si="204"/>
        <v/>
      </c>
      <c r="E13088" s="626"/>
      <c r="F13088" s="626"/>
    </row>
    <row r="13089" spans="1:6">
      <c r="A13089" t="str">
        <f t="shared" si="204"/>
        <v/>
      </c>
      <c r="E13089" s="626"/>
      <c r="F13089" s="626"/>
    </row>
    <row r="13090" spans="1:6">
      <c r="A13090" t="str">
        <f t="shared" si="204"/>
        <v/>
      </c>
      <c r="E13090" s="626"/>
      <c r="F13090" s="626"/>
    </row>
    <row r="13091" spans="1:6">
      <c r="A13091" t="str">
        <f t="shared" si="204"/>
        <v/>
      </c>
      <c r="E13091" s="626"/>
      <c r="F13091" s="626"/>
    </row>
    <row r="13092" spans="1:6">
      <c r="A13092" t="str">
        <f t="shared" si="204"/>
        <v/>
      </c>
      <c r="E13092" s="626"/>
      <c r="F13092" s="626"/>
    </row>
    <row r="13093" spans="1:6">
      <c r="A13093" t="str">
        <f t="shared" si="204"/>
        <v/>
      </c>
      <c r="E13093" s="626"/>
      <c r="F13093" s="626"/>
    </row>
    <row r="13094" spans="1:6">
      <c r="A13094" t="str">
        <f t="shared" si="204"/>
        <v/>
      </c>
      <c r="E13094" s="626"/>
      <c r="F13094" s="626"/>
    </row>
    <row r="13095" spans="1:6">
      <c r="A13095" t="str">
        <f t="shared" si="204"/>
        <v/>
      </c>
      <c r="E13095" s="626"/>
      <c r="F13095" s="626"/>
    </row>
    <row r="13096" spans="1:6">
      <c r="A13096" t="str">
        <f t="shared" si="204"/>
        <v/>
      </c>
      <c r="E13096" s="626"/>
      <c r="F13096" s="626"/>
    </row>
    <row r="13097" spans="1:6">
      <c r="A13097" t="str">
        <f t="shared" si="204"/>
        <v/>
      </c>
      <c r="E13097" s="626"/>
      <c r="F13097" s="626"/>
    </row>
    <row r="13098" spans="1:6">
      <c r="A13098" t="str">
        <f t="shared" si="204"/>
        <v/>
      </c>
      <c r="E13098" s="626"/>
      <c r="F13098" s="626"/>
    </row>
    <row r="13099" spans="1:6">
      <c r="A13099" t="str">
        <f t="shared" si="204"/>
        <v/>
      </c>
      <c r="E13099" s="626"/>
      <c r="F13099" s="626"/>
    </row>
    <row r="13100" spans="1:6">
      <c r="A13100" t="str">
        <f t="shared" si="204"/>
        <v/>
      </c>
      <c r="E13100" s="626"/>
      <c r="F13100" s="626"/>
    </row>
    <row r="13101" spans="1:6">
      <c r="A13101" t="str">
        <f t="shared" si="204"/>
        <v/>
      </c>
      <c r="E13101" s="626"/>
      <c r="F13101" s="626"/>
    </row>
    <row r="13102" spans="1:6">
      <c r="A13102" t="str">
        <f t="shared" si="204"/>
        <v/>
      </c>
      <c r="E13102" s="626"/>
      <c r="F13102" s="626"/>
    </row>
    <row r="13103" spans="1:6">
      <c r="A13103" t="str">
        <f t="shared" si="204"/>
        <v/>
      </c>
      <c r="E13103" s="626"/>
      <c r="F13103" s="626"/>
    </row>
    <row r="13104" spans="1:6">
      <c r="A13104" t="str">
        <f t="shared" si="204"/>
        <v/>
      </c>
      <c r="E13104" s="626"/>
      <c r="F13104" s="626"/>
    </row>
    <row r="13105" spans="1:6">
      <c r="A13105" t="str">
        <f t="shared" si="204"/>
        <v/>
      </c>
      <c r="E13105" s="626"/>
      <c r="F13105" s="626"/>
    </row>
    <row r="13106" spans="1:6">
      <c r="A13106" t="str">
        <f t="shared" si="204"/>
        <v/>
      </c>
      <c r="E13106" s="626"/>
      <c r="F13106" s="626"/>
    </row>
    <row r="13107" spans="1:6">
      <c r="A13107" t="str">
        <f t="shared" si="204"/>
        <v/>
      </c>
      <c r="E13107" s="626"/>
      <c r="F13107" s="626"/>
    </row>
    <row r="13108" spans="1:6">
      <c r="A13108" t="str">
        <f t="shared" si="204"/>
        <v/>
      </c>
      <c r="E13108" s="626"/>
      <c r="F13108" s="626"/>
    </row>
    <row r="13109" spans="1:6">
      <c r="A13109" t="str">
        <f t="shared" si="204"/>
        <v/>
      </c>
      <c r="E13109" s="626"/>
      <c r="F13109" s="626"/>
    </row>
    <row r="13110" spans="1:6">
      <c r="A13110" t="str">
        <f t="shared" si="204"/>
        <v/>
      </c>
      <c r="E13110" s="626"/>
      <c r="F13110" s="626"/>
    </row>
    <row r="13111" spans="1:6">
      <c r="A13111" t="str">
        <f t="shared" si="204"/>
        <v/>
      </c>
      <c r="E13111" s="626"/>
      <c r="F13111" s="626"/>
    </row>
    <row r="13112" spans="1:6">
      <c r="A13112" t="str">
        <f t="shared" si="204"/>
        <v/>
      </c>
      <c r="E13112" s="626"/>
      <c r="F13112" s="626"/>
    </row>
    <row r="13113" spans="1:6">
      <c r="A13113" t="str">
        <f t="shared" si="204"/>
        <v/>
      </c>
      <c r="E13113" s="626"/>
      <c r="F13113" s="626"/>
    </row>
    <row r="13114" spans="1:6">
      <c r="A13114" t="str">
        <f t="shared" si="204"/>
        <v/>
      </c>
      <c r="E13114" s="626"/>
      <c r="F13114" s="626"/>
    </row>
    <row r="13115" spans="1:6">
      <c r="A13115" t="str">
        <f t="shared" si="204"/>
        <v/>
      </c>
      <c r="E13115" s="626"/>
      <c r="F13115" s="626"/>
    </row>
    <row r="13116" spans="1:6">
      <c r="A13116" t="str">
        <f t="shared" si="204"/>
        <v/>
      </c>
      <c r="E13116" s="626"/>
      <c r="F13116" s="626"/>
    </row>
    <row r="13117" spans="1:6">
      <c r="A13117" t="str">
        <f t="shared" si="204"/>
        <v/>
      </c>
      <c r="E13117" s="626"/>
      <c r="F13117" s="626"/>
    </row>
    <row r="13118" spans="1:6">
      <c r="A13118" t="str">
        <f t="shared" si="204"/>
        <v/>
      </c>
      <c r="E13118" s="626"/>
      <c r="F13118" s="626"/>
    </row>
    <row r="13119" spans="1:6">
      <c r="A13119" t="str">
        <f t="shared" si="204"/>
        <v/>
      </c>
      <c r="E13119" s="626"/>
      <c r="F13119" s="626"/>
    </row>
    <row r="13120" spans="1:6">
      <c r="A13120" t="str">
        <f t="shared" si="204"/>
        <v/>
      </c>
      <c r="E13120" s="626"/>
      <c r="F13120" s="626"/>
    </row>
    <row r="13121" spans="1:6">
      <c r="A13121" t="str">
        <f t="shared" si="204"/>
        <v/>
      </c>
      <c r="E13121" s="626"/>
      <c r="F13121" s="626"/>
    </row>
    <row r="13122" spans="1:6">
      <c r="A13122" t="str">
        <f t="shared" ref="A13122:A13185" si="205">B13122&amp;E13122&amp;J13122</f>
        <v/>
      </c>
      <c r="E13122" s="626"/>
      <c r="F13122" s="626"/>
    </row>
    <row r="13123" spans="1:6">
      <c r="A13123" t="str">
        <f t="shared" si="205"/>
        <v/>
      </c>
      <c r="E13123" s="626"/>
      <c r="F13123" s="626"/>
    </row>
    <row r="13124" spans="1:6">
      <c r="A13124" t="str">
        <f t="shared" si="205"/>
        <v/>
      </c>
      <c r="E13124" s="626"/>
      <c r="F13124" s="626"/>
    </row>
    <row r="13125" spans="1:6">
      <c r="A13125" t="str">
        <f t="shared" si="205"/>
        <v/>
      </c>
      <c r="E13125" s="626"/>
      <c r="F13125" s="626"/>
    </row>
    <row r="13126" spans="1:6">
      <c r="A13126" t="str">
        <f t="shared" si="205"/>
        <v/>
      </c>
      <c r="E13126" s="626"/>
      <c r="F13126" s="626"/>
    </row>
    <row r="13127" spans="1:6">
      <c r="A13127" t="str">
        <f t="shared" si="205"/>
        <v/>
      </c>
      <c r="E13127" s="626"/>
      <c r="F13127" s="626"/>
    </row>
    <row r="13128" spans="1:6">
      <c r="A13128" t="str">
        <f t="shared" si="205"/>
        <v/>
      </c>
      <c r="E13128" s="626"/>
      <c r="F13128" s="626"/>
    </row>
    <row r="13129" spans="1:6">
      <c r="A13129" t="str">
        <f t="shared" si="205"/>
        <v/>
      </c>
      <c r="E13129" s="626"/>
      <c r="F13129" s="626"/>
    </row>
    <row r="13130" spans="1:6">
      <c r="A13130" t="str">
        <f t="shared" si="205"/>
        <v/>
      </c>
      <c r="E13130" s="626"/>
      <c r="F13130" s="626"/>
    </row>
    <row r="13131" spans="1:6">
      <c r="A13131" t="str">
        <f t="shared" si="205"/>
        <v/>
      </c>
      <c r="E13131" s="626"/>
      <c r="F13131" s="626"/>
    </row>
    <row r="13132" spans="1:6">
      <c r="A13132" t="str">
        <f t="shared" si="205"/>
        <v/>
      </c>
      <c r="E13132" s="626"/>
      <c r="F13132" s="626"/>
    </row>
    <row r="13133" spans="1:6">
      <c r="A13133" t="str">
        <f t="shared" si="205"/>
        <v/>
      </c>
      <c r="E13133" s="626"/>
      <c r="F13133" s="626"/>
    </row>
    <row r="13134" spans="1:6">
      <c r="A13134" t="str">
        <f t="shared" si="205"/>
        <v/>
      </c>
      <c r="E13134" s="626"/>
      <c r="F13134" s="626"/>
    </row>
    <row r="13135" spans="1:6">
      <c r="A13135" t="str">
        <f t="shared" si="205"/>
        <v/>
      </c>
      <c r="E13135" s="626"/>
      <c r="F13135" s="626"/>
    </row>
    <row r="13136" spans="1:6">
      <c r="A13136" t="str">
        <f t="shared" si="205"/>
        <v/>
      </c>
      <c r="E13136" s="626"/>
      <c r="F13136" s="626"/>
    </row>
    <row r="13137" spans="1:6">
      <c r="A13137" t="str">
        <f t="shared" si="205"/>
        <v/>
      </c>
      <c r="E13137" s="626"/>
      <c r="F13137" s="626"/>
    </row>
    <row r="13138" spans="1:6">
      <c r="A13138" t="str">
        <f t="shared" si="205"/>
        <v/>
      </c>
      <c r="E13138" s="626"/>
      <c r="F13138" s="626"/>
    </row>
    <row r="13139" spans="1:6">
      <c r="A13139" t="str">
        <f t="shared" si="205"/>
        <v/>
      </c>
      <c r="E13139" s="626"/>
      <c r="F13139" s="626"/>
    </row>
    <row r="13140" spans="1:6">
      <c r="A13140" t="str">
        <f t="shared" si="205"/>
        <v/>
      </c>
      <c r="E13140" s="626"/>
      <c r="F13140" s="626"/>
    </row>
    <row r="13141" spans="1:6">
      <c r="A13141" t="str">
        <f t="shared" si="205"/>
        <v/>
      </c>
      <c r="E13141" s="626"/>
      <c r="F13141" s="626"/>
    </row>
    <row r="13142" spans="1:6">
      <c r="A13142" t="str">
        <f t="shared" si="205"/>
        <v/>
      </c>
      <c r="E13142" s="626"/>
      <c r="F13142" s="626"/>
    </row>
    <row r="13143" spans="1:6">
      <c r="A13143" t="str">
        <f t="shared" si="205"/>
        <v/>
      </c>
      <c r="E13143" s="626"/>
      <c r="F13143" s="626"/>
    </row>
    <row r="13144" spans="1:6">
      <c r="A13144" t="str">
        <f t="shared" si="205"/>
        <v/>
      </c>
      <c r="E13144" s="626"/>
      <c r="F13144" s="626"/>
    </row>
    <row r="13145" spans="1:6">
      <c r="A13145" t="str">
        <f t="shared" si="205"/>
        <v/>
      </c>
      <c r="E13145" s="626"/>
      <c r="F13145" s="626"/>
    </row>
    <row r="13146" spans="1:6">
      <c r="A13146" t="str">
        <f t="shared" si="205"/>
        <v/>
      </c>
      <c r="E13146" s="626"/>
      <c r="F13146" s="626"/>
    </row>
    <row r="13147" spans="1:6">
      <c r="A13147" t="str">
        <f t="shared" si="205"/>
        <v/>
      </c>
      <c r="E13147" s="626"/>
      <c r="F13147" s="626"/>
    </row>
    <row r="13148" spans="1:6">
      <c r="A13148" t="str">
        <f t="shared" si="205"/>
        <v/>
      </c>
      <c r="E13148" s="626"/>
      <c r="F13148" s="626"/>
    </row>
    <row r="13149" spans="1:6">
      <c r="A13149" t="str">
        <f t="shared" si="205"/>
        <v/>
      </c>
      <c r="E13149" s="626"/>
      <c r="F13149" s="626"/>
    </row>
    <row r="13150" spans="1:6">
      <c r="A13150" t="str">
        <f t="shared" si="205"/>
        <v/>
      </c>
      <c r="E13150" s="626"/>
      <c r="F13150" s="626"/>
    </row>
    <row r="13151" spans="1:6">
      <c r="A13151" t="str">
        <f t="shared" si="205"/>
        <v/>
      </c>
      <c r="E13151" s="626"/>
      <c r="F13151" s="626"/>
    </row>
    <row r="13152" spans="1:6">
      <c r="A13152" t="str">
        <f t="shared" si="205"/>
        <v/>
      </c>
      <c r="E13152" s="626"/>
      <c r="F13152" s="626"/>
    </row>
    <row r="13153" spans="1:6">
      <c r="A13153" t="str">
        <f t="shared" si="205"/>
        <v/>
      </c>
      <c r="E13153" s="626"/>
      <c r="F13153" s="626"/>
    </row>
    <row r="13154" spans="1:6">
      <c r="A13154" t="str">
        <f t="shared" si="205"/>
        <v/>
      </c>
      <c r="E13154" s="626"/>
      <c r="F13154" s="626"/>
    </row>
    <row r="13155" spans="1:6">
      <c r="A13155" t="str">
        <f t="shared" si="205"/>
        <v/>
      </c>
      <c r="E13155" s="626"/>
      <c r="F13155" s="626"/>
    </row>
    <row r="13156" spans="1:6">
      <c r="A13156" t="str">
        <f t="shared" si="205"/>
        <v/>
      </c>
      <c r="E13156" s="626"/>
      <c r="F13156" s="626"/>
    </row>
    <row r="13157" spans="1:6">
      <c r="A13157" t="str">
        <f t="shared" si="205"/>
        <v/>
      </c>
      <c r="E13157" s="626"/>
      <c r="F13157" s="626"/>
    </row>
    <row r="13158" spans="1:6">
      <c r="A13158" t="str">
        <f t="shared" si="205"/>
        <v/>
      </c>
      <c r="E13158" s="626"/>
      <c r="F13158" s="626"/>
    </row>
    <row r="13159" spans="1:6">
      <c r="A13159" t="str">
        <f t="shared" si="205"/>
        <v/>
      </c>
      <c r="E13159" s="626"/>
      <c r="F13159" s="626"/>
    </row>
    <row r="13160" spans="1:6">
      <c r="A13160" t="str">
        <f t="shared" si="205"/>
        <v/>
      </c>
      <c r="E13160" s="626"/>
      <c r="F13160" s="626"/>
    </row>
    <row r="13161" spans="1:6">
      <c r="A13161" t="str">
        <f t="shared" si="205"/>
        <v/>
      </c>
      <c r="E13161" s="626"/>
      <c r="F13161" s="626"/>
    </row>
    <row r="13162" spans="1:6">
      <c r="A13162" t="str">
        <f t="shared" si="205"/>
        <v/>
      </c>
      <c r="E13162" s="626"/>
      <c r="F13162" s="626"/>
    </row>
    <row r="13163" spans="1:6">
      <c r="A13163" t="str">
        <f t="shared" si="205"/>
        <v/>
      </c>
      <c r="E13163" s="626"/>
      <c r="F13163" s="626"/>
    </row>
    <row r="13164" spans="1:6">
      <c r="A13164" t="str">
        <f t="shared" si="205"/>
        <v/>
      </c>
      <c r="E13164" s="626"/>
      <c r="F13164" s="626"/>
    </row>
    <row r="13165" spans="1:6">
      <c r="A13165" t="str">
        <f t="shared" si="205"/>
        <v/>
      </c>
      <c r="E13165" s="626"/>
      <c r="F13165" s="626"/>
    </row>
    <row r="13166" spans="1:6">
      <c r="A13166" t="str">
        <f t="shared" si="205"/>
        <v/>
      </c>
      <c r="E13166" s="626"/>
      <c r="F13166" s="626"/>
    </row>
    <row r="13167" spans="1:6">
      <c r="A13167" t="str">
        <f t="shared" si="205"/>
        <v/>
      </c>
      <c r="E13167" s="626"/>
      <c r="F13167" s="626"/>
    </row>
    <row r="13168" spans="1:6">
      <c r="A13168" t="str">
        <f t="shared" si="205"/>
        <v/>
      </c>
      <c r="E13168" s="626"/>
      <c r="F13168" s="626"/>
    </row>
    <row r="13169" spans="1:6">
      <c r="A13169" t="str">
        <f t="shared" si="205"/>
        <v/>
      </c>
      <c r="E13169" s="626"/>
      <c r="F13169" s="626"/>
    </row>
    <row r="13170" spans="1:6">
      <c r="A13170" t="str">
        <f t="shared" si="205"/>
        <v/>
      </c>
      <c r="E13170" s="626"/>
      <c r="F13170" s="626"/>
    </row>
    <row r="13171" spans="1:6">
      <c r="A13171" t="str">
        <f t="shared" si="205"/>
        <v/>
      </c>
      <c r="E13171" s="626"/>
      <c r="F13171" s="626"/>
    </row>
    <row r="13172" spans="1:6">
      <c r="A13172" t="str">
        <f t="shared" si="205"/>
        <v/>
      </c>
      <c r="E13172" s="626"/>
      <c r="F13172" s="626"/>
    </row>
    <row r="13173" spans="1:6">
      <c r="A13173" t="str">
        <f t="shared" si="205"/>
        <v/>
      </c>
      <c r="E13173" s="626"/>
      <c r="F13173" s="626"/>
    </row>
    <row r="13174" spans="1:6">
      <c r="A13174" t="str">
        <f t="shared" si="205"/>
        <v/>
      </c>
      <c r="E13174" s="626"/>
      <c r="F13174" s="626"/>
    </row>
    <row r="13175" spans="1:6">
      <c r="A13175" t="str">
        <f t="shared" si="205"/>
        <v/>
      </c>
      <c r="E13175" s="626"/>
      <c r="F13175" s="626"/>
    </row>
    <row r="13176" spans="1:6">
      <c r="A13176" t="str">
        <f t="shared" si="205"/>
        <v/>
      </c>
      <c r="E13176" s="626"/>
      <c r="F13176" s="626"/>
    </row>
    <row r="13177" spans="1:6">
      <c r="A13177" t="str">
        <f t="shared" si="205"/>
        <v/>
      </c>
      <c r="E13177" s="626"/>
      <c r="F13177" s="626"/>
    </row>
    <row r="13178" spans="1:6">
      <c r="A13178" t="str">
        <f t="shared" si="205"/>
        <v/>
      </c>
      <c r="E13178" s="626"/>
      <c r="F13178" s="626"/>
    </row>
    <row r="13179" spans="1:6">
      <c r="A13179" t="str">
        <f t="shared" si="205"/>
        <v/>
      </c>
      <c r="E13179" s="626"/>
      <c r="F13179" s="626"/>
    </row>
    <row r="13180" spans="1:6">
      <c r="A13180" t="str">
        <f t="shared" si="205"/>
        <v/>
      </c>
      <c r="E13180" s="626"/>
      <c r="F13180" s="626"/>
    </row>
    <row r="13181" spans="1:6">
      <c r="A13181" t="str">
        <f t="shared" si="205"/>
        <v/>
      </c>
      <c r="E13181" s="626"/>
      <c r="F13181" s="626"/>
    </row>
    <row r="13182" spans="1:6">
      <c r="A13182" t="str">
        <f t="shared" si="205"/>
        <v/>
      </c>
      <c r="E13182" s="626"/>
      <c r="F13182" s="626"/>
    </row>
    <row r="13183" spans="1:6">
      <c r="A13183" t="str">
        <f t="shared" si="205"/>
        <v/>
      </c>
      <c r="E13183" s="626"/>
      <c r="F13183" s="626"/>
    </row>
    <row r="13184" spans="1:6">
      <c r="A13184" t="str">
        <f t="shared" si="205"/>
        <v/>
      </c>
      <c r="E13184" s="626"/>
      <c r="F13184" s="626"/>
    </row>
    <row r="13185" spans="1:6">
      <c r="A13185" t="str">
        <f t="shared" si="205"/>
        <v/>
      </c>
      <c r="E13185" s="626"/>
      <c r="F13185" s="626"/>
    </row>
    <row r="13186" spans="1:6">
      <c r="A13186" t="str">
        <f t="shared" ref="A13186:A13249" si="206">B13186&amp;E13186&amp;J13186</f>
        <v/>
      </c>
      <c r="E13186" s="626"/>
      <c r="F13186" s="626"/>
    </row>
    <row r="13187" spans="1:6">
      <c r="A13187" t="str">
        <f t="shared" si="206"/>
        <v/>
      </c>
      <c r="E13187" s="626"/>
      <c r="F13187" s="626"/>
    </row>
    <row r="13188" spans="1:6">
      <c r="A13188" t="str">
        <f t="shared" si="206"/>
        <v/>
      </c>
      <c r="E13188" s="626"/>
      <c r="F13188" s="626"/>
    </row>
    <row r="13189" spans="1:6">
      <c r="A13189" t="str">
        <f t="shared" si="206"/>
        <v/>
      </c>
      <c r="E13189" s="626"/>
      <c r="F13189" s="626"/>
    </row>
    <row r="13190" spans="1:6">
      <c r="A13190" t="str">
        <f t="shared" si="206"/>
        <v/>
      </c>
      <c r="E13190" s="626"/>
      <c r="F13190" s="626"/>
    </row>
    <row r="13191" spans="1:6">
      <c r="A13191" t="str">
        <f t="shared" si="206"/>
        <v/>
      </c>
      <c r="E13191" s="626"/>
      <c r="F13191" s="626"/>
    </row>
    <row r="13192" spans="1:6">
      <c r="A13192" t="str">
        <f t="shared" si="206"/>
        <v/>
      </c>
      <c r="E13192" s="626"/>
      <c r="F13192" s="626"/>
    </row>
    <row r="13193" spans="1:6">
      <c r="A13193" t="str">
        <f t="shared" si="206"/>
        <v/>
      </c>
      <c r="E13193" s="626"/>
      <c r="F13193" s="626"/>
    </row>
    <row r="13194" spans="1:6">
      <c r="A13194" t="str">
        <f t="shared" si="206"/>
        <v/>
      </c>
      <c r="E13194" s="626"/>
      <c r="F13194" s="626"/>
    </row>
    <row r="13195" spans="1:6">
      <c r="A13195" t="str">
        <f t="shared" si="206"/>
        <v/>
      </c>
      <c r="E13195" s="626"/>
      <c r="F13195" s="626"/>
    </row>
    <row r="13196" spans="1:6">
      <c r="A13196" t="str">
        <f t="shared" si="206"/>
        <v/>
      </c>
      <c r="E13196" s="626"/>
      <c r="F13196" s="626"/>
    </row>
    <row r="13197" spans="1:6">
      <c r="A13197" t="str">
        <f t="shared" si="206"/>
        <v/>
      </c>
      <c r="E13197" s="626"/>
      <c r="F13197" s="626"/>
    </row>
    <row r="13198" spans="1:6">
      <c r="A13198" t="str">
        <f t="shared" si="206"/>
        <v/>
      </c>
      <c r="E13198" s="626"/>
      <c r="F13198" s="626"/>
    </row>
    <row r="13199" spans="1:6">
      <c r="A13199" t="str">
        <f t="shared" si="206"/>
        <v/>
      </c>
      <c r="E13199" s="626"/>
      <c r="F13199" s="626"/>
    </row>
    <row r="13200" spans="1:6">
      <c r="A13200" t="str">
        <f t="shared" si="206"/>
        <v/>
      </c>
      <c r="E13200" s="626"/>
      <c r="F13200" s="626"/>
    </row>
    <row r="13201" spans="1:6">
      <c r="A13201" t="str">
        <f t="shared" si="206"/>
        <v/>
      </c>
      <c r="E13201" s="626"/>
      <c r="F13201" s="626"/>
    </row>
    <row r="13202" spans="1:6">
      <c r="A13202" t="str">
        <f t="shared" si="206"/>
        <v/>
      </c>
      <c r="E13202" s="626"/>
      <c r="F13202" s="626"/>
    </row>
    <row r="13203" spans="1:6">
      <c r="A13203" t="str">
        <f t="shared" si="206"/>
        <v/>
      </c>
      <c r="E13203" s="626"/>
      <c r="F13203" s="626"/>
    </row>
    <row r="13204" spans="1:6">
      <c r="A13204" t="str">
        <f t="shared" si="206"/>
        <v/>
      </c>
      <c r="E13204" s="626"/>
      <c r="F13204" s="626"/>
    </row>
    <row r="13205" spans="1:6">
      <c r="A13205" t="str">
        <f t="shared" si="206"/>
        <v/>
      </c>
      <c r="E13205" s="626"/>
      <c r="F13205" s="626"/>
    </row>
    <row r="13206" spans="1:6">
      <c r="A13206" t="str">
        <f t="shared" si="206"/>
        <v/>
      </c>
      <c r="E13206" s="626"/>
      <c r="F13206" s="626"/>
    </row>
    <row r="13207" spans="1:6">
      <c r="A13207" t="str">
        <f t="shared" si="206"/>
        <v/>
      </c>
      <c r="E13207" s="626"/>
      <c r="F13207" s="626"/>
    </row>
    <row r="13208" spans="1:6">
      <c r="A13208" t="str">
        <f t="shared" si="206"/>
        <v/>
      </c>
      <c r="E13208" s="626"/>
      <c r="F13208" s="626"/>
    </row>
    <row r="13209" spans="1:6">
      <c r="A13209" t="str">
        <f t="shared" si="206"/>
        <v/>
      </c>
      <c r="E13209" s="626"/>
      <c r="F13209" s="626"/>
    </row>
    <row r="13210" spans="1:6">
      <c r="A13210" t="str">
        <f t="shared" si="206"/>
        <v/>
      </c>
      <c r="E13210" s="626"/>
      <c r="F13210" s="626"/>
    </row>
    <row r="13211" spans="1:6">
      <c r="A13211" t="str">
        <f t="shared" si="206"/>
        <v/>
      </c>
      <c r="E13211" s="626"/>
      <c r="F13211" s="626"/>
    </row>
    <row r="13212" spans="1:6">
      <c r="A13212" t="str">
        <f t="shared" si="206"/>
        <v/>
      </c>
      <c r="E13212" s="626"/>
      <c r="F13212" s="626"/>
    </row>
    <row r="13213" spans="1:6">
      <c r="A13213" t="str">
        <f t="shared" si="206"/>
        <v/>
      </c>
      <c r="E13213" s="626"/>
      <c r="F13213" s="626"/>
    </row>
    <row r="13214" spans="1:6">
      <c r="A13214" t="str">
        <f t="shared" si="206"/>
        <v/>
      </c>
      <c r="E13214" s="626"/>
      <c r="F13214" s="626"/>
    </row>
    <row r="13215" spans="1:6">
      <c r="A13215" t="str">
        <f t="shared" si="206"/>
        <v/>
      </c>
      <c r="E13215" s="626"/>
      <c r="F13215" s="626"/>
    </row>
    <row r="13216" spans="1:6">
      <c r="A13216" t="str">
        <f t="shared" si="206"/>
        <v/>
      </c>
      <c r="E13216" s="626"/>
      <c r="F13216" s="626"/>
    </row>
    <row r="13217" spans="1:6">
      <c r="A13217" t="str">
        <f t="shared" si="206"/>
        <v/>
      </c>
      <c r="E13217" s="626"/>
      <c r="F13217" s="626"/>
    </row>
    <row r="13218" spans="1:6">
      <c r="A13218" t="str">
        <f t="shared" si="206"/>
        <v/>
      </c>
      <c r="E13218" s="626"/>
      <c r="F13218" s="626"/>
    </row>
    <row r="13219" spans="1:6">
      <c r="A13219" t="str">
        <f t="shared" si="206"/>
        <v/>
      </c>
      <c r="E13219" s="626"/>
      <c r="F13219" s="626"/>
    </row>
    <row r="13220" spans="1:6">
      <c r="A13220" t="str">
        <f t="shared" si="206"/>
        <v/>
      </c>
      <c r="E13220" s="626"/>
      <c r="F13220" s="626"/>
    </row>
    <row r="13221" spans="1:6">
      <c r="A13221" t="str">
        <f t="shared" si="206"/>
        <v/>
      </c>
      <c r="E13221" s="626"/>
      <c r="F13221" s="626"/>
    </row>
    <row r="13222" spans="1:6">
      <c r="A13222" t="str">
        <f t="shared" si="206"/>
        <v/>
      </c>
      <c r="E13222" s="626"/>
      <c r="F13222" s="626"/>
    </row>
    <row r="13223" spans="1:6">
      <c r="A13223" t="str">
        <f t="shared" si="206"/>
        <v/>
      </c>
      <c r="E13223" s="626"/>
      <c r="F13223" s="626"/>
    </row>
    <row r="13224" spans="1:6">
      <c r="A13224" t="str">
        <f t="shared" si="206"/>
        <v/>
      </c>
      <c r="E13224" s="626"/>
      <c r="F13224" s="626"/>
    </row>
    <row r="13225" spans="1:6">
      <c r="A13225" t="str">
        <f t="shared" si="206"/>
        <v/>
      </c>
      <c r="E13225" s="626"/>
      <c r="F13225" s="626"/>
    </row>
    <row r="13226" spans="1:6">
      <c r="A13226" t="str">
        <f t="shared" si="206"/>
        <v/>
      </c>
      <c r="E13226" s="626"/>
      <c r="F13226" s="626"/>
    </row>
    <row r="13227" spans="1:6">
      <c r="A13227" t="str">
        <f t="shared" si="206"/>
        <v/>
      </c>
      <c r="E13227" s="626"/>
      <c r="F13227" s="626"/>
    </row>
    <row r="13228" spans="1:6">
      <c r="A13228" t="str">
        <f t="shared" si="206"/>
        <v/>
      </c>
      <c r="E13228" s="626"/>
      <c r="F13228" s="626"/>
    </row>
    <row r="13229" spans="1:6">
      <c r="A13229" t="str">
        <f t="shared" si="206"/>
        <v/>
      </c>
      <c r="E13229" s="626"/>
      <c r="F13229" s="626"/>
    </row>
    <row r="13230" spans="1:6">
      <c r="A13230" t="str">
        <f t="shared" si="206"/>
        <v/>
      </c>
      <c r="E13230" s="626"/>
      <c r="F13230" s="626"/>
    </row>
    <row r="13231" spans="1:6">
      <c r="A13231" t="str">
        <f t="shared" si="206"/>
        <v/>
      </c>
      <c r="E13231" s="626"/>
      <c r="F13231" s="626"/>
    </row>
    <row r="13232" spans="1:6">
      <c r="A13232" t="str">
        <f t="shared" si="206"/>
        <v/>
      </c>
      <c r="E13232" s="626"/>
      <c r="F13232" s="626"/>
    </row>
    <row r="13233" spans="1:6">
      <c r="A13233" t="str">
        <f t="shared" si="206"/>
        <v/>
      </c>
      <c r="E13233" s="626"/>
      <c r="F13233" s="626"/>
    </row>
    <row r="13234" spans="1:6">
      <c r="A13234" t="str">
        <f t="shared" si="206"/>
        <v/>
      </c>
      <c r="E13234" s="626"/>
      <c r="F13234" s="626"/>
    </row>
    <row r="13235" spans="1:6">
      <c r="A13235" t="str">
        <f t="shared" si="206"/>
        <v/>
      </c>
      <c r="E13235" s="626"/>
      <c r="F13235" s="626"/>
    </row>
    <row r="13236" spans="1:6">
      <c r="A13236" t="str">
        <f t="shared" si="206"/>
        <v/>
      </c>
      <c r="E13236" s="626"/>
      <c r="F13236" s="626"/>
    </row>
    <row r="13237" spans="1:6">
      <c r="A13237" t="str">
        <f t="shared" si="206"/>
        <v/>
      </c>
      <c r="E13237" s="626"/>
      <c r="F13237" s="626"/>
    </row>
    <row r="13238" spans="1:6">
      <c r="A13238" t="str">
        <f t="shared" si="206"/>
        <v/>
      </c>
      <c r="E13238" s="626"/>
      <c r="F13238" s="626"/>
    </row>
    <row r="13239" spans="1:6">
      <c r="A13239" t="str">
        <f t="shared" si="206"/>
        <v/>
      </c>
      <c r="E13239" s="626"/>
      <c r="F13239" s="626"/>
    </row>
    <row r="13240" spans="1:6">
      <c r="A13240" t="str">
        <f t="shared" si="206"/>
        <v/>
      </c>
      <c r="E13240" s="626"/>
      <c r="F13240" s="626"/>
    </row>
    <row r="13241" spans="1:6">
      <c r="A13241" t="str">
        <f t="shared" si="206"/>
        <v/>
      </c>
      <c r="E13241" s="626"/>
      <c r="F13241" s="626"/>
    </row>
    <row r="13242" spans="1:6">
      <c r="A13242" t="str">
        <f t="shared" si="206"/>
        <v/>
      </c>
      <c r="E13242" s="626"/>
      <c r="F13242" s="626"/>
    </row>
    <row r="13243" spans="1:6">
      <c r="A13243" t="str">
        <f t="shared" si="206"/>
        <v/>
      </c>
      <c r="E13243" s="626"/>
      <c r="F13243" s="626"/>
    </row>
    <row r="13244" spans="1:6">
      <c r="A13244" t="str">
        <f t="shared" si="206"/>
        <v/>
      </c>
      <c r="E13244" s="626"/>
      <c r="F13244" s="626"/>
    </row>
    <row r="13245" spans="1:6">
      <c r="A13245" t="str">
        <f t="shared" si="206"/>
        <v/>
      </c>
      <c r="E13245" s="626"/>
      <c r="F13245" s="626"/>
    </row>
    <row r="13246" spans="1:6">
      <c r="A13246" t="str">
        <f t="shared" si="206"/>
        <v/>
      </c>
      <c r="E13246" s="626"/>
      <c r="F13246" s="626"/>
    </row>
    <row r="13247" spans="1:6">
      <c r="A13247" t="str">
        <f t="shared" si="206"/>
        <v/>
      </c>
      <c r="E13247" s="626"/>
      <c r="F13247" s="626"/>
    </row>
    <row r="13248" spans="1:6">
      <c r="A13248" t="str">
        <f t="shared" si="206"/>
        <v/>
      </c>
      <c r="E13248" s="626"/>
      <c r="F13248" s="626"/>
    </row>
    <row r="13249" spans="1:6">
      <c r="A13249" t="str">
        <f t="shared" si="206"/>
        <v/>
      </c>
      <c r="E13249" s="626"/>
      <c r="F13249" s="626"/>
    </row>
    <row r="13250" spans="1:6">
      <c r="A13250" t="str">
        <f t="shared" ref="A13250:A13313" si="207">B13250&amp;E13250&amp;J13250</f>
        <v/>
      </c>
      <c r="E13250" s="626"/>
      <c r="F13250" s="626"/>
    </row>
    <row r="13251" spans="1:6">
      <c r="A13251" t="str">
        <f t="shared" si="207"/>
        <v/>
      </c>
      <c r="E13251" s="626"/>
      <c r="F13251" s="626"/>
    </row>
    <row r="13252" spans="1:6">
      <c r="A13252" t="str">
        <f t="shared" si="207"/>
        <v/>
      </c>
      <c r="E13252" s="626"/>
      <c r="F13252" s="626"/>
    </row>
    <row r="13253" spans="1:6">
      <c r="A13253" t="str">
        <f t="shared" si="207"/>
        <v/>
      </c>
      <c r="E13253" s="626"/>
      <c r="F13253" s="626"/>
    </row>
    <row r="13254" spans="1:6">
      <c r="A13254" t="str">
        <f t="shared" si="207"/>
        <v/>
      </c>
      <c r="E13254" s="626"/>
      <c r="F13254" s="626"/>
    </row>
    <row r="13255" spans="1:6">
      <c r="A13255" t="str">
        <f t="shared" si="207"/>
        <v/>
      </c>
      <c r="E13255" s="626"/>
      <c r="F13255" s="626"/>
    </row>
    <row r="13256" spans="1:6">
      <c r="A13256" t="str">
        <f t="shared" si="207"/>
        <v/>
      </c>
      <c r="E13256" s="626"/>
      <c r="F13256" s="626"/>
    </row>
    <row r="13257" spans="1:6">
      <c r="A13257" t="str">
        <f t="shared" si="207"/>
        <v/>
      </c>
      <c r="E13257" s="626"/>
      <c r="F13257" s="626"/>
    </row>
    <row r="13258" spans="1:6">
      <c r="A13258" t="str">
        <f t="shared" si="207"/>
        <v/>
      </c>
      <c r="E13258" s="626"/>
      <c r="F13258" s="626"/>
    </row>
    <row r="13259" spans="1:6">
      <c r="A13259" t="str">
        <f t="shared" si="207"/>
        <v/>
      </c>
      <c r="E13259" s="626"/>
      <c r="F13259" s="626"/>
    </row>
    <row r="13260" spans="1:6">
      <c r="A13260" t="str">
        <f t="shared" si="207"/>
        <v/>
      </c>
      <c r="E13260" s="626"/>
      <c r="F13260" s="626"/>
    </row>
    <row r="13261" spans="1:6">
      <c r="A13261" t="str">
        <f t="shared" si="207"/>
        <v/>
      </c>
      <c r="E13261" s="626"/>
      <c r="F13261" s="626"/>
    </row>
    <row r="13262" spans="1:6">
      <c r="A13262" t="str">
        <f t="shared" si="207"/>
        <v/>
      </c>
      <c r="E13262" s="626"/>
      <c r="F13262" s="626"/>
    </row>
    <row r="13263" spans="1:6">
      <c r="A13263" t="str">
        <f t="shared" si="207"/>
        <v/>
      </c>
      <c r="E13263" s="626"/>
      <c r="F13263" s="626"/>
    </row>
    <row r="13264" spans="1:6">
      <c r="A13264" t="str">
        <f t="shared" si="207"/>
        <v/>
      </c>
      <c r="E13264" s="626"/>
      <c r="F13264" s="626"/>
    </row>
    <row r="13265" spans="1:6">
      <c r="A13265" t="str">
        <f t="shared" si="207"/>
        <v/>
      </c>
      <c r="E13265" s="626"/>
      <c r="F13265" s="626"/>
    </row>
    <row r="13266" spans="1:6">
      <c r="A13266" t="str">
        <f t="shared" si="207"/>
        <v/>
      </c>
      <c r="E13266" s="626"/>
      <c r="F13266" s="626"/>
    </row>
    <row r="13267" spans="1:6">
      <c r="A13267" t="str">
        <f t="shared" si="207"/>
        <v/>
      </c>
      <c r="E13267" s="626"/>
      <c r="F13267" s="626"/>
    </row>
    <row r="13268" spans="1:6">
      <c r="A13268" t="str">
        <f t="shared" si="207"/>
        <v/>
      </c>
      <c r="E13268" s="626"/>
      <c r="F13268" s="626"/>
    </row>
    <row r="13269" spans="1:6">
      <c r="A13269" t="str">
        <f t="shared" si="207"/>
        <v/>
      </c>
      <c r="E13269" s="626"/>
      <c r="F13269" s="626"/>
    </row>
    <row r="13270" spans="1:6">
      <c r="A13270" t="str">
        <f t="shared" si="207"/>
        <v/>
      </c>
      <c r="E13270" s="626"/>
      <c r="F13270" s="626"/>
    </row>
    <row r="13271" spans="1:6">
      <c r="A13271" t="str">
        <f t="shared" si="207"/>
        <v/>
      </c>
      <c r="E13271" s="626"/>
      <c r="F13271" s="626"/>
    </row>
    <row r="13272" spans="1:6">
      <c r="A13272" t="str">
        <f t="shared" si="207"/>
        <v/>
      </c>
      <c r="E13272" s="626"/>
      <c r="F13272" s="626"/>
    </row>
    <row r="13273" spans="1:6">
      <c r="A13273" t="str">
        <f t="shared" si="207"/>
        <v/>
      </c>
      <c r="E13273" s="626"/>
      <c r="F13273" s="626"/>
    </row>
    <row r="13274" spans="1:6">
      <c r="A13274" t="str">
        <f t="shared" si="207"/>
        <v/>
      </c>
      <c r="E13274" s="626"/>
      <c r="F13274" s="626"/>
    </row>
    <row r="13275" spans="1:6">
      <c r="A13275" t="str">
        <f t="shared" si="207"/>
        <v/>
      </c>
      <c r="E13275" s="626"/>
      <c r="F13275" s="626"/>
    </row>
    <row r="13276" spans="1:6">
      <c r="A13276" t="str">
        <f t="shared" si="207"/>
        <v/>
      </c>
      <c r="E13276" s="626"/>
      <c r="F13276" s="626"/>
    </row>
    <row r="13277" spans="1:6">
      <c r="A13277" t="str">
        <f t="shared" si="207"/>
        <v/>
      </c>
      <c r="E13277" s="626"/>
      <c r="F13277" s="626"/>
    </row>
    <row r="13278" spans="1:6">
      <c r="A13278" t="str">
        <f t="shared" si="207"/>
        <v/>
      </c>
      <c r="E13278" s="626"/>
      <c r="F13278" s="626"/>
    </row>
    <row r="13279" spans="1:6">
      <c r="A13279" t="str">
        <f t="shared" si="207"/>
        <v/>
      </c>
      <c r="E13279" s="626"/>
      <c r="F13279" s="626"/>
    </row>
    <row r="13280" spans="1:6">
      <c r="A13280" t="str">
        <f t="shared" si="207"/>
        <v/>
      </c>
      <c r="E13280" s="626"/>
      <c r="F13280" s="626"/>
    </row>
    <row r="13281" spans="1:6">
      <c r="A13281" t="str">
        <f t="shared" si="207"/>
        <v/>
      </c>
      <c r="E13281" s="626"/>
      <c r="F13281" s="626"/>
    </row>
    <row r="13282" spans="1:6">
      <c r="A13282" t="str">
        <f t="shared" si="207"/>
        <v/>
      </c>
      <c r="E13282" s="626"/>
      <c r="F13282" s="626"/>
    </row>
    <row r="13283" spans="1:6">
      <c r="A13283" t="str">
        <f t="shared" si="207"/>
        <v/>
      </c>
      <c r="E13283" s="626"/>
      <c r="F13283" s="626"/>
    </row>
    <row r="13284" spans="1:6">
      <c r="A13284" t="str">
        <f t="shared" si="207"/>
        <v/>
      </c>
      <c r="E13284" s="626"/>
      <c r="F13284" s="626"/>
    </row>
    <row r="13285" spans="1:6">
      <c r="A13285" t="str">
        <f t="shared" si="207"/>
        <v/>
      </c>
      <c r="E13285" s="626"/>
      <c r="F13285" s="626"/>
    </row>
    <row r="13286" spans="1:6">
      <c r="A13286" t="str">
        <f t="shared" si="207"/>
        <v/>
      </c>
      <c r="E13286" s="626"/>
      <c r="F13286" s="626"/>
    </row>
    <row r="13287" spans="1:6">
      <c r="A13287" t="str">
        <f t="shared" si="207"/>
        <v/>
      </c>
      <c r="E13287" s="626"/>
      <c r="F13287" s="626"/>
    </row>
    <row r="13288" spans="1:6">
      <c r="A13288" t="str">
        <f t="shared" si="207"/>
        <v/>
      </c>
      <c r="E13288" s="626"/>
      <c r="F13288" s="626"/>
    </row>
    <row r="13289" spans="1:6">
      <c r="A13289" t="str">
        <f t="shared" si="207"/>
        <v/>
      </c>
      <c r="E13289" s="626"/>
      <c r="F13289" s="626"/>
    </row>
    <row r="13290" spans="1:6">
      <c r="A13290" t="str">
        <f t="shared" si="207"/>
        <v/>
      </c>
      <c r="E13290" s="626"/>
      <c r="F13290" s="626"/>
    </row>
    <row r="13291" spans="1:6">
      <c r="A13291" t="str">
        <f t="shared" si="207"/>
        <v/>
      </c>
      <c r="E13291" s="626"/>
      <c r="F13291" s="626"/>
    </row>
    <row r="13292" spans="1:6">
      <c r="A13292" t="str">
        <f t="shared" si="207"/>
        <v/>
      </c>
      <c r="E13292" s="626"/>
      <c r="F13292" s="626"/>
    </row>
    <row r="13293" spans="1:6">
      <c r="A13293" t="str">
        <f t="shared" si="207"/>
        <v/>
      </c>
      <c r="E13293" s="626"/>
      <c r="F13293" s="626"/>
    </row>
    <row r="13294" spans="1:6">
      <c r="A13294" t="str">
        <f t="shared" si="207"/>
        <v/>
      </c>
      <c r="E13294" s="626"/>
      <c r="F13294" s="626"/>
    </row>
    <row r="13295" spans="1:6">
      <c r="A13295" t="str">
        <f t="shared" si="207"/>
        <v/>
      </c>
      <c r="E13295" s="626"/>
      <c r="F13295" s="626"/>
    </row>
    <row r="13296" spans="1:6">
      <c r="A13296" t="str">
        <f t="shared" si="207"/>
        <v/>
      </c>
      <c r="E13296" s="626"/>
      <c r="F13296" s="626"/>
    </row>
    <row r="13297" spans="1:6">
      <c r="A13297" t="str">
        <f t="shared" si="207"/>
        <v/>
      </c>
      <c r="E13297" s="626"/>
      <c r="F13297" s="626"/>
    </row>
    <row r="13298" spans="1:6">
      <c r="A13298" t="str">
        <f t="shared" si="207"/>
        <v/>
      </c>
      <c r="E13298" s="626"/>
      <c r="F13298" s="626"/>
    </row>
    <row r="13299" spans="1:6">
      <c r="A13299" t="str">
        <f t="shared" si="207"/>
        <v/>
      </c>
      <c r="E13299" s="626"/>
      <c r="F13299" s="626"/>
    </row>
    <row r="13300" spans="1:6">
      <c r="A13300" t="str">
        <f t="shared" si="207"/>
        <v/>
      </c>
      <c r="E13300" s="626"/>
      <c r="F13300" s="626"/>
    </row>
    <row r="13301" spans="1:6">
      <c r="A13301" t="str">
        <f t="shared" si="207"/>
        <v/>
      </c>
      <c r="E13301" s="626"/>
      <c r="F13301" s="626"/>
    </row>
    <row r="13302" spans="1:6">
      <c r="A13302" t="str">
        <f t="shared" si="207"/>
        <v/>
      </c>
      <c r="E13302" s="626"/>
      <c r="F13302" s="626"/>
    </row>
    <row r="13303" spans="1:6">
      <c r="A13303" t="str">
        <f t="shared" si="207"/>
        <v/>
      </c>
      <c r="E13303" s="626"/>
      <c r="F13303" s="626"/>
    </row>
    <row r="13304" spans="1:6">
      <c r="A13304" t="str">
        <f t="shared" si="207"/>
        <v/>
      </c>
      <c r="E13304" s="626"/>
      <c r="F13304" s="626"/>
    </row>
    <row r="13305" spans="1:6">
      <c r="A13305" t="str">
        <f t="shared" si="207"/>
        <v/>
      </c>
      <c r="E13305" s="626"/>
      <c r="F13305" s="626"/>
    </row>
    <row r="13306" spans="1:6">
      <c r="A13306" t="str">
        <f t="shared" si="207"/>
        <v/>
      </c>
      <c r="E13306" s="626"/>
      <c r="F13306" s="626"/>
    </row>
    <row r="13307" spans="1:6">
      <c r="A13307" t="str">
        <f t="shared" si="207"/>
        <v/>
      </c>
      <c r="E13307" s="626"/>
      <c r="F13307" s="626"/>
    </row>
    <row r="13308" spans="1:6">
      <c r="A13308" t="str">
        <f t="shared" si="207"/>
        <v/>
      </c>
      <c r="E13308" s="626"/>
      <c r="F13308" s="626"/>
    </row>
    <row r="13309" spans="1:6">
      <c r="A13309" t="str">
        <f t="shared" si="207"/>
        <v/>
      </c>
      <c r="E13309" s="626"/>
      <c r="F13309" s="626"/>
    </row>
    <row r="13310" spans="1:6">
      <c r="A13310" t="str">
        <f t="shared" si="207"/>
        <v/>
      </c>
      <c r="E13310" s="626"/>
      <c r="F13310" s="626"/>
    </row>
    <row r="13311" spans="1:6">
      <c r="A13311" t="str">
        <f t="shared" si="207"/>
        <v/>
      </c>
      <c r="E13311" s="626"/>
      <c r="F13311" s="626"/>
    </row>
    <row r="13312" spans="1:6">
      <c r="A13312" t="str">
        <f t="shared" si="207"/>
        <v/>
      </c>
      <c r="E13312" s="626"/>
      <c r="F13312" s="626"/>
    </row>
    <row r="13313" spans="1:6">
      <c r="A13313" t="str">
        <f t="shared" si="207"/>
        <v/>
      </c>
      <c r="E13313" s="626"/>
      <c r="F13313" s="626"/>
    </row>
    <row r="13314" spans="1:6">
      <c r="A13314" t="str">
        <f t="shared" ref="A13314:A13377" si="208">B13314&amp;E13314&amp;J13314</f>
        <v/>
      </c>
      <c r="E13314" s="626"/>
      <c r="F13314" s="626"/>
    </row>
    <row r="13315" spans="1:6">
      <c r="A13315" t="str">
        <f t="shared" si="208"/>
        <v/>
      </c>
      <c r="E13315" s="626"/>
      <c r="F13315" s="626"/>
    </row>
    <row r="13316" spans="1:6">
      <c r="A13316" t="str">
        <f t="shared" si="208"/>
        <v/>
      </c>
      <c r="E13316" s="626"/>
      <c r="F13316" s="626"/>
    </row>
    <row r="13317" spans="1:6">
      <c r="A13317" t="str">
        <f t="shared" si="208"/>
        <v/>
      </c>
      <c r="E13317" s="626"/>
      <c r="F13317" s="626"/>
    </row>
    <row r="13318" spans="1:6">
      <c r="A13318" t="str">
        <f t="shared" si="208"/>
        <v/>
      </c>
      <c r="E13318" s="626"/>
      <c r="F13318" s="626"/>
    </row>
    <row r="13319" spans="1:6">
      <c r="A13319" t="str">
        <f t="shared" si="208"/>
        <v/>
      </c>
      <c r="E13319" s="626"/>
      <c r="F13319" s="626"/>
    </row>
    <row r="13320" spans="1:6">
      <c r="A13320" t="str">
        <f t="shared" si="208"/>
        <v/>
      </c>
      <c r="E13320" s="626"/>
      <c r="F13320" s="626"/>
    </row>
    <row r="13321" spans="1:6">
      <c r="A13321" t="str">
        <f t="shared" si="208"/>
        <v/>
      </c>
      <c r="E13321" s="626"/>
      <c r="F13321" s="626"/>
    </row>
    <row r="13322" spans="1:6">
      <c r="A13322" t="str">
        <f t="shared" si="208"/>
        <v/>
      </c>
      <c r="E13322" s="626"/>
      <c r="F13322" s="626"/>
    </row>
    <row r="13323" spans="1:6">
      <c r="A13323" t="str">
        <f t="shared" si="208"/>
        <v/>
      </c>
      <c r="E13323" s="626"/>
      <c r="F13323" s="626"/>
    </row>
    <row r="13324" spans="1:6">
      <c r="A13324" t="str">
        <f t="shared" si="208"/>
        <v/>
      </c>
      <c r="E13324" s="626"/>
      <c r="F13324" s="626"/>
    </row>
    <row r="13325" spans="1:6">
      <c r="A13325" t="str">
        <f t="shared" si="208"/>
        <v/>
      </c>
      <c r="E13325" s="626"/>
      <c r="F13325" s="626"/>
    </row>
    <row r="13326" spans="1:6">
      <c r="A13326" t="str">
        <f t="shared" si="208"/>
        <v/>
      </c>
      <c r="E13326" s="626"/>
      <c r="F13326" s="626"/>
    </row>
    <row r="13327" spans="1:6">
      <c r="A13327" t="str">
        <f t="shared" si="208"/>
        <v/>
      </c>
      <c r="E13327" s="626"/>
      <c r="F13327" s="626"/>
    </row>
    <row r="13328" spans="1:6">
      <c r="A13328" t="str">
        <f t="shared" si="208"/>
        <v/>
      </c>
      <c r="E13328" s="626"/>
      <c r="F13328" s="626"/>
    </row>
    <row r="13329" spans="1:6">
      <c r="A13329" t="str">
        <f t="shared" si="208"/>
        <v/>
      </c>
      <c r="E13329" s="626"/>
      <c r="F13329" s="626"/>
    </row>
    <row r="13330" spans="1:6">
      <c r="A13330" t="str">
        <f t="shared" si="208"/>
        <v/>
      </c>
      <c r="E13330" s="626"/>
      <c r="F13330" s="626"/>
    </row>
    <row r="13331" spans="1:6">
      <c r="A13331" t="str">
        <f t="shared" si="208"/>
        <v/>
      </c>
      <c r="E13331" s="626"/>
      <c r="F13331" s="626"/>
    </row>
    <row r="13332" spans="1:6">
      <c r="A13332" t="str">
        <f t="shared" si="208"/>
        <v/>
      </c>
      <c r="E13332" s="626"/>
      <c r="F13332" s="626"/>
    </row>
    <row r="13333" spans="1:6">
      <c r="A13333" t="str">
        <f t="shared" si="208"/>
        <v/>
      </c>
      <c r="E13333" s="626"/>
      <c r="F13333" s="626"/>
    </row>
    <row r="13334" spans="1:6">
      <c r="A13334" t="str">
        <f t="shared" si="208"/>
        <v/>
      </c>
      <c r="E13334" s="626"/>
      <c r="F13334" s="626"/>
    </row>
    <row r="13335" spans="1:6">
      <c r="A13335" t="str">
        <f t="shared" si="208"/>
        <v/>
      </c>
      <c r="E13335" s="626"/>
      <c r="F13335" s="626"/>
    </row>
    <row r="13336" spans="1:6">
      <c r="A13336" t="str">
        <f t="shared" si="208"/>
        <v/>
      </c>
      <c r="E13336" s="626"/>
      <c r="F13336" s="626"/>
    </row>
    <row r="13337" spans="1:6">
      <c r="A13337" t="str">
        <f t="shared" si="208"/>
        <v/>
      </c>
      <c r="E13337" s="626"/>
      <c r="F13337" s="626"/>
    </row>
    <row r="13338" spans="1:6">
      <c r="A13338" t="str">
        <f t="shared" si="208"/>
        <v/>
      </c>
      <c r="E13338" s="626"/>
      <c r="F13338" s="626"/>
    </row>
    <row r="13339" spans="1:6">
      <c r="A13339" t="str">
        <f t="shared" si="208"/>
        <v/>
      </c>
      <c r="E13339" s="626"/>
      <c r="F13339" s="626"/>
    </row>
    <row r="13340" spans="1:6">
      <c r="A13340" t="str">
        <f t="shared" si="208"/>
        <v/>
      </c>
      <c r="E13340" s="626"/>
      <c r="F13340" s="626"/>
    </row>
    <row r="13341" spans="1:6">
      <c r="A13341" t="str">
        <f t="shared" si="208"/>
        <v/>
      </c>
      <c r="E13341" s="626"/>
      <c r="F13341" s="626"/>
    </row>
    <row r="13342" spans="1:6">
      <c r="A13342" t="str">
        <f t="shared" si="208"/>
        <v/>
      </c>
      <c r="E13342" s="626"/>
      <c r="F13342" s="626"/>
    </row>
    <row r="13343" spans="1:6">
      <c r="A13343" t="str">
        <f t="shared" si="208"/>
        <v/>
      </c>
      <c r="E13343" s="626"/>
      <c r="F13343" s="626"/>
    </row>
    <row r="13344" spans="1:6">
      <c r="A13344" t="str">
        <f t="shared" si="208"/>
        <v/>
      </c>
      <c r="E13344" s="626"/>
      <c r="F13344" s="626"/>
    </row>
    <row r="13345" spans="1:6">
      <c r="A13345" t="str">
        <f t="shared" si="208"/>
        <v/>
      </c>
      <c r="E13345" s="626"/>
      <c r="F13345" s="626"/>
    </row>
    <row r="13346" spans="1:6">
      <c r="A13346" t="str">
        <f t="shared" si="208"/>
        <v/>
      </c>
      <c r="E13346" s="626"/>
      <c r="F13346" s="626"/>
    </row>
    <row r="13347" spans="1:6">
      <c r="A13347" t="str">
        <f t="shared" si="208"/>
        <v/>
      </c>
      <c r="E13347" s="626"/>
      <c r="F13347" s="626"/>
    </row>
    <row r="13348" spans="1:6">
      <c r="A13348" t="str">
        <f t="shared" si="208"/>
        <v/>
      </c>
      <c r="E13348" s="626"/>
      <c r="F13348" s="626"/>
    </row>
    <row r="13349" spans="1:6">
      <c r="A13349" t="str">
        <f t="shared" si="208"/>
        <v/>
      </c>
      <c r="E13349" s="626"/>
      <c r="F13349" s="626"/>
    </row>
    <row r="13350" spans="1:6">
      <c r="A13350" t="str">
        <f t="shared" si="208"/>
        <v/>
      </c>
      <c r="E13350" s="626"/>
      <c r="F13350" s="626"/>
    </row>
    <row r="13351" spans="1:6">
      <c r="A13351" t="str">
        <f t="shared" si="208"/>
        <v/>
      </c>
      <c r="E13351" s="626"/>
      <c r="F13351" s="626"/>
    </row>
    <row r="13352" spans="1:6">
      <c r="A13352" t="str">
        <f t="shared" si="208"/>
        <v/>
      </c>
      <c r="E13352" s="626"/>
      <c r="F13352" s="626"/>
    </row>
    <row r="13353" spans="1:6">
      <c r="A13353" t="str">
        <f t="shared" si="208"/>
        <v/>
      </c>
      <c r="E13353" s="626"/>
      <c r="F13353" s="626"/>
    </row>
    <row r="13354" spans="1:6">
      <c r="A13354" t="str">
        <f t="shared" si="208"/>
        <v/>
      </c>
      <c r="E13354" s="626"/>
      <c r="F13354" s="626"/>
    </row>
    <row r="13355" spans="1:6">
      <c r="A13355" t="str">
        <f t="shared" si="208"/>
        <v/>
      </c>
      <c r="E13355" s="626"/>
      <c r="F13355" s="626"/>
    </row>
    <row r="13356" spans="1:6">
      <c r="A13356" t="str">
        <f t="shared" si="208"/>
        <v/>
      </c>
      <c r="E13356" s="626"/>
      <c r="F13356" s="626"/>
    </row>
    <row r="13357" spans="1:6">
      <c r="A13357" t="str">
        <f t="shared" si="208"/>
        <v/>
      </c>
      <c r="E13357" s="626"/>
      <c r="F13357" s="626"/>
    </row>
    <row r="13358" spans="1:6">
      <c r="A13358" t="str">
        <f t="shared" si="208"/>
        <v/>
      </c>
      <c r="E13358" s="626"/>
      <c r="F13358" s="626"/>
    </row>
    <row r="13359" spans="1:6">
      <c r="A13359" t="str">
        <f t="shared" si="208"/>
        <v/>
      </c>
      <c r="E13359" s="626"/>
      <c r="F13359" s="626"/>
    </row>
    <row r="13360" spans="1:6">
      <c r="A13360" t="str">
        <f t="shared" si="208"/>
        <v/>
      </c>
      <c r="E13360" s="626"/>
      <c r="F13360" s="626"/>
    </row>
    <row r="13361" spans="1:6">
      <c r="A13361" t="str">
        <f t="shared" si="208"/>
        <v/>
      </c>
      <c r="E13361" s="626"/>
      <c r="F13361" s="626"/>
    </row>
    <row r="13362" spans="1:6">
      <c r="A13362" t="str">
        <f t="shared" si="208"/>
        <v/>
      </c>
      <c r="E13362" s="626"/>
      <c r="F13362" s="626"/>
    </row>
    <row r="13363" spans="1:6">
      <c r="A13363" t="str">
        <f t="shared" si="208"/>
        <v/>
      </c>
      <c r="E13363" s="626"/>
      <c r="F13363" s="626"/>
    </row>
    <row r="13364" spans="1:6">
      <c r="A13364" t="str">
        <f t="shared" si="208"/>
        <v/>
      </c>
      <c r="E13364" s="626"/>
      <c r="F13364" s="626"/>
    </row>
    <row r="13365" spans="1:6">
      <c r="A13365" t="str">
        <f t="shared" si="208"/>
        <v/>
      </c>
      <c r="E13365" s="626"/>
      <c r="F13365" s="626"/>
    </row>
    <row r="13366" spans="1:6">
      <c r="A13366" t="str">
        <f t="shared" si="208"/>
        <v/>
      </c>
      <c r="E13366" s="626"/>
      <c r="F13366" s="626"/>
    </row>
    <row r="13367" spans="1:6">
      <c r="A13367" t="str">
        <f t="shared" si="208"/>
        <v/>
      </c>
      <c r="E13367" s="626"/>
      <c r="F13367" s="626"/>
    </row>
    <row r="13368" spans="1:6">
      <c r="A13368" t="str">
        <f t="shared" si="208"/>
        <v/>
      </c>
      <c r="E13368" s="626"/>
      <c r="F13368" s="626"/>
    </row>
    <row r="13369" spans="1:6">
      <c r="A13369" t="str">
        <f t="shared" si="208"/>
        <v/>
      </c>
      <c r="E13369" s="626"/>
      <c r="F13369" s="626"/>
    </row>
    <row r="13370" spans="1:6">
      <c r="A13370" t="str">
        <f t="shared" si="208"/>
        <v/>
      </c>
      <c r="E13370" s="626"/>
      <c r="F13370" s="626"/>
    </row>
    <row r="13371" spans="1:6">
      <c r="A13371" t="str">
        <f t="shared" si="208"/>
        <v/>
      </c>
      <c r="E13371" s="626"/>
      <c r="F13371" s="626"/>
    </row>
    <row r="13372" spans="1:6">
      <c r="A13372" t="str">
        <f t="shared" si="208"/>
        <v/>
      </c>
      <c r="E13372" s="626"/>
      <c r="F13372" s="626"/>
    </row>
    <row r="13373" spans="1:6">
      <c r="A13373" t="str">
        <f t="shared" si="208"/>
        <v/>
      </c>
      <c r="E13373" s="626"/>
      <c r="F13373" s="626"/>
    </row>
    <row r="13374" spans="1:6">
      <c r="A13374" t="str">
        <f t="shared" si="208"/>
        <v/>
      </c>
      <c r="E13374" s="626"/>
      <c r="F13374" s="626"/>
    </row>
    <row r="13375" spans="1:6">
      <c r="A13375" t="str">
        <f t="shared" si="208"/>
        <v/>
      </c>
      <c r="E13375" s="626"/>
      <c r="F13375" s="626"/>
    </row>
    <row r="13376" spans="1:6">
      <c r="A13376" t="str">
        <f t="shared" si="208"/>
        <v/>
      </c>
      <c r="E13376" s="626"/>
      <c r="F13376" s="626"/>
    </row>
    <row r="13377" spans="1:6">
      <c r="A13377" t="str">
        <f t="shared" si="208"/>
        <v/>
      </c>
      <c r="E13377" s="626"/>
      <c r="F13377" s="626"/>
    </row>
    <row r="13378" spans="1:6">
      <c r="A13378" t="str">
        <f t="shared" ref="A13378:A13441" si="209">B13378&amp;E13378&amp;J13378</f>
        <v/>
      </c>
      <c r="E13378" s="626"/>
      <c r="F13378" s="626"/>
    </row>
    <row r="13379" spans="1:6">
      <c r="A13379" t="str">
        <f t="shared" si="209"/>
        <v/>
      </c>
      <c r="E13379" s="626"/>
      <c r="F13379" s="626"/>
    </row>
    <row r="13380" spans="1:6">
      <c r="A13380" t="str">
        <f t="shared" si="209"/>
        <v/>
      </c>
      <c r="E13380" s="626"/>
      <c r="F13380" s="626"/>
    </row>
    <row r="13381" spans="1:6">
      <c r="A13381" t="str">
        <f t="shared" si="209"/>
        <v/>
      </c>
      <c r="E13381" s="626"/>
      <c r="F13381" s="626"/>
    </row>
    <row r="13382" spans="1:6">
      <c r="A13382" t="str">
        <f t="shared" si="209"/>
        <v/>
      </c>
      <c r="E13382" s="626"/>
      <c r="F13382" s="626"/>
    </row>
    <row r="13383" spans="1:6">
      <c r="A13383" t="str">
        <f t="shared" si="209"/>
        <v/>
      </c>
      <c r="E13383" s="626"/>
      <c r="F13383" s="626"/>
    </row>
    <row r="13384" spans="1:6">
      <c r="A13384" t="str">
        <f t="shared" si="209"/>
        <v/>
      </c>
      <c r="E13384" s="626"/>
      <c r="F13384" s="626"/>
    </row>
    <row r="13385" spans="1:6">
      <c r="A13385" t="str">
        <f t="shared" si="209"/>
        <v/>
      </c>
      <c r="E13385" s="626"/>
      <c r="F13385" s="626"/>
    </row>
    <row r="13386" spans="1:6">
      <c r="A13386" t="str">
        <f t="shared" si="209"/>
        <v/>
      </c>
      <c r="E13386" s="626"/>
      <c r="F13386" s="626"/>
    </row>
    <row r="13387" spans="1:6">
      <c r="A13387" t="str">
        <f t="shared" si="209"/>
        <v/>
      </c>
      <c r="E13387" s="626"/>
      <c r="F13387" s="626"/>
    </row>
    <row r="13388" spans="1:6">
      <c r="A13388" t="str">
        <f t="shared" si="209"/>
        <v/>
      </c>
      <c r="E13388" s="626"/>
      <c r="F13388" s="626"/>
    </row>
    <row r="13389" spans="1:6">
      <c r="A13389" t="str">
        <f t="shared" si="209"/>
        <v/>
      </c>
      <c r="E13389" s="626"/>
      <c r="F13389" s="626"/>
    </row>
    <row r="13390" spans="1:6">
      <c r="A13390" t="str">
        <f t="shared" si="209"/>
        <v/>
      </c>
      <c r="E13390" s="626"/>
      <c r="F13390" s="626"/>
    </row>
    <row r="13391" spans="1:6">
      <c r="A13391" t="str">
        <f t="shared" si="209"/>
        <v/>
      </c>
      <c r="E13391" s="626"/>
      <c r="F13391" s="626"/>
    </row>
    <row r="13392" spans="1:6">
      <c r="A13392" t="str">
        <f t="shared" si="209"/>
        <v/>
      </c>
      <c r="E13392" s="626"/>
      <c r="F13392" s="626"/>
    </row>
    <row r="13393" spans="1:6">
      <c r="A13393" t="str">
        <f t="shared" si="209"/>
        <v/>
      </c>
      <c r="E13393" s="626"/>
      <c r="F13393" s="626"/>
    </row>
    <row r="13394" spans="1:6">
      <c r="A13394" t="str">
        <f t="shared" si="209"/>
        <v/>
      </c>
      <c r="E13394" s="626"/>
      <c r="F13394" s="626"/>
    </row>
    <row r="13395" spans="1:6">
      <c r="A13395" t="str">
        <f t="shared" si="209"/>
        <v/>
      </c>
      <c r="E13395" s="626"/>
      <c r="F13395" s="626"/>
    </row>
    <row r="13396" spans="1:6">
      <c r="A13396" t="str">
        <f t="shared" si="209"/>
        <v/>
      </c>
      <c r="E13396" s="626"/>
      <c r="F13396" s="626"/>
    </row>
    <row r="13397" spans="1:6">
      <c r="A13397" t="str">
        <f t="shared" si="209"/>
        <v/>
      </c>
      <c r="E13397" s="626"/>
      <c r="F13397" s="626"/>
    </row>
    <row r="13398" spans="1:6">
      <c r="A13398" t="str">
        <f t="shared" si="209"/>
        <v/>
      </c>
      <c r="E13398" s="626"/>
      <c r="F13398" s="626"/>
    </row>
    <row r="13399" spans="1:6">
      <c r="A13399" t="str">
        <f t="shared" si="209"/>
        <v/>
      </c>
      <c r="E13399" s="626"/>
      <c r="F13399" s="626"/>
    </row>
    <row r="13400" spans="1:6">
      <c r="A13400" t="str">
        <f t="shared" si="209"/>
        <v/>
      </c>
      <c r="E13400" s="626"/>
      <c r="F13400" s="626"/>
    </row>
    <row r="13401" spans="1:6">
      <c r="A13401" t="str">
        <f t="shared" si="209"/>
        <v/>
      </c>
      <c r="E13401" s="626"/>
      <c r="F13401" s="626"/>
    </row>
    <row r="13402" spans="1:6">
      <c r="A13402" t="str">
        <f t="shared" si="209"/>
        <v/>
      </c>
      <c r="E13402" s="626"/>
      <c r="F13402" s="626"/>
    </row>
    <row r="13403" spans="1:6">
      <c r="A13403" t="str">
        <f t="shared" si="209"/>
        <v/>
      </c>
      <c r="E13403" s="626"/>
      <c r="F13403" s="626"/>
    </row>
    <row r="13404" spans="1:6">
      <c r="A13404" t="str">
        <f t="shared" si="209"/>
        <v/>
      </c>
      <c r="E13404" s="626"/>
      <c r="F13404" s="626"/>
    </row>
    <row r="13405" spans="1:6">
      <c r="A13405" t="str">
        <f t="shared" si="209"/>
        <v/>
      </c>
      <c r="E13405" s="626"/>
      <c r="F13405" s="626"/>
    </row>
    <row r="13406" spans="1:6">
      <c r="A13406" t="str">
        <f t="shared" si="209"/>
        <v/>
      </c>
      <c r="E13406" s="626"/>
      <c r="F13406" s="626"/>
    </row>
    <row r="13407" spans="1:6">
      <c r="A13407" t="str">
        <f t="shared" si="209"/>
        <v/>
      </c>
      <c r="E13407" s="626"/>
      <c r="F13407" s="626"/>
    </row>
    <row r="13408" spans="1:6">
      <c r="A13408" t="str">
        <f t="shared" si="209"/>
        <v/>
      </c>
      <c r="E13408" s="626"/>
      <c r="F13408" s="626"/>
    </row>
    <row r="13409" spans="1:6">
      <c r="A13409" t="str">
        <f t="shared" si="209"/>
        <v/>
      </c>
      <c r="E13409" s="626"/>
      <c r="F13409" s="626"/>
    </row>
    <row r="13410" spans="1:6">
      <c r="A13410" t="str">
        <f t="shared" si="209"/>
        <v/>
      </c>
      <c r="E13410" s="626"/>
      <c r="F13410" s="626"/>
    </row>
    <row r="13411" spans="1:6">
      <c r="A13411" t="str">
        <f t="shared" si="209"/>
        <v/>
      </c>
      <c r="E13411" s="626"/>
      <c r="F13411" s="626"/>
    </row>
    <row r="13412" spans="1:6">
      <c r="A13412" t="str">
        <f t="shared" si="209"/>
        <v/>
      </c>
      <c r="E13412" s="626"/>
      <c r="F13412" s="626"/>
    </row>
    <row r="13413" spans="1:6">
      <c r="A13413" t="str">
        <f t="shared" si="209"/>
        <v/>
      </c>
      <c r="E13413" s="626"/>
      <c r="F13413" s="626"/>
    </row>
    <row r="13414" spans="1:6">
      <c r="A13414" t="str">
        <f t="shared" si="209"/>
        <v/>
      </c>
      <c r="E13414" s="626"/>
      <c r="F13414" s="626"/>
    </row>
    <row r="13415" spans="1:6">
      <c r="A13415" t="str">
        <f t="shared" si="209"/>
        <v/>
      </c>
      <c r="E13415" s="626"/>
      <c r="F13415" s="626"/>
    </row>
    <row r="13416" spans="1:6">
      <c r="A13416" t="str">
        <f t="shared" si="209"/>
        <v/>
      </c>
      <c r="E13416" s="626"/>
      <c r="F13416" s="626"/>
    </row>
    <row r="13417" spans="1:6">
      <c r="A13417" t="str">
        <f t="shared" si="209"/>
        <v/>
      </c>
      <c r="E13417" s="626"/>
      <c r="F13417" s="626"/>
    </row>
    <row r="13418" spans="1:6">
      <c r="A13418" t="str">
        <f t="shared" si="209"/>
        <v/>
      </c>
      <c r="E13418" s="626"/>
      <c r="F13418" s="626"/>
    </row>
    <row r="13419" spans="1:6">
      <c r="A13419" t="str">
        <f t="shared" si="209"/>
        <v/>
      </c>
      <c r="E13419" s="626"/>
      <c r="F13419" s="626"/>
    </row>
    <row r="13420" spans="1:6">
      <c r="A13420" t="str">
        <f t="shared" si="209"/>
        <v/>
      </c>
      <c r="E13420" s="626"/>
      <c r="F13420" s="626"/>
    </row>
    <row r="13421" spans="1:6">
      <c r="A13421" t="str">
        <f t="shared" si="209"/>
        <v/>
      </c>
      <c r="E13421" s="626"/>
      <c r="F13421" s="626"/>
    </row>
    <row r="13422" spans="1:6">
      <c r="A13422" t="str">
        <f t="shared" si="209"/>
        <v/>
      </c>
      <c r="E13422" s="626"/>
      <c r="F13422" s="626"/>
    </row>
    <row r="13423" spans="1:6">
      <c r="A13423" t="str">
        <f t="shared" si="209"/>
        <v/>
      </c>
      <c r="E13423" s="626"/>
      <c r="F13423" s="626"/>
    </row>
    <row r="13424" spans="1:6">
      <c r="A13424" t="str">
        <f t="shared" si="209"/>
        <v/>
      </c>
      <c r="E13424" s="626"/>
      <c r="F13424" s="626"/>
    </row>
    <row r="13425" spans="1:6">
      <c r="A13425" t="str">
        <f t="shared" si="209"/>
        <v/>
      </c>
      <c r="E13425" s="626"/>
      <c r="F13425" s="626"/>
    </row>
    <row r="13426" spans="1:6">
      <c r="A13426" t="str">
        <f t="shared" si="209"/>
        <v/>
      </c>
      <c r="E13426" s="626"/>
      <c r="F13426" s="626"/>
    </row>
    <row r="13427" spans="1:6">
      <c r="A13427" t="str">
        <f t="shared" si="209"/>
        <v/>
      </c>
      <c r="E13427" s="626"/>
      <c r="F13427" s="626"/>
    </row>
    <row r="13428" spans="1:6">
      <c r="A13428" t="str">
        <f t="shared" si="209"/>
        <v/>
      </c>
      <c r="E13428" s="626"/>
      <c r="F13428" s="626"/>
    </row>
    <row r="13429" spans="1:6">
      <c r="A13429" t="str">
        <f t="shared" si="209"/>
        <v/>
      </c>
      <c r="E13429" s="626"/>
      <c r="F13429" s="626"/>
    </row>
    <row r="13430" spans="1:6">
      <c r="A13430" t="str">
        <f t="shared" si="209"/>
        <v/>
      </c>
      <c r="E13430" s="626"/>
      <c r="F13430" s="626"/>
    </row>
    <row r="13431" spans="1:6">
      <c r="A13431" t="str">
        <f t="shared" si="209"/>
        <v/>
      </c>
      <c r="E13431" s="626"/>
      <c r="F13431" s="626"/>
    </row>
    <row r="13432" spans="1:6">
      <c r="A13432" t="str">
        <f t="shared" si="209"/>
        <v/>
      </c>
      <c r="E13432" s="626"/>
      <c r="F13432" s="626"/>
    </row>
    <row r="13433" spans="1:6">
      <c r="A13433" t="str">
        <f t="shared" si="209"/>
        <v/>
      </c>
      <c r="E13433" s="626"/>
      <c r="F13433" s="626"/>
    </row>
    <row r="13434" spans="1:6">
      <c r="A13434" t="str">
        <f t="shared" si="209"/>
        <v/>
      </c>
      <c r="E13434" s="626"/>
      <c r="F13434" s="626"/>
    </row>
    <row r="13435" spans="1:6">
      <c r="A13435" t="str">
        <f t="shared" si="209"/>
        <v/>
      </c>
      <c r="E13435" s="626"/>
      <c r="F13435" s="626"/>
    </row>
    <row r="13436" spans="1:6">
      <c r="A13436" t="str">
        <f t="shared" si="209"/>
        <v/>
      </c>
      <c r="E13436" s="626"/>
      <c r="F13436" s="626"/>
    </row>
    <row r="13437" spans="1:6">
      <c r="A13437" t="str">
        <f t="shared" si="209"/>
        <v/>
      </c>
      <c r="E13437" s="626"/>
      <c r="F13437" s="626"/>
    </row>
    <row r="13438" spans="1:6">
      <c r="A13438" t="str">
        <f t="shared" si="209"/>
        <v/>
      </c>
      <c r="E13438" s="626"/>
      <c r="F13438" s="626"/>
    </row>
    <row r="13439" spans="1:6">
      <c r="A13439" t="str">
        <f t="shared" si="209"/>
        <v/>
      </c>
      <c r="E13439" s="626"/>
      <c r="F13439" s="626"/>
    </row>
    <row r="13440" spans="1:6">
      <c r="A13440" t="str">
        <f t="shared" si="209"/>
        <v/>
      </c>
      <c r="E13440" s="626"/>
      <c r="F13440" s="626"/>
    </row>
    <row r="13441" spans="1:6">
      <c r="A13441" t="str">
        <f t="shared" si="209"/>
        <v/>
      </c>
      <c r="E13441" s="626"/>
      <c r="F13441" s="626"/>
    </row>
    <row r="13442" spans="1:6">
      <c r="A13442" t="str">
        <f t="shared" ref="A13442:A13505" si="210">B13442&amp;E13442&amp;J13442</f>
        <v/>
      </c>
      <c r="E13442" s="626"/>
      <c r="F13442" s="626"/>
    </row>
    <row r="13443" spans="1:6">
      <c r="A13443" t="str">
        <f t="shared" si="210"/>
        <v/>
      </c>
      <c r="E13443" s="626"/>
      <c r="F13443" s="626"/>
    </row>
    <row r="13444" spans="1:6">
      <c r="A13444" t="str">
        <f t="shared" si="210"/>
        <v/>
      </c>
      <c r="E13444" s="626"/>
      <c r="F13444" s="626"/>
    </row>
    <row r="13445" spans="1:6">
      <c r="A13445" t="str">
        <f t="shared" si="210"/>
        <v/>
      </c>
      <c r="E13445" s="626"/>
      <c r="F13445" s="626"/>
    </row>
    <row r="13446" spans="1:6">
      <c r="A13446" t="str">
        <f t="shared" si="210"/>
        <v/>
      </c>
      <c r="E13446" s="626"/>
      <c r="F13446" s="626"/>
    </row>
    <row r="13447" spans="1:6">
      <c r="A13447" t="str">
        <f t="shared" si="210"/>
        <v/>
      </c>
      <c r="E13447" s="626"/>
      <c r="F13447" s="626"/>
    </row>
    <row r="13448" spans="1:6">
      <c r="A13448" t="str">
        <f t="shared" si="210"/>
        <v/>
      </c>
      <c r="E13448" s="626"/>
      <c r="F13448" s="626"/>
    </row>
    <row r="13449" spans="1:6">
      <c r="A13449" t="str">
        <f t="shared" si="210"/>
        <v/>
      </c>
      <c r="E13449" s="626"/>
      <c r="F13449" s="626"/>
    </row>
    <row r="13450" spans="1:6">
      <c r="A13450" t="str">
        <f t="shared" si="210"/>
        <v/>
      </c>
      <c r="E13450" s="626"/>
      <c r="F13450" s="626"/>
    </row>
    <row r="13451" spans="1:6">
      <c r="A13451" t="str">
        <f t="shared" si="210"/>
        <v/>
      </c>
      <c r="E13451" s="626"/>
      <c r="F13451" s="626"/>
    </row>
    <row r="13452" spans="1:6">
      <c r="A13452" t="str">
        <f t="shared" si="210"/>
        <v/>
      </c>
      <c r="E13452" s="626"/>
      <c r="F13452" s="626"/>
    </row>
    <row r="13453" spans="1:6">
      <c r="A13453" t="str">
        <f t="shared" si="210"/>
        <v/>
      </c>
      <c r="E13453" s="626"/>
      <c r="F13453" s="626"/>
    </row>
    <row r="13454" spans="1:6">
      <c r="A13454" t="str">
        <f t="shared" si="210"/>
        <v/>
      </c>
      <c r="E13454" s="626"/>
      <c r="F13454" s="626"/>
    </row>
    <row r="13455" spans="1:6">
      <c r="A13455" t="str">
        <f t="shared" si="210"/>
        <v/>
      </c>
      <c r="E13455" s="626"/>
      <c r="F13455" s="626"/>
    </row>
    <row r="13456" spans="1:6">
      <c r="A13456" t="str">
        <f t="shared" si="210"/>
        <v/>
      </c>
      <c r="E13456" s="626"/>
      <c r="F13456" s="626"/>
    </row>
    <row r="13457" spans="1:6">
      <c r="A13457" t="str">
        <f t="shared" si="210"/>
        <v/>
      </c>
      <c r="E13457" s="626"/>
      <c r="F13457" s="626"/>
    </row>
    <row r="13458" spans="1:6">
      <c r="A13458" t="str">
        <f t="shared" si="210"/>
        <v/>
      </c>
      <c r="E13458" s="626"/>
      <c r="F13458" s="626"/>
    </row>
    <row r="13459" spans="1:6">
      <c r="A13459" t="str">
        <f t="shared" si="210"/>
        <v/>
      </c>
      <c r="E13459" s="626"/>
      <c r="F13459" s="626"/>
    </row>
    <row r="13460" spans="1:6">
      <c r="A13460" t="str">
        <f t="shared" si="210"/>
        <v/>
      </c>
      <c r="E13460" s="626"/>
      <c r="F13460" s="626"/>
    </row>
    <row r="13461" spans="1:6">
      <c r="A13461" t="str">
        <f t="shared" si="210"/>
        <v/>
      </c>
      <c r="E13461" s="626"/>
      <c r="F13461" s="626"/>
    </row>
    <row r="13462" spans="1:6">
      <c r="A13462" t="str">
        <f t="shared" si="210"/>
        <v/>
      </c>
      <c r="E13462" s="626"/>
      <c r="F13462" s="626"/>
    </row>
    <row r="13463" spans="1:6">
      <c r="A13463" t="str">
        <f t="shared" si="210"/>
        <v/>
      </c>
      <c r="E13463" s="626"/>
      <c r="F13463" s="626"/>
    </row>
    <row r="13464" spans="1:6">
      <c r="A13464" t="str">
        <f t="shared" si="210"/>
        <v/>
      </c>
      <c r="E13464" s="626"/>
      <c r="F13464" s="626"/>
    </row>
    <row r="13465" spans="1:6">
      <c r="A13465" t="str">
        <f t="shared" si="210"/>
        <v/>
      </c>
      <c r="E13465" s="626"/>
      <c r="F13465" s="626"/>
    </row>
    <row r="13466" spans="1:6">
      <c r="A13466" t="str">
        <f t="shared" si="210"/>
        <v/>
      </c>
      <c r="E13466" s="626"/>
      <c r="F13466" s="626"/>
    </row>
    <row r="13467" spans="1:6">
      <c r="A13467" t="str">
        <f t="shared" si="210"/>
        <v/>
      </c>
      <c r="E13467" s="626"/>
      <c r="F13467" s="626"/>
    </row>
    <row r="13468" spans="1:6">
      <c r="A13468" t="str">
        <f t="shared" si="210"/>
        <v/>
      </c>
      <c r="E13468" s="626"/>
      <c r="F13468" s="626"/>
    </row>
    <row r="13469" spans="1:6">
      <c r="A13469" t="str">
        <f t="shared" si="210"/>
        <v/>
      </c>
      <c r="E13469" s="626"/>
      <c r="F13469" s="626"/>
    </row>
    <row r="13470" spans="1:6">
      <c r="A13470" t="str">
        <f t="shared" si="210"/>
        <v/>
      </c>
      <c r="E13470" s="626"/>
      <c r="F13470" s="626"/>
    </row>
    <row r="13471" spans="1:6">
      <c r="A13471" t="str">
        <f t="shared" si="210"/>
        <v/>
      </c>
      <c r="E13471" s="626"/>
      <c r="F13471" s="626"/>
    </row>
    <row r="13472" spans="1:6">
      <c r="A13472" t="str">
        <f t="shared" si="210"/>
        <v/>
      </c>
      <c r="E13472" s="626"/>
      <c r="F13472" s="626"/>
    </row>
    <row r="13473" spans="1:6">
      <c r="A13473" t="str">
        <f t="shared" si="210"/>
        <v/>
      </c>
      <c r="E13473" s="626"/>
      <c r="F13473" s="626"/>
    </row>
    <row r="13474" spans="1:6">
      <c r="A13474" t="str">
        <f t="shared" si="210"/>
        <v/>
      </c>
      <c r="E13474" s="626"/>
      <c r="F13474" s="626"/>
    </row>
    <row r="13475" spans="1:6">
      <c r="A13475" t="str">
        <f t="shared" si="210"/>
        <v/>
      </c>
      <c r="E13475" s="626"/>
      <c r="F13475" s="626"/>
    </row>
    <row r="13476" spans="1:6">
      <c r="A13476" t="str">
        <f t="shared" si="210"/>
        <v/>
      </c>
      <c r="E13476" s="626"/>
      <c r="F13476" s="626"/>
    </row>
    <row r="13477" spans="1:6">
      <c r="A13477" t="str">
        <f t="shared" si="210"/>
        <v/>
      </c>
      <c r="E13477" s="626"/>
      <c r="F13477" s="626"/>
    </row>
    <row r="13478" spans="1:6">
      <c r="A13478" t="str">
        <f t="shared" si="210"/>
        <v/>
      </c>
      <c r="E13478" s="626"/>
      <c r="F13478" s="626"/>
    </row>
    <row r="13479" spans="1:6">
      <c r="A13479" t="str">
        <f t="shared" si="210"/>
        <v/>
      </c>
      <c r="E13479" s="626"/>
      <c r="F13479" s="626"/>
    </row>
    <row r="13480" spans="1:6">
      <c r="A13480" t="str">
        <f t="shared" si="210"/>
        <v/>
      </c>
      <c r="E13480" s="626"/>
      <c r="F13480" s="626"/>
    </row>
    <row r="13481" spans="1:6">
      <c r="A13481" t="str">
        <f t="shared" si="210"/>
        <v/>
      </c>
      <c r="E13481" s="626"/>
      <c r="F13481" s="626"/>
    </row>
    <row r="13482" spans="1:6">
      <c r="A13482" t="str">
        <f t="shared" si="210"/>
        <v/>
      </c>
      <c r="E13482" s="626"/>
      <c r="F13482" s="626"/>
    </row>
    <row r="13483" spans="1:6">
      <c r="A13483" t="str">
        <f t="shared" si="210"/>
        <v/>
      </c>
      <c r="E13483" s="626"/>
      <c r="F13483" s="626"/>
    </row>
    <row r="13484" spans="1:6">
      <c r="A13484" t="str">
        <f t="shared" si="210"/>
        <v/>
      </c>
      <c r="E13484" s="626"/>
      <c r="F13484" s="626"/>
    </row>
    <row r="13485" spans="1:6">
      <c r="A13485" t="str">
        <f t="shared" si="210"/>
        <v/>
      </c>
      <c r="E13485" s="626"/>
      <c r="F13485" s="626"/>
    </row>
    <row r="13486" spans="1:6">
      <c r="A13486" t="str">
        <f t="shared" si="210"/>
        <v/>
      </c>
      <c r="E13486" s="626"/>
      <c r="F13486" s="626"/>
    </row>
    <row r="13487" spans="1:6">
      <c r="A13487" t="str">
        <f t="shared" si="210"/>
        <v/>
      </c>
      <c r="E13487" s="626"/>
      <c r="F13487" s="626"/>
    </row>
    <row r="13488" spans="1:6">
      <c r="A13488" t="str">
        <f t="shared" si="210"/>
        <v/>
      </c>
      <c r="E13488" s="626"/>
      <c r="F13488" s="626"/>
    </row>
    <row r="13489" spans="1:6">
      <c r="A13489" t="str">
        <f t="shared" si="210"/>
        <v/>
      </c>
      <c r="E13489" s="626"/>
      <c r="F13489" s="626"/>
    </row>
    <row r="13490" spans="1:6">
      <c r="A13490" t="str">
        <f t="shared" si="210"/>
        <v/>
      </c>
      <c r="E13490" s="626"/>
      <c r="F13490" s="626"/>
    </row>
    <row r="13491" spans="1:6">
      <c r="A13491" t="str">
        <f t="shared" si="210"/>
        <v/>
      </c>
      <c r="E13491" s="626"/>
      <c r="F13491" s="626"/>
    </row>
    <row r="13492" spans="1:6">
      <c r="A13492" t="str">
        <f t="shared" si="210"/>
        <v/>
      </c>
      <c r="E13492" s="626"/>
      <c r="F13492" s="626"/>
    </row>
    <row r="13493" spans="1:6">
      <c r="A13493" t="str">
        <f t="shared" si="210"/>
        <v/>
      </c>
      <c r="E13493" s="626"/>
      <c r="F13493" s="626"/>
    </row>
    <row r="13494" spans="1:6">
      <c r="A13494" t="str">
        <f t="shared" si="210"/>
        <v/>
      </c>
      <c r="E13494" s="626"/>
      <c r="F13494" s="626"/>
    </row>
    <row r="13495" spans="1:6">
      <c r="A13495" t="str">
        <f t="shared" si="210"/>
        <v/>
      </c>
      <c r="E13495" s="626"/>
      <c r="F13495" s="626"/>
    </row>
    <row r="13496" spans="1:6">
      <c r="A13496" t="str">
        <f t="shared" si="210"/>
        <v/>
      </c>
      <c r="E13496" s="626"/>
      <c r="F13496" s="626"/>
    </row>
    <row r="13497" spans="1:6">
      <c r="A13497" t="str">
        <f t="shared" si="210"/>
        <v/>
      </c>
      <c r="E13497" s="626"/>
      <c r="F13497" s="626"/>
    </row>
    <row r="13498" spans="1:6">
      <c r="A13498" t="str">
        <f t="shared" si="210"/>
        <v/>
      </c>
      <c r="E13498" s="626"/>
      <c r="F13498" s="626"/>
    </row>
    <row r="13499" spans="1:6">
      <c r="A13499" t="str">
        <f t="shared" si="210"/>
        <v/>
      </c>
      <c r="E13499" s="626"/>
      <c r="F13499" s="626"/>
    </row>
    <row r="13500" spans="1:6">
      <c r="A13500" t="str">
        <f t="shared" si="210"/>
        <v/>
      </c>
      <c r="E13500" s="626"/>
      <c r="F13500" s="626"/>
    </row>
    <row r="13501" spans="1:6">
      <c r="A13501" t="str">
        <f t="shared" si="210"/>
        <v/>
      </c>
      <c r="E13501" s="626"/>
      <c r="F13501" s="626"/>
    </row>
    <row r="13502" spans="1:6">
      <c r="A13502" t="str">
        <f t="shared" si="210"/>
        <v/>
      </c>
      <c r="E13502" s="626"/>
      <c r="F13502" s="626"/>
    </row>
    <row r="13503" spans="1:6">
      <c r="A13503" t="str">
        <f t="shared" si="210"/>
        <v/>
      </c>
      <c r="E13503" s="626"/>
      <c r="F13503" s="626"/>
    </row>
    <row r="13504" spans="1:6">
      <c r="A13504" t="str">
        <f t="shared" si="210"/>
        <v/>
      </c>
      <c r="E13504" s="626"/>
      <c r="F13504" s="626"/>
    </row>
    <row r="13505" spans="1:6">
      <c r="A13505" t="str">
        <f t="shared" si="210"/>
        <v/>
      </c>
      <c r="E13505" s="626"/>
      <c r="F13505" s="626"/>
    </row>
    <row r="13506" spans="1:6">
      <c r="A13506" t="str">
        <f t="shared" ref="A13506:A13569" si="211">B13506&amp;E13506&amp;J13506</f>
        <v/>
      </c>
      <c r="E13506" s="626"/>
      <c r="F13506" s="626"/>
    </row>
    <row r="13507" spans="1:6">
      <c r="A13507" t="str">
        <f t="shared" si="211"/>
        <v/>
      </c>
      <c r="E13507" s="626"/>
      <c r="F13507" s="626"/>
    </row>
    <row r="13508" spans="1:6">
      <c r="A13508" t="str">
        <f t="shared" si="211"/>
        <v/>
      </c>
      <c r="E13508" s="626"/>
      <c r="F13508" s="626"/>
    </row>
    <row r="13509" spans="1:6">
      <c r="A13509" t="str">
        <f t="shared" si="211"/>
        <v/>
      </c>
      <c r="E13509" s="626"/>
      <c r="F13509" s="626"/>
    </row>
    <row r="13510" spans="1:6">
      <c r="A13510" t="str">
        <f t="shared" si="211"/>
        <v/>
      </c>
      <c r="E13510" s="626"/>
      <c r="F13510" s="626"/>
    </row>
    <row r="13511" spans="1:6">
      <c r="A13511" t="str">
        <f t="shared" si="211"/>
        <v/>
      </c>
      <c r="E13511" s="626"/>
      <c r="F13511" s="626"/>
    </row>
    <row r="13512" spans="1:6">
      <c r="A13512" t="str">
        <f t="shared" si="211"/>
        <v/>
      </c>
      <c r="E13512" s="626"/>
      <c r="F13512" s="626"/>
    </row>
    <row r="13513" spans="1:6">
      <c r="A13513" t="str">
        <f t="shared" si="211"/>
        <v/>
      </c>
      <c r="E13513" s="626"/>
      <c r="F13513" s="626"/>
    </row>
    <row r="13514" spans="1:6">
      <c r="A13514" t="str">
        <f t="shared" si="211"/>
        <v/>
      </c>
      <c r="E13514" s="626"/>
      <c r="F13514" s="626"/>
    </row>
    <row r="13515" spans="1:6">
      <c r="A13515" t="str">
        <f t="shared" si="211"/>
        <v/>
      </c>
      <c r="E13515" s="626"/>
      <c r="F13515" s="626"/>
    </row>
    <row r="13516" spans="1:6">
      <c r="A13516" t="str">
        <f t="shared" si="211"/>
        <v/>
      </c>
      <c r="E13516" s="626"/>
      <c r="F13516" s="626"/>
    </row>
    <row r="13517" spans="1:6">
      <c r="A13517" t="str">
        <f t="shared" si="211"/>
        <v/>
      </c>
      <c r="E13517" s="626"/>
      <c r="F13517" s="626"/>
    </row>
    <row r="13518" spans="1:6">
      <c r="A13518" t="str">
        <f t="shared" si="211"/>
        <v/>
      </c>
      <c r="E13518" s="626"/>
      <c r="F13518" s="626"/>
    </row>
    <row r="13519" spans="1:6">
      <c r="A13519" t="str">
        <f t="shared" si="211"/>
        <v/>
      </c>
      <c r="E13519" s="626"/>
      <c r="F13519" s="626"/>
    </row>
    <row r="13520" spans="1:6">
      <c r="A13520" t="str">
        <f t="shared" si="211"/>
        <v/>
      </c>
      <c r="E13520" s="626"/>
      <c r="F13520" s="626"/>
    </row>
    <row r="13521" spans="1:6">
      <c r="A13521" t="str">
        <f t="shared" si="211"/>
        <v/>
      </c>
      <c r="E13521" s="626"/>
      <c r="F13521" s="626"/>
    </row>
    <row r="13522" spans="1:6">
      <c r="A13522" t="str">
        <f t="shared" si="211"/>
        <v/>
      </c>
      <c r="E13522" s="626"/>
      <c r="F13522" s="626"/>
    </row>
    <row r="13523" spans="1:6">
      <c r="A13523" t="str">
        <f t="shared" si="211"/>
        <v/>
      </c>
      <c r="E13523" s="626"/>
      <c r="F13523" s="626"/>
    </row>
    <row r="13524" spans="1:6">
      <c r="A13524" t="str">
        <f t="shared" si="211"/>
        <v/>
      </c>
      <c r="E13524" s="626"/>
      <c r="F13524" s="626"/>
    </row>
    <row r="13525" spans="1:6">
      <c r="A13525" t="str">
        <f t="shared" si="211"/>
        <v/>
      </c>
      <c r="E13525" s="626"/>
      <c r="F13525" s="626"/>
    </row>
    <row r="13526" spans="1:6">
      <c r="A13526" t="str">
        <f t="shared" si="211"/>
        <v/>
      </c>
      <c r="E13526" s="626"/>
      <c r="F13526" s="626"/>
    </row>
    <row r="13527" spans="1:6">
      <c r="A13527" t="str">
        <f t="shared" si="211"/>
        <v/>
      </c>
      <c r="E13527" s="626"/>
      <c r="F13527" s="626"/>
    </row>
    <row r="13528" spans="1:6">
      <c r="A13528" t="str">
        <f t="shared" si="211"/>
        <v/>
      </c>
      <c r="E13528" s="626"/>
      <c r="F13528" s="626"/>
    </row>
    <row r="13529" spans="1:6">
      <c r="A13529" t="str">
        <f t="shared" si="211"/>
        <v/>
      </c>
      <c r="E13529" s="626"/>
      <c r="F13529" s="626"/>
    </row>
    <row r="13530" spans="1:6">
      <c r="A13530" t="str">
        <f t="shared" si="211"/>
        <v/>
      </c>
      <c r="E13530" s="626"/>
      <c r="F13530" s="626"/>
    </row>
    <row r="13531" spans="1:6">
      <c r="A13531" t="str">
        <f t="shared" si="211"/>
        <v/>
      </c>
      <c r="E13531" s="626"/>
      <c r="F13531" s="626"/>
    </row>
    <row r="13532" spans="1:6">
      <c r="A13532" t="str">
        <f t="shared" si="211"/>
        <v/>
      </c>
      <c r="E13532" s="626"/>
      <c r="F13532" s="626"/>
    </row>
    <row r="13533" spans="1:6">
      <c r="A13533" t="str">
        <f t="shared" si="211"/>
        <v/>
      </c>
      <c r="E13533" s="626"/>
      <c r="F13533" s="626"/>
    </row>
    <row r="13534" spans="1:6">
      <c r="A13534" t="str">
        <f t="shared" si="211"/>
        <v/>
      </c>
      <c r="E13534" s="626"/>
      <c r="F13534" s="626"/>
    </row>
    <row r="13535" spans="1:6">
      <c r="A13535" t="str">
        <f t="shared" si="211"/>
        <v/>
      </c>
      <c r="E13535" s="626"/>
      <c r="F13535" s="626"/>
    </row>
    <row r="13536" spans="1:6">
      <c r="A13536" t="str">
        <f t="shared" si="211"/>
        <v/>
      </c>
      <c r="E13536" s="626"/>
      <c r="F13536" s="626"/>
    </row>
    <row r="13537" spans="1:6">
      <c r="A13537" t="str">
        <f t="shared" si="211"/>
        <v/>
      </c>
      <c r="E13537" s="626"/>
      <c r="F13537" s="626"/>
    </row>
    <row r="13538" spans="1:6">
      <c r="A13538" t="str">
        <f t="shared" si="211"/>
        <v/>
      </c>
      <c r="E13538" s="626"/>
      <c r="F13538" s="626"/>
    </row>
    <row r="13539" spans="1:6">
      <c r="A13539" t="str">
        <f t="shared" si="211"/>
        <v/>
      </c>
      <c r="E13539" s="626"/>
      <c r="F13539" s="626"/>
    </row>
    <row r="13540" spans="1:6">
      <c r="A13540" t="str">
        <f t="shared" si="211"/>
        <v/>
      </c>
      <c r="E13540" s="626"/>
      <c r="F13540" s="626"/>
    </row>
    <row r="13541" spans="1:6">
      <c r="A13541" t="str">
        <f t="shared" si="211"/>
        <v/>
      </c>
      <c r="E13541" s="626"/>
      <c r="F13541" s="626"/>
    </row>
    <row r="13542" spans="1:6">
      <c r="A13542" t="str">
        <f t="shared" si="211"/>
        <v/>
      </c>
      <c r="E13542" s="626"/>
      <c r="F13542" s="626"/>
    </row>
    <row r="13543" spans="1:6">
      <c r="A13543" t="str">
        <f t="shared" si="211"/>
        <v/>
      </c>
      <c r="E13543" s="626"/>
      <c r="F13543" s="626"/>
    </row>
    <row r="13544" spans="1:6">
      <c r="A13544" t="str">
        <f t="shared" si="211"/>
        <v/>
      </c>
      <c r="E13544" s="626"/>
      <c r="F13544" s="626"/>
    </row>
    <row r="13545" spans="1:6">
      <c r="A13545" t="str">
        <f t="shared" si="211"/>
        <v/>
      </c>
      <c r="E13545" s="626"/>
      <c r="F13545" s="626"/>
    </row>
    <row r="13546" spans="1:6">
      <c r="A13546" t="str">
        <f t="shared" si="211"/>
        <v/>
      </c>
      <c r="E13546" s="626"/>
      <c r="F13546" s="626"/>
    </row>
    <row r="13547" spans="1:6">
      <c r="A13547" t="str">
        <f t="shared" si="211"/>
        <v/>
      </c>
      <c r="E13547" s="626"/>
      <c r="F13547" s="626"/>
    </row>
    <row r="13548" spans="1:6">
      <c r="A13548" t="str">
        <f t="shared" si="211"/>
        <v/>
      </c>
      <c r="E13548" s="626"/>
      <c r="F13548" s="626"/>
    </row>
    <row r="13549" spans="1:6">
      <c r="A13549" t="str">
        <f t="shared" si="211"/>
        <v/>
      </c>
      <c r="E13549" s="626"/>
      <c r="F13549" s="626"/>
    </row>
    <row r="13550" spans="1:6">
      <c r="A13550" t="str">
        <f t="shared" si="211"/>
        <v/>
      </c>
      <c r="E13550" s="626"/>
      <c r="F13550" s="626"/>
    </row>
    <row r="13551" spans="1:6">
      <c r="A13551" t="str">
        <f t="shared" si="211"/>
        <v/>
      </c>
      <c r="E13551" s="626"/>
      <c r="F13551" s="626"/>
    </row>
    <row r="13552" spans="1:6">
      <c r="A13552" t="str">
        <f t="shared" si="211"/>
        <v/>
      </c>
      <c r="E13552" s="626"/>
      <c r="F13552" s="626"/>
    </row>
    <row r="13553" spans="1:6">
      <c r="A13553" t="str">
        <f t="shared" si="211"/>
        <v/>
      </c>
      <c r="E13553" s="626"/>
      <c r="F13553" s="626"/>
    </row>
    <row r="13554" spans="1:6">
      <c r="A13554" t="str">
        <f t="shared" si="211"/>
        <v/>
      </c>
      <c r="E13554" s="626"/>
      <c r="F13554" s="626"/>
    </row>
    <row r="13555" spans="1:6">
      <c r="A13555" t="str">
        <f t="shared" si="211"/>
        <v/>
      </c>
      <c r="E13555" s="626"/>
      <c r="F13555" s="626"/>
    </row>
    <row r="13556" spans="1:6">
      <c r="A13556" t="str">
        <f t="shared" si="211"/>
        <v/>
      </c>
      <c r="E13556" s="626"/>
      <c r="F13556" s="626"/>
    </row>
    <row r="13557" spans="1:6">
      <c r="A13557" t="str">
        <f t="shared" si="211"/>
        <v/>
      </c>
      <c r="E13557" s="626"/>
      <c r="F13557" s="626"/>
    </row>
    <row r="13558" spans="1:6">
      <c r="A13558" t="str">
        <f t="shared" si="211"/>
        <v/>
      </c>
      <c r="E13558" s="626"/>
      <c r="F13558" s="626"/>
    </row>
    <row r="13559" spans="1:6">
      <c r="A13559" t="str">
        <f t="shared" si="211"/>
        <v/>
      </c>
      <c r="E13559" s="626"/>
      <c r="F13559" s="626"/>
    </row>
    <row r="13560" spans="1:6">
      <c r="A13560" t="str">
        <f t="shared" si="211"/>
        <v/>
      </c>
      <c r="E13560" s="626"/>
      <c r="F13560" s="626"/>
    </row>
    <row r="13561" spans="1:6">
      <c r="A13561" t="str">
        <f t="shared" si="211"/>
        <v/>
      </c>
      <c r="E13561" s="626"/>
      <c r="F13561" s="626"/>
    </row>
    <row r="13562" spans="1:6">
      <c r="A13562" t="str">
        <f t="shared" si="211"/>
        <v/>
      </c>
      <c r="E13562" s="626"/>
      <c r="F13562" s="626"/>
    </row>
    <row r="13563" spans="1:6">
      <c r="A13563" t="str">
        <f t="shared" si="211"/>
        <v/>
      </c>
      <c r="E13563" s="626"/>
      <c r="F13563" s="626"/>
    </row>
    <row r="13564" spans="1:6">
      <c r="A13564" t="str">
        <f t="shared" si="211"/>
        <v/>
      </c>
      <c r="E13564" s="626"/>
      <c r="F13564" s="626"/>
    </row>
    <row r="13565" spans="1:6">
      <c r="A13565" t="str">
        <f t="shared" si="211"/>
        <v/>
      </c>
      <c r="E13565" s="626"/>
      <c r="F13565" s="626"/>
    </row>
    <row r="13566" spans="1:6">
      <c r="A13566" t="str">
        <f t="shared" si="211"/>
        <v/>
      </c>
      <c r="E13566" s="626"/>
      <c r="F13566" s="626"/>
    </row>
    <row r="13567" spans="1:6">
      <c r="A13567" t="str">
        <f t="shared" si="211"/>
        <v/>
      </c>
      <c r="E13567" s="626"/>
      <c r="F13567" s="626"/>
    </row>
    <row r="13568" spans="1:6">
      <c r="A13568" t="str">
        <f t="shared" si="211"/>
        <v/>
      </c>
      <c r="E13568" s="626"/>
      <c r="F13568" s="626"/>
    </row>
    <row r="13569" spans="1:6">
      <c r="A13569" t="str">
        <f t="shared" si="211"/>
        <v/>
      </c>
      <c r="E13569" s="626"/>
      <c r="F13569" s="626"/>
    </row>
    <row r="13570" spans="1:6">
      <c r="A13570" t="str">
        <f t="shared" ref="A13570:A13633" si="212">B13570&amp;E13570&amp;J13570</f>
        <v/>
      </c>
      <c r="E13570" s="626"/>
      <c r="F13570" s="626"/>
    </row>
    <row r="13571" spans="1:6">
      <c r="A13571" t="str">
        <f t="shared" si="212"/>
        <v/>
      </c>
      <c r="E13571" s="626"/>
      <c r="F13571" s="626"/>
    </row>
    <row r="13572" spans="1:6">
      <c r="A13572" t="str">
        <f t="shared" si="212"/>
        <v/>
      </c>
      <c r="E13572" s="626"/>
      <c r="F13572" s="626"/>
    </row>
    <row r="13573" spans="1:6">
      <c r="A13573" t="str">
        <f t="shared" si="212"/>
        <v/>
      </c>
      <c r="E13573" s="626"/>
      <c r="F13573" s="626"/>
    </row>
    <row r="13574" spans="1:6">
      <c r="A13574" t="str">
        <f t="shared" si="212"/>
        <v/>
      </c>
      <c r="E13574" s="626"/>
      <c r="F13574" s="626"/>
    </row>
    <row r="13575" spans="1:6">
      <c r="A13575" t="str">
        <f t="shared" si="212"/>
        <v/>
      </c>
      <c r="E13575" s="626"/>
      <c r="F13575" s="626"/>
    </row>
    <row r="13576" spans="1:6">
      <c r="A13576" t="str">
        <f t="shared" si="212"/>
        <v/>
      </c>
      <c r="E13576" s="626"/>
      <c r="F13576" s="626"/>
    </row>
    <row r="13577" spans="1:6">
      <c r="A13577" t="str">
        <f t="shared" si="212"/>
        <v/>
      </c>
      <c r="E13577" s="626"/>
      <c r="F13577" s="626"/>
    </row>
    <row r="13578" spans="1:6">
      <c r="A13578" t="str">
        <f t="shared" si="212"/>
        <v/>
      </c>
      <c r="E13578" s="626"/>
      <c r="F13578" s="626"/>
    </row>
    <row r="13579" spans="1:6">
      <c r="A13579" t="str">
        <f t="shared" si="212"/>
        <v/>
      </c>
      <c r="E13579" s="626"/>
      <c r="F13579" s="626"/>
    </row>
    <row r="13580" spans="1:6">
      <c r="A13580" t="str">
        <f t="shared" si="212"/>
        <v/>
      </c>
      <c r="E13580" s="626"/>
      <c r="F13580" s="626"/>
    </row>
    <row r="13581" spans="1:6">
      <c r="A13581" t="str">
        <f t="shared" si="212"/>
        <v/>
      </c>
      <c r="E13581" s="626"/>
      <c r="F13581" s="626"/>
    </row>
    <row r="13582" spans="1:6">
      <c r="A13582" t="str">
        <f t="shared" si="212"/>
        <v/>
      </c>
      <c r="E13582" s="626"/>
      <c r="F13582" s="626"/>
    </row>
    <row r="13583" spans="1:6">
      <c r="A13583" t="str">
        <f t="shared" si="212"/>
        <v/>
      </c>
      <c r="E13583" s="626"/>
      <c r="F13583" s="626"/>
    </row>
    <row r="13584" spans="1:6">
      <c r="A13584" t="str">
        <f t="shared" si="212"/>
        <v/>
      </c>
      <c r="E13584" s="626"/>
      <c r="F13584" s="626"/>
    </row>
    <row r="13585" spans="1:6">
      <c r="A13585" t="str">
        <f t="shared" si="212"/>
        <v/>
      </c>
      <c r="E13585" s="626"/>
      <c r="F13585" s="626"/>
    </row>
    <row r="13586" spans="1:6">
      <c r="A13586" t="str">
        <f t="shared" si="212"/>
        <v/>
      </c>
      <c r="E13586" s="626"/>
      <c r="F13586" s="626"/>
    </row>
    <row r="13587" spans="1:6">
      <c r="A13587" t="str">
        <f t="shared" si="212"/>
        <v/>
      </c>
      <c r="E13587" s="626"/>
      <c r="F13587" s="626"/>
    </row>
    <row r="13588" spans="1:6">
      <c r="A13588" t="str">
        <f t="shared" si="212"/>
        <v/>
      </c>
      <c r="E13588" s="626"/>
      <c r="F13588" s="626"/>
    </row>
    <row r="13589" spans="1:6">
      <c r="A13589" t="str">
        <f t="shared" si="212"/>
        <v/>
      </c>
      <c r="E13589" s="626"/>
      <c r="F13589" s="626"/>
    </row>
    <row r="13590" spans="1:6">
      <c r="A13590" t="str">
        <f t="shared" si="212"/>
        <v/>
      </c>
      <c r="E13590" s="626"/>
      <c r="F13590" s="626"/>
    </row>
    <row r="13591" spans="1:6">
      <c r="A13591" t="str">
        <f t="shared" si="212"/>
        <v/>
      </c>
      <c r="E13591" s="626"/>
      <c r="F13591" s="626"/>
    </row>
    <row r="13592" spans="1:6">
      <c r="A13592" t="str">
        <f t="shared" si="212"/>
        <v/>
      </c>
      <c r="E13592" s="626"/>
      <c r="F13592" s="626"/>
    </row>
    <row r="13593" spans="1:6">
      <c r="A13593" t="str">
        <f t="shared" si="212"/>
        <v/>
      </c>
      <c r="E13593" s="626"/>
      <c r="F13593" s="626"/>
    </row>
    <row r="13594" spans="1:6">
      <c r="A13594" t="str">
        <f t="shared" si="212"/>
        <v/>
      </c>
      <c r="E13594" s="626"/>
      <c r="F13594" s="626"/>
    </row>
    <row r="13595" spans="1:6">
      <c r="A13595" t="str">
        <f t="shared" si="212"/>
        <v/>
      </c>
      <c r="E13595" s="626"/>
      <c r="F13595" s="626"/>
    </row>
    <row r="13596" spans="1:6">
      <c r="A13596" t="str">
        <f t="shared" si="212"/>
        <v/>
      </c>
      <c r="E13596" s="626"/>
      <c r="F13596" s="626"/>
    </row>
    <row r="13597" spans="1:6">
      <c r="A13597" t="str">
        <f t="shared" si="212"/>
        <v/>
      </c>
      <c r="E13597" s="626"/>
      <c r="F13597" s="626"/>
    </row>
    <row r="13598" spans="1:6">
      <c r="A13598" t="str">
        <f t="shared" si="212"/>
        <v/>
      </c>
      <c r="E13598" s="626"/>
      <c r="F13598" s="626"/>
    </row>
    <row r="13599" spans="1:6">
      <c r="A13599" t="str">
        <f t="shared" si="212"/>
        <v/>
      </c>
      <c r="E13599" s="626"/>
      <c r="F13599" s="626"/>
    </row>
    <row r="13600" spans="1:6">
      <c r="A13600" t="str">
        <f t="shared" si="212"/>
        <v/>
      </c>
      <c r="E13600" s="626"/>
      <c r="F13600" s="626"/>
    </row>
    <row r="13601" spans="1:6">
      <c r="A13601" t="str">
        <f t="shared" si="212"/>
        <v/>
      </c>
      <c r="E13601" s="626"/>
      <c r="F13601" s="626"/>
    </row>
    <row r="13602" spans="1:6">
      <c r="A13602" t="str">
        <f t="shared" si="212"/>
        <v/>
      </c>
      <c r="E13602" s="626"/>
      <c r="F13602" s="626"/>
    </row>
    <row r="13603" spans="1:6">
      <c r="A13603" t="str">
        <f t="shared" si="212"/>
        <v/>
      </c>
      <c r="E13603" s="626"/>
      <c r="F13603" s="626"/>
    </row>
    <row r="13604" spans="1:6">
      <c r="A13604" t="str">
        <f t="shared" si="212"/>
        <v/>
      </c>
      <c r="E13604" s="626"/>
      <c r="F13604" s="626"/>
    </row>
    <row r="13605" spans="1:6">
      <c r="A13605" t="str">
        <f t="shared" si="212"/>
        <v/>
      </c>
      <c r="E13605" s="626"/>
      <c r="F13605" s="626"/>
    </row>
    <row r="13606" spans="1:6">
      <c r="A13606" t="str">
        <f t="shared" si="212"/>
        <v/>
      </c>
      <c r="E13606" s="626"/>
      <c r="F13606" s="626"/>
    </row>
    <row r="13607" spans="1:6">
      <c r="A13607" t="str">
        <f t="shared" si="212"/>
        <v/>
      </c>
      <c r="E13607" s="626"/>
      <c r="F13607" s="626"/>
    </row>
    <row r="13608" spans="1:6">
      <c r="A13608" t="str">
        <f t="shared" si="212"/>
        <v/>
      </c>
      <c r="E13608" s="626"/>
      <c r="F13608" s="626"/>
    </row>
    <row r="13609" spans="1:6">
      <c r="A13609" t="str">
        <f t="shared" si="212"/>
        <v/>
      </c>
      <c r="E13609" s="626"/>
      <c r="F13609" s="626"/>
    </row>
    <row r="13610" spans="1:6">
      <c r="A13610" t="str">
        <f t="shared" si="212"/>
        <v/>
      </c>
      <c r="E13610" s="626"/>
      <c r="F13610" s="626"/>
    </row>
    <row r="13611" spans="1:6">
      <c r="A13611" t="str">
        <f t="shared" si="212"/>
        <v/>
      </c>
      <c r="E13611" s="626"/>
      <c r="F13611" s="626"/>
    </row>
    <row r="13612" spans="1:6">
      <c r="A13612" t="str">
        <f t="shared" si="212"/>
        <v/>
      </c>
      <c r="E13612" s="626"/>
      <c r="F13612" s="626"/>
    </row>
    <row r="13613" spans="1:6">
      <c r="A13613" t="str">
        <f t="shared" si="212"/>
        <v/>
      </c>
      <c r="E13613" s="626"/>
      <c r="F13613" s="626"/>
    </row>
    <row r="13614" spans="1:6">
      <c r="A13614" t="str">
        <f t="shared" si="212"/>
        <v/>
      </c>
      <c r="E13614" s="626"/>
      <c r="F13614" s="626"/>
    </row>
    <row r="13615" spans="1:6">
      <c r="A13615" t="str">
        <f t="shared" si="212"/>
        <v/>
      </c>
      <c r="E13615" s="626"/>
      <c r="F13615" s="626"/>
    </row>
    <row r="13616" spans="1:6">
      <c r="A13616" t="str">
        <f t="shared" si="212"/>
        <v/>
      </c>
      <c r="E13616" s="626"/>
      <c r="F13616" s="626"/>
    </row>
    <row r="13617" spans="1:6">
      <c r="A13617" t="str">
        <f t="shared" si="212"/>
        <v/>
      </c>
      <c r="E13617" s="626"/>
      <c r="F13617" s="626"/>
    </row>
    <row r="13618" spans="1:6">
      <c r="A13618" t="str">
        <f t="shared" si="212"/>
        <v/>
      </c>
      <c r="E13618" s="626"/>
      <c r="F13618" s="626"/>
    </row>
    <row r="13619" spans="1:6">
      <c r="A13619" t="str">
        <f t="shared" si="212"/>
        <v/>
      </c>
      <c r="E13619" s="626"/>
      <c r="F13619" s="626"/>
    </row>
    <row r="13620" spans="1:6">
      <c r="A13620" t="str">
        <f t="shared" si="212"/>
        <v/>
      </c>
      <c r="E13620" s="626"/>
      <c r="F13620" s="626"/>
    </row>
    <row r="13621" spans="1:6">
      <c r="A13621" t="str">
        <f t="shared" si="212"/>
        <v/>
      </c>
      <c r="E13621" s="626"/>
      <c r="F13621" s="626"/>
    </row>
    <row r="13622" spans="1:6">
      <c r="A13622" t="str">
        <f t="shared" si="212"/>
        <v/>
      </c>
      <c r="E13622" s="626"/>
      <c r="F13622" s="626"/>
    </row>
    <row r="13623" spans="1:6">
      <c r="A13623" t="str">
        <f t="shared" si="212"/>
        <v/>
      </c>
      <c r="E13623" s="626"/>
      <c r="F13623" s="626"/>
    </row>
    <row r="13624" spans="1:6">
      <c r="A13624" t="str">
        <f t="shared" si="212"/>
        <v/>
      </c>
      <c r="E13624" s="626"/>
      <c r="F13624" s="626"/>
    </row>
    <row r="13625" spans="1:6">
      <c r="A13625" t="str">
        <f t="shared" si="212"/>
        <v/>
      </c>
      <c r="E13625" s="626"/>
      <c r="F13625" s="626"/>
    </row>
    <row r="13626" spans="1:6">
      <c r="A13626" t="str">
        <f t="shared" si="212"/>
        <v/>
      </c>
      <c r="E13626" s="626"/>
      <c r="F13626" s="626"/>
    </row>
    <row r="13627" spans="1:6">
      <c r="A13627" t="str">
        <f t="shared" si="212"/>
        <v/>
      </c>
      <c r="E13627" s="626"/>
      <c r="F13627" s="626"/>
    </row>
    <row r="13628" spans="1:6">
      <c r="A13628" t="str">
        <f t="shared" si="212"/>
        <v/>
      </c>
      <c r="E13628" s="626"/>
      <c r="F13628" s="626"/>
    </row>
    <row r="13629" spans="1:6">
      <c r="A13629" t="str">
        <f t="shared" si="212"/>
        <v/>
      </c>
      <c r="E13629" s="626"/>
      <c r="F13629" s="626"/>
    </row>
    <row r="13630" spans="1:6">
      <c r="A13630" t="str">
        <f t="shared" si="212"/>
        <v/>
      </c>
      <c r="E13630" s="626"/>
      <c r="F13630" s="626"/>
    </row>
    <row r="13631" spans="1:6">
      <c r="A13631" t="str">
        <f t="shared" si="212"/>
        <v/>
      </c>
      <c r="E13631" s="626"/>
      <c r="F13631" s="626"/>
    </row>
    <row r="13632" spans="1:6">
      <c r="A13632" t="str">
        <f t="shared" si="212"/>
        <v/>
      </c>
      <c r="E13632" s="626"/>
      <c r="F13632" s="626"/>
    </row>
    <row r="13633" spans="1:6">
      <c r="A13633" t="str">
        <f t="shared" si="212"/>
        <v/>
      </c>
      <c r="E13633" s="626"/>
      <c r="F13633" s="626"/>
    </row>
    <row r="13634" spans="1:6">
      <c r="A13634" t="str">
        <f t="shared" ref="A13634:A13697" si="213">B13634&amp;E13634&amp;J13634</f>
        <v/>
      </c>
      <c r="E13634" s="626"/>
      <c r="F13634" s="626"/>
    </row>
    <row r="13635" spans="1:6">
      <c r="A13635" t="str">
        <f t="shared" si="213"/>
        <v/>
      </c>
      <c r="E13635" s="626"/>
      <c r="F13635" s="626"/>
    </row>
    <row r="13636" spans="1:6">
      <c r="A13636" t="str">
        <f t="shared" si="213"/>
        <v/>
      </c>
      <c r="E13636" s="626"/>
      <c r="F13636" s="626"/>
    </row>
    <row r="13637" spans="1:6">
      <c r="A13637" t="str">
        <f t="shared" si="213"/>
        <v/>
      </c>
      <c r="E13637" s="626"/>
      <c r="F13637" s="626"/>
    </row>
    <row r="13638" spans="1:6">
      <c r="A13638" t="str">
        <f t="shared" si="213"/>
        <v/>
      </c>
      <c r="E13638" s="626"/>
      <c r="F13638" s="626"/>
    </row>
    <row r="13639" spans="1:6">
      <c r="A13639" t="str">
        <f t="shared" si="213"/>
        <v/>
      </c>
      <c r="E13639" s="626"/>
      <c r="F13639" s="626"/>
    </row>
    <row r="13640" spans="1:6">
      <c r="A13640" t="str">
        <f t="shared" si="213"/>
        <v/>
      </c>
      <c r="E13640" s="626"/>
      <c r="F13640" s="626"/>
    </row>
    <row r="13641" spans="1:6">
      <c r="A13641" t="str">
        <f t="shared" si="213"/>
        <v/>
      </c>
      <c r="E13641" s="626"/>
      <c r="F13641" s="626"/>
    </row>
    <row r="13642" spans="1:6">
      <c r="A13642" t="str">
        <f t="shared" si="213"/>
        <v/>
      </c>
      <c r="E13642" s="626"/>
      <c r="F13642" s="626"/>
    </row>
    <row r="13643" spans="1:6">
      <c r="A13643" t="str">
        <f t="shared" si="213"/>
        <v/>
      </c>
      <c r="E13643" s="626"/>
      <c r="F13643" s="626"/>
    </row>
    <row r="13644" spans="1:6">
      <c r="A13644" t="str">
        <f t="shared" si="213"/>
        <v/>
      </c>
      <c r="E13644" s="626"/>
      <c r="F13644" s="626"/>
    </row>
    <row r="13645" spans="1:6">
      <c r="A13645" t="str">
        <f t="shared" si="213"/>
        <v/>
      </c>
      <c r="E13645" s="626"/>
      <c r="F13645" s="626"/>
    </row>
    <row r="13646" spans="1:6">
      <c r="A13646" t="str">
        <f t="shared" si="213"/>
        <v/>
      </c>
      <c r="E13646" s="626"/>
      <c r="F13646" s="626"/>
    </row>
    <row r="13647" spans="1:6">
      <c r="A13647" t="str">
        <f t="shared" si="213"/>
        <v/>
      </c>
      <c r="E13647" s="626"/>
      <c r="F13647" s="626"/>
    </row>
    <row r="13648" spans="1:6">
      <c r="A13648" t="str">
        <f t="shared" si="213"/>
        <v/>
      </c>
      <c r="E13648" s="626"/>
      <c r="F13648" s="626"/>
    </row>
    <row r="13649" spans="1:6">
      <c r="A13649" t="str">
        <f t="shared" si="213"/>
        <v/>
      </c>
      <c r="E13649" s="626"/>
      <c r="F13649" s="626"/>
    </row>
    <row r="13650" spans="1:6">
      <c r="A13650" t="str">
        <f t="shared" si="213"/>
        <v/>
      </c>
      <c r="E13650" s="626"/>
      <c r="F13650" s="626"/>
    </row>
    <row r="13651" spans="1:6">
      <c r="A13651" t="str">
        <f t="shared" si="213"/>
        <v/>
      </c>
      <c r="E13651" s="626"/>
      <c r="F13651" s="626"/>
    </row>
    <row r="13652" spans="1:6">
      <c r="A13652" t="str">
        <f t="shared" si="213"/>
        <v/>
      </c>
      <c r="E13652" s="626"/>
      <c r="F13652" s="626"/>
    </row>
    <row r="13653" spans="1:6">
      <c r="A13653" t="str">
        <f t="shared" si="213"/>
        <v/>
      </c>
      <c r="E13653" s="626"/>
      <c r="F13653" s="626"/>
    </row>
    <row r="13654" spans="1:6">
      <c r="A13654" t="str">
        <f t="shared" si="213"/>
        <v/>
      </c>
      <c r="E13654" s="626"/>
      <c r="F13654" s="626"/>
    </row>
    <row r="13655" spans="1:6">
      <c r="A13655" t="str">
        <f t="shared" si="213"/>
        <v/>
      </c>
      <c r="E13655" s="626"/>
      <c r="F13655" s="626"/>
    </row>
    <row r="13656" spans="1:6">
      <c r="A13656" t="str">
        <f t="shared" si="213"/>
        <v/>
      </c>
      <c r="E13656" s="626"/>
      <c r="F13656" s="626"/>
    </row>
    <row r="13657" spans="1:6">
      <c r="A13657" t="str">
        <f t="shared" si="213"/>
        <v/>
      </c>
      <c r="E13657" s="626"/>
      <c r="F13657" s="626"/>
    </row>
    <row r="13658" spans="1:6">
      <c r="A13658" t="str">
        <f t="shared" si="213"/>
        <v/>
      </c>
      <c r="E13658" s="626"/>
      <c r="F13658" s="626"/>
    </row>
    <row r="13659" spans="1:6">
      <c r="A13659" t="str">
        <f t="shared" si="213"/>
        <v/>
      </c>
      <c r="E13659" s="626"/>
      <c r="F13659" s="626"/>
    </row>
    <row r="13660" spans="1:6">
      <c r="A13660" t="str">
        <f t="shared" si="213"/>
        <v/>
      </c>
      <c r="E13660" s="626"/>
      <c r="F13660" s="626"/>
    </row>
    <row r="13661" spans="1:6">
      <c r="A13661" t="str">
        <f t="shared" si="213"/>
        <v/>
      </c>
      <c r="E13661" s="626"/>
      <c r="F13661" s="626"/>
    </row>
    <row r="13662" spans="1:6">
      <c r="A13662" t="str">
        <f t="shared" si="213"/>
        <v/>
      </c>
      <c r="E13662" s="626"/>
      <c r="F13662" s="626"/>
    </row>
    <row r="13663" spans="1:6">
      <c r="A13663" t="str">
        <f t="shared" si="213"/>
        <v/>
      </c>
      <c r="E13663" s="626"/>
      <c r="F13663" s="626"/>
    </row>
    <row r="13664" spans="1:6">
      <c r="A13664" t="str">
        <f t="shared" si="213"/>
        <v/>
      </c>
      <c r="E13664" s="626"/>
      <c r="F13664" s="626"/>
    </row>
    <row r="13665" spans="1:6">
      <c r="A13665" t="str">
        <f t="shared" si="213"/>
        <v/>
      </c>
      <c r="E13665" s="626"/>
      <c r="F13665" s="626"/>
    </row>
    <row r="13666" spans="1:6">
      <c r="A13666" t="str">
        <f t="shared" si="213"/>
        <v/>
      </c>
      <c r="E13666" s="626"/>
      <c r="F13666" s="626"/>
    </row>
    <row r="13667" spans="1:6">
      <c r="A13667" t="str">
        <f t="shared" si="213"/>
        <v/>
      </c>
      <c r="E13667" s="626"/>
      <c r="F13667" s="626"/>
    </row>
    <row r="13668" spans="1:6">
      <c r="A13668" t="str">
        <f t="shared" si="213"/>
        <v/>
      </c>
      <c r="E13668" s="626"/>
      <c r="F13668" s="626"/>
    </row>
    <row r="13669" spans="1:6">
      <c r="A13669" t="str">
        <f t="shared" si="213"/>
        <v/>
      </c>
      <c r="E13669" s="626"/>
      <c r="F13669" s="626"/>
    </row>
    <row r="13670" spans="1:6">
      <c r="A13670" t="str">
        <f t="shared" si="213"/>
        <v/>
      </c>
      <c r="E13670" s="626"/>
      <c r="F13670" s="626"/>
    </row>
    <row r="13671" spans="1:6">
      <c r="A13671" t="str">
        <f t="shared" si="213"/>
        <v/>
      </c>
      <c r="E13671" s="626"/>
      <c r="F13671" s="626"/>
    </row>
    <row r="13672" spans="1:6">
      <c r="A13672" t="str">
        <f t="shared" si="213"/>
        <v/>
      </c>
      <c r="E13672" s="626"/>
      <c r="F13672" s="626"/>
    </row>
    <row r="13673" spans="1:6">
      <c r="A13673" t="str">
        <f t="shared" si="213"/>
        <v/>
      </c>
      <c r="E13673" s="626"/>
      <c r="F13673" s="626"/>
    </row>
    <row r="13674" spans="1:6">
      <c r="A13674" t="str">
        <f t="shared" si="213"/>
        <v/>
      </c>
      <c r="E13674" s="626"/>
      <c r="F13674" s="626"/>
    </row>
    <row r="13675" spans="1:6">
      <c r="A13675" t="str">
        <f t="shared" si="213"/>
        <v/>
      </c>
      <c r="E13675" s="626"/>
      <c r="F13675" s="626"/>
    </row>
    <row r="13676" spans="1:6">
      <c r="A13676" t="str">
        <f t="shared" si="213"/>
        <v/>
      </c>
      <c r="E13676" s="626"/>
      <c r="F13676" s="626"/>
    </row>
    <row r="13677" spans="1:6">
      <c r="A13677" t="str">
        <f t="shared" si="213"/>
        <v/>
      </c>
      <c r="E13677" s="626"/>
      <c r="F13677" s="626"/>
    </row>
    <row r="13678" spans="1:6">
      <c r="A13678" t="str">
        <f t="shared" si="213"/>
        <v/>
      </c>
      <c r="E13678" s="626"/>
      <c r="F13678" s="626"/>
    </row>
    <row r="13679" spans="1:6">
      <c r="A13679" t="str">
        <f t="shared" si="213"/>
        <v/>
      </c>
      <c r="E13679" s="626"/>
      <c r="F13679" s="626"/>
    </row>
    <row r="13680" spans="1:6">
      <c r="A13680" t="str">
        <f t="shared" si="213"/>
        <v/>
      </c>
      <c r="E13680" s="626"/>
      <c r="F13680" s="626"/>
    </row>
    <row r="13681" spans="1:6">
      <c r="A13681" t="str">
        <f t="shared" si="213"/>
        <v/>
      </c>
      <c r="E13681" s="626"/>
      <c r="F13681" s="626"/>
    </row>
    <row r="13682" spans="1:6">
      <c r="A13682" t="str">
        <f t="shared" si="213"/>
        <v/>
      </c>
      <c r="E13682" s="626"/>
      <c r="F13682" s="626"/>
    </row>
    <row r="13683" spans="1:6">
      <c r="A13683" t="str">
        <f t="shared" si="213"/>
        <v/>
      </c>
      <c r="E13683" s="626"/>
      <c r="F13683" s="626"/>
    </row>
    <row r="13684" spans="1:6">
      <c r="A13684" t="str">
        <f t="shared" si="213"/>
        <v/>
      </c>
      <c r="E13684" s="626"/>
      <c r="F13684" s="626"/>
    </row>
    <row r="13685" spans="1:6">
      <c r="A13685" t="str">
        <f t="shared" si="213"/>
        <v/>
      </c>
      <c r="E13685" s="626"/>
      <c r="F13685" s="626"/>
    </row>
    <row r="13686" spans="1:6">
      <c r="A13686" t="str">
        <f t="shared" si="213"/>
        <v/>
      </c>
      <c r="E13686" s="626"/>
      <c r="F13686" s="626"/>
    </row>
    <row r="13687" spans="1:6">
      <c r="A13687" t="str">
        <f t="shared" si="213"/>
        <v/>
      </c>
      <c r="E13687" s="626"/>
      <c r="F13687" s="626"/>
    </row>
    <row r="13688" spans="1:6">
      <c r="A13688" t="str">
        <f t="shared" si="213"/>
        <v/>
      </c>
      <c r="E13688" s="626"/>
      <c r="F13688" s="626"/>
    </row>
    <row r="13689" spans="1:6">
      <c r="A13689" t="str">
        <f t="shared" si="213"/>
        <v/>
      </c>
      <c r="E13689" s="626"/>
      <c r="F13689" s="626"/>
    </row>
    <row r="13690" spans="1:6">
      <c r="A13690" t="str">
        <f t="shared" si="213"/>
        <v/>
      </c>
      <c r="E13690" s="626"/>
      <c r="F13690" s="626"/>
    </row>
    <row r="13691" spans="1:6">
      <c r="A13691" t="str">
        <f t="shared" si="213"/>
        <v/>
      </c>
      <c r="E13691" s="626"/>
      <c r="F13691" s="626"/>
    </row>
    <row r="13692" spans="1:6">
      <c r="A13692" t="str">
        <f t="shared" si="213"/>
        <v/>
      </c>
      <c r="E13692" s="626"/>
      <c r="F13692" s="626"/>
    </row>
    <row r="13693" spans="1:6">
      <c r="A13693" t="str">
        <f t="shared" si="213"/>
        <v/>
      </c>
      <c r="E13693" s="626"/>
      <c r="F13693" s="626"/>
    </row>
    <row r="13694" spans="1:6">
      <c r="A13694" t="str">
        <f t="shared" si="213"/>
        <v/>
      </c>
      <c r="E13694" s="626"/>
      <c r="F13694" s="626"/>
    </row>
    <row r="13695" spans="1:6">
      <c r="A13695" t="str">
        <f t="shared" si="213"/>
        <v/>
      </c>
      <c r="E13695" s="626"/>
      <c r="F13695" s="626"/>
    </row>
    <row r="13696" spans="1:6">
      <c r="A13696" t="str">
        <f t="shared" si="213"/>
        <v/>
      </c>
      <c r="E13696" s="626"/>
      <c r="F13696" s="626"/>
    </row>
    <row r="13697" spans="1:6">
      <c r="A13697" t="str">
        <f t="shared" si="213"/>
        <v/>
      </c>
      <c r="E13697" s="626"/>
      <c r="F13697" s="626"/>
    </row>
    <row r="13698" spans="1:6">
      <c r="A13698" t="str">
        <f t="shared" ref="A13698:A13761" si="214">B13698&amp;E13698&amp;J13698</f>
        <v/>
      </c>
      <c r="E13698" s="626"/>
      <c r="F13698" s="626"/>
    </row>
    <row r="13699" spans="1:6">
      <c r="A13699" t="str">
        <f t="shared" si="214"/>
        <v/>
      </c>
      <c r="E13699" s="626"/>
      <c r="F13699" s="626"/>
    </row>
    <row r="13700" spans="1:6">
      <c r="A13700" t="str">
        <f t="shared" si="214"/>
        <v/>
      </c>
      <c r="E13700" s="626"/>
      <c r="F13700" s="626"/>
    </row>
    <row r="13701" spans="1:6">
      <c r="A13701" t="str">
        <f t="shared" si="214"/>
        <v/>
      </c>
      <c r="E13701" s="626"/>
      <c r="F13701" s="626"/>
    </row>
    <row r="13702" spans="1:6">
      <c r="A13702" t="str">
        <f t="shared" si="214"/>
        <v/>
      </c>
      <c r="E13702" s="626"/>
      <c r="F13702" s="626"/>
    </row>
    <row r="13703" spans="1:6">
      <c r="A13703" t="str">
        <f t="shared" si="214"/>
        <v/>
      </c>
      <c r="E13703" s="626"/>
      <c r="F13703" s="626"/>
    </row>
    <row r="13704" spans="1:6">
      <c r="A13704" t="str">
        <f t="shared" si="214"/>
        <v/>
      </c>
      <c r="E13704" s="626"/>
      <c r="F13704" s="626"/>
    </row>
    <row r="13705" spans="1:6">
      <c r="A13705" t="str">
        <f t="shared" si="214"/>
        <v/>
      </c>
      <c r="E13705" s="626"/>
      <c r="F13705" s="626"/>
    </row>
    <row r="13706" spans="1:6">
      <c r="A13706" t="str">
        <f t="shared" si="214"/>
        <v/>
      </c>
      <c r="E13706" s="626"/>
      <c r="F13706" s="626"/>
    </row>
    <row r="13707" spans="1:6">
      <c r="A13707" t="str">
        <f t="shared" si="214"/>
        <v/>
      </c>
      <c r="E13707" s="626"/>
      <c r="F13707" s="626"/>
    </row>
    <row r="13708" spans="1:6">
      <c r="A13708" t="str">
        <f t="shared" si="214"/>
        <v/>
      </c>
      <c r="E13708" s="626"/>
      <c r="F13708" s="626"/>
    </row>
    <row r="13709" spans="1:6">
      <c r="A13709" t="str">
        <f t="shared" si="214"/>
        <v/>
      </c>
      <c r="E13709" s="626"/>
      <c r="F13709" s="626"/>
    </row>
    <row r="13710" spans="1:6">
      <c r="A13710" t="str">
        <f t="shared" si="214"/>
        <v/>
      </c>
      <c r="E13710" s="626"/>
      <c r="F13710" s="626"/>
    </row>
    <row r="13711" spans="1:6">
      <c r="A13711" t="str">
        <f t="shared" si="214"/>
        <v/>
      </c>
      <c r="E13711" s="626"/>
      <c r="F13711" s="626"/>
    </row>
    <row r="13712" spans="1:6">
      <c r="A13712" t="str">
        <f t="shared" si="214"/>
        <v/>
      </c>
      <c r="E13712" s="626"/>
      <c r="F13712" s="626"/>
    </row>
    <row r="13713" spans="1:6">
      <c r="A13713" t="str">
        <f t="shared" si="214"/>
        <v/>
      </c>
      <c r="E13713" s="626"/>
      <c r="F13713" s="626"/>
    </row>
    <row r="13714" spans="1:6">
      <c r="A13714" t="str">
        <f t="shared" si="214"/>
        <v/>
      </c>
      <c r="E13714" s="626"/>
      <c r="F13714" s="626"/>
    </row>
    <row r="13715" spans="1:6">
      <c r="A13715" t="str">
        <f t="shared" si="214"/>
        <v/>
      </c>
      <c r="E13715" s="626"/>
      <c r="F13715" s="626"/>
    </row>
    <row r="13716" spans="1:6">
      <c r="A13716" t="str">
        <f t="shared" si="214"/>
        <v/>
      </c>
      <c r="E13716" s="626"/>
      <c r="F13716" s="626"/>
    </row>
    <row r="13717" spans="1:6">
      <c r="A13717" t="str">
        <f t="shared" si="214"/>
        <v/>
      </c>
      <c r="E13717" s="626"/>
      <c r="F13717" s="626"/>
    </row>
    <row r="13718" spans="1:6">
      <c r="A13718" t="str">
        <f t="shared" si="214"/>
        <v/>
      </c>
      <c r="E13718" s="626"/>
      <c r="F13718" s="626"/>
    </row>
    <row r="13719" spans="1:6">
      <c r="A13719" t="str">
        <f t="shared" si="214"/>
        <v/>
      </c>
      <c r="E13719" s="626"/>
      <c r="F13719" s="626"/>
    </row>
    <row r="13720" spans="1:6">
      <c r="A13720" t="str">
        <f t="shared" si="214"/>
        <v/>
      </c>
      <c r="E13720" s="626"/>
      <c r="F13720" s="626"/>
    </row>
    <row r="13721" spans="1:6">
      <c r="A13721" t="str">
        <f t="shared" si="214"/>
        <v/>
      </c>
      <c r="E13721" s="626"/>
      <c r="F13721" s="626"/>
    </row>
    <row r="13722" spans="1:6">
      <c r="A13722" t="str">
        <f t="shared" si="214"/>
        <v/>
      </c>
      <c r="E13722" s="626"/>
      <c r="F13722" s="626"/>
    </row>
    <row r="13723" spans="1:6">
      <c r="A13723" t="str">
        <f t="shared" si="214"/>
        <v/>
      </c>
      <c r="E13723" s="626"/>
      <c r="F13723" s="626"/>
    </row>
    <row r="13724" spans="1:6">
      <c r="A13724" t="str">
        <f t="shared" si="214"/>
        <v/>
      </c>
      <c r="E13724" s="626"/>
      <c r="F13724" s="626"/>
    </row>
    <row r="13725" spans="1:6">
      <c r="A13725" t="str">
        <f t="shared" si="214"/>
        <v/>
      </c>
      <c r="E13725" s="626"/>
      <c r="F13725" s="626"/>
    </row>
    <row r="13726" spans="1:6">
      <c r="A13726" t="str">
        <f t="shared" si="214"/>
        <v/>
      </c>
      <c r="E13726" s="626"/>
      <c r="F13726" s="626"/>
    </row>
    <row r="13727" spans="1:6">
      <c r="A13727" t="str">
        <f t="shared" si="214"/>
        <v/>
      </c>
      <c r="E13727" s="626"/>
      <c r="F13727" s="626"/>
    </row>
    <row r="13728" spans="1:6">
      <c r="A13728" t="str">
        <f t="shared" si="214"/>
        <v/>
      </c>
      <c r="E13728" s="626"/>
      <c r="F13728" s="626"/>
    </row>
    <row r="13729" spans="1:6">
      <c r="A13729" t="str">
        <f t="shared" si="214"/>
        <v/>
      </c>
      <c r="E13729" s="626"/>
      <c r="F13729" s="626"/>
    </row>
    <row r="13730" spans="1:6">
      <c r="A13730" t="str">
        <f t="shared" si="214"/>
        <v/>
      </c>
      <c r="E13730" s="626"/>
      <c r="F13730" s="626"/>
    </row>
    <row r="13731" spans="1:6">
      <c r="A13731" t="str">
        <f t="shared" si="214"/>
        <v/>
      </c>
      <c r="E13731" s="626"/>
      <c r="F13731" s="626"/>
    </row>
    <row r="13732" spans="1:6">
      <c r="A13732" t="str">
        <f t="shared" si="214"/>
        <v/>
      </c>
      <c r="E13732" s="626"/>
      <c r="F13732" s="626"/>
    </row>
    <row r="13733" spans="1:6">
      <c r="A13733" t="str">
        <f t="shared" si="214"/>
        <v/>
      </c>
      <c r="E13733" s="626"/>
      <c r="F13733" s="626"/>
    </row>
    <row r="13734" spans="1:6">
      <c r="A13734" t="str">
        <f t="shared" si="214"/>
        <v/>
      </c>
      <c r="E13734" s="626"/>
      <c r="F13734" s="626"/>
    </row>
    <row r="13735" spans="1:6">
      <c r="A13735" t="str">
        <f t="shared" si="214"/>
        <v/>
      </c>
      <c r="E13735" s="626"/>
      <c r="F13735" s="626"/>
    </row>
    <row r="13736" spans="1:6">
      <c r="A13736" t="str">
        <f t="shared" si="214"/>
        <v/>
      </c>
      <c r="E13736" s="626"/>
      <c r="F13736" s="626"/>
    </row>
    <row r="13737" spans="1:6">
      <c r="A13737" t="str">
        <f t="shared" si="214"/>
        <v/>
      </c>
      <c r="E13737" s="626"/>
      <c r="F13737" s="626"/>
    </row>
    <row r="13738" spans="1:6">
      <c r="A13738" t="str">
        <f t="shared" si="214"/>
        <v/>
      </c>
      <c r="E13738" s="626"/>
      <c r="F13738" s="626"/>
    </row>
    <row r="13739" spans="1:6">
      <c r="A13739" t="str">
        <f t="shared" si="214"/>
        <v/>
      </c>
      <c r="E13739" s="626"/>
      <c r="F13739" s="626"/>
    </row>
    <row r="13740" spans="1:6">
      <c r="A13740" t="str">
        <f t="shared" si="214"/>
        <v/>
      </c>
      <c r="E13740" s="626"/>
      <c r="F13740" s="626"/>
    </row>
    <row r="13741" spans="1:6">
      <c r="A13741" t="str">
        <f t="shared" si="214"/>
        <v/>
      </c>
      <c r="E13741" s="626"/>
      <c r="F13741" s="626"/>
    </row>
    <row r="13742" spans="1:6">
      <c r="A13742" t="str">
        <f t="shared" si="214"/>
        <v/>
      </c>
      <c r="E13742" s="626"/>
      <c r="F13742" s="626"/>
    </row>
    <row r="13743" spans="1:6">
      <c r="A13743" t="str">
        <f t="shared" si="214"/>
        <v/>
      </c>
      <c r="E13743" s="626"/>
      <c r="F13743" s="626"/>
    </row>
    <row r="13744" spans="1:6">
      <c r="A13744" t="str">
        <f t="shared" si="214"/>
        <v/>
      </c>
      <c r="E13744" s="626"/>
      <c r="F13744" s="626"/>
    </row>
    <row r="13745" spans="1:6">
      <c r="A13745" t="str">
        <f t="shared" si="214"/>
        <v/>
      </c>
      <c r="E13745" s="626"/>
      <c r="F13745" s="626"/>
    </row>
    <row r="13746" spans="1:6">
      <c r="A13746" t="str">
        <f t="shared" si="214"/>
        <v/>
      </c>
      <c r="E13746" s="626"/>
      <c r="F13746" s="626"/>
    </row>
    <row r="13747" spans="1:6">
      <c r="A13747" t="str">
        <f t="shared" si="214"/>
        <v/>
      </c>
      <c r="E13747" s="626"/>
      <c r="F13747" s="626"/>
    </row>
    <row r="13748" spans="1:6">
      <c r="A13748" t="str">
        <f t="shared" si="214"/>
        <v/>
      </c>
      <c r="E13748" s="626"/>
      <c r="F13748" s="626"/>
    </row>
    <row r="13749" spans="1:6">
      <c r="A13749" t="str">
        <f t="shared" si="214"/>
        <v/>
      </c>
      <c r="E13749" s="626"/>
      <c r="F13749" s="626"/>
    </row>
    <row r="13750" spans="1:6">
      <c r="A13750" t="str">
        <f t="shared" si="214"/>
        <v/>
      </c>
      <c r="E13750" s="626"/>
      <c r="F13750" s="626"/>
    </row>
    <row r="13751" spans="1:6">
      <c r="A13751" t="str">
        <f t="shared" si="214"/>
        <v/>
      </c>
      <c r="E13751" s="626"/>
      <c r="F13751" s="626"/>
    </row>
    <row r="13752" spans="1:6">
      <c r="A13752" t="str">
        <f t="shared" si="214"/>
        <v/>
      </c>
      <c r="E13752" s="626"/>
      <c r="F13752" s="626"/>
    </row>
    <row r="13753" spans="1:6">
      <c r="A13753" t="str">
        <f t="shared" si="214"/>
        <v/>
      </c>
      <c r="E13753" s="626"/>
      <c r="F13753" s="626"/>
    </row>
    <row r="13754" spans="1:6">
      <c r="A13754" t="str">
        <f t="shared" si="214"/>
        <v/>
      </c>
      <c r="E13754" s="626"/>
      <c r="F13754" s="626"/>
    </row>
    <row r="13755" spans="1:6">
      <c r="A13755" t="str">
        <f t="shared" si="214"/>
        <v/>
      </c>
      <c r="E13755" s="626"/>
      <c r="F13755" s="626"/>
    </row>
    <row r="13756" spans="1:6">
      <c r="A13756" t="str">
        <f t="shared" si="214"/>
        <v/>
      </c>
      <c r="E13756" s="626"/>
      <c r="F13756" s="626"/>
    </row>
    <row r="13757" spans="1:6">
      <c r="A13757" t="str">
        <f t="shared" si="214"/>
        <v/>
      </c>
      <c r="E13757" s="626"/>
      <c r="F13757" s="626"/>
    </row>
    <row r="13758" spans="1:6">
      <c r="A13758" t="str">
        <f t="shared" si="214"/>
        <v/>
      </c>
      <c r="E13758" s="626"/>
      <c r="F13758" s="626"/>
    </row>
    <row r="13759" spans="1:6">
      <c r="A13759" t="str">
        <f t="shared" si="214"/>
        <v/>
      </c>
      <c r="E13759" s="626"/>
      <c r="F13759" s="626"/>
    </row>
    <row r="13760" spans="1:6">
      <c r="A13760" t="str">
        <f t="shared" si="214"/>
        <v/>
      </c>
      <c r="E13760" s="626"/>
      <c r="F13760" s="626"/>
    </row>
    <row r="13761" spans="1:6">
      <c r="A13761" t="str">
        <f t="shared" si="214"/>
        <v/>
      </c>
      <c r="E13761" s="626"/>
      <c r="F13761" s="626"/>
    </row>
    <row r="13762" spans="1:6">
      <c r="A13762" t="str">
        <f t="shared" ref="A13762:A13825" si="215">B13762&amp;E13762&amp;J13762</f>
        <v/>
      </c>
      <c r="E13762" s="626"/>
      <c r="F13762" s="626"/>
    </row>
    <row r="13763" spans="1:6">
      <c r="A13763" t="str">
        <f t="shared" si="215"/>
        <v/>
      </c>
      <c r="E13763" s="626"/>
      <c r="F13763" s="626"/>
    </row>
    <row r="13764" spans="1:6">
      <c r="A13764" t="str">
        <f t="shared" si="215"/>
        <v/>
      </c>
      <c r="E13764" s="626"/>
      <c r="F13764" s="626"/>
    </row>
    <row r="13765" spans="1:6">
      <c r="A13765" t="str">
        <f t="shared" si="215"/>
        <v/>
      </c>
      <c r="E13765" s="626"/>
      <c r="F13765" s="626"/>
    </row>
    <row r="13766" spans="1:6">
      <c r="A13766" t="str">
        <f t="shared" si="215"/>
        <v/>
      </c>
      <c r="E13766" s="626"/>
      <c r="F13766" s="626"/>
    </row>
    <row r="13767" spans="1:6">
      <c r="A13767" t="str">
        <f t="shared" si="215"/>
        <v/>
      </c>
      <c r="E13767" s="626"/>
      <c r="F13767" s="626"/>
    </row>
    <row r="13768" spans="1:6">
      <c r="A13768" t="str">
        <f t="shared" si="215"/>
        <v/>
      </c>
      <c r="E13768" s="626"/>
      <c r="F13768" s="626"/>
    </row>
    <row r="13769" spans="1:6">
      <c r="A13769" t="str">
        <f t="shared" si="215"/>
        <v/>
      </c>
      <c r="E13769" s="626"/>
      <c r="F13769" s="626"/>
    </row>
    <row r="13770" spans="1:6">
      <c r="A13770" t="str">
        <f t="shared" si="215"/>
        <v/>
      </c>
      <c r="E13770" s="626"/>
      <c r="F13770" s="626"/>
    </row>
    <row r="13771" spans="1:6">
      <c r="A13771" t="str">
        <f t="shared" si="215"/>
        <v/>
      </c>
      <c r="E13771" s="626"/>
      <c r="F13771" s="626"/>
    </row>
    <row r="13772" spans="1:6">
      <c r="A13772" t="str">
        <f t="shared" si="215"/>
        <v/>
      </c>
      <c r="E13772" s="626"/>
      <c r="F13772" s="626"/>
    </row>
    <row r="13773" spans="1:6">
      <c r="A13773" t="str">
        <f t="shared" si="215"/>
        <v/>
      </c>
      <c r="E13773" s="626"/>
      <c r="F13773" s="626"/>
    </row>
    <row r="13774" spans="1:6">
      <c r="A13774" t="str">
        <f t="shared" si="215"/>
        <v/>
      </c>
      <c r="E13774" s="626"/>
      <c r="F13774" s="626"/>
    </row>
    <row r="13775" spans="1:6">
      <c r="A13775" t="str">
        <f t="shared" si="215"/>
        <v/>
      </c>
      <c r="E13775" s="626"/>
      <c r="F13775" s="626"/>
    </row>
    <row r="13776" spans="1:6">
      <c r="A13776" t="str">
        <f t="shared" si="215"/>
        <v/>
      </c>
      <c r="E13776" s="626"/>
      <c r="F13776" s="626"/>
    </row>
    <row r="13777" spans="1:6">
      <c r="A13777" t="str">
        <f t="shared" si="215"/>
        <v/>
      </c>
      <c r="E13777" s="626"/>
      <c r="F13777" s="626"/>
    </row>
    <row r="13778" spans="1:6">
      <c r="A13778" t="str">
        <f t="shared" si="215"/>
        <v/>
      </c>
      <c r="E13778" s="626"/>
      <c r="F13778" s="626"/>
    </row>
    <row r="13779" spans="1:6">
      <c r="A13779" t="str">
        <f t="shared" si="215"/>
        <v/>
      </c>
      <c r="E13779" s="626"/>
      <c r="F13779" s="626"/>
    </row>
    <row r="13780" spans="1:6">
      <c r="A13780" t="str">
        <f t="shared" si="215"/>
        <v/>
      </c>
      <c r="E13780" s="626"/>
      <c r="F13780" s="626"/>
    </row>
    <row r="13781" spans="1:6">
      <c r="A13781" t="str">
        <f t="shared" si="215"/>
        <v/>
      </c>
      <c r="E13781" s="626"/>
      <c r="F13781" s="626"/>
    </row>
    <row r="13782" spans="1:6">
      <c r="A13782" t="str">
        <f t="shared" si="215"/>
        <v/>
      </c>
      <c r="E13782" s="626"/>
      <c r="F13782" s="626"/>
    </row>
    <row r="13783" spans="1:6">
      <c r="A13783" t="str">
        <f t="shared" si="215"/>
        <v/>
      </c>
      <c r="E13783" s="626"/>
      <c r="F13783" s="626"/>
    </row>
    <row r="13784" spans="1:6">
      <c r="A13784" t="str">
        <f t="shared" si="215"/>
        <v/>
      </c>
      <c r="E13784" s="626"/>
      <c r="F13784" s="626"/>
    </row>
    <row r="13785" spans="1:6">
      <c r="A13785" t="str">
        <f t="shared" si="215"/>
        <v/>
      </c>
      <c r="E13785" s="626"/>
      <c r="F13785" s="626"/>
    </row>
    <row r="13786" spans="1:6">
      <c r="A13786" t="str">
        <f t="shared" si="215"/>
        <v/>
      </c>
      <c r="E13786" s="626"/>
      <c r="F13786" s="626"/>
    </row>
    <row r="13787" spans="1:6">
      <c r="A13787" t="str">
        <f t="shared" si="215"/>
        <v/>
      </c>
      <c r="E13787" s="626"/>
      <c r="F13787" s="626"/>
    </row>
    <row r="13788" spans="1:6">
      <c r="A13788" t="str">
        <f t="shared" si="215"/>
        <v/>
      </c>
      <c r="E13788" s="626"/>
      <c r="F13788" s="626"/>
    </row>
    <row r="13789" spans="1:6">
      <c r="A13789" t="str">
        <f t="shared" si="215"/>
        <v/>
      </c>
      <c r="E13789" s="626"/>
      <c r="F13789" s="626"/>
    </row>
    <row r="13790" spans="1:6">
      <c r="A13790" t="str">
        <f t="shared" si="215"/>
        <v/>
      </c>
      <c r="E13790" s="626"/>
      <c r="F13790" s="626"/>
    </row>
    <row r="13791" spans="1:6">
      <c r="A13791" t="str">
        <f t="shared" si="215"/>
        <v/>
      </c>
      <c r="E13791" s="626"/>
      <c r="F13791" s="626"/>
    </row>
    <row r="13792" spans="1:6">
      <c r="A13792" t="str">
        <f t="shared" si="215"/>
        <v/>
      </c>
      <c r="E13792" s="626"/>
      <c r="F13792" s="626"/>
    </row>
    <row r="13793" spans="1:6">
      <c r="A13793" t="str">
        <f t="shared" si="215"/>
        <v/>
      </c>
      <c r="E13793" s="626"/>
      <c r="F13793" s="626"/>
    </row>
    <row r="13794" spans="1:6">
      <c r="A13794" t="str">
        <f t="shared" si="215"/>
        <v/>
      </c>
      <c r="E13794" s="626"/>
      <c r="F13794" s="626"/>
    </row>
    <row r="13795" spans="1:6">
      <c r="A13795" t="str">
        <f t="shared" si="215"/>
        <v/>
      </c>
      <c r="E13795" s="626"/>
      <c r="F13795" s="626"/>
    </row>
    <row r="13796" spans="1:6">
      <c r="A13796" t="str">
        <f t="shared" si="215"/>
        <v/>
      </c>
      <c r="E13796" s="626"/>
      <c r="F13796" s="626"/>
    </row>
    <row r="13797" spans="1:6">
      <c r="A13797" t="str">
        <f t="shared" si="215"/>
        <v/>
      </c>
      <c r="E13797" s="626"/>
      <c r="F13797" s="626"/>
    </row>
    <row r="13798" spans="1:6">
      <c r="A13798" t="str">
        <f t="shared" si="215"/>
        <v/>
      </c>
      <c r="E13798" s="626"/>
      <c r="F13798" s="626"/>
    </row>
    <row r="13799" spans="1:6">
      <c r="A13799" t="str">
        <f t="shared" si="215"/>
        <v/>
      </c>
      <c r="E13799" s="626"/>
      <c r="F13799" s="626"/>
    </row>
    <row r="13800" spans="1:6">
      <c r="A13800" t="str">
        <f t="shared" si="215"/>
        <v/>
      </c>
      <c r="E13800" s="626"/>
      <c r="F13800" s="626"/>
    </row>
    <row r="13801" spans="1:6">
      <c r="A13801" t="str">
        <f t="shared" si="215"/>
        <v/>
      </c>
      <c r="E13801" s="626"/>
      <c r="F13801" s="626"/>
    </row>
    <row r="13802" spans="1:6">
      <c r="A13802" t="str">
        <f t="shared" si="215"/>
        <v/>
      </c>
      <c r="E13802" s="626"/>
      <c r="F13802" s="626"/>
    </row>
    <row r="13803" spans="1:6">
      <c r="A13803" t="str">
        <f t="shared" si="215"/>
        <v/>
      </c>
      <c r="E13803" s="626"/>
      <c r="F13803" s="626"/>
    </row>
    <row r="13804" spans="1:6">
      <c r="A13804" t="str">
        <f t="shared" si="215"/>
        <v/>
      </c>
      <c r="E13804" s="626"/>
      <c r="F13804" s="626"/>
    </row>
    <row r="13805" spans="1:6">
      <c r="A13805" t="str">
        <f t="shared" si="215"/>
        <v/>
      </c>
      <c r="E13805" s="626"/>
      <c r="F13805" s="626"/>
    </row>
    <row r="13806" spans="1:6">
      <c r="A13806" t="str">
        <f t="shared" si="215"/>
        <v/>
      </c>
      <c r="E13806" s="626"/>
      <c r="F13806" s="626"/>
    </row>
    <row r="13807" spans="1:6">
      <c r="A13807" t="str">
        <f t="shared" si="215"/>
        <v/>
      </c>
      <c r="E13807" s="626"/>
      <c r="F13807" s="626"/>
    </row>
    <row r="13808" spans="1:6">
      <c r="A13808" t="str">
        <f t="shared" si="215"/>
        <v/>
      </c>
      <c r="E13808" s="626"/>
      <c r="F13808" s="626"/>
    </row>
    <row r="13809" spans="1:6">
      <c r="A13809" t="str">
        <f t="shared" si="215"/>
        <v/>
      </c>
      <c r="E13809" s="626"/>
      <c r="F13809" s="626"/>
    </row>
    <row r="13810" spans="1:6">
      <c r="A13810" t="str">
        <f t="shared" si="215"/>
        <v/>
      </c>
      <c r="E13810" s="626"/>
      <c r="F13810" s="626"/>
    </row>
    <row r="13811" spans="1:6">
      <c r="A13811" t="str">
        <f t="shared" si="215"/>
        <v/>
      </c>
      <c r="E13811" s="626"/>
      <c r="F13811" s="626"/>
    </row>
    <row r="13812" spans="1:6">
      <c r="A13812" t="str">
        <f t="shared" si="215"/>
        <v/>
      </c>
      <c r="E13812" s="626"/>
      <c r="F13812" s="626"/>
    </row>
    <row r="13813" spans="1:6">
      <c r="A13813" t="str">
        <f t="shared" si="215"/>
        <v/>
      </c>
      <c r="E13813" s="626"/>
      <c r="F13813" s="626"/>
    </row>
    <row r="13814" spans="1:6">
      <c r="A13814" t="str">
        <f t="shared" si="215"/>
        <v/>
      </c>
      <c r="E13814" s="626"/>
      <c r="F13814" s="626"/>
    </row>
    <row r="13815" spans="1:6">
      <c r="A13815" t="str">
        <f t="shared" si="215"/>
        <v/>
      </c>
      <c r="E13815" s="626"/>
      <c r="F13815" s="626"/>
    </row>
    <row r="13816" spans="1:6">
      <c r="A13816" t="str">
        <f t="shared" si="215"/>
        <v/>
      </c>
      <c r="E13816" s="626"/>
      <c r="F13816" s="626"/>
    </row>
    <row r="13817" spans="1:6">
      <c r="A13817" t="str">
        <f t="shared" si="215"/>
        <v/>
      </c>
      <c r="E13817" s="626"/>
      <c r="F13817" s="626"/>
    </row>
    <row r="13818" spans="1:6">
      <c r="A13818" t="str">
        <f t="shared" si="215"/>
        <v/>
      </c>
      <c r="E13818" s="626"/>
      <c r="F13818" s="626"/>
    </row>
    <row r="13819" spans="1:6">
      <c r="A13819" t="str">
        <f t="shared" si="215"/>
        <v/>
      </c>
      <c r="E13819" s="626"/>
      <c r="F13819" s="626"/>
    </row>
    <row r="13820" spans="1:6">
      <c r="A13820" t="str">
        <f t="shared" si="215"/>
        <v/>
      </c>
      <c r="E13820" s="626"/>
      <c r="F13820" s="626"/>
    </row>
    <row r="13821" spans="1:6">
      <c r="A13821" t="str">
        <f t="shared" si="215"/>
        <v/>
      </c>
      <c r="E13821" s="626"/>
      <c r="F13821" s="626"/>
    </row>
    <row r="13822" spans="1:6">
      <c r="A13822" t="str">
        <f t="shared" si="215"/>
        <v/>
      </c>
      <c r="E13822" s="626"/>
      <c r="F13822" s="626"/>
    </row>
    <row r="13823" spans="1:6">
      <c r="A13823" t="str">
        <f t="shared" si="215"/>
        <v/>
      </c>
      <c r="E13823" s="626"/>
      <c r="F13823" s="626"/>
    </row>
    <row r="13824" spans="1:6">
      <c r="A13824" t="str">
        <f t="shared" si="215"/>
        <v/>
      </c>
      <c r="E13824" s="626"/>
      <c r="F13824" s="626"/>
    </row>
    <row r="13825" spans="1:6">
      <c r="A13825" t="str">
        <f t="shared" si="215"/>
        <v/>
      </c>
      <c r="E13825" s="626"/>
      <c r="F13825" s="626"/>
    </row>
    <row r="13826" spans="1:6">
      <c r="A13826" t="str">
        <f t="shared" ref="A13826:A13889" si="216">B13826&amp;E13826&amp;J13826</f>
        <v/>
      </c>
      <c r="E13826" s="626"/>
      <c r="F13826" s="626"/>
    </row>
    <row r="13827" spans="1:6">
      <c r="A13827" t="str">
        <f t="shared" si="216"/>
        <v/>
      </c>
      <c r="E13827" s="626"/>
      <c r="F13827" s="626"/>
    </row>
    <row r="13828" spans="1:6">
      <c r="A13828" t="str">
        <f t="shared" si="216"/>
        <v/>
      </c>
      <c r="E13828" s="626"/>
      <c r="F13828" s="626"/>
    </row>
    <row r="13829" spans="1:6">
      <c r="A13829" t="str">
        <f t="shared" si="216"/>
        <v/>
      </c>
      <c r="E13829" s="626"/>
      <c r="F13829" s="626"/>
    </row>
    <row r="13830" spans="1:6">
      <c r="A13830" t="str">
        <f t="shared" si="216"/>
        <v/>
      </c>
      <c r="E13830" s="626"/>
      <c r="F13830" s="626"/>
    </row>
    <row r="13831" spans="1:6">
      <c r="A13831" t="str">
        <f t="shared" si="216"/>
        <v/>
      </c>
      <c r="E13831" s="626"/>
      <c r="F13831" s="626"/>
    </row>
    <row r="13832" spans="1:6">
      <c r="A13832" t="str">
        <f t="shared" si="216"/>
        <v/>
      </c>
      <c r="E13832" s="626"/>
      <c r="F13832" s="626"/>
    </row>
    <row r="13833" spans="1:6">
      <c r="A13833" t="str">
        <f t="shared" si="216"/>
        <v/>
      </c>
      <c r="E13833" s="626"/>
      <c r="F13833" s="626"/>
    </row>
    <row r="13834" spans="1:6">
      <c r="A13834" t="str">
        <f t="shared" si="216"/>
        <v/>
      </c>
      <c r="E13834" s="626"/>
      <c r="F13834" s="626"/>
    </row>
    <row r="13835" spans="1:6">
      <c r="A13835" t="str">
        <f t="shared" si="216"/>
        <v/>
      </c>
      <c r="E13835" s="626"/>
      <c r="F13835" s="626"/>
    </row>
    <row r="13836" spans="1:6">
      <c r="A13836" t="str">
        <f t="shared" si="216"/>
        <v/>
      </c>
      <c r="E13836" s="626"/>
      <c r="F13836" s="626"/>
    </row>
    <row r="13837" spans="1:6">
      <c r="A13837" t="str">
        <f t="shared" si="216"/>
        <v/>
      </c>
      <c r="E13837" s="626"/>
      <c r="F13837" s="626"/>
    </row>
    <row r="13838" spans="1:6">
      <c r="A13838" t="str">
        <f t="shared" si="216"/>
        <v/>
      </c>
      <c r="E13838" s="626"/>
      <c r="F13838" s="626"/>
    </row>
    <row r="13839" spans="1:6">
      <c r="A13839" t="str">
        <f t="shared" si="216"/>
        <v/>
      </c>
      <c r="E13839" s="626"/>
      <c r="F13839" s="626"/>
    </row>
    <row r="13840" spans="1:6">
      <c r="A13840" t="str">
        <f t="shared" si="216"/>
        <v/>
      </c>
      <c r="E13840" s="626"/>
      <c r="F13840" s="626"/>
    </row>
    <row r="13841" spans="1:6">
      <c r="A13841" t="str">
        <f t="shared" si="216"/>
        <v/>
      </c>
      <c r="E13841" s="626"/>
      <c r="F13841" s="626"/>
    </row>
    <row r="13842" spans="1:6">
      <c r="A13842" t="str">
        <f t="shared" si="216"/>
        <v/>
      </c>
      <c r="E13842" s="626"/>
      <c r="F13842" s="626"/>
    </row>
    <row r="13843" spans="1:6">
      <c r="A13843" t="str">
        <f t="shared" si="216"/>
        <v/>
      </c>
      <c r="E13843" s="626"/>
      <c r="F13843" s="626"/>
    </row>
    <row r="13844" spans="1:6">
      <c r="A13844" t="str">
        <f t="shared" si="216"/>
        <v/>
      </c>
      <c r="E13844" s="626"/>
      <c r="F13844" s="626"/>
    </row>
    <row r="13845" spans="1:6">
      <c r="A13845" t="str">
        <f t="shared" si="216"/>
        <v/>
      </c>
      <c r="E13845" s="626"/>
      <c r="F13845" s="626"/>
    </row>
    <row r="13846" spans="1:6">
      <c r="A13846" t="str">
        <f t="shared" si="216"/>
        <v/>
      </c>
      <c r="E13846" s="626"/>
      <c r="F13846" s="626"/>
    </row>
    <row r="13847" spans="1:6">
      <c r="A13847" t="str">
        <f t="shared" si="216"/>
        <v/>
      </c>
      <c r="E13847" s="626"/>
      <c r="F13847" s="626"/>
    </row>
    <row r="13848" spans="1:6">
      <c r="A13848" t="str">
        <f t="shared" si="216"/>
        <v/>
      </c>
      <c r="E13848" s="626"/>
      <c r="F13848" s="626"/>
    </row>
    <row r="13849" spans="1:6">
      <c r="A13849" t="str">
        <f t="shared" si="216"/>
        <v/>
      </c>
      <c r="E13849" s="626"/>
      <c r="F13849" s="626"/>
    </row>
    <row r="13850" spans="1:6">
      <c r="A13850" t="str">
        <f t="shared" si="216"/>
        <v/>
      </c>
      <c r="E13850" s="626"/>
      <c r="F13850" s="626"/>
    </row>
    <row r="13851" spans="1:6">
      <c r="A13851" t="str">
        <f t="shared" si="216"/>
        <v/>
      </c>
      <c r="E13851" s="626"/>
      <c r="F13851" s="626"/>
    </row>
    <row r="13852" spans="1:6">
      <c r="A13852" t="str">
        <f t="shared" si="216"/>
        <v/>
      </c>
      <c r="E13852" s="626"/>
      <c r="F13852" s="626"/>
    </row>
    <row r="13853" spans="1:6">
      <c r="A13853" t="str">
        <f t="shared" si="216"/>
        <v/>
      </c>
      <c r="E13853" s="626"/>
      <c r="F13853" s="626"/>
    </row>
    <row r="13854" spans="1:6">
      <c r="A13854" t="str">
        <f t="shared" si="216"/>
        <v/>
      </c>
      <c r="E13854" s="626"/>
      <c r="F13854" s="626"/>
    </row>
    <row r="13855" spans="1:6">
      <c r="A13855" t="str">
        <f t="shared" si="216"/>
        <v/>
      </c>
      <c r="E13855" s="626"/>
      <c r="F13855" s="626"/>
    </row>
    <row r="13856" spans="1:6">
      <c r="A13856" t="str">
        <f t="shared" si="216"/>
        <v/>
      </c>
      <c r="E13856" s="626"/>
      <c r="F13856" s="626"/>
    </row>
    <row r="13857" spans="1:6">
      <c r="A13857" t="str">
        <f t="shared" si="216"/>
        <v/>
      </c>
      <c r="E13857" s="626"/>
      <c r="F13857" s="626"/>
    </row>
    <row r="13858" spans="1:6">
      <c r="A13858" t="str">
        <f t="shared" si="216"/>
        <v/>
      </c>
      <c r="E13858" s="626"/>
      <c r="F13858" s="626"/>
    </row>
    <row r="13859" spans="1:6">
      <c r="A13859" t="str">
        <f t="shared" si="216"/>
        <v/>
      </c>
      <c r="E13859" s="626"/>
      <c r="F13859" s="626"/>
    </row>
    <row r="13860" spans="1:6">
      <c r="A13860" t="str">
        <f t="shared" si="216"/>
        <v/>
      </c>
      <c r="E13860" s="626"/>
      <c r="F13860" s="626"/>
    </row>
    <row r="13861" spans="1:6">
      <c r="A13861" t="str">
        <f t="shared" si="216"/>
        <v/>
      </c>
      <c r="E13861" s="626"/>
      <c r="F13861" s="626"/>
    </row>
    <row r="13862" spans="1:6">
      <c r="A13862" t="str">
        <f t="shared" si="216"/>
        <v/>
      </c>
      <c r="E13862" s="626"/>
      <c r="F13862" s="626"/>
    </row>
    <row r="13863" spans="1:6">
      <c r="A13863" t="str">
        <f t="shared" si="216"/>
        <v/>
      </c>
      <c r="E13863" s="626"/>
      <c r="F13863" s="626"/>
    </row>
    <row r="13864" spans="1:6">
      <c r="A13864" t="str">
        <f t="shared" si="216"/>
        <v/>
      </c>
      <c r="E13864" s="626"/>
      <c r="F13864" s="626"/>
    </row>
    <row r="13865" spans="1:6">
      <c r="A13865" t="str">
        <f t="shared" si="216"/>
        <v/>
      </c>
      <c r="E13865" s="626"/>
      <c r="F13865" s="626"/>
    </row>
    <row r="13866" spans="1:6">
      <c r="A13866" t="str">
        <f t="shared" si="216"/>
        <v/>
      </c>
      <c r="E13866" s="626"/>
      <c r="F13866" s="626"/>
    </row>
    <row r="13867" spans="1:6">
      <c r="A13867" t="str">
        <f t="shared" si="216"/>
        <v/>
      </c>
      <c r="E13867" s="626"/>
      <c r="F13867" s="626"/>
    </row>
    <row r="13868" spans="1:6">
      <c r="A13868" t="str">
        <f t="shared" si="216"/>
        <v/>
      </c>
      <c r="E13868" s="626"/>
      <c r="F13868" s="626"/>
    </row>
    <row r="13869" spans="1:6">
      <c r="A13869" t="str">
        <f t="shared" si="216"/>
        <v/>
      </c>
      <c r="E13869" s="626"/>
      <c r="F13869" s="626"/>
    </row>
    <row r="13870" spans="1:6">
      <c r="A13870" t="str">
        <f t="shared" si="216"/>
        <v/>
      </c>
      <c r="E13870" s="626"/>
      <c r="F13870" s="626"/>
    </row>
    <row r="13871" spans="1:6">
      <c r="A13871" t="str">
        <f t="shared" si="216"/>
        <v/>
      </c>
      <c r="E13871" s="626"/>
      <c r="F13871" s="626"/>
    </row>
    <row r="13872" spans="1:6">
      <c r="A13872" t="str">
        <f t="shared" si="216"/>
        <v/>
      </c>
      <c r="E13872" s="626"/>
      <c r="F13872" s="626"/>
    </row>
    <row r="13873" spans="1:6">
      <c r="A13873" t="str">
        <f t="shared" si="216"/>
        <v/>
      </c>
      <c r="E13873" s="626"/>
      <c r="F13873" s="626"/>
    </row>
    <row r="13874" spans="1:6">
      <c r="A13874" t="str">
        <f t="shared" si="216"/>
        <v/>
      </c>
      <c r="E13874" s="626"/>
      <c r="F13874" s="626"/>
    </row>
    <row r="13875" spans="1:6">
      <c r="A13875" t="str">
        <f t="shared" si="216"/>
        <v/>
      </c>
      <c r="E13875" s="626"/>
      <c r="F13875" s="626"/>
    </row>
    <row r="13876" spans="1:6">
      <c r="A13876" t="str">
        <f t="shared" si="216"/>
        <v/>
      </c>
      <c r="E13876" s="626"/>
      <c r="F13876" s="626"/>
    </row>
    <row r="13877" spans="1:6">
      <c r="A13877" t="str">
        <f t="shared" si="216"/>
        <v/>
      </c>
      <c r="E13877" s="626"/>
      <c r="F13877" s="626"/>
    </row>
    <row r="13878" spans="1:6">
      <c r="A13878" t="str">
        <f t="shared" si="216"/>
        <v/>
      </c>
      <c r="E13878" s="626"/>
      <c r="F13878" s="626"/>
    </row>
    <row r="13879" spans="1:6">
      <c r="A13879" t="str">
        <f t="shared" si="216"/>
        <v/>
      </c>
      <c r="E13879" s="626"/>
      <c r="F13879" s="626"/>
    </row>
    <row r="13880" spans="1:6">
      <c r="A13880" t="str">
        <f t="shared" si="216"/>
        <v/>
      </c>
      <c r="E13880" s="626"/>
      <c r="F13880" s="626"/>
    </row>
    <row r="13881" spans="1:6">
      <c r="A13881" t="str">
        <f t="shared" si="216"/>
        <v/>
      </c>
      <c r="E13881" s="626"/>
      <c r="F13881" s="626"/>
    </row>
    <row r="13882" spans="1:6">
      <c r="A13882" t="str">
        <f t="shared" si="216"/>
        <v/>
      </c>
      <c r="E13882" s="626"/>
      <c r="F13882" s="626"/>
    </row>
    <row r="13883" spans="1:6">
      <c r="A13883" t="str">
        <f t="shared" si="216"/>
        <v/>
      </c>
      <c r="E13883" s="626"/>
      <c r="F13883" s="626"/>
    </row>
    <row r="13884" spans="1:6">
      <c r="A13884" t="str">
        <f t="shared" si="216"/>
        <v/>
      </c>
      <c r="E13884" s="626"/>
      <c r="F13884" s="626"/>
    </row>
    <row r="13885" spans="1:6">
      <c r="A13885" t="str">
        <f t="shared" si="216"/>
        <v/>
      </c>
      <c r="E13885" s="626"/>
      <c r="F13885" s="626"/>
    </row>
    <row r="13886" spans="1:6">
      <c r="A13886" t="str">
        <f t="shared" si="216"/>
        <v/>
      </c>
      <c r="E13886" s="626"/>
      <c r="F13886" s="626"/>
    </row>
    <row r="13887" spans="1:6">
      <c r="A13887" t="str">
        <f t="shared" si="216"/>
        <v/>
      </c>
      <c r="E13887" s="626"/>
      <c r="F13887" s="626"/>
    </row>
    <row r="13888" spans="1:6">
      <c r="A13888" t="str">
        <f t="shared" si="216"/>
        <v/>
      </c>
      <c r="E13888" s="626"/>
      <c r="F13888" s="626"/>
    </row>
    <row r="13889" spans="1:6">
      <c r="A13889" t="str">
        <f t="shared" si="216"/>
        <v/>
      </c>
      <c r="E13889" s="626"/>
      <c r="F13889" s="626"/>
    </row>
    <row r="13890" spans="1:6">
      <c r="A13890" t="str">
        <f t="shared" ref="A13890:A13953" si="217">B13890&amp;E13890&amp;J13890</f>
        <v/>
      </c>
      <c r="E13890" s="626"/>
      <c r="F13890" s="626"/>
    </row>
    <row r="13891" spans="1:6">
      <c r="A13891" t="str">
        <f t="shared" si="217"/>
        <v/>
      </c>
      <c r="E13891" s="626"/>
      <c r="F13891" s="626"/>
    </row>
    <row r="13892" spans="1:6">
      <c r="A13892" t="str">
        <f t="shared" si="217"/>
        <v/>
      </c>
      <c r="E13892" s="626"/>
      <c r="F13892" s="626"/>
    </row>
    <row r="13893" spans="1:6">
      <c r="A13893" t="str">
        <f t="shared" si="217"/>
        <v/>
      </c>
      <c r="E13893" s="626"/>
      <c r="F13893" s="626"/>
    </row>
    <row r="13894" spans="1:6">
      <c r="A13894" t="str">
        <f t="shared" si="217"/>
        <v/>
      </c>
      <c r="E13894" s="626"/>
      <c r="F13894" s="626"/>
    </row>
    <row r="13895" spans="1:6">
      <c r="A13895" t="str">
        <f t="shared" si="217"/>
        <v/>
      </c>
      <c r="E13895" s="626"/>
      <c r="F13895" s="626"/>
    </row>
    <row r="13896" spans="1:6">
      <c r="A13896" t="str">
        <f t="shared" si="217"/>
        <v/>
      </c>
      <c r="E13896" s="626"/>
      <c r="F13896" s="626"/>
    </row>
    <row r="13897" spans="1:6">
      <c r="A13897" t="str">
        <f t="shared" si="217"/>
        <v/>
      </c>
      <c r="E13897" s="626"/>
      <c r="F13897" s="626"/>
    </row>
    <row r="13898" spans="1:6">
      <c r="A13898" t="str">
        <f t="shared" si="217"/>
        <v/>
      </c>
      <c r="E13898" s="626"/>
      <c r="F13898" s="626"/>
    </row>
    <row r="13899" spans="1:6">
      <c r="A13899" t="str">
        <f t="shared" si="217"/>
        <v/>
      </c>
      <c r="E13899" s="626"/>
      <c r="F13899" s="626"/>
    </row>
    <row r="13900" spans="1:6">
      <c r="A13900" t="str">
        <f t="shared" si="217"/>
        <v/>
      </c>
      <c r="E13900" s="626"/>
      <c r="F13900" s="626"/>
    </row>
    <row r="13901" spans="1:6">
      <c r="A13901" t="str">
        <f t="shared" si="217"/>
        <v/>
      </c>
      <c r="E13901" s="626"/>
      <c r="F13901" s="626"/>
    </row>
    <row r="13902" spans="1:6">
      <c r="A13902" t="str">
        <f t="shared" si="217"/>
        <v/>
      </c>
      <c r="E13902" s="626"/>
      <c r="F13902" s="626"/>
    </row>
    <row r="13903" spans="1:6">
      <c r="A13903" t="str">
        <f t="shared" si="217"/>
        <v/>
      </c>
      <c r="E13903" s="626"/>
      <c r="F13903" s="626"/>
    </row>
    <row r="13904" spans="1:6">
      <c r="A13904" t="str">
        <f t="shared" si="217"/>
        <v/>
      </c>
      <c r="E13904" s="626"/>
      <c r="F13904" s="626"/>
    </row>
    <row r="13905" spans="1:6">
      <c r="A13905" t="str">
        <f t="shared" si="217"/>
        <v/>
      </c>
      <c r="E13905" s="626"/>
      <c r="F13905" s="626"/>
    </row>
    <row r="13906" spans="1:6">
      <c r="A13906" t="str">
        <f t="shared" si="217"/>
        <v/>
      </c>
      <c r="E13906" s="626"/>
      <c r="F13906" s="626"/>
    </row>
    <row r="13907" spans="1:6">
      <c r="A13907" t="str">
        <f t="shared" si="217"/>
        <v/>
      </c>
      <c r="E13907" s="626"/>
      <c r="F13907" s="626"/>
    </row>
    <row r="13908" spans="1:6">
      <c r="A13908" t="str">
        <f t="shared" si="217"/>
        <v/>
      </c>
      <c r="E13908" s="626"/>
      <c r="F13908" s="626"/>
    </row>
    <row r="13909" spans="1:6">
      <c r="A13909" t="str">
        <f t="shared" si="217"/>
        <v/>
      </c>
      <c r="E13909" s="626"/>
      <c r="F13909" s="626"/>
    </row>
    <row r="13910" spans="1:6">
      <c r="A13910" t="str">
        <f t="shared" si="217"/>
        <v/>
      </c>
      <c r="E13910" s="626"/>
      <c r="F13910" s="626"/>
    </row>
    <row r="13911" spans="1:6">
      <c r="A13911" t="str">
        <f t="shared" si="217"/>
        <v/>
      </c>
      <c r="E13911" s="626"/>
      <c r="F13911" s="626"/>
    </row>
    <row r="13912" spans="1:6">
      <c r="A13912" t="str">
        <f t="shared" si="217"/>
        <v/>
      </c>
      <c r="E13912" s="626"/>
      <c r="F13912" s="626"/>
    </row>
    <row r="13913" spans="1:6">
      <c r="A13913" t="str">
        <f t="shared" si="217"/>
        <v/>
      </c>
      <c r="E13913" s="626"/>
      <c r="F13913" s="626"/>
    </row>
    <row r="13914" spans="1:6">
      <c r="A13914" t="str">
        <f t="shared" si="217"/>
        <v/>
      </c>
      <c r="E13914" s="626"/>
      <c r="F13914" s="626"/>
    </row>
    <row r="13915" spans="1:6">
      <c r="A13915" t="str">
        <f t="shared" si="217"/>
        <v/>
      </c>
      <c r="E13915" s="626"/>
      <c r="F13915" s="626"/>
    </row>
    <row r="13916" spans="1:6">
      <c r="A13916" t="str">
        <f t="shared" si="217"/>
        <v/>
      </c>
      <c r="E13916" s="626"/>
      <c r="F13916" s="626"/>
    </row>
    <row r="13917" spans="1:6">
      <c r="A13917" t="str">
        <f t="shared" si="217"/>
        <v/>
      </c>
      <c r="E13917" s="626"/>
      <c r="F13917" s="626"/>
    </row>
    <row r="13918" spans="1:6">
      <c r="A13918" t="str">
        <f t="shared" si="217"/>
        <v/>
      </c>
      <c r="E13918" s="626"/>
      <c r="F13918" s="626"/>
    </row>
    <row r="13919" spans="1:6">
      <c r="A13919" t="str">
        <f t="shared" si="217"/>
        <v/>
      </c>
      <c r="E13919" s="626"/>
      <c r="F13919" s="626"/>
    </row>
    <row r="13920" spans="1:6">
      <c r="A13920" t="str">
        <f t="shared" si="217"/>
        <v/>
      </c>
      <c r="E13920" s="626"/>
      <c r="F13920" s="626"/>
    </row>
    <row r="13921" spans="1:6">
      <c r="A13921" t="str">
        <f t="shared" si="217"/>
        <v/>
      </c>
      <c r="E13921" s="626"/>
      <c r="F13921" s="626"/>
    </row>
    <row r="13922" spans="1:6">
      <c r="A13922" t="str">
        <f t="shared" si="217"/>
        <v/>
      </c>
      <c r="E13922" s="626"/>
      <c r="F13922" s="626"/>
    </row>
    <row r="13923" spans="1:6">
      <c r="A13923" t="str">
        <f t="shared" si="217"/>
        <v/>
      </c>
      <c r="E13923" s="626"/>
      <c r="F13923" s="626"/>
    </row>
    <row r="13924" spans="1:6">
      <c r="A13924" t="str">
        <f t="shared" si="217"/>
        <v/>
      </c>
      <c r="E13924" s="626"/>
      <c r="F13924" s="626"/>
    </row>
    <row r="13925" spans="1:6">
      <c r="A13925" t="str">
        <f t="shared" si="217"/>
        <v/>
      </c>
      <c r="E13925" s="626"/>
      <c r="F13925" s="626"/>
    </row>
    <row r="13926" spans="1:6">
      <c r="A13926" t="str">
        <f t="shared" si="217"/>
        <v/>
      </c>
      <c r="E13926" s="626"/>
      <c r="F13926" s="626"/>
    </row>
    <row r="13927" spans="1:6">
      <c r="A13927" t="str">
        <f t="shared" si="217"/>
        <v/>
      </c>
      <c r="E13927" s="626"/>
      <c r="F13927" s="626"/>
    </row>
    <row r="13928" spans="1:6">
      <c r="A13928" t="str">
        <f t="shared" si="217"/>
        <v/>
      </c>
      <c r="E13928" s="626"/>
      <c r="F13928" s="626"/>
    </row>
    <row r="13929" spans="1:6">
      <c r="A13929" t="str">
        <f t="shared" si="217"/>
        <v/>
      </c>
      <c r="E13929" s="626"/>
      <c r="F13929" s="626"/>
    </row>
    <row r="13930" spans="1:6">
      <c r="A13930" t="str">
        <f t="shared" si="217"/>
        <v/>
      </c>
      <c r="E13930" s="626"/>
      <c r="F13930" s="626"/>
    </row>
    <row r="13931" spans="1:6">
      <c r="A13931" t="str">
        <f t="shared" si="217"/>
        <v/>
      </c>
      <c r="E13931" s="626"/>
      <c r="F13931" s="626"/>
    </row>
    <row r="13932" spans="1:6">
      <c r="A13932" t="str">
        <f t="shared" si="217"/>
        <v/>
      </c>
      <c r="E13932" s="626"/>
      <c r="F13932" s="626"/>
    </row>
    <row r="13933" spans="1:6">
      <c r="A13933" t="str">
        <f t="shared" si="217"/>
        <v/>
      </c>
      <c r="E13933" s="626"/>
      <c r="F13933" s="626"/>
    </row>
    <row r="13934" spans="1:6">
      <c r="A13934" t="str">
        <f t="shared" si="217"/>
        <v/>
      </c>
      <c r="E13934" s="626"/>
      <c r="F13934" s="626"/>
    </row>
    <row r="13935" spans="1:6">
      <c r="A13935" t="str">
        <f t="shared" si="217"/>
        <v/>
      </c>
      <c r="E13935" s="626"/>
      <c r="F13935" s="626"/>
    </row>
    <row r="13936" spans="1:6">
      <c r="A13936" t="str">
        <f t="shared" si="217"/>
        <v/>
      </c>
      <c r="E13936" s="626"/>
      <c r="F13936" s="626"/>
    </row>
    <row r="13937" spans="1:6">
      <c r="A13937" t="str">
        <f t="shared" si="217"/>
        <v/>
      </c>
      <c r="E13937" s="626"/>
      <c r="F13937" s="626"/>
    </row>
    <row r="13938" spans="1:6">
      <c r="A13938" t="str">
        <f t="shared" si="217"/>
        <v/>
      </c>
      <c r="E13938" s="626"/>
      <c r="F13938" s="626"/>
    </row>
    <row r="13939" spans="1:6">
      <c r="A13939" t="str">
        <f t="shared" si="217"/>
        <v/>
      </c>
      <c r="E13939" s="626"/>
      <c r="F13939" s="626"/>
    </row>
    <row r="13940" spans="1:6">
      <c r="A13940" t="str">
        <f t="shared" si="217"/>
        <v/>
      </c>
      <c r="E13940" s="626"/>
      <c r="F13940" s="626"/>
    </row>
    <row r="13941" spans="1:6">
      <c r="A13941" t="str">
        <f t="shared" si="217"/>
        <v/>
      </c>
      <c r="E13941" s="626"/>
      <c r="F13941" s="626"/>
    </row>
    <row r="13942" spans="1:6">
      <c r="A13942" t="str">
        <f t="shared" si="217"/>
        <v/>
      </c>
      <c r="E13942" s="626"/>
      <c r="F13942" s="626"/>
    </row>
    <row r="13943" spans="1:6">
      <c r="A13943" t="str">
        <f t="shared" si="217"/>
        <v/>
      </c>
      <c r="E13943" s="626"/>
      <c r="F13943" s="626"/>
    </row>
    <row r="13944" spans="1:6">
      <c r="A13944" t="str">
        <f t="shared" si="217"/>
        <v/>
      </c>
      <c r="E13944" s="626"/>
      <c r="F13944" s="626"/>
    </row>
    <row r="13945" spans="1:6">
      <c r="A13945" t="str">
        <f t="shared" si="217"/>
        <v/>
      </c>
      <c r="E13945" s="626"/>
      <c r="F13945" s="626"/>
    </row>
    <row r="13946" spans="1:6">
      <c r="A13946" t="str">
        <f t="shared" si="217"/>
        <v/>
      </c>
      <c r="E13946" s="626"/>
      <c r="F13946" s="626"/>
    </row>
    <row r="13947" spans="1:6">
      <c r="A13947" t="str">
        <f t="shared" si="217"/>
        <v/>
      </c>
      <c r="E13947" s="626"/>
      <c r="F13947" s="626"/>
    </row>
    <row r="13948" spans="1:6">
      <c r="A13948" t="str">
        <f t="shared" si="217"/>
        <v/>
      </c>
      <c r="E13948" s="626"/>
      <c r="F13948" s="626"/>
    </row>
    <row r="13949" spans="1:6">
      <c r="A13949" t="str">
        <f t="shared" si="217"/>
        <v/>
      </c>
      <c r="E13949" s="626"/>
      <c r="F13949" s="626"/>
    </row>
    <row r="13950" spans="1:6">
      <c r="A13950" t="str">
        <f t="shared" si="217"/>
        <v/>
      </c>
      <c r="E13950" s="626"/>
      <c r="F13950" s="626"/>
    </row>
    <row r="13951" spans="1:6">
      <c r="A13951" t="str">
        <f t="shared" si="217"/>
        <v/>
      </c>
      <c r="E13951" s="626"/>
      <c r="F13951" s="626"/>
    </row>
    <row r="13952" spans="1:6">
      <c r="A13952" t="str">
        <f t="shared" si="217"/>
        <v/>
      </c>
      <c r="E13952" s="626"/>
      <c r="F13952" s="626"/>
    </row>
    <row r="13953" spans="1:6">
      <c r="A13953" t="str">
        <f t="shared" si="217"/>
        <v/>
      </c>
      <c r="E13953" s="626"/>
      <c r="F13953" s="626"/>
    </row>
    <row r="13954" spans="1:6">
      <c r="A13954" t="str">
        <f t="shared" ref="A13954:A14017" si="218">B13954&amp;E13954&amp;J13954</f>
        <v/>
      </c>
      <c r="E13954" s="626"/>
      <c r="F13954" s="626"/>
    </row>
    <row r="13955" spans="1:6">
      <c r="A13955" t="str">
        <f t="shared" si="218"/>
        <v/>
      </c>
      <c r="E13955" s="626"/>
      <c r="F13955" s="626"/>
    </row>
    <row r="13956" spans="1:6">
      <c r="A13956" t="str">
        <f t="shared" si="218"/>
        <v/>
      </c>
      <c r="E13956" s="626"/>
      <c r="F13956" s="626"/>
    </row>
    <row r="13957" spans="1:6">
      <c r="A13957" t="str">
        <f t="shared" si="218"/>
        <v/>
      </c>
      <c r="E13957" s="626"/>
      <c r="F13957" s="626"/>
    </row>
    <row r="13958" spans="1:6">
      <c r="A13958" t="str">
        <f t="shared" si="218"/>
        <v/>
      </c>
      <c r="E13958" s="626"/>
      <c r="F13958" s="626"/>
    </row>
    <row r="13959" spans="1:6">
      <c r="A13959" t="str">
        <f t="shared" si="218"/>
        <v/>
      </c>
      <c r="E13959" s="626"/>
      <c r="F13959" s="626"/>
    </row>
    <row r="13960" spans="1:6">
      <c r="A13960" t="str">
        <f t="shared" si="218"/>
        <v/>
      </c>
      <c r="E13960" s="626"/>
      <c r="F13960" s="626"/>
    </row>
    <row r="13961" spans="1:6">
      <c r="A13961" t="str">
        <f t="shared" si="218"/>
        <v/>
      </c>
      <c r="E13961" s="626"/>
      <c r="F13961" s="626"/>
    </row>
    <row r="13962" spans="1:6">
      <c r="A13962" t="str">
        <f t="shared" si="218"/>
        <v/>
      </c>
      <c r="E13962" s="626"/>
      <c r="F13962" s="626"/>
    </row>
    <row r="13963" spans="1:6">
      <c r="A13963" t="str">
        <f t="shared" si="218"/>
        <v/>
      </c>
      <c r="E13963" s="626"/>
      <c r="F13963" s="626"/>
    </row>
    <row r="13964" spans="1:6">
      <c r="A13964" t="str">
        <f t="shared" si="218"/>
        <v/>
      </c>
      <c r="E13964" s="626"/>
      <c r="F13964" s="626"/>
    </row>
    <row r="13965" spans="1:6">
      <c r="A13965" t="str">
        <f t="shared" si="218"/>
        <v/>
      </c>
      <c r="E13965" s="626"/>
      <c r="F13965" s="626"/>
    </row>
    <row r="13966" spans="1:6">
      <c r="A13966" t="str">
        <f t="shared" si="218"/>
        <v/>
      </c>
      <c r="E13966" s="626"/>
      <c r="F13966" s="626"/>
    </row>
    <row r="13967" spans="1:6">
      <c r="A13967" t="str">
        <f t="shared" si="218"/>
        <v/>
      </c>
      <c r="E13967" s="626"/>
      <c r="F13967" s="626"/>
    </row>
    <row r="13968" spans="1:6">
      <c r="A13968" t="str">
        <f t="shared" si="218"/>
        <v/>
      </c>
      <c r="E13968" s="626"/>
      <c r="F13968" s="626"/>
    </row>
    <row r="13969" spans="1:6">
      <c r="A13969" t="str">
        <f t="shared" si="218"/>
        <v/>
      </c>
      <c r="E13969" s="626"/>
      <c r="F13969" s="626"/>
    </row>
    <row r="13970" spans="1:6">
      <c r="A13970" t="str">
        <f t="shared" si="218"/>
        <v/>
      </c>
      <c r="E13970" s="626"/>
      <c r="F13970" s="626"/>
    </row>
    <row r="13971" spans="1:6">
      <c r="A13971" t="str">
        <f t="shared" si="218"/>
        <v/>
      </c>
      <c r="E13971" s="626"/>
      <c r="F13971" s="626"/>
    </row>
    <row r="13972" spans="1:6">
      <c r="A13972" t="str">
        <f t="shared" si="218"/>
        <v/>
      </c>
      <c r="E13972" s="626"/>
      <c r="F13972" s="626"/>
    </row>
    <row r="13973" spans="1:6">
      <c r="A13973" t="str">
        <f t="shared" si="218"/>
        <v/>
      </c>
      <c r="E13973" s="626"/>
      <c r="F13973" s="626"/>
    </row>
    <row r="13974" spans="1:6">
      <c r="A13974" t="str">
        <f t="shared" si="218"/>
        <v/>
      </c>
      <c r="E13974" s="626"/>
      <c r="F13974" s="626"/>
    </row>
    <row r="13975" spans="1:6">
      <c r="A13975" t="str">
        <f t="shared" si="218"/>
        <v/>
      </c>
      <c r="E13975" s="626"/>
      <c r="F13975" s="626"/>
    </row>
    <row r="13976" spans="1:6">
      <c r="A13976" t="str">
        <f t="shared" si="218"/>
        <v/>
      </c>
      <c r="E13976" s="626"/>
      <c r="F13976" s="626"/>
    </row>
    <row r="13977" spans="1:6">
      <c r="A13977" t="str">
        <f t="shared" si="218"/>
        <v/>
      </c>
      <c r="E13977" s="626"/>
      <c r="F13977" s="626"/>
    </row>
    <row r="13978" spans="1:6">
      <c r="A13978" t="str">
        <f t="shared" si="218"/>
        <v/>
      </c>
      <c r="E13978" s="626"/>
      <c r="F13978" s="626"/>
    </row>
    <row r="13979" spans="1:6">
      <c r="A13979" t="str">
        <f t="shared" si="218"/>
        <v/>
      </c>
      <c r="E13979" s="626"/>
      <c r="F13979" s="626"/>
    </row>
    <row r="13980" spans="1:6">
      <c r="A13980" t="str">
        <f t="shared" si="218"/>
        <v/>
      </c>
      <c r="E13980" s="626"/>
      <c r="F13980" s="626"/>
    </row>
    <row r="13981" spans="1:6">
      <c r="A13981" t="str">
        <f t="shared" si="218"/>
        <v/>
      </c>
      <c r="E13981" s="626"/>
      <c r="F13981" s="626"/>
    </row>
    <row r="13982" spans="1:6">
      <c r="A13982" t="str">
        <f t="shared" si="218"/>
        <v/>
      </c>
      <c r="E13982" s="626"/>
      <c r="F13982" s="626"/>
    </row>
    <row r="13983" spans="1:6">
      <c r="A13983" t="str">
        <f t="shared" si="218"/>
        <v/>
      </c>
      <c r="E13983" s="626"/>
      <c r="F13983" s="626"/>
    </row>
    <row r="13984" spans="1:6">
      <c r="A13984" t="str">
        <f t="shared" si="218"/>
        <v/>
      </c>
      <c r="E13984" s="626"/>
      <c r="F13984" s="626"/>
    </row>
    <row r="13985" spans="1:6">
      <c r="A13985" t="str">
        <f t="shared" si="218"/>
        <v/>
      </c>
      <c r="E13985" s="626"/>
      <c r="F13985" s="626"/>
    </row>
    <row r="13986" spans="1:6">
      <c r="A13986" t="str">
        <f t="shared" si="218"/>
        <v/>
      </c>
      <c r="E13986" s="626"/>
      <c r="F13986" s="626"/>
    </row>
    <row r="13987" spans="1:6">
      <c r="A13987" t="str">
        <f t="shared" si="218"/>
        <v/>
      </c>
      <c r="E13987" s="626"/>
      <c r="F13987" s="626"/>
    </row>
    <row r="13988" spans="1:6">
      <c r="A13988" t="str">
        <f t="shared" si="218"/>
        <v/>
      </c>
      <c r="E13988" s="626"/>
      <c r="F13988" s="626"/>
    </row>
    <row r="13989" spans="1:6">
      <c r="A13989" t="str">
        <f t="shared" si="218"/>
        <v/>
      </c>
      <c r="E13989" s="626"/>
      <c r="F13989" s="626"/>
    </row>
    <row r="13990" spans="1:6">
      <c r="A13990" t="str">
        <f t="shared" si="218"/>
        <v/>
      </c>
      <c r="E13990" s="626"/>
      <c r="F13990" s="626"/>
    </row>
    <row r="13991" spans="1:6">
      <c r="A13991" t="str">
        <f t="shared" si="218"/>
        <v/>
      </c>
      <c r="E13991" s="626"/>
      <c r="F13991" s="626"/>
    </row>
    <row r="13992" spans="1:6">
      <c r="A13992" t="str">
        <f t="shared" si="218"/>
        <v/>
      </c>
      <c r="E13992" s="626"/>
      <c r="F13992" s="626"/>
    </row>
    <row r="13993" spans="1:6">
      <c r="A13993" t="str">
        <f t="shared" si="218"/>
        <v/>
      </c>
      <c r="E13993" s="626"/>
      <c r="F13993" s="626"/>
    </row>
    <row r="13994" spans="1:6">
      <c r="A13994" t="str">
        <f t="shared" si="218"/>
        <v/>
      </c>
      <c r="E13994" s="626"/>
      <c r="F13994" s="626"/>
    </row>
    <row r="13995" spans="1:6">
      <c r="A13995" t="str">
        <f t="shared" si="218"/>
        <v/>
      </c>
      <c r="E13995" s="626"/>
      <c r="F13995" s="626"/>
    </row>
    <row r="13996" spans="1:6">
      <c r="A13996" t="str">
        <f t="shared" si="218"/>
        <v/>
      </c>
      <c r="E13996" s="626"/>
      <c r="F13996" s="626"/>
    </row>
    <row r="13997" spans="1:6">
      <c r="A13997" t="str">
        <f t="shared" si="218"/>
        <v/>
      </c>
      <c r="E13997" s="626"/>
      <c r="F13997" s="626"/>
    </row>
    <row r="13998" spans="1:6">
      <c r="A13998" t="str">
        <f t="shared" si="218"/>
        <v/>
      </c>
      <c r="E13998" s="626"/>
      <c r="F13998" s="626"/>
    </row>
    <row r="13999" spans="1:6">
      <c r="A13999" t="str">
        <f t="shared" si="218"/>
        <v/>
      </c>
      <c r="E13999" s="626"/>
      <c r="F13999" s="626"/>
    </row>
    <row r="14000" spans="1:6">
      <c r="A14000" t="str">
        <f t="shared" si="218"/>
        <v/>
      </c>
      <c r="E14000" s="626"/>
      <c r="F14000" s="626"/>
    </row>
    <row r="14001" spans="1:6">
      <c r="A14001" t="str">
        <f t="shared" si="218"/>
        <v/>
      </c>
      <c r="E14001" s="626"/>
      <c r="F14001" s="626"/>
    </row>
    <row r="14002" spans="1:6">
      <c r="A14002" t="str">
        <f t="shared" si="218"/>
        <v/>
      </c>
      <c r="E14002" s="626"/>
      <c r="F14002" s="626"/>
    </row>
    <row r="14003" spans="1:6">
      <c r="A14003" t="str">
        <f t="shared" si="218"/>
        <v/>
      </c>
      <c r="E14003" s="626"/>
      <c r="F14003" s="626"/>
    </row>
    <row r="14004" spans="1:6">
      <c r="A14004" t="str">
        <f t="shared" si="218"/>
        <v/>
      </c>
      <c r="E14004" s="626"/>
      <c r="F14004" s="626"/>
    </row>
    <row r="14005" spans="1:6">
      <c r="A14005" t="str">
        <f t="shared" si="218"/>
        <v/>
      </c>
      <c r="E14005" s="626"/>
      <c r="F14005" s="626"/>
    </row>
    <row r="14006" spans="1:6">
      <c r="A14006" t="str">
        <f t="shared" si="218"/>
        <v/>
      </c>
      <c r="E14006" s="626"/>
      <c r="F14006" s="626"/>
    </row>
    <row r="14007" spans="1:6">
      <c r="A14007" t="str">
        <f t="shared" si="218"/>
        <v/>
      </c>
      <c r="E14007" s="626"/>
      <c r="F14007" s="626"/>
    </row>
    <row r="14008" spans="1:6">
      <c r="A14008" t="str">
        <f t="shared" si="218"/>
        <v/>
      </c>
      <c r="E14008" s="626"/>
      <c r="F14008" s="626"/>
    </row>
    <row r="14009" spans="1:6">
      <c r="A14009" t="str">
        <f t="shared" si="218"/>
        <v/>
      </c>
      <c r="E14009" s="626"/>
      <c r="F14009" s="626"/>
    </row>
    <row r="14010" spans="1:6">
      <c r="A14010" t="str">
        <f t="shared" si="218"/>
        <v/>
      </c>
      <c r="E14010" s="626"/>
      <c r="F14010" s="626"/>
    </row>
    <row r="14011" spans="1:6">
      <c r="A14011" t="str">
        <f t="shared" si="218"/>
        <v/>
      </c>
      <c r="E14011" s="626"/>
      <c r="F14011" s="626"/>
    </row>
    <row r="14012" spans="1:6">
      <c r="A14012" t="str">
        <f t="shared" si="218"/>
        <v/>
      </c>
      <c r="E14012" s="626"/>
      <c r="F14012" s="626"/>
    </row>
    <row r="14013" spans="1:6">
      <c r="A14013" t="str">
        <f t="shared" si="218"/>
        <v/>
      </c>
      <c r="E14013" s="626"/>
      <c r="F14013" s="626"/>
    </row>
    <row r="14014" spans="1:6">
      <c r="A14014" t="str">
        <f t="shared" si="218"/>
        <v/>
      </c>
      <c r="E14014" s="626"/>
      <c r="F14014" s="626"/>
    </row>
    <row r="14015" spans="1:6">
      <c r="A14015" t="str">
        <f t="shared" si="218"/>
        <v/>
      </c>
      <c r="E14015" s="626"/>
      <c r="F14015" s="626"/>
    </row>
    <row r="14016" spans="1:6">
      <c r="A14016" t="str">
        <f t="shared" si="218"/>
        <v/>
      </c>
      <c r="E14016" s="626"/>
      <c r="F14016" s="626"/>
    </row>
    <row r="14017" spans="1:6">
      <c r="A14017" t="str">
        <f t="shared" si="218"/>
        <v/>
      </c>
      <c r="E14017" s="626"/>
      <c r="F14017" s="626"/>
    </row>
    <row r="14018" spans="1:6">
      <c r="A14018" t="str">
        <f t="shared" ref="A14018:A14081" si="219">B14018&amp;E14018&amp;J14018</f>
        <v/>
      </c>
      <c r="E14018" s="626"/>
      <c r="F14018" s="626"/>
    </row>
    <row r="14019" spans="1:6">
      <c r="A14019" t="str">
        <f t="shared" si="219"/>
        <v/>
      </c>
      <c r="E14019" s="626"/>
      <c r="F14019" s="626"/>
    </row>
    <row r="14020" spans="1:6">
      <c r="A14020" t="str">
        <f t="shared" si="219"/>
        <v/>
      </c>
      <c r="E14020" s="626"/>
      <c r="F14020" s="626"/>
    </row>
    <row r="14021" spans="1:6">
      <c r="A14021" t="str">
        <f t="shared" si="219"/>
        <v/>
      </c>
      <c r="E14021" s="626"/>
      <c r="F14021" s="626"/>
    </row>
    <row r="14022" spans="1:6">
      <c r="A14022" t="str">
        <f t="shared" si="219"/>
        <v/>
      </c>
      <c r="E14022" s="626"/>
      <c r="F14022" s="626"/>
    </row>
    <row r="14023" spans="1:6">
      <c r="A14023" t="str">
        <f t="shared" si="219"/>
        <v/>
      </c>
      <c r="E14023" s="626"/>
      <c r="F14023" s="626"/>
    </row>
    <row r="14024" spans="1:6">
      <c r="A14024" t="str">
        <f t="shared" si="219"/>
        <v/>
      </c>
      <c r="E14024" s="626"/>
      <c r="F14024" s="626"/>
    </row>
    <row r="14025" spans="1:6">
      <c r="A14025" t="str">
        <f t="shared" si="219"/>
        <v/>
      </c>
      <c r="E14025" s="626"/>
      <c r="F14025" s="626"/>
    </row>
    <row r="14026" spans="1:6">
      <c r="A14026" t="str">
        <f t="shared" si="219"/>
        <v/>
      </c>
      <c r="E14026" s="626"/>
      <c r="F14026" s="626"/>
    </row>
    <row r="14027" spans="1:6">
      <c r="A14027" t="str">
        <f t="shared" si="219"/>
        <v/>
      </c>
      <c r="E14027" s="626"/>
      <c r="F14027" s="626"/>
    </row>
    <row r="14028" spans="1:6">
      <c r="A14028" t="str">
        <f t="shared" si="219"/>
        <v/>
      </c>
      <c r="E14028" s="626"/>
      <c r="F14028" s="626"/>
    </row>
    <row r="14029" spans="1:6">
      <c r="A14029" t="str">
        <f t="shared" si="219"/>
        <v/>
      </c>
      <c r="E14029" s="626"/>
      <c r="F14029" s="626"/>
    </row>
    <row r="14030" spans="1:6">
      <c r="A14030" t="str">
        <f t="shared" si="219"/>
        <v/>
      </c>
      <c r="E14030" s="626"/>
      <c r="F14030" s="626"/>
    </row>
    <row r="14031" spans="1:6">
      <c r="A14031" t="str">
        <f t="shared" si="219"/>
        <v/>
      </c>
      <c r="E14031" s="626"/>
      <c r="F14031" s="626"/>
    </row>
    <row r="14032" spans="1:6">
      <c r="A14032" t="str">
        <f t="shared" si="219"/>
        <v/>
      </c>
      <c r="E14032" s="626"/>
      <c r="F14032" s="626"/>
    </row>
    <row r="14033" spans="1:6">
      <c r="A14033" t="str">
        <f t="shared" si="219"/>
        <v/>
      </c>
      <c r="E14033" s="626"/>
      <c r="F14033" s="626"/>
    </row>
    <row r="14034" spans="1:6">
      <c r="A14034" t="str">
        <f t="shared" si="219"/>
        <v/>
      </c>
      <c r="E14034" s="626"/>
      <c r="F14034" s="626"/>
    </row>
    <row r="14035" spans="1:6">
      <c r="A14035" t="str">
        <f t="shared" si="219"/>
        <v/>
      </c>
      <c r="E14035" s="626"/>
      <c r="F14035" s="626"/>
    </row>
    <row r="14036" spans="1:6">
      <c r="A14036" t="str">
        <f t="shared" si="219"/>
        <v/>
      </c>
      <c r="E14036" s="626"/>
      <c r="F14036" s="626"/>
    </row>
    <row r="14037" spans="1:6">
      <c r="A14037" t="str">
        <f t="shared" si="219"/>
        <v/>
      </c>
      <c r="E14037" s="626"/>
      <c r="F14037" s="626"/>
    </row>
    <row r="14038" spans="1:6">
      <c r="A14038" t="str">
        <f t="shared" si="219"/>
        <v/>
      </c>
      <c r="E14038" s="626"/>
      <c r="F14038" s="626"/>
    </row>
    <row r="14039" spans="1:6">
      <c r="A14039" t="str">
        <f t="shared" si="219"/>
        <v/>
      </c>
      <c r="E14039" s="626"/>
      <c r="F14039" s="626"/>
    </row>
    <row r="14040" spans="1:6">
      <c r="A14040" t="str">
        <f t="shared" si="219"/>
        <v/>
      </c>
      <c r="E14040" s="626"/>
      <c r="F14040" s="626"/>
    </row>
    <row r="14041" spans="1:6">
      <c r="A14041" t="str">
        <f t="shared" si="219"/>
        <v/>
      </c>
      <c r="E14041" s="626"/>
      <c r="F14041" s="626"/>
    </row>
    <row r="14042" spans="1:6">
      <c r="A14042" t="str">
        <f t="shared" si="219"/>
        <v/>
      </c>
      <c r="E14042" s="626"/>
      <c r="F14042" s="626"/>
    </row>
    <row r="14043" spans="1:6">
      <c r="A14043" t="str">
        <f t="shared" si="219"/>
        <v/>
      </c>
      <c r="E14043" s="626"/>
      <c r="F14043" s="626"/>
    </row>
    <row r="14044" spans="1:6">
      <c r="A14044" t="str">
        <f t="shared" si="219"/>
        <v/>
      </c>
      <c r="E14044" s="626"/>
      <c r="F14044" s="626"/>
    </row>
    <row r="14045" spans="1:6">
      <c r="A14045" t="str">
        <f t="shared" si="219"/>
        <v/>
      </c>
      <c r="E14045" s="626"/>
      <c r="F14045" s="626"/>
    </row>
    <row r="14046" spans="1:6">
      <c r="A14046" t="str">
        <f t="shared" si="219"/>
        <v/>
      </c>
      <c r="E14046" s="626"/>
      <c r="F14046" s="626"/>
    </row>
    <row r="14047" spans="1:6">
      <c r="A14047" t="str">
        <f t="shared" si="219"/>
        <v/>
      </c>
      <c r="E14047" s="626"/>
      <c r="F14047" s="626"/>
    </row>
    <row r="14048" spans="1:6">
      <c r="A14048" t="str">
        <f t="shared" si="219"/>
        <v/>
      </c>
      <c r="E14048" s="626"/>
      <c r="F14048" s="626"/>
    </row>
    <row r="14049" spans="1:6">
      <c r="A14049" t="str">
        <f t="shared" si="219"/>
        <v/>
      </c>
      <c r="E14049" s="626"/>
      <c r="F14049" s="626"/>
    </row>
    <row r="14050" spans="1:6">
      <c r="A14050" t="str">
        <f t="shared" si="219"/>
        <v/>
      </c>
      <c r="E14050" s="626"/>
      <c r="F14050" s="626"/>
    </row>
    <row r="14051" spans="1:6">
      <c r="A14051" t="str">
        <f t="shared" si="219"/>
        <v/>
      </c>
      <c r="E14051" s="626"/>
      <c r="F14051" s="626"/>
    </row>
    <row r="14052" spans="1:6">
      <c r="A14052" t="str">
        <f t="shared" si="219"/>
        <v/>
      </c>
      <c r="E14052" s="626"/>
      <c r="F14052" s="626"/>
    </row>
    <row r="14053" spans="1:6">
      <c r="A14053" t="str">
        <f t="shared" si="219"/>
        <v/>
      </c>
      <c r="E14053" s="626"/>
      <c r="F14053" s="626"/>
    </row>
    <row r="14054" spans="1:6">
      <c r="A14054" t="str">
        <f t="shared" si="219"/>
        <v/>
      </c>
      <c r="E14054" s="626"/>
      <c r="F14054" s="626"/>
    </row>
    <row r="14055" spans="1:6">
      <c r="A14055" t="str">
        <f t="shared" si="219"/>
        <v/>
      </c>
      <c r="E14055" s="626"/>
      <c r="F14055" s="626"/>
    </row>
    <row r="14056" spans="1:6">
      <c r="A14056" t="str">
        <f t="shared" si="219"/>
        <v/>
      </c>
      <c r="E14056" s="626"/>
      <c r="F14056" s="626"/>
    </row>
    <row r="14057" spans="1:6">
      <c r="A14057" t="str">
        <f t="shared" si="219"/>
        <v/>
      </c>
      <c r="E14057" s="626"/>
      <c r="F14057" s="626"/>
    </row>
    <row r="14058" spans="1:6">
      <c r="A14058" t="str">
        <f t="shared" si="219"/>
        <v/>
      </c>
      <c r="E14058" s="626"/>
      <c r="F14058" s="626"/>
    </row>
    <row r="14059" spans="1:6">
      <c r="A14059" t="str">
        <f t="shared" si="219"/>
        <v/>
      </c>
      <c r="E14059" s="626"/>
      <c r="F14059" s="626"/>
    </row>
    <row r="14060" spans="1:6">
      <c r="A14060" t="str">
        <f t="shared" si="219"/>
        <v/>
      </c>
      <c r="E14060" s="626"/>
      <c r="F14060" s="626"/>
    </row>
    <row r="14061" spans="1:6">
      <c r="A14061" t="str">
        <f t="shared" si="219"/>
        <v/>
      </c>
      <c r="E14061" s="626"/>
      <c r="F14061" s="626"/>
    </row>
    <row r="14062" spans="1:6">
      <c r="A14062" t="str">
        <f t="shared" si="219"/>
        <v/>
      </c>
      <c r="E14062" s="626"/>
      <c r="F14062" s="626"/>
    </row>
    <row r="14063" spans="1:6">
      <c r="A14063" t="str">
        <f t="shared" si="219"/>
        <v/>
      </c>
      <c r="E14063" s="626"/>
      <c r="F14063" s="626"/>
    </row>
    <row r="14064" spans="1:6">
      <c r="A14064" t="str">
        <f t="shared" si="219"/>
        <v/>
      </c>
      <c r="E14064" s="626"/>
      <c r="F14064" s="626"/>
    </row>
    <row r="14065" spans="1:6">
      <c r="A14065" t="str">
        <f t="shared" si="219"/>
        <v/>
      </c>
      <c r="E14065" s="626"/>
      <c r="F14065" s="626"/>
    </row>
    <row r="14066" spans="1:6">
      <c r="A14066" t="str">
        <f t="shared" si="219"/>
        <v/>
      </c>
      <c r="E14066" s="626"/>
      <c r="F14066" s="626"/>
    </row>
    <row r="14067" spans="1:6">
      <c r="A14067" t="str">
        <f t="shared" si="219"/>
        <v/>
      </c>
      <c r="E14067" s="626"/>
      <c r="F14067" s="626"/>
    </row>
    <row r="14068" spans="1:6">
      <c r="A14068" t="str">
        <f t="shared" si="219"/>
        <v/>
      </c>
      <c r="E14068" s="626"/>
      <c r="F14068" s="626"/>
    </row>
    <row r="14069" spans="1:6">
      <c r="A14069" t="str">
        <f t="shared" si="219"/>
        <v/>
      </c>
      <c r="E14069" s="626"/>
      <c r="F14069" s="626"/>
    </row>
    <row r="14070" spans="1:6">
      <c r="A14070" t="str">
        <f t="shared" si="219"/>
        <v/>
      </c>
      <c r="E14070" s="626"/>
      <c r="F14070" s="626"/>
    </row>
    <row r="14071" spans="1:6">
      <c r="A14071" t="str">
        <f t="shared" si="219"/>
        <v/>
      </c>
      <c r="E14071" s="626"/>
      <c r="F14071" s="626"/>
    </row>
    <row r="14072" spans="1:6">
      <c r="A14072" t="str">
        <f t="shared" si="219"/>
        <v/>
      </c>
      <c r="E14072" s="626"/>
      <c r="F14072" s="626"/>
    </row>
    <row r="14073" spans="1:6">
      <c r="A14073" t="str">
        <f t="shared" si="219"/>
        <v/>
      </c>
      <c r="E14073" s="626"/>
      <c r="F14073" s="626"/>
    </row>
    <row r="14074" spans="1:6">
      <c r="A14074" t="str">
        <f t="shared" si="219"/>
        <v/>
      </c>
      <c r="E14074" s="626"/>
      <c r="F14074" s="626"/>
    </row>
    <row r="14075" spans="1:6">
      <c r="A14075" t="str">
        <f t="shared" si="219"/>
        <v/>
      </c>
      <c r="E14075" s="626"/>
      <c r="F14075" s="626"/>
    </row>
    <row r="14076" spans="1:6">
      <c r="A14076" t="str">
        <f t="shared" si="219"/>
        <v/>
      </c>
      <c r="E14076" s="626"/>
      <c r="F14076" s="626"/>
    </row>
    <row r="14077" spans="1:6">
      <c r="A14077" t="str">
        <f t="shared" si="219"/>
        <v/>
      </c>
      <c r="E14077" s="626"/>
      <c r="F14077" s="626"/>
    </row>
    <row r="14078" spans="1:6">
      <c r="A14078" t="str">
        <f t="shared" si="219"/>
        <v/>
      </c>
      <c r="E14078" s="626"/>
      <c r="F14078" s="626"/>
    </row>
    <row r="14079" spans="1:6">
      <c r="A14079" t="str">
        <f t="shared" si="219"/>
        <v/>
      </c>
      <c r="E14079" s="626"/>
      <c r="F14079" s="626"/>
    </row>
    <row r="14080" spans="1:6">
      <c r="A14080" t="str">
        <f t="shared" si="219"/>
        <v/>
      </c>
      <c r="E14080" s="626"/>
      <c r="F14080" s="626"/>
    </row>
    <row r="14081" spans="1:6">
      <c r="A14081" t="str">
        <f t="shared" si="219"/>
        <v/>
      </c>
      <c r="E14081" s="626"/>
      <c r="F14081" s="626"/>
    </row>
    <row r="14082" spans="1:6">
      <c r="A14082" t="str">
        <f t="shared" ref="A14082:A14145" si="220">B14082&amp;E14082&amp;J14082</f>
        <v/>
      </c>
      <c r="E14082" s="626"/>
      <c r="F14082" s="626"/>
    </row>
    <row r="14083" spans="1:6">
      <c r="A14083" t="str">
        <f t="shared" si="220"/>
        <v/>
      </c>
      <c r="E14083" s="626"/>
      <c r="F14083" s="626"/>
    </row>
    <row r="14084" spans="1:6">
      <c r="A14084" t="str">
        <f t="shared" si="220"/>
        <v/>
      </c>
      <c r="E14084" s="626"/>
      <c r="F14084" s="626"/>
    </row>
    <row r="14085" spans="1:6">
      <c r="A14085" t="str">
        <f t="shared" si="220"/>
        <v/>
      </c>
      <c r="E14085" s="626"/>
      <c r="F14085" s="626"/>
    </row>
    <row r="14086" spans="1:6">
      <c r="A14086" t="str">
        <f t="shared" si="220"/>
        <v/>
      </c>
      <c r="E14086" s="626"/>
      <c r="F14086" s="626"/>
    </row>
    <row r="14087" spans="1:6">
      <c r="A14087" t="str">
        <f t="shared" si="220"/>
        <v/>
      </c>
      <c r="E14087" s="626"/>
      <c r="F14087" s="626"/>
    </row>
    <row r="14088" spans="1:6">
      <c r="A14088" t="str">
        <f t="shared" si="220"/>
        <v/>
      </c>
      <c r="E14088" s="626"/>
      <c r="F14088" s="626"/>
    </row>
    <row r="14089" spans="1:6">
      <c r="A14089" t="str">
        <f t="shared" si="220"/>
        <v/>
      </c>
      <c r="E14089" s="626"/>
      <c r="F14089" s="626"/>
    </row>
    <row r="14090" spans="1:6">
      <c r="A14090" t="str">
        <f t="shared" si="220"/>
        <v/>
      </c>
      <c r="E14090" s="626"/>
      <c r="F14090" s="626"/>
    </row>
    <row r="14091" spans="1:6">
      <c r="A14091" t="str">
        <f t="shared" si="220"/>
        <v/>
      </c>
      <c r="E14091" s="626"/>
      <c r="F14091" s="626"/>
    </row>
    <row r="14092" spans="1:6">
      <c r="A14092" t="str">
        <f t="shared" si="220"/>
        <v/>
      </c>
      <c r="E14092" s="626"/>
      <c r="F14092" s="626"/>
    </row>
    <row r="14093" spans="1:6">
      <c r="A14093" t="str">
        <f t="shared" si="220"/>
        <v/>
      </c>
      <c r="E14093" s="626"/>
      <c r="F14093" s="626"/>
    </row>
    <row r="14094" spans="1:6">
      <c r="A14094" t="str">
        <f t="shared" si="220"/>
        <v/>
      </c>
      <c r="E14094" s="626"/>
      <c r="F14094" s="626"/>
    </row>
    <row r="14095" spans="1:6">
      <c r="A14095" t="str">
        <f t="shared" si="220"/>
        <v/>
      </c>
      <c r="E14095" s="626"/>
      <c r="F14095" s="626"/>
    </row>
    <row r="14096" spans="1:6">
      <c r="A14096" t="str">
        <f t="shared" si="220"/>
        <v/>
      </c>
      <c r="E14096" s="626"/>
      <c r="F14096" s="626"/>
    </row>
    <row r="14097" spans="1:6">
      <c r="A14097" t="str">
        <f t="shared" si="220"/>
        <v/>
      </c>
      <c r="E14097" s="626"/>
      <c r="F14097" s="626"/>
    </row>
    <row r="14098" spans="1:6">
      <c r="A14098" t="str">
        <f t="shared" si="220"/>
        <v/>
      </c>
      <c r="E14098" s="626"/>
      <c r="F14098" s="626"/>
    </row>
    <row r="14099" spans="1:6">
      <c r="A14099" t="str">
        <f t="shared" si="220"/>
        <v/>
      </c>
      <c r="E14099" s="626"/>
      <c r="F14099" s="626"/>
    </row>
    <row r="14100" spans="1:6">
      <c r="A14100" t="str">
        <f t="shared" si="220"/>
        <v/>
      </c>
      <c r="E14100" s="626"/>
      <c r="F14100" s="626"/>
    </row>
    <row r="14101" spans="1:6">
      <c r="A14101" t="str">
        <f t="shared" si="220"/>
        <v/>
      </c>
      <c r="E14101" s="626"/>
      <c r="F14101" s="626"/>
    </row>
    <row r="14102" spans="1:6">
      <c r="A14102" t="str">
        <f t="shared" si="220"/>
        <v/>
      </c>
      <c r="E14102" s="626"/>
      <c r="F14102" s="626"/>
    </row>
    <row r="14103" spans="1:6">
      <c r="A14103" t="str">
        <f t="shared" si="220"/>
        <v/>
      </c>
      <c r="E14103" s="626"/>
      <c r="F14103" s="626"/>
    </row>
    <row r="14104" spans="1:6">
      <c r="A14104" t="str">
        <f t="shared" si="220"/>
        <v/>
      </c>
      <c r="E14104" s="626"/>
      <c r="F14104" s="626"/>
    </row>
    <row r="14105" spans="1:6">
      <c r="A14105" t="str">
        <f t="shared" si="220"/>
        <v/>
      </c>
      <c r="E14105" s="626"/>
      <c r="F14105" s="626"/>
    </row>
    <row r="14106" spans="1:6">
      <c r="A14106" t="str">
        <f t="shared" si="220"/>
        <v/>
      </c>
      <c r="E14106" s="626"/>
      <c r="F14106" s="626"/>
    </row>
    <row r="14107" spans="1:6">
      <c r="A14107" t="str">
        <f t="shared" si="220"/>
        <v/>
      </c>
      <c r="E14107" s="626"/>
      <c r="F14107" s="626"/>
    </row>
    <row r="14108" spans="1:6">
      <c r="A14108" t="str">
        <f t="shared" si="220"/>
        <v/>
      </c>
      <c r="E14108" s="626"/>
      <c r="F14108" s="626"/>
    </row>
    <row r="14109" spans="1:6">
      <c r="A14109" t="str">
        <f t="shared" si="220"/>
        <v/>
      </c>
      <c r="E14109" s="626"/>
      <c r="F14109" s="626"/>
    </row>
    <row r="14110" spans="1:6">
      <c r="A14110" t="str">
        <f t="shared" si="220"/>
        <v/>
      </c>
      <c r="E14110" s="626"/>
      <c r="F14110" s="626"/>
    </row>
    <row r="14111" spans="1:6">
      <c r="A14111" t="str">
        <f t="shared" si="220"/>
        <v/>
      </c>
      <c r="E14111" s="626"/>
      <c r="F14111" s="626"/>
    </row>
    <row r="14112" spans="1:6">
      <c r="A14112" t="str">
        <f t="shared" si="220"/>
        <v/>
      </c>
      <c r="E14112" s="626"/>
      <c r="F14112" s="626"/>
    </row>
    <row r="14113" spans="1:6">
      <c r="A14113" t="str">
        <f t="shared" si="220"/>
        <v/>
      </c>
      <c r="E14113" s="626"/>
      <c r="F14113" s="626"/>
    </row>
    <row r="14114" spans="1:6">
      <c r="A14114" t="str">
        <f t="shared" si="220"/>
        <v/>
      </c>
      <c r="E14114" s="626"/>
      <c r="F14114" s="626"/>
    </row>
    <row r="14115" spans="1:6">
      <c r="A14115" t="str">
        <f t="shared" si="220"/>
        <v/>
      </c>
      <c r="E14115" s="626"/>
      <c r="F14115" s="626"/>
    </row>
    <row r="14116" spans="1:6">
      <c r="A14116" t="str">
        <f t="shared" si="220"/>
        <v/>
      </c>
      <c r="E14116" s="626"/>
      <c r="F14116" s="626"/>
    </row>
    <row r="14117" spans="1:6">
      <c r="A14117" t="str">
        <f t="shared" si="220"/>
        <v/>
      </c>
      <c r="E14117" s="626"/>
      <c r="F14117" s="626"/>
    </row>
    <row r="14118" spans="1:6">
      <c r="A14118" t="str">
        <f t="shared" si="220"/>
        <v/>
      </c>
      <c r="E14118" s="626"/>
      <c r="F14118" s="626"/>
    </row>
    <row r="14119" spans="1:6">
      <c r="A14119" t="str">
        <f t="shared" si="220"/>
        <v/>
      </c>
      <c r="E14119" s="626"/>
      <c r="F14119" s="626"/>
    </row>
    <row r="14120" spans="1:6">
      <c r="A14120" t="str">
        <f t="shared" si="220"/>
        <v/>
      </c>
      <c r="E14120" s="626"/>
      <c r="F14120" s="626"/>
    </row>
    <row r="14121" spans="1:6">
      <c r="A14121" t="str">
        <f t="shared" si="220"/>
        <v/>
      </c>
      <c r="E14121" s="626"/>
      <c r="F14121" s="626"/>
    </row>
    <row r="14122" spans="1:6">
      <c r="A14122" t="str">
        <f t="shared" si="220"/>
        <v/>
      </c>
      <c r="E14122" s="626"/>
      <c r="F14122" s="626"/>
    </row>
    <row r="14123" spans="1:6">
      <c r="A14123" t="str">
        <f t="shared" si="220"/>
        <v/>
      </c>
      <c r="E14123" s="626"/>
      <c r="F14123" s="626"/>
    </row>
    <row r="14124" spans="1:6">
      <c r="A14124" t="str">
        <f t="shared" si="220"/>
        <v/>
      </c>
      <c r="E14124" s="626"/>
      <c r="F14124" s="626"/>
    </row>
    <row r="14125" spans="1:6">
      <c r="A14125" t="str">
        <f t="shared" si="220"/>
        <v/>
      </c>
      <c r="E14125" s="626"/>
      <c r="F14125" s="626"/>
    </row>
    <row r="14126" spans="1:6">
      <c r="A14126" t="str">
        <f t="shared" si="220"/>
        <v/>
      </c>
      <c r="E14126" s="626"/>
      <c r="F14126" s="626"/>
    </row>
    <row r="14127" spans="1:6">
      <c r="A14127" t="str">
        <f t="shared" si="220"/>
        <v/>
      </c>
      <c r="E14127" s="626"/>
      <c r="F14127" s="626"/>
    </row>
    <row r="14128" spans="1:6">
      <c r="A14128" t="str">
        <f t="shared" si="220"/>
        <v/>
      </c>
      <c r="E14128" s="626"/>
      <c r="F14128" s="626"/>
    </row>
    <row r="14129" spans="1:6">
      <c r="A14129" t="str">
        <f t="shared" si="220"/>
        <v/>
      </c>
      <c r="E14129" s="626"/>
      <c r="F14129" s="626"/>
    </row>
    <row r="14130" spans="1:6">
      <c r="A14130" t="str">
        <f t="shared" si="220"/>
        <v/>
      </c>
      <c r="E14130" s="626"/>
      <c r="F14130" s="626"/>
    </row>
    <row r="14131" spans="1:6">
      <c r="A14131" t="str">
        <f t="shared" si="220"/>
        <v/>
      </c>
      <c r="E14131" s="626"/>
      <c r="F14131" s="626"/>
    </row>
    <row r="14132" spans="1:6">
      <c r="A14132" t="str">
        <f t="shared" si="220"/>
        <v/>
      </c>
      <c r="E14132" s="626"/>
      <c r="F14132" s="626"/>
    </row>
    <row r="14133" spans="1:6">
      <c r="A14133" t="str">
        <f t="shared" si="220"/>
        <v/>
      </c>
      <c r="E14133" s="626"/>
      <c r="F14133" s="626"/>
    </row>
    <row r="14134" spans="1:6">
      <c r="A14134" t="str">
        <f t="shared" si="220"/>
        <v/>
      </c>
      <c r="E14134" s="626"/>
      <c r="F14134" s="626"/>
    </row>
    <row r="14135" spans="1:6">
      <c r="A14135" t="str">
        <f t="shared" si="220"/>
        <v/>
      </c>
      <c r="E14135" s="626"/>
      <c r="F14135" s="626"/>
    </row>
    <row r="14136" spans="1:6">
      <c r="A14136" t="str">
        <f t="shared" si="220"/>
        <v/>
      </c>
      <c r="E14136" s="626"/>
      <c r="F14136" s="626"/>
    </row>
    <row r="14137" spans="1:6">
      <c r="A14137" t="str">
        <f t="shared" si="220"/>
        <v/>
      </c>
      <c r="E14137" s="626"/>
      <c r="F14137" s="626"/>
    </row>
    <row r="14138" spans="1:6">
      <c r="A14138" t="str">
        <f t="shared" si="220"/>
        <v/>
      </c>
      <c r="E14138" s="626"/>
      <c r="F14138" s="626"/>
    </row>
    <row r="14139" spans="1:6">
      <c r="A14139" t="str">
        <f t="shared" si="220"/>
        <v/>
      </c>
      <c r="E14139" s="626"/>
      <c r="F14139" s="626"/>
    </row>
    <row r="14140" spans="1:6">
      <c r="A14140" t="str">
        <f t="shared" si="220"/>
        <v/>
      </c>
      <c r="E14140" s="626"/>
      <c r="F14140" s="626"/>
    </row>
    <row r="14141" spans="1:6">
      <c r="A14141" t="str">
        <f t="shared" si="220"/>
        <v/>
      </c>
      <c r="E14141" s="626"/>
      <c r="F14141" s="626"/>
    </row>
    <row r="14142" spans="1:6">
      <c r="A14142" t="str">
        <f t="shared" si="220"/>
        <v/>
      </c>
      <c r="E14142" s="626"/>
      <c r="F14142" s="626"/>
    </row>
    <row r="14143" spans="1:6">
      <c r="A14143" t="str">
        <f t="shared" si="220"/>
        <v/>
      </c>
      <c r="E14143" s="626"/>
      <c r="F14143" s="626"/>
    </row>
    <row r="14144" spans="1:6">
      <c r="A14144" t="str">
        <f t="shared" si="220"/>
        <v/>
      </c>
      <c r="E14144" s="626"/>
      <c r="F14144" s="626"/>
    </row>
    <row r="14145" spans="1:6">
      <c r="A14145" t="str">
        <f t="shared" si="220"/>
        <v/>
      </c>
      <c r="E14145" s="626"/>
      <c r="F14145" s="626"/>
    </row>
    <row r="14146" spans="1:6">
      <c r="A14146" t="str">
        <f t="shared" ref="A14146:A14209" si="221">B14146&amp;E14146&amp;J14146</f>
        <v/>
      </c>
      <c r="E14146" s="626"/>
      <c r="F14146" s="626"/>
    </row>
    <row r="14147" spans="1:6">
      <c r="A14147" t="str">
        <f t="shared" si="221"/>
        <v/>
      </c>
      <c r="E14147" s="626"/>
      <c r="F14147" s="626"/>
    </row>
    <row r="14148" spans="1:6">
      <c r="A14148" t="str">
        <f t="shared" si="221"/>
        <v/>
      </c>
      <c r="E14148" s="626"/>
      <c r="F14148" s="626"/>
    </row>
    <row r="14149" spans="1:6">
      <c r="A14149" t="str">
        <f t="shared" si="221"/>
        <v/>
      </c>
      <c r="E14149" s="626"/>
      <c r="F14149" s="626"/>
    </row>
    <row r="14150" spans="1:6">
      <c r="A14150" t="str">
        <f t="shared" si="221"/>
        <v/>
      </c>
      <c r="E14150" s="626"/>
      <c r="F14150" s="626"/>
    </row>
    <row r="14151" spans="1:6">
      <c r="A14151" t="str">
        <f t="shared" si="221"/>
        <v/>
      </c>
      <c r="E14151" s="626"/>
      <c r="F14151" s="626"/>
    </row>
    <row r="14152" spans="1:6">
      <c r="A14152" t="str">
        <f t="shared" si="221"/>
        <v/>
      </c>
      <c r="E14152" s="626"/>
      <c r="F14152" s="626"/>
    </row>
    <row r="14153" spans="1:6">
      <c r="A14153" t="str">
        <f t="shared" si="221"/>
        <v/>
      </c>
      <c r="E14153" s="626"/>
      <c r="F14153" s="626"/>
    </row>
    <row r="14154" spans="1:6">
      <c r="A14154" t="str">
        <f t="shared" si="221"/>
        <v/>
      </c>
      <c r="E14154" s="626"/>
      <c r="F14154" s="626"/>
    </row>
    <row r="14155" spans="1:6">
      <c r="A14155" t="str">
        <f t="shared" si="221"/>
        <v/>
      </c>
      <c r="E14155" s="626"/>
      <c r="F14155" s="626"/>
    </row>
    <row r="14156" spans="1:6">
      <c r="A14156" t="str">
        <f t="shared" si="221"/>
        <v/>
      </c>
      <c r="E14156" s="626"/>
      <c r="F14156" s="626"/>
    </row>
    <row r="14157" spans="1:6">
      <c r="A14157" t="str">
        <f t="shared" si="221"/>
        <v/>
      </c>
      <c r="E14157" s="626"/>
      <c r="F14157" s="626"/>
    </row>
    <row r="14158" spans="1:6">
      <c r="A14158" t="str">
        <f t="shared" si="221"/>
        <v/>
      </c>
      <c r="E14158" s="626"/>
      <c r="F14158" s="626"/>
    </row>
    <row r="14159" spans="1:6">
      <c r="A14159" t="str">
        <f t="shared" si="221"/>
        <v/>
      </c>
      <c r="E14159" s="626"/>
      <c r="F14159" s="626"/>
    </row>
    <row r="14160" spans="1:6">
      <c r="A14160" t="str">
        <f t="shared" si="221"/>
        <v/>
      </c>
      <c r="E14160" s="626"/>
      <c r="F14160" s="626"/>
    </row>
    <row r="14161" spans="1:6">
      <c r="A14161" t="str">
        <f t="shared" si="221"/>
        <v/>
      </c>
      <c r="E14161" s="626"/>
      <c r="F14161" s="626"/>
    </row>
    <row r="14162" spans="1:6">
      <c r="A14162" t="str">
        <f t="shared" si="221"/>
        <v/>
      </c>
      <c r="E14162" s="626"/>
      <c r="F14162" s="626"/>
    </row>
    <row r="14163" spans="1:6">
      <c r="A14163" t="str">
        <f t="shared" si="221"/>
        <v/>
      </c>
      <c r="E14163" s="626"/>
      <c r="F14163" s="626"/>
    </row>
    <row r="14164" spans="1:6">
      <c r="A14164" t="str">
        <f t="shared" si="221"/>
        <v/>
      </c>
      <c r="E14164" s="626"/>
      <c r="F14164" s="626"/>
    </row>
    <row r="14165" spans="1:6">
      <c r="A14165" t="str">
        <f t="shared" si="221"/>
        <v/>
      </c>
      <c r="E14165" s="626"/>
      <c r="F14165" s="626"/>
    </row>
    <row r="14166" spans="1:6">
      <c r="A14166" t="str">
        <f t="shared" si="221"/>
        <v/>
      </c>
      <c r="E14166" s="626"/>
      <c r="F14166" s="626"/>
    </row>
    <row r="14167" spans="1:6">
      <c r="A14167" t="str">
        <f t="shared" si="221"/>
        <v/>
      </c>
      <c r="E14167" s="626"/>
      <c r="F14167" s="626"/>
    </row>
    <row r="14168" spans="1:6">
      <c r="A14168" t="str">
        <f t="shared" si="221"/>
        <v/>
      </c>
      <c r="E14168" s="626"/>
      <c r="F14168" s="626"/>
    </row>
    <row r="14169" spans="1:6">
      <c r="A14169" t="str">
        <f t="shared" si="221"/>
        <v/>
      </c>
      <c r="E14169" s="626"/>
      <c r="F14169" s="626"/>
    </row>
    <row r="14170" spans="1:6">
      <c r="A14170" t="str">
        <f t="shared" si="221"/>
        <v/>
      </c>
      <c r="E14170" s="626"/>
      <c r="F14170" s="626"/>
    </row>
    <row r="14171" spans="1:6">
      <c r="A14171" t="str">
        <f t="shared" si="221"/>
        <v/>
      </c>
      <c r="E14171" s="626"/>
      <c r="F14171" s="626"/>
    </row>
    <row r="14172" spans="1:6">
      <c r="A14172" t="str">
        <f t="shared" si="221"/>
        <v/>
      </c>
      <c r="E14172" s="626"/>
      <c r="F14172" s="626"/>
    </row>
    <row r="14173" spans="1:6">
      <c r="A14173" t="str">
        <f t="shared" si="221"/>
        <v/>
      </c>
      <c r="E14173" s="626"/>
      <c r="F14173" s="626"/>
    </row>
    <row r="14174" spans="1:6">
      <c r="A14174" t="str">
        <f t="shared" si="221"/>
        <v/>
      </c>
      <c r="E14174" s="626"/>
      <c r="F14174" s="626"/>
    </row>
    <row r="14175" spans="1:6">
      <c r="A14175" t="str">
        <f t="shared" si="221"/>
        <v/>
      </c>
      <c r="E14175" s="626"/>
      <c r="F14175" s="626"/>
    </row>
    <row r="14176" spans="1:6">
      <c r="A14176" t="str">
        <f t="shared" si="221"/>
        <v/>
      </c>
      <c r="E14176" s="626"/>
      <c r="F14176" s="626"/>
    </row>
    <row r="14177" spans="1:6">
      <c r="A14177" t="str">
        <f t="shared" si="221"/>
        <v/>
      </c>
      <c r="E14177" s="626"/>
      <c r="F14177" s="626"/>
    </row>
    <row r="14178" spans="1:6">
      <c r="A14178" t="str">
        <f t="shared" si="221"/>
        <v/>
      </c>
      <c r="E14178" s="626"/>
      <c r="F14178" s="626"/>
    </row>
    <row r="14179" spans="1:6">
      <c r="A14179" t="str">
        <f t="shared" si="221"/>
        <v/>
      </c>
      <c r="E14179" s="626"/>
      <c r="F14179" s="626"/>
    </row>
    <row r="14180" spans="1:6">
      <c r="A14180" t="str">
        <f t="shared" si="221"/>
        <v/>
      </c>
      <c r="E14180" s="626"/>
      <c r="F14180" s="626"/>
    </row>
    <row r="14181" spans="1:6">
      <c r="A14181" t="str">
        <f t="shared" si="221"/>
        <v/>
      </c>
      <c r="E14181" s="626"/>
      <c r="F14181" s="626"/>
    </row>
    <row r="14182" spans="1:6">
      <c r="A14182" t="str">
        <f t="shared" si="221"/>
        <v/>
      </c>
      <c r="E14182" s="626"/>
      <c r="F14182" s="626"/>
    </row>
    <row r="14183" spans="1:6">
      <c r="A14183" t="str">
        <f t="shared" si="221"/>
        <v/>
      </c>
      <c r="E14183" s="626"/>
      <c r="F14183" s="626"/>
    </row>
    <row r="14184" spans="1:6">
      <c r="A14184" t="str">
        <f t="shared" si="221"/>
        <v/>
      </c>
      <c r="E14184" s="626"/>
      <c r="F14184" s="626"/>
    </row>
    <row r="14185" spans="1:6">
      <c r="A14185" t="str">
        <f t="shared" si="221"/>
        <v/>
      </c>
      <c r="E14185" s="626"/>
      <c r="F14185" s="626"/>
    </row>
    <row r="14186" spans="1:6">
      <c r="A14186" t="str">
        <f t="shared" si="221"/>
        <v/>
      </c>
      <c r="E14186" s="626"/>
      <c r="F14186" s="626"/>
    </row>
    <row r="14187" spans="1:6">
      <c r="A14187" t="str">
        <f t="shared" si="221"/>
        <v/>
      </c>
      <c r="E14187" s="626"/>
      <c r="F14187" s="626"/>
    </row>
    <row r="14188" spans="1:6">
      <c r="A14188" t="str">
        <f t="shared" si="221"/>
        <v/>
      </c>
      <c r="E14188" s="626"/>
      <c r="F14188" s="626"/>
    </row>
    <row r="14189" spans="1:6">
      <c r="A14189" t="str">
        <f t="shared" si="221"/>
        <v/>
      </c>
      <c r="E14189" s="626"/>
      <c r="F14189" s="626"/>
    </row>
    <row r="14190" spans="1:6">
      <c r="A14190" t="str">
        <f t="shared" si="221"/>
        <v/>
      </c>
      <c r="E14190" s="626"/>
      <c r="F14190" s="626"/>
    </row>
    <row r="14191" spans="1:6">
      <c r="A14191" t="str">
        <f t="shared" si="221"/>
        <v/>
      </c>
      <c r="E14191" s="626"/>
      <c r="F14191" s="626"/>
    </row>
    <row r="14192" spans="1:6">
      <c r="A14192" t="str">
        <f t="shared" si="221"/>
        <v/>
      </c>
      <c r="E14192" s="626"/>
      <c r="F14192" s="626"/>
    </row>
    <row r="14193" spans="1:6">
      <c r="A14193" t="str">
        <f t="shared" si="221"/>
        <v/>
      </c>
      <c r="E14193" s="626"/>
      <c r="F14193" s="626"/>
    </row>
    <row r="14194" spans="1:6">
      <c r="A14194" t="str">
        <f t="shared" si="221"/>
        <v/>
      </c>
      <c r="E14194" s="626"/>
      <c r="F14194" s="626"/>
    </row>
    <row r="14195" spans="1:6">
      <c r="A14195" t="str">
        <f t="shared" si="221"/>
        <v/>
      </c>
      <c r="E14195" s="626"/>
      <c r="F14195" s="626"/>
    </row>
    <row r="14196" spans="1:6">
      <c r="A14196" t="str">
        <f t="shared" si="221"/>
        <v/>
      </c>
      <c r="E14196" s="626"/>
      <c r="F14196" s="626"/>
    </row>
    <row r="14197" spans="1:6">
      <c r="A14197" t="str">
        <f t="shared" si="221"/>
        <v/>
      </c>
      <c r="E14197" s="626"/>
      <c r="F14197" s="626"/>
    </row>
    <row r="14198" spans="1:6">
      <c r="A14198" t="str">
        <f t="shared" si="221"/>
        <v/>
      </c>
      <c r="E14198" s="626"/>
      <c r="F14198" s="626"/>
    </row>
    <row r="14199" spans="1:6">
      <c r="A14199" t="str">
        <f t="shared" si="221"/>
        <v/>
      </c>
      <c r="E14199" s="626"/>
      <c r="F14199" s="626"/>
    </row>
    <row r="14200" spans="1:6">
      <c r="A14200" t="str">
        <f t="shared" si="221"/>
        <v/>
      </c>
      <c r="E14200" s="626"/>
      <c r="F14200" s="626"/>
    </row>
    <row r="14201" spans="1:6">
      <c r="A14201" t="str">
        <f t="shared" si="221"/>
        <v/>
      </c>
      <c r="E14201" s="626"/>
      <c r="F14201" s="626"/>
    </row>
    <row r="14202" spans="1:6">
      <c r="A14202" t="str">
        <f t="shared" si="221"/>
        <v/>
      </c>
      <c r="E14202" s="626"/>
      <c r="F14202" s="626"/>
    </row>
    <row r="14203" spans="1:6">
      <c r="A14203" t="str">
        <f t="shared" si="221"/>
        <v/>
      </c>
      <c r="E14203" s="626"/>
      <c r="F14203" s="626"/>
    </row>
    <row r="14204" spans="1:6">
      <c r="A14204" t="str">
        <f t="shared" si="221"/>
        <v/>
      </c>
      <c r="E14204" s="626"/>
      <c r="F14204" s="626"/>
    </row>
    <row r="14205" spans="1:6">
      <c r="A14205" t="str">
        <f t="shared" si="221"/>
        <v/>
      </c>
      <c r="E14205" s="626"/>
      <c r="F14205" s="626"/>
    </row>
    <row r="14206" spans="1:6">
      <c r="A14206" t="str">
        <f t="shared" si="221"/>
        <v/>
      </c>
      <c r="E14206" s="626"/>
      <c r="F14206" s="626"/>
    </row>
    <row r="14207" spans="1:6">
      <c r="A14207" t="str">
        <f t="shared" si="221"/>
        <v/>
      </c>
      <c r="E14207" s="626"/>
      <c r="F14207" s="626"/>
    </row>
    <row r="14208" spans="1:6">
      <c r="A14208" t="str">
        <f t="shared" si="221"/>
        <v/>
      </c>
      <c r="E14208" s="626"/>
      <c r="F14208" s="626"/>
    </row>
    <row r="14209" spans="1:6">
      <c r="A14209" t="str">
        <f t="shared" si="221"/>
        <v/>
      </c>
      <c r="E14209" s="626"/>
      <c r="F14209" s="626"/>
    </row>
    <row r="14210" spans="1:6">
      <c r="A14210" t="str">
        <f t="shared" ref="A14210:A14273" si="222">B14210&amp;E14210&amp;J14210</f>
        <v/>
      </c>
      <c r="E14210" s="626"/>
      <c r="F14210" s="626"/>
    </row>
    <row r="14211" spans="1:6">
      <c r="A14211" t="str">
        <f t="shared" si="222"/>
        <v/>
      </c>
      <c r="E14211" s="626"/>
      <c r="F14211" s="626"/>
    </row>
    <row r="14212" spans="1:6">
      <c r="A14212" t="str">
        <f t="shared" si="222"/>
        <v/>
      </c>
      <c r="E14212" s="626"/>
      <c r="F14212" s="626"/>
    </row>
    <row r="14213" spans="1:6">
      <c r="A14213" t="str">
        <f t="shared" si="222"/>
        <v/>
      </c>
      <c r="E14213" s="626"/>
      <c r="F14213" s="626"/>
    </row>
    <row r="14214" spans="1:6">
      <c r="A14214" t="str">
        <f t="shared" si="222"/>
        <v/>
      </c>
      <c r="E14214" s="626"/>
      <c r="F14214" s="626"/>
    </row>
    <row r="14215" spans="1:6">
      <c r="A14215" t="str">
        <f t="shared" si="222"/>
        <v/>
      </c>
      <c r="E14215" s="626"/>
      <c r="F14215" s="626"/>
    </row>
    <row r="14216" spans="1:6">
      <c r="A14216" t="str">
        <f t="shared" si="222"/>
        <v/>
      </c>
      <c r="E14216" s="626"/>
      <c r="F14216" s="626"/>
    </row>
    <row r="14217" spans="1:6">
      <c r="A14217" t="str">
        <f t="shared" si="222"/>
        <v/>
      </c>
      <c r="E14217" s="626"/>
      <c r="F14217" s="626"/>
    </row>
    <row r="14218" spans="1:6">
      <c r="A14218" t="str">
        <f t="shared" si="222"/>
        <v/>
      </c>
      <c r="E14218" s="626"/>
      <c r="F14218" s="626"/>
    </row>
    <row r="14219" spans="1:6">
      <c r="A14219" t="str">
        <f t="shared" si="222"/>
        <v/>
      </c>
      <c r="E14219" s="626"/>
      <c r="F14219" s="626"/>
    </row>
    <row r="14220" spans="1:6">
      <c r="A14220" t="str">
        <f t="shared" si="222"/>
        <v/>
      </c>
      <c r="E14220" s="626"/>
      <c r="F14220" s="626"/>
    </row>
    <row r="14221" spans="1:6">
      <c r="A14221" t="str">
        <f t="shared" si="222"/>
        <v/>
      </c>
      <c r="E14221" s="626"/>
      <c r="F14221" s="626"/>
    </row>
    <row r="14222" spans="1:6">
      <c r="A14222" t="str">
        <f t="shared" si="222"/>
        <v/>
      </c>
      <c r="E14222" s="626"/>
      <c r="F14222" s="626"/>
    </row>
    <row r="14223" spans="1:6">
      <c r="A14223" t="str">
        <f t="shared" si="222"/>
        <v/>
      </c>
      <c r="E14223" s="626"/>
      <c r="F14223" s="626"/>
    </row>
    <row r="14224" spans="1:6">
      <c r="A14224" t="str">
        <f t="shared" si="222"/>
        <v/>
      </c>
      <c r="E14224" s="626"/>
      <c r="F14224" s="626"/>
    </row>
    <row r="14225" spans="1:6">
      <c r="A14225" t="str">
        <f t="shared" si="222"/>
        <v/>
      </c>
      <c r="E14225" s="626"/>
      <c r="F14225" s="626"/>
    </row>
    <row r="14226" spans="1:6">
      <c r="A14226" t="str">
        <f t="shared" si="222"/>
        <v/>
      </c>
      <c r="E14226" s="626"/>
      <c r="F14226" s="626"/>
    </row>
    <row r="14227" spans="1:6">
      <c r="A14227" t="str">
        <f t="shared" si="222"/>
        <v/>
      </c>
      <c r="E14227" s="626"/>
      <c r="F14227" s="626"/>
    </row>
    <row r="14228" spans="1:6">
      <c r="A14228" t="str">
        <f t="shared" si="222"/>
        <v/>
      </c>
      <c r="E14228" s="626"/>
      <c r="F14228" s="626"/>
    </row>
    <row r="14229" spans="1:6">
      <c r="A14229" t="str">
        <f t="shared" si="222"/>
        <v/>
      </c>
      <c r="E14229" s="626"/>
      <c r="F14229" s="626"/>
    </row>
    <row r="14230" spans="1:6">
      <c r="A14230" t="str">
        <f t="shared" si="222"/>
        <v/>
      </c>
      <c r="E14230" s="626"/>
      <c r="F14230" s="626"/>
    </row>
    <row r="14231" spans="1:6">
      <c r="A14231" t="str">
        <f t="shared" si="222"/>
        <v/>
      </c>
      <c r="E14231" s="626"/>
      <c r="F14231" s="626"/>
    </row>
    <row r="14232" spans="1:6">
      <c r="A14232" t="str">
        <f t="shared" si="222"/>
        <v/>
      </c>
      <c r="E14232" s="626"/>
      <c r="F14232" s="626"/>
    </row>
    <row r="14233" spans="1:6">
      <c r="A14233" t="str">
        <f t="shared" si="222"/>
        <v/>
      </c>
      <c r="E14233" s="626"/>
      <c r="F14233" s="626"/>
    </row>
    <row r="14234" spans="1:6">
      <c r="A14234" t="str">
        <f t="shared" si="222"/>
        <v/>
      </c>
      <c r="E14234" s="626"/>
      <c r="F14234" s="626"/>
    </row>
    <row r="14235" spans="1:6">
      <c r="A14235" t="str">
        <f t="shared" si="222"/>
        <v/>
      </c>
      <c r="E14235" s="626"/>
      <c r="F14235" s="626"/>
    </row>
    <row r="14236" spans="1:6">
      <c r="A14236" t="str">
        <f t="shared" si="222"/>
        <v/>
      </c>
      <c r="E14236" s="626"/>
      <c r="F14236" s="626"/>
    </row>
    <row r="14237" spans="1:6">
      <c r="A14237" t="str">
        <f t="shared" si="222"/>
        <v/>
      </c>
      <c r="E14237" s="626"/>
      <c r="F14237" s="626"/>
    </row>
    <row r="14238" spans="1:6">
      <c r="A14238" t="str">
        <f t="shared" si="222"/>
        <v/>
      </c>
      <c r="E14238" s="626"/>
      <c r="F14238" s="626"/>
    </row>
    <row r="14239" spans="1:6">
      <c r="A14239" t="str">
        <f t="shared" si="222"/>
        <v/>
      </c>
      <c r="E14239" s="626"/>
      <c r="F14239" s="626"/>
    </row>
    <row r="14240" spans="1:6">
      <c r="A14240" t="str">
        <f t="shared" si="222"/>
        <v/>
      </c>
      <c r="E14240" s="626"/>
      <c r="F14240" s="626"/>
    </row>
    <row r="14241" spans="1:6">
      <c r="A14241" t="str">
        <f t="shared" si="222"/>
        <v/>
      </c>
      <c r="E14241" s="626"/>
      <c r="F14241" s="626"/>
    </row>
    <row r="14242" spans="1:6">
      <c r="A14242" t="str">
        <f t="shared" si="222"/>
        <v/>
      </c>
      <c r="E14242" s="626"/>
      <c r="F14242" s="626"/>
    </row>
    <row r="14243" spans="1:6">
      <c r="A14243" t="str">
        <f t="shared" si="222"/>
        <v/>
      </c>
      <c r="E14243" s="626"/>
      <c r="F14243" s="626"/>
    </row>
    <row r="14244" spans="1:6">
      <c r="A14244" t="str">
        <f t="shared" si="222"/>
        <v/>
      </c>
      <c r="E14244" s="626"/>
      <c r="F14244" s="626"/>
    </row>
    <row r="14245" spans="1:6">
      <c r="A14245" t="str">
        <f t="shared" si="222"/>
        <v/>
      </c>
      <c r="E14245" s="626"/>
      <c r="F14245" s="626"/>
    </row>
    <row r="14246" spans="1:6">
      <c r="A14246" t="str">
        <f t="shared" si="222"/>
        <v/>
      </c>
      <c r="E14246" s="626"/>
      <c r="F14246" s="626"/>
    </row>
    <row r="14247" spans="1:6">
      <c r="A14247" t="str">
        <f t="shared" si="222"/>
        <v/>
      </c>
      <c r="E14247" s="626"/>
      <c r="F14247" s="626"/>
    </row>
    <row r="14248" spans="1:6">
      <c r="A14248" t="str">
        <f t="shared" si="222"/>
        <v/>
      </c>
      <c r="E14248" s="626"/>
      <c r="F14248" s="626"/>
    </row>
    <row r="14249" spans="1:6">
      <c r="A14249" t="str">
        <f t="shared" si="222"/>
        <v/>
      </c>
      <c r="E14249" s="626"/>
      <c r="F14249" s="626"/>
    </row>
    <row r="14250" spans="1:6">
      <c r="A14250" t="str">
        <f t="shared" si="222"/>
        <v/>
      </c>
      <c r="E14250" s="626"/>
      <c r="F14250" s="626"/>
    </row>
    <row r="14251" spans="1:6">
      <c r="A14251" t="str">
        <f t="shared" si="222"/>
        <v/>
      </c>
      <c r="E14251" s="626"/>
      <c r="F14251" s="626"/>
    </row>
    <row r="14252" spans="1:6">
      <c r="A14252" t="str">
        <f t="shared" si="222"/>
        <v/>
      </c>
      <c r="E14252" s="626"/>
      <c r="F14252" s="626"/>
    </row>
    <row r="14253" spans="1:6">
      <c r="A14253" t="str">
        <f t="shared" si="222"/>
        <v/>
      </c>
      <c r="E14253" s="626"/>
      <c r="F14253" s="626"/>
    </row>
    <row r="14254" spans="1:6">
      <c r="A14254" t="str">
        <f t="shared" si="222"/>
        <v/>
      </c>
      <c r="E14254" s="626"/>
      <c r="F14254" s="626"/>
    </row>
    <row r="14255" spans="1:6">
      <c r="A14255" t="str">
        <f t="shared" si="222"/>
        <v/>
      </c>
      <c r="E14255" s="626"/>
      <c r="F14255" s="626"/>
    </row>
    <row r="14256" spans="1:6">
      <c r="A14256" t="str">
        <f t="shared" si="222"/>
        <v/>
      </c>
      <c r="E14256" s="626"/>
      <c r="F14256" s="626"/>
    </row>
    <row r="14257" spans="1:6">
      <c r="A14257" t="str">
        <f t="shared" si="222"/>
        <v/>
      </c>
      <c r="E14257" s="626"/>
      <c r="F14257" s="626"/>
    </row>
    <row r="14258" spans="1:6">
      <c r="A14258" t="str">
        <f t="shared" si="222"/>
        <v/>
      </c>
      <c r="E14258" s="626"/>
      <c r="F14258" s="626"/>
    </row>
    <row r="14259" spans="1:6">
      <c r="A14259" t="str">
        <f t="shared" si="222"/>
        <v/>
      </c>
      <c r="E14259" s="626"/>
      <c r="F14259" s="626"/>
    </row>
    <row r="14260" spans="1:6">
      <c r="A14260" t="str">
        <f t="shared" si="222"/>
        <v/>
      </c>
      <c r="E14260" s="626"/>
      <c r="F14260" s="626"/>
    </row>
    <row r="14261" spans="1:6">
      <c r="A14261" t="str">
        <f t="shared" si="222"/>
        <v/>
      </c>
      <c r="E14261" s="626"/>
      <c r="F14261" s="626"/>
    </row>
    <row r="14262" spans="1:6">
      <c r="A14262" t="str">
        <f t="shared" si="222"/>
        <v/>
      </c>
      <c r="E14262" s="626"/>
      <c r="F14262" s="626"/>
    </row>
    <row r="14263" spans="1:6">
      <c r="A14263" t="str">
        <f t="shared" si="222"/>
        <v/>
      </c>
      <c r="E14263" s="626"/>
      <c r="F14263" s="626"/>
    </row>
    <row r="14264" spans="1:6">
      <c r="A14264" t="str">
        <f t="shared" si="222"/>
        <v/>
      </c>
      <c r="E14264" s="626"/>
      <c r="F14264" s="626"/>
    </row>
    <row r="14265" spans="1:6">
      <c r="A14265" t="str">
        <f t="shared" si="222"/>
        <v/>
      </c>
      <c r="E14265" s="626"/>
      <c r="F14265" s="626"/>
    </row>
    <row r="14266" spans="1:6">
      <c r="A14266" t="str">
        <f t="shared" si="222"/>
        <v/>
      </c>
      <c r="E14266" s="626"/>
      <c r="F14266" s="626"/>
    </row>
    <row r="14267" spans="1:6">
      <c r="A14267" t="str">
        <f t="shared" si="222"/>
        <v/>
      </c>
      <c r="E14267" s="626"/>
      <c r="F14267" s="626"/>
    </row>
    <row r="14268" spans="1:6">
      <c r="A14268" t="str">
        <f t="shared" si="222"/>
        <v/>
      </c>
      <c r="E14268" s="626"/>
      <c r="F14268" s="626"/>
    </row>
    <row r="14269" spans="1:6">
      <c r="A14269" t="str">
        <f t="shared" si="222"/>
        <v/>
      </c>
      <c r="E14269" s="626"/>
      <c r="F14269" s="626"/>
    </row>
    <row r="14270" spans="1:6">
      <c r="A14270" t="str">
        <f t="shared" si="222"/>
        <v/>
      </c>
      <c r="E14270" s="626"/>
      <c r="F14270" s="626"/>
    </row>
    <row r="14271" spans="1:6">
      <c r="A14271" t="str">
        <f t="shared" si="222"/>
        <v/>
      </c>
      <c r="E14271" s="626"/>
      <c r="F14271" s="626"/>
    </row>
    <row r="14272" spans="1:6">
      <c r="A14272" t="str">
        <f t="shared" si="222"/>
        <v/>
      </c>
      <c r="E14272" s="626"/>
      <c r="F14272" s="626"/>
    </row>
    <row r="14273" spans="1:6">
      <c r="A14273" t="str">
        <f t="shared" si="222"/>
        <v/>
      </c>
      <c r="E14273" s="626"/>
      <c r="F14273" s="626"/>
    </row>
    <row r="14274" spans="1:6">
      <c r="A14274" t="str">
        <f t="shared" ref="A14274:A14337" si="223">B14274&amp;E14274&amp;J14274</f>
        <v/>
      </c>
      <c r="E14274" s="626"/>
      <c r="F14274" s="626"/>
    </row>
    <row r="14275" spans="1:6">
      <c r="A14275" t="str">
        <f t="shared" si="223"/>
        <v/>
      </c>
      <c r="E14275" s="626"/>
      <c r="F14275" s="626"/>
    </row>
    <row r="14276" spans="1:6">
      <c r="A14276" t="str">
        <f t="shared" si="223"/>
        <v/>
      </c>
      <c r="E14276" s="626"/>
      <c r="F14276" s="626"/>
    </row>
    <row r="14277" spans="1:6">
      <c r="A14277" t="str">
        <f t="shared" si="223"/>
        <v/>
      </c>
      <c r="E14277" s="626"/>
      <c r="F14277" s="626"/>
    </row>
    <row r="14278" spans="1:6">
      <c r="A14278" t="str">
        <f t="shared" si="223"/>
        <v/>
      </c>
      <c r="E14278" s="626"/>
      <c r="F14278" s="626"/>
    </row>
    <row r="14279" spans="1:6">
      <c r="A14279" t="str">
        <f t="shared" si="223"/>
        <v/>
      </c>
      <c r="E14279" s="626"/>
      <c r="F14279" s="626"/>
    </row>
    <row r="14280" spans="1:6">
      <c r="A14280" t="str">
        <f t="shared" si="223"/>
        <v/>
      </c>
      <c r="E14280" s="626"/>
      <c r="F14280" s="626"/>
    </row>
    <row r="14281" spans="1:6">
      <c r="A14281" t="str">
        <f t="shared" si="223"/>
        <v/>
      </c>
      <c r="E14281" s="626"/>
      <c r="F14281" s="626"/>
    </row>
    <row r="14282" spans="1:6">
      <c r="A14282" t="str">
        <f t="shared" si="223"/>
        <v/>
      </c>
      <c r="E14282" s="626"/>
      <c r="F14282" s="626"/>
    </row>
    <row r="14283" spans="1:6">
      <c r="A14283" t="str">
        <f t="shared" si="223"/>
        <v/>
      </c>
      <c r="E14283" s="626"/>
      <c r="F14283" s="626"/>
    </row>
    <row r="14284" spans="1:6">
      <c r="A14284" t="str">
        <f t="shared" si="223"/>
        <v/>
      </c>
      <c r="E14284" s="626"/>
      <c r="F14284" s="626"/>
    </row>
    <row r="14285" spans="1:6">
      <c r="A14285" t="str">
        <f t="shared" si="223"/>
        <v/>
      </c>
      <c r="E14285" s="626"/>
      <c r="F14285" s="626"/>
    </row>
    <row r="14286" spans="1:6">
      <c r="A14286" t="str">
        <f t="shared" si="223"/>
        <v/>
      </c>
      <c r="E14286" s="626"/>
      <c r="F14286" s="626"/>
    </row>
    <row r="14287" spans="1:6">
      <c r="A14287" t="str">
        <f t="shared" si="223"/>
        <v/>
      </c>
      <c r="E14287" s="626"/>
      <c r="F14287" s="626"/>
    </row>
    <row r="14288" spans="1:6">
      <c r="A14288" t="str">
        <f t="shared" si="223"/>
        <v/>
      </c>
      <c r="E14288" s="626"/>
      <c r="F14288" s="626"/>
    </row>
    <row r="14289" spans="1:6">
      <c r="A14289" t="str">
        <f t="shared" si="223"/>
        <v/>
      </c>
      <c r="E14289" s="626"/>
      <c r="F14289" s="626"/>
    </row>
    <row r="14290" spans="1:6">
      <c r="A14290" t="str">
        <f t="shared" si="223"/>
        <v/>
      </c>
      <c r="E14290" s="626"/>
      <c r="F14290" s="626"/>
    </row>
    <row r="14291" spans="1:6">
      <c r="A14291" t="str">
        <f t="shared" si="223"/>
        <v/>
      </c>
      <c r="E14291" s="626"/>
      <c r="F14291" s="626"/>
    </row>
    <row r="14292" spans="1:6">
      <c r="A14292" t="str">
        <f t="shared" si="223"/>
        <v/>
      </c>
      <c r="E14292" s="626"/>
      <c r="F14292" s="626"/>
    </row>
    <row r="14293" spans="1:6">
      <c r="A14293" t="str">
        <f t="shared" si="223"/>
        <v/>
      </c>
      <c r="E14293" s="626"/>
      <c r="F14293" s="626"/>
    </row>
    <row r="14294" spans="1:6">
      <c r="A14294" t="str">
        <f t="shared" si="223"/>
        <v/>
      </c>
      <c r="E14294" s="626"/>
      <c r="F14294" s="626"/>
    </row>
    <row r="14295" spans="1:6">
      <c r="A14295" t="str">
        <f t="shared" si="223"/>
        <v/>
      </c>
      <c r="E14295" s="626"/>
      <c r="F14295" s="626"/>
    </row>
    <row r="14296" spans="1:6">
      <c r="A14296" t="str">
        <f t="shared" si="223"/>
        <v/>
      </c>
      <c r="E14296" s="626"/>
      <c r="F14296" s="626"/>
    </row>
    <row r="14297" spans="1:6">
      <c r="A14297" t="str">
        <f t="shared" si="223"/>
        <v/>
      </c>
      <c r="E14297" s="626"/>
      <c r="F14297" s="626"/>
    </row>
    <row r="14298" spans="1:6">
      <c r="A14298" t="str">
        <f t="shared" si="223"/>
        <v/>
      </c>
      <c r="E14298" s="626"/>
      <c r="F14298" s="626"/>
    </row>
    <row r="14299" spans="1:6">
      <c r="A14299" t="str">
        <f t="shared" si="223"/>
        <v/>
      </c>
      <c r="E14299" s="626"/>
      <c r="F14299" s="626"/>
    </row>
    <row r="14300" spans="1:6">
      <c r="A14300" t="str">
        <f t="shared" si="223"/>
        <v/>
      </c>
      <c r="E14300" s="626"/>
      <c r="F14300" s="626"/>
    </row>
    <row r="14301" spans="1:6">
      <c r="A14301" t="str">
        <f t="shared" si="223"/>
        <v/>
      </c>
      <c r="E14301" s="626"/>
      <c r="F14301" s="626"/>
    </row>
    <row r="14302" spans="1:6">
      <c r="A14302" t="str">
        <f t="shared" si="223"/>
        <v/>
      </c>
      <c r="E14302" s="626"/>
      <c r="F14302" s="626"/>
    </row>
    <row r="14303" spans="1:6">
      <c r="A14303" t="str">
        <f t="shared" si="223"/>
        <v/>
      </c>
      <c r="E14303" s="626"/>
      <c r="F14303" s="626"/>
    </row>
    <row r="14304" spans="1:6">
      <c r="A14304" t="str">
        <f t="shared" si="223"/>
        <v/>
      </c>
      <c r="E14304" s="626"/>
      <c r="F14304" s="626"/>
    </row>
    <row r="14305" spans="1:6">
      <c r="A14305" t="str">
        <f t="shared" si="223"/>
        <v/>
      </c>
      <c r="E14305" s="626"/>
      <c r="F14305" s="626"/>
    </row>
    <row r="14306" spans="1:6">
      <c r="A14306" t="str">
        <f t="shared" si="223"/>
        <v/>
      </c>
      <c r="E14306" s="626"/>
      <c r="F14306" s="626"/>
    </row>
    <row r="14307" spans="1:6">
      <c r="A14307" t="str">
        <f t="shared" si="223"/>
        <v/>
      </c>
      <c r="E14307" s="626"/>
      <c r="F14307" s="626"/>
    </row>
    <row r="14308" spans="1:6">
      <c r="A14308" t="str">
        <f t="shared" si="223"/>
        <v/>
      </c>
      <c r="E14308" s="626"/>
      <c r="F14308" s="626"/>
    </row>
    <row r="14309" spans="1:6">
      <c r="A14309" t="str">
        <f t="shared" si="223"/>
        <v/>
      </c>
      <c r="E14309" s="626"/>
      <c r="F14309" s="626"/>
    </row>
    <row r="14310" spans="1:6">
      <c r="A14310" t="str">
        <f t="shared" si="223"/>
        <v/>
      </c>
      <c r="E14310" s="626"/>
      <c r="F14310" s="626"/>
    </row>
    <row r="14311" spans="1:6">
      <c r="A14311" t="str">
        <f t="shared" si="223"/>
        <v/>
      </c>
      <c r="E14311" s="626"/>
      <c r="F14311" s="626"/>
    </row>
    <row r="14312" spans="1:6">
      <c r="A14312" t="str">
        <f t="shared" si="223"/>
        <v/>
      </c>
      <c r="E14312" s="626"/>
      <c r="F14312" s="626"/>
    </row>
    <row r="14313" spans="1:6">
      <c r="A14313" t="str">
        <f t="shared" si="223"/>
        <v/>
      </c>
      <c r="E14313" s="626"/>
      <c r="F14313" s="626"/>
    </row>
    <row r="14314" spans="1:6">
      <c r="A14314" t="str">
        <f t="shared" si="223"/>
        <v/>
      </c>
      <c r="E14314" s="626"/>
      <c r="F14314" s="626"/>
    </row>
    <row r="14315" spans="1:6">
      <c r="A14315" t="str">
        <f t="shared" si="223"/>
        <v/>
      </c>
      <c r="E14315" s="626"/>
      <c r="F14315" s="626"/>
    </row>
    <row r="14316" spans="1:6">
      <c r="A14316" t="str">
        <f t="shared" si="223"/>
        <v/>
      </c>
      <c r="E14316" s="626"/>
      <c r="F14316" s="626"/>
    </row>
    <row r="14317" spans="1:6">
      <c r="A14317" t="str">
        <f t="shared" si="223"/>
        <v/>
      </c>
      <c r="E14317" s="626"/>
      <c r="F14317" s="626"/>
    </row>
    <row r="14318" spans="1:6">
      <c r="A14318" t="str">
        <f t="shared" si="223"/>
        <v/>
      </c>
      <c r="E14318" s="626"/>
      <c r="F14318" s="626"/>
    </row>
    <row r="14319" spans="1:6">
      <c r="A14319" t="str">
        <f t="shared" si="223"/>
        <v/>
      </c>
      <c r="E14319" s="626"/>
      <c r="F14319" s="626"/>
    </row>
    <row r="14320" spans="1:6">
      <c r="A14320" t="str">
        <f t="shared" si="223"/>
        <v/>
      </c>
      <c r="E14320" s="626"/>
      <c r="F14320" s="626"/>
    </row>
    <row r="14321" spans="1:6">
      <c r="A14321" t="str">
        <f t="shared" si="223"/>
        <v/>
      </c>
      <c r="E14321" s="626"/>
      <c r="F14321" s="626"/>
    </row>
    <row r="14322" spans="1:6">
      <c r="A14322" t="str">
        <f t="shared" si="223"/>
        <v/>
      </c>
      <c r="E14322" s="626"/>
      <c r="F14322" s="626"/>
    </row>
    <row r="14323" spans="1:6">
      <c r="A14323" t="str">
        <f t="shared" si="223"/>
        <v/>
      </c>
      <c r="E14323" s="626"/>
      <c r="F14323" s="626"/>
    </row>
    <row r="14324" spans="1:6">
      <c r="A14324" t="str">
        <f t="shared" si="223"/>
        <v/>
      </c>
      <c r="E14324" s="626"/>
      <c r="F14324" s="626"/>
    </row>
    <row r="14325" spans="1:6">
      <c r="A14325" t="str">
        <f t="shared" si="223"/>
        <v/>
      </c>
      <c r="E14325" s="626"/>
      <c r="F14325" s="626"/>
    </row>
    <row r="14326" spans="1:6">
      <c r="A14326" t="str">
        <f t="shared" si="223"/>
        <v/>
      </c>
      <c r="E14326" s="626"/>
      <c r="F14326" s="626"/>
    </row>
    <row r="14327" spans="1:6">
      <c r="A14327" t="str">
        <f t="shared" si="223"/>
        <v/>
      </c>
      <c r="E14327" s="626"/>
      <c r="F14327" s="626"/>
    </row>
    <row r="14328" spans="1:6">
      <c r="A14328" t="str">
        <f t="shared" si="223"/>
        <v/>
      </c>
      <c r="E14328" s="626"/>
      <c r="F14328" s="626"/>
    </row>
    <row r="14329" spans="1:6">
      <c r="A14329" t="str">
        <f t="shared" si="223"/>
        <v/>
      </c>
      <c r="E14329" s="626"/>
      <c r="F14329" s="626"/>
    </row>
    <row r="14330" spans="1:6">
      <c r="A14330" t="str">
        <f t="shared" si="223"/>
        <v/>
      </c>
      <c r="E14330" s="626"/>
      <c r="F14330" s="626"/>
    </row>
    <row r="14331" spans="1:6">
      <c r="A14331" t="str">
        <f t="shared" si="223"/>
        <v/>
      </c>
      <c r="E14331" s="626"/>
      <c r="F14331" s="626"/>
    </row>
    <row r="14332" spans="1:6">
      <c r="A14332" t="str">
        <f t="shared" si="223"/>
        <v/>
      </c>
      <c r="E14332" s="626"/>
      <c r="F14332" s="626"/>
    </row>
    <row r="14333" spans="1:6">
      <c r="A14333" t="str">
        <f t="shared" si="223"/>
        <v/>
      </c>
      <c r="E14333" s="626"/>
      <c r="F14333" s="626"/>
    </row>
    <row r="14334" spans="1:6">
      <c r="A14334" t="str">
        <f t="shared" si="223"/>
        <v/>
      </c>
      <c r="E14334" s="626"/>
      <c r="F14334" s="626"/>
    </row>
    <row r="14335" spans="1:6">
      <c r="A14335" t="str">
        <f t="shared" si="223"/>
        <v/>
      </c>
      <c r="E14335" s="626"/>
      <c r="F14335" s="626"/>
    </row>
    <row r="14336" spans="1:6">
      <c r="A14336" t="str">
        <f t="shared" si="223"/>
        <v/>
      </c>
      <c r="E14336" s="626"/>
      <c r="F14336" s="626"/>
    </row>
    <row r="14337" spans="1:6">
      <c r="A14337" t="str">
        <f t="shared" si="223"/>
        <v/>
      </c>
      <c r="E14337" s="626"/>
      <c r="F14337" s="626"/>
    </row>
    <row r="14338" spans="1:6">
      <c r="A14338" t="str">
        <f t="shared" ref="A14338:A14401" si="224">B14338&amp;E14338&amp;J14338</f>
        <v/>
      </c>
      <c r="E14338" s="626"/>
      <c r="F14338" s="626"/>
    </row>
    <row r="14339" spans="1:6">
      <c r="A14339" t="str">
        <f t="shared" si="224"/>
        <v/>
      </c>
      <c r="E14339" s="626"/>
      <c r="F14339" s="626"/>
    </row>
    <row r="14340" spans="1:6">
      <c r="A14340" t="str">
        <f t="shared" si="224"/>
        <v/>
      </c>
      <c r="E14340" s="626"/>
      <c r="F14340" s="626"/>
    </row>
    <row r="14341" spans="1:6">
      <c r="A14341" t="str">
        <f t="shared" si="224"/>
        <v/>
      </c>
      <c r="E14341" s="626"/>
      <c r="F14341" s="626"/>
    </row>
    <row r="14342" spans="1:6">
      <c r="A14342" t="str">
        <f t="shared" si="224"/>
        <v/>
      </c>
      <c r="E14342" s="626"/>
      <c r="F14342" s="626"/>
    </row>
    <row r="14343" spans="1:6">
      <c r="A14343" t="str">
        <f t="shared" si="224"/>
        <v/>
      </c>
      <c r="E14343" s="626"/>
      <c r="F14343" s="626"/>
    </row>
    <row r="14344" spans="1:6">
      <c r="A14344" t="str">
        <f t="shared" si="224"/>
        <v/>
      </c>
      <c r="E14344" s="626"/>
      <c r="F14344" s="626"/>
    </row>
    <row r="14345" spans="1:6">
      <c r="A14345" t="str">
        <f t="shared" si="224"/>
        <v/>
      </c>
      <c r="E14345" s="626"/>
      <c r="F14345" s="626"/>
    </row>
    <row r="14346" spans="1:6">
      <c r="A14346" t="str">
        <f t="shared" si="224"/>
        <v/>
      </c>
      <c r="E14346" s="626"/>
      <c r="F14346" s="626"/>
    </row>
    <row r="14347" spans="1:6">
      <c r="A14347" t="str">
        <f t="shared" si="224"/>
        <v/>
      </c>
      <c r="E14347" s="626"/>
      <c r="F14347" s="626"/>
    </row>
    <row r="14348" spans="1:6">
      <c r="A14348" t="str">
        <f t="shared" si="224"/>
        <v/>
      </c>
      <c r="E14348" s="626"/>
      <c r="F14348" s="626"/>
    </row>
    <row r="14349" spans="1:6">
      <c r="A14349" t="str">
        <f t="shared" si="224"/>
        <v/>
      </c>
      <c r="E14349" s="626"/>
      <c r="F14349" s="626"/>
    </row>
    <row r="14350" spans="1:6">
      <c r="A14350" t="str">
        <f t="shared" si="224"/>
        <v/>
      </c>
      <c r="E14350" s="626"/>
      <c r="F14350" s="626"/>
    </row>
    <row r="14351" spans="1:6">
      <c r="A14351" t="str">
        <f t="shared" si="224"/>
        <v/>
      </c>
      <c r="E14351" s="626"/>
      <c r="F14351" s="626"/>
    </row>
    <row r="14352" spans="1:6">
      <c r="A14352" t="str">
        <f t="shared" si="224"/>
        <v/>
      </c>
      <c r="E14352" s="626"/>
      <c r="F14352" s="626"/>
    </row>
    <row r="14353" spans="1:6">
      <c r="A14353" t="str">
        <f t="shared" si="224"/>
        <v/>
      </c>
      <c r="E14353" s="626"/>
      <c r="F14353" s="626"/>
    </row>
    <row r="14354" spans="1:6">
      <c r="A14354" t="str">
        <f t="shared" si="224"/>
        <v/>
      </c>
      <c r="E14354" s="626"/>
      <c r="F14354" s="626"/>
    </row>
    <row r="14355" spans="1:6">
      <c r="A14355" t="str">
        <f t="shared" si="224"/>
        <v/>
      </c>
      <c r="E14355" s="626"/>
      <c r="F14355" s="626"/>
    </row>
    <row r="14356" spans="1:6">
      <c r="A14356" t="str">
        <f t="shared" si="224"/>
        <v/>
      </c>
      <c r="E14356" s="626"/>
      <c r="F14356" s="626"/>
    </row>
    <row r="14357" spans="1:6">
      <c r="A14357" t="str">
        <f t="shared" si="224"/>
        <v/>
      </c>
      <c r="E14357" s="626"/>
      <c r="F14357" s="626"/>
    </row>
    <row r="14358" spans="1:6">
      <c r="A14358" t="str">
        <f t="shared" si="224"/>
        <v/>
      </c>
      <c r="E14358" s="626"/>
      <c r="F14358" s="626"/>
    </row>
    <row r="14359" spans="1:6">
      <c r="A14359" t="str">
        <f t="shared" si="224"/>
        <v/>
      </c>
      <c r="E14359" s="626"/>
      <c r="F14359" s="626"/>
    </row>
    <row r="14360" spans="1:6">
      <c r="A14360" t="str">
        <f t="shared" si="224"/>
        <v/>
      </c>
      <c r="E14360" s="626"/>
      <c r="F14360" s="626"/>
    </row>
    <row r="14361" spans="1:6">
      <c r="A14361" t="str">
        <f t="shared" si="224"/>
        <v/>
      </c>
      <c r="E14361" s="626"/>
      <c r="F14361" s="626"/>
    </row>
    <row r="14362" spans="1:6">
      <c r="A14362" t="str">
        <f t="shared" si="224"/>
        <v/>
      </c>
      <c r="E14362" s="626"/>
      <c r="F14362" s="626"/>
    </row>
    <row r="14363" spans="1:6">
      <c r="A14363" t="str">
        <f t="shared" si="224"/>
        <v/>
      </c>
      <c r="E14363" s="626"/>
      <c r="F14363" s="626"/>
    </row>
    <row r="14364" spans="1:6">
      <c r="A14364" t="str">
        <f t="shared" si="224"/>
        <v/>
      </c>
      <c r="E14364" s="626"/>
      <c r="F14364" s="626"/>
    </row>
    <row r="14365" spans="1:6">
      <c r="A14365" t="str">
        <f t="shared" si="224"/>
        <v/>
      </c>
      <c r="E14365" s="626"/>
      <c r="F14365" s="626"/>
    </row>
    <row r="14366" spans="1:6">
      <c r="A14366" t="str">
        <f t="shared" si="224"/>
        <v/>
      </c>
      <c r="E14366" s="626"/>
      <c r="F14366" s="626"/>
    </row>
    <row r="14367" spans="1:6">
      <c r="A14367" t="str">
        <f t="shared" si="224"/>
        <v/>
      </c>
      <c r="E14367" s="626"/>
      <c r="F14367" s="626"/>
    </row>
    <row r="14368" spans="1:6">
      <c r="A14368" t="str">
        <f t="shared" si="224"/>
        <v/>
      </c>
      <c r="E14368" s="626"/>
      <c r="F14368" s="626"/>
    </row>
    <row r="14369" spans="1:6">
      <c r="A14369" t="str">
        <f t="shared" si="224"/>
        <v/>
      </c>
      <c r="E14369" s="626"/>
      <c r="F14369" s="626"/>
    </row>
    <row r="14370" spans="1:6">
      <c r="A14370" t="str">
        <f t="shared" si="224"/>
        <v/>
      </c>
      <c r="E14370" s="626"/>
      <c r="F14370" s="626"/>
    </row>
    <row r="14371" spans="1:6">
      <c r="A14371" t="str">
        <f t="shared" si="224"/>
        <v/>
      </c>
      <c r="E14371" s="626"/>
      <c r="F14371" s="626"/>
    </row>
    <row r="14372" spans="1:6">
      <c r="A14372" t="str">
        <f t="shared" si="224"/>
        <v/>
      </c>
      <c r="E14372" s="626"/>
      <c r="F14372" s="626"/>
    </row>
    <row r="14373" spans="1:6">
      <c r="A14373" t="str">
        <f t="shared" si="224"/>
        <v/>
      </c>
      <c r="E14373" s="626"/>
      <c r="F14373" s="626"/>
    </row>
    <row r="14374" spans="1:6">
      <c r="A14374" t="str">
        <f t="shared" si="224"/>
        <v/>
      </c>
      <c r="E14374" s="626"/>
      <c r="F14374" s="626"/>
    </row>
    <row r="14375" spans="1:6">
      <c r="A14375" t="str">
        <f t="shared" si="224"/>
        <v/>
      </c>
      <c r="E14375" s="626"/>
      <c r="F14375" s="626"/>
    </row>
    <row r="14376" spans="1:6">
      <c r="A14376" t="str">
        <f t="shared" si="224"/>
        <v/>
      </c>
      <c r="E14376" s="626"/>
      <c r="F14376" s="626"/>
    </row>
    <row r="14377" spans="1:6">
      <c r="A14377" t="str">
        <f t="shared" si="224"/>
        <v/>
      </c>
      <c r="E14377" s="626"/>
      <c r="F14377" s="626"/>
    </row>
    <row r="14378" spans="1:6">
      <c r="A14378" t="str">
        <f t="shared" si="224"/>
        <v/>
      </c>
      <c r="E14378" s="626"/>
      <c r="F14378" s="626"/>
    </row>
    <row r="14379" spans="1:6">
      <c r="A14379" t="str">
        <f t="shared" si="224"/>
        <v/>
      </c>
      <c r="E14379" s="626"/>
      <c r="F14379" s="626"/>
    </row>
    <row r="14380" spans="1:6">
      <c r="A14380" t="str">
        <f t="shared" si="224"/>
        <v/>
      </c>
      <c r="E14380" s="626"/>
      <c r="F14380" s="626"/>
    </row>
    <row r="14381" spans="1:6">
      <c r="A14381" t="str">
        <f t="shared" si="224"/>
        <v/>
      </c>
      <c r="E14381" s="626"/>
      <c r="F14381" s="626"/>
    </row>
    <row r="14382" spans="1:6">
      <c r="A14382" t="str">
        <f t="shared" si="224"/>
        <v/>
      </c>
      <c r="E14382" s="626"/>
      <c r="F14382" s="626"/>
    </row>
    <row r="14383" spans="1:6">
      <c r="A14383" t="str">
        <f t="shared" si="224"/>
        <v/>
      </c>
      <c r="E14383" s="626"/>
      <c r="F14383" s="626"/>
    </row>
    <row r="14384" spans="1:6">
      <c r="A14384" t="str">
        <f t="shared" si="224"/>
        <v/>
      </c>
      <c r="E14384" s="626"/>
      <c r="F14384" s="626"/>
    </row>
    <row r="14385" spans="1:6">
      <c r="A14385" t="str">
        <f t="shared" si="224"/>
        <v/>
      </c>
      <c r="E14385" s="626"/>
      <c r="F14385" s="626"/>
    </row>
    <row r="14386" spans="1:6">
      <c r="A14386" t="str">
        <f t="shared" si="224"/>
        <v/>
      </c>
      <c r="E14386" s="626"/>
      <c r="F14386" s="626"/>
    </row>
    <row r="14387" spans="1:6">
      <c r="A14387" t="str">
        <f t="shared" si="224"/>
        <v/>
      </c>
      <c r="E14387" s="626"/>
      <c r="F14387" s="626"/>
    </row>
    <row r="14388" spans="1:6">
      <c r="A14388" t="str">
        <f t="shared" si="224"/>
        <v/>
      </c>
      <c r="E14388" s="626"/>
      <c r="F14388" s="626"/>
    </row>
    <row r="14389" spans="1:6">
      <c r="A14389" t="str">
        <f t="shared" si="224"/>
        <v/>
      </c>
      <c r="E14389" s="626"/>
      <c r="F14389" s="626"/>
    </row>
    <row r="14390" spans="1:6">
      <c r="A14390" t="str">
        <f t="shared" si="224"/>
        <v/>
      </c>
      <c r="E14390" s="626"/>
      <c r="F14390" s="626"/>
    </row>
    <row r="14391" spans="1:6">
      <c r="A14391" t="str">
        <f t="shared" si="224"/>
        <v/>
      </c>
      <c r="E14391" s="626"/>
      <c r="F14391" s="626"/>
    </row>
    <row r="14392" spans="1:6">
      <c r="A14392" t="str">
        <f t="shared" si="224"/>
        <v/>
      </c>
      <c r="E14392" s="626"/>
      <c r="F14392" s="626"/>
    </row>
    <row r="14393" spans="1:6">
      <c r="A14393" t="str">
        <f t="shared" si="224"/>
        <v/>
      </c>
      <c r="E14393" s="626"/>
      <c r="F14393" s="626"/>
    </row>
    <row r="14394" spans="1:6">
      <c r="A14394" t="str">
        <f t="shared" si="224"/>
        <v/>
      </c>
      <c r="E14394" s="626"/>
      <c r="F14394" s="626"/>
    </row>
    <row r="14395" spans="1:6">
      <c r="A14395" t="str">
        <f t="shared" si="224"/>
        <v/>
      </c>
      <c r="E14395" s="626"/>
      <c r="F14395" s="626"/>
    </row>
    <row r="14396" spans="1:6">
      <c r="A14396" t="str">
        <f t="shared" si="224"/>
        <v/>
      </c>
      <c r="E14396" s="626"/>
      <c r="F14396" s="626"/>
    </row>
    <row r="14397" spans="1:6">
      <c r="A14397" t="str">
        <f t="shared" si="224"/>
        <v/>
      </c>
      <c r="E14397" s="626"/>
      <c r="F14397" s="626"/>
    </row>
    <row r="14398" spans="1:6">
      <c r="A14398" t="str">
        <f t="shared" si="224"/>
        <v/>
      </c>
      <c r="E14398" s="626"/>
      <c r="F14398" s="626"/>
    </row>
    <row r="14399" spans="1:6">
      <c r="A14399" t="str">
        <f t="shared" si="224"/>
        <v/>
      </c>
      <c r="E14399" s="626"/>
      <c r="F14399" s="626"/>
    </row>
    <row r="14400" spans="1:6">
      <c r="A14400" t="str">
        <f t="shared" si="224"/>
        <v/>
      </c>
      <c r="E14400" s="626"/>
      <c r="F14400" s="626"/>
    </row>
    <row r="14401" spans="1:6">
      <c r="A14401" t="str">
        <f t="shared" si="224"/>
        <v/>
      </c>
      <c r="E14401" s="626"/>
      <c r="F14401" s="626"/>
    </row>
    <row r="14402" spans="1:6">
      <c r="A14402" t="str">
        <f t="shared" ref="A14402:A14465" si="225">B14402&amp;E14402&amp;J14402</f>
        <v/>
      </c>
      <c r="E14402" s="626"/>
      <c r="F14402" s="626"/>
    </row>
    <row r="14403" spans="1:6">
      <c r="A14403" t="str">
        <f t="shared" si="225"/>
        <v/>
      </c>
      <c r="E14403" s="626"/>
      <c r="F14403" s="626"/>
    </row>
    <row r="14404" spans="1:6">
      <c r="A14404" t="str">
        <f t="shared" si="225"/>
        <v/>
      </c>
      <c r="E14404" s="626"/>
      <c r="F14404" s="626"/>
    </row>
    <row r="14405" spans="1:6">
      <c r="A14405" t="str">
        <f t="shared" si="225"/>
        <v/>
      </c>
      <c r="E14405" s="626"/>
      <c r="F14405" s="626"/>
    </row>
    <row r="14406" spans="1:6">
      <c r="A14406" t="str">
        <f t="shared" si="225"/>
        <v/>
      </c>
      <c r="E14406" s="626"/>
      <c r="F14406" s="626"/>
    </row>
    <row r="14407" spans="1:6">
      <c r="A14407" t="str">
        <f t="shared" si="225"/>
        <v/>
      </c>
      <c r="E14407" s="626"/>
      <c r="F14407" s="626"/>
    </row>
    <row r="14408" spans="1:6">
      <c r="A14408" t="str">
        <f t="shared" si="225"/>
        <v/>
      </c>
      <c r="E14408" s="626"/>
      <c r="F14408" s="626"/>
    </row>
    <row r="14409" spans="1:6">
      <c r="A14409" t="str">
        <f t="shared" si="225"/>
        <v/>
      </c>
      <c r="E14409" s="626"/>
      <c r="F14409" s="626"/>
    </row>
    <row r="14410" spans="1:6">
      <c r="A14410" t="str">
        <f t="shared" si="225"/>
        <v/>
      </c>
      <c r="E14410" s="626"/>
      <c r="F14410" s="626"/>
    </row>
    <row r="14411" spans="1:6">
      <c r="A14411" t="str">
        <f t="shared" si="225"/>
        <v/>
      </c>
      <c r="E14411" s="626"/>
      <c r="F14411" s="626"/>
    </row>
    <row r="14412" spans="1:6">
      <c r="A14412" t="str">
        <f t="shared" si="225"/>
        <v/>
      </c>
      <c r="E14412" s="626"/>
      <c r="F14412" s="626"/>
    </row>
    <row r="14413" spans="1:6">
      <c r="A14413" t="str">
        <f t="shared" si="225"/>
        <v/>
      </c>
      <c r="E14413" s="626"/>
      <c r="F14413" s="626"/>
    </row>
    <row r="14414" spans="1:6">
      <c r="A14414" t="str">
        <f t="shared" si="225"/>
        <v/>
      </c>
      <c r="E14414" s="626"/>
      <c r="F14414" s="626"/>
    </row>
    <row r="14415" spans="1:6">
      <c r="A14415" t="str">
        <f t="shared" si="225"/>
        <v/>
      </c>
      <c r="E14415" s="626"/>
      <c r="F14415" s="626"/>
    </row>
    <row r="14416" spans="1:6">
      <c r="A14416" t="str">
        <f t="shared" si="225"/>
        <v/>
      </c>
      <c r="E14416" s="626"/>
      <c r="F14416" s="626"/>
    </row>
    <row r="14417" spans="1:6">
      <c r="A14417" t="str">
        <f t="shared" si="225"/>
        <v/>
      </c>
      <c r="E14417" s="626"/>
      <c r="F14417" s="626"/>
    </row>
    <row r="14418" spans="1:6">
      <c r="A14418" t="str">
        <f t="shared" si="225"/>
        <v/>
      </c>
      <c r="E14418" s="626"/>
      <c r="F14418" s="626"/>
    </row>
    <row r="14419" spans="1:6">
      <c r="A14419" t="str">
        <f t="shared" si="225"/>
        <v/>
      </c>
      <c r="E14419" s="626"/>
      <c r="F14419" s="626"/>
    </row>
    <row r="14420" spans="1:6">
      <c r="A14420" t="str">
        <f t="shared" si="225"/>
        <v/>
      </c>
      <c r="E14420" s="626"/>
      <c r="F14420" s="626"/>
    </row>
    <row r="14421" spans="1:6">
      <c r="A14421" t="str">
        <f t="shared" si="225"/>
        <v/>
      </c>
      <c r="E14421" s="626"/>
      <c r="F14421" s="626"/>
    </row>
    <row r="14422" spans="1:6">
      <c r="A14422" t="str">
        <f t="shared" si="225"/>
        <v/>
      </c>
      <c r="E14422" s="626"/>
      <c r="F14422" s="626"/>
    </row>
    <row r="14423" spans="1:6">
      <c r="A14423" t="str">
        <f t="shared" si="225"/>
        <v/>
      </c>
      <c r="E14423" s="626"/>
      <c r="F14423" s="626"/>
    </row>
    <row r="14424" spans="1:6">
      <c r="A14424" t="str">
        <f t="shared" si="225"/>
        <v/>
      </c>
      <c r="E14424" s="626"/>
      <c r="F14424" s="626"/>
    </row>
    <row r="14425" spans="1:6">
      <c r="A14425" t="str">
        <f t="shared" si="225"/>
        <v/>
      </c>
      <c r="E14425" s="626"/>
      <c r="F14425" s="626"/>
    </row>
    <row r="14426" spans="1:6">
      <c r="A14426" t="str">
        <f t="shared" si="225"/>
        <v/>
      </c>
      <c r="E14426" s="626"/>
      <c r="F14426" s="626"/>
    </row>
    <row r="14427" spans="1:6">
      <c r="A14427" t="str">
        <f t="shared" si="225"/>
        <v/>
      </c>
      <c r="E14427" s="626"/>
      <c r="F14427" s="626"/>
    </row>
    <row r="14428" spans="1:6">
      <c r="A14428" t="str">
        <f t="shared" si="225"/>
        <v/>
      </c>
      <c r="E14428" s="626"/>
      <c r="F14428" s="626"/>
    </row>
    <row r="14429" spans="1:6">
      <c r="A14429" t="str">
        <f t="shared" si="225"/>
        <v/>
      </c>
      <c r="E14429" s="626"/>
      <c r="F14429" s="626"/>
    </row>
    <row r="14430" spans="1:6">
      <c r="A14430" t="str">
        <f t="shared" si="225"/>
        <v/>
      </c>
      <c r="E14430" s="626"/>
      <c r="F14430" s="626"/>
    </row>
    <row r="14431" spans="1:6">
      <c r="A14431" t="str">
        <f t="shared" si="225"/>
        <v/>
      </c>
      <c r="E14431" s="626"/>
      <c r="F14431" s="626"/>
    </row>
    <row r="14432" spans="1:6">
      <c r="A14432" t="str">
        <f t="shared" si="225"/>
        <v/>
      </c>
      <c r="E14432" s="626"/>
      <c r="F14432" s="626"/>
    </row>
    <row r="14433" spans="1:6">
      <c r="A14433" t="str">
        <f t="shared" si="225"/>
        <v/>
      </c>
      <c r="E14433" s="626"/>
      <c r="F14433" s="626"/>
    </row>
    <row r="14434" spans="1:6">
      <c r="A14434" t="str">
        <f t="shared" si="225"/>
        <v/>
      </c>
      <c r="E14434" s="626"/>
      <c r="F14434" s="626"/>
    </row>
    <row r="14435" spans="1:6">
      <c r="A14435" t="str">
        <f t="shared" si="225"/>
        <v/>
      </c>
      <c r="E14435" s="626"/>
      <c r="F14435" s="626"/>
    </row>
    <row r="14436" spans="1:6">
      <c r="A14436" t="str">
        <f t="shared" si="225"/>
        <v/>
      </c>
      <c r="E14436" s="626"/>
      <c r="F14436" s="626"/>
    </row>
    <row r="14437" spans="1:6">
      <c r="A14437" t="str">
        <f t="shared" si="225"/>
        <v/>
      </c>
      <c r="E14437" s="626"/>
      <c r="F14437" s="626"/>
    </row>
    <row r="14438" spans="1:6">
      <c r="A14438" t="str">
        <f t="shared" si="225"/>
        <v/>
      </c>
      <c r="E14438" s="626"/>
      <c r="F14438" s="626"/>
    </row>
    <row r="14439" spans="1:6">
      <c r="A14439" t="str">
        <f t="shared" si="225"/>
        <v/>
      </c>
      <c r="E14439" s="626"/>
      <c r="F14439" s="626"/>
    </row>
    <row r="14440" spans="1:6">
      <c r="A14440" t="str">
        <f t="shared" si="225"/>
        <v/>
      </c>
      <c r="E14440" s="626"/>
      <c r="F14440" s="626"/>
    </row>
    <row r="14441" spans="1:6">
      <c r="A14441" t="str">
        <f t="shared" si="225"/>
        <v/>
      </c>
      <c r="E14441" s="626"/>
      <c r="F14441" s="626"/>
    </row>
    <row r="14442" spans="1:6">
      <c r="A14442" t="str">
        <f t="shared" si="225"/>
        <v/>
      </c>
      <c r="E14442" s="626"/>
      <c r="F14442" s="626"/>
    </row>
    <row r="14443" spans="1:6">
      <c r="A14443" t="str">
        <f t="shared" si="225"/>
        <v/>
      </c>
      <c r="E14443" s="626"/>
      <c r="F14443" s="626"/>
    </row>
    <row r="14444" spans="1:6">
      <c r="A14444" t="str">
        <f t="shared" si="225"/>
        <v/>
      </c>
      <c r="E14444" s="626"/>
      <c r="F14444" s="626"/>
    </row>
    <row r="14445" spans="1:6">
      <c r="A14445" t="str">
        <f t="shared" si="225"/>
        <v/>
      </c>
      <c r="E14445" s="626"/>
      <c r="F14445" s="626"/>
    </row>
    <row r="14446" spans="1:6">
      <c r="A14446" t="str">
        <f t="shared" si="225"/>
        <v/>
      </c>
      <c r="E14446" s="626"/>
      <c r="F14446" s="626"/>
    </row>
    <row r="14447" spans="1:6">
      <c r="A14447" t="str">
        <f t="shared" si="225"/>
        <v/>
      </c>
      <c r="E14447" s="626"/>
      <c r="F14447" s="626"/>
    </row>
    <row r="14448" spans="1:6">
      <c r="A14448" t="str">
        <f t="shared" si="225"/>
        <v/>
      </c>
      <c r="E14448" s="626"/>
      <c r="F14448" s="626"/>
    </row>
    <row r="14449" spans="1:6">
      <c r="A14449" t="str">
        <f t="shared" si="225"/>
        <v/>
      </c>
      <c r="E14449" s="626"/>
      <c r="F14449" s="626"/>
    </row>
    <row r="14450" spans="1:6">
      <c r="A14450" t="str">
        <f t="shared" si="225"/>
        <v/>
      </c>
      <c r="E14450" s="626"/>
      <c r="F14450" s="626"/>
    </row>
    <row r="14451" spans="1:6">
      <c r="A14451" t="str">
        <f t="shared" si="225"/>
        <v/>
      </c>
      <c r="E14451" s="626"/>
      <c r="F14451" s="626"/>
    </row>
    <row r="14452" spans="1:6">
      <c r="A14452" t="str">
        <f t="shared" si="225"/>
        <v/>
      </c>
      <c r="E14452" s="626"/>
      <c r="F14452" s="626"/>
    </row>
    <row r="14453" spans="1:6">
      <c r="A14453" t="str">
        <f t="shared" si="225"/>
        <v/>
      </c>
      <c r="E14453" s="626"/>
      <c r="F14453" s="626"/>
    </row>
    <row r="14454" spans="1:6">
      <c r="A14454" t="str">
        <f t="shared" si="225"/>
        <v/>
      </c>
      <c r="E14454" s="626"/>
      <c r="F14454" s="626"/>
    </row>
    <row r="14455" spans="1:6">
      <c r="A14455" t="str">
        <f t="shared" si="225"/>
        <v/>
      </c>
      <c r="E14455" s="626"/>
      <c r="F14455" s="626"/>
    </row>
    <row r="14456" spans="1:6">
      <c r="A14456" t="str">
        <f t="shared" si="225"/>
        <v/>
      </c>
      <c r="E14456" s="626"/>
      <c r="F14456" s="626"/>
    </row>
    <row r="14457" spans="1:6">
      <c r="A14457" t="str">
        <f t="shared" si="225"/>
        <v/>
      </c>
      <c r="E14457" s="626"/>
      <c r="F14457" s="626"/>
    </row>
    <row r="14458" spans="1:6">
      <c r="A14458" t="str">
        <f t="shared" si="225"/>
        <v/>
      </c>
      <c r="E14458" s="626"/>
      <c r="F14458" s="626"/>
    </row>
    <row r="14459" spans="1:6">
      <c r="A14459" t="str">
        <f t="shared" si="225"/>
        <v/>
      </c>
      <c r="E14459" s="626"/>
      <c r="F14459" s="626"/>
    </row>
    <row r="14460" spans="1:6">
      <c r="A14460" t="str">
        <f t="shared" si="225"/>
        <v/>
      </c>
      <c r="E14460" s="626"/>
      <c r="F14460" s="626"/>
    </row>
    <row r="14461" spans="1:6">
      <c r="A14461" t="str">
        <f t="shared" si="225"/>
        <v/>
      </c>
      <c r="E14461" s="626"/>
      <c r="F14461" s="626"/>
    </row>
    <row r="14462" spans="1:6">
      <c r="A14462" t="str">
        <f t="shared" si="225"/>
        <v/>
      </c>
      <c r="E14462" s="626"/>
      <c r="F14462" s="626"/>
    </row>
    <row r="14463" spans="1:6">
      <c r="A14463" t="str">
        <f t="shared" si="225"/>
        <v/>
      </c>
      <c r="E14463" s="626"/>
      <c r="F14463" s="626"/>
    </row>
    <row r="14464" spans="1:6">
      <c r="A14464" t="str">
        <f t="shared" si="225"/>
        <v/>
      </c>
      <c r="E14464" s="626"/>
      <c r="F14464" s="626"/>
    </row>
    <row r="14465" spans="1:6">
      <c r="A14465" t="str">
        <f t="shared" si="225"/>
        <v/>
      </c>
      <c r="E14465" s="626"/>
      <c r="F14465" s="626"/>
    </row>
    <row r="14466" spans="1:6">
      <c r="A14466" t="str">
        <f t="shared" ref="A14466:A14529" si="226">B14466&amp;E14466&amp;J14466</f>
        <v/>
      </c>
      <c r="E14466" s="626"/>
      <c r="F14466" s="626"/>
    </row>
    <row r="14467" spans="1:6">
      <c r="A14467" t="str">
        <f t="shared" si="226"/>
        <v/>
      </c>
      <c r="E14467" s="626"/>
      <c r="F14467" s="626"/>
    </row>
    <row r="14468" spans="1:6">
      <c r="A14468" t="str">
        <f t="shared" si="226"/>
        <v/>
      </c>
      <c r="E14468" s="626"/>
      <c r="F14468" s="626"/>
    </row>
    <row r="14469" spans="1:6">
      <c r="A14469" t="str">
        <f t="shared" si="226"/>
        <v/>
      </c>
      <c r="E14469" s="626"/>
      <c r="F14469" s="626"/>
    </row>
    <row r="14470" spans="1:6">
      <c r="A14470" t="str">
        <f t="shared" si="226"/>
        <v/>
      </c>
      <c r="E14470" s="626"/>
      <c r="F14470" s="626"/>
    </row>
    <row r="14471" spans="1:6">
      <c r="A14471" t="str">
        <f t="shared" si="226"/>
        <v/>
      </c>
      <c r="E14471" s="626"/>
      <c r="F14471" s="626"/>
    </row>
    <row r="14472" spans="1:6">
      <c r="A14472" t="str">
        <f t="shared" si="226"/>
        <v/>
      </c>
      <c r="E14472" s="626"/>
      <c r="F14472" s="626"/>
    </row>
    <row r="14473" spans="1:6">
      <c r="A14473" t="str">
        <f t="shared" si="226"/>
        <v/>
      </c>
      <c r="E14473" s="626"/>
      <c r="F14473" s="626"/>
    </row>
    <row r="14474" spans="1:6">
      <c r="A14474" t="str">
        <f t="shared" si="226"/>
        <v/>
      </c>
      <c r="E14474" s="626"/>
      <c r="F14474" s="626"/>
    </row>
    <row r="14475" spans="1:6">
      <c r="A14475" t="str">
        <f t="shared" si="226"/>
        <v/>
      </c>
      <c r="E14475" s="626"/>
      <c r="F14475" s="626"/>
    </row>
    <row r="14476" spans="1:6">
      <c r="A14476" t="str">
        <f t="shared" si="226"/>
        <v/>
      </c>
      <c r="E14476" s="626"/>
      <c r="F14476" s="626"/>
    </row>
    <row r="14477" spans="1:6">
      <c r="A14477" t="str">
        <f t="shared" si="226"/>
        <v/>
      </c>
      <c r="E14477" s="626"/>
      <c r="F14477" s="626"/>
    </row>
    <row r="14478" spans="1:6">
      <c r="A14478" t="str">
        <f t="shared" si="226"/>
        <v/>
      </c>
      <c r="E14478" s="626"/>
      <c r="F14478" s="626"/>
    </row>
    <row r="14479" spans="1:6">
      <c r="A14479" t="str">
        <f t="shared" si="226"/>
        <v/>
      </c>
      <c r="E14479" s="626"/>
      <c r="F14479" s="626"/>
    </row>
    <row r="14480" spans="1:6">
      <c r="A14480" t="str">
        <f t="shared" si="226"/>
        <v/>
      </c>
      <c r="E14480" s="626"/>
      <c r="F14480" s="626"/>
    </row>
    <row r="14481" spans="1:6">
      <c r="A14481" t="str">
        <f t="shared" si="226"/>
        <v/>
      </c>
      <c r="E14481" s="626"/>
      <c r="F14481" s="626"/>
    </row>
    <row r="14482" spans="1:6">
      <c r="A14482" t="str">
        <f t="shared" si="226"/>
        <v/>
      </c>
      <c r="E14482" s="626"/>
      <c r="F14482" s="626"/>
    </row>
    <row r="14483" spans="1:6">
      <c r="A14483" t="str">
        <f t="shared" si="226"/>
        <v/>
      </c>
      <c r="E14483" s="626"/>
      <c r="F14483" s="626"/>
    </row>
    <row r="14484" spans="1:6">
      <c r="A14484" t="str">
        <f t="shared" si="226"/>
        <v/>
      </c>
      <c r="E14484" s="626"/>
      <c r="F14484" s="626"/>
    </row>
    <row r="14485" spans="1:6">
      <c r="A14485" t="str">
        <f t="shared" si="226"/>
        <v/>
      </c>
      <c r="E14485" s="626"/>
      <c r="F14485" s="626"/>
    </row>
    <row r="14486" spans="1:6">
      <c r="A14486" t="str">
        <f t="shared" si="226"/>
        <v/>
      </c>
      <c r="E14486" s="626"/>
      <c r="F14486" s="626"/>
    </row>
    <row r="14487" spans="1:6">
      <c r="A14487" t="str">
        <f t="shared" si="226"/>
        <v/>
      </c>
      <c r="E14487" s="626"/>
      <c r="F14487" s="626"/>
    </row>
    <row r="14488" spans="1:6">
      <c r="A14488" t="str">
        <f t="shared" si="226"/>
        <v/>
      </c>
      <c r="E14488" s="626"/>
      <c r="F14488" s="626"/>
    </row>
    <row r="14489" spans="1:6">
      <c r="A14489" t="str">
        <f t="shared" si="226"/>
        <v/>
      </c>
      <c r="E14489" s="626"/>
      <c r="F14489" s="626"/>
    </row>
    <row r="14490" spans="1:6">
      <c r="A14490" t="str">
        <f t="shared" si="226"/>
        <v/>
      </c>
      <c r="E14490" s="626"/>
      <c r="F14490" s="626"/>
    </row>
    <row r="14491" spans="1:6">
      <c r="A14491" t="str">
        <f t="shared" si="226"/>
        <v/>
      </c>
      <c r="E14491" s="626"/>
      <c r="F14491" s="626"/>
    </row>
    <row r="14492" spans="1:6">
      <c r="A14492" t="str">
        <f t="shared" si="226"/>
        <v/>
      </c>
      <c r="E14492" s="626"/>
      <c r="F14492" s="626"/>
    </row>
    <row r="14493" spans="1:6">
      <c r="A14493" t="str">
        <f t="shared" si="226"/>
        <v/>
      </c>
      <c r="E14493" s="626"/>
      <c r="F14493" s="626"/>
    </row>
    <row r="14494" spans="1:6">
      <c r="A14494" t="str">
        <f t="shared" si="226"/>
        <v/>
      </c>
      <c r="E14494" s="626"/>
      <c r="F14494" s="626"/>
    </row>
    <row r="14495" spans="1:6">
      <c r="A14495" t="str">
        <f t="shared" si="226"/>
        <v/>
      </c>
      <c r="E14495" s="626"/>
      <c r="F14495" s="626"/>
    </row>
    <row r="14496" spans="1:6">
      <c r="A14496" t="str">
        <f t="shared" si="226"/>
        <v/>
      </c>
      <c r="E14496" s="626"/>
      <c r="F14496" s="626"/>
    </row>
    <row r="14497" spans="1:6">
      <c r="A14497" t="str">
        <f t="shared" si="226"/>
        <v/>
      </c>
      <c r="E14497" s="626"/>
      <c r="F14497" s="626"/>
    </row>
    <row r="14498" spans="1:6">
      <c r="A14498" t="str">
        <f t="shared" si="226"/>
        <v/>
      </c>
      <c r="E14498" s="626"/>
      <c r="F14498" s="626"/>
    </row>
    <row r="14499" spans="1:6">
      <c r="A14499" t="str">
        <f t="shared" si="226"/>
        <v/>
      </c>
      <c r="E14499" s="626"/>
      <c r="F14499" s="626"/>
    </row>
    <row r="14500" spans="1:6">
      <c r="A14500" t="str">
        <f t="shared" si="226"/>
        <v/>
      </c>
      <c r="E14500" s="626"/>
      <c r="F14500" s="626"/>
    </row>
    <row r="14501" spans="1:6">
      <c r="A14501" t="str">
        <f t="shared" si="226"/>
        <v/>
      </c>
      <c r="E14501" s="626"/>
      <c r="F14501" s="626"/>
    </row>
    <row r="14502" spans="1:6">
      <c r="A14502" t="str">
        <f t="shared" si="226"/>
        <v/>
      </c>
      <c r="E14502" s="626"/>
      <c r="F14502" s="626"/>
    </row>
    <row r="14503" spans="1:6">
      <c r="A14503" t="str">
        <f t="shared" si="226"/>
        <v/>
      </c>
      <c r="E14503" s="626"/>
      <c r="F14503" s="626"/>
    </row>
    <row r="14504" spans="1:6">
      <c r="A14504" t="str">
        <f t="shared" si="226"/>
        <v/>
      </c>
      <c r="E14504" s="626"/>
      <c r="F14504" s="626"/>
    </row>
    <row r="14505" spans="1:6">
      <c r="A14505" t="str">
        <f t="shared" si="226"/>
        <v/>
      </c>
      <c r="E14505" s="626"/>
      <c r="F14505" s="626"/>
    </row>
    <row r="14506" spans="1:6">
      <c r="A14506" t="str">
        <f t="shared" si="226"/>
        <v/>
      </c>
      <c r="E14506" s="626"/>
      <c r="F14506" s="626"/>
    </row>
    <row r="14507" spans="1:6">
      <c r="A14507" t="str">
        <f t="shared" si="226"/>
        <v/>
      </c>
      <c r="E14507" s="626"/>
      <c r="F14507" s="626"/>
    </row>
    <row r="14508" spans="1:6">
      <c r="A14508" t="str">
        <f t="shared" si="226"/>
        <v/>
      </c>
      <c r="E14508" s="626"/>
      <c r="F14508" s="626"/>
    </row>
    <row r="14509" spans="1:6">
      <c r="A14509" t="str">
        <f t="shared" si="226"/>
        <v/>
      </c>
      <c r="E14509" s="626"/>
      <c r="F14509" s="626"/>
    </row>
    <row r="14510" spans="1:6">
      <c r="A14510" t="str">
        <f t="shared" si="226"/>
        <v/>
      </c>
      <c r="E14510" s="626"/>
      <c r="F14510" s="626"/>
    </row>
    <row r="14511" spans="1:6">
      <c r="A14511" t="str">
        <f t="shared" si="226"/>
        <v/>
      </c>
      <c r="E14511" s="626"/>
      <c r="F14511" s="626"/>
    </row>
    <row r="14512" spans="1:6">
      <c r="A14512" t="str">
        <f t="shared" si="226"/>
        <v/>
      </c>
      <c r="E14512" s="626"/>
      <c r="F14512" s="626"/>
    </row>
    <row r="14513" spans="1:6">
      <c r="A14513" t="str">
        <f t="shared" si="226"/>
        <v/>
      </c>
      <c r="E14513" s="626"/>
      <c r="F14513" s="626"/>
    </row>
    <row r="14514" spans="1:6">
      <c r="A14514" t="str">
        <f t="shared" si="226"/>
        <v/>
      </c>
      <c r="E14514" s="626"/>
      <c r="F14514" s="626"/>
    </row>
    <row r="14515" spans="1:6">
      <c r="A14515" t="str">
        <f t="shared" si="226"/>
        <v/>
      </c>
      <c r="E14515" s="626"/>
      <c r="F14515" s="626"/>
    </row>
    <row r="14516" spans="1:6">
      <c r="A14516" t="str">
        <f t="shared" si="226"/>
        <v/>
      </c>
      <c r="E14516" s="626"/>
      <c r="F14516" s="626"/>
    </row>
    <row r="14517" spans="1:6">
      <c r="A14517" t="str">
        <f t="shared" si="226"/>
        <v/>
      </c>
      <c r="E14517" s="626"/>
      <c r="F14517" s="626"/>
    </row>
    <row r="14518" spans="1:6">
      <c r="A14518" t="str">
        <f t="shared" si="226"/>
        <v/>
      </c>
      <c r="E14518" s="626"/>
      <c r="F14518" s="626"/>
    </row>
    <row r="14519" spans="1:6">
      <c r="A14519" t="str">
        <f t="shared" si="226"/>
        <v/>
      </c>
      <c r="E14519" s="626"/>
      <c r="F14519" s="626"/>
    </row>
    <row r="14520" spans="1:6">
      <c r="A14520" t="str">
        <f t="shared" si="226"/>
        <v/>
      </c>
      <c r="E14520" s="626"/>
      <c r="F14520" s="626"/>
    </row>
    <row r="14521" spans="1:6">
      <c r="A14521" t="str">
        <f t="shared" si="226"/>
        <v/>
      </c>
      <c r="E14521" s="626"/>
      <c r="F14521" s="626"/>
    </row>
    <row r="14522" spans="1:6">
      <c r="A14522" t="str">
        <f t="shared" si="226"/>
        <v/>
      </c>
      <c r="E14522" s="626"/>
      <c r="F14522" s="626"/>
    </row>
    <row r="14523" spans="1:6">
      <c r="A14523" t="str">
        <f t="shared" si="226"/>
        <v/>
      </c>
      <c r="E14523" s="626"/>
      <c r="F14523" s="626"/>
    </row>
    <row r="14524" spans="1:6">
      <c r="A14524" t="str">
        <f t="shared" si="226"/>
        <v/>
      </c>
      <c r="E14524" s="626"/>
      <c r="F14524" s="626"/>
    </row>
    <row r="14525" spans="1:6">
      <c r="A14525" t="str">
        <f t="shared" si="226"/>
        <v/>
      </c>
      <c r="E14525" s="626"/>
      <c r="F14525" s="626"/>
    </row>
    <row r="14526" spans="1:6">
      <c r="A14526" t="str">
        <f t="shared" si="226"/>
        <v/>
      </c>
      <c r="E14526" s="626"/>
      <c r="F14526" s="626"/>
    </row>
    <row r="14527" spans="1:6">
      <c r="A14527" t="str">
        <f t="shared" si="226"/>
        <v/>
      </c>
      <c r="E14527" s="626"/>
      <c r="F14527" s="626"/>
    </row>
    <row r="14528" spans="1:6">
      <c r="A14528" t="str">
        <f t="shared" si="226"/>
        <v/>
      </c>
      <c r="E14528" s="626"/>
      <c r="F14528" s="626"/>
    </row>
    <row r="14529" spans="1:6">
      <c r="A14529" t="str">
        <f t="shared" si="226"/>
        <v/>
      </c>
      <c r="E14529" s="626"/>
      <c r="F14529" s="626"/>
    </row>
    <row r="14530" spans="1:6">
      <c r="A14530" t="str">
        <f t="shared" ref="A14530:A14593" si="227">B14530&amp;E14530&amp;J14530</f>
        <v/>
      </c>
      <c r="E14530" s="626"/>
      <c r="F14530" s="626"/>
    </row>
    <row r="14531" spans="1:6">
      <c r="A14531" t="str">
        <f t="shared" si="227"/>
        <v/>
      </c>
      <c r="E14531" s="626"/>
      <c r="F14531" s="626"/>
    </row>
    <row r="14532" spans="1:6">
      <c r="A14532" t="str">
        <f t="shared" si="227"/>
        <v/>
      </c>
      <c r="E14532" s="626"/>
      <c r="F14532" s="626"/>
    </row>
    <row r="14533" spans="1:6">
      <c r="A14533" t="str">
        <f t="shared" si="227"/>
        <v/>
      </c>
      <c r="E14533" s="626"/>
      <c r="F14533" s="626"/>
    </row>
    <row r="14534" spans="1:6">
      <c r="A14534" t="str">
        <f t="shared" si="227"/>
        <v/>
      </c>
      <c r="E14534" s="626"/>
      <c r="F14534" s="626"/>
    </row>
    <row r="14535" spans="1:6">
      <c r="A14535" t="str">
        <f t="shared" si="227"/>
        <v/>
      </c>
      <c r="E14535" s="626"/>
      <c r="F14535" s="626"/>
    </row>
    <row r="14536" spans="1:6">
      <c r="A14536" t="str">
        <f t="shared" si="227"/>
        <v/>
      </c>
      <c r="E14536" s="626"/>
      <c r="F14536" s="626"/>
    </row>
    <row r="14537" spans="1:6">
      <c r="A14537" t="str">
        <f t="shared" si="227"/>
        <v/>
      </c>
      <c r="E14537" s="626"/>
      <c r="F14537" s="626"/>
    </row>
    <row r="14538" spans="1:6">
      <c r="A14538" t="str">
        <f t="shared" si="227"/>
        <v/>
      </c>
      <c r="E14538" s="626"/>
      <c r="F14538" s="626"/>
    </row>
    <row r="14539" spans="1:6">
      <c r="A14539" t="str">
        <f t="shared" si="227"/>
        <v/>
      </c>
      <c r="E14539" s="626"/>
      <c r="F14539" s="626"/>
    </row>
    <row r="14540" spans="1:6">
      <c r="A14540" t="str">
        <f t="shared" si="227"/>
        <v/>
      </c>
      <c r="E14540" s="626"/>
      <c r="F14540" s="626"/>
    </row>
    <row r="14541" spans="1:6">
      <c r="A14541" t="str">
        <f t="shared" si="227"/>
        <v/>
      </c>
      <c r="E14541" s="626"/>
      <c r="F14541" s="626"/>
    </row>
    <row r="14542" spans="1:6">
      <c r="A14542" t="str">
        <f t="shared" si="227"/>
        <v/>
      </c>
      <c r="E14542" s="626"/>
      <c r="F14542" s="626"/>
    </row>
    <row r="14543" spans="1:6">
      <c r="A14543" t="str">
        <f t="shared" si="227"/>
        <v/>
      </c>
      <c r="E14543" s="626"/>
      <c r="F14543" s="626"/>
    </row>
    <row r="14544" spans="1:6">
      <c r="A14544" t="str">
        <f t="shared" si="227"/>
        <v/>
      </c>
      <c r="E14544" s="626"/>
      <c r="F14544" s="626"/>
    </row>
    <row r="14545" spans="1:6">
      <c r="A14545" t="str">
        <f t="shared" si="227"/>
        <v/>
      </c>
      <c r="E14545" s="626"/>
      <c r="F14545" s="626"/>
    </row>
    <row r="14546" spans="1:6">
      <c r="A14546" t="str">
        <f t="shared" si="227"/>
        <v/>
      </c>
      <c r="E14546" s="626"/>
      <c r="F14546" s="626"/>
    </row>
    <row r="14547" spans="1:6">
      <c r="A14547" t="str">
        <f t="shared" si="227"/>
        <v/>
      </c>
      <c r="E14547" s="626"/>
      <c r="F14547" s="626"/>
    </row>
    <row r="14548" spans="1:6">
      <c r="A14548" t="str">
        <f t="shared" si="227"/>
        <v/>
      </c>
      <c r="E14548" s="626"/>
      <c r="F14548" s="626"/>
    </row>
    <row r="14549" spans="1:6">
      <c r="A14549" t="str">
        <f t="shared" si="227"/>
        <v/>
      </c>
      <c r="E14549" s="626"/>
      <c r="F14549" s="626"/>
    </row>
    <row r="14550" spans="1:6">
      <c r="A14550" t="str">
        <f t="shared" si="227"/>
        <v/>
      </c>
      <c r="E14550" s="626"/>
      <c r="F14550" s="626"/>
    </row>
    <row r="14551" spans="1:6">
      <c r="A14551" t="str">
        <f t="shared" si="227"/>
        <v/>
      </c>
      <c r="E14551" s="626"/>
      <c r="F14551" s="626"/>
    </row>
    <row r="14552" spans="1:6">
      <c r="A14552" t="str">
        <f t="shared" si="227"/>
        <v/>
      </c>
      <c r="E14552" s="626"/>
      <c r="F14552" s="626"/>
    </row>
    <row r="14553" spans="1:6">
      <c r="A14553" t="str">
        <f t="shared" si="227"/>
        <v/>
      </c>
      <c r="E14553" s="626"/>
      <c r="F14553" s="626"/>
    </row>
    <row r="14554" spans="1:6">
      <c r="A14554" t="str">
        <f t="shared" si="227"/>
        <v/>
      </c>
      <c r="E14554" s="626"/>
      <c r="F14554" s="626"/>
    </row>
    <row r="14555" spans="1:6">
      <c r="A14555" t="str">
        <f t="shared" si="227"/>
        <v/>
      </c>
      <c r="E14555" s="626"/>
      <c r="F14555" s="626"/>
    </row>
    <row r="14556" spans="1:6">
      <c r="A14556" t="str">
        <f t="shared" si="227"/>
        <v/>
      </c>
      <c r="E14556" s="626"/>
      <c r="F14556" s="626"/>
    </row>
    <row r="14557" spans="1:6">
      <c r="A14557" t="str">
        <f t="shared" si="227"/>
        <v/>
      </c>
      <c r="E14557" s="626"/>
      <c r="F14557" s="626"/>
    </row>
    <row r="14558" spans="1:6">
      <c r="A14558" t="str">
        <f t="shared" si="227"/>
        <v/>
      </c>
      <c r="E14558" s="626"/>
      <c r="F14558" s="626"/>
    </row>
    <row r="14559" spans="1:6">
      <c r="A14559" t="str">
        <f t="shared" si="227"/>
        <v/>
      </c>
      <c r="E14559" s="626"/>
      <c r="F14559" s="626"/>
    </row>
    <row r="14560" spans="1:6">
      <c r="A14560" t="str">
        <f t="shared" si="227"/>
        <v/>
      </c>
      <c r="E14560" s="626"/>
      <c r="F14560" s="626"/>
    </row>
    <row r="14561" spans="1:6">
      <c r="A14561" t="str">
        <f t="shared" si="227"/>
        <v/>
      </c>
      <c r="E14561" s="626"/>
      <c r="F14561" s="626"/>
    </row>
    <row r="14562" spans="1:6">
      <c r="A14562" t="str">
        <f t="shared" si="227"/>
        <v/>
      </c>
      <c r="E14562" s="626"/>
      <c r="F14562" s="626"/>
    </row>
    <row r="14563" spans="1:6">
      <c r="A14563" t="str">
        <f t="shared" si="227"/>
        <v/>
      </c>
      <c r="E14563" s="626"/>
      <c r="F14563" s="626"/>
    </row>
    <row r="14564" spans="1:6">
      <c r="A14564" t="str">
        <f t="shared" si="227"/>
        <v/>
      </c>
      <c r="E14564" s="626"/>
      <c r="F14564" s="626"/>
    </row>
    <row r="14565" spans="1:6">
      <c r="A14565" t="str">
        <f t="shared" si="227"/>
        <v/>
      </c>
      <c r="E14565" s="626"/>
      <c r="F14565" s="626"/>
    </row>
    <row r="14566" spans="1:6">
      <c r="A14566" t="str">
        <f t="shared" si="227"/>
        <v/>
      </c>
      <c r="E14566" s="626"/>
      <c r="F14566" s="626"/>
    </row>
    <row r="14567" spans="1:6">
      <c r="A14567" t="str">
        <f t="shared" si="227"/>
        <v/>
      </c>
      <c r="E14567" s="626"/>
      <c r="F14567" s="626"/>
    </row>
    <row r="14568" spans="1:6">
      <c r="A14568" t="str">
        <f t="shared" si="227"/>
        <v/>
      </c>
      <c r="E14568" s="626"/>
      <c r="F14568" s="626"/>
    </row>
    <row r="14569" spans="1:6">
      <c r="A14569" t="str">
        <f t="shared" si="227"/>
        <v/>
      </c>
      <c r="E14569" s="626"/>
      <c r="F14569" s="626"/>
    </row>
    <row r="14570" spans="1:6">
      <c r="A14570" t="str">
        <f t="shared" si="227"/>
        <v/>
      </c>
      <c r="E14570" s="626"/>
      <c r="F14570" s="626"/>
    </row>
    <row r="14571" spans="1:6">
      <c r="A14571" t="str">
        <f t="shared" si="227"/>
        <v/>
      </c>
      <c r="E14571" s="626"/>
      <c r="F14571" s="626"/>
    </row>
    <row r="14572" spans="1:6">
      <c r="A14572" t="str">
        <f t="shared" si="227"/>
        <v/>
      </c>
      <c r="E14572" s="626"/>
      <c r="F14572" s="626"/>
    </row>
    <row r="14573" spans="1:6">
      <c r="A14573" t="str">
        <f t="shared" si="227"/>
        <v/>
      </c>
      <c r="E14573" s="626"/>
      <c r="F14573" s="626"/>
    </row>
    <row r="14574" spans="1:6">
      <c r="A14574" t="str">
        <f t="shared" si="227"/>
        <v/>
      </c>
      <c r="E14574" s="626"/>
      <c r="F14574" s="626"/>
    </row>
    <row r="14575" spans="1:6">
      <c r="A14575" t="str">
        <f t="shared" si="227"/>
        <v/>
      </c>
      <c r="E14575" s="626"/>
      <c r="F14575" s="626"/>
    </row>
    <row r="14576" spans="1:6">
      <c r="A14576" t="str">
        <f t="shared" si="227"/>
        <v/>
      </c>
      <c r="E14576" s="626"/>
      <c r="F14576" s="626"/>
    </row>
    <row r="14577" spans="1:6">
      <c r="A14577" t="str">
        <f t="shared" si="227"/>
        <v/>
      </c>
      <c r="E14577" s="626"/>
      <c r="F14577" s="626"/>
    </row>
    <row r="14578" spans="1:6">
      <c r="A14578" t="str">
        <f t="shared" si="227"/>
        <v/>
      </c>
      <c r="E14578" s="626"/>
      <c r="F14578" s="626"/>
    </row>
    <row r="14579" spans="1:6">
      <c r="A14579" t="str">
        <f t="shared" si="227"/>
        <v/>
      </c>
      <c r="E14579" s="626"/>
      <c r="F14579" s="626"/>
    </row>
    <row r="14580" spans="1:6">
      <c r="A14580" t="str">
        <f t="shared" si="227"/>
        <v/>
      </c>
      <c r="E14580" s="626"/>
      <c r="F14580" s="626"/>
    </row>
    <row r="14581" spans="1:6">
      <c r="A14581" t="str">
        <f t="shared" si="227"/>
        <v/>
      </c>
      <c r="E14581" s="626"/>
      <c r="F14581" s="626"/>
    </row>
    <row r="14582" spans="1:6">
      <c r="A14582" t="str">
        <f t="shared" si="227"/>
        <v/>
      </c>
      <c r="E14582" s="626"/>
      <c r="F14582" s="626"/>
    </row>
    <row r="14583" spans="1:6">
      <c r="A14583" t="str">
        <f t="shared" si="227"/>
        <v/>
      </c>
      <c r="E14583" s="626"/>
      <c r="F14583" s="626"/>
    </row>
    <row r="14584" spans="1:6">
      <c r="A14584" t="str">
        <f t="shared" si="227"/>
        <v/>
      </c>
      <c r="E14584" s="626"/>
      <c r="F14584" s="626"/>
    </row>
    <row r="14585" spans="1:6">
      <c r="A14585" t="str">
        <f t="shared" si="227"/>
        <v/>
      </c>
      <c r="E14585" s="626"/>
      <c r="F14585" s="626"/>
    </row>
    <row r="14586" spans="1:6">
      <c r="A14586" t="str">
        <f t="shared" si="227"/>
        <v/>
      </c>
      <c r="E14586" s="626"/>
      <c r="F14586" s="626"/>
    </row>
    <row r="14587" spans="1:6">
      <c r="A14587" t="str">
        <f t="shared" si="227"/>
        <v/>
      </c>
      <c r="E14587" s="626"/>
      <c r="F14587" s="626"/>
    </row>
    <row r="14588" spans="1:6">
      <c r="A14588" t="str">
        <f t="shared" si="227"/>
        <v/>
      </c>
      <c r="E14588" s="626"/>
      <c r="F14588" s="626"/>
    </row>
    <row r="14589" spans="1:6">
      <c r="A14589" t="str">
        <f t="shared" si="227"/>
        <v/>
      </c>
      <c r="E14589" s="626"/>
      <c r="F14589" s="626"/>
    </row>
    <row r="14590" spans="1:6">
      <c r="A14590" t="str">
        <f t="shared" si="227"/>
        <v/>
      </c>
      <c r="E14590" s="626"/>
      <c r="F14590" s="626"/>
    </row>
    <row r="14591" spans="1:6">
      <c r="A14591" t="str">
        <f t="shared" si="227"/>
        <v/>
      </c>
      <c r="E14591" s="626"/>
      <c r="F14591" s="626"/>
    </row>
    <row r="14592" spans="1:6">
      <c r="A14592" t="str">
        <f t="shared" si="227"/>
        <v/>
      </c>
      <c r="E14592" s="626"/>
      <c r="F14592" s="626"/>
    </row>
    <row r="14593" spans="1:6">
      <c r="A14593" t="str">
        <f t="shared" si="227"/>
        <v/>
      </c>
      <c r="E14593" s="626"/>
      <c r="F14593" s="626"/>
    </row>
    <row r="14594" spans="1:6">
      <c r="A14594" t="str">
        <f t="shared" ref="A14594:A14657" si="228">B14594&amp;E14594&amp;J14594</f>
        <v/>
      </c>
      <c r="E14594" s="626"/>
      <c r="F14594" s="626"/>
    </row>
    <row r="14595" spans="1:6">
      <c r="A14595" t="str">
        <f t="shared" si="228"/>
        <v/>
      </c>
      <c r="E14595" s="626"/>
      <c r="F14595" s="626"/>
    </row>
    <row r="14596" spans="1:6">
      <c r="A14596" t="str">
        <f t="shared" si="228"/>
        <v/>
      </c>
      <c r="E14596" s="626"/>
      <c r="F14596" s="626"/>
    </row>
    <row r="14597" spans="1:6">
      <c r="A14597" t="str">
        <f t="shared" si="228"/>
        <v/>
      </c>
      <c r="E14597" s="626"/>
      <c r="F14597" s="626"/>
    </row>
    <row r="14598" spans="1:6">
      <c r="A14598" t="str">
        <f t="shared" si="228"/>
        <v/>
      </c>
      <c r="E14598" s="626"/>
      <c r="F14598" s="626"/>
    </row>
    <row r="14599" spans="1:6">
      <c r="A14599" t="str">
        <f t="shared" si="228"/>
        <v/>
      </c>
      <c r="E14599" s="626"/>
      <c r="F14599" s="626"/>
    </row>
    <row r="14600" spans="1:6">
      <c r="A14600" t="str">
        <f t="shared" si="228"/>
        <v/>
      </c>
      <c r="E14600" s="626"/>
      <c r="F14600" s="626"/>
    </row>
    <row r="14601" spans="1:6">
      <c r="A14601" t="str">
        <f t="shared" si="228"/>
        <v/>
      </c>
      <c r="E14601" s="626"/>
      <c r="F14601" s="626"/>
    </row>
    <row r="14602" spans="1:6">
      <c r="A14602" t="str">
        <f t="shared" si="228"/>
        <v/>
      </c>
      <c r="E14602" s="626"/>
      <c r="F14602" s="626"/>
    </row>
    <row r="14603" spans="1:6">
      <c r="A14603" t="str">
        <f t="shared" si="228"/>
        <v/>
      </c>
      <c r="E14603" s="626"/>
      <c r="F14603" s="626"/>
    </row>
    <row r="14604" spans="1:6">
      <c r="A14604" t="str">
        <f t="shared" si="228"/>
        <v/>
      </c>
      <c r="E14604" s="626"/>
      <c r="F14604" s="626"/>
    </row>
    <row r="14605" spans="1:6">
      <c r="A14605" t="str">
        <f t="shared" si="228"/>
        <v/>
      </c>
      <c r="E14605" s="626"/>
      <c r="F14605" s="626"/>
    </row>
    <row r="14606" spans="1:6">
      <c r="A14606" t="str">
        <f t="shared" si="228"/>
        <v/>
      </c>
      <c r="E14606" s="626"/>
      <c r="F14606" s="626"/>
    </row>
    <row r="14607" spans="1:6">
      <c r="A14607" t="str">
        <f t="shared" si="228"/>
        <v/>
      </c>
      <c r="E14607" s="626"/>
      <c r="F14607" s="626"/>
    </row>
    <row r="14608" spans="1:6">
      <c r="A14608" t="str">
        <f t="shared" si="228"/>
        <v/>
      </c>
      <c r="E14608" s="626"/>
      <c r="F14608" s="626"/>
    </row>
    <row r="14609" spans="1:6">
      <c r="A14609" t="str">
        <f t="shared" si="228"/>
        <v/>
      </c>
      <c r="E14609" s="626"/>
      <c r="F14609" s="626"/>
    </row>
    <row r="14610" spans="1:6">
      <c r="A14610" t="str">
        <f t="shared" si="228"/>
        <v/>
      </c>
      <c r="E14610" s="626"/>
      <c r="F14610" s="626"/>
    </row>
    <row r="14611" spans="1:6">
      <c r="A14611" t="str">
        <f t="shared" si="228"/>
        <v/>
      </c>
      <c r="E14611" s="626"/>
      <c r="F14611" s="626"/>
    </row>
    <row r="14612" spans="1:6">
      <c r="A14612" t="str">
        <f t="shared" si="228"/>
        <v/>
      </c>
      <c r="E14612" s="626"/>
      <c r="F14612" s="626"/>
    </row>
    <row r="14613" spans="1:6">
      <c r="A14613" t="str">
        <f t="shared" si="228"/>
        <v/>
      </c>
      <c r="E14613" s="626"/>
      <c r="F14613" s="626"/>
    </row>
    <row r="14614" spans="1:6">
      <c r="A14614" t="str">
        <f t="shared" si="228"/>
        <v/>
      </c>
      <c r="E14614" s="626"/>
      <c r="F14614" s="626"/>
    </row>
    <row r="14615" spans="1:6">
      <c r="A14615" t="str">
        <f t="shared" si="228"/>
        <v/>
      </c>
      <c r="E14615" s="626"/>
      <c r="F14615" s="626"/>
    </row>
    <row r="14616" spans="1:6">
      <c r="A14616" t="str">
        <f t="shared" si="228"/>
        <v/>
      </c>
      <c r="E14616" s="626"/>
      <c r="F14616" s="626"/>
    </row>
    <row r="14617" spans="1:6">
      <c r="A14617" t="str">
        <f t="shared" si="228"/>
        <v/>
      </c>
      <c r="E14617" s="626"/>
      <c r="F14617" s="626"/>
    </row>
    <row r="14618" spans="1:6">
      <c r="A14618" t="str">
        <f t="shared" si="228"/>
        <v/>
      </c>
      <c r="E14618" s="626"/>
      <c r="F14618" s="626"/>
    </row>
    <row r="14619" spans="1:6">
      <c r="A14619" t="str">
        <f t="shared" si="228"/>
        <v/>
      </c>
      <c r="E14619" s="626"/>
      <c r="F14619" s="626"/>
    </row>
    <row r="14620" spans="1:6">
      <c r="A14620" t="str">
        <f t="shared" si="228"/>
        <v/>
      </c>
      <c r="E14620" s="626"/>
      <c r="F14620" s="626"/>
    </row>
    <row r="14621" spans="1:6">
      <c r="A14621" t="str">
        <f t="shared" si="228"/>
        <v/>
      </c>
      <c r="E14621" s="626"/>
      <c r="F14621" s="626"/>
    </row>
    <row r="14622" spans="1:6">
      <c r="A14622" t="str">
        <f t="shared" si="228"/>
        <v/>
      </c>
      <c r="E14622" s="626"/>
      <c r="F14622" s="626"/>
    </row>
    <row r="14623" spans="1:6">
      <c r="A14623" t="str">
        <f t="shared" si="228"/>
        <v/>
      </c>
      <c r="E14623" s="626"/>
      <c r="F14623" s="626"/>
    </row>
    <row r="14624" spans="1:6">
      <c r="A14624" t="str">
        <f t="shared" si="228"/>
        <v/>
      </c>
      <c r="E14624" s="626"/>
      <c r="F14624" s="626"/>
    </row>
    <row r="14625" spans="1:6">
      <c r="A14625" t="str">
        <f t="shared" si="228"/>
        <v/>
      </c>
      <c r="E14625" s="626"/>
      <c r="F14625" s="626"/>
    </row>
    <row r="14626" spans="1:6">
      <c r="A14626" t="str">
        <f t="shared" si="228"/>
        <v/>
      </c>
      <c r="E14626" s="626"/>
      <c r="F14626" s="626"/>
    </row>
    <row r="14627" spans="1:6">
      <c r="A14627" t="str">
        <f t="shared" si="228"/>
        <v/>
      </c>
      <c r="E14627" s="626"/>
      <c r="F14627" s="626"/>
    </row>
    <row r="14628" spans="1:6">
      <c r="A14628" t="str">
        <f t="shared" si="228"/>
        <v/>
      </c>
      <c r="E14628" s="626"/>
      <c r="F14628" s="626"/>
    </row>
    <row r="14629" spans="1:6">
      <c r="A14629" t="str">
        <f t="shared" si="228"/>
        <v/>
      </c>
      <c r="E14629" s="626"/>
      <c r="F14629" s="626"/>
    </row>
    <row r="14630" spans="1:6">
      <c r="A14630" t="str">
        <f t="shared" si="228"/>
        <v/>
      </c>
      <c r="E14630" s="626"/>
      <c r="F14630" s="626"/>
    </row>
    <row r="14631" spans="1:6">
      <c r="A14631" t="str">
        <f t="shared" si="228"/>
        <v/>
      </c>
      <c r="E14631" s="626"/>
      <c r="F14631" s="626"/>
    </row>
    <row r="14632" spans="1:6">
      <c r="A14632" t="str">
        <f t="shared" si="228"/>
        <v/>
      </c>
      <c r="E14632" s="626"/>
      <c r="F14632" s="626"/>
    </row>
    <row r="14633" spans="1:6">
      <c r="A14633" t="str">
        <f t="shared" si="228"/>
        <v/>
      </c>
      <c r="E14633" s="626"/>
      <c r="F14633" s="626"/>
    </row>
    <row r="14634" spans="1:6">
      <c r="A14634" t="str">
        <f t="shared" si="228"/>
        <v/>
      </c>
      <c r="E14634" s="626"/>
      <c r="F14634" s="626"/>
    </row>
    <row r="14635" spans="1:6">
      <c r="A14635" t="str">
        <f t="shared" si="228"/>
        <v/>
      </c>
      <c r="E14635" s="626"/>
      <c r="F14635" s="626"/>
    </row>
    <row r="14636" spans="1:6">
      <c r="A14636" t="str">
        <f t="shared" si="228"/>
        <v/>
      </c>
      <c r="E14636" s="626"/>
      <c r="F14636" s="626"/>
    </row>
    <row r="14637" spans="1:6">
      <c r="A14637" t="str">
        <f t="shared" si="228"/>
        <v/>
      </c>
      <c r="E14637" s="626"/>
      <c r="F14637" s="626"/>
    </row>
    <row r="14638" spans="1:6">
      <c r="A14638" t="str">
        <f t="shared" si="228"/>
        <v/>
      </c>
      <c r="E14638" s="626"/>
      <c r="F14638" s="626"/>
    </row>
    <row r="14639" spans="1:6">
      <c r="A14639" t="str">
        <f t="shared" si="228"/>
        <v/>
      </c>
      <c r="E14639" s="626"/>
      <c r="F14639" s="626"/>
    </row>
    <row r="14640" spans="1:6">
      <c r="A14640" t="str">
        <f t="shared" si="228"/>
        <v/>
      </c>
      <c r="E14640" s="626"/>
      <c r="F14640" s="626"/>
    </row>
    <row r="14641" spans="1:6">
      <c r="A14641" t="str">
        <f t="shared" si="228"/>
        <v/>
      </c>
      <c r="E14641" s="626"/>
      <c r="F14641" s="626"/>
    </row>
    <row r="14642" spans="1:6">
      <c r="A14642" t="str">
        <f t="shared" si="228"/>
        <v/>
      </c>
      <c r="E14642" s="626"/>
      <c r="F14642" s="626"/>
    </row>
    <row r="14643" spans="1:6">
      <c r="A14643" t="str">
        <f t="shared" si="228"/>
        <v/>
      </c>
      <c r="E14643" s="626"/>
      <c r="F14643" s="626"/>
    </row>
    <row r="14644" spans="1:6">
      <c r="A14644" t="str">
        <f t="shared" si="228"/>
        <v/>
      </c>
      <c r="E14644" s="626"/>
      <c r="F14644" s="626"/>
    </row>
    <row r="14645" spans="1:6">
      <c r="A14645" t="str">
        <f t="shared" si="228"/>
        <v/>
      </c>
      <c r="E14645" s="626"/>
      <c r="F14645" s="626"/>
    </row>
    <row r="14646" spans="1:6">
      <c r="A14646" t="str">
        <f t="shared" si="228"/>
        <v/>
      </c>
      <c r="E14646" s="626"/>
      <c r="F14646" s="626"/>
    </row>
    <row r="14647" spans="1:6">
      <c r="A14647" t="str">
        <f t="shared" si="228"/>
        <v/>
      </c>
      <c r="E14647" s="626"/>
      <c r="F14647" s="626"/>
    </row>
    <row r="14648" spans="1:6">
      <c r="A14648" t="str">
        <f t="shared" si="228"/>
        <v/>
      </c>
      <c r="E14648" s="626"/>
      <c r="F14648" s="626"/>
    </row>
    <row r="14649" spans="1:6">
      <c r="A14649" t="str">
        <f t="shared" si="228"/>
        <v/>
      </c>
      <c r="E14649" s="626"/>
      <c r="F14649" s="626"/>
    </row>
    <row r="14650" spans="1:6">
      <c r="A14650" t="str">
        <f t="shared" si="228"/>
        <v/>
      </c>
      <c r="E14650" s="626"/>
      <c r="F14650" s="626"/>
    </row>
    <row r="14651" spans="1:6">
      <c r="A14651" t="str">
        <f t="shared" si="228"/>
        <v/>
      </c>
      <c r="E14651" s="626"/>
      <c r="F14651" s="626"/>
    </row>
    <row r="14652" spans="1:6">
      <c r="A14652" t="str">
        <f t="shared" si="228"/>
        <v/>
      </c>
      <c r="E14652" s="626"/>
      <c r="F14652" s="626"/>
    </row>
    <row r="14653" spans="1:6">
      <c r="A14653" t="str">
        <f t="shared" si="228"/>
        <v/>
      </c>
      <c r="E14653" s="626"/>
      <c r="F14653" s="626"/>
    </row>
    <row r="14654" spans="1:6">
      <c r="A14654" t="str">
        <f t="shared" si="228"/>
        <v/>
      </c>
      <c r="E14654" s="626"/>
      <c r="F14654" s="626"/>
    </row>
    <row r="14655" spans="1:6">
      <c r="A14655" t="str">
        <f t="shared" si="228"/>
        <v/>
      </c>
      <c r="E14655" s="626"/>
      <c r="F14655" s="626"/>
    </row>
    <row r="14656" spans="1:6">
      <c r="A14656" t="str">
        <f t="shared" si="228"/>
        <v/>
      </c>
      <c r="E14656" s="626"/>
      <c r="F14656" s="626"/>
    </row>
    <row r="14657" spans="1:6">
      <c r="A14657" t="str">
        <f t="shared" si="228"/>
        <v/>
      </c>
      <c r="E14657" s="626"/>
      <c r="F14657" s="626"/>
    </row>
    <row r="14658" spans="1:6">
      <c r="A14658" t="str">
        <f t="shared" ref="A14658:A14721" si="229">B14658&amp;E14658&amp;J14658</f>
        <v/>
      </c>
      <c r="E14658" s="626"/>
      <c r="F14658" s="626"/>
    </row>
    <row r="14659" spans="1:6">
      <c r="A14659" t="str">
        <f t="shared" si="229"/>
        <v/>
      </c>
      <c r="E14659" s="626"/>
      <c r="F14659" s="626"/>
    </row>
    <row r="14660" spans="1:6">
      <c r="A14660" t="str">
        <f t="shared" si="229"/>
        <v/>
      </c>
      <c r="E14660" s="626"/>
      <c r="F14660" s="626"/>
    </row>
    <row r="14661" spans="1:6">
      <c r="A14661" t="str">
        <f t="shared" si="229"/>
        <v/>
      </c>
      <c r="E14661" s="626"/>
      <c r="F14661" s="626"/>
    </row>
    <row r="14662" spans="1:6">
      <c r="A14662" t="str">
        <f t="shared" si="229"/>
        <v/>
      </c>
      <c r="E14662" s="626"/>
      <c r="F14662" s="626"/>
    </row>
    <row r="14663" spans="1:6">
      <c r="A14663" t="str">
        <f t="shared" si="229"/>
        <v/>
      </c>
      <c r="E14663" s="626"/>
      <c r="F14663" s="626"/>
    </row>
    <row r="14664" spans="1:6">
      <c r="A14664" t="str">
        <f t="shared" si="229"/>
        <v/>
      </c>
      <c r="E14664" s="626"/>
      <c r="F14664" s="626"/>
    </row>
    <row r="14665" spans="1:6">
      <c r="A14665" t="str">
        <f t="shared" si="229"/>
        <v/>
      </c>
      <c r="E14665" s="626"/>
      <c r="F14665" s="626"/>
    </row>
    <row r="14666" spans="1:6">
      <c r="A14666" t="str">
        <f t="shared" si="229"/>
        <v/>
      </c>
      <c r="E14666" s="626"/>
      <c r="F14666" s="626"/>
    </row>
    <row r="14667" spans="1:6">
      <c r="A14667" t="str">
        <f t="shared" si="229"/>
        <v/>
      </c>
      <c r="E14667" s="626"/>
      <c r="F14667" s="626"/>
    </row>
    <row r="14668" spans="1:6">
      <c r="A14668" t="str">
        <f t="shared" si="229"/>
        <v/>
      </c>
      <c r="E14668" s="626"/>
      <c r="F14668" s="626"/>
    </row>
    <row r="14669" spans="1:6">
      <c r="A14669" t="str">
        <f t="shared" si="229"/>
        <v/>
      </c>
      <c r="E14669" s="626"/>
      <c r="F14669" s="626"/>
    </row>
    <row r="14670" spans="1:6">
      <c r="A14670" t="str">
        <f t="shared" si="229"/>
        <v/>
      </c>
      <c r="E14670" s="626"/>
      <c r="F14670" s="626"/>
    </row>
    <row r="14671" spans="1:6">
      <c r="A14671" t="str">
        <f t="shared" si="229"/>
        <v/>
      </c>
      <c r="E14671" s="626"/>
      <c r="F14671" s="626"/>
    </row>
    <row r="14672" spans="1:6">
      <c r="A14672" t="str">
        <f t="shared" si="229"/>
        <v/>
      </c>
      <c r="E14672" s="626"/>
      <c r="F14672" s="626"/>
    </row>
    <row r="14673" spans="1:6">
      <c r="A14673" t="str">
        <f t="shared" si="229"/>
        <v/>
      </c>
      <c r="E14673" s="626"/>
      <c r="F14673" s="626"/>
    </row>
    <row r="14674" spans="1:6">
      <c r="A14674" t="str">
        <f t="shared" si="229"/>
        <v/>
      </c>
      <c r="E14674" s="626"/>
      <c r="F14674" s="626"/>
    </row>
    <row r="14675" spans="1:6">
      <c r="A14675" t="str">
        <f t="shared" si="229"/>
        <v/>
      </c>
      <c r="E14675" s="626"/>
      <c r="F14675" s="626"/>
    </row>
    <row r="14676" spans="1:6">
      <c r="A14676" t="str">
        <f t="shared" si="229"/>
        <v/>
      </c>
      <c r="E14676" s="626"/>
      <c r="F14676" s="626"/>
    </row>
    <row r="14677" spans="1:6">
      <c r="A14677" t="str">
        <f t="shared" si="229"/>
        <v/>
      </c>
      <c r="E14677" s="626"/>
      <c r="F14677" s="626"/>
    </row>
    <row r="14678" spans="1:6">
      <c r="A14678" t="str">
        <f t="shared" si="229"/>
        <v/>
      </c>
      <c r="E14678" s="626"/>
      <c r="F14678" s="626"/>
    </row>
    <row r="14679" spans="1:6">
      <c r="A14679" t="str">
        <f t="shared" si="229"/>
        <v/>
      </c>
      <c r="E14679" s="626"/>
      <c r="F14679" s="626"/>
    </row>
    <row r="14680" spans="1:6">
      <c r="A14680" t="str">
        <f t="shared" si="229"/>
        <v/>
      </c>
      <c r="E14680" s="626"/>
      <c r="F14680" s="626"/>
    </row>
    <row r="14681" spans="1:6">
      <c r="A14681" t="str">
        <f t="shared" si="229"/>
        <v/>
      </c>
      <c r="E14681" s="626"/>
      <c r="F14681" s="626"/>
    </row>
    <row r="14682" spans="1:6">
      <c r="A14682" t="str">
        <f t="shared" si="229"/>
        <v/>
      </c>
      <c r="E14682" s="626"/>
      <c r="F14682" s="626"/>
    </row>
    <row r="14683" spans="1:6">
      <c r="A14683" t="str">
        <f t="shared" si="229"/>
        <v/>
      </c>
      <c r="E14683" s="626"/>
      <c r="F14683" s="626"/>
    </row>
    <row r="14684" spans="1:6">
      <c r="A14684" t="str">
        <f t="shared" si="229"/>
        <v/>
      </c>
      <c r="E14684" s="626"/>
      <c r="F14684" s="626"/>
    </row>
    <row r="14685" spans="1:6">
      <c r="A14685" t="str">
        <f t="shared" si="229"/>
        <v/>
      </c>
      <c r="E14685" s="626"/>
      <c r="F14685" s="626"/>
    </row>
    <row r="14686" spans="1:6">
      <c r="A14686" t="str">
        <f t="shared" si="229"/>
        <v/>
      </c>
      <c r="E14686" s="626"/>
      <c r="F14686" s="626"/>
    </row>
    <row r="14687" spans="1:6">
      <c r="A14687" t="str">
        <f t="shared" si="229"/>
        <v/>
      </c>
      <c r="E14687" s="626"/>
      <c r="F14687" s="626"/>
    </row>
    <row r="14688" spans="1:6">
      <c r="A14688" t="str">
        <f t="shared" si="229"/>
        <v/>
      </c>
      <c r="E14688" s="626"/>
      <c r="F14688" s="626"/>
    </row>
    <row r="14689" spans="1:6">
      <c r="A14689" t="str">
        <f t="shared" si="229"/>
        <v/>
      </c>
      <c r="E14689" s="626"/>
      <c r="F14689" s="626"/>
    </row>
    <row r="14690" spans="1:6">
      <c r="A14690" t="str">
        <f t="shared" si="229"/>
        <v/>
      </c>
      <c r="E14690" s="626"/>
      <c r="F14690" s="626"/>
    </row>
    <row r="14691" spans="1:6">
      <c r="A14691" t="str">
        <f t="shared" si="229"/>
        <v/>
      </c>
      <c r="E14691" s="626"/>
      <c r="F14691" s="626"/>
    </row>
    <row r="14692" spans="1:6">
      <c r="A14692" t="str">
        <f t="shared" si="229"/>
        <v/>
      </c>
      <c r="E14692" s="626"/>
      <c r="F14692" s="626"/>
    </row>
    <row r="14693" spans="1:6">
      <c r="A14693" t="str">
        <f t="shared" si="229"/>
        <v/>
      </c>
      <c r="E14693" s="626"/>
      <c r="F14693" s="626"/>
    </row>
    <row r="14694" spans="1:6">
      <c r="A14694" t="str">
        <f t="shared" si="229"/>
        <v/>
      </c>
      <c r="E14694" s="626"/>
      <c r="F14694" s="626"/>
    </row>
    <row r="14695" spans="1:6">
      <c r="A14695" t="str">
        <f t="shared" si="229"/>
        <v/>
      </c>
      <c r="E14695" s="626"/>
      <c r="F14695" s="626"/>
    </row>
    <row r="14696" spans="1:6">
      <c r="A14696" t="str">
        <f t="shared" si="229"/>
        <v/>
      </c>
      <c r="E14696" s="626"/>
      <c r="F14696" s="626"/>
    </row>
    <row r="14697" spans="1:6">
      <c r="A14697" t="str">
        <f t="shared" si="229"/>
        <v/>
      </c>
      <c r="E14697" s="626"/>
      <c r="F14697" s="626"/>
    </row>
    <row r="14698" spans="1:6">
      <c r="A14698" t="str">
        <f t="shared" si="229"/>
        <v/>
      </c>
      <c r="E14698" s="626"/>
      <c r="F14698" s="626"/>
    </row>
    <row r="14699" spans="1:6">
      <c r="A14699" t="str">
        <f t="shared" si="229"/>
        <v/>
      </c>
      <c r="E14699" s="626"/>
      <c r="F14699" s="626"/>
    </row>
    <row r="14700" spans="1:6">
      <c r="A14700" t="str">
        <f t="shared" si="229"/>
        <v/>
      </c>
      <c r="E14700" s="626"/>
      <c r="F14700" s="626"/>
    </row>
    <row r="14701" spans="1:6">
      <c r="A14701" t="str">
        <f t="shared" si="229"/>
        <v/>
      </c>
      <c r="E14701" s="626"/>
      <c r="F14701" s="626"/>
    </row>
    <row r="14702" spans="1:6">
      <c r="A14702" t="str">
        <f t="shared" si="229"/>
        <v/>
      </c>
      <c r="E14702" s="626"/>
      <c r="F14702" s="626"/>
    </row>
    <row r="14703" spans="1:6">
      <c r="A14703" t="str">
        <f t="shared" si="229"/>
        <v/>
      </c>
      <c r="E14703" s="626"/>
      <c r="F14703" s="626"/>
    </row>
    <row r="14704" spans="1:6">
      <c r="A14704" t="str">
        <f t="shared" si="229"/>
        <v/>
      </c>
      <c r="E14704" s="626"/>
      <c r="F14704" s="626"/>
    </row>
    <row r="14705" spans="1:6">
      <c r="A14705" t="str">
        <f t="shared" si="229"/>
        <v/>
      </c>
      <c r="E14705" s="626"/>
      <c r="F14705" s="626"/>
    </row>
    <row r="14706" spans="1:6">
      <c r="A14706" t="str">
        <f t="shared" si="229"/>
        <v/>
      </c>
      <c r="E14706" s="626"/>
      <c r="F14706" s="626"/>
    </row>
    <row r="14707" spans="1:6">
      <c r="A14707" t="str">
        <f t="shared" si="229"/>
        <v/>
      </c>
      <c r="E14707" s="626"/>
      <c r="F14707" s="626"/>
    </row>
    <row r="14708" spans="1:6">
      <c r="A14708" t="str">
        <f t="shared" si="229"/>
        <v/>
      </c>
      <c r="E14708" s="626"/>
      <c r="F14708" s="626"/>
    </row>
    <row r="14709" spans="1:6">
      <c r="A14709" t="str">
        <f t="shared" si="229"/>
        <v/>
      </c>
      <c r="E14709" s="626"/>
      <c r="F14709" s="626"/>
    </row>
    <row r="14710" spans="1:6">
      <c r="A14710" t="str">
        <f t="shared" si="229"/>
        <v/>
      </c>
      <c r="E14710" s="626"/>
      <c r="F14710" s="626"/>
    </row>
    <row r="14711" spans="1:6">
      <c r="A14711" t="str">
        <f t="shared" si="229"/>
        <v/>
      </c>
      <c r="E14711" s="626"/>
      <c r="F14711" s="626"/>
    </row>
    <row r="14712" spans="1:6">
      <c r="A14712" t="str">
        <f t="shared" si="229"/>
        <v/>
      </c>
      <c r="E14712" s="626"/>
      <c r="F14712" s="626"/>
    </row>
    <row r="14713" spans="1:6">
      <c r="A14713" t="str">
        <f t="shared" si="229"/>
        <v/>
      </c>
      <c r="E14713" s="626"/>
      <c r="F14713" s="626"/>
    </row>
    <row r="14714" spans="1:6">
      <c r="A14714" t="str">
        <f t="shared" si="229"/>
        <v/>
      </c>
      <c r="E14714" s="626"/>
      <c r="F14714" s="626"/>
    </row>
    <row r="14715" spans="1:6">
      <c r="A14715" t="str">
        <f t="shared" si="229"/>
        <v/>
      </c>
      <c r="E14715" s="626"/>
      <c r="F14715" s="626"/>
    </row>
    <row r="14716" spans="1:6">
      <c r="A14716" t="str">
        <f t="shared" si="229"/>
        <v/>
      </c>
      <c r="E14716" s="626"/>
      <c r="F14716" s="626"/>
    </row>
    <row r="14717" spans="1:6">
      <c r="A14717" t="str">
        <f t="shared" si="229"/>
        <v/>
      </c>
      <c r="E14717" s="626"/>
      <c r="F14717" s="626"/>
    </row>
    <row r="14718" spans="1:6">
      <c r="A14718" t="str">
        <f t="shared" si="229"/>
        <v/>
      </c>
      <c r="E14718" s="626"/>
      <c r="F14718" s="626"/>
    </row>
    <row r="14719" spans="1:6">
      <c r="A14719" t="str">
        <f t="shared" si="229"/>
        <v/>
      </c>
      <c r="E14719" s="626"/>
      <c r="F14719" s="626"/>
    </row>
    <row r="14720" spans="1:6">
      <c r="A14720" t="str">
        <f t="shared" si="229"/>
        <v/>
      </c>
      <c r="E14720" s="626"/>
      <c r="F14720" s="626"/>
    </row>
    <row r="14721" spans="1:6">
      <c r="A14721" t="str">
        <f t="shared" si="229"/>
        <v/>
      </c>
      <c r="E14721" s="626"/>
      <c r="F14721" s="626"/>
    </row>
    <row r="14722" spans="1:6">
      <c r="A14722" t="str">
        <f t="shared" ref="A14722:A14785" si="230">B14722&amp;E14722&amp;J14722</f>
        <v/>
      </c>
      <c r="E14722" s="626"/>
      <c r="F14722" s="626"/>
    </row>
    <row r="14723" spans="1:6">
      <c r="A14723" t="str">
        <f t="shared" si="230"/>
        <v/>
      </c>
      <c r="E14723" s="626"/>
      <c r="F14723" s="626"/>
    </row>
    <row r="14724" spans="1:6">
      <c r="A14724" t="str">
        <f t="shared" si="230"/>
        <v/>
      </c>
      <c r="E14724" s="626"/>
      <c r="F14724" s="626"/>
    </row>
    <row r="14725" spans="1:6">
      <c r="A14725" t="str">
        <f t="shared" si="230"/>
        <v/>
      </c>
      <c r="E14725" s="626"/>
      <c r="F14725" s="626"/>
    </row>
    <row r="14726" spans="1:6">
      <c r="A14726" t="str">
        <f t="shared" si="230"/>
        <v/>
      </c>
      <c r="E14726" s="626"/>
      <c r="F14726" s="626"/>
    </row>
    <row r="14727" spans="1:6">
      <c r="A14727" t="str">
        <f t="shared" si="230"/>
        <v/>
      </c>
      <c r="E14727" s="626"/>
      <c r="F14727" s="626"/>
    </row>
    <row r="14728" spans="1:6">
      <c r="A14728" t="str">
        <f t="shared" si="230"/>
        <v/>
      </c>
      <c r="E14728" s="626"/>
      <c r="F14728" s="626"/>
    </row>
    <row r="14729" spans="1:6">
      <c r="A14729" t="str">
        <f t="shared" si="230"/>
        <v/>
      </c>
      <c r="E14729" s="626"/>
      <c r="F14729" s="626"/>
    </row>
    <row r="14730" spans="1:6">
      <c r="A14730" t="str">
        <f t="shared" si="230"/>
        <v/>
      </c>
      <c r="E14730" s="626"/>
      <c r="F14730" s="626"/>
    </row>
    <row r="14731" spans="1:6">
      <c r="A14731" t="str">
        <f t="shared" si="230"/>
        <v/>
      </c>
      <c r="E14731" s="626"/>
      <c r="F14731" s="626"/>
    </row>
    <row r="14732" spans="1:6">
      <c r="A14732" t="str">
        <f t="shared" si="230"/>
        <v/>
      </c>
      <c r="E14732" s="626"/>
      <c r="F14732" s="626"/>
    </row>
    <row r="14733" spans="1:6">
      <c r="A14733" t="str">
        <f t="shared" si="230"/>
        <v/>
      </c>
      <c r="E14733" s="626"/>
      <c r="F14733" s="626"/>
    </row>
    <row r="14734" spans="1:6">
      <c r="A14734" t="str">
        <f t="shared" si="230"/>
        <v/>
      </c>
      <c r="E14734" s="626"/>
      <c r="F14734" s="626"/>
    </row>
    <row r="14735" spans="1:6">
      <c r="A14735" t="str">
        <f t="shared" si="230"/>
        <v/>
      </c>
      <c r="E14735" s="626"/>
      <c r="F14735" s="626"/>
    </row>
    <row r="14736" spans="1:6">
      <c r="A14736" t="str">
        <f t="shared" si="230"/>
        <v/>
      </c>
      <c r="E14736" s="626"/>
      <c r="F14736" s="626"/>
    </row>
    <row r="14737" spans="1:6">
      <c r="A14737" t="str">
        <f t="shared" si="230"/>
        <v/>
      </c>
      <c r="E14737" s="626"/>
      <c r="F14737" s="626"/>
    </row>
    <row r="14738" spans="1:6">
      <c r="A14738" t="str">
        <f t="shared" si="230"/>
        <v/>
      </c>
      <c r="E14738" s="626"/>
      <c r="F14738" s="626"/>
    </row>
    <row r="14739" spans="1:6">
      <c r="A14739" t="str">
        <f t="shared" si="230"/>
        <v/>
      </c>
      <c r="E14739" s="626"/>
      <c r="F14739" s="626"/>
    </row>
    <row r="14740" spans="1:6">
      <c r="A14740" t="str">
        <f t="shared" si="230"/>
        <v/>
      </c>
      <c r="E14740" s="626"/>
      <c r="F14740" s="626"/>
    </row>
    <row r="14741" spans="1:6">
      <c r="A14741" t="str">
        <f t="shared" si="230"/>
        <v/>
      </c>
      <c r="E14741" s="626"/>
      <c r="F14741" s="626"/>
    </row>
    <row r="14742" spans="1:6">
      <c r="A14742" t="str">
        <f t="shared" si="230"/>
        <v/>
      </c>
      <c r="E14742" s="626"/>
      <c r="F14742" s="626"/>
    </row>
    <row r="14743" spans="1:6">
      <c r="A14743" t="str">
        <f t="shared" si="230"/>
        <v/>
      </c>
      <c r="E14743" s="626"/>
      <c r="F14743" s="626"/>
    </row>
    <row r="14744" spans="1:6">
      <c r="A14744" t="str">
        <f t="shared" si="230"/>
        <v/>
      </c>
      <c r="E14744" s="626"/>
      <c r="F14744" s="626"/>
    </row>
    <row r="14745" spans="1:6">
      <c r="A14745" t="str">
        <f t="shared" si="230"/>
        <v/>
      </c>
      <c r="E14745" s="626"/>
      <c r="F14745" s="626"/>
    </row>
    <row r="14746" spans="1:6">
      <c r="A14746" t="str">
        <f t="shared" si="230"/>
        <v/>
      </c>
      <c r="E14746" s="626"/>
      <c r="F14746" s="626"/>
    </row>
    <row r="14747" spans="1:6">
      <c r="A14747" t="str">
        <f t="shared" si="230"/>
        <v/>
      </c>
      <c r="E14747" s="626"/>
      <c r="F14747" s="626"/>
    </row>
    <row r="14748" spans="1:6">
      <c r="A14748" t="str">
        <f t="shared" si="230"/>
        <v/>
      </c>
      <c r="E14748" s="626"/>
      <c r="F14748" s="626"/>
    </row>
    <row r="14749" spans="1:6">
      <c r="A14749" t="str">
        <f t="shared" si="230"/>
        <v/>
      </c>
      <c r="E14749" s="626"/>
      <c r="F14749" s="626"/>
    </row>
    <row r="14750" spans="1:6">
      <c r="A14750" t="str">
        <f t="shared" si="230"/>
        <v/>
      </c>
      <c r="E14750" s="626"/>
      <c r="F14750" s="626"/>
    </row>
    <row r="14751" spans="1:6">
      <c r="A14751" t="str">
        <f t="shared" si="230"/>
        <v/>
      </c>
      <c r="E14751" s="626"/>
      <c r="F14751" s="626"/>
    </row>
    <row r="14752" spans="1:6">
      <c r="A14752" t="str">
        <f t="shared" si="230"/>
        <v/>
      </c>
      <c r="E14752" s="626"/>
      <c r="F14752" s="626"/>
    </row>
    <row r="14753" spans="1:6">
      <c r="A14753" t="str">
        <f t="shared" si="230"/>
        <v/>
      </c>
      <c r="E14753" s="626"/>
      <c r="F14753" s="626"/>
    </row>
    <row r="14754" spans="1:6">
      <c r="A14754" t="str">
        <f t="shared" si="230"/>
        <v/>
      </c>
      <c r="E14754" s="626"/>
      <c r="F14754" s="626"/>
    </row>
    <row r="14755" spans="1:6">
      <c r="A14755" t="str">
        <f t="shared" si="230"/>
        <v/>
      </c>
      <c r="E14755" s="626"/>
      <c r="F14755" s="626"/>
    </row>
    <row r="14756" spans="1:6">
      <c r="A14756" t="str">
        <f t="shared" si="230"/>
        <v/>
      </c>
      <c r="E14756" s="626"/>
      <c r="F14756" s="626"/>
    </row>
    <row r="14757" spans="1:6">
      <c r="A14757" t="str">
        <f t="shared" si="230"/>
        <v/>
      </c>
      <c r="E14757" s="626"/>
      <c r="F14757" s="626"/>
    </row>
    <row r="14758" spans="1:6">
      <c r="A14758" t="str">
        <f t="shared" si="230"/>
        <v/>
      </c>
      <c r="E14758" s="626"/>
      <c r="F14758" s="626"/>
    </row>
    <row r="14759" spans="1:6">
      <c r="A14759" t="str">
        <f t="shared" si="230"/>
        <v/>
      </c>
      <c r="E14759" s="626"/>
      <c r="F14759" s="626"/>
    </row>
    <row r="14760" spans="1:6">
      <c r="A14760" t="str">
        <f t="shared" si="230"/>
        <v/>
      </c>
      <c r="E14760" s="626"/>
      <c r="F14760" s="626"/>
    </row>
    <row r="14761" spans="1:6">
      <c r="A14761" t="str">
        <f t="shared" si="230"/>
        <v/>
      </c>
      <c r="E14761" s="626"/>
      <c r="F14761" s="626"/>
    </row>
    <row r="14762" spans="1:6">
      <c r="A14762" t="str">
        <f t="shared" si="230"/>
        <v/>
      </c>
      <c r="E14762" s="626"/>
      <c r="F14762" s="626"/>
    </row>
    <row r="14763" spans="1:6">
      <c r="A14763" t="str">
        <f t="shared" si="230"/>
        <v/>
      </c>
      <c r="E14763" s="626"/>
      <c r="F14763" s="626"/>
    </row>
    <row r="14764" spans="1:6">
      <c r="A14764" t="str">
        <f t="shared" si="230"/>
        <v/>
      </c>
      <c r="E14764" s="626"/>
      <c r="F14764" s="626"/>
    </row>
    <row r="14765" spans="1:6">
      <c r="A14765" t="str">
        <f t="shared" si="230"/>
        <v/>
      </c>
      <c r="E14765" s="626"/>
      <c r="F14765" s="626"/>
    </row>
    <row r="14766" spans="1:6">
      <c r="A14766" t="str">
        <f t="shared" si="230"/>
        <v/>
      </c>
      <c r="E14766" s="626"/>
      <c r="F14766" s="626"/>
    </row>
    <row r="14767" spans="1:6">
      <c r="A14767" t="str">
        <f t="shared" si="230"/>
        <v/>
      </c>
      <c r="E14767" s="626"/>
      <c r="F14767" s="626"/>
    </row>
    <row r="14768" spans="1:6">
      <c r="A14768" t="str">
        <f t="shared" si="230"/>
        <v/>
      </c>
      <c r="E14768" s="626"/>
      <c r="F14768" s="626"/>
    </row>
    <row r="14769" spans="1:6">
      <c r="A14769" t="str">
        <f t="shared" si="230"/>
        <v/>
      </c>
      <c r="E14769" s="626"/>
      <c r="F14769" s="626"/>
    </row>
    <row r="14770" spans="1:6">
      <c r="A14770" t="str">
        <f t="shared" si="230"/>
        <v/>
      </c>
      <c r="E14770" s="626"/>
      <c r="F14770" s="626"/>
    </row>
    <row r="14771" spans="1:6">
      <c r="A14771" t="str">
        <f t="shared" si="230"/>
        <v/>
      </c>
      <c r="E14771" s="626"/>
      <c r="F14771" s="626"/>
    </row>
    <row r="14772" spans="1:6">
      <c r="A14772" t="str">
        <f t="shared" si="230"/>
        <v/>
      </c>
      <c r="E14772" s="626"/>
      <c r="F14772" s="626"/>
    </row>
    <row r="14773" spans="1:6">
      <c r="A14773" t="str">
        <f t="shared" si="230"/>
        <v/>
      </c>
      <c r="E14773" s="626"/>
      <c r="F14773" s="626"/>
    </row>
    <row r="14774" spans="1:6">
      <c r="A14774" t="str">
        <f t="shared" si="230"/>
        <v/>
      </c>
      <c r="E14774" s="626"/>
      <c r="F14774" s="626"/>
    </row>
    <row r="14775" spans="1:6">
      <c r="A14775" t="str">
        <f t="shared" si="230"/>
        <v/>
      </c>
      <c r="E14775" s="626"/>
      <c r="F14775" s="626"/>
    </row>
    <row r="14776" spans="1:6">
      <c r="A14776" t="str">
        <f t="shared" si="230"/>
        <v/>
      </c>
      <c r="E14776" s="626"/>
      <c r="F14776" s="626"/>
    </row>
    <row r="14777" spans="1:6">
      <c r="A14777" t="str">
        <f t="shared" si="230"/>
        <v/>
      </c>
      <c r="E14777" s="626"/>
      <c r="F14777" s="626"/>
    </row>
    <row r="14778" spans="1:6">
      <c r="A14778" t="str">
        <f t="shared" si="230"/>
        <v/>
      </c>
      <c r="E14778" s="626"/>
      <c r="F14778" s="626"/>
    </row>
    <row r="14779" spans="1:6">
      <c r="A14779" t="str">
        <f t="shared" si="230"/>
        <v/>
      </c>
      <c r="E14779" s="626"/>
      <c r="F14779" s="626"/>
    </row>
    <row r="14780" spans="1:6">
      <c r="A14780" t="str">
        <f t="shared" si="230"/>
        <v/>
      </c>
      <c r="E14780" s="626"/>
      <c r="F14780" s="626"/>
    </row>
    <row r="14781" spans="1:6">
      <c r="A14781" t="str">
        <f t="shared" si="230"/>
        <v/>
      </c>
      <c r="E14781" s="626"/>
      <c r="F14781" s="626"/>
    </row>
    <row r="14782" spans="1:6">
      <c r="A14782" t="str">
        <f t="shared" si="230"/>
        <v/>
      </c>
      <c r="E14782" s="626"/>
      <c r="F14782" s="626"/>
    </row>
    <row r="14783" spans="1:6">
      <c r="A14783" t="str">
        <f t="shared" si="230"/>
        <v/>
      </c>
      <c r="E14783" s="626"/>
      <c r="F14783" s="626"/>
    </row>
    <row r="14784" spans="1:6">
      <c r="A14784" t="str">
        <f t="shared" si="230"/>
        <v/>
      </c>
      <c r="E14784" s="626"/>
      <c r="F14784" s="626"/>
    </row>
    <row r="14785" spans="1:6">
      <c r="A14785" t="str">
        <f t="shared" si="230"/>
        <v/>
      </c>
      <c r="E14785" s="626"/>
      <c r="F14785" s="626"/>
    </row>
    <row r="14786" spans="1:6">
      <c r="A14786" t="str">
        <f t="shared" ref="A14786:A14849" si="231">B14786&amp;E14786&amp;J14786</f>
        <v/>
      </c>
      <c r="E14786" s="626"/>
      <c r="F14786" s="626"/>
    </row>
    <row r="14787" spans="1:6">
      <c r="A14787" t="str">
        <f t="shared" si="231"/>
        <v/>
      </c>
      <c r="E14787" s="626"/>
      <c r="F14787" s="626"/>
    </row>
    <row r="14788" spans="1:6">
      <c r="A14788" t="str">
        <f t="shared" si="231"/>
        <v/>
      </c>
      <c r="E14788" s="626"/>
      <c r="F14788" s="626"/>
    </row>
    <row r="14789" spans="1:6">
      <c r="A14789" t="str">
        <f t="shared" si="231"/>
        <v/>
      </c>
      <c r="E14789" s="626"/>
      <c r="F14789" s="626"/>
    </row>
    <row r="14790" spans="1:6">
      <c r="A14790" t="str">
        <f t="shared" si="231"/>
        <v/>
      </c>
      <c r="E14790" s="626"/>
      <c r="F14790" s="626"/>
    </row>
    <row r="14791" spans="1:6">
      <c r="A14791" t="str">
        <f t="shared" si="231"/>
        <v/>
      </c>
      <c r="E14791" s="626"/>
      <c r="F14791" s="626"/>
    </row>
    <row r="14792" spans="1:6">
      <c r="A14792" t="str">
        <f t="shared" si="231"/>
        <v/>
      </c>
      <c r="E14792" s="626"/>
      <c r="F14792" s="626"/>
    </row>
    <row r="14793" spans="1:6">
      <c r="A14793" t="str">
        <f t="shared" si="231"/>
        <v/>
      </c>
      <c r="E14793" s="626"/>
      <c r="F14793" s="626"/>
    </row>
    <row r="14794" spans="1:6">
      <c r="A14794" t="str">
        <f t="shared" si="231"/>
        <v/>
      </c>
      <c r="E14794" s="626"/>
      <c r="F14794" s="626"/>
    </row>
    <row r="14795" spans="1:6">
      <c r="A14795" t="str">
        <f t="shared" si="231"/>
        <v/>
      </c>
      <c r="E14795" s="626"/>
      <c r="F14795" s="626"/>
    </row>
    <row r="14796" spans="1:6">
      <c r="A14796" t="str">
        <f t="shared" si="231"/>
        <v/>
      </c>
      <c r="E14796" s="626"/>
      <c r="F14796" s="626"/>
    </row>
    <row r="14797" spans="1:6">
      <c r="A14797" t="str">
        <f t="shared" si="231"/>
        <v/>
      </c>
      <c r="E14797" s="626"/>
      <c r="F14797" s="626"/>
    </row>
    <row r="14798" spans="1:6">
      <c r="A14798" t="str">
        <f t="shared" si="231"/>
        <v/>
      </c>
      <c r="E14798" s="626"/>
      <c r="F14798" s="626"/>
    </row>
    <row r="14799" spans="1:6">
      <c r="A14799" t="str">
        <f t="shared" si="231"/>
        <v/>
      </c>
      <c r="E14799" s="626"/>
      <c r="F14799" s="626"/>
    </row>
    <row r="14800" spans="1:6">
      <c r="A14800" t="str">
        <f t="shared" si="231"/>
        <v/>
      </c>
      <c r="E14800" s="626"/>
      <c r="F14800" s="626"/>
    </row>
    <row r="14801" spans="1:6">
      <c r="A14801" t="str">
        <f t="shared" si="231"/>
        <v/>
      </c>
      <c r="E14801" s="626"/>
      <c r="F14801" s="626"/>
    </row>
    <row r="14802" spans="1:6">
      <c r="A14802" t="str">
        <f t="shared" si="231"/>
        <v/>
      </c>
      <c r="E14802" s="626"/>
      <c r="F14802" s="626"/>
    </row>
    <row r="14803" spans="1:6">
      <c r="A14803" t="str">
        <f t="shared" si="231"/>
        <v/>
      </c>
      <c r="E14803" s="626"/>
      <c r="F14803" s="626"/>
    </row>
    <row r="14804" spans="1:6">
      <c r="A14804" t="str">
        <f t="shared" si="231"/>
        <v/>
      </c>
      <c r="E14804" s="626"/>
      <c r="F14804" s="626"/>
    </row>
    <row r="14805" spans="1:6">
      <c r="A14805" t="str">
        <f t="shared" si="231"/>
        <v/>
      </c>
      <c r="E14805" s="626"/>
      <c r="F14805" s="626"/>
    </row>
    <row r="14806" spans="1:6">
      <c r="A14806" t="str">
        <f t="shared" si="231"/>
        <v/>
      </c>
      <c r="E14806" s="626"/>
      <c r="F14806" s="626"/>
    </row>
    <row r="14807" spans="1:6">
      <c r="A14807" t="str">
        <f t="shared" si="231"/>
        <v/>
      </c>
      <c r="E14807" s="626"/>
      <c r="F14807" s="626"/>
    </row>
    <row r="14808" spans="1:6">
      <c r="A14808" t="str">
        <f t="shared" si="231"/>
        <v/>
      </c>
      <c r="E14808" s="626"/>
      <c r="F14808" s="626"/>
    </row>
    <row r="14809" spans="1:6">
      <c r="A14809" t="str">
        <f t="shared" si="231"/>
        <v/>
      </c>
      <c r="E14809" s="626"/>
      <c r="F14809" s="626"/>
    </row>
    <row r="14810" spans="1:6">
      <c r="A14810" t="str">
        <f t="shared" si="231"/>
        <v/>
      </c>
      <c r="E14810" s="626"/>
      <c r="F14810" s="626"/>
    </row>
    <row r="14811" spans="1:6">
      <c r="A14811" t="str">
        <f t="shared" si="231"/>
        <v/>
      </c>
      <c r="E14811" s="626"/>
      <c r="F14811" s="626"/>
    </row>
    <row r="14812" spans="1:6">
      <c r="A14812" t="str">
        <f t="shared" si="231"/>
        <v/>
      </c>
      <c r="E14812" s="626"/>
      <c r="F14812" s="626"/>
    </row>
    <row r="14813" spans="1:6">
      <c r="A14813" t="str">
        <f t="shared" si="231"/>
        <v/>
      </c>
      <c r="E14813" s="626"/>
      <c r="F14813" s="626"/>
    </row>
    <row r="14814" spans="1:6">
      <c r="A14814" t="str">
        <f t="shared" si="231"/>
        <v/>
      </c>
      <c r="E14814" s="626"/>
      <c r="F14814" s="626"/>
    </row>
    <row r="14815" spans="1:6">
      <c r="A14815" t="str">
        <f t="shared" si="231"/>
        <v/>
      </c>
      <c r="E14815" s="626"/>
      <c r="F14815" s="626"/>
    </row>
    <row r="14816" spans="1:6">
      <c r="A14816" t="str">
        <f t="shared" si="231"/>
        <v/>
      </c>
      <c r="E14816" s="626"/>
      <c r="F14816" s="626"/>
    </row>
    <row r="14817" spans="1:6">
      <c r="A14817" t="str">
        <f t="shared" si="231"/>
        <v/>
      </c>
      <c r="E14817" s="626"/>
      <c r="F14817" s="626"/>
    </row>
    <row r="14818" spans="1:6">
      <c r="A14818" t="str">
        <f t="shared" si="231"/>
        <v/>
      </c>
      <c r="E14818" s="626"/>
      <c r="F14818" s="626"/>
    </row>
    <row r="14819" spans="1:6">
      <c r="A14819" t="str">
        <f t="shared" si="231"/>
        <v/>
      </c>
      <c r="E14819" s="626"/>
      <c r="F14819" s="626"/>
    </row>
    <row r="14820" spans="1:6">
      <c r="A14820" t="str">
        <f t="shared" si="231"/>
        <v/>
      </c>
      <c r="E14820" s="626"/>
      <c r="F14820" s="626"/>
    </row>
    <row r="14821" spans="1:6">
      <c r="A14821" t="str">
        <f t="shared" si="231"/>
        <v/>
      </c>
      <c r="E14821" s="626"/>
      <c r="F14821" s="626"/>
    </row>
    <row r="14822" spans="1:6">
      <c r="A14822" t="str">
        <f t="shared" si="231"/>
        <v/>
      </c>
      <c r="E14822" s="626"/>
      <c r="F14822" s="626"/>
    </row>
    <row r="14823" spans="1:6">
      <c r="A14823" t="str">
        <f t="shared" si="231"/>
        <v/>
      </c>
      <c r="E14823" s="626"/>
      <c r="F14823" s="626"/>
    </row>
    <row r="14824" spans="1:6">
      <c r="A14824" t="str">
        <f t="shared" si="231"/>
        <v/>
      </c>
      <c r="E14824" s="626"/>
      <c r="F14824" s="626"/>
    </row>
    <row r="14825" spans="1:6">
      <c r="A14825" t="str">
        <f t="shared" si="231"/>
        <v/>
      </c>
      <c r="E14825" s="626"/>
      <c r="F14825" s="626"/>
    </row>
    <row r="14826" spans="1:6">
      <c r="A14826" t="str">
        <f t="shared" si="231"/>
        <v/>
      </c>
      <c r="E14826" s="626"/>
      <c r="F14826" s="626"/>
    </row>
    <row r="14827" spans="1:6">
      <c r="A14827" t="str">
        <f t="shared" si="231"/>
        <v/>
      </c>
      <c r="E14827" s="626"/>
      <c r="F14827" s="626"/>
    </row>
    <row r="14828" spans="1:6">
      <c r="A14828" t="str">
        <f t="shared" si="231"/>
        <v/>
      </c>
      <c r="E14828" s="626"/>
      <c r="F14828" s="626"/>
    </row>
    <row r="14829" spans="1:6">
      <c r="A14829" t="str">
        <f t="shared" si="231"/>
        <v/>
      </c>
      <c r="E14829" s="626"/>
      <c r="F14829" s="626"/>
    </row>
    <row r="14830" spans="1:6">
      <c r="A14830" t="str">
        <f t="shared" si="231"/>
        <v/>
      </c>
      <c r="E14830" s="626"/>
      <c r="F14830" s="626"/>
    </row>
    <row r="14831" spans="1:6">
      <c r="A14831" t="str">
        <f t="shared" si="231"/>
        <v/>
      </c>
      <c r="E14831" s="626"/>
      <c r="F14831" s="626"/>
    </row>
    <row r="14832" spans="1:6">
      <c r="A14832" t="str">
        <f t="shared" si="231"/>
        <v/>
      </c>
      <c r="E14832" s="626"/>
      <c r="F14832" s="626"/>
    </row>
    <row r="14833" spans="1:6">
      <c r="A14833" t="str">
        <f t="shared" si="231"/>
        <v/>
      </c>
      <c r="E14833" s="626"/>
      <c r="F14833" s="626"/>
    </row>
    <row r="14834" spans="1:6">
      <c r="A14834" t="str">
        <f t="shared" si="231"/>
        <v/>
      </c>
      <c r="E14834" s="626"/>
      <c r="F14834" s="626"/>
    </row>
    <row r="14835" spans="1:6">
      <c r="A14835" t="str">
        <f t="shared" si="231"/>
        <v/>
      </c>
      <c r="E14835" s="626"/>
      <c r="F14835" s="626"/>
    </row>
    <row r="14836" spans="1:6">
      <c r="A14836" t="str">
        <f t="shared" si="231"/>
        <v/>
      </c>
      <c r="E14836" s="626"/>
      <c r="F14836" s="626"/>
    </row>
    <row r="14837" spans="1:6">
      <c r="A14837" t="str">
        <f t="shared" si="231"/>
        <v/>
      </c>
      <c r="E14837" s="626"/>
      <c r="F14837" s="626"/>
    </row>
    <row r="14838" spans="1:6">
      <c r="A14838" t="str">
        <f t="shared" si="231"/>
        <v/>
      </c>
      <c r="E14838" s="626"/>
      <c r="F14838" s="626"/>
    </row>
    <row r="14839" spans="1:6">
      <c r="A14839" t="str">
        <f t="shared" si="231"/>
        <v/>
      </c>
      <c r="E14839" s="626"/>
      <c r="F14839" s="626"/>
    </row>
    <row r="14840" spans="1:6">
      <c r="A14840" t="str">
        <f t="shared" si="231"/>
        <v/>
      </c>
      <c r="E14840" s="626"/>
      <c r="F14840" s="626"/>
    </row>
    <row r="14841" spans="1:6">
      <c r="A14841" t="str">
        <f t="shared" si="231"/>
        <v/>
      </c>
      <c r="E14841" s="626"/>
      <c r="F14841" s="626"/>
    </row>
    <row r="14842" spans="1:6">
      <c r="A14842" t="str">
        <f t="shared" si="231"/>
        <v/>
      </c>
      <c r="E14842" s="626"/>
      <c r="F14842" s="626"/>
    </row>
    <row r="14843" spans="1:6">
      <c r="A14843" t="str">
        <f t="shared" si="231"/>
        <v/>
      </c>
      <c r="E14843" s="626"/>
      <c r="F14843" s="626"/>
    </row>
    <row r="14844" spans="1:6">
      <c r="A14844" t="str">
        <f t="shared" si="231"/>
        <v/>
      </c>
      <c r="E14844" s="626"/>
      <c r="F14844" s="626"/>
    </row>
    <row r="14845" spans="1:6">
      <c r="A14845" t="str">
        <f t="shared" si="231"/>
        <v/>
      </c>
      <c r="E14845" s="626"/>
      <c r="F14845" s="626"/>
    </row>
    <row r="14846" spans="1:6">
      <c r="A14846" t="str">
        <f t="shared" si="231"/>
        <v/>
      </c>
      <c r="E14846" s="626"/>
      <c r="F14846" s="626"/>
    </row>
    <row r="14847" spans="1:6">
      <c r="A14847" t="str">
        <f t="shared" si="231"/>
        <v/>
      </c>
      <c r="E14847" s="626"/>
      <c r="F14847" s="626"/>
    </row>
    <row r="14848" spans="1:6">
      <c r="A14848" t="str">
        <f t="shared" si="231"/>
        <v/>
      </c>
      <c r="E14848" s="626"/>
      <c r="F14848" s="626"/>
    </row>
    <row r="14849" spans="1:6">
      <c r="A14849" t="str">
        <f t="shared" si="231"/>
        <v/>
      </c>
      <c r="E14849" s="626"/>
      <c r="F14849" s="626"/>
    </row>
    <row r="14850" spans="1:6">
      <c r="A14850" t="str">
        <f t="shared" ref="A14850:A14913" si="232">B14850&amp;E14850&amp;J14850</f>
        <v/>
      </c>
      <c r="E14850" s="626"/>
      <c r="F14850" s="626"/>
    </row>
    <row r="14851" spans="1:6">
      <c r="A14851" t="str">
        <f t="shared" si="232"/>
        <v/>
      </c>
      <c r="E14851" s="626"/>
      <c r="F14851" s="626"/>
    </row>
    <row r="14852" spans="1:6">
      <c r="A14852" t="str">
        <f t="shared" si="232"/>
        <v/>
      </c>
      <c r="E14852" s="626"/>
      <c r="F14852" s="626"/>
    </row>
    <row r="14853" spans="1:6">
      <c r="A14853" t="str">
        <f t="shared" si="232"/>
        <v/>
      </c>
      <c r="E14853" s="626"/>
      <c r="F14853" s="626"/>
    </row>
    <row r="14854" spans="1:6">
      <c r="A14854" t="str">
        <f t="shared" si="232"/>
        <v/>
      </c>
      <c r="E14854" s="626"/>
      <c r="F14854" s="626"/>
    </row>
    <row r="14855" spans="1:6">
      <c r="A14855" t="str">
        <f t="shared" si="232"/>
        <v/>
      </c>
      <c r="E14855" s="626"/>
      <c r="F14855" s="626"/>
    </row>
    <row r="14856" spans="1:6">
      <c r="A14856" t="str">
        <f t="shared" si="232"/>
        <v/>
      </c>
      <c r="E14856" s="626"/>
      <c r="F14856" s="626"/>
    </row>
    <row r="14857" spans="1:6">
      <c r="A14857" t="str">
        <f t="shared" si="232"/>
        <v/>
      </c>
      <c r="E14857" s="626"/>
      <c r="F14857" s="626"/>
    </row>
    <row r="14858" spans="1:6">
      <c r="A14858" t="str">
        <f t="shared" si="232"/>
        <v/>
      </c>
      <c r="E14858" s="626"/>
      <c r="F14858" s="626"/>
    </row>
    <row r="14859" spans="1:6">
      <c r="A14859" t="str">
        <f t="shared" si="232"/>
        <v/>
      </c>
      <c r="E14859" s="626"/>
      <c r="F14859" s="626"/>
    </row>
    <row r="14860" spans="1:6">
      <c r="A14860" t="str">
        <f t="shared" si="232"/>
        <v/>
      </c>
      <c r="E14860" s="626"/>
      <c r="F14860" s="626"/>
    </row>
    <row r="14861" spans="1:6">
      <c r="A14861" t="str">
        <f t="shared" si="232"/>
        <v/>
      </c>
      <c r="E14861" s="626"/>
      <c r="F14861" s="626"/>
    </row>
    <row r="14862" spans="1:6">
      <c r="A14862" t="str">
        <f t="shared" si="232"/>
        <v/>
      </c>
      <c r="E14862" s="626"/>
      <c r="F14862" s="626"/>
    </row>
    <row r="14863" spans="1:6">
      <c r="A14863" t="str">
        <f t="shared" si="232"/>
        <v/>
      </c>
      <c r="E14863" s="626"/>
      <c r="F14863" s="626"/>
    </row>
    <row r="14864" spans="1:6">
      <c r="A14864" t="str">
        <f t="shared" si="232"/>
        <v/>
      </c>
      <c r="E14864" s="626"/>
      <c r="F14864" s="626"/>
    </row>
    <row r="14865" spans="1:6">
      <c r="A14865" t="str">
        <f t="shared" si="232"/>
        <v/>
      </c>
      <c r="E14865" s="626"/>
      <c r="F14865" s="626"/>
    </row>
    <row r="14866" spans="1:6">
      <c r="A14866" t="str">
        <f t="shared" si="232"/>
        <v/>
      </c>
      <c r="E14866" s="626"/>
      <c r="F14866" s="626"/>
    </row>
    <row r="14867" spans="1:6">
      <c r="A14867" t="str">
        <f t="shared" si="232"/>
        <v/>
      </c>
      <c r="E14867" s="626"/>
      <c r="F14867" s="626"/>
    </row>
    <row r="14868" spans="1:6">
      <c r="A14868" t="str">
        <f t="shared" si="232"/>
        <v/>
      </c>
      <c r="E14868" s="626"/>
      <c r="F14868" s="626"/>
    </row>
    <row r="14869" spans="1:6">
      <c r="A14869" t="str">
        <f t="shared" si="232"/>
        <v/>
      </c>
      <c r="E14869" s="626"/>
      <c r="F14869" s="626"/>
    </row>
    <row r="14870" spans="1:6">
      <c r="A14870" t="str">
        <f t="shared" si="232"/>
        <v/>
      </c>
      <c r="E14870" s="626"/>
      <c r="F14870" s="626"/>
    </row>
    <row r="14871" spans="1:6">
      <c r="A14871" t="str">
        <f t="shared" si="232"/>
        <v/>
      </c>
      <c r="E14871" s="626"/>
      <c r="F14871" s="626"/>
    </row>
    <row r="14872" spans="1:6">
      <c r="A14872" t="str">
        <f t="shared" si="232"/>
        <v/>
      </c>
      <c r="E14872" s="626"/>
      <c r="F14872" s="626"/>
    </row>
    <row r="14873" spans="1:6">
      <c r="A14873" t="str">
        <f t="shared" si="232"/>
        <v/>
      </c>
      <c r="E14873" s="626"/>
      <c r="F14873" s="626"/>
    </row>
    <row r="14874" spans="1:6">
      <c r="A14874" t="str">
        <f t="shared" si="232"/>
        <v/>
      </c>
      <c r="E14874" s="626"/>
      <c r="F14874" s="626"/>
    </row>
    <row r="14875" spans="1:6">
      <c r="A14875" t="str">
        <f t="shared" si="232"/>
        <v/>
      </c>
      <c r="E14875" s="626"/>
      <c r="F14875" s="626"/>
    </row>
    <row r="14876" spans="1:6">
      <c r="A14876" t="str">
        <f t="shared" si="232"/>
        <v/>
      </c>
      <c r="E14876" s="626"/>
      <c r="F14876" s="626"/>
    </row>
    <row r="14877" spans="1:6">
      <c r="A14877" t="str">
        <f t="shared" si="232"/>
        <v/>
      </c>
      <c r="E14877" s="626"/>
      <c r="F14877" s="626"/>
    </row>
    <row r="14878" spans="1:6">
      <c r="A14878" t="str">
        <f t="shared" si="232"/>
        <v/>
      </c>
      <c r="E14878" s="626"/>
      <c r="F14878" s="626"/>
    </row>
    <row r="14879" spans="1:6">
      <c r="A14879" t="str">
        <f t="shared" si="232"/>
        <v/>
      </c>
      <c r="E14879" s="626"/>
      <c r="F14879" s="626"/>
    </row>
    <row r="14880" spans="1:6">
      <c r="A14880" t="str">
        <f t="shared" si="232"/>
        <v/>
      </c>
      <c r="E14880" s="626"/>
      <c r="F14880" s="626"/>
    </row>
    <row r="14881" spans="1:6">
      <c r="A14881" t="str">
        <f t="shared" si="232"/>
        <v/>
      </c>
      <c r="E14881" s="626"/>
      <c r="F14881" s="626"/>
    </row>
    <row r="14882" spans="1:6">
      <c r="A14882" t="str">
        <f t="shared" si="232"/>
        <v/>
      </c>
      <c r="E14882" s="626"/>
      <c r="F14882" s="626"/>
    </row>
    <row r="14883" spans="1:6">
      <c r="A14883" t="str">
        <f t="shared" si="232"/>
        <v/>
      </c>
      <c r="E14883" s="626"/>
      <c r="F14883" s="626"/>
    </row>
    <row r="14884" spans="1:6">
      <c r="A14884" t="str">
        <f t="shared" si="232"/>
        <v/>
      </c>
      <c r="E14884" s="626"/>
      <c r="F14884" s="626"/>
    </row>
    <row r="14885" spans="1:6">
      <c r="A14885" t="str">
        <f t="shared" si="232"/>
        <v/>
      </c>
      <c r="E14885" s="626"/>
      <c r="F14885" s="626"/>
    </row>
    <row r="14886" spans="1:6">
      <c r="A14886" t="str">
        <f t="shared" si="232"/>
        <v/>
      </c>
      <c r="E14886" s="626"/>
      <c r="F14886" s="626"/>
    </row>
    <row r="14887" spans="1:6">
      <c r="A14887" t="str">
        <f t="shared" si="232"/>
        <v/>
      </c>
      <c r="E14887" s="626"/>
      <c r="F14887" s="626"/>
    </row>
    <row r="14888" spans="1:6">
      <c r="A14888" t="str">
        <f t="shared" si="232"/>
        <v/>
      </c>
      <c r="E14888" s="626"/>
      <c r="F14888" s="626"/>
    </row>
    <row r="14889" spans="1:6">
      <c r="A14889" t="str">
        <f t="shared" si="232"/>
        <v/>
      </c>
      <c r="E14889" s="626"/>
      <c r="F14889" s="626"/>
    </row>
    <row r="14890" spans="1:6">
      <c r="A14890" t="str">
        <f t="shared" si="232"/>
        <v/>
      </c>
      <c r="E14890" s="626"/>
      <c r="F14890" s="626"/>
    </row>
    <row r="14891" spans="1:6">
      <c r="A14891" t="str">
        <f t="shared" si="232"/>
        <v/>
      </c>
      <c r="E14891" s="626"/>
      <c r="F14891" s="626"/>
    </row>
    <row r="14892" spans="1:6">
      <c r="A14892" t="str">
        <f t="shared" si="232"/>
        <v/>
      </c>
      <c r="E14892" s="626"/>
      <c r="F14892" s="626"/>
    </row>
    <row r="14893" spans="1:6">
      <c r="A14893" t="str">
        <f t="shared" si="232"/>
        <v/>
      </c>
      <c r="E14893" s="626"/>
      <c r="F14893" s="626"/>
    </row>
    <row r="14894" spans="1:6">
      <c r="A14894" t="str">
        <f t="shared" si="232"/>
        <v/>
      </c>
      <c r="E14894" s="626"/>
      <c r="F14894" s="626"/>
    </row>
    <row r="14895" spans="1:6">
      <c r="A14895" t="str">
        <f t="shared" si="232"/>
        <v/>
      </c>
      <c r="E14895" s="626"/>
      <c r="F14895" s="626"/>
    </row>
    <row r="14896" spans="1:6">
      <c r="A14896" t="str">
        <f t="shared" si="232"/>
        <v/>
      </c>
      <c r="E14896" s="626"/>
      <c r="F14896" s="626"/>
    </row>
    <row r="14897" spans="1:6">
      <c r="A14897" t="str">
        <f t="shared" si="232"/>
        <v/>
      </c>
      <c r="E14897" s="626"/>
      <c r="F14897" s="626"/>
    </row>
    <row r="14898" spans="1:6">
      <c r="A14898" t="str">
        <f t="shared" si="232"/>
        <v/>
      </c>
      <c r="E14898" s="626"/>
      <c r="F14898" s="626"/>
    </row>
    <row r="14899" spans="1:6">
      <c r="A14899" t="str">
        <f t="shared" si="232"/>
        <v/>
      </c>
      <c r="E14899" s="626"/>
      <c r="F14899" s="626"/>
    </row>
    <row r="14900" spans="1:6">
      <c r="A14900" t="str">
        <f t="shared" si="232"/>
        <v/>
      </c>
      <c r="E14900" s="626"/>
      <c r="F14900" s="626"/>
    </row>
    <row r="14901" spans="1:6">
      <c r="A14901" t="str">
        <f t="shared" si="232"/>
        <v/>
      </c>
      <c r="E14901" s="626"/>
      <c r="F14901" s="626"/>
    </row>
    <row r="14902" spans="1:6">
      <c r="A14902" t="str">
        <f t="shared" si="232"/>
        <v/>
      </c>
      <c r="E14902" s="626"/>
      <c r="F14902" s="626"/>
    </row>
    <row r="14903" spans="1:6">
      <c r="A14903" t="str">
        <f t="shared" si="232"/>
        <v/>
      </c>
      <c r="E14903" s="626"/>
      <c r="F14903" s="626"/>
    </row>
    <row r="14904" spans="1:6">
      <c r="A14904" t="str">
        <f t="shared" si="232"/>
        <v/>
      </c>
      <c r="E14904" s="626"/>
      <c r="F14904" s="626"/>
    </row>
    <row r="14905" spans="1:6">
      <c r="A14905" t="str">
        <f t="shared" si="232"/>
        <v/>
      </c>
      <c r="E14905" s="626"/>
      <c r="F14905" s="626"/>
    </row>
    <row r="14906" spans="1:6">
      <c r="A14906" t="str">
        <f t="shared" si="232"/>
        <v/>
      </c>
      <c r="E14906" s="626"/>
      <c r="F14906" s="626"/>
    </row>
    <row r="14907" spans="1:6">
      <c r="A14907" t="str">
        <f t="shared" si="232"/>
        <v/>
      </c>
      <c r="E14907" s="626"/>
      <c r="F14907" s="626"/>
    </row>
    <row r="14908" spans="1:6">
      <c r="A14908" t="str">
        <f t="shared" si="232"/>
        <v/>
      </c>
      <c r="E14908" s="626"/>
      <c r="F14908" s="626"/>
    </row>
    <row r="14909" spans="1:6">
      <c r="A14909" t="str">
        <f t="shared" si="232"/>
        <v/>
      </c>
      <c r="E14909" s="626"/>
      <c r="F14909" s="626"/>
    </row>
    <row r="14910" spans="1:6">
      <c r="A14910" t="str">
        <f t="shared" si="232"/>
        <v/>
      </c>
      <c r="E14910" s="626"/>
      <c r="F14910" s="626"/>
    </row>
    <row r="14911" spans="1:6">
      <c r="A14911" t="str">
        <f t="shared" si="232"/>
        <v/>
      </c>
      <c r="E14911" s="626"/>
      <c r="F14911" s="626"/>
    </row>
    <row r="14912" spans="1:6">
      <c r="A14912" t="str">
        <f t="shared" si="232"/>
        <v/>
      </c>
      <c r="E14912" s="626"/>
      <c r="F14912" s="626"/>
    </row>
    <row r="14913" spans="1:6">
      <c r="A14913" t="str">
        <f t="shared" si="232"/>
        <v/>
      </c>
      <c r="E14913" s="626"/>
      <c r="F14913" s="626"/>
    </row>
    <row r="14914" spans="1:6">
      <c r="A14914" t="str">
        <f t="shared" ref="A14914:A14977" si="233">B14914&amp;E14914&amp;J14914</f>
        <v/>
      </c>
      <c r="E14914" s="626"/>
      <c r="F14914" s="626"/>
    </row>
    <row r="14915" spans="1:6">
      <c r="A14915" t="str">
        <f t="shared" si="233"/>
        <v/>
      </c>
      <c r="E14915" s="626"/>
      <c r="F14915" s="626"/>
    </row>
    <row r="14916" spans="1:6">
      <c r="A14916" t="str">
        <f t="shared" si="233"/>
        <v/>
      </c>
      <c r="E14916" s="626"/>
      <c r="F14916" s="626"/>
    </row>
    <row r="14917" spans="1:6">
      <c r="A14917" t="str">
        <f t="shared" si="233"/>
        <v/>
      </c>
      <c r="E14917" s="626"/>
      <c r="F14917" s="626"/>
    </row>
    <row r="14918" spans="1:6">
      <c r="A14918" t="str">
        <f t="shared" si="233"/>
        <v/>
      </c>
      <c r="E14918" s="626"/>
      <c r="F14918" s="626"/>
    </row>
    <row r="14919" spans="1:6">
      <c r="A14919" t="str">
        <f t="shared" si="233"/>
        <v/>
      </c>
      <c r="E14919" s="626"/>
      <c r="F14919" s="626"/>
    </row>
    <row r="14920" spans="1:6">
      <c r="A14920" t="str">
        <f t="shared" si="233"/>
        <v/>
      </c>
      <c r="E14920" s="626"/>
      <c r="F14920" s="626"/>
    </row>
    <row r="14921" spans="1:6">
      <c r="A14921" t="str">
        <f t="shared" si="233"/>
        <v/>
      </c>
      <c r="E14921" s="626"/>
      <c r="F14921" s="626"/>
    </row>
    <row r="14922" spans="1:6">
      <c r="A14922" t="str">
        <f t="shared" si="233"/>
        <v/>
      </c>
      <c r="E14922" s="626"/>
      <c r="F14922" s="626"/>
    </row>
    <row r="14923" spans="1:6">
      <c r="A14923" t="str">
        <f t="shared" si="233"/>
        <v/>
      </c>
      <c r="E14923" s="626"/>
      <c r="F14923" s="626"/>
    </row>
    <row r="14924" spans="1:6">
      <c r="A14924" t="str">
        <f t="shared" si="233"/>
        <v/>
      </c>
      <c r="E14924" s="626"/>
      <c r="F14924" s="626"/>
    </row>
    <row r="14925" spans="1:6">
      <c r="A14925" t="str">
        <f t="shared" si="233"/>
        <v/>
      </c>
      <c r="E14925" s="626"/>
      <c r="F14925" s="626"/>
    </row>
    <row r="14926" spans="1:6">
      <c r="A14926" t="str">
        <f t="shared" si="233"/>
        <v/>
      </c>
      <c r="E14926" s="626"/>
      <c r="F14926" s="626"/>
    </row>
    <row r="14927" spans="1:6">
      <c r="A14927" t="str">
        <f t="shared" si="233"/>
        <v/>
      </c>
      <c r="E14927" s="626"/>
      <c r="F14927" s="626"/>
    </row>
    <row r="14928" spans="1:6">
      <c r="A14928" t="str">
        <f t="shared" si="233"/>
        <v/>
      </c>
      <c r="E14928" s="626"/>
      <c r="F14928" s="626"/>
    </row>
    <row r="14929" spans="1:6">
      <c r="A14929" t="str">
        <f t="shared" si="233"/>
        <v/>
      </c>
      <c r="E14929" s="626"/>
      <c r="F14929" s="626"/>
    </row>
    <row r="14930" spans="1:6">
      <c r="A14930" t="str">
        <f t="shared" si="233"/>
        <v/>
      </c>
      <c r="E14930" s="626"/>
      <c r="F14930" s="626"/>
    </row>
    <row r="14931" spans="1:6">
      <c r="A14931" t="str">
        <f t="shared" si="233"/>
        <v/>
      </c>
      <c r="E14931" s="626"/>
      <c r="F14931" s="626"/>
    </row>
    <row r="14932" spans="1:6">
      <c r="A14932" t="str">
        <f t="shared" si="233"/>
        <v/>
      </c>
      <c r="E14932" s="626"/>
      <c r="F14932" s="626"/>
    </row>
    <row r="14933" spans="1:6">
      <c r="A14933" t="str">
        <f t="shared" si="233"/>
        <v/>
      </c>
      <c r="E14933" s="626"/>
      <c r="F14933" s="626"/>
    </row>
    <row r="14934" spans="1:6">
      <c r="A14934" t="str">
        <f t="shared" si="233"/>
        <v/>
      </c>
      <c r="E14934" s="626"/>
      <c r="F14934" s="626"/>
    </row>
    <row r="14935" spans="1:6">
      <c r="A14935" t="str">
        <f t="shared" si="233"/>
        <v/>
      </c>
      <c r="E14935" s="626"/>
      <c r="F14935" s="626"/>
    </row>
    <row r="14936" spans="1:6">
      <c r="A14936" t="str">
        <f t="shared" si="233"/>
        <v/>
      </c>
      <c r="E14936" s="626"/>
      <c r="F14936" s="626"/>
    </row>
    <row r="14937" spans="1:6">
      <c r="A14937" t="str">
        <f t="shared" si="233"/>
        <v/>
      </c>
      <c r="E14937" s="626"/>
      <c r="F14937" s="626"/>
    </row>
    <row r="14938" spans="1:6">
      <c r="A14938" t="str">
        <f t="shared" si="233"/>
        <v/>
      </c>
      <c r="E14938" s="626"/>
      <c r="F14938" s="626"/>
    </row>
    <row r="14939" spans="1:6">
      <c r="A14939" t="str">
        <f t="shared" si="233"/>
        <v/>
      </c>
      <c r="E14939" s="626"/>
      <c r="F14939" s="626"/>
    </row>
    <row r="14940" spans="1:6">
      <c r="A14940" t="str">
        <f t="shared" si="233"/>
        <v/>
      </c>
      <c r="E14940" s="626"/>
      <c r="F14940" s="626"/>
    </row>
    <row r="14941" spans="1:6">
      <c r="A14941" t="str">
        <f t="shared" si="233"/>
        <v/>
      </c>
      <c r="E14941" s="626"/>
      <c r="F14941" s="626"/>
    </row>
    <row r="14942" spans="1:6">
      <c r="A14942" t="str">
        <f t="shared" si="233"/>
        <v/>
      </c>
      <c r="E14942" s="626"/>
      <c r="F14942" s="626"/>
    </row>
    <row r="14943" spans="1:6">
      <c r="A14943" t="str">
        <f t="shared" si="233"/>
        <v/>
      </c>
      <c r="E14943" s="626"/>
      <c r="F14943" s="626"/>
    </row>
    <row r="14944" spans="1:6">
      <c r="A14944" t="str">
        <f t="shared" si="233"/>
        <v/>
      </c>
      <c r="E14944" s="626"/>
      <c r="F14944" s="626"/>
    </row>
    <row r="14945" spans="1:6">
      <c r="A14945" t="str">
        <f t="shared" si="233"/>
        <v/>
      </c>
      <c r="E14945" s="626"/>
      <c r="F14945" s="626"/>
    </row>
    <row r="14946" spans="1:6">
      <c r="A14946" t="str">
        <f t="shared" si="233"/>
        <v/>
      </c>
      <c r="E14946" s="626"/>
      <c r="F14946" s="626"/>
    </row>
    <row r="14947" spans="1:6">
      <c r="A14947" t="str">
        <f t="shared" si="233"/>
        <v/>
      </c>
      <c r="E14947" s="626"/>
      <c r="F14947" s="626"/>
    </row>
    <row r="14948" spans="1:6">
      <c r="A14948" t="str">
        <f t="shared" si="233"/>
        <v/>
      </c>
      <c r="E14948" s="626"/>
      <c r="F14948" s="626"/>
    </row>
    <row r="14949" spans="1:6">
      <c r="A14949" t="str">
        <f t="shared" si="233"/>
        <v/>
      </c>
      <c r="E14949" s="626"/>
      <c r="F14949" s="626"/>
    </row>
    <row r="14950" spans="1:6">
      <c r="A14950" t="str">
        <f t="shared" si="233"/>
        <v/>
      </c>
      <c r="E14950" s="626"/>
      <c r="F14950" s="626"/>
    </row>
    <row r="14951" spans="1:6">
      <c r="A14951" t="str">
        <f t="shared" si="233"/>
        <v/>
      </c>
      <c r="E14951" s="626"/>
      <c r="F14951" s="626"/>
    </row>
    <row r="14952" spans="1:6">
      <c r="A14952" t="str">
        <f t="shared" si="233"/>
        <v/>
      </c>
      <c r="E14952" s="626"/>
      <c r="F14952" s="626"/>
    </row>
    <row r="14953" spans="1:6">
      <c r="A14953" t="str">
        <f t="shared" si="233"/>
        <v/>
      </c>
      <c r="E14953" s="626"/>
      <c r="F14953" s="626"/>
    </row>
    <row r="14954" spans="1:6">
      <c r="A14954" t="str">
        <f t="shared" si="233"/>
        <v/>
      </c>
      <c r="E14954" s="626"/>
      <c r="F14954" s="626"/>
    </row>
    <row r="14955" spans="1:6">
      <c r="A14955" t="str">
        <f t="shared" si="233"/>
        <v/>
      </c>
      <c r="E14955" s="626"/>
      <c r="F14955" s="626"/>
    </row>
    <row r="14956" spans="1:6">
      <c r="A14956" t="str">
        <f t="shared" si="233"/>
        <v/>
      </c>
      <c r="E14956" s="626"/>
      <c r="F14956" s="626"/>
    </row>
    <row r="14957" spans="1:6">
      <c r="A14957" t="str">
        <f t="shared" si="233"/>
        <v/>
      </c>
      <c r="E14957" s="626"/>
      <c r="F14957" s="626"/>
    </row>
    <row r="14958" spans="1:6">
      <c r="A14958" t="str">
        <f t="shared" si="233"/>
        <v/>
      </c>
      <c r="E14958" s="626"/>
      <c r="F14958" s="626"/>
    </row>
    <row r="14959" spans="1:6">
      <c r="A14959" t="str">
        <f t="shared" si="233"/>
        <v/>
      </c>
      <c r="E14959" s="626"/>
      <c r="F14959" s="626"/>
    </row>
    <row r="14960" spans="1:6">
      <c r="A14960" t="str">
        <f t="shared" si="233"/>
        <v/>
      </c>
      <c r="E14960" s="626"/>
      <c r="F14960" s="626"/>
    </row>
    <row r="14961" spans="1:6">
      <c r="A14961" t="str">
        <f t="shared" si="233"/>
        <v/>
      </c>
      <c r="E14961" s="626"/>
      <c r="F14961" s="626"/>
    </row>
    <row r="14962" spans="1:6">
      <c r="A14962" t="str">
        <f t="shared" si="233"/>
        <v/>
      </c>
      <c r="E14962" s="626"/>
      <c r="F14962" s="626"/>
    </row>
    <row r="14963" spans="1:6">
      <c r="A14963" t="str">
        <f t="shared" si="233"/>
        <v/>
      </c>
      <c r="E14963" s="626"/>
      <c r="F14963" s="626"/>
    </row>
    <row r="14964" spans="1:6">
      <c r="A14964" t="str">
        <f t="shared" si="233"/>
        <v/>
      </c>
      <c r="E14964" s="626"/>
      <c r="F14964" s="626"/>
    </row>
    <row r="14965" spans="1:6">
      <c r="A14965" t="str">
        <f t="shared" si="233"/>
        <v/>
      </c>
      <c r="E14965" s="626"/>
      <c r="F14965" s="626"/>
    </row>
    <row r="14966" spans="1:6">
      <c r="A14966" t="str">
        <f t="shared" si="233"/>
        <v/>
      </c>
      <c r="E14966" s="626"/>
      <c r="F14966" s="626"/>
    </row>
    <row r="14967" spans="1:6">
      <c r="A14967" t="str">
        <f t="shared" si="233"/>
        <v/>
      </c>
      <c r="E14967" s="626"/>
      <c r="F14967" s="626"/>
    </row>
    <row r="14968" spans="1:6">
      <c r="A14968" t="str">
        <f t="shared" si="233"/>
        <v/>
      </c>
      <c r="E14968" s="626"/>
      <c r="F14968" s="626"/>
    </row>
    <row r="14969" spans="1:6">
      <c r="A14969" t="str">
        <f t="shared" si="233"/>
        <v/>
      </c>
      <c r="E14969" s="626"/>
      <c r="F14969" s="626"/>
    </row>
    <row r="14970" spans="1:6">
      <c r="A14970" t="str">
        <f t="shared" si="233"/>
        <v/>
      </c>
      <c r="E14970" s="626"/>
      <c r="F14970" s="626"/>
    </row>
    <row r="14971" spans="1:6">
      <c r="A14971" t="str">
        <f t="shared" si="233"/>
        <v/>
      </c>
      <c r="E14971" s="626"/>
      <c r="F14971" s="626"/>
    </row>
    <row r="14972" spans="1:6">
      <c r="A14972" t="str">
        <f t="shared" si="233"/>
        <v/>
      </c>
      <c r="E14972" s="626"/>
      <c r="F14972" s="626"/>
    </row>
    <row r="14973" spans="1:6">
      <c r="A14973" t="str">
        <f t="shared" si="233"/>
        <v/>
      </c>
      <c r="E14973" s="626"/>
      <c r="F14973" s="626"/>
    </row>
    <row r="14974" spans="1:6">
      <c r="A14974" t="str">
        <f t="shared" si="233"/>
        <v/>
      </c>
      <c r="E14974" s="626"/>
      <c r="F14974" s="626"/>
    </row>
    <row r="14975" spans="1:6">
      <c r="A14975" t="str">
        <f t="shared" si="233"/>
        <v/>
      </c>
      <c r="E14975" s="626"/>
      <c r="F14975" s="626"/>
    </row>
    <row r="14976" spans="1:6">
      <c r="A14976" t="str">
        <f t="shared" si="233"/>
        <v/>
      </c>
      <c r="E14976" s="626"/>
      <c r="F14976" s="626"/>
    </row>
    <row r="14977" spans="1:6">
      <c r="A14977" t="str">
        <f t="shared" si="233"/>
        <v/>
      </c>
      <c r="E14977" s="626"/>
      <c r="F14977" s="626"/>
    </row>
    <row r="14978" spans="1:6">
      <c r="A14978" t="str">
        <f t="shared" ref="A14978:A15041" si="234">B14978&amp;E14978&amp;J14978</f>
        <v/>
      </c>
      <c r="E14978" s="626"/>
      <c r="F14978" s="626"/>
    </row>
    <row r="14979" spans="1:6">
      <c r="A14979" t="str">
        <f t="shared" si="234"/>
        <v/>
      </c>
      <c r="E14979" s="626"/>
      <c r="F14979" s="626"/>
    </row>
    <row r="14980" spans="1:6">
      <c r="A14980" t="str">
        <f t="shared" si="234"/>
        <v/>
      </c>
      <c r="E14980" s="626"/>
      <c r="F14980" s="626"/>
    </row>
    <row r="14981" spans="1:6">
      <c r="A14981" t="str">
        <f t="shared" si="234"/>
        <v/>
      </c>
      <c r="E14981" s="626"/>
      <c r="F14981" s="626"/>
    </row>
    <row r="14982" spans="1:6">
      <c r="A14982" t="str">
        <f t="shared" si="234"/>
        <v/>
      </c>
      <c r="E14982" s="626"/>
      <c r="F14982" s="626"/>
    </row>
    <row r="14983" spans="1:6">
      <c r="A14983" t="str">
        <f t="shared" si="234"/>
        <v/>
      </c>
      <c r="E14983" s="626"/>
      <c r="F14983" s="626"/>
    </row>
    <row r="14984" spans="1:6">
      <c r="A14984" t="str">
        <f t="shared" si="234"/>
        <v/>
      </c>
      <c r="E14984" s="626"/>
      <c r="F14984" s="626"/>
    </row>
    <row r="14985" spans="1:6">
      <c r="A14985" t="str">
        <f t="shared" si="234"/>
        <v/>
      </c>
      <c r="E14985" s="626"/>
      <c r="F14985" s="626"/>
    </row>
    <row r="14986" spans="1:6">
      <c r="A14986" t="str">
        <f t="shared" si="234"/>
        <v/>
      </c>
      <c r="E14986" s="626"/>
      <c r="F14986" s="626"/>
    </row>
    <row r="14987" spans="1:6">
      <c r="A14987" t="str">
        <f t="shared" si="234"/>
        <v/>
      </c>
      <c r="E14987" s="626"/>
      <c r="F14987" s="626"/>
    </row>
    <row r="14988" spans="1:6">
      <c r="A14988" t="str">
        <f t="shared" si="234"/>
        <v/>
      </c>
      <c r="E14988" s="626"/>
      <c r="F14988" s="626"/>
    </row>
    <row r="14989" spans="1:6">
      <c r="A14989" t="str">
        <f t="shared" si="234"/>
        <v/>
      </c>
      <c r="E14989" s="626"/>
      <c r="F14989" s="626"/>
    </row>
    <row r="14990" spans="1:6">
      <c r="A14990" t="str">
        <f t="shared" si="234"/>
        <v/>
      </c>
      <c r="E14990" s="626"/>
      <c r="F14990" s="626"/>
    </row>
    <row r="14991" spans="1:6">
      <c r="A14991" t="str">
        <f t="shared" si="234"/>
        <v/>
      </c>
      <c r="E14991" s="626"/>
      <c r="F14991" s="626"/>
    </row>
    <row r="14992" spans="1:6">
      <c r="A14992" t="str">
        <f t="shared" si="234"/>
        <v/>
      </c>
      <c r="E14992" s="626"/>
      <c r="F14992" s="626"/>
    </row>
    <row r="14993" spans="1:6">
      <c r="A14993" t="str">
        <f t="shared" si="234"/>
        <v/>
      </c>
      <c r="E14993" s="626"/>
      <c r="F14993" s="626"/>
    </row>
    <row r="14994" spans="1:6">
      <c r="A14994" t="str">
        <f t="shared" si="234"/>
        <v/>
      </c>
      <c r="E14994" s="626"/>
      <c r="F14994" s="626"/>
    </row>
    <row r="14995" spans="1:6">
      <c r="A14995" t="str">
        <f t="shared" si="234"/>
        <v/>
      </c>
      <c r="E14995" s="626"/>
      <c r="F14995" s="626"/>
    </row>
    <row r="14996" spans="1:6">
      <c r="A14996" t="str">
        <f t="shared" si="234"/>
        <v/>
      </c>
      <c r="E14996" s="626"/>
      <c r="F14996" s="626"/>
    </row>
    <row r="14997" spans="1:6">
      <c r="A14997" t="str">
        <f t="shared" si="234"/>
        <v/>
      </c>
      <c r="E14997" s="626"/>
      <c r="F14997" s="626"/>
    </row>
    <row r="14998" spans="1:6">
      <c r="A14998" t="str">
        <f t="shared" si="234"/>
        <v/>
      </c>
      <c r="E14998" s="626"/>
      <c r="F14998" s="626"/>
    </row>
    <row r="14999" spans="1:6">
      <c r="A14999" t="str">
        <f t="shared" si="234"/>
        <v/>
      </c>
      <c r="E14999" s="626"/>
      <c r="F14999" s="626"/>
    </row>
    <row r="15000" spans="1:6">
      <c r="A15000" t="str">
        <f t="shared" si="234"/>
        <v/>
      </c>
      <c r="E15000" s="626"/>
      <c r="F15000" s="626"/>
    </row>
    <row r="15001" spans="1:6">
      <c r="A15001" t="str">
        <f t="shared" si="234"/>
        <v/>
      </c>
      <c r="E15001" s="626"/>
      <c r="F15001" s="626"/>
    </row>
    <row r="15002" spans="1:6">
      <c r="A15002" t="str">
        <f t="shared" si="234"/>
        <v/>
      </c>
      <c r="E15002" s="626"/>
      <c r="F15002" s="626"/>
    </row>
    <row r="15003" spans="1:6">
      <c r="A15003" t="str">
        <f t="shared" si="234"/>
        <v/>
      </c>
      <c r="E15003" s="626"/>
      <c r="F15003" s="626"/>
    </row>
    <row r="15004" spans="1:6">
      <c r="A15004" t="str">
        <f t="shared" si="234"/>
        <v/>
      </c>
      <c r="E15004" s="626"/>
      <c r="F15004" s="626"/>
    </row>
    <row r="15005" spans="1:6">
      <c r="A15005" t="str">
        <f t="shared" si="234"/>
        <v/>
      </c>
      <c r="E15005" s="626"/>
      <c r="F15005" s="626"/>
    </row>
    <row r="15006" spans="1:6">
      <c r="A15006" t="str">
        <f t="shared" si="234"/>
        <v/>
      </c>
      <c r="E15006" s="626"/>
      <c r="F15006" s="626"/>
    </row>
    <row r="15007" spans="1:6">
      <c r="A15007" t="str">
        <f t="shared" si="234"/>
        <v/>
      </c>
      <c r="E15007" s="626"/>
      <c r="F15007" s="626"/>
    </row>
    <row r="15008" spans="1:6">
      <c r="A15008" t="str">
        <f t="shared" si="234"/>
        <v/>
      </c>
      <c r="E15008" s="626"/>
      <c r="F15008" s="626"/>
    </row>
    <row r="15009" spans="1:6">
      <c r="A15009" t="str">
        <f t="shared" si="234"/>
        <v/>
      </c>
      <c r="E15009" s="626"/>
      <c r="F15009" s="626"/>
    </row>
    <row r="15010" spans="1:6">
      <c r="A15010" t="str">
        <f t="shared" si="234"/>
        <v/>
      </c>
      <c r="E15010" s="626"/>
      <c r="F15010" s="626"/>
    </row>
    <row r="15011" spans="1:6">
      <c r="A15011" t="str">
        <f t="shared" si="234"/>
        <v/>
      </c>
      <c r="E15011" s="626"/>
      <c r="F15011" s="626"/>
    </row>
    <row r="15012" spans="1:6">
      <c r="A15012" t="str">
        <f t="shared" si="234"/>
        <v/>
      </c>
      <c r="E15012" s="626"/>
      <c r="F15012" s="626"/>
    </row>
    <row r="15013" spans="1:6">
      <c r="A15013" t="str">
        <f t="shared" si="234"/>
        <v/>
      </c>
      <c r="E15013" s="626"/>
      <c r="F15013" s="626"/>
    </row>
    <row r="15014" spans="1:6">
      <c r="A15014" t="str">
        <f t="shared" si="234"/>
        <v/>
      </c>
      <c r="E15014" s="626"/>
      <c r="F15014" s="626"/>
    </row>
    <row r="15015" spans="1:6">
      <c r="A15015" t="str">
        <f t="shared" si="234"/>
        <v/>
      </c>
      <c r="E15015" s="626"/>
      <c r="F15015" s="626"/>
    </row>
    <row r="15016" spans="1:6">
      <c r="A15016" t="str">
        <f t="shared" si="234"/>
        <v/>
      </c>
      <c r="E15016" s="626"/>
      <c r="F15016" s="626"/>
    </row>
    <row r="15017" spans="1:6">
      <c r="A15017" t="str">
        <f t="shared" si="234"/>
        <v/>
      </c>
      <c r="E15017" s="626"/>
      <c r="F15017" s="626"/>
    </row>
    <row r="15018" spans="1:6">
      <c r="A15018" t="str">
        <f t="shared" si="234"/>
        <v/>
      </c>
      <c r="E15018" s="626"/>
      <c r="F15018" s="626"/>
    </row>
    <row r="15019" spans="1:6">
      <c r="A15019" t="str">
        <f t="shared" si="234"/>
        <v/>
      </c>
      <c r="E15019" s="626"/>
      <c r="F15019" s="626"/>
    </row>
    <row r="15020" spans="1:6">
      <c r="A15020" t="str">
        <f t="shared" si="234"/>
        <v/>
      </c>
      <c r="E15020" s="626"/>
      <c r="F15020" s="626"/>
    </row>
    <row r="15021" spans="1:6">
      <c r="A15021" t="str">
        <f t="shared" si="234"/>
        <v/>
      </c>
      <c r="E15021" s="626"/>
      <c r="F15021" s="626"/>
    </row>
    <row r="15022" spans="1:6">
      <c r="A15022" t="str">
        <f t="shared" si="234"/>
        <v/>
      </c>
      <c r="E15022" s="626"/>
      <c r="F15022" s="626"/>
    </row>
    <row r="15023" spans="1:6">
      <c r="A15023" t="str">
        <f t="shared" si="234"/>
        <v/>
      </c>
      <c r="E15023" s="626"/>
      <c r="F15023" s="626"/>
    </row>
    <row r="15024" spans="1:6">
      <c r="A15024" t="str">
        <f t="shared" si="234"/>
        <v/>
      </c>
      <c r="E15024" s="626"/>
      <c r="F15024" s="626"/>
    </row>
    <row r="15025" spans="1:6">
      <c r="A15025" t="str">
        <f t="shared" si="234"/>
        <v/>
      </c>
      <c r="E15025" s="626"/>
      <c r="F15025" s="626"/>
    </row>
    <row r="15026" spans="1:6">
      <c r="A15026" t="str">
        <f t="shared" si="234"/>
        <v/>
      </c>
      <c r="E15026" s="626"/>
      <c r="F15026" s="626"/>
    </row>
    <row r="15027" spans="1:6">
      <c r="A15027" t="str">
        <f t="shared" si="234"/>
        <v/>
      </c>
      <c r="E15027" s="626"/>
      <c r="F15027" s="626"/>
    </row>
    <row r="15028" spans="1:6">
      <c r="A15028" t="str">
        <f t="shared" si="234"/>
        <v/>
      </c>
      <c r="E15028" s="626"/>
      <c r="F15028" s="626"/>
    </row>
    <row r="15029" spans="1:6">
      <c r="A15029" t="str">
        <f t="shared" si="234"/>
        <v/>
      </c>
      <c r="E15029" s="626"/>
      <c r="F15029" s="626"/>
    </row>
    <row r="15030" spans="1:6">
      <c r="A15030" t="str">
        <f t="shared" si="234"/>
        <v/>
      </c>
      <c r="E15030" s="626"/>
      <c r="F15030" s="626"/>
    </row>
    <row r="15031" spans="1:6">
      <c r="A15031" t="str">
        <f t="shared" si="234"/>
        <v/>
      </c>
      <c r="E15031" s="626"/>
      <c r="F15031" s="626"/>
    </row>
    <row r="15032" spans="1:6">
      <c r="A15032" t="str">
        <f t="shared" si="234"/>
        <v/>
      </c>
      <c r="E15032" s="626"/>
      <c r="F15032" s="626"/>
    </row>
    <row r="15033" spans="1:6">
      <c r="A15033" t="str">
        <f t="shared" si="234"/>
        <v/>
      </c>
      <c r="E15033" s="626"/>
      <c r="F15033" s="626"/>
    </row>
    <row r="15034" spans="1:6">
      <c r="A15034" t="str">
        <f t="shared" si="234"/>
        <v/>
      </c>
      <c r="E15034" s="626"/>
      <c r="F15034" s="626"/>
    </row>
    <row r="15035" spans="1:6">
      <c r="A15035" t="str">
        <f t="shared" si="234"/>
        <v/>
      </c>
      <c r="E15035" s="626"/>
      <c r="F15035" s="626"/>
    </row>
    <row r="15036" spans="1:6">
      <c r="A15036" t="str">
        <f t="shared" si="234"/>
        <v/>
      </c>
      <c r="E15036" s="626"/>
      <c r="F15036" s="626"/>
    </row>
    <row r="15037" spans="1:6">
      <c r="A15037" t="str">
        <f t="shared" si="234"/>
        <v/>
      </c>
      <c r="E15037" s="626"/>
      <c r="F15037" s="626"/>
    </row>
    <row r="15038" spans="1:6">
      <c r="A15038" t="str">
        <f t="shared" si="234"/>
        <v/>
      </c>
      <c r="E15038" s="626"/>
      <c r="F15038" s="626"/>
    </row>
    <row r="15039" spans="1:6">
      <c r="A15039" t="str">
        <f t="shared" si="234"/>
        <v/>
      </c>
      <c r="E15039" s="626"/>
      <c r="F15039" s="626"/>
    </row>
    <row r="15040" spans="1:6">
      <c r="A15040" t="str">
        <f t="shared" si="234"/>
        <v/>
      </c>
      <c r="E15040" s="626"/>
      <c r="F15040" s="626"/>
    </row>
    <row r="15041" spans="1:6">
      <c r="A15041" t="str">
        <f t="shared" si="234"/>
        <v/>
      </c>
      <c r="E15041" s="626"/>
      <c r="F15041" s="626"/>
    </row>
    <row r="15042" spans="1:6">
      <c r="A15042" t="str">
        <f t="shared" ref="A15042:A15105" si="235">B15042&amp;E15042&amp;J15042</f>
        <v/>
      </c>
      <c r="E15042" s="626"/>
      <c r="F15042" s="626"/>
    </row>
    <row r="15043" spans="1:6">
      <c r="A15043" t="str">
        <f t="shared" si="235"/>
        <v/>
      </c>
      <c r="E15043" s="626"/>
      <c r="F15043" s="626"/>
    </row>
    <row r="15044" spans="1:6">
      <c r="A15044" t="str">
        <f t="shared" si="235"/>
        <v/>
      </c>
      <c r="E15044" s="626"/>
      <c r="F15044" s="626"/>
    </row>
    <row r="15045" spans="1:6">
      <c r="A15045" t="str">
        <f t="shared" si="235"/>
        <v/>
      </c>
      <c r="E15045" s="626"/>
      <c r="F15045" s="626"/>
    </row>
    <row r="15046" spans="1:6">
      <c r="A15046" t="str">
        <f t="shared" si="235"/>
        <v/>
      </c>
      <c r="E15046" s="626"/>
      <c r="F15046" s="626"/>
    </row>
    <row r="15047" spans="1:6">
      <c r="A15047" t="str">
        <f t="shared" si="235"/>
        <v/>
      </c>
      <c r="E15047" s="626"/>
      <c r="F15047" s="626"/>
    </row>
    <row r="15048" spans="1:6">
      <c r="A15048" t="str">
        <f t="shared" si="235"/>
        <v/>
      </c>
      <c r="E15048" s="626"/>
      <c r="F15048" s="626"/>
    </row>
    <row r="15049" spans="1:6">
      <c r="A15049" t="str">
        <f t="shared" si="235"/>
        <v/>
      </c>
      <c r="E15049" s="626"/>
      <c r="F15049" s="626"/>
    </row>
    <row r="15050" spans="1:6">
      <c r="A15050" t="str">
        <f t="shared" si="235"/>
        <v/>
      </c>
      <c r="E15050" s="626"/>
      <c r="F15050" s="626"/>
    </row>
    <row r="15051" spans="1:6">
      <c r="A15051" t="str">
        <f t="shared" si="235"/>
        <v/>
      </c>
      <c r="E15051" s="626"/>
      <c r="F15051" s="626"/>
    </row>
    <row r="15052" spans="1:6">
      <c r="A15052" t="str">
        <f t="shared" si="235"/>
        <v/>
      </c>
      <c r="E15052" s="626"/>
      <c r="F15052" s="626"/>
    </row>
    <row r="15053" spans="1:6">
      <c r="A15053" t="str">
        <f t="shared" si="235"/>
        <v/>
      </c>
      <c r="E15053" s="626"/>
      <c r="F15053" s="626"/>
    </row>
    <row r="15054" spans="1:6">
      <c r="A15054" t="str">
        <f t="shared" si="235"/>
        <v/>
      </c>
      <c r="E15054" s="626"/>
      <c r="F15054" s="626"/>
    </row>
    <row r="15055" spans="1:6">
      <c r="A15055" t="str">
        <f t="shared" si="235"/>
        <v/>
      </c>
      <c r="E15055" s="626"/>
      <c r="F15055" s="626"/>
    </row>
    <row r="15056" spans="1:6">
      <c r="A15056" t="str">
        <f t="shared" si="235"/>
        <v/>
      </c>
      <c r="E15056" s="626"/>
      <c r="F15056" s="626"/>
    </row>
    <row r="15057" spans="1:6">
      <c r="A15057" t="str">
        <f t="shared" si="235"/>
        <v/>
      </c>
      <c r="E15057" s="626"/>
      <c r="F15057" s="626"/>
    </row>
    <row r="15058" spans="1:6">
      <c r="A15058" t="str">
        <f t="shared" si="235"/>
        <v/>
      </c>
      <c r="E15058" s="626"/>
      <c r="F15058" s="626"/>
    </row>
    <row r="15059" spans="1:6">
      <c r="A15059" t="str">
        <f t="shared" si="235"/>
        <v/>
      </c>
      <c r="E15059" s="626"/>
      <c r="F15059" s="626"/>
    </row>
    <row r="15060" spans="1:6">
      <c r="A15060" t="str">
        <f t="shared" si="235"/>
        <v/>
      </c>
      <c r="E15060" s="626"/>
      <c r="F15060" s="626"/>
    </row>
    <row r="15061" spans="1:6">
      <c r="A15061" t="str">
        <f t="shared" si="235"/>
        <v/>
      </c>
      <c r="E15061" s="626"/>
      <c r="F15061" s="626"/>
    </row>
    <row r="15062" spans="1:6">
      <c r="A15062" t="str">
        <f t="shared" si="235"/>
        <v/>
      </c>
      <c r="E15062" s="626"/>
      <c r="F15062" s="626"/>
    </row>
    <row r="15063" spans="1:6">
      <c r="A15063" t="str">
        <f t="shared" si="235"/>
        <v/>
      </c>
      <c r="E15063" s="626"/>
      <c r="F15063" s="626"/>
    </row>
    <row r="15064" spans="1:6">
      <c r="A15064" t="str">
        <f t="shared" si="235"/>
        <v/>
      </c>
      <c r="E15064" s="626"/>
      <c r="F15064" s="626"/>
    </row>
    <row r="15065" spans="1:6">
      <c r="A15065" t="str">
        <f t="shared" si="235"/>
        <v/>
      </c>
      <c r="E15065" s="626"/>
      <c r="F15065" s="626"/>
    </row>
    <row r="15066" spans="1:6">
      <c r="A15066" t="str">
        <f t="shared" si="235"/>
        <v/>
      </c>
      <c r="E15066" s="626"/>
      <c r="F15066" s="626"/>
    </row>
    <row r="15067" spans="1:6">
      <c r="A15067" t="str">
        <f t="shared" si="235"/>
        <v/>
      </c>
      <c r="E15067" s="626"/>
      <c r="F15067" s="626"/>
    </row>
    <row r="15068" spans="1:6">
      <c r="A15068" t="str">
        <f t="shared" si="235"/>
        <v/>
      </c>
      <c r="E15068" s="626"/>
      <c r="F15068" s="626"/>
    </row>
    <row r="15069" spans="1:6">
      <c r="A15069" t="str">
        <f t="shared" si="235"/>
        <v/>
      </c>
      <c r="E15069" s="626"/>
      <c r="F15069" s="626"/>
    </row>
    <row r="15070" spans="1:6">
      <c r="A15070" t="str">
        <f t="shared" si="235"/>
        <v/>
      </c>
      <c r="E15070" s="626"/>
      <c r="F15070" s="626"/>
    </row>
    <row r="15071" spans="1:6">
      <c r="A15071" t="str">
        <f t="shared" si="235"/>
        <v/>
      </c>
      <c r="E15071" s="626"/>
      <c r="F15071" s="626"/>
    </row>
    <row r="15072" spans="1:6">
      <c r="A15072" t="str">
        <f t="shared" si="235"/>
        <v/>
      </c>
      <c r="E15072" s="626"/>
      <c r="F15072" s="626"/>
    </row>
    <row r="15073" spans="1:6">
      <c r="A15073" t="str">
        <f t="shared" si="235"/>
        <v/>
      </c>
      <c r="E15073" s="626"/>
      <c r="F15073" s="626"/>
    </row>
    <row r="15074" spans="1:6">
      <c r="A15074" t="str">
        <f t="shared" si="235"/>
        <v/>
      </c>
      <c r="E15074" s="626"/>
      <c r="F15074" s="626"/>
    </row>
    <row r="15075" spans="1:6">
      <c r="A15075" t="str">
        <f t="shared" si="235"/>
        <v/>
      </c>
      <c r="E15075" s="626"/>
      <c r="F15075" s="626"/>
    </row>
    <row r="15076" spans="1:6">
      <c r="A15076" t="str">
        <f t="shared" si="235"/>
        <v/>
      </c>
      <c r="E15076" s="626"/>
      <c r="F15076" s="626"/>
    </row>
    <row r="15077" spans="1:6">
      <c r="A15077" t="str">
        <f t="shared" si="235"/>
        <v/>
      </c>
      <c r="E15077" s="626"/>
      <c r="F15077" s="626"/>
    </row>
    <row r="15078" spans="1:6">
      <c r="A15078" t="str">
        <f t="shared" si="235"/>
        <v/>
      </c>
      <c r="E15078" s="626"/>
      <c r="F15078" s="626"/>
    </row>
    <row r="15079" spans="1:6">
      <c r="A15079" t="str">
        <f t="shared" si="235"/>
        <v/>
      </c>
      <c r="E15079" s="626"/>
      <c r="F15079" s="626"/>
    </row>
    <row r="15080" spans="1:6">
      <c r="A15080" t="str">
        <f t="shared" si="235"/>
        <v/>
      </c>
      <c r="E15080" s="626"/>
      <c r="F15080" s="626"/>
    </row>
    <row r="15081" spans="1:6">
      <c r="A15081" t="str">
        <f t="shared" si="235"/>
        <v/>
      </c>
      <c r="E15081" s="626"/>
      <c r="F15081" s="626"/>
    </row>
    <row r="15082" spans="1:6">
      <c r="A15082" t="str">
        <f t="shared" si="235"/>
        <v/>
      </c>
      <c r="E15082" s="626"/>
      <c r="F15082" s="626"/>
    </row>
    <row r="15083" spans="1:6">
      <c r="A15083" t="str">
        <f t="shared" si="235"/>
        <v/>
      </c>
      <c r="E15083" s="626"/>
      <c r="F15083" s="626"/>
    </row>
    <row r="15084" spans="1:6">
      <c r="A15084" t="str">
        <f t="shared" si="235"/>
        <v/>
      </c>
      <c r="E15084" s="626"/>
      <c r="F15084" s="626"/>
    </row>
    <row r="15085" spans="1:6">
      <c r="A15085" t="str">
        <f t="shared" si="235"/>
        <v/>
      </c>
      <c r="E15085" s="626"/>
      <c r="F15085" s="626"/>
    </row>
    <row r="15086" spans="1:6">
      <c r="A15086" t="str">
        <f t="shared" si="235"/>
        <v/>
      </c>
      <c r="E15086" s="626"/>
      <c r="F15086" s="626"/>
    </row>
    <row r="15087" spans="1:6">
      <c r="A15087" t="str">
        <f t="shared" si="235"/>
        <v/>
      </c>
      <c r="E15087" s="626"/>
      <c r="F15087" s="626"/>
    </row>
    <row r="15088" spans="1:6">
      <c r="A15088" t="str">
        <f t="shared" si="235"/>
        <v/>
      </c>
      <c r="E15088" s="626"/>
      <c r="F15088" s="626"/>
    </row>
    <row r="15089" spans="1:6">
      <c r="A15089" t="str">
        <f t="shared" si="235"/>
        <v/>
      </c>
      <c r="E15089" s="626"/>
      <c r="F15089" s="626"/>
    </row>
    <row r="15090" spans="1:6">
      <c r="A15090" t="str">
        <f t="shared" si="235"/>
        <v/>
      </c>
      <c r="E15090" s="626"/>
      <c r="F15090" s="626"/>
    </row>
    <row r="15091" spans="1:6">
      <c r="A15091" t="str">
        <f t="shared" si="235"/>
        <v/>
      </c>
      <c r="E15091" s="626"/>
      <c r="F15091" s="626"/>
    </row>
    <row r="15092" spans="1:6">
      <c r="A15092" t="str">
        <f t="shared" si="235"/>
        <v/>
      </c>
      <c r="E15092" s="626"/>
      <c r="F15092" s="626"/>
    </row>
    <row r="15093" spans="1:6">
      <c r="A15093" t="str">
        <f t="shared" si="235"/>
        <v/>
      </c>
      <c r="E15093" s="626"/>
      <c r="F15093" s="626"/>
    </row>
    <row r="15094" spans="1:6">
      <c r="A15094" t="str">
        <f t="shared" si="235"/>
        <v/>
      </c>
      <c r="E15094" s="626"/>
      <c r="F15094" s="626"/>
    </row>
    <row r="15095" spans="1:6">
      <c r="A15095" t="str">
        <f t="shared" si="235"/>
        <v/>
      </c>
      <c r="E15095" s="626"/>
      <c r="F15095" s="626"/>
    </row>
    <row r="15096" spans="1:6">
      <c r="A15096" t="str">
        <f t="shared" si="235"/>
        <v/>
      </c>
      <c r="E15096" s="626"/>
      <c r="F15096" s="626"/>
    </row>
    <row r="15097" spans="1:6">
      <c r="A15097" t="str">
        <f t="shared" si="235"/>
        <v/>
      </c>
      <c r="E15097" s="626"/>
      <c r="F15097" s="626"/>
    </row>
    <row r="15098" spans="1:6">
      <c r="A15098" t="str">
        <f t="shared" si="235"/>
        <v/>
      </c>
      <c r="E15098" s="626"/>
      <c r="F15098" s="626"/>
    </row>
    <row r="15099" spans="1:6">
      <c r="A15099" t="str">
        <f t="shared" si="235"/>
        <v/>
      </c>
      <c r="E15099" s="626"/>
      <c r="F15099" s="626"/>
    </row>
    <row r="15100" spans="1:6">
      <c r="A15100" t="str">
        <f t="shared" si="235"/>
        <v/>
      </c>
      <c r="E15100" s="626"/>
      <c r="F15100" s="626"/>
    </row>
    <row r="15101" spans="1:6">
      <c r="A15101" t="str">
        <f t="shared" si="235"/>
        <v/>
      </c>
      <c r="E15101" s="626"/>
      <c r="F15101" s="626"/>
    </row>
    <row r="15102" spans="1:6">
      <c r="A15102" t="str">
        <f t="shared" si="235"/>
        <v/>
      </c>
      <c r="E15102" s="626"/>
      <c r="F15102" s="626"/>
    </row>
    <row r="15103" spans="1:6">
      <c r="A15103" t="str">
        <f t="shared" si="235"/>
        <v/>
      </c>
      <c r="E15103" s="626"/>
      <c r="F15103" s="626"/>
    </row>
    <row r="15104" spans="1:6">
      <c r="A15104" t="str">
        <f t="shared" si="235"/>
        <v/>
      </c>
      <c r="E15104" s="626"/>
      <c r="F15104" s="626"/>
    </row>
    <row r="15105" spans="1:6">
      <c r="A15105" t="str">
        <f t="shared" si="235"/>
        <v/>
      </c>
      <c r="E15105" s="626"/>
      <c r="F15105" s="626"/>
    </row>
    <row r="15106" spans="1:6">
      <c r="A15106" t="str">
        <f t="shared" ref="A15106:A15169" si="236">B15106&amp;E15106&amp;J15106</f>
        <v/>
      </c>
      <c r="E15106" s="626"/>
      <c r="F15106" s="626"/>
    </row>
    <row r="15107" spans="1:6">
      <c r="A15107" t="str">
        <f t="shared" si="236"/>
        <v/>
      </c>
      <c r="E15107" s="626"/>
      <c r="F15107" s="626"/>
    </row>
    <row r="15108" spans="1:6">
      <c r="A15108" t="str">
        <f t="shared" si="236"/>
        <v/>
      </c>
      <c r="E15108" s="626"/>
      <c r="F15108" s="626"/>
    </row>
    <row r="15109" spans="1:6">
      <c r="A15109" t="str">
        <f t="shared" si="236"/>
        <v/>
      </c>
      <c r="E15109" s="626"/>
      <c r="F15109" s="626"/>
    </row>
    <row r="15110" spans="1:6">
      <c r="A15110" t="str">
        <f t="shared" si="236"/>
        <v/>
      </c>
      <c r="E15110" s="626"/>
      <c r="F15110" s="626"/>
    </row>
    <row r="15111" spans="1:6">
      <c r="A15111" t="str">
        <f t="shared" si="236"/>
        <v/>
      </c>
      <c r="E15111" s="626"/>
      <c r="F15111" s="626"/>
    </row>
    <row r="15112" spans="1:6">
      <c r="A15112" t="str">
        <f t="shared" si="236"/>
        <v/>
      </c>
      <c r="E15112" s="626"/>
      <c r="F15112" s="626"/>
    </row>
    <row r="15113" spans="1:6">
      <c r="A15113" t="str">
        <f t="shared" si="236"/>
        <v/>
      </c>
      <c r="E15113" s="626"/>
      <c r="F15113" s="626"/>
    </row>
    <row r="15114" spans="1:6">
      <c r="A15114" t="str">
        <f t="shared" si="236"/>
        <v/>
      </c>
      <c r="E15114" s="626"/>
      <c r="F15114" s="626"/>
    </row>
    <row r="15115" spans="1:6">
      <c r="A15115" t="str">
        <f t="shared" si="236"/>
        <v/>
      </c>
      <c r="E15115" s="626"/>
      <c r="F15115" s="626"/>
    </row>
    <row r="15116" spans="1:6">
      <c r="A15116" t="str">
        <f t="shared" si="236"/>
        <v/>
      </c>
      <c r="E15116" s="626"/>
      <c r="F15116" s="626"/>
    </row>
    <row r="15117" spans="1:6">
      <c r="A15117" t="str">
        <f t="shared" si="236"/>
        <v/>
      </c>
      <c r="E15117" s="626"/>
      <c r="F15117" s="626"/>
    </row>
    <row r="15118" spans="1:6">
      <c r="A15118" t="str">
        <f t="shared" si="236"/>
        <v/>
      </c>
      <c r="E15118" s="626"/>
      <c r="F15118" s="626"/>
    </row>
    <row r="15119" spans="1:6">
      <c r="A15119" t="str">
        <f t="shared" si="236"/>
        <v/>
      </c>
      <c r="E15119" s="626"/>
      <c r="F15119" s="626"/>
    </row>
    <row r="15120" spans="1:6">
      <c r="A15120" t="str">
        <f t="shared" si="236"/>
        <v/>
      </c>
      <c r="E15120" s="626"/>
      <c r="F15120" s="626"/>
    </row>
    <row r="15121" spans="1:6">
      <c r="A15121" t="str">
        <f t="shared" si="236"/>
        <v/>
      </c>
      <c r="E15121" s="626"/>
      <c r="F15121" s="626"/>
    </row>
    <row r="15122" spans="1:6">
      <c r="A15122" t="str">
        <f t="shared" si="236"/>
        <v/>
      </c>
      <c r="E15122" s="626"/>
      <c r="F15122" s="626"/>
    </row>
    <row r="15123" spans="1:6">
      <c r="A15123" t="str">
        <f t="shared" si="236"/>
        <v/>
      </c>
      <c r="E15123" s="626"/>
      <c r="F15123" s="626"/>
    </row>
    <row r="15124" spans="1:6">
      <c r="A15124" t="str">
        <f t="shared" si="236"/>
        <v/>
      </c>
      <c r="E15124" s="626"/>
      <c r="F15124" s="626"/>
    </row>
    <row r="15125" spans="1:6">
      <c r="A15125" t="str">
        <f t="shared" si="236"/>
        <v/>
      </c>
      <c r="E15125" s="626"/>
      <c r="F15125" s="626"/>
    </row>
    <row r="15126" spans="1:6">
      <c r="A15126" t="str">
        <f t="shared" si="236"/>
        <v/>
      </c>
      <c r="E15126" s="626"/>
      <c r="F15126" s="626"/>
    </row>
    <row r="15127" spans="1:6">
      <c r="A15127" t="str">
        <f t="shared" si="236"/>
        <v/>
      </c>
      <c r="E15127" s="626"/>
      <c r="F15127" s="626"/>
    </row>
    <row r="15128" spans="1:6">
      <c r="A15128" t="str">
        <f t="shared" si="236"/>
        <v/>
      </c>
      <c r="E15128" s="626"/>
      <c r="F15128" s="626"/>
    </row>
    <row r="15129" spans="1:6">
      <c r="A15129" t="str">
        <f t="shared" si="236"/>
        <v/>
      </c>
      <c r="E15129" s="626"/>
      <c r="F15129" s="626"/>
    </row>
    <row r="15130" spans="1:6">
      <c r="A15130" t="str">
        <f t="shared" si="236"/>
        <v/>
      </c>
      <c r="E15130" s="626"/>
      <c r="F15130" s="626"/>
    </row>
    <row r="15131" spans="1:6">
      <c r="A15131" t="str">
        <f t="shared" si="236"/>
        <v/>
      </c>
      <c r="E15131" s="626"/>
      <c r="F15131" s="626"/>
    </row>
    <row r="15132" spans="1:6">
      <c r="A15132" t="str">
        <f t="shared" si="236"/>
        <v/>
      </c>
      <c r="E15132" s="626"/>
      <c r="F15132" s="626"/>
    </row>
    <row r="15133" spans="1:6">
      <c r="A15133" t="str">
        <f t="shared" si="236"/>
        <v/>
      </c>
      <c r="E15133" s="626"/>
      <c r="F15133" s="626"/>
    </row>
    <row r="15134" spans="1:6">
      <c r="A15134" t="str">
        <f t="shared" si="236"/>
        <v/>
      </c>
      <c r="E15134" s="626"/>
      <c r="F15134" s="626"/>
    </row>
    <row r="15135" spans="1:6">
      <c r="A15135" t="str">
        <f t="shared" si="236"/>
        <v/>
      </c>
      <c r="E15135" s="626"/>
      <c r="F15135" s="626"/>
    </row>
    <row r="15136" spans="1:6">
      <c r="A15136" t="str">
        <f t="shared" si="236"/>
        <v/>
      </c>
      <c r="E15136" s="626"/>
      <c r="F15136" s="626"/>
    </row>
    <row r="15137" spans="1:6">
      <c r="A15137" t="str">
        <f t="shared" si="236"/>
        <v/>
      </c>
      <c r="E15137" s="626"/>
      <c r="F15137" s="626"/>
    </row>
    <row r="15138" spans="1:6">
      <c r="A15138" t="str">
        <f t="shared" si="236"/>
        <v/>
      </c>
      <c r="E15138" s="626"/>
      <c r="F15138" s="626"/>
    </row>
    <row r="15139" spans="1:6">
      <c r="A15139" t="str">
        <f t="shared" si="236"/>
        <v/>
      </c>
      <c r="E15139" s="626"/>
      <c r="F15139" s="626"/>
    </row>
    <row r="15140" spans="1:6">
      <c r="A15140" t="str">
        <f t="shared" si="236"/>
        <v/>
      </c>
      <c r="E15140" s="626"/>
      <c r="F15140" s="626"/>
    </row>
    <row r="15141" spans="1:6">
      <c r="A15141" t="str">
        <f t="shared" si="236"/>
        <v/>
      </c>
      <c r="E15141" s="626"/>
      <c r="F15141" s="626"/>
    </row>
    <row r="15142" spans="1:6">
      <c r="A15142" t="str">
        <f t="shared" si="236"/>
        <v/>
      </c>
      <c r="E15142" s="626"/>
      <c r="F15142" s="626"/>
    </row>
    <row r="15143" spans="1:6">
      <c r="A15143" t="str">
        <f t="shared" si="236"/>
        <v/>
      </c>
      <c r="E15143" s="626"/>
      <c r="F15143" s="626"/>
    </row>
    <row r="15144" spans="1:6">
      <c r="A15144" t="str">
        <f t="shared" si="236"/>
        <v/>
      </c>
      <c r="E15144" s="626"/>
      <c r="F15144" s="626"/>
    </row>
    <row r="15145" spans="1:6">
      <c r="A15145" t="str">
        <f t="shared" si="236"/>
        <v/>
      </c>
      <c r="E15145" s="626"/>
      <c r="F15145" s="626"/>
    </row>
    <row r="15146" spans="1:6">
      <c r="A15146" t="str">
        <f t="shared" si="236"/>
        <v/>
      </c>
      <c r="E15146" s="626"/>
      <c r="F15146" s="626"/>
    </row>
    <row r="15147" spans="1:6">
      <c r="A15147" t="str">
        <f t="shared" si="236"/>
        <v/>
      </c>
      <c r="E15147" s="626"/>
      <c r="F15147" s="626"/>
    </row>
    <row r="15148" spans="1:6">
      <c r="A15148" t="str">
        <f t="shared" si="236"/>
        <v/>
      </c>
      <c r="E15148" s="626"/>
      <c r="F15148" s="626"/>
    </row>
    <row r="15149" spans="1:6">
      <c r="A15149" t="str">
        <f t="shared" si="236"/>
        <v/>
      </c>
      <c r="E15149" s="626"/>
      <c r="F15149" s="626"/>
    </row>
    <row r="15150" spans="1:6">
      <c r="A15150" t="str">
        <f t="shared" si="236"/>
        <v/>
      </c>
      <c r="E15150" s="626"/>
      <c r="F15150" s="626"/>
    </row>
    <row r="15151" spans="1:6">
      <c r="A15151" t="str">
        <f t="shared" si="236"/>
        <v/>
      </c>
      <c r="E15151" s="626"/>
      <c r="F15151" s="626"/>
    </row>
    <row r="15152" spans="1:6">
      <c r="A15152" t="str">
        <f t="shared" si="236"/>
        <v/>
      </c>
      <c r="E15152" s="626"/>
      <c r="F15152" s="626"/>
    </row>
    <row r="15153" spans="1:6">
      <c r="A15153" t="str">
        <f t="shared" si="236"/>
        <v/>
      </c>
      <c r="E15153" s="626"/>
      <c r="F15153" s="626"/>
    </row>
    <row r="15154" spans="1:6">
      <c r="A15154" t="str">
        <f t="shared" si="236"/>
        <v/>
      </c>
      <c r="E15154" s="626"/>
      <c r="F15154" s="626"/>
    </row>
    <row r="15155" spans="1:6">
      <c r="A15155" t="str">
        <f t="shared" si="236"/>
        <v/>
      </c>
      <c r="E15155" s="626"/>
      <c r="F15155" s="626"/>
    </row>
    <row r="15156" spans="1:6">
      <c r="A15156" t="str">
        <f t="shared" si="236"/>
        <v/>
      </c>
      <c r="E15156" s="626"/>
      <c r="F15156" s="626"/>
    </row>
    <row r="15157" spans="1:6">
      <c r="A15157" t="str">
        <f t="shared" si="236"/>
        <v/>
      </c>
      <c r="E15157" s="626"/>
      <c r="F15157" s="626"/>
    </row>
    <row r="15158" spans="1:6">
      <c r="A15158" t="str">
        <f t="shared" si="236"/>
        <v/>
      </c>
      <c r="E15158" s="626"/>
      <c r="F15158" s="626"/>
    </row>
    <row r="15159" spans="1:6">
      <c r="A15159" t="str">
        <f t="shared" si="236"/>
        <v/>
      </c>
      <c r="E15159" s="626"/>
      <c r="F15159" s="626"/>
    </row>
    <row r="15160" spans="1:6">
      <c r="A15160" t="str">
        <f t="shared" si="236"/>
        <v/>
      </c>
      <c r="E15160" s="626"/>
      <c r="F15160" s="626"/>
    </row>
    <row r="15161" spans="1:6">
      <c r="A15161" t="str">
        <f t="shared" si="236"/>
        <v/>
      </c>
      <c r="E15161" s="626"/>
      <c r="F15161" s="626"/>
    </row>
    <row r="15162" spans="1:6">
      <c r="A15162" t="str">
        <f t="shared" si="236"/>
        <v/>
      </c>
      <c r="E15162" s="626"/>
      <c r="F15162" s="626"/>
    </row>
    <row r="15163" spans="1:6">
      <c r="A15163" t="str">
        <f t="shared" si="236"/>
        <v/>
      </c>
      <c r="E15163" s="626"/>
      <c r="F15163" s="626"/>
    </row>
    <row r="15164" spans="1:6">
      <c r="A15164" t="str">
        <f t="shared" si="236"/>
        <v/>
      </c>
      <c r="E15164" s="626"/>
      <c r="F15164" s="626"/>
    </row>
    <row r="15165" spans="1:6">
      <c r="A15165" t="str">
        <f t="shared" si="236"/>
        <v/>
      </c>
      <c r="E15165" s="626"/>
      <c r="F15165" s="626"/>
    </row>
    <row r="15166" spans="1:6">
      <c r="A15166" t="str">
        <f t="shared" si="236"/>
        <v/>
      </c>
      <c r="E15166" s="626"/>
      <c r="F15166" s="626"/>
    </row>
    <row r="15167" spans="1:6">
      <c r="A15167" t="str">
        <f t="shared" si="236"/>
        <v/>
      </c>
      <c r="E15167" s="626"/>
      <c r="F15167" s="626"/>
    </row>
    <row r="15168" spans="1:6">
      <c r="A15168" t="str">
        <f t="shared" si="236"/>
        <v/>
      </c>
      <c r="E15168" s="626"/>
      <c r="F15168" s="626"/>
    </row>
    <row r="15169" spans="1:6">
      <c r="A15169" t="str">
        <f t="shared" si="236"/>
        <v/>
      </c>
      <c r="E15169" s="626"/>
      <c r="F15169" s="626"/>
    </row>
    <row r="15170" spans="1:6">
      <c r="A15170" t="str">
        <f t="shared" ref="A15170:A15233" si="237">B15170&amp;E15170&amp;J15170</f>
        <v/>
      </c>
      <c r="E15170" s="626"/>
      <c r="F15170" s="626"/>
    </row>
    <row r="15171" spans="1:6">
      <c r="A15171" t="str">
        <f t="shared" si="237"/>
        <v/>
      </c>
      <c r="E15171" s="626"/>
      <c r="F15171" s="626"/>
    </row>
    <row r="15172" spans="1:6">
      <c r="A15172" t="str">
        <f t="shared" si="237"/>
        <v/>
      </c>
      <c r="E15172" s="626"/>
      <c r="F15172" s="626"/>
    </row>
    <row r="15173" spans="1:6">
      <c r="A15173" t="str">
        <f t="shared" si="237"/>
        <v/>
      </c>
      <c r="E15173" s="626"/>
      <c r="F15173" s="626"/>
    </row>
    <row r="15174" spans="1:6">
      <c r="A15174" t="str">
        <f t="shared" si="237"/>
        <v/>
      </c>
      <c r="E15174" s="626"/>
      <c r="F15174" s="626"/>
    </row>
    <row r="15175" spans="1:6">
      <c r="A15175" t="str">
        <f t="shared" si="237"/>
        <v/>
      </c>
      <c r="E15175" s="626"/>
      <c r="F15175" s="626"/>
    </row>
    <row r="15176" spans="1:6">
      <c r="A15176" t="str">
        <f t="shared" si="237"/>
        <v/>
      </c>
      <c r="E15176" s="626"/>
      <c r="F15176" s="626"/>
    </row>
    <row r="15177" spans="1:6">
      <c r="A15177" t="str">
        <f t="shared" si="237"/>
        <v/>
      </c>
      <c r="E15177" s="626"/>
      <c r="F15177" s="626"/>
    </row>
    <row r="15178" spans="1:6">
      <c r="A15178" t="str">
        <f t="shared" si="237"/>
        <v/>
      </c>
      <c r="E15178" s="626"/>
      <c r="F15178" s="626"/>
    </row>
    <row r="15179" spans="1:6">
      <c r="A15179" t="str">
        <f t="shared" si="237"/>
        <v/>
      </c>
      <c r="E15179" s="626"/>
      <c r="F15179" s="626"/>
    </row>
    <row r="15180" spans="1:6">
      <c r="A15180" t="str">
        <f t="shared" si="237"/>
        <v/>
      </c>
      <c r="E15180" s="626"/>
      <c r="F15180" s="626"/>
    </row>
    <row r="15181" spans="1:6">
      <c r="A15181" t="str">
        <f t="shared" si="237"/>
        <v/>
      </c>
      <c r="E15181" s="626"/>
      <c r="F15181" s="626"/>
    </row>
    <row r="15182" spans="1:6">
      <c r="A15182" t="str">
        <f t="shared" si="237"/>
        <v/>
      </c>
      <c r="E15182" s="626"/>
      <c r="F15182" s="626"/>
    </row>
    <row r="15183" spans="1:6">
      <c r="A15183" t="str">
        <f t="shared" si="237"/>
        <v/>
      </c>
      <c r="E15183" s="626"/>
      <c r="F15183" s="626"/>
    </row>
    <row r="15184" spans="1:6">
      <c r="A15184" t="str">
        <f t="shared" si="237"/>
        <v/>
      </c>
      <c r="E15184" s="626"/>
      <c r="F15184" s="626"/>
    </row>
    <row r="15185" spans="1:6">
      <c r="A15185" t="str">
        <f t="shared" si="237"/>
        <v/>
      </c>
      <c r="E15185" s="626"/>
      <c r="F15185" s="626"/>
    </row>
    <row r="15186" spans="1:6">
      <c r="A15186" t="str">
        <f t="shared" si="237"/>
        <v/>
      </c>
      <c r="E15186" s="626"/>
      <c r="F15186" s="626"/>
    </row>
    <row r="15187" spans="1:6">
      <c r="A15187" t="str">
        <f t="shared" si="237"/>
        <v/>
      </c>
      <c r="E15187" s="626"/>
      <c r="F15187" s="626"/>
    </row>
    <row r="15188" spans="1:6">
      <c r="A15188" t="str">
        <f t="shared" si="237"/>
        <v/>
      </c>
      <c r="E15188" s="626"/>
      <c r="F15188" s="626"/>
    </row>
    <row r="15189" spans="1:6">
      <c r="A15189" t="str">
        <f t="shared" si="237"/>
        <v/>
      </c>
      <c r="E15189" s="626"/>
      <c r="F15189" s="626"/>
    </row>
    <row r="15190" spans="1:6">
      <c r="A15190" t="str">
        <f t="shared" si="237"/>
        <v/>
      </c>
      <c r="E15190" s="626"/>
      <c r="F15190" s="626"/>
    </row>
    <row r="15191" spans="1:6">
      <c r="A15191" t="str">
        <f t="shared" si="237"/>
        <v/>
      </c>
      <c r="E15191" s="626"/>
      <c r="F15191" s="626"/>
    </row>
    <row r="15192" spans="1:6">
      <c r="A15192" t="str">
        <f t="shared" si="237"/>
        <v/>
      </c>
      <c r="E15192" s="626"/>
      <c r="F15192" s="626"/>
    </row>
    <row r="15193" spans="1:6">
      <c r="A15193" t="str">
        <f t="shared" si="237"/>
        <v/>
      </c>
      <c r="E15193" s="626"/>
      <c r="F15193" s="626"/>
    </row>
    <row r="15194" spans="1:6">
      <c r="A15194" t="str">
        <f t="shared" si="237"/>
        <v/>
      </c>
      <c r="E15194" s="626"/>
      <c r="F15194" s="626"/>
    </row>
    <row r="15195" spans="1:6">
      <c r="A15195" t="str">
        <f t="shared" si="237"/>
        <v/>
      </c>
      <c r="E15195" s="626"/>
      <c r="F15195" s="626"/>
    </row>
    <row r="15196" spans="1:6">
      <c r="A15196" t="str">
        <f t="shared" si="237"/>
        <v/>
      </c>
      <c r="E15196" s="626"/>
      <c r="F15196" s="626"/>
    </row>
    <row r="15197" spans="1:6">
      <c r="A15197" t="str">
        <f t="shared" si="237"/>
        <v/>
      </c>
      <c r="E15197" s="626"/>
      <c r="F15197" s="626"/>
    </row>
    <row r="15198" spans="1:6">
      <c r="A15198" t="str">
        <f t="shared" si="237"/>
        <v/>
      </c>
      <c r="E15198" s="626"/>
      <c r="F15198" s="626"/>
    </row>
    <row r="15199" spans="1:6">
      <c r="A15199" t="str">
        <f t="shared" si="237"/>
        <v/>
      </c>
      <c r="E15199" s="626"/>
      <c r="F15199" s="626"/>
    </row>
    <row r="15200" spans="1:6">
      <c r="A15200" t="str">
        <f t="shared" si="237"/>
        <v/>
      </c>
      <c r="E15200" s="626"/>
      <c r="F15200" s="626"/>
    </row>
    <row r="15201" spans="1:6">
      <c r="A15201" t="str">
        <f t="shared" si="237"/>
        <v/>
      </c>
      <c r="E15201" s="626"/>
      <c r="F15201" s="626"/>
    </row>
    <row r="15202" spans="1:6">
      <c r="A15202" t="str">
        <f t="shared" si="237"/>
        <v/>
      </c>
      <c r="E15202" s="626"/>
      <c r="F15202" s="626"/>
    </row>
    <row r="15203" spans="1:6">
      <c r="A15203" t="str">
        <f t="shared" si="237"/>
        <v/>
      </c>
      <c r="E15203" s="626"/>
      <c r="F15203" s="626"/>
    </row>
    <row r="15204" spans="1:6">
      <c r="A15204" t="str">
        <f t="shared" si="237"/>
        <v/>
      </c>
      <c r="E15204" s="626"/>
      <c r="F15204" s="626"/>
    </row>
    <row r="15205" spans="1:6">
      <c r="A15205" t="str">
        <f t="shared" si="237"/>
        <v/>
      </c>
      <c r="E15205" s="626"/>
      <c r="F15205" s="626"/>
    </row>
    <row r="15206" spans="1:6">
      <c r="A15206" t="str">
        <f t="shared" si="237"/>
        <v/>
      </c>
      <c r="E15206" s="626"/>
      <c r="F15206" s="626"/>
    </row>
    <row r="15207" spans="1:6">
      <c r="A15207" t="str">
        <f t="shared" si="237"/>
        <v/>
      </c>
      <c r="E15207" s="626"/>
      <c r="F15207" s="626"/>
    </row>
    <row r="15208" spans="1:6">
      <c r="A15208" t="str">
        <f t="shared" si="237"/>
        <v/>
      </c>
      <c r="E15208" s="626"/>
      <c r="F15208" s="626"/>
    </row>
    <row r="15209" spans="1:6">
      <c r="A15209" t="str">
        <f t="shared" si="237"/>
        <v/>
      </c>
      <c r="E15209" s="626"/>
      <c r="F15209" s="626"/>
    </row>
    <row r="15210" spans="1:6">
      <c r="A15210" t="str">
        <f t="shared" si="237"/>
        <v/>
      </c>
      <c r="E15210" s="626"/>
      <c r="F15210" s="626"/>
    </row>
    <row r="15211" spans="1:6">
      <c r="A15211" t="str">
        <f t="shared" si="237"/>
        <v/>
      </c>
      <c r="E15211" s="626"/>
      <c r="F15211" s="626"/>
    </row>
    <row r="15212" spans="1:6">
      <c r="A15212" t="str">
        <f t="shared" si="237"/>
        <v/>
      </c>
      <c r="E15212" s="626"/>
      <c r="F15212" s="626"/>
    </row>
    <row r="15213" spans="1:6">
      <c r="A15213" t="str">
        <f t="shared" si="237"/>
        <v/>
      </c>
      <c r="E15213" s="626"/>
      <c r="F15213" s="626"/>
    </row>
    <row r="15214" spans="1:6">
      <c r="A15214" t="str">
        <f t="shared" si="237"/>
        <v/>
      </c>
      <c r="E15214" s="626"/>
      <c r="F15214" s="626"/>
    </row>
    <row r="15215" spans="1:6">
      <c r="A15215" t="str">
        <f t="shared" si="237"/>
        <v/>
      </c>
      <c r="E15215" s="626"/>
      <c r="F15215" s="626"/>
    </row>
    <row r="15216" spans="1:6">
      <c r="A15216" t="str">
        <f t="shared" si="237"/>
        <v/>
      </c>
      <c r="E15216" s="626"/>
      <c r="F15216" s="626"/>
    </row>
    <row r="15217" spans="1:6">
      <c r="A15217" t="str">
        <f t="shared" si="237"/>
        <v/>
      </c>
      <c r="E15217" s="626"/>
      <c r="F15217" s="626"/>
    </row>
    <row r="15218" spans="1:6">
      <c r="A15218" t="str">
        <f t="shared" si="237"/>
        <v/>
      </c>
      <c r="E15218" s="626"/>
      <c r="F15218" s="626"/>
    </row>
    <row r="15219" spans="1:6">
      <c r="A15219" t="str">
        <f t="shared" si="237"/>
        <v/>
      </c>
      <c r="E15219" s="626"/>
      <c r="F15219" s="626"/>
    </row>
    <row r="15220" spans="1:6">
      <c r="A15220" t="str">
        <f t="shared" si="237"/>
        <v/>
      </c>
      <c r="E15220" s="626"/>
      <c r="F15220" s="626"/>
    </row>
    <row r="15221" spans="1:6">
      <c r="A15221" t="str">
        <f t="shared" si="237"/>
        <v/>
      </c>
      <c r="E15221" s="626"/>
      <c r="F15221" s="626"/>
    </row>
    <row r="15222" spans="1:6">
      <c r="A15222" t="str">
        <f t="shared" si="237"/>
        <v/>
      </c>
      <c r="E15222" s="626"/>
      <c r="F15222" s="626"/>
    </row>
    <row r="15223" spans="1:6">
      <c r="A15223" t="str">
        <f t="shared" si="237"/>
        <v/>
      </c>
      <c r="E15223" s="626"/>
      <c r="F15223" s="626"/>
    </row>
    <row r="15224" spans="1:6">
      <c r="A15224" t="str">
        <f t="shared" si="237"/>
        <v/>
      </c>
      <c r="E15224" s="626"/>
      <c r="F15224" s="626"/>
    </row>
    <row r="15225" spans="1:6">
      <c r="A15225" t="str">
        <f t="shared" si="237"/>
        <v/>
      </c>
      <c r="E15225" s="626"/>
      <c r="F15225" s="626"/>
    </row>
    <row r="15226" spans="1:6">
      <c r="A15226" t="str">
        <f t="shared" si="237"/>
        <v/>
      </c>
      <c r="E15226" s="626"/>
      <c r="F15226" s="626"/>
    </row>
    <row r="15227" spans="1:6">
      <c r="A15227" t="str">
        <f t="shared" si="237"/>
        <v/>
      </c>
      <c r="E15227" s="626"/>
      <c r="F15227" s="626"/>
    </row>
    <row r="15228" spans="1:6">
      <c r="A15228" t="str">
        <f t="shared" si="237"/>
        <v/>
      </c>
      <c r="E15228" s="626"/>
      <c r="F15228" s="626"/>
    </row>
    <row r="15229" spans="1:6">
      <c r="A15229" t="str">
        <f t="shared" si="237"/>
        <v/>
      </c>
      <c r="E15229" s="626"/>
      <c r="F15229" s="626"/>
    </row>
    <row r="15230" spans="1:6">
      <c r="A15230" t="str">
        <f t="shared" si="237"/>
        <v/>
      </c>
      <c r="E15230" s="626"/>
      <c r="F15230" s="626"/>
    </row>
    <row r="15231" spans="1:6">
      <c r="A15231" t="str">
        <f t="shared" si="237"/>
        <v/>
      </c>
      <c r="E15231" s="626"/>
      <c r="F15231" s="626"/>
    </row>
    <row r="15232" spans="1:6">
      <c r="A15232" t="str">
        <f t="shared" si="237"/>
        <v/>
      </c>
      <c r="E15232" s="626"/>
      <c r="F15232" s="626"/>
    </row>
    <row r="15233" spans="1:6">
      <c r="A15233" t="str">
        <f t="shared" si="237"/>
        <v/>
      </c>
      <c r="E15233" s="626"/>
      <c r="F15233" s="626"/>
    </row>
    <row r="15234" spans="1:6">
      <c r="A15234" t="str">
        <f t="shared" ref="A15234:A15297" si="238">B15234&amp;E15234&amp;J15234</f>
        <v/>
      </c>
      <c r="E15234" s="626"/>
      <c r="F15234" s="626"/>
    </row>
    <row r="15235" spans="1:6">
      <c r="A15235" t="str">
        <f t="shared" si="238"/>
        <v/>
      </c>
      <c r="E15235" s="626"/>
      <c r="F15235" s="626"/>
    </row>
    <row r="15236" spans="1:6">
      <c r="A15236" t="str">
        <f t="shared" si="238"/>
        <v/>
      </c>
      <c r="E15236" s="626"/>
      <c r="F15236" s="626"/>
    </row>
    <row r="15237" spans="1:6">
      <c r="A15237" t="str">
        <f t="shared" si="238"/>
        <v/>
      </c>
      <c r="E15237" s="626"/>
      <c r="F15237" s="626"/>
    </row>
    <row r="15238" spans="1:6">
      <c r="A15238" t="str">
        <f t="shared" si="238"/>
        <v/>
      </c>
      <c r="E15238" s="626"/>
      <c r="F15238" s="626"/>
    </row>
    <row r="15239" spans="1:6">
      <c r="A15239" t="str">
        <f t="shared" si="238"/>
        <v/>
      </c>
      <c r="E15239" s="626"/>
      <c r="F15239" s="626"/>
    </row>
    <row r="15240" spans="1:6">
      <c r="A15240" t="str">
        <f t="shared" si="238"/>
        <v/>
      </c>
      <c r="E15240" s="626"/>
      <c r="F15240" s="626"/>
    </row>
    <row r="15241" spans="1:6">
      <c r="A15241" t="str">
        <f t="shared" si="238"/>
        <v/>
      </c>
      <c r="E15241" s="626"/>
      <c r="F15241" s="626"/>
    </row>
    <row r="15242" spans="1:6">
      <c r="A15242" t="str">
        <f t="shared" si="238"/>
        <v/>
      </c>
      <c r="E15242" s="626"/>
      <c r="F15242" s="626"/>
    </row>
    <row r="15243" spans="1:6">
      <c r="A15243" t="str">
        <f t="shared" si="238"/>
        <v/>
      </c>
      <c r="E15243" s="626"/>
      <c r="F15243" s="626"/>
    </row>
    <row r="15244" spans="1:6">
      <c r="A15244" t="str">
        <f t="shared" si="238"/>
        <v/>
      </c>
      <c r="E15244" s="626"/>
      <c r="F15244" s="626"/>
    </row>
    <row r="15245" spans="1:6">
      <c r="A15245" t="str">
        <f t="shared" si="238"/>
        <v/>
      </c>
      <c r="E15245" s="626"/>
      <c r="F15245" s="626"/>
    </row>
    <row r="15246" spans="1:6">
      <c r="A15246" t="str">
        <f t="shared" si="238"/>
        <v/>
      </c>
      <c r="E15246" s="626"/>
      <c r="F15246" s="626"/>
    </row>
    <row r="15247" spans="1:6">
      <c r="A15247" t="str">
        <f t="shared" si="238"/>
        <v/>
      </c>
      <c r="E15247" s="626"/>
      <c r="F15247" s="626"/>
    </row>
    <row r="15248" spans="1:6">
      <c r="A15248" t="str">
        <f t="shared" si="238"/>
        <v/>
      </c>
      <c r="E15248" s="626"/>
      <c r="F15248" s="626"/>
    </row>
    <row r="15249" spans="1:6">
      <c r="A15249" t="str">
        <f t="shared" si="238"/>
        <v/>
      </c>
      <c r="E15249" s="626"/>
      <c r="F15249" s="626"/>
    </row>
    <row r="15250" spans="1:6">
      <c r="A15250" t="str">
        <f t="shared" si="238"/>
        <v/>
      </c>
      <c r="E15250" s="626"/>
      <c r="F15250" s="626"/>
    </row>
    <row r="15251" spans="1:6">
      <c r="A15251" t="str">
        <f t="shared" si="238"/>
        <v/>
      </c>
      <c r="E15251" s="626"/>
      <c r="F15251" s="626"/>
    </row>
    <row r="15252" spans="1:6">
      <c r="A15252" t="str">
        <f t="shared" si="238"/>
        <v/>
      </c>
      <c r="E15252" s="626"/>
      <c r="F15252" s="626"/>
    </row>
    <row r="15253" spans="1:6">
      <c r="A15253" t="str">
        <f t="shared" si="238"/>
        <v/>
      </c>
      <c r="E15253" s="626"/>
      <c r="F15253" s="626"/>
    </row>
    <row r="15254" spans="1:6">
      <c r="A15254" t="str">
        <f t="shared" si="238"/>
        <v/>
      </c>
      <c r="E15254" s="626"/>
      <c r="F15254" s="626"/>
    </row>
    <row r="15255" spans="1:6">
      <c r="A15255" t="str">
        <f t="shared" si="238"/>
        <v/>
      </c>
      <c r="E15255" s="626"/>
      <c r="F15255" s="626"/>
    </row>
    <row r="15256" spans="1:6">
      <c r="A15256" t="str">
        <f t="shared" si="238"/>
        <v/>
      </c>
      <c r="E15256" s="626"/>
      <c r="F15256" s="626"/>
    </row>
    <row r="15257" spans="1:6">
      <c r="A15257" t="str">
        <f t="shared" si="238"/>
        <v/>
      </c>
      <c r="E15257" s="626"/>
      <c r="F15257" s="626"/>
    </row>
    <row r="15258" spans="1:6">
      <c r="A15258" t="str">
        <f t="shared" si="238"/>
        <v/>
      </c>
      <c r="E15258" s="626"/>
      <c r="F15258" s="626"/>
    </row>
    <row r="15259" spans="1:6">
      <c r="A15259" t="str">
        <f t="shared" si="238"/>
        <v/>
      </c>
      <c r="E15259" s="626"/>
      <c r="F15259" s="626"/>
    </row>
    <row r="15260" spans="1:6">
      <c r="A15260" t="str">
        <f t="shared" si="238"/>
        <v/>
      </c>
      <c r="E15260" s="626"/>
      <c r="F15260" s="626"/>
    </row>
    <row r="15261" spans="1:6">
      <c r="A15261" t="str">
        <f t="shared" si="238"/>
        <v/>
      </c>
      <c r="E15261" s="626"/>
      <c r="F15261" s="626"/>
    </row>
    <row r="15262" spans="1:6">
      <c r="A15262" t="str">
        <f t="shared" si="238"/>
        <v/>
      </c>
      <c r="E15262" s="626"/>
      <c r="F15262" s="626"/>
    </row>
    <row r="15263" spans="1:6">
      <c r="A15263" t="str">
        <f t="shared" si="238"/>
        <v/>
      </c>
      <c r="E15263" s="626"/>
      <c r="F15263" s="626"/>
    </row>
    <row r="15264" spans="1:6">
      <c r="A15264" t="str">
        <f t="shared" si="238"/>
        <v/>
      </c>
      <c r="E15264" s="626"/>
      <c r="F15264" s="626"/>
    </row>
    <row r="15265" spans="1:6">
      <c r="A15265" t="str">
        <f t="shared" si="238"/>
        <v/>
      </c>
      <c r="E15265" s="626"/>
      <c r="F15265" s="626"/>
    </row>
    <row r="15266" spans="1:6">
      <c r="A15266" t="str">
        <f t="shared" si="238"/>
        <v/>
      </c>
      <c r="E15266" s="626"/>
      <c r="F15266" s="626"/>
    </row>
    <row r="15267" spans="1:6">
      <c r="A15267" t="str">
        <f t="shared" si="238"/>
        <v/>
      </c>
      <c r="E15267" s="626"/>
      <c r="F15267" s="626"/>
    </row>
    <row r="15268" spans="1:6">
      <c r="A15268" t="str">
        <f t="shared" si="238"/>
        <v/>
      </c>
      <c r="E15268" s="626"/>
      <c r="F15268" s="626"/>
    </row>
    <row r="15269" spans="1:6">
      <c r="A15269" t="str">
        <f t="shared" si="238"/>
        <v/>
      </c>
      <c r="E15269" s="626"/>
      <c r="F15269" s="626"/>
    </row>
    <row r="15270" spans="1:6">
      <c r="A15270" t="str">
        <f t="shared" si="238"/>
        <v/>
      </c>
      <c r="E15270" s="626"/>
      <c r="F15270" s="626"/>
    </row>
    <row r="15271" spans="1:6">
      <c r="A15271" t="str">
        <f t="shared" si="238"/>
        <v/>
      </c>
      <c r="E15271" s="626"/>
      <c r="F15271" s="626"/>
    </row>
    <row r="15272" spans="1:6">
      <c r="A15272" t="str">
        <f t="shared" si="238"/>
        <v/>
      </c>
      <c r="E15272" s="626"/>
      <c r="F15272" s="626"/>
    </row>
    <row r="15273" spans="1:6">
      <c r="A15273" t="str">
        <f t="shared" si="238"/>
        <v/>
      </c>
      <c r="E15273" s="626"/>
      <c r="F15273" s="626"/>
    </row>
    <row r="15274" spans="1:6">
      <c r="A15274" t="str">
        <f t="shared" si="238"/>
        <v/>
      </c>
      <c r="E15274" s="626"/>
      <c r="F15274" s="626"/>
    </row>
    <row r="15275" spans="1:6">
      <c r="A15275" t="str">
        <f t="shared" si="238"/>
        <v/>
      </c>
      <c r="E15275" s="626"/>
      <c r="F15275" s="626"/>
    </row>
    <row r="15276" spans="1:6">
      <c r="A15276" t="str">
        <f t="shared" si="238"/>
        <v/>
      </c>
      <c r="E15276" s="626"/>
      <c r="F15276" s="626"/>
    </row>
    <row r="15277" spans="1:6">
      <c r="A15277" t="str">
        <f t="shared" si="238"/>
        <v/>
      </c>
      <c r="E15277" s="626"/>
      <c r="F15277" s="626"/>
    </row>
    <row r="15278" spans="1:6">
      <c r="A15278" t="str">
        <f t="shared" si="238"/>
        <v/>
      </c>
      <c r="E15278" s="626"/>
      <c r="F15278" s="626"/>
    </row>
    <row r="15279" spans="1:6">
      <c r="A15279" t="str">
        <f t="shared" si="238"/>
        <v/>
      </c>
      <c r="E15279" s="626"/>
      <c r="F15279" s="626"/>
    </row>
    <row r="15280" spans="1:6">
      <c r="A15280" t="str">
        <f t="shared" si="238"/>
        <v/>
      </c>
      <c r="E15280" s="626"/>
      <c r="F15280" s="626"/>
    </row>
    <row r="15281" spans="1:6">
      <c r="A15281" t="str">
        <f t="shared" si="238"/>
        <v/>
      </c>
      <c r="E15281" s="626"/>
      <c r="F15281" s="626"/>
    </row>
    <row r="15282" spans="1:6">
      <c r="A15282" t="str">
        <f t="shared" si="238"/>
        <v/>
      </c>
      <c r="E15282" s="626"/>
      <c r="F15282" s="626"/>
    </row>
    <row r="15283" spans="1:6">
      <c r="A15283" t="str">
        <f t="shared" si="238"/>
        <v/>
      </c>
      <c r="E15283" s="626"/>
      <c r="F15283" s="626"/>
    </row>
    <row r="15284" spans="1:6">
      <c r="A15284" t="str">
        <f t="shared" si="238"/>
        <v/>
      </c>
      <c r="E15284" s="626"/>
      <c r="F15284" s="626"/>
    </row>
    <row r="15285" spans="1:6">
      <c r="A15285" t="str">
        <f t="shared" si="238"/>
        <v/>
      </c>
      <c r="E15285" s="626"/>
      <c r="F15285" s="626"/>
    </row>
    <row r="15286" spans="1:6">
      <c r="A15286" t="str">
        <f t="shared" si="238"/>
        <v/>
      </c>
      <c r="E15286" s="626"/>
      <c r="F15286" s="626"/>
    </row>
    <row r="15287" spans="1:6">
      <c r="A15287" t="str">
        <f t="shared" si="238"/>
        <v/>
      </c>
      <c r="E15287" s="626"/>
      <c r="F15287" s="626"/>
    </row>
    <row r="15288" spans="1:6">
      <c r="A15288" t="str">
        <f t="shared" si="238"/>
        <v/>
      </c>
      <c r="E15288" s="626"/>
      <c r="F15288" s="626"/>
    </row>
    <row r="15289" spans="1:6">
      <c r="A15289" t="str">
        <f t="shared" si="238"/>
        <v/>
      </c>
      <c r="E15289" s="626"/>
      <c r="F15289" s="626"/>
    </row>
    <row r="15290" spans="1:6">
      <c r="A15290" t="str">
        <f t="shared" si="238"/>
        <v/>
      </c>
      <c r="E15290" s="626"/>
      <c r="F15290" s="626"/>
    </row>
    <row r="15291" spans="1:6">
      <c r="A15291" t="str">
        <f t="shared" si="238"/>
        <v/>
      </c>
      <c r="E15291" s="626"/>
      <c r="F15291" s="626"/>
    </row>
    <row r="15292" spans="1:6">
      <c r="A15292" t="str">
        <f t="shared" si="238"/>
        <v/>
      </c>
      <c r="E15292" s="626"/>
      <c r="F15292" s="626"/>
    </row>
    <row r="15293" spans="1:6">
      <c r="A15293" t="str">
        <f t="shared" si="238"/>
        <v/>
      </c>
      <c r="E15293" s="626"/>
      <c r="F15293" s="626"/>
    </row>
    <row r="15294" spans="1:6">
      <c r="A15294" t="str">
        <f t="shared" si="238"/>
        <v/>
      </c>
      <c r="E15294" s="626"/>
      <c r="F15294" s="626"/>
    </row>
    <row r="15295" spans="1:6">
      <c r="A15295" t="str">
        <f t="shared" si="238"/>
        <v/>
      </c>
      <c r="E15295" s="626"/>
      <c r="F15295" s="626"/>
    </row>
    <row r="15296" spans="1:6">
      <c r="A15296" t="str">
        <f t="shared" si="238"/>
        <v/>
      </c>
      <c r="E15296" s="626"/>
      <c r="F15296" s="626"/>
    </row>
    <row r="15297" spans="1:6">
      <c r="A15297" t="str">
        <f t="shared" si="238"/>
        <v/>
      </c>
      <c r="E15297" s="626"/>
      <c r="F15297" s="626"/>
    </row>
    <row r="15298" spans="1:6">
      <c r="A15298" t="str">
        <f t="shared" ref="A15298:A15361" si="239">B15298&amp;E15298&amp;J15298</f>
        <v/>
      </c>
      <c r="E15298" s="626"/>
      <c r="F15298" s="626"/>
    </row>
    <row r="15299" spans="1:6">
      <c r="A15299" t="str">
        <f t="shared" si="239"/>
        <v/>
      </c>
      <c r="E15299" s="626"/>
      <c r="F15299" s="626"/>
    </row>
    <row r="15300" spans="1:6">
      <c r="A15300" t="str">
        <f t="shared" si="239"/>
        <v/>
      </c>
      <c r="E15300" s="626"/>
      <c r="F15300" s="626"/>
    </row>
    <row r="15301" spans="1:6">
      <c r="A15301" t="str">
        <f t="shared" si="239"/>
        <v/>
      </c>
      <c r="E15301" s="626"/>
      <c r="F15301" s="626"/>
    </row>
    <row r="15302" spans="1:6">
      <c r="A15302" t="str">
        <f t="shared" si="239"/>
        <v/>
      </c>
      <c r="E15302" s="626"/>
      <c r="F15302" s="626"/>
    </row>
    <row r="15303" spans="1:6">
      <c r="A15303" t="str">
        <f t="shared" si="239"/>
        <v/>
      </c>
      <c r="E15303" s="626"/>
      <c r="F15303" s="626"/>
    </row>
    <row r="15304" spans="1:6">
      <c r="A15304" t="str">
        <f t="shared" si="239"/>
        <v/>
      </c>
      <c r="E15304" s="626"/>
      <c r="F15304" s="626"/>
    </row>
    <row r="15305" spans="1:6">
      <c r="A15305" t="str">
        <f t="shared" si="239"/>
        <v/>
      </c>
      <c r="E15305" s="626"/>
      <c r="F15305" s="626"/>
    </row>
    <row r="15306" spans="1:6">
      <c r="A15306" t="str">
        <f t="shared" si="239"/>
        <v/>
      </c>
      <c r="E15306" s="626"/>
      <c r="F15306" s="626"/>
    </row>
    <row r="15307" spans="1:6">
      <c r="A15307" t="str">
        <f t="shared" si="239"/>
        <v/>
      </c>
      <c r="E15307" s="626"/>
      <c r="F15307" s="626"/>
    </row>
    <row r="15308" spans="1:6">
      <c r="A15308" t="str">
        <f t="shared" si="239"/>
        <v/>
      </c>
      <c r="E15308" s="626"/>
      <c r="F15308" s="626"/>
    </row>
    <row r="15309" spans="1:6">
      <c r="A15309" t="str">
        <f t="shared" si="239"/>
        <v/>
      </c>
      <c r="E15309" s="626"/>
      <c r="F15309" s="626"/>
    </row>
    <row r="15310" spans="1:6">
      <c r="A15310" t="str">
        <f t="shared" si="239"/>
        <v/>
      </c>
      <c r="E15310" s="626"/>
      <c r="F15310" s="626"/>
    </row>
    <row r="15311" spans="1:6">
      <c r="A15311" t="str">
        <f t="shared" si="239"/>
        <v/>
      </c>
      <c r="E15311" s="626"/>
      <c r="F15311" s="626"/>
    </row>
    <row r="15312" spans="1:6">
      <c r="A15312" t="str">
        <f t="shared" si="239"/>
        <v/>
      </c>
      <c r="E15312" s="626"/>
      <c r="F15312" s="626"/>
    </row>
    <row r="15313" spans="1:6">
      <c r="A15313" t="str">
        <f t="shared" si="239"/>
        <v/>
      </c>
      <c r="E15313" s="626"/>
      <c r="F15313" s="626"/>
    </row>
    <row r="15314" spans="1:6">
      <c r="A15314" t="str">
        <f t="shared" si="239"/>
        <v/>
      </c>
      <c r="E15314" s="626"/>
      <c r="F15314" s="626"/>
    </row>
    <row r="15315" spans="1:6">
      <c r="A15315" t="str">
        <f t="shared" si="239"/>
        <v/>
      </c>
      <c r="E15315" s="626"/>
      <c r="F15315" s="626"/>
    </row>
    <row r="15316" spans="1:6">
      <c r="A15316" t="str">
        <f t="shared" si="239"/>
        <v/>
      </c>
      <c r="E15316" s="626"/>
      <c r="F15316" s="626"/>
    </row>
    <row r="15317" spans="1:6">
      <c r="A15317" t="str">
        <f t="shared" si="239"/>
        <v/>
      </c>
      <c r="E15317" s="626"/>
      <c r="F15317" s="626"/>
    </row>
    <row r="15318" spans="1:6">
      <c r="A15318" t="str">
        <f t="shared" si="239"/>
        <v/>
      </c>
      <c r="E15318" s="626"/>
      <c r="F15318" s="626"/>
    </row>
    <row r="15319" spans="1:6">
      <c r="A15319" t="str">
        <f t="shared" si="239"/>
        <v/>
      </c>
      <c r="E15319" s="626"/>
      <c r="F15319" s="626"/>
    </row>
    <row r="15320" spans="1:6">
      <c r="A15320" t="str">
        <f t="shared" si="239"/>
        <v/>
      </c>
      <c r="E15320" s="626"/>
      <c r="F15320" s="626"/>
    </row>
    <row r="15321" spans="1:6">
      <c r="A15321" t="str">
        <f t="shared" si="239"/>
        <v/>
      </c>
      <c r="E15321" s="626"/>
      <c r="F15321" s="626"/>
    </row>
    <row r="15322" spans="1:6">
      <c r="A15322" t="str">
        <f t="shared" si="239"/>
        <v/>
      </c>
      <c r="E15322" s="626"/>
      <c r="F15322" s="626"/>
    </row>
    <row r="15323" spans="1:6">
      <c r="A15323" t="str">
        <f t="shared" si="239"/>
        <v/>
      </c>
      <c r="E15323" s="626"/>
      <c r="F15323" s="626"/>
    </row>
    <row r="15324" spans="1:6">
      <c r="A15324" t="str">
        <f t="shared" si="239"/>
        <v/>
      </c>
      <c r="E15324" s="626"/>
      <c r="F15324" s="626"/>
    </row>
    <row r="15325" spans="1:6">
      <c r="A15325" t="str">
        <f t="shared" si="239"/>
        <v/>
      </c>
      <c r="E15325" s="626"/>
      <c r="F15325" s="626"/>
    </row>
    <row r="15326" spans="1:6">
      <c r="A15326" t="str">
        <f t="shared" si="239"/>
        <v/>
      </c>
      <c r="E15326" s="626"/>
      <c r="F15326" s="626"/>
    </row>
    <row r="15327" spans="1:6">
      <c r="A15327" t="str">
        <f t="shared" si="239"/>
        <v/>
      </c>
      <c r="E15327" s="626"/>
      <c r="F15327" s="626"/>
    </row>
    <row r="15328" spans="1:6">
      <c r="A15328" t="str">
        <f t="shared" si="239"/>
        <v/>
      </c>
      <c r="E15328" s="626"/>
      <c r="F15328" s="626"/>
    </row>
    <row r="15329" spans="1:6">
      <c r="A15329" t="str">
        <f t="shared" si="239"/>
        <v/>
      </c>
      <c r="E15329" s="626"/>
      <c r="F15329" s="626"/>
    </row>
    <row r="15330" spans="1:6">
      <c r="A15330" t="str">
        <f t="shared" si="239"/>
        <v/>
      </c>
      <c r="E15330" s="626"/>
      <c r="F15330" s="626"/>
    </row>
    <row r="15331" spans="1:6">
      <c r="A15331" t="str">
        <f t="shared" si="239"/>
        <v/>
      </c>
      <c r="E15331" s="626"/>
      <c r="F15331" s="626"/>
    </row>
    <row r="15332" spans="1:6">
      <c r="A15332" t="str">
        <f t="shared" si="239"/>
        <v/>
      </c>
      <c r="E15332" s="626"/>
      <c r="F15332" s="626"/>
    </row>
    <row r="15333" spans="1:6">
      <c r="A15333" t="str">
        <f t="shared" si="239"/>
        <v/>
      </c>
      <c r="E15333" s="626"/>
      <c r="F15333" s="626"/>
    </row>
    <row r="15334" spans="1:6">
      <c r="A15334" t="str">
        <f t="shared" si="239"/>
        <v/>
      </c>
      <c r="E15334" s="626"/>
      <c r="F15334" s="626"/>
    </row>
    <row r="15335" spans="1:6">
      <c r="A15335" t="str">
        <f t="shared" si="239"/>
        <v/>
      </c>
      <c r="E15335" s="626"/>
      <c r="F15335" s="626"/>
    </row>
    <row r="15336" spans="1:6">
      <c r="A15336" t="str">
        <f t="shared" si="239"/>
        <v/>
      </c>
      <c r="E15336" s="626"/>
      <c r="F15336" s="626"/>
    </row>
    <row r="15337" spans="1:6">
      <c r="A15337" t="str">
        <f t="shared" si="239"/>
        <v/>
      </c>
      <c r="E15337" s="626"/>
      <c r="F15337" s="626"/>
    </row>
    <row r="15338" spans="1:6">
      <c r="A15338" t="str">
        <f t="shared" si="239"/>
        <v/>
      </c>
      <c r="E15338" s="626"/>
      <c r="F15338" s="626"/>
    </row>
    <row r="15339" spans="1:6">
      <c r="A15339" t="str">
        <f t="shared" si="239"/>
        <v/>
      </c>
      <c r="E15339" s="626"/>
      <c r="F15339" s="626"/>
    </row>
    <row r="15340" spans="1:6">
      <c r="A15340" t="str">
        <f t="shared" si="239"/>
        <v/>
      </c>
      <c r="E15340" s="626"/>
      <c r="F15340" s="626"/>
    </row>
    <row r="15341" spans="1:6">
      <c r="A15341" t="str">
        <f t="shared" si="239"/>
        <v/>
      </c>
      <c r="E15341" s="626"/>
      <c r="F15341" s="626"/>
    </row>
    <row r="15342" spans="1:6">
      <c r="A15342" t="str">
        <f t="shared" si="239"/>
        <v/>
      </c>
      <c r="E15342" s="626"/>
      <c r="F15342" s="626"/>
    </row>
    <row r="15343" spans="1:6">
      <c r="A15343" t="str">
        <f t="shared" si="239"/>
        <v/>
      </c>
      <c r="E15343" s="626"/>
      <c r="F15343" s="626"/>
    </row>
    <row r="15344" spans="1:6">
      <c r="A15344" t="str">
        <f t="shared" si="239"/>
        <v/>
      </c>
      <c r="E15344" s="626"/>
      <c r="F15344" s="626"/>
    </row>
    <row r="15345" spans="1:6">
      <c r="A15345" t="str">
        <f t="shared" si="239"/>
        <v/>
      </c>
      <c r="E15345" s="626"/>
      <c r="F15345" s="626"/>
    </row>
    <row r="15346" spans="1:6">
      <c r="A15346" t="str">
        <f t="shared" si="239"/>
        <v/>
      </c>
      <c r="E15346" s="626"/>
      <c r="F15346" s="626"/>
    </row>
    <row r="15347" spans="1:6">
      <c r="A15347" t="str">
        <f t="shared" si="239"/>
        <v/>
      </c>
      <c r="E15347" s="626"/>
      <c r="F15347" s="626"/>
    </row>
    <row r="15348" spans="1:6">
      <c r="A15348" t="str">
        <f t="shared" si="239"/>
        <v/>
      </c>
      <c r="E15348" s="626"/>
      <c r="F15348" s="626"/>
    </row>
    <row r="15349" spans="1:6">
      <c r="A15349" t="str">
        <f t="shared" si="239"/>
        <v/>
      </c>
      <c r="E15349" s="626"/>
      <c r="F15349" s="626"/>
    </row>
    <row r="15350" spans="1:6">
      <c r="A15350" t="str">
        <f t="shared" si="239"/>
        <v/>
      </c>
      <c r="E15350" s="626"/>
      <c r="F15350" s="626"/>
    </row>
    <row r="15351" spans="1:6">
      <c r="A15351" t="str">
        <f t="shared" si="239"/>
        <v/>
      </c>
      <c r="E15351" s="626"/>
      <c r="F15351" s="626"/>
    </row>
    <row r="15352" spans="1:6">
      <c r="A15352" t="str">
        <f t="shared" si="239"/>
        <v/>
      </c>
      <c r="E15352" s="626"/>
      <c r="F15352" s="626"/>
    </row>
    <row r="15353" spans="1:6">
      <c r="A15353" t="str">
        <f t="shared" si="239"/>
        <v/>
      </c>
      <c r="E15353" s="626"/>
      <c r="F15353" s="626"/>
    </row>
    <row r="15354" spans="1:6">
      <c r="A15354" t="str">
        <f t="shared" si="239"/>
        <v/>
      </c>
      <c r="E15354" s="626"/>
      <c r="F15354" s="626"/>
    </row>
    <row r="15355" spans="1:6">
      <c r="A15355" t="str">
        <f t="shared" si="239"/>
        <v/>
      </c>
      <c r="E15355" s="626"/>
      <c r="F15355" s="626"/>
    </row>
    <row r="15356" spans="1:6">
      <c r="A15356" t="str">
        <f t="shared" si="239"/>
        <v/>
      </c>
      <c r="E15356" s="626"/>
      <c r="F15356" s="626"/>
    </row>
    <row r="15357" spans="1:6">
      <c r="A15357" t="str">
        <f t="shared" si="239"/>
        <v/>
      </c>
      <c r="E15357" s="626"/>
      <c r="F15357" s="626"/>
    </row>
    <row r="15358" spans="1:6">
      <c r="A15358" t="str">
        <f t="shared" si="239"/>
        <v/>
      </c>
      <c r="E15358" s="626"/>
      <c r="F15358" s="626"/>
    </row>
    <row r="15359" spans="1:6">
      <c r="A15359" t="str">
        <f t="shared" si="239"/>
        <v/>
      </c>
      <c r="E15359" s="626"/>
      <c r="F15359" s="626"/>
    </row>
    <row r="15360" spans="1:6">
      <c r="A15360" t="str">
        <f t="shared" si="239"/>
        <v/>
      </c>
      <c r="E15360" s="626"/>
      <c r="F15360" s="626"/>
    </row>
    <row r="15361" spans="1:6">
      <c r="A15361" t="str">
        <f t="shared" si="239"/>
        <v/>
      </c>
      <c r="E15361" s="626"/>
      <c r="F15361" s="626"/>
    </row>
    <row r="15362" spans="1:6">
      <c r="A15362" t="str">
        <f t="shared" ref="A15362:A15425" si="240">B15362&amp;E15362&amp;J15362</f>
        <v/>
      </c>
      <c r="E15362" s="626"/>
      <c r="F15362" s="626"/>
    </row>
    <row r="15363" spans="1:6">
      <c r="A15363" t="str">
        <f t="shared" si="240"/>
        <v/>
      </c>
      <c r="E15363" s="626"/>
      <c r="F15363" s="626"/>
    </row>
    <row r="15364" spans="1:6">
      <c r="A15364" t="str">
        <f t="shared" si="240"/>
        <v/>
      </c>
      <c r="E15364" s="626"/>
      <c r="F15364" s="626"/>
    </row>
    <row r="15365" spans="1:6">
      <c r="A15365" t="str">
        <f t="shared" si="240"/>
        <v/>
      </c>
      <c r="E15365" s="626"/>
      <c r="F15365" s="626"/>
    </row>
    <row r="15366" spans="1:6">
      <c r="A15366" t="str">
        <f t="shared" si="240"/>
        <v/>
      </c>
      <c r="E15366" s="626"/>
      <c r="F15366" s="626"/>
    </row>
    <row r="15367" spans="1:6">
      <c r="A15367" t="str">
        <f t="shared" si="240"/>
        <v/>
      </c>
      <c r="E15367" s="626"/>
      <c r="F15367" s="626"/>
    </row>
    <row r="15368" spans="1:6">
      <c r="A15368" t="str">
        <f t="shared" si="240"/>
        <v/>
      </c>
      <c r="E15368" s="626"/>
      <c r="F15368" s="626"/>
    </row>
    <row r="15369" spans="1:6">
      <c r="A15369" t="str">
        <f t="shared" si="240"/>
        <v/>
      </c>
      <c r="E15369" s="626"/>
      <c r="F15369" s="626"/>
    </row>
    <row r="15370" spans="1:6">
      <c r="A15370" t="str">
        <f t="shared" si="240"/>
        <v/>
      </c>
      <c r="E15370" s="626"/>
      <c r="F15370" s="626"/>
    </row>
    <row r="15371" spans="1:6">
      <c r="A15371" t="str">
        <f t="shared" si="240"/>
        <v/>
      </c>
      <c r="E15371" s="626"/>
      <c r="F15371" s="626"/>
    </row>
    <row r="15372" spans="1:6">
      <c r="A15372" t="str">
        <f t="shared" si="240"/>
        <v/>
      </c>
      <c r="E15372" s="626"/>
      <c r="F15372" s="626"/>
    </row>
    <row r="15373" spans="1:6">
      <c r="A15373" t="str">
        <f t="shared" si="240"/>
        <v/>
      </c>
      <c r="E15373" s="626"/>
      <c r="F15373" s="626"/>
    </row>
    <row r="15374" spans="1:6">
      <c r="A15374" t="str">
        <f t="shared" si="240"/>
        <v/>
      </c>
      <c r="E15374" s="626"/>
      <c r="F15374" s="626"/>
    </row>
    <row r="15375" spans="1:6">
      <c r="A15375" t="str">
        <f t="shared" si="240"/>
        <v/>
      </c>
      <c r="E15375" s="626"/>
      <c r="F15375" s="626"/>
    </row>
    <row r="15376" spans="1:6">
      <c r="A15376" t="str">
        <f t="shared" si="240"/>
        <v/>
      </c>
      <c r="E15376" s="626"/>
      <c r="F15376" s="626"/>
    </row>
    <row r="15377" spans="1:6">
      <c r="A15377" t="str">
        <f t="shared" si="240"/>
        <v/>
      </c>
      <c r="E15377" s="626"/>
      <c r="F15377" s="626"/>
    </row>
    <row r="15378" spans="1:6">
      <c r="A15378" t="str">
        <f t="shared" si="240"/>
        <v/>
      </c>
      <c r="E15378" s="626"/>
      <c r="F15378" s="626"/>
    </row>
    <row r="15379" spans="1:6">
      <c r="A15379" t="str">
        <f t="shared" si="240"/>
        <v/>
      </c>
      <c r="E15379" s="626"/>
      <c r="F15379" s="626"/>
    </row>
    <row r="15380" spans="1:6">
      <c r="A15380" t="str">
        <f t="shared" si="240"/>
        <v/>
      </c>
      <c r="E15380" s="626"/>
      <c r="F15380" s="626"/>
    </row>
    <row r="15381" spans="1:6">
      <c r="A15381" t="str">
        <f t="shared" si="240"/>
        <v/>
      </c>
      <c r="E15381" s="626"/>
      <c r="F15381" s="626"/>
    </row>
    <row r="15382" spans="1:6">
      <c r="A15382" t="str">
        <f t="shared" si="240"/>
        <v/>
      </c>
      <c r="E15382" s="626"/>
      <c r="F15382" s="626"/>
    </row>
    <row r="15383" spans="1:6">
      <c r="A15383" t="str">
        <f t="shared" si="240"/>
        <v/>
      </c>
      <c r="E15383" s="626"/>
      <c r="F15383" s="626"/>
    </row>
    <row r="15384" spans="1:6">
      <c r="A15384" t="str">
        <f t="shared" si="240"/>
        <v/>
      </c>
      <c r="E15384" s="626"/>
      <c r="F15384" s="626"/>
    </row>
    <row r="15385" spans="1:6">
      <c r="A15385" t="str">
        <f t="shared" si="240"/>
        <v/>
      </c>
      <c r="E15385" s="626"/>
      <c r="F15385" s="626"/>
    </row>
    <row r="15386" spans="1:6">
      <c r="A15386" t="str">
        <f t="shared" si="240"/>
        <v/>
      </c>
      <c r="E15386" s="626"/>
      <c r="F15386" s="626"/>
    </row>
    <row r="15387" spans="1:6">
      <c r="A15387" t="str">
        <f t="shared" si="240"/>
        <v/>
      </c>
      <c r="E15387" s="626"/>
      <c r="F15387" s="626"/>
    </row>
    <row r="15388" spans="1:6">
      <c r="A15388" t="str">
        <f t="shared" si="240"/>
        <v/>
      </c>
      <c r="E15388" s="626"/>
      <c r="F15388" s="626"/>
    </row>
    <row r="15389" spans="1:6">
      <c r="A15389" t="str">
        <f t="shared" si="240"/>
        <v/>
      </c>
      <c r="E15389" s="626"/>
      <c r="F15389" s="626"/>
    </row>
    <row r="15390" spans="1:6">
      <c r="A15390" t="str">
        <f t="shared" si="240"/>
        <v/>
      </c>
      <c r="E15390" s="626"/>
      <c r="F15390" s="626"/>
    </row>
    <row r="15391" spans="1:6">
      <c r="A15391" t="str">
        <f t="shared" si="240"/>
        <v/>
      </c>
      <c r="E15391" s="626"/>
      <c r="F15391" s="626"/>
    </row>
    <row r="15392" spans="1:6">
      <c r="A15392" t="str">
        <f t="shared" si="240"/>
        <v/>
      </c>
      <c r="E15392" s="626"/>
      <c r="F15392" s="626"/>
    </row>
    <row r="15393" spans="1:6">
      <c r="A15393" t="str">
        <f t="shared" si="240"/>
        <v/>
      </c>
      <c r="E15393" s="626"/>
      <c r="F15393" s="626"/>
    </row>
    <row r="15394" spans="1:6">
      <c r="A15394" t="str">
        <f t="shared" si="240"/>
        <v/>
      </c>
      <c r="E15394" s="626"/>
      <c r="F15394" s="626"/>
    </row>
    <row r="15395" spans="1:6">
      <c r="A15395" t="str">
        <f t="shared" si="240"/>
        <v/>
      </c>
      <c r="E15395" s="626"/>
      <c r="F15395" s="626"/>
    </row>
    <row r="15396" spans="1:6">
      <c r="A15396" t="str">
        <f t="shared" si="240"/>
        <v/>
      </c>
      <c r="E15396" s="626"/>
      <c r="F15396" s="626"/>
    </row>
    <row r="15397" spans="1:6">
      <c r="A15397" t="str">
        <f t="shared" si="240"/>
        <v/>
      </c>
      <c r="E15397" s="626"/>
      <c r="F15397" s="626"/>
    </row>
    <row r="15398" spans="1:6">
      <c r="A15398" t="str">
        <f t="shared" si="240"/>
        <v/>
      </c>
      <c r="E15398" s="626"/>
      <c r="F15398" s="626"/>
    </row>
    <row r="15399" spans="1:6">
      <c r="A15399" t="str">
        <f t="shared" si="240"/>
        <v/>
      </c>
      <c r="E15399" s="626"/>
      <c r="F15399" s="626"/>
    </row>
    <row r="15400" spans="1:6">
      <c r="A15400" t="str">
        <f t="shared" si="240"/>
        <v/>
      </c>
      <c r="E15400" s="626"/>
      <c r="F15400" s="626"/>
    </row>
    <row r="15401" spans="1:6">
      <c r="A15401" t="str">
        <f t="shared" si="240"/>
        <v/>
      </c>
      <c r="E15401" s="626"/>
      <c r="F15401" s="626"/>
    </row>
    <row r="15402" spans="1:6">
      <c r="A15402" t="str">
        <f t="shared" si="240"/>
        <v/>
      </c>
      <c r="E15402" s="626"/>
      <c r="F15402" s="626"/>
    </row>
    <row r="15403" spans="1:6">
      <c r="A15403" t="str">
        <f t="shared" si="240"/>
        <v/>
      </c>
      <c r="E15403" s="626"/>
      <c r="F15403" s="626"/>
    </row>
    <row r="15404" spans="1:6">
      <c r="A15404" t="str">
        <f t="shared" si="240"/>
        <v/>
      </c>
      <c r="E15404" s="626"/>
      <c r="F15404" s="626"/>
    </row>
    <row r="15405" spans="1:6">
      <c r="A15405" t="str">
        <f t="shared" si="240"/>
        <v/>
      </c>
      <c r="E15405" s="626"/>
      <c r="F15405" s="626"/>
    </row>
    <row r="15406" spans="1:6">
      <c r="A15406" t="str">
        <f t="shared" si="240"/>
        <v/>
      </c>
      <c r="E15406" s="626"/>
      <c r="F15406" s="626"/>
    </row>
    <row r="15407" spans="1:6">
      <c r="A15407" t="str">
        <f t="shared" si="240"/>
        <v/>
      </c>
      <c r="E15407" s="626"/>
      <c r="F15407" s="626"/>
    </row>
    <row r="15408" spans="1:6">
      <c r="A15408" t="str">
        <f t="shared" si="240"/>
        <v/>
      </c>
      <c r="E15408" s="626"/>
      <c r="F15408" s="626"/>
    </row>
    <row r="15409" spans="1:6">
      <c r="A15409" t="str">
        <f t="shared" si="240"/>
        <v/>
      </c>
      <c r="E15409" s="626"/>
      <c r="F15409" s="626"/>
    </row>
    <row r="15410" spans="1:6">
      <c r="A15410" t="str">
        <f t="shared" si="240"/>
        <v/>
      </c>
      <c r="E15410" s="626"/>
      <c r="F15410" s="626"/>
    </row>
    <row r="15411" spans="1:6">
      <c r="A15411" t="str">
        <f t="shared" si="240"/>
        <v/>
      </c>
      <c r="E15411" s="626"/>
      <c r="F15411" s="626"/>
    </row>
    <row r="15412" spans="1:6">
      <c r="A15412" t="str">
        <f t="shared" si="240"/>
        <v/>
      </c>
      <c r="E15412" s="626"/>
      <c r="F15412" s="626"/>
    </row>
    <row r="15413" spans="1:6">
      <c r="A15413" t="str">
        <f t="shared" si="240"/>
        <v/>
      </c>
      <c r="E15413" s="626"/>
      <c r="F15413" s="626"/>
    </row>
    <row r="15414" spans="1:6">
      <c r="A15414" t="str">
        <f t="shared" si="240"/>
        <v/>
      </c>
      <c r="E15414" s="626"/>
      <c r="F15414" s="626"/>
    </row>
    <row r="15415" spans="1:6">
      <c r="A15415" t="str">
        <f t="shared" si="240"/>
        <v/>
      </c>
      <c r="E15415" s="626"/>
      <c r="F15415" s="626"/>
    </row>
    <row r="15416" spans="1:6">
      <c r="A15416" t="str">
        <f t="shared" si="240"/>
        <v/>
      </c>
      <c r="E15416" s="626"/>
      <c r="F15416" s="626"/>
    </row>
    <row r="15417" spans="1:6">
      <c r="A15417" t="str">
        <f t="shared" si="240"/>
        <v/>
      </c>
      <c r="E15417" s="626"/>
      <c r="F15417" s="626"/>
    </row>
    <row r="15418" spans="1:6">
      <c r="A15418" t="str">
        <f t="shared" si="240"/>
        <v/>
      </c>
      <c r="E15418" s="626"/>
      <c r="F15418" s="626"/>
    </row>
    <row r="15419" spans="1:6">
      <c r="A15419" t="str">
        <f t="shared" si="240"/>
        <v/>
      </c>
      <c r="E15419" s="626"/>
      <c r="F15419" s="626"/>
    </row>
    <row r="15420" spans="1:6">
      <c r="A15420" t="str">
        <f t="shared" si="240"/>
        <v/>
      </c>
      <c r="E15420" s="626"/>
      <c r="F15420" s="626"/>
    </row>
    <row r="15421" spans="1:6">
      <c r="A15421" t="str">
        <f t="shared" si="240"/>
        <v/>
      </c>
      <c r="E15421" s="626"/>
      <c r="F15421" s="626"/>
    </row>
    <row r="15422" spans="1:6">
      <c r="A15422" t="str">
        <f t="shared" si="240"/>
        <v/>
      </c>
      <c r="E15422" s="626"/>
      <c r="F15422" s="626"/>
    </row>
    <row r="15423" spans="1:6">
      <c r="A15423" t="str">
        <f t="shared" si="240"/>
        <v/>
      </c>
      <c r="E15423" s="626"/>
      <c r="F15423" s="626"/>
    </row>
    <row r="15424" spans="1:6">
      <c r="A15424" t="str">
        <f t="shared" si="240"/>
        <v/>
      </c>
      <c r="E15424" s="626"/>
      <c r="F15424" s="626"/>
    </row>
    <row r="15425" spans="1:6">
      <c r="A15425" t="str">
        <f t="shared" si="240"/>
        <v/>
      </c>
      <c r="E15425" s="626"/>
      <c r="F15425" s="626"/>
    </row>
    <row r="15426" spans="1:6">
      <c r="A15426" t="str">
        <f t="shared" ref="A15426:A15489" si="241">B15426&amp;E15426&amp;J15426</f>
        <v/>
      </c>
      <c r="E15426" s="626"/>
      <c r="F15426" s="626"/>
    </row>
    <row r="15427" spans="1:6">
      <c r="A15427" t="str">
        <f t="shared" si="241"/>
        <v/>
      </c>
      <c r="E15427" s="626"/>
      <c r="F15427" s="626"/>
    </row>
    <row r="15428" spans="1:6">
      <c r="A15428" t="str">
        <f t="shared" si="241"/>
        <v/>
      </c>
      <c r="E15428" s="626"/>
      <c r="F15428" s="626"/>
    </row>
    <row r="15429" spans="1:6">
      <c r="A15429" t="str">
        <f t="shared" si="241"/>
        <v/>
      </c>
      <c r="E15429" s="626"/>
      <c r="F15429" s="626"/>
    </row>
    <row r="15430" spans="1:6">
      <c r="A15430" t="str">
        <f t="shared" si="241"/>
        <v/>
      </c>
      <c r="E15430" s="626"/>
      <c r="F15430" s="626"/>
    </row>
    <row r="15431" spans="1:6">
      <c r="A15431" t="str">
        <f t="shared" si="241"/>
        <v/>
      </c>
      <c r="E15431" s="626"/>
      <c r="F15431" s="626"/>
    </row>
    <row r="15432" spans="1:6">
      <c r="A15432" t="str">
        <f t="shared" si="241"/>
        <v/>
      </c>
      <c r="E15432" s="626"/>
      <c r="F15432" s="626"/>
    </row>
    <row r="15433" spans="1:6">
      <c r="A15433" t="str">
        <f t="shared" si="241"/>
        <v/>
      </c>
      <c r="E15433" s="626"/>
      <c r="F15433" s="626"/>
    </row>
    <row r="15434" spans="1:6">
      <c r="A15434" t="str">
        <f t="shared" si="241"/>
        <v/>
      </c>
      <c r="E15434" s="626"/>
      <c r="F15434" s="626"/>
    </row>
    <row r="15435" spans="1:6">
      <c r="A15435" t="str">
        <f t="shared" si="241"/>
        <v/>
      </c>
      <c r="E15435" s="626"/>
      <c r="F15435" s="626"/>
    </row>
    <row r="15436" spans="1:6">
      <c r="A15436" t="str">
        <f t="shared" si="241"/>
        <v/>
      </c>
      <c r="E15436" s="626"/>
      <c r="F15436" s="626"/>
    </row>
    <row r="15437" spans="1:6">
      <c r="A15437" t="str">
        <f t="shared" si="241"/>
        <v/>
      </c>
      <c r="E15437" s="626"/>
      <c r="F15437" s="626"/>
    </row>
    <row r="15438" spans="1:6">
      <c r="A15438" t="str">
        <f t="shared" si="241"/>
        <v/>
      </c>
      <c r="E15438" s="626"/>
      <c r="F15438" s="626"/>
    </row>
    <row r="15439" spans="1:6">
      <c r="A15439" t="str">
        <f t="shared" si="241"/>
        <v/>
      </c>
      <c r="E15439" s="626"/>
      <c r="F15439" s="626"/>
    </row>
    <row r="15440" spans="1:6">
      <c r="A15440" t="str">
        <f t="shared" si="241"/>
        <v/>
      </c>
      <c r="E15440" s="626"/>
      <c r="F15440" s="626"/>
    </row>
    <row r="15441" spans="1:6">
      <c r="A15441" t="str">
        <f t="shared" si="241"/>
        <v/>
      </c>
      <c r="E15441" s="626"/>
      <c r="F15441" s="626"/>
    </row>
    <row r="15442" spans="1:6">
      <c r="A15442" t="str">
        <f t="shared" si="241"/>
        <v/>
      </c>
      <c r="E15442" s="626"/>
      <c r="F15442" s="626"/>
    </row>
    <row r="15443" spans="1:6">
      <c r="A15443" t="str">
        <f t="shared" si="241"/>
        <v/>
      </c>
      <c r="E15443" s="626"/>
      <c r="F15443" s="626"/>
    </row>
    <row r="15444" spans="1:6">
      <c r="A15444" t="str">
        <f t="shared" si="241"/>
        <v/>
      </c>
      <c r="E15444" s="626"/>
      <c r="F15444" s="626"/>
    </row>
    <row r="15445" spans="1:6">
      <c r="A15445" t="str">
        <f t="shared" si="241"/>
        <v/>
      </c>
      <c r="E15445" s="626"/>
      <c r="F15445" s="626"/>
    </row>
    <row r="15446" spans="1:6">
      <c r="A15446" t="str">
        <f t="shared" si="241"/>
        <v/>
      </c>
      <c r="E15446" s="626"/>
      <c r="F15446" s="626"/>
    </row>
    <row r="15447" spans="1:6">
      <c r="A15447" t="str">
        <f t="shared" si="241"/>
        <v/>
      </c>
      <c r="E15447" s="626"/>
      <c r="F15447" s="626"/>
    </row>
    <row r="15448" spans="1:6">
      <c r="A15448" t="str">
        <f t="shared" si="241"/>
        <v/>
      </c>
      <c r="E15448" s="626"/>
      <c r="F15448" s="626"/>
    </row>
    <row r="15449" spans="1:6">
      <c r="A15449" t="str">
        <f t="shared" si="241"/>
        <v/>
      </c>
      <c r="E15449" s="626"/>
      <c r="F15449" s="626"/>
    </row>
    <row r="15450" spans="1:6">
      <c r="A15450" t="str">
        <f t="shared" si="241"/>
        <v/>
      </c>
      <c r="E15450" s="626"/>
      <c r="F15450" s="626"/>
    </row>
    <row r="15451" spans="1:6">
      <c r="A15451" t="str">
        <f t="shared" si="241"/>
        <v/>
      </c>
      <c r="E15451" s="626"/>
      <c r="F15451" s="626"/>
    </row>
    <row r="15452" spans="1:6">
      <c r="A15452" t="str">
        <f t="shared" si="241"/>
        <v/>
      </c>
      <c r="E15452" s="626"/>
      <c r="F15452" s="626"/>
    </row>
    <row r="15453" spans="1:6">
      <c r="A15453" t="str">
        <f t="shared" si="241"/>
        <v/>
      </c>
      <c r="E15453" s="626"/>
      <c r="F15453" s="626"/>
    </row>
    <row r="15454" spans="1:6">
      <c r="A15454" t="str">
        <f t="shared" si="241"/>
        <v/>
      </c>
      <c r="E15454" s="626"/>
      <c r="F15454" s="626"/>
    </row>
    <row r="15455" spans="1:6">
      <c r="A15455" t="str">
        <f t="shared" si="241"/>
        <v/>
      </c>
      <c r="E15455" s="626"/>
      <c r="F15455" s="626"/>
    </row>
    <row r="15456" spans="1:6">
      <c r="A15456" t="str">
        <f t="shared" si="241"/>
        <v/>
      </c>
      <c r="E15456" s="626"/>
      <c r="F15456" s="626"/>
    </row>
    <row r="15457" spans="1:6">
      <c r="A15457" t="str">
        <f t="shared" si="241"/>
        <v/>
      </c>
      <c r="E15457" s="626"/>
      <c r="F15457" s="626"/>
    </row>
    <row r="15458" spans="1:6">
      <c r="A15458" t="str">
        <f t="shared" si="241"/>
        <v/>
      </c>
      <c r="E15458" s="626"/>
      <c r="F15458" s="626"/>
    </row>
    <row r="15459" spans="1:6">
      <c r="A15459" t="str">
        <f t="shared" si="241"/>
        <v/>
      </c>
      <c r="E15459" s="626"/>
      <c r="F15459" s="626"/>
    </row>
    <row r="15460" spans="1:6">
      <c r="A15460" t="str">
        <f t="shared" si="241"/>
        <v/>
      </c>
      <c r="E15460" s="626"/>
      <c r="F15460" s="626"/>
    </row>
    <row r="15461" spans="1:6">
      <c r="A15461" t="str">
        <f t="shared" si="241"/>
        <v/>
      </c>
      <c r="E15461" s="626"/>
      <c r="F15461" s="626"/>
    </row>
    <row r="15462" spans="1:6">
      <c r="A15462" t="str">
        <f t="shared" si="241"/>
        <v/>
      </c>
      <c r="E15462" s="626"/>
      <c r="F15462" s="626"/>
    </row>
    <row r="15463" spans="1:6">
      <c r="A15463" t="str">
        <f t="shared" si="241"/>
        <v/>
      </c>
      <c r="E15463" s="626"/>
      <c r="F15463" s="626"/>
    </row>
    <row r="15464" spans="1:6">
      <c r="A15464" t="str">
        <f t="shared" si="241"/>
        <v/>
      </c>
      <c r="E15464" s="626"/>
      <c r="F15464" s="626"/>
    </row>
    <row r="15465" spans="1:6">
      <c r="A15465" t="str">
        <f t="shared" si="241"/>
        <v/>
      </c>
      <c r="E15465" s="626"/>
      <c r="F15465" s="626"/>
    </row>
    <row r="15466" spans="1:6">
      <c r="A15466" t="str">
        <f t="shared" si="241"/>
        <v/>
      </c>
      <c r="E15466" s="626"/>
      <c r="F15466" s="626"/>
    </row>
    <row r="15467" spans="1:6">
      <c r="A15467" t="str">
        <f t="shared" si="241"/>
        <v/>
      </c>
      <c r="E15467" s="626"/>
      <c r="F15467" s="626"/>
    </row>
    <row r="15468" spans="1:6">
      <c r="A15468" t="str">
        <f t="shared" si="241"/>
        <v/>
      </c>
      <c r="E15468" s="626"/>
      <c r="F15468" s="626"/>
    </row>
    <row r="15469" spans="1:6">
      <c r="A15469" t="str">
        <f t="shared" si="241"/>
        <v/>
      </c>
      <c r="E15469" s="626"/>
      <c r="F15469" s="626"/>
    </row>
    <row r="15470" spans="1:6">
      <c r="A15470" t="str">
        <f t="shared" si="241"/>
        <v/>
      </c>
      <c r="E15470" s="626"/>
      <c r="F15470" s="626"/>
    </row>
    <row r="15471" spans="1:6">
      <c r="A15471" t="str">
        <f t="shared" si="241"/>
        <v/>
      </c>
      <c r="E15471" s="626"/>
      <c r="F15471" s="626"/>
    </row>
    <row r="15472" spans="1:6">
      <c r="A15472" t="str">
        <f t="shared" si="241"/>
        <v/>
      </c>
      <c r="E15472" s="626"/>
      <c r="F15472" s="626"/>
    </row>
    <row r="15473" spans="1:6">
      <c r="A15473" t="str">
        <f t="shared" si="241"/>
        <v/>
      </c>
      <c r="E15473" s="626"/>
      <c r="F15473" s="626"/>
    </row>
    <row r="15474" spans="1:6">
      <c r="A15474" t="str">
        <f t="shared" si="241"/>
        <v/>
      </c>
      <c r="E15474" s="626"/>
      <c r="F15474" s="626"/>
    </row>
    <row r="15475" spans="1:6">
      <c r="A15475" t="str">
        <f t="shared" si="241"/>
        <v/>
      </c>
      <c r="E15475" s="626"/>
      <c r="F15475" s="626"/>
    </row>
    <row r="15476" spans="1:6">
      <c r="A15476" t="str">
        <f t="shared" si="241"/>
        <v/>
      </c>
      <c r="E15476" s="626"/>
      <c r="F15476" s="626"/>
    </row>
    <row r="15477" spans="1:6">
      <c r="A15477" t="str">
        <f t="shared" si="241"/>
        <v/>
      </c>
      <c r="E15477" s="626"/>
      <c r="F15477" s="626"/>
    </row>
    <row r="15478" spans="1:6">
      <c r="A15478" t="str">
        <f t="shared" si="241"/>
        <v/>
      </c>
      <c r="E15478" s="626"/>
      <c r="F15478" s="626"/>
    </row>
    <row r="15479" spans="1:6">
      <c r="A15479" t="str">
        <f t="shared" si="241"/>
        <v/>
      </c>
      <c r="E15479" s="626"/>
      <c r="F15479" s="626"/>
    </row>
    <row r="15480" spans="1:6">
      <c r="A15480" t="str">
        <f t="shared" si="241"/>
        <v/>
      </c>
      <c r="E15480" s="626"/>
      <c r="F15480" s="626"/>
    </row>
    <row r="15481" spans="1:6">
      <c r="A15481" t="str">
        <f t="shared" si="241"/>
        <v/>
      </c>
      <c r="E15481" s="626"/>
      <c r="F15481" s="626"/>
    </row>
    <row r="15482" spans="1:6">
      <c r="A15482" t="str">
        <f t="shared" si="241"/>
        <v/>
      </c>
      <c r="E15482" s="626"/>
      <c r="F15482" s="626"/>
    </row>
    <row r="15483" spans="1:6">
      <c r="A15483" t="str">
        <f t="shared" si="241"/>
        <v/>
      </c>
      <c r="E15483" s="626"/>
      <c r="F15483" s="626"/>
    </row>
    <row r="15484" spans="1:6">
      <c r="A15484" t="str">
        <f t="shared" si="241"/>
        <v/>
      </c>
      <c r="E15484" s="626"/>
      <c r="F15484" s="626"/>
    </row>
    <row r="15485" spans="1:6">
      <c r="A15485" t="str">
        <f t="shared" si="241"/>
        <v/>
      </c>
      <c r="E15485" s="626"/>
      <c r="F15485" s="626"/>
    </row>
    <row r="15486" spans="1:6">
      <c r="A15486" t="str">
        <f t="shared" si="241"/>
        <v/>
      </c>
      <c r="E15486" s="626"/>
      <c r="F15486" s="626"/>
    </row>
    <row r="15487" spans="1:6">
      <c r="A15487" t="str">
        <f t="shared" si="241"/>
        <v/>
      </c>
      <c r="E15487" s="626"/>
      <c r="F15487" s="626"/>
    </row>
    <row r="15488" spans="1:6">
      <c r="A15488" t="str">
        <f t="shared" si="241"/>
        <v/>
      </c>
      <c r="E15488" s="626"/>
      <c r="F15488" s="626"/>
    </row>
    <row r="15489" spans="1:6">
      <c r="A15489" t="str">
        <f t="shared" si="241"/>
        <v/>
      </c>
      <c r="E15489" s="626"/>
      <c r="F15489" s="626"/>
    </row>
    <row r="15490" spans="1:6">
      <c r="A15490" t="str">
        <f t="shared" ref="A15490:A15553" si="242">B15490&amp;E15490&amp;J15490</f>
        <v/>
      </c>
      <c r="E15490" s="626"/>
      <c r="F15490" s="626"/>
    </row>
    <row r="15491" spans="1:6">
      <c r="A15491" t="str">
        <f t="shared" si="242"/>
        <v/>
      </c>
      <c r="E15491" s="626"/>
      <c r="F15491" s="626"/>
    </row>
    <row r="15492" spans="1:6">
      <c r="A15492" t="str">
        <f t="shared" si="242"/>
        <v/>
      </c>
      <c r="E15492" s="626"/>
      <c r="F15492" s="626"/>
    </row>
    <row r="15493" spans="1:6">
      <c r="A15493" t="str">
        <f t="shared" si="242"/>
        <v/>
      </c>
      <c r="E15493" s="626"/>
      <c r="F15493" s="626"/>
    </row>
    <row r="15494" spans="1:6">
      <c r="A15494" t="str">
        <f t="shared" si="242"/>
        <v/>
      </c>
      <c r="E15494" s="626"/>
      <c r="F15494" s="626"/>
    </row>
    <row r="15495" spans="1:6">
      <c r="A15495" t="str">
        <f t="shared" si="242"/>
        <v/>
      </c>
      <c r="E15495" s="626"/>
      <c r="F15495" s="626"/>
    </row>
    <row r="15496" spans="1:6">
      <c r="A15496" t="str">
        <f t="shared" si="242"/>
        <v/>
      </c>
      <c r="E15496" s="626"/>
      <c r="F15496" s="626"/>
    </row>
    <row r="15497" spans="1:6">
      <c r="A15497" t="str">
        <f t="shared" si="242"/>
        <v/>
      </c>
      <c r="E15497" s="626"/>
      <c r="F15497" s="626"/>
    </row>
    <row r="15498" spans="1:6">
      <c r="A15498" t="str">
        <f t="shared" si="242"/>
        <v/>
      </c>
      <c r="E15498" s="626"/>
      <c r="F15498" s="626"/>
    </row>
    <row r="15499" spans="1:6">
      <c r="A15499" t="str">
        <f t="shared" si="242"/>
        <v/>
      </c>
      <c r="E15499" s="626"/>
      <c r="F15499" s="626"/>
    </row>
    <row r="15500" spans="1:6">
      <c r="A15500" t="str">
        <f t="shared" si="242"/>
        <v/>
      </c>
      <c r="E15500" s="626"/>
      <c r="F15500" s="626"/>
    </row>
    <row r="15501" spans="1:6">
      <c r="A15501" t="str">
        <f t="shared" si="242"/>
        <v/>
      </c>
      <c r="E15501" s="626"/>
      <c r="F15501" s="626"/>
    </row>
    <row r="15502" spans="1:6">
      <c r="A15502" t="str">
        <f t="shared" si="242"/>
        <v/>
      </c>
      <c r="E15502" s="626"/>
      <c r="F15502" s="626"/>
    </row>
    <row r="15503" spans="1:6">
      <c r="A15503" t="str">
        <f t="shared" si="242"/>
        <v/>
      </c>
      <c r="E15503" s="626"/>
      <c r="F15503" s="626"/>
    </row>
    <row r="15504" spans="1:6">
      <c r="A15504" t="str">
        <f t="shared" si="242"/>
        <v/>
      </c>
      <c r="E15504" s="626"/>
      <c r="F15504" s="626"/>
    </row>
    <row r="15505" spans="1:6">
      <c r="A15505" t="str">
        <f t="shared" si="242"/>
        <v/>
      </c>
      <c r="E15505" s="626"/>
      <c r="F15505" s="626"/>
    </row>
    <row r="15506" spans="1:6">
      <c r="A15506" t="str">
        <f t="shared" si="242"/>
        <v/>
      </c>
      <c r="E15506" s="626"/>
      <c r="F15506" s="626"/>
    </row>
    <row r="15507" spans="1:6">
      <c r="A15507" t="str">
        <f t="shared" si="242"/>
        <v/>
      </c>
      <c r="E15507" s="626"/>
      <c r="F15507" s="626"/>
    </row>
    <row r="15508" spans="1:6">
      <c r="A15508" t="str">
        <f t="shared" si="242"/>
        <v/>
      </c>
      <c r="E15508" s="626"/>
      <c r="F15508" s="626"/>
    </row>
    <row r="15509" spans="1:6">
      <c r="A15509" t="str">
        <f t="shared" si="242"/>
        <v/>
      </c>
      <c r="E15509" s="626"/>
      <c r="F15509" s="626"/>
    </row>
    <row r="15510" spans="1:6">
      <c r="A15510" t="str">
        <f t="shared" si="242"/>
        <v/>
      </c>
      <c r="E15510" s="626"/>
      <c r="F15510" s="626"/>
    </row>
    <row r="15511" spans="1:6">
      <c r="A15511" t="str">
        <f t="shared" si="242"/>
        <v/>
      </c>
      <c r="E15511" s="626"/>
      <c r="F15511" s="626"/>
    </row>
    <row r="15512" spans="1:6">
      <c r="A15512" t="str">
        <f t="shared" si="242"/>
        <v/>
      </c>
      <c r="E15512" s="626"/>
      <c r="F15512" s="626"/>
    </row>
    <row r="15513" spans="1:6">
      <c r="A15513" t="str">
        <f t="shared" si="242"/>
        <v/>
      </c>
      <c r="E15513" s="626"/>
      <c r="F15513" s="626"/>
    </row>
    <row r="15514" spans="1:6">
      <c r="A15514" t="str">
        <f t="shared" si="242"/>
        <v/>
      </c>
      <c r="E15514" s="626"/>
      <c r="F15514" s="626"/>
    </row>
    <row r="15515" spans="1:6">
      <c r="A15515" t="str">
        <f t="shared" si="242"/>
        <v/>
      </c>
      <c r="E15515" s="626"/>
      <c r="F15515" s="626"/>
    </row>
    <row r="15516" spans="1:6">
      <c r="A15516" t="str">
        <f t="shared" si="242"/>
        <v/>
      </c>
      <c r="E15516" s="626"/>
      <c r="F15516" s="626"/>
    </row>
    <row r="15517" spans="1:6">
      <c r="A15517" t="str">
        <f t="shared" si="242"/>
        <v/>
      </c>
      <c r="E15517" s="626"/>
      <c r="F15517" s="626"/>
    </row>
    <row r="15518" spans="1:6">
      <c r="A15518" t="str">
        <f t="shared" si="242"/>
        <v/>
      </c>
      <c r="E15518" s="626"/>
      <c r="F15518" s="626"/>
    </row>
    <row r="15519" spans="1:6">
      <c r="A15519" t="str">
        <f t="shared" si="242"/>
        <v/>
      </c>
      <c r="E15519" s="626"/>
      <c r="F15519" s="626"/>
    </row>
    <row r="15520" spans="1:6">
      <c r="A15520" t="str">
        <f t="shared" si="242"/>
        <v/>
      </c>
      <c r="E15520" s="626"/>
      <c r="F15520" s="626"/>
    </row>
    <row r="15521" spans="1:6">
      <c r="A15521" t="str">
        <f t="shared" si="242"/>
        <v/>
      </c>
      <c r="E15521" s="626"/>
      <c r="F15521" s="626"/>
    </row>
    <row r="15522" spans="1:6">
      <c r="A15522" t="str">
        <f t="shared" si="242"/>
        <v/>
      </c>
      <c r="E15522" s="626"/>
      <c r="F15522" s="626"/>
    </row>
    <row r="15523" spans="1:6">
      <c r="A15523" t="str">
        <f t="shared" si="242"/>
        <v/>
      </c>
      <c r="E15523" s="626"/>
      <c r="F15523" s="626"/>
    </row>
    <row r="15524" spans="1:6">
      <c r="A15524" t="str">
        <f t="shared" si="242"/>
        <v/>
      </c>
      <c r="E15524" s="626"/>
      <c r="F15524" s="626"/>
    </row>
    <row r="15525" spans="1:6">
      <c r="A15525" t="str">
        <f t="shared" si="242"/>
        <v/>
      </c>
      <c r="E15525" s="626"/>
      <c r="F15525" s="626"/>
    </row>
    <row r="15526" spans="1:6">
      <c r="A15526" t="str">
        <f t="shared" si="242"/>
        <v/>
      </c>
      <c r="E15526" s="626"/>
      <c r="F15526" s="626"/>
    </row>
    <row r="15527" spans="1:6">
      <c r="A15527" t="str">
        <f t="shared" si="242"/>
        <v/>
      </c>
      <c r="E15527" s="626"/>
      <c r="F15527" s="626"/>
    </row>
    <row r="15528" spans="1:6">
      <c r="A15528" t="str">
        <f t="shared" si="242"/>
        <v/>
      </c>
      <c r="E15528" s="626"/>
      <c r="F15528" s="626"/>
    </row>
    <row r="15529" spans="1:6">
      <c r="A15529" t="str">
        <f t="shared" si="242"/>
        <v/>
      </c>
      <c r="E15529" s="626"/>
      <c r="F15529" s="626"/>
    </row>
    <row r="15530" spans="1:6">
      <c r="A15530" t="str">
        <f t="shared" si="242"/>
        <v/>
      </c>
      <c r="E15530" s="626"/>
      <c r="F15530" s="626"/>
    </row>
    <row r="15531" spans="1:6">
      <c r="A15531" t="str">
        <f t="shared" si="242"/>
        <v/>
      </c>
      <c r="E15531" s="626"/>
      <c r="F15531" s="626"/>
    </row>
    <row r="15532" spans="1:6">
      <c r="A15532" t="str">
        <f t="shared" si="242"/>
        <v/>
      </c>
      <c r="E15532" s="626"/>
      <c r="F15532" s="626"/>
    </row>
    <row r="15533" spans="1:6">
      <c r="A15533" t="str">
        <f t="shared" si="242"/>
        <v/>
      </c>
      <c r="E15533" s="626"/>
      <c r="F15533" s="626"/>
    </row>
    <row r="15534" spans="1:6">
      <c r="A15534" t="str">
        <f t="shared" si="242"/>
        <v/>
      </c>
      <c r="E15534" s="626"/>
      <c r="F15534" s="626"/>
    </row>
    <row r="15535" spans="1:6">
      <c r="A15535" t="str">
        <f t="shared" si="242"/>
        <v/>
      </c>
      <c r="E15535" s="626"/>
      <c r="F15535" s="626"/>
    </row>
    <row r="15536" spans="1:6">
      <c r="A15536" t="str">
        <f t="shared" si="242"/>
        <v/>
      </c>
      <c r="E15536" s="626"/>
      <c r="F15536" s="626"/>
    </row>
    <row r="15537" spans="1:6">
      <c r="A15537" t="str">
        <f t="shared" si="242"/>
        <v/>
      </c>
      <c r="E15537" s="626"/>
      <c r="F15537" s="626"/>
    </row>
    <row r="15538" spans="1:6">
      <c r="A15538" t="str">
        <f t="shared" si="242"/>
        <v/>
      </c>
      <c r="E15538" s="626"/>
      <c r="F15538" s="626"/>
    </row>
    <row r="15539" spans="1:6">
      <c r="A15539" t="str">
        <f t="shared" si="242"/>
        <v/>
      </c>
      <c r="E15539" s="626"/>
      <c r="F15539" s="626"/>
    </row>
    <row r="15540" spans="1:6">
      <c r="A15540" t="str">
        <f t="shared" si="242"/>
        <v/>
      </c>
      <c r="E15540" s="626"/>
      <c r="F15540" s="626"/>
    </row>
    <row r="15541" spans="1:6">
      <c r="A15541" t="str">
        <f t="shared" si="242"/>
        <v/>
      </c>
      <c r="E15541" s="626"/>
      <c r="F15541" s="626"/>
    </row>
    <row r="15542" spans="1:6">
      <c r="A15542" t="str">
        <f t="shared" si="242"/>
        <v/>
      </c>
      <c r="E15542" s="626"/>
      <c r="F15542" s="626"/>
    </row>
    <row r="15543" spans="1:6">
      <c r="A15543" t="str">
        <f t="shared" si="242"/>
        <v/>
      </c>
      <c r="E15543" s="626"/>
      <c r="F15543" s="626"/>
    </row>
    <row r="15544" spans="1:6">
      <c r="A15544" t="str">
        <f t="shared" si="242"/>
        <v/>
      </c>
      <c r="E15544" s="626"/>
      <c r="F15544" s="626"/>
    </row>
    <row r="15545" spans="1:6">
      <c r="A15545" t="str">
        <f t="shared" si="242"/>
        <v/>
      </c>
      <c r="E15545" s="626"/>
      <c r="F15545" s="626"/>
    </row>
    <row r="15546" spans="1:6">
      <c r="A15546" t="str">
        <f t="shared" si="242"/>
        <v/>
      </c>
      <c r="E15546" s="626"/>
      <c r="F15546" s="626"/>
    </row>
    <row r="15547" spans="1:6">
      <c r="A15547" t="str">
        <f t="shared" si="242"/>
        <v/>
      </c>
      <c r="E15547" s="626"/>
      <c r="F15547" s="626"/>
    </row>
    <row r="15548" spans="1:6">
      <c r="A15548" t="str">
        <f t="shared" si="242"/>
        <v/>
      </c>
      <c r="E15548" s="626"/>
      <c r="F15548" s="626"/>
    </row>
    <row r="15549" spans="1:6">
      <c r="A15549" t="str">
        <f t="shared" si="242"/>
        <v/>
      </c>
      <c r="E15549" s="626"/>
      <c r="F15549" s="626"/>
    </row>
    <row r="15550" spans="1:6">
      <c r="A15550" t="str">
        <f t="shared" si="242"/>
        <v/>
      </c>
      <c r="E15550" s="626"/>
      <c r="F15550" s="626"/>
    </row>
    <row r="15551" spans="1:6">
      <c r="A15551" t="str">
        <f t="shared" si="242"/>
        <v/>
      </c>
      <c r="E15551" s="626"/>
      <c r="F15551" s="626"/>
    </row>
    <row r="15552" spans="1:6">
      <c r="A15552" t="str">
        <f t="shared" si="242"/>
        <v/>
      </c>
      <c r="E15552" s="626"/>
      <c r="F15552" s="626"/>
    </row>
    <row r="15553" spans="1:6">
      <c r="A15553" t="str">
        <f t="shared" si="242"/>
        <v/>
      </c>
      <c r="E15553" s="626"/>
      <c r="F15553" s="626"/>
    </row>
    <row r="15554" spans="1:6">
      <c r="A15554" t="str">
        <f t="shared" ref="A15554:A15617" si="243">B15554&amp;E15554&amp;J15554</f>
        <v/>
      </c>
      <c r="E15554" s="626"/>
      <c r="F15554" s="626"/>
    </row>
    <row r="15555" spans="1:6">
      <c r="A15555" t="str">
        <f t="shared" si="243"/>
        <v/>
      </c>
      <c r="E15555" s="626"/>
      <c r="F15555" s="626"/>
    </row>
    <row r="15556" spans="1:6">
      <c r="A15556" t="str">
        <f t="shared" si="243"/>
        <v/>
      </c>
      <c r="E15556" s="626"/>
      <c r="F15556" s="626"/>
    </row>
    <row r="15557" spans="1:6">
      <c r="A15557" t="str">
        <f t="shared" si="243"/>
        <v/>
      </c>
      <c r="E15557" s="626"/>
      <c r="F15557" s="626"/>
    </row>
    <row r="15558" spans="1:6">
      <c r="A15558" t="str">
        <f t="shared" si="243"/>
        <v/>
      </c>
      <c r="E15558" s="626"/>
      <c r="F15558" s="626"/>
    </row>
    <row r="15559" spans="1:6">
      <c r="A15559" t="str">
        <f t="shared" si="243"/>
        <v/>
      </c>
      <c r="E15559" s="626"/>
      <c r="F15559" s="626"/>
    </row>
    <row r="15560" spans="1:6">
      <c r="A15560" t="str">
        <f t="shared" si="243"/>
        <v/>
      </c>
      <c r="E15560" s="626"/>
      <c r="F15560" s="626"/>
    </row>
    <row r="15561" spans="1:6">
      <c r="A15561" t="str">
        <f t="shared" si="243"/>
        <v/>
      </c>
      <c r="E15561" s="626"/>
      <c r="F15561" s="626"/>
    </row>
    <row r="15562" spans="1:6">
      <c r="A15562" t="str">
        <f t="shared" si="243"/>
        <v/>
      </c>
      <c r="E15562" s="626"/>
      <c r="F15562" s="626"/>
    </row>
    <row r="15563" spans="1:6">
      <c r="A15563" t="str">
        <f t="shared" si="243"/>
        <v/>
      </c>
      <c r="E15563" s="626"/>
      <c r="F15563" s="626"/>
    </row>
    <row r="15564" spans="1:6">
      <c r="A15564" t="str">
        <f t="shared" si="243"/>
        <v/>
      </c>
      <c r="E15564" s="626"/>
      <c r="F15564" s="626"/>
    </row>
    <row r="15565" spans="1:6">
      <c r="A15565" t="str">
        <f t="shared" si="243"/>
        <v/>
      </c>
      <c r="E15565" s="626"/>
      <c r="F15565" s="626"/>
    </row>
    <row r="15566" spans="1:6">
      <c r="A15566" t="str">
        <f t="shared" si="243"/>
        <v/>
      </c>
      <c r="E15566" s="626"/>
      <c r="F15566" s="626"/>
    </row>
    <row r="15567" spans="1:6">
      <c r="A15567" t="str">
        <f t="shared" si="243"/>
        <v/>
      </c>
      <c r="E15567" s="626"/>
      <c r="F15567" s="626"/>
    </row>
    <row r="15568" spans="1:6">
      <c r="A15568" t="str">
        <f t="shared" si="243"/>
        <v/>
      </c>
      <c r="E15568" s="626"/>
      <c r="F15568" s="626"/>
    </row>
    <row r="15569" spans="1:6">
      <c r="A15569" t="str">
        <f t="shared" si="243"/>
        <v/>
      </c>
      <c r="E15569" s="626"/>
      <c r="F15569" s="626"/>
    </row>
    <row r="15570" spans="1:6">
      <c r="A15570" t="str">
        <f t="shared" si="243"/>
        <v/>
      </c>
      <c r="E15570" s="626"/>
      <c r="F15570" s="626"/>
    </row>
    <row r="15571" spans="1:6">
      <c r="A15571" t="str">
        <f t="shared" si="243"/>
        <v/>
      </c>
      <c r="E15571" s="626"/>
      <c r="F15571" s="626"/>
    </row>
    <row r="15572" spans="1:6">
      <c r="A15572" t="str">
        <f t="shared" si="243"/>
        <v/>
      </c>
      <c r="E15572" s="626"/>
      <c r="F15572" s="626"/>
    </row>
    <row r="15573" spans="1:6">
      <c r="A15573" t="str">
        <f t="shared" si="243"/>
        <v/>
      </c>
      <c r="E15573" s="626"/>
      <c r="F15573" s="626"/>
    </row>
    <row r="15574" spans="1:6">
      <c r="A15574" t="str">
        <f t="shared" si="243"/>
        <v/>
      </c>
      <c r="E15574" s="626"/>
      <c r="F15574" s="626"/>
    </row>
    <row r="15575" spans="1:6">
      <c r="A15575" t="str">
        <f t="shared" si="243"/>
        <v/>
      </c>
      <c r="E15575" s="626"/>
      <c r="F15575" s="626"/>
    </row>
    <row r="15576" spans="1:6">
      <c r="A15576" t="str">
        <f t="shared" si="243"/>
        <v/>
      </c>
      <c r="E15576" s="626"/>
      <c r="F15576" s="626"/>
    </row>
    <row r="15577" spans="1:6">
      <c r="A15577" t="str">
        <f t="shared" si="243"/>
        <v/>
      </c>
      <c r="E15577" s="626"/>
      <c r="F15577" s="626"/>
    </row>
    <row r="15578" spans="1:6">
      <c r="A15578" t="str">
        <f t="shared" si="243"/>
        <v/>
      </c>
      <c r="E15578" s="626"/>
      <c r="F15578" s="626"/>
    </row>
    <row r="15579" spans="1:6">
      <c r="A15579" t="str">
        <f t="shared" si="243"/>
        <v/>
      </c>
      <c r="E15579" s="626"/>
      <c r="F15579" s="626"/>
    </row>
    <row r="15580" spans="1:6">
      <c r="A15580" t="str">
        <f t="shared" si="243"/>
        <v/>
      </c>
      <c r="E15580" s="626"/>
      <c r="F15580" s="626"/>
    </row>
    <row r="15581" spans="1:6">
      <c r="A15581" t="str">
        <f t="shared" si="243"/>
        <v/>
      </c>
      <c r="E15581" s="626"/>
      <c r="F15581" s="626"/>
    </row>
    <row r="15582" spans="1:6">
      <c r="A15582" t="str">
        <f t="shared" si="243"/>
        <v/>
      </c>
      <c r="E15582" s="626"/>
      <c r="F15582" s="626"/>
    </row>
    <row r="15583" spans="1:6">
      <c r="A15583" t="str">
        <f t="shared" si="243"/>
        <v/>
      </c>
      <c r="E15583" s="626"/>
      <c r="F15583" s="626"/>
    </row>
    <row r="15584" spans="1:6">
      <c r="A15584" t="str">
        <f t="shared" si="243"/>
        <v/>
      </c>
      <c r="E15584" s="626"/>
      <c r="F15584" s="626"/>
    </row>
    <row r="15585" spans="1:6">
      <c r="A15585" t="str">
        <f t="shared" si="243"/>
        <v/>
      </c>
      <c r="E15585" s="626"/>
      <c r="F15585" s="626"/>
    </row>
    <row r="15586" spans="1:6">
      <c r="A15586" t="str">
        <f t="shared" si="243"/>
        <v/>
      </c>
      <c r="E15586" s="626"/>
      <c r="F15586" s="626"/>
    </row>
    <row r="15587" spans="1:6">
      <c r="A15587" t="str">
        <f t="shared" si="243"/>
        <v/>
      </c>
      <c r="E15587" s="626"/>
      <c r="F15587" s="626"/>
    </row>
    <row r="15588" spans="1:6">
      <c r="A15588" t="str">
        <f t="shared" si="243"/>
        <v/>
      </c>
      <c r="E15588" s="626"/>
      <c r="F15588" s="626"/>
    </row>
    <row r="15589" spans="1:6">
      <c r="A15589" t="str">
        <f t="shared" si="243"/>
        <v/>
      </c>
      <c r="E15589" s="626"/>
      <c r="F15589" s="626"/>
    </row>
    <row r="15590" spans="1:6">
      <c r="A15590" t="str">
        <f t="shared" si="243"/>
        <v/>
      </c>
      <c r="E15590" s="626"/>
      <c r="F15590" s="626"/>
    </row>
    <row r="15591" spans="1:6">
      <c r="A15591" t="str">
        <f t="shared" si="243"/>
        <v/>
      </c>
      <c r="E15591" s="626"/>
      <c r="F15591" s="626"/>
    </row>
    <row r="15592" spans="1:6">
      <c r="A15592" t="str">
        <f t="shared" si="243"/>
        <v/>
      </c>
      <c r="E15592" s="626"/>
      <c r="F15592" s="626"/>
    </row>
    <row r="15593" spans="1:6">
      <c r="A15593" t="str">
        <f t="shared" si="243"/>
        <v/>
      </c>
      <c r="E15593" s="626"/>
      <c r="F15593" s="626"/>
    </row>
    <row r="15594" spans="1:6">
      <c r="A15594" t="str">
        <f t="shared" si="243"/>
        <v/>
      </c>
      <c r="E15594" s="626"/>
      <c r="F15594" s="626"/>
    </row>
    <row r="15595" spans="1:6">
      <c r="A15595" t="str">
        <f t="shared" si="243"/>
        <v/>
      </c>
      <c r="E15595" s="626"/>
      <c r="F15595" s="626"/>
    </row>
    <row r="15596" spans="1:6">
      <c r="A15596" t="str">
        <f t="shared" si="243"/>
        <v/>
      </c>
      <c r="E15596" s="626"/>
      <c r="F15596" s="626"/>
    </row>
    <row r="15597" spans="1:6">
      <c r="A15597" t="str">
        <f t="shared" si="243"/>
        <v/>
      </c>
      <c r="E15597" s="626"/>
      <c r="F15597" s="626"/>
    </row>
    <row r="15598" spans="1:6">
      <c r="A15598" t="str">
        <f t="shared" si="243"/>
        <v/>
      </c>
      <c r="E15598" s="626"/>
      <c r="F15598" s="626"/>
    </row>
    <row r="15599" spans="1:6">
      <c r="A15599" t="str">
        <f t="shared" si="243"/>
        <v/>
      </c>
      <c r="E15599" s="626"/>
      <c r="F15599" s="626"/>
    </row>
    <row r="15600" spans="1:6">
      <c r="A15600" t="str">
        <f t="shared" si="243"/>
        <v/>
      </c>
      <c r="E15600" s="626"/>
      <c r="F15600" s="626"/>
    </row>
    <row r="15601" spans="1:6">
      <c r="A15601" t="str">
        <f t="shared" si="243"/>
        <v/>
      </c>
      <c r="E15601" s="626"/>
      <c r="F15601" s="626"/>
    </row>
    <row r="15602" spans="1:6">
      <c r="A15602" t="str">
        <f t="shared" si="243"/>
        <v/>
      </c>
      <c r="E15602" s="626"/>
      <c r="F15602" s="626"/>
    </row>
    <row r="15603" spans="1:6">
      <c r="A15603" t="str">
        <f t="shared" si="243"/>
        <v/>
      </c>
      <c r="E15603" s="626"/>
      <c r="F15603" s="626"/>
    </row>
    <row r="15604" spans="1:6">
      <c r="A15604" t="str">
        <f t="shared" si="243"/>
        <v/>
      </c>
      <c r="E15604" s="626"/>
      <c r="F15604" s="626"/>
    </row>
    <row r="15605" spans="1:6">
      <c r="A15605" t="str">
        <f t="shared" si="243"/>
        <v/>
      </c>
      <c r="E15605" s="626"/>
      <c r="F15605" s="626"/>
    </row>
    <row r="15606" spans="1:6">
      <c r="A15606" t="str">
        <f t="shared" si="243"/>
        <v/>
      </c>
      <c r="E15606" s="626"/>
      <c r="F15606" s="626"/>
    </row>
    <row r="15607" spans="1:6">
      <c r="A15607" t="str">
        <f t="shared" si="243"/>
        <v/>
      </c>
      <c r="E15607" s="626"/>
      <c r="F15607" s="626"/>
    </row>
    <row r="15608" spans="1:6">
      <c r="A15608" t="str">
        <f t="shared" si="243"/>
        <v/>
      </c>
      <c r="E15608" s="626"/>
      <c r="F15608" s="626"/>
    </row>
    <row r="15609" spans="1:6">
      <c r="A15609" t="str">
        <f t="shared" si="243"/>
        <v/>
      </c>
      <c r="E15609" s="626"/>
      <c r="F15609" s="626"/>
    </row>
    <row r="15610" spans="1:6">
      <c r="A15610" t="str">
        <f t="shared" si="243"/>
        <v/>
      </c>
      <c r="E15610" s="626"/>
      <c r="F15610" s="626"/>
    </row>
    <row r="15611" spans="1:6">
      <c r="A15611" t="str">
        <f t="shared" si="243"/>
        <v/>
      </c>
      <c r="E15611" s="626"/>
      <c r="F15611" s="626"/>
    </row>
    <row r="15612" spans="1:6">
      <c r="A15612" t="str">
        <f t="shared" si="243"/>
        <v/>
      </c>
      <c r="E15612" s="626"/>
      <c r="F15612" s="626"/>
    </row>
    <row r="15613" spans="1:6">
      <c r="A15613" t="str">
        <f t="shared" si="243"/>
        <v/>
      </c>
      <c r="E15613" s="626"/>
      <c r="F15613" s="626"/>
    </row>
    <row r="15614" spans="1:6">
      <c r="A15614" t="str">
        <f t="shared" si="243"/>
        <v/>
      </c>
      <c r="E15614" s="626"/>
      <c r="F15614" s="626"/>
    </row>
    <row r="15615" spans="1:6">
      <c r="A15615" t="str">
        <f t="shared" si="243"/>
        <v/>
      </c>
      <c r="E15615" s="626"/>
      <c r="F15615" s="626"/>
    </row>
    <row r="15616" spans="1:6">
      <c r="A15616" t="str">
        <f t="shared" si="243"/>
        <v/>
      </c>
      <c r="E15616" s="626"/>
      <c r="F15616" s="626"/>
    </row>
    <row r="15617" spans="1:6">
      <c r="A15617" t="str">
        <f t="shared" si="243"/>
        <v/>
      </c>
      <c r="E15617" s="626"/>
      <c r="F15617" s="626"/>
    </row>
    <row r="15618" spans="1:6">
      <c r="A15618" t="str">
        <f t="shared" ref="A15618:A15681" si="244">B15618&amp;E15618&amp;J15618</f>
        <v/>
      </c>
      <c r="E15618" s="626"/>
      <c r="F15618" s="626"/>
    </row>
    <row r="15619" spans="1:6">
      <c r="A15619" t="str">
        <f t="shared" si="244"/>
        <v/>
      </c>
      <c r="E15619" s="626"/>
      <c r="F15619" s="626"/>
    </row>
    <row r="15620" spans="1:6">
      <c r="A15620" t="str">
        <f t="shared" si="244"/>
        <v/>
      </c>
      <c r="E15620" s="626"/>
      <c r="F15620" s="626"/>
    </row>
    <row r="15621" spans="1:6">
      <c r="A15621" t="str">
        <f t="shared" si="244"/>
        <v/>
      </c>
      <c r="E15621" s="626"/>
      <c r="F15621" s="626"/>
    </row>
    <row r="15622" spans="1:6">
      <c r="A15622" t="str">
        <f t="shared" si="244"/>
        <v/>
      </c>
      <c r="E15622" s="626"/>
      <c r="F15622" s="626"/>
    </row>
    <row r="15623" spans="1:6">
      <c r="A15623" t="str">
        <f t="shared" si="244"/>
        <v/>
      </c>
      <c r="E15623" s="626"/>
      <c r="F15623" s="626"/>
    </row>
    <row r="15624" spans="1:6">
      <c r="A15624" t="str">
        <f t="shared" si="244"/>
        <v/>
      </c>
      <c r="E15624" s="626"/>
      <c r="F15624" s="626"/>
    </row>
    <row r="15625" spans="1:6">
      <c r="A15625" t="str">
        <f t="shared" si="244"/>
        <v/>
      </c>
      <c r="E15625" s="626"/>
      <c r="F15625" s="626"/>
    </row>
    <row r="15626" spans="1:6">
      <c r="A15626" t="str">
        <f t="shared" si="244"/>
        <v/>
      </c>
      <c r="E15626" s="626"/>
      <c r="F15626" s="626"/>
    </row>
    <row r="15627" spans="1:6">
      <c r="A15627" t="str">
        <f t="shared" si="244"/>
        <v/>
      </c>
      <c r="E15627" s="626"/>
      <c r="F15627" s="626"/>
    </row>
    <row r="15628" spans="1:6">
      <c r="A15628" t="str">
        <f t="shared" si="244"/>
        <v/>
      </c>
      <c r="E15628" s="626"/>
      <c r="F15628" s="626"/>
    </row>
    <row r="15629" spans="1:6">
      <c r="A15629" t="str">
        <f t="shared" si="244"/>
        <v/>
      </c>
      <c r="E15629" s="626"/>
      <c r="F15629" s="626"/>
    </row>
    <row r="15630" spans="1:6">
      <c r="A15630" t="str">
        <f t="shared" si="244"/>
        <v/>
      </c>
      <c r="E15630" s="626"/>
      <c r="F15630" s="626"/>
    </row>
    <row r="15631" spans="1:6">
      <c r="A15631" t="str">
        <f t="shared" si="244"/>
        <v/>
      </c>
      <c r="E15631" s="626"/>
      <c r="F15631" s="626"/>
    </row>
    <row r="15632" spans="1:6">
      <c r="A15632" t="str">
        <f t="shared" si="244"/>
        <v/>
      </c>
      <c r="E15632" s="626"/>
      <c r="F15632" s="626"/>
    </row>
    <row r="15633" spans="1:6">
      <c r="A15633" t="str">
        <f t="shared" si="244"/>
        <v/>
      </c>
      <c r="E15633" s="626"/>
      <c r="F15633" s="626"/>
    </row>
    <row r="15634" spans="1:6">
      <c r="A15634" t="str">
        <f t="shared" si="244"/>
        <v/>
      </c>
      <c r="E15634" s="626"/>
      <c r="F15634" s="626"/>
    </row>
    <row r="15635" spans="1:6">
      <c r="A15635" t="str">
        <f t="shared" si="244"/>
        <v/>
      </c>
      <c r="E15635" s="626"/>
      <c r="F15635" s="626"/>
    </row>
    <row r="15636" spans="1:6">
      <c r="A15636" t="str">
        <f t="shared" si="244"/>
        <v/>
      </c>
      <c r="E15636" s="626"/>
      <c r="F15636" s="626"/>
    </row>
    <row r="15637" spans="1:6">
      <c r="A15637" t="str">
        <f t="shared" si="244"/>
        <v/>
      </c>
      <c r="E15637" s="626"/>
      <c r="F15637" s="626"/>
    </row>
    <row r="15638" spans="1:6">
      <c r="A15638" t="str">
        <f t="shared" si="244"/>
        <v/>
      </c>
      <c r="E15638" s="626"/>
      <c r="F15638" s="626"/>
    </row>
    <row r="15639" spans="1:6">
      <c r="A15639" t="str">
        <f t="shared" si="244"/>
        <v/>
      </c>
      <c r="E15639" s="626"/>
      <c r="F15639" s="626"/>
    </row>
    <row r="15640" spans="1:6">
      <c r="A15640" t="str">
        <f t="shared" si="244"/>
        <v/>
      </c>
      <c r="E15640" s="626"/>
      <c r="F15640" s="626"/>
    </row>
    <row r="15641" spans="1:6">
      <c r="A15641" t="str">
        <f t="shared" si="244"/>
        <v/>
      </c>
      <c r="E15641" s="626"/>
      <c r="F15641" s="626"/>
    </row>
    <row r="15642" spans="1:6">
      <c r="A15642" t="str">
        <f t="shared" si="244"/>
        <v/>
      </c>
      <c r="E15642" s="626"/>
      <c r="F15642" s="626"/>
    </row>
    <row r="15643" spans="1:6">
      <c r="A15643" t="str">
        <f t="shared" si="244"/>
        <v/>
      </c>
      <c r="E15643" s="626"/>
      <c r="F15643" s="626"/>
    </row>
    <row r="15644" spans="1:6">
      <c r="A15644" t="str">
        <f t="shared" si="244"/>
        <v/>
      </c>
      <c r="E15644" s="626"/>
      <c r="F15644" s="626"/>
    </row>
    <row r="15645" spans="1:6">
      <c r="A15645" t="str">
        <f t="shared" si="244"/>
        <v/>
      </c>
      <c r="E15645" s="626"/>
      <c r="F15645" s="626"/>
    </row>
    <row r="15646" spans="1:6">
      <c r="A15646" t="str">
        <f t="shared" si="244"/>
        <v/>
      </c>
      <c r="E15646" s="626"/>
      <c r="F15646" s="626"/>
    </row>
    <row r="15647" spans="1:6">
      <c r="A15647" t="str">
        <f t="shared" si="244"/>
        <v/>
      </c>
      <c r="E15647" s="626"/>
      <c r="F15647" s="626"/>
    </row>
    <row r="15648" spans="1:6">
      <c r="A15648" t="str">
        <f t="shared" si="244"/>
        <v/>
      </c>
      <c r="E15648" s="626"/>
      <c r="F15648" s="626"/>
    </row>
    <row r="15649" spans="1:6">
      <c r="A15649" t="str">
        <f t="shared" si="244"/>
        <v/>
      </c>
      <c r="E15649" s="626"/>
      <c r="F15649" s="626"/>
    </row>
    <row r="15650" spans="1:6">
      <c r="A15650" t="str">
        <f t="shared" si="244"/>
        <v/>
      </c>
      <c r="E15650" s="626"/>
      <c r="F15650" s="626"/>
    </row>
    <row r="15651" spans="1:6">
      <c r="A15651" t="str">
        <f t="shared" si="244"/>
        <v/>
      </c>
      <c r="E15651" s="626"/>
      <c r="F15651" s="626"/>
    </row>
    <row r="15652" spans="1:6">
      <c r="A15652" t="str">
        <f t="shared" si="244"/>
        <v/>
      </c>
      <c r="E15652" s="626"/>
      <c r="F15652" s="626"/>
    </row>
    <row r="15653" spans="1:6">
      <c r="A15653" t="str">
        <f t="shared" si="244"/>
        <v/>
      </c>
      <c r="E15653" s="626"/>
      <c r="F15653" s="626"/>
    </row>
    <row r="15654" spans="1:6">
      <c r="A15654" t="str">
        <f t="shared" si="244"/>
        <v/>
      </c>
      <c r="E15654" s="626"/>
      <c r="F15654" s="626"/>
    </row>
    <row r="15655" spans="1:6">
      <c r="A15655" t="str">
        <f t="shared" si="244"/>
        <v/>
      </c>
      <c r="E15655" s="626"/>
      <c r="F15655" s="626"/>
    </row>
    <row r="15656" spans="1:6">
      <c r="A15656" t="str">
        <f t="shared" si="244"/>
        <v/>
      </c>
      <c r="E15656" s="626"/>
      <c r="F15656" s="626"/>
    </row>
    <row r="15657" spans="1:6">
      <c r="A15657" t="str">
        <f t="shared" si="244"/>
        <v/>
      </c>
      <c r="E15657" s="626"/>
      <c r="F15657" s="626"/>
    </row>
    <row r="15658" spans="1:6">
      <c r="A15658" t="str">
        <f t="shared" si="244"/>
        <v/>
      </c>
      <c r="E15658" s="626"/>
      <c r="F15658" s="626"/>
    </row>
    <row r="15659" spans="1:6">
      <c r="A15659" t="str">
        <f t="shared" si="244"/>
        <v/>
      </c>
      <c r="E15659" s="626"/>
      <c r="F15659" s="626"/>
    </row>
    <row r="15660" spans="1:6">
      <c r="A15660" t="str">
        <f t="shared" si="244"/>
        <v/>
      </c>
      <c r="E15660" s="626"/>
      <c r="F15660" s="626"/>
    </row>
    <row r="15661" spans="1:6">
      <c r="A15661" t="str">
        <f t="shared" si="244"/>
        <v/>
      </c>
      <c r="E15661" s="626"/>
      <c r="F15661" s="626"/>
    </row>
    <row r="15662" spans="1:6">
      <c r="A15662" t="str">
        <f t="shared" si="244"/>
        <v/>
      </c>
      <c r="E15662" s="626"/>
      <c r="F15662" s="626"/>
    </row>
    <row r="15663" spans="1:6">
      <c r="A15663" t="str">
        <f t="shared" si="244"/>
        <v/>
      </c>
      <c r="E15663" s="626"/>
      <c r="F15663" s="626"/>
    </row>
    <row r="15664" spans="1:6">
      <c r="A15664" t="str">
        <f t="shared" si="244"/>
        <v/>
      </c>
      <c r="E15664" s="626"/>
      <c r="F15664" s="626"/>
    </row>
    <row r="15665" spans="1:6">
      <c r="A15665" t="str">
        <f t="shared" si="244"/>
        <v/>
      </c>
      <c r="E15665" s="626"/>
      <c r="F15665" s="626"/>
    </row>
    <row r="15666" spans="1:6">
      <c r="A15666" t="str">
        <f t="shared" si="244"/>
        <v/>
      </c>
      <c r="E15666" s="626"/>
      <c r="F15666" s="626"/>
    </row>
    <row r="15667" spans="1:6">
      <c r="A15667" t="str">
        <f t="shared" si="244"/>
        <v/>
      </c>
      <c r="E15667" s="626"/>
      <c r="F15667" s="626"/>
    </row>
    <row r="15668" spans="1:6">
      <c r="A15668" t="str">
        <f t="shared" si="244"/>
        <v/>
      </c>
      <c r="E15668" s="626"/>
      <c r="F15668" s="626"/>
    </row>
    <row r="15669" spans="1:6">
      <c r="A15669" t="str">
        <f t="shared" si="244"/>
        <v/>
      </c>
      <c r="E15669" s="626"/>
      <c r="F15669" s="626"/>
    </row>
    <row r="15670" spans="1:6">
      <c r="A15670" t="str">
        <f t="shared" si="244"/>
        <v/>
      </c>
      <c r="E15670" s="626"/>
      <c r="F15670" s="626"/>
    </row>
    <row r="15671" spans="1:6">
      <c r="A15671" t="str">
        <f t="shared" si="244"/>
        <v/>
      </c>
      <c r="E15671" s="626"/>
      <c r="F15671" s="626"/>
    </row>
    <row r="15672" spans="1:6">
      <c r="A15672" t="str">
        <f t="shared" si="244"/>
        <v/>
      </c>
      <c r="E15672" s="626"/>
      <c r="F15672" s="626"/>
    </row>
    <row r="15673" spans="1:6">
      <c r="A15673" t="str">
        <f t="shared" si="244"/>
        <v/>
      </c>
      <c r="E15673" s="626"/>
      <c r="F15673" s="626"/>
    </row>
    <row r="15674" spans="1:6">
      <c r="A15674" t="str">
        <f t="shared" si="244"/>
        <v/>
      </c>
      <c r="E15674" s="626"/>
      <c r="F15674" s="626"/>
    </row>
    <row r="15675" spans="1:6">
      <c r="A15675" t="str">
        <f t="shared" si="244"/>
        <v/>
      </c>
      <c r="E15675" s="626"/>
      <c r="F15675" s="626"/>
    </row>
    <row r="15676" spans="1:6">
      <c r="A15676" t="str">
        <f t="shared" si="244"/>
        <v/>
      </c>
      <c r="E15676" s="626"/>
      <c r="F15676" s="626"/>
    </row>
    <row r="15677" spans="1:6">
      <c r="A15677" t="str">
        <f t="shared" si="244"/>
        <v/>
      </c>
      <c r="E15677" s="626"/>
      <c r="F15677" s="626"/>
    </row>
    <row r="15678" spans="1:6">
      <c r="A15678" t="str">
        <f t="shared" si="244"/>
        <v/>
      </c>
      <c r="E15678" s="626"/>
      <c r="F15678" s="626"/>
    </row>
    <row r="15679" spans="1:6">
      <c r="A15679" t="str">
        <f t="shared" si="244"/>
        <v/>
      </c>
      <c r="E15679" s="626"/>
      <c r="F15679" s="626"/>
    </row>
    <row r="15680" spans="1:6">
      <c r="A15680" t="str">
        <f t="shared" si="244"/>
        <v/>
      </c>
      <c r="E15680" s="626"/>
      <c r="F15680" s="626"/>
    </row>
    <row r="15681" spans="1:6">
      <c r="A15681" t="str">
        <f t="shared" si="244"/>
        <v/>
      </c>
      <c r="E15681" s="626"/>
      <c r="F15681" s="626"/>
    </row>
    <row r="15682" spans="1:6">
      <c r="A15682" t="str">
        <f t="shared" ref="A15682:A15745" si="245">B15682&amp;E15682&amp;J15682</f>
        <v/>
      </c>
      <c r="E15682" s="626"/>
      <c r="F15682" s="626"/>
    </row>
    <row r="15683" spans="1:6">
      <c r="A15683" t="str">
        <f t="shared" si="245"/>
        <v/>
      </c>
      <c r="E15683" s="626"/>
      <c r="F15683" s="626"/>
    </row>
    <row r="15684" spans="1:6">
      <c r="A15684" t="str">
        <f t="shared" si="245"/>
        <v/>
      </c>
      <c r="E15684" s="626"/>
      <c r="F15684" s="626"/>
    </row>
    <row r="15685" spans="1:6">
      <c r="A15685" t="str">
        <f t="shared" si="245"/>
        <v/>
      </c>
      <c r="E15685" s="626"/>
      <c r="F15685" s="626"/>
    </row>
    <row r="15686" spans="1:6">
      <c r="A15686" t="str">
        <f t="shared" si="245"/>
        <v/>
      </c>
      <c r="E15686" s="626"/>
      <c r="F15686" s="626"/>
    </row>
    <row r="15687" spans="1:6">
      <c r="A15687" t="str">
        <f t="shared" si="245"/>
        <v/>
      </c>
      <c r="E15687" s="626"/>
      <c r="F15687" s="626"/>
    </row>
    <row r="15688" spans="1:6">
      <c r="A15688" t="str">
        <f t="shared" si="245"/>
        <v/>
      </c>
      <c r="E15688" s="626"/>
      <c r="F15688" s="626"/>
    </row>
    <row r="15689" spans="1:6">
      <c r="A15689" t="str">
        <f t="shared" si="245"/>
        <v/>
      </c>
      <c r="E15689" s="626"/>
      <c r="F15689" s="626"/>
    </row>
    <row r="15690" spans="1:6">
      <c r="A15690" t="str">
        <f t="shared" si="245"/>
        <v/>
      </c>
      <c r="E15690" s="626"/>
      <c r="F15690" s="626"/>
    </row>
    <row r="15691" spans="1:6">
      <c r="A15691" t="str">
        <f t="shared" si="245"/>
        <v/>
      </c>
      <c r="E15691" s="626"/>
      <c r="F15691" s="626"/>
    </row>
    <row r="15692" spans="1:6">
      <c r="A15692" t="str">
        <f t="shared" si="245"/>
        <v/>
      </c>
      <c r="E15692" s="626"/>
      <c r="F15692" s="626"/>
    </row>
    <row r="15693" spans="1:6">
      <c r="A15693" t="str">
        <f t="shared" si="245"/>
        <v/>
      </c>
      <c r="E15693" s="626"/>
      <c r="F15693" s="626"/>
    </row>
    <row r="15694" spans="1:6">
      <c r="A15694" t="str">
        <f t="shared" si="245"/>
        <v/>
      </c>
      <c r="E15694" s="626"/>
      <c r="F15694" s="626"/>
    </row>
    <row r="15695" spans="1:6">
      <c r="A15695" t="str">
        <f t="shared" si="245"/>
        <v/>
      </c>
      <c r="E15695" s="626"/>
      <c r="F15695" s="626"/>
    </row>
    <row r="15696" spans="1:6">
      <c r="A15696" t="str">
        <f t="shared" si="245"/>
        <v/>
      </c>
      <c r="E15696" s="626"/>
      <c r="F15696" s="626"/>
    </row>
    <row r="15697" spans="1:6">
      <c r="A15697" t="str">
        <f t="shared" si="245"/>
        <v/>
      </c>
      <c r="E15697" s="626"/>
      <c r="F15697" s="626"/>
    </row>
    <row r="15698" spans="1:6">
      <c r="A15698" t="str">
        <f t="shared" si="245"/>
        <v/>
      </c>
      <c r="E15698" s="626"/>
      <c r="F15698" s="626"/>
    </row>
    <row r="15699" spans="1:6">
      <c r="A15699" t="str">
        <f t="shared" si="245"/>
        <v/>
      </c>
      <c r="E15699" s="626"/>
      <c r="F15699" s="626"/>
    </row>
    <row r="15700" spans="1:6">
      <c r="A15700" t="str">
        <f t="shared" si="245"/>
        <v/>
      </c>
      <c r="E15700" s="626"/>
      <c r="F15700" s="626"/>
    </row>
    <row r="15701" spans="1:6">
      <c r="A15701" t="str">
        <f t="shared" si="245"/>
        <v/>
      </c>
      <c r="E15701" s="626"/>
      <c r="F15701" s="626"/>
    </row>
    <row r="15702" spans="1:6">
      <c r="A15702" t="str">
        <f t="shared" si="245"/>
        <v/>
      </c>
      <c r="E15702" s="626"/>
      <c r="F15702" s="626"/>
    </row>
    <row r="15703" spans="1:6">
      <c r="A15703" t="str">
        <f t="shared" si="245"/>
        <v/>
      </c>
      <c r="E15703" s="626"/>
      <c r="F15703" s="626"/>
    </row>
    <row r="15704" spans="1:6">
      <c r="A15704" t="str">
        <f t="shared" si="245"/>
        <v/>
      </c>
      <c r="E15704" s="626"/>
      <c r="F15704" s="626"/>
    </row>
    <row r="15705" spans="1:6">
      <c r="A15705" t="str">
        <f t="shared" si="245"/>
        <v/>
      </c>
      <c r="E15705" s="626"/>
      <c r="F15705" s="626"/>
    </row>
    <row r="15706" spans="1:6">
      <c r="A15706" t="str">
        <f t="shared" si="245"/>
        <v/>
      </c>
      <c r="E15706" s="626"/>
      <c r="F15706" s="626"/>
    </row>
    <row r="15707" spans="1:6">
      <c r="A15707" t="str">
        <f t="shared" si="245"/>
        <v/>
      </c>
      <c r="E15707" s="626"/>
      <c r="F15707" s="626"/>
    </row>
    <row r="15708" spans="1:6">
      <c r="A15708" t="str">
        <f t="shared" si="245"/>
        <v/>
      </c>
      <c r="E15708" s="626"/>
      <c r="F15708" s="626"/>
    </row>
    <row r="15709" spans="1:6">
      <c r="A15709" t="str">
        <f t="shared" si="245"/>
        <v/>
      </c>
      <c r="E15709" s="626"/>
      <c r="F15709" s="626"/>
    </row>
    <row r="15710" spans="1:6">
      <c r="A15710" t="str">
        <f t="shared" si="245"/>
        <v/>
      </c>
      <c r="E15710" s="626"/>
      <c r="F15710" s="626"/>
    </row>
    <row r="15711" spans="1:6">
      <c r="A15711" t="str">
        <f t="shared" si="245"/>
        <v/>
      </c>
      <c r="E15711" s="626"/>
      <c r="F15711" s="626"/>
    </row>
    <row r="15712" spans="1:6">
      <c r="A15712" t="str">
        <f t="shared" si="245"/>
        <v/>
      </c>
      <c r="E15712" s="626"/>
      <c r="F15712" s="626"/>
    </row>
    <row r="15713" spans="1:6">
      <c r="A15713" t="str">
        <f t="shared" si="245"/>
        <v/>
      </c>
      <c r="E15713" s="626"/>
      <c r="F15713" s="626"/>
    </row>
    <row r="15714" spans="1:6">
      <c r="A15714" t="str">
        <f t="shared" si="245"/>
        <v/>
      </c>
      <c r="E15714" s="626"/>
      <c r="F15714" s="626"/>
    </row>
    <row r="15715" spans="1:6">
      <c r="A15715" t="str">
        <f t="shared" si="245"/>
        <v/>
      </c>
      <c r="E15715" s="626"/>
      <c r="F15715" s="626"/>
    </row>
    <row r="15716" spans="1:6">
      <c r="A15716" t="str">
        <f t="shared" si="245"/>
        <v/>
      </c>
      <c r="E15716" s="626"/>
      <c r="F15716" s="626"/>
    </row>
    <row r="15717" spans="1:6">
      <c r="A15717" t="str">
        <f t="shared" si="245"/>
        <v/>
      </c>
      <c r="E15717" s="626"/>
      <c r="F15717" s="626"/>
    </row>
    <row r="15718" spans="1:6">
      <c r="A15718" t="str">
        <f t="shared" si="245"/>
        <v/>
      </c>
      <c r="E15718" s="626"/>
      <c r="F15718" s="626"/>
    </row>
    <row r="15719" spans="1:6">
      <c r="A15719" t="str">
        <f t="shared" si="245"/>
        <v/>
      </c>
      <c r="E15719" s="626"/>
      <c r="F15719" s="626"/>
    </row>
    <row r="15720" spans="1:6">
      <c r="A15720" t="str">
        <f t="shared" si="245"/>
        <v/>
      </c>
      <c r="E15720" s="626"/>
      <c r="F15720" s="626"/>
    </row>
    <row r="15721" spans="1:6">
      <c r="A15721" t="str">
        <f t="shared" si="245"/>
        <v/>
      </c>
      <c r="E15721" s="626"/>
      <c r="F15721" s="626"/>
    </row>
    <row r="15722" spans="1:6">
      <c r="A15722" t="str">
        <f t="shared" si="245"/>
        <v/>
      </c>
      <c r="E15722" s="626"/>
      <c r="F15722" s="626"/>
    </row>
    <row r="15723" spans="1:6">
      <c r="A15723" t="str">
        <f t="shared" si="245"/>
        <v/>
      </c>
      <c r="E15723" s="626"/>
      <c r="F15723" s="626"/>
    </row>
    <row r="15724" spans="1:6">
      <c r="A15724" t="str">
        <f t="shared" si="245"/>
        <v/>
      </c>
      <c r="E15724" s="626"/>
      <c r="F15724" s="626"/>
    </row>
    <row r="15725" spans="1:6">
      <c r="A15725" t="str">
        <f t="shared" si="245"/>
        <v/>
      </c>
      <c r="E15725" s="626"/>
      <c r="F15725" s="626"/>
    </row>
    <row r="15726" spans="1:6">
      <c r="A15726" t="str">
        <f t="shared" si="245"/>
        <v/>
      </c>
      <c r="E15726" s="626"/>
      <c r="F15726" s="626"/>
    </row>
    <row r="15727" spans="1:6">
      <c r="A15727" t="str">
        <f t="shared" si="245"/>
        <v/>
      </c>
      <c r="E15727" s="626"/>
      <c r="F15727" s="626"/>
    </row>
    <row r="15728" spans="1:6">
      <c r="A15728" t="str">
        <f t="shared" si="245"/>
        <v/>
      </c>
      <c r="E15728" s="626"/>
      <c r="F15728" s="626"/>
    </row>
    <row r="15729" spans="1:6">
      <c r="A15729" t="str">
        <f t="shared" si="245"/>
        <v/>
      </c>
      <c r="E15729" s="626"/>
      <c r="F15729" s="626"/>
    </row>
    <row r="15730" spans="1:6">
      <c r="A15730" t="str">
        <f t="shared" si="245"/>
        <v/>
      </c>
      <c r="E15730" s="626"/>
      <c r="F15730" s="626"/>
    </row>
    <row r="15731" spans="1:6">
      <c r="A15731" t="str">
        <f t="shared" si="245"/>
        <v/>
      </c>
      <c r="E15731" s="626"/>
      <c r="F15731" s="626"/>
    </row>
    <row r="15732" spans="1:6">
      <c r="A15732" t="str">
        <f t="shared" si="245"/>
        <v/>
      </c>
      <c r="E15732" s="626"/>
      <c r="F15732" s="626"/>
    </row>
    <row r="15733" spans="1:6">
      <c r="A15733" t="str">
        <f t="shared" si="245"/>
        <v/>
      </c>
      <c r="E15733" s="626"/>
      <c r="F15733" s="626"/>
    </row>
    <row r="15734" spans="1:6">
      <c r="A15734" t="str">
        <f t="shared" si="245"/>
        <v/>
      </c>
      <c r="E15734" s="626"/>
      <c r="F15734" s="626"/>
    </row>
    <row r="15735" spans="1:6">
      <c r="A15735" t="str">
        <f t="shared" si="245"/>
        <v/>
      </c>
      <c r="E15735" s="626"/>
      <c r="F15735" s="626"/>
    </row>
    <row r="15736" spans="1:6">
      <c r="A15736" t="str">
        <f t="shared" si="245"/>
        <v/>
      </c>
      <c r="E15736" s="626"/>
      <c r="F15736" s="626"/>
    </row>
    <row r="15737" spans="1:6">
      <c r="A15737" t="str">
        <f t="shared" si="245"/>
        <v/>
      </c>
      <c r="E15737" s="626"/>
      <c r="F15737" s="626"/>
    </row>
    <row r="15738" spans="1:6">
      <c r="A15738" t="str">
        <f t="shared" si="245"/>
        <v/>
      </c>
      <c r="E15738" s="626"/>
      <c r="F15738" s="626"/>
    </row>
    <row r="15739" spans="1:6">
      <c r="A15739" t="str">
        <f t="shared" si="245"/>
        <v/>
      </c>
      <c r="E15739" s="626"/>
      <c r="F15739" s="626"/>
    </row>
    <row r="15740" spans="1:6">
      <c r="A15740" t="str">
        <f t="shared" si="245"/>
        <v/>
      </c>
      <c r="E15740" s="626"/>
      <c r="F15740" s="626"/>
    </row>
    <row r="15741" spans="1:6">
      <c r="A15741" t="str">
        <f t="shared" si="245"/>
        <v/>
      </c>
      <c r="E15741" s="626"/>
      <c r="F15741" s="626"/>
    </row>
    <row r="15742" spans="1:6">
      <c r="A15742" t="str">
        <f t="shared" si="245"/>
        <v/>
      </c>
      <c r="E15742" s="626"/>
      <c r="F15742" s="626"/>
    </row>
    <row r="15743" spans="1:6">
      <c r="A15743" t="str">
        <f t="shared" si="245"/>
        <v/>
      </c>
      <c r="E15743" s="626"/>
      <c r="F15743" s="626"/>
    </row>
    <row r="15744" spans="1:6">
      <c r="A15744" t="str">
        <f t="shared" si="245"/>
        <v/>
      </c>
      <c r="E15744" s="626"/>
      <c r="F15744" s="626"/>
    </row>
    <row r="15745" spans="1:6">
      <c r="A15745" t="str">
        <f t="shared" si="245"/>
        <v/>
      </c>
      <c r="E15745" s="626"/>
      <c r="F15745" s="626"/>
    </row>
    <row r="15746" spans="1:6">
      <c r="A15746" t="str">
        <f t="shared" ref="A15746:A15809" si="246">B15746&amp;E15746&amp;J15746</f>
        <v/>
      </c>
      <c r="E15746" s="626"/>
      <c r="F15746" s="626"/>
    </row>
    <row r="15747" spans="1:6">
      <c r="A15747" t="str">
        <f t="shared" si="246"/>
        <v/>
      </c>
      <c r="E15747" s="626"/>
      <c r="F15747" s="626"/>
    </row>
    <row r="15748" spans="1:6">
      <c r="A15748" t="str">
        <f t="shared" si="246"/>
        <v/>
      </c>
      <c r="E15748" s="626"/>
      <c r="F15748" s="626"/>
    </row>
    <row r="15749" spans="1:6">
      <c r="A15749" t="str">
        <f t="shared" si="246"/>
        <v/>
      </c>
      <c r="E15749" s="626"/>
      <c r="F15749" s="626"/>
    </row>
    <row r="15750" spans="1:6">
      <c r="A15750" t="str">
        <f t="shared" si="246"/>
        <v/>
      </c>
      <c r="E15750" s="626"/>
      <c r="F15750" s="626"/>
    </row>
    <row r="15751" spans="1:6">
      <c r="A15751" t="str">
        <f t="shared" si="246"/>
        <v/>
      </c>
      <c r="E15751" s="626"/>
      <c r="F15751" s="626"/>
    </row>
    <row r="15752" spans="1:6">
      <c r="A15752" t="str">
        <f t="shared" si="246"/>
        <v/>
      </c>
      <c r="E15752" s="626"/>
      <c r="F15752" s="626"/>
    </row>
    <row r="15753" spans="1:6">
      <c r="A15753" t="str">
        <f t="shared" si="246"/>
        <v/>
      </c>
      <c r="E15753" s="626"/>
      <c r="F15753" s="626"/>
    </row>
    <row r="15754" spans="1:6">
      <c r="A15754" t="str">
        <f t="shared" si="246"/>
        <v/>
      </c>
      <c r="E15754" s="626"/>
      <c r="F15754" s="626"/>
    </row>
    <row r="15755" spans="1:6">
      <c r="A15755" t="str">
        <f t="shared" si="246"/>
        <v/>
      </c>
      <c r="E15755" s="626"/>
      <c r="F15755" s="626"/>
    </row>
    <row r="15756" spans="1:6">
      <c r="A15756" t="str">
        <f t="shared" si="246"/>
        <v/>
      </c>
      <c r="E15756" s="626"/>
      <c r="F15756" s="626"/>
    </row>
    <row r="15757" spans="1:6">
      <c r="A15757" t="str">
        <f t="shared" si="246"/>
        <v/>
      </c>
      <c r="E15757" s="626"/>
      <c r="F15757" s="626"/>
    </row>
    <row r="15758" spans="1:6">
      <c r="A15758" t="str">
        <f t="shared" si="246"/>
        <v/>
      </c>
      <c r="E15758" s="626"/>
      <c r="F15758" s="626"/>
    </row>
    <row r="15759" spans="1:6">
      <c r="A15759" t="str">
        <f t="shared" si="246"/>
        <v/>
      </c>
      <c r="E15759" s="626"/>
      <c r="F15759" s="626"/>
    </row>
    <row r="15760" spans="1:6">
      <c r="A15760" t="str">
        <f t="shared" si="246"/>
        <v/>
      </c>
      <c r="E15760" s="626"/>
      <c r="F15760" s="626"/>
    </row>
    <row r="15761" spans="1:6">
      <c r="A15761" t="str">
        <f t="shared" si="246"/>
        <v/>
      </c>
      <c r="E15761" s="626"/>
      <c r="F15761" s="626"/>
    </row>
    <row r="15762" spans="1:6">
      <c r="A15762" t="str">
        <f t="shared" si="246"/>
        <v/>
      </c>
      <c r="E15762" s="626"/>
      <c r="F15762" s="626"/>
    </row>
    <row r="15763" spans="1:6">
      <c r="A15763" t="str">
        <f t="shared" si="246"/>
        <v/>
      </c>
      <c r="E15763" s="626"/>
      <c r="F15763" s="626"/>
    </row>
    <row r="15764" spans="1:6">
      <c r="A15764" t="str">
        <f t="shared" si="246"/>
        <v/>
      </c>
      <c r="E15764" s="626"/>
      <c r="F15764" s="626"/>
    </row>
    <row r="15765" spans="1:6">
      <c r="A15765" t="str">
        <f t="shared" si="246"/>
        <v/>
      </c>
      <c r="E15765" s="626"/>
      <c r="F15765" s="626"/>
    </row>
    <row r="15766" spans="1:6">
      <c r="A15766" t="str">
        <f t="shared" si="246"/>
        <v/>
      </c>
      <c r="E15766" s="626"/>
      <c r="F15766" s="626"/>
    </row>
    <row r="15767" spans="1:6">
      <c r="A15767" t="str">
        <f t="shared" si="246"/>
        <v/>
      </c>
      <c r="E15767" s="626"/>
      <c r="F15767" s="626"/>
    </row>
    <row r="15768" spans="1:6">
      <c r="A15768" t="str">
        <f t="shared" si="246"/>
        <v/>
      </c>
      <c r="E15768" s="626"/>
      <c r="F15768" s="626"/>
    </row>
    <row r="15769" spans="1:6">
      <c r="A15769" t="str">
        <f t="shared" si="246"/>
        <v/>
      </c>
      <c r="E15769" s="626"/>
      <c r="F15769" s="626"/>
    </row>
    <row r="15770" spans="1:6">
      <c r="A15770" t="str">
        <f t="shared" si="246"/>
        <v/>
      </c>
      <c r="E15770" s="626"/>
      <c r="F15770" s="626"/>
    </row>
    <row r="15771" spans="1:6">
      <c r="A15771" t="str">
        <f t="shared" si="246"/>
        <v/>
      </c>
      <c r="E15771" s="626"/>
      <c r="F15771" s="626"/>
    </row>
    <row r="15772" spans="1:6">
      <c r="A15772" t="str">
        <f t="shared" si="246"/>
        <v/>
      </c>
      <c r="E15772" s="626"/>
      <c r="F15772" s="626"/>
    </row>
    <row r="15773" spans="1:6">
      <c r="A15773" t="str">
        <f t="shared" si="246"/>
        <v/>
      </c>
      <c r="E15773" s="626"/>
      <c r="F15773" s="626"/>
    </row>
    <row r="15774" spans="1:6">
      <c r="A15774" t="str">
        <f t="shared" si="246"/>
        <v/>
      </c>
      <c r="E15774" s="626"/>
      <c r="F15774" s="626"/>
    </row>
    <row r="15775" spans="1:6">
      <c r="A15775" t="str">
        <f t="shared" si="246"/>
        <v/>
      </c>
      <c r="E15775" s="626"/>
      <c r="F15775" s="626"/>
    </row>
    <row r="15776" spans="1:6">
      <c r="A15776" t="str">
        <f t="shared" si="246"/>
        <v/>
      </c>
      <c r="E15776" s="626"/>
      <c r="F15776" s="626"/>
    </row>
    <row r="15777" spans="1:6">
      <c r="A15777" t="str">
        <f t="shared" si="246"/>
        <v/>
      </c>
      <c r="E15777" s="626"/>
      <c r="F15777" s="626"/>
    </row>
    <row r="15778" spans="1:6">
      <c r="A15778" t="str">
        <f t="shared" si="246"/>
        <v/>
      </c>
      <c r="E15778" s="626"/>
      <c r="F15778" s="626"/>
    </row>
    <row r="15779" spans="1:6">
      <c r="A15779" t="str">
        <f t="shared" si="246"/>
        <v/>
      </c>
      <c r="E15779" s="626"/>
      <c r="F15779" s="626"/>
    </row>
    <row r="15780" spans="1:6">
      <c r="A15780" t="str">
        <f t="shared" si="246"/>
        <v/>
      </c>
      <c r="E15780" s="626"/>
      <c r="F15780" s="626"/>
    </row>
    <row r="15781" spans="1:6">
      <c r="A15781" t="str">
        <f t="shared" si="246"/>
        <v/>
      </c>
      <c r="E15781" s="626"/>
      <c r="F15781" s="626"/>
    </row>
    <row r="15782" spans="1:6">
      <c r="A15782" t="str">
        <f t="shared" si="246"/>
        <v/>
      </c>
      <c r="E15782" s="626"/>
      <c r="F15782" s="626"/>
    </row>
    <row r="15783" spans="1:6">
      <c r="A15783" t="str">
        <f t="shared" si="246"/>
        <v/>
      </c>
      <c r="E15783" s="626"/>
      <c r="F15783" s="626"/>
    </row>
    <row r="15784" spans="1:6">
      <c r="A15784" t="str">
        <f t="shared" si="246"/>
        <v/>
      </c>
      <c r="E15784" s="626"/>
      <c r="F15784" s="626"/>
    </row>
    <row r="15785" spans="1:6">
      <c r="A15785" t="str">
        <f t="shared" si="246"/>
        <v/>
      </c>
      <c r="E15785" s="626"/>
      <c r="F15785" s="626"/>
    </row>
    <row r="15786" spans="1:6">
      <c r="A15786" t="str">
        <f t="shared" si="246"/>
        <v/>
      </c>
      <c r="E15786" s="626"/>
      <c r="F15786" s="626"/>
    </row>
    <row r="15787" spans="1:6">
      <c r="A15787" t="str">
        <f t="shared" si="246"/>
        <v/>
      </c>
      <c r="E15787" s="626"/>
      <c r="F15787" s="626"/>
    </row>
    <row r="15788" spans="1:6">
      <c r="A15788" t="str">
        <f t="shared" si="246"/>
        <v/>
      </c>
      <c r="E15788" s="626"/>
      <c r="F15788" s="626"/>
    </row>
    <row r="15789" spans="1:6">
      <c r="A15789" t="str">
        <f t="shared" si="246"/>
        <v/>
      </c>
      <c r="E15789" s="626"/>
      <c r="F15789" s="626"/>
    </row>
    <row r="15790" spans="1:6">
      <c r="A15790" t="str">
        <f t="shared" si="246"/>
        <v/>
      </c>
      <c r="E15790" s="626"/>
      <c r="F15790" s="626"/>
    </row>
    <row r="15791" spans="1:6">
      <c r="A15791" t="str">
        <f t="shared" si="246"/>
        <v/>
      </c>
      <c r="E15791" s="626"/>
      <c r="F15791" s="626"/>
    </row>
    <row r="15792" spans="1:6">
      <c r="A15792" t="str">
        <f t="shared" si="246"/>
        <v/>
      </c>
      <c r="E15792" s="626"/>
      <c r="F15792" s="626"/>
    </row>
    <row r="15793" spans="1:6">
      <c r="A15793" t="str">
        <f t="shared" si="246"/>
        <v/>
      </c>
      <c r="E15793" s="626"/>
      <c r="F15793" s="626"/>
    </row>
    <row r="15794" spans="1:6">
      <c r="A15794" t="str">
        <f t="shared" si="246"/>
        <v/>
      </c>
      <c r="E15794" s="626"/>
      <c r="F15794" s="626"/>
    </row>
    <row r="15795" spans="1:6">
      <c r="A15795" t="str">
        <f t="shared" si="246"/>
        <v/>
      </c>
      <c r="E15795" s="626"/>
      <c r="F15795" s="626"/>
    </row>
    <row r="15796" spans="1:6">
      <c r="A15796" t="str">
        <f t="shared" si="246"/>
        <v/>
      </c>
      <c r="E15796" s="626"/>
      <c r="F15796" s="626"/>
    </row>
    <row r="15797" spans="1:6">
      <c r="A15797" t="str">
        <f t="shared" si="246"/>
        <v/>
      </c>
      <c r="E15797" s="626"/>
      <c r="F15797" s="626"/>
    </row>
    <row r="15798" spans="1:6">
      <c r="A15798" t="str">
        <f t="shared" si="246"/>
        <v/>
      </c>
      <c r="E15798" s="626"/>
      <c r="F15798" s="626"/>
    </row>
    <row r="15799" spans="1:6">
      <c r="A15799" t="str">
        <f t="shared" si="246"/>
        <v/>
      </c>
      <c r="E15799" s="626"/>
      <c r="F15799" s="626"/>
    </row>
    <row r="15800" spans="1:6">
      <c r="A15800" t="str">
        <f t="shared" si="246"/>
        <v/>
      </c>
      <c r="E15800" s="626"/>
      <c r="F15800" s="626"/>
    </row>
    <row r="15801" spans="1:6">
      <c r="A15801" t="str">
        <f t="shared" si="246"/>
        <v/>
      </c>
      <c r="E15801" s="626"/>
      <c r="F15801" s="626"/>
    </row>
    <row r="15802" spans="1:6">
      <c r="A15802" t="str">
        <f t="shared" si="246"/>
        <v/>
      </c>
      <c r="E15802" s="626"/>
      <c r="F15802" s="626"/>
    </row>
    <row r="15803" spans="1:6">
      <c r="A15803" t="str">
        <f t="shared" si="246"/>
        <v/>
      </c>
      <c r="E15803" s="626"/>
      <c r="F15803" s="626"/>
    </row>
    <row r="15804" spans="1:6">
      <c r="A15804" t="str">
        <f t="shared" si="246"/>
        <v/>
      </c>
      <c r="E15804" s="626"/>
      <c r="F15804" s="626"/>
    </row>
    <row r="15805" spans="1:6">
      <c r="A15805" t="str">
        <f t="shared" si="246"/>
        <v/>
      </c>
      <c r="E15805" s="626"/>
      <c r="F15805" s="626"/>
    </row>
    <row r="15806" spans="1:6">
      <c r="A15806" t="str">
        <f t="shared" si="246"/>
        <v/>
      </c>
      <c r="E15806" s="626"/>
      <c r="F15806" s="626"/>
    </row>
    <row r="15807" spans="1:6">
      <c r="A15807" t="str">
        <f t="shared" si="246"/>
        <v/>
      </c>
      <c r="E15807" s="626"/>
      <c r="F15807" s="626"/>
    </row>
    <row r="15808" spans="1:6">
      <c r="A15808" t="str">
        <f t="shared" si="246"/>
        <v/>
      </c>
      <c r="E15808" s="626"/>
      <c r="F15808" s="626"/>
    </row>
    <row r="15809" spans="1:6">
      <c r="A15809" t="str">
        <f t="shared" si="246"/>
        <v/>
      </c>
      <c r="E15809" s="626"/>
      <c r="F15809" s="626"/>
    </row>
    <row r="15810" spans="1:6">
      <c r="A15810" t="str">
        <f t="shared" ref="A15810:A15873" si="247">B15810&amp;E15810&amp;J15810</f>
        <v/>
      </c>
      <c r="E15810" s="626"/>
      <c r="F15810" s="626"/>
    </row>
    <row r="15811" spans="1:6">
      <c r="A15811" t="str">
        <f t="shared" si="247"/>
        <v/>
      </c>
      <c r="E15811" s="626"/>
      <c r="F15811" s="626"/>
    </row>
    <row r="15812" spans="1:6">
      <c r="A15812" t="str">
        <f t="shared" si="247"/>
        <v/>
      </c>
      <c r="E15812" s="626"/>
      <c r="F15812" s="626"/>
    </row>
    <row r="15813" spans="1:6">
      <c r="A15813" t="str">
        <f t="shared" si="247"/>
        <v/>
      </c>
      <c r="E15813" s="626"/>
      <c r="F15813" s="626"/>
    </row>
    <row r="15814" spans="1:6">
      <c r="A15814" t="str">
        <f t="shared" si="247"/>
        <v/>
      </c>
      <c r="E15814" s="626"/>
      <c r="F15814" s="626"/>
    </row>
    <row r="15815" spans="1:6">
      <c r="A15815" t="str">
        <f t="shared" si="247"/>
        <v/>
      </c>
      <c r="E15815" s="626"/>
      <c r="F15815" s="626"/>
    </row>
    <row r="15816" spans="1:6">
      <c r="A15816" t="str">
        <f t="shared" si="247"/>
        <v/>
      </c>
      <c r="E15816" s="626"/>
      <c r="F15816" s="626"/>
    </row>
    <row r="15817" spans="1:6">
      <c r="A15817" t="str">
        <f t="shared" si="247"/>
        <v/>
      </c>
      <c r="E15817" s="626"/>
      <c r="F15817" s="626"/>
    </row>
    <row r="15818" spans="1:6">
      <c r="A15818" t="str">
        <f t="shared" si="247"/>
        <v/>
      </c>
      <c r="E15818" s="626"/>
      <c r="F15818" s="626"/>
    </row>
    <row r="15819" spans="1:6">
      <c r="A15819" t="str">
        <f t="shared" si="247"/>
        <v/>
      </c>
      <c r="E15819" s="626"/>
      <c r="F15819" s="626"/>
    </row>
    <row r="15820" spans="1:6">
      <c r="A15820" t="str">
        <f t="shared" si="247"/>
        <v/>
      </c>
      <c r="E15820" s="626"/>
      <c r="F15820" s="626"/>
    </row>
    <row r="15821" spans="1:6">
      <c r="A15821" t="str">
        <f t="shared" si="247"/>
        <v/>
      </c>
      <c r="E15821" s="626"/>
      <c r="F15821" s="626"/>
    </row>
    <row r="15822" spans="1:6">
      <c r="A15822" t="str">
        <f t="shared" si="247"/>
        <v/>
      </c>
      <c r="E15822" s="626"/>
      <c r="F15822" s="626"/>
    </row>
    <row r="15823" spans="1:6">
      <c r="A15823" t="str">
        <f t="shared" si="247"/>
        <v/>
      </c>
      <c r="E15823" s="626"/>
      <c r="F15823" s="626"/>
    </row>
    <row r="15824" spans="1:6">
      <c r="A15824" t="str">
        <f t="shared" si="247"/>
        <v/>
      </c>
      <c r="E15824" s="626"/>
      <c r="F15824" s="626"/>
    </row>
    <row r="15825" spans="1:6">
      <c r="A15825" t="str">
        <f t="shared" si="247"/>
        <v/>
      </c>
      <c r="E15825" s="626"/>
      <c r="F15825" s="626"/>
    </row>
    <row r="15826" spans="1:6">
      <c r="A15826" t="str">
        <f t="shared" si="247"/>
        <v/>
      </c>
      <c r="E15826" s="626"/>
      <c r="F15826" s="626"/>
    </row>
    <row r="15827" spans="1:6">
      <c r="A15827" t="str">
        <f t="shared" si="247"/>
        <v/>
      </c>
      <c r="E15827" s="626"/>
      <c r="F15827" s="626"/>
    </row>
    <row r="15828" spans="1:6">
      <c r="A15828" t="str">
        <f t="shared" si="247"/>
        <v/>
      </c>
      <c r="E15828" s="626"/>
      <c r="F15828" s="626"/>
    </row>
    <row r="15829" spans="1:6">
      <c r="A15829" t="str">
        <f t="shared" si="247"/>
        <v/>
      </c>
      <c r="E15829" s="626"/>
      <c r="F15829" s="626"/>
    </row>
    <row r="15830" spans="1:6">
      <c r="A15830" t="str">
        <f t="shared" si="247"/>
        <v/>
      </c>
      <c r="E15830" s="626"/>
      <c r="F15830" s="626"/>
    </row>
    <row r="15831" spans="1:6">
      <c r="A15831" t="str">
        <f t="shared" si="247"/>
        <v/>
      </c>
      <c r="E15831" s="626"/>
      <c r="F15831" s="626"/>
    </row>
    <row r="15832" spans="1:6">
      <c r="A15832" t="str">
        <f t="shared" si="247"/>
        <v/>
      </c>
      <c r="E15832" s="626"/>
      <c r="F15832" s="626"/>
    </row>
    <row r="15833" spans="1:6">
      <c r="A15833" t="str">
        <f t="shared" si="247"/>
        <v/>
      </c>
      <c r="E15833" s="626"/>
      <c r="F15833" s="626"/>
    </row>
    <row r="15834" spans="1:6">
      <c r="A15834" t="str">
        <f t="shared" si="247"/>
        <v/>
      </c>
      <c r="E15834" s="626"/>
      <c r="F15834" s="626"/>
    </row>
    <row r="15835" spans="1:6">
      <c r="A15835" t="str">
        <f t="shared" si="247"/>
        <v/>
      </c>
      <c r="E15835" s="626"/>
      <c r="F15835" s="626"/>
    </row>
    <row r="15836" spans="1:6">
      <c r="A15836" t="str">
        <f t="shared" si="247"/>
        <v/>
      </c>
      <c r="E15836" s="626"/>
      <c r="F15836" s="626"/>
    </row>
    <row r="15837" spans="1:6">
      <c r="A15837" t="str">
        <f t="shared" si="247"/>
        <v/>
      </c>
      <c r="E15837" s="626"/>
      <c r="F15837" s="626"/>
    </row>
    <row r="15838" spans="1:6">
      <c r="A15838" t="str">
        <f t="shared" si="247"/>
        <v/>
      </c>
      <c r="E15838" s="626"/>
      <c r="F15838" s="626"/>
    </row>
    <row r="15839" spans="1:6">
      <c r="A15839" t="str">
        <f t="shared" si="247"/>
        <v/>
      </c>
      <c r="E15839" s="626"/>
      <c r="F15839" s="626"/>
    </row>
    <row r="15840" spans="1:6">
      <c r="A15840" t="str">
        <f t="shared" si="247"/>
        <v/>
      </c>
      <c r="E15840" s="626"/>
      <c r="F15840" s="626"/>
    </row>
    <row r="15841" spans="1:6">
      <c r="A15841" t="str">
        <f t="shared" si="247"/>
        <v/>
      </c>
      <c r="E15841" s="626"/>
      <c r="F15841" s="626"/>
    </row>
    <row r="15842" spans="1:6">
      <c r="A15842" t="str">
        <f t="shared" si="247"/>
        <v/>
      </c>
      <c r="E15842" s="626"/>
      <c r="F15842" s="626"/>
    </row>
    <row r="15843" spans="1:6">
      <c r="A15843" t="str">
        <f t="shared" si="247"/>
        <v/>
      </c>
      <c r="E15843" s="626"/>
      <c r="F15843" s="626"/>
    </row>
    <row r="15844" spans="1:6">
      <c r="A15844" t="str">
        <f t="shared" si="247"/>
        <v/>
      </c>
      <c r="E15844" s="626"/>
      <c r="F15844" s="626"/>
    </row>
    <row r="15845" spans="1:6">
      <c r="A15845" t="str">
        <f t="shared" si="247"/>
        <v/>
      </c>
      <c r="E15845" s="626"/>
      <c r="F15845" s="626"/>
    </row>
    <row r="15846" spans="1:6">
      <c r="A15846" t="str">
        <f t="shared" si="247"/>
        <v/>
      </c>
      <c r="E15846" s="626"/>
      <c r="F15846" s="626"/>
    </row>
    <row r="15847" spans="1:6">
      <c r="A15847" t="str">
        <f t="shared" si="247"/>
        <v/>
      </c>
      <c r="E15847" s="626"/>
      <c r="F15847" s="626"/>
    </row>
    <row r="15848" spans="1:6">
      <c r="A15848" t="str">
        <f t="shared" si="247"/>
        <v/>
      </c>
      <c r="E15848" s="626"/>
      <c r="F15848" s="626"/>
    </row>
    <row r="15849" spans="1:6">
      <c r="A15849" t="str">
        <f t="shared" si="247"/>
        <v/>
      </c>
      <c r="E15849" s="626"/>
      <c r="F15849" s="626"/>
    </row>
    <row r="15850" spans="1:6">
      <c r="A15850" t="str">
        <f t="shared" si="247"/>
        <v/>
      </c>
      <c r="E15850" s="626"/>
      <c r="F15850" s="626"/>
    </row>
    <row r="15851" spans="1:6">
      <c r="A15851" t="str">
        <f t="shared" si="247"/>
        <v/>
      </c>
      <c r="E15851" s="626"/>
      <c r="F15851" s="626"/>
    </row>
    <row r="15852" spans="1:6">
      <c r="A15852" t="str">
        <f t="shared" si="247"/>
        <v/>
      </c>
      <c r="E15852" s="626"/>
      <c r="F15852" s="626"/>
    </row>
    <row r="15853" spans="1:6">
      <c r="A15853" t="str">
        <f t="shared" si="247"/>
        <v/>
      </c>
      <c r="E15853" s="626"/>
      <c r="F15853" s="626"/>
    </row>
    <row r="15854" spans="1:6">
      <c r="A15854" t="str">
        <f t="shared" si="247"/>
        <v/>
      </c>
      <c r="E15854" s="626"/>
      <c r="F15854" s="626"/>
    </row>
    <row r="15855" spans="1:6">
      <c r="A15855" t="str">
        <f t="shared" si="247"/>
        <v/>
      </c>
      <c r="E15855" s="626"/>
      <c r="F15855" s="626"/>
    </row>
    <row r="15856" spans="1:6">
      <c r="A15856" t="str">
        <f t="shared" si="247"/>
        <v/>
      </c>
      <c r="E15856" s="626"/>
      <c r="F15856" s="626"/>
    </row>
    <row r="15857" spans="1:6">
      <c r="A15857" t="str">
        <f t="shared" si="247"/>
        <v/>
      </c>
      <c r="E15857" s="626"/>
      <c r="F15857" s="626"/>
    </row>
    <row r="15858" spans="1:6">
      <c r="A15858" t="str">
        <f t="shared" si="247"/>
        <v/>
      </c>
      <c r="E15858" s="626"/>
      <c r="F15858" s="626"/>
    </row>
    <row r="15859" spans="1:6">
      <c r="A15859" t="str">
        <f t="shared" si="247"/>
        <v/>
      </c>
      <c r="E15859" s="626"/>
      <c r="F15859" s="626"/>
    </row>
    <row r="15860" spans="1:6">
      <c r="A15860" t="str">
        <f t="shared" si="247"/>
        <v/>
      </c>
      <c r="E15860" s="626"/>
      <c r="F15860" s="626"/>
    </row>
    <row r="15861" spans="1:6">
      <c r="A15861" t="str">
        <f t="shared" si="247"/>
        <v/>
      </c>
      <c r="E15861" s="626"/>
      <c r="F15861" s="626"/>
    </row>
    <row r="15862" spans="1:6">
      <c r="A15862" t="str">
        <f t="shared" si="247"/>
        <v/>
      </c>
      <c r="E15862" s="626"/>
      <c r="F15862" s="626"/>
    </row>
    <row r="15863" spans="1:6">
      <c r="A15863" t="str">
        <f t="shared" si="247"/>
        <v/>
      </c>
      <c r="E15863" s="626"/>
      <c r="F15863" s="626"/>
    </row>
    <row r="15864" spans="1:6">
      <c r="A15864" t="str">
        <f t="shared" si="247"/>
        <v/>
      </c>
      <c r="E15864" s="626"/>
      <c r="F15864" s="626"/>
    </row>
    <row r="15865" spans="1:6">
      <c r="A15865" t="str">
        <f t="shared" si="247"/>
        <v/>
      </c>
      <c r="E15865" s="626"/>
      <c r="F15865" s="626"/>
    </row>
    <row r="15866" spans="1:6">
      <c r="A15866" t="str">
        <f t="shared" si="247"/>
        <v/>
      </c>
      <c r="E15866" s="626"/>
      <c r="F15866" s="626"/>
    </row>
    <row r="15867" spans="1:6">
      <c r="A15867" t="str">
        <f t="shared" si="247"/>
        <v/>
      </c>
      <c r="E15867" s="626"/>
      <c r="F15867" s="626"/>
    </row>
    <row r="15868" spans="1:6">
      <c r="A15868" t="str">
        <f t="shared" si="247"/>
        <v/>
      </c>
      <c r="E15868" s="626"/>
      <c r="F15868" s="626"/>
    </row>
    <row r="15869" spans="1:6">
      <c r="A15869" t="str">
        <f t="shared" si="247"/>
        <v/>
      </c>
      <c r="E15869" s="626"/>
      <c r="F15869" s="626"/>
    </row>
    <row r="15870" spans="1:6">
      <c r="A15870" t="str">
        <f t="shared" si="247"/>
        <v/>
      </c>
      <c r="E15870" s="626"/>
      <c r="F15870" s="626"/>
    </row>
    <row r="15871" spans="1:6">
      <c r="A15871" t="str">
        <f t="shared" si="247"/>
        <v/>
      </c>
      <c r="E15871" s="626"/>
      <c r="F15871" s="626"/>
    </row>
    <row r="15872" spans="1:6">
      <c r="A15872" t="str">
        <f t="shared" si="247"/>
        <v/>
      </c>
      <c r="E15872" s="626"/>
      <c r="F15872" s="626"/>
    </row>
    <row r="15873" spans="1:6">
      <c r="A15873" t="str">
        <f t="shared" si="247"/>
        <v/>
      </c>
      <c r="E15873" s="626"/>
      <c r="F15873" s="626"/>
    </row>
    <row r="15874" spans="1:6">
      <c r="A15874" t="str">
        <f t="shared" ref="A15874:A15937" si="248">B15874&amp;E15874&amp;J15874</f>
        <v/>
      </c>
      <c r="E15874" s="626"/>
      <c r="F15874" s="626"/>
    </row>
    <row r="15875" spans="1:6">
      <c r="A15875" t="str">
        <f t="shared" si="248"/>
        <v/>
      </c>
      <c r="E15875" s="626"/>
      <c r="F15875" s="626"/>
    </row>
    <row r="15876" spans="1:6">
      <c r="A15876" t="str">
        <f t="shared" si="248"/>
        <v/>
      </c>
      <c r="E15876" s="626"/>
      <c r="F15876" s="626"/>
    </row>
    <row r="15877" spans="1:6">
      <c r="A15877" t="str">
        <f t="shared" si="248"/>
        <v/>
      </c>
      <c r="E15877" s="626"/>
      <c r="F15877" s="626"/>
    </row>
    <row r="15878" spans="1:6">
      <c r="A15878" t="str">
        <f t="shared" si="248"/>
        <v/>
      </c>
      <c r="E15878" s="626"/>
      <c r="F15878" s="626"/>
    </row>
    <row r="15879" spans="1:6">
      <c r="A15879" t="str">
        <f t="shared" si="248"/>
        <v/>
      </c>
      <c r="E15879" s="626"/>
      <c r="F15879" s="626"/>
    </row>
    <row r="15880" spans="1:6">
      <c r="A15880" t="str">
        <f t="shared" si="248"/>
        <v/>
      </c>
      <c r="E15880" s="626"/>
      <c r="F15880" s="626"/>
    </row>
    <row r="15881" spans="1:6">
      <c r="A15881" t="str">
        <f t="shared" si="248"/>
        <v/>
      </c>
      <c r="E15881" s="626"/>
      <c r="F15881" s="626"/>
    </row>
    <row r="15882" spans="1:6">
      <c r="A15882" t="str">
        <f t="shared" si="248"/>
        <v/>
      </c>
      <c r="E15882" s="626"/>
      <c r="F15882" s="626"/>
    </row>
    <row r="15883" spans="1:6">
      <c r="A15883" t="str">
        <f t="shared" si="248"/>
        <v/>
      </c>
      <c r="E15883" s="626"/>
      <c r="F15883" s="626"/>
    </row>
    <row r="15884" spans="1:6">
      <c r="A15884" t="str">
        <f t="shared" si="248"/>
        <v/>
      </c>
      <c r="E15884" s="626"/>
      <c r="F15884" s="626"/>
    </row>
    <row r="15885" spans="1:6">
      <c r="A15885" t="str">
        <f t="shared" si="248"/>
        <v/>
      </c>
      <c r="E15885" s="626"/>
      <c r="F15885" s="626"/>
    </row>
    <row r="15886" spans="1:6">
      <c r="A15886" t="str">
        <f t="shared" si="248"/>
        <v/>
      </c>
      <c r="E15886" s="626"/>
      <c r="F15886" s="626"/>
    </row>
    <row r="15887" spans="1:6">
      <c r="A15887" t="str">
        <f t="shared" si="248"/>
        <v/>
      </c>
      <c r="E15887" s="626"/>
      <c r="F15887" s="626"/>
    </row>
    <row r="15888" spans="1:6">
      <c r="A15888" t="str">
        <f t="shared" si="248"/>
        <v/>
      </c>
      <c r="E15888" s="626"/>
      <c r="F15888" s="626"/>
    </row>
    <row r="15889" spans="1:6">
      <c r="A15889" t="str">
        <f t="shared" si="248"/>
        <v/>
      </c>
      <c r="E15889" s="626"/>
      <c r="F15889" s="626"/>
    </row>
    <row r="15890" spans="1:6">
      <c r="A15890" t="str">
        <f t="shared" si="248"/>
        <v/>
      </c>
      <c r="E15890" s="626"/>
      <c r="F15890" s="626"/>
    </row>
    <row r="15891" spans="1:6">
      <c r="A15891" t="str">
        <f t="shared" si="248"/>
        <v/>
      </c>
      <c r="E15891" s="626"/>
      <c r="F15891" s="626"/>
    </row>
    <row r="15892" spans="1:6">
      <c r="A15892" t="str">
        <f t="shared" si="248"/>
        <v/>
      </c>
      <c r="E15892" s="626"/>
      <c r="F15892" s="626"/>
    </row>
    <row r="15893" spans="1:6">
      <c r="A15893" t="str">
        <f t="shared" si="248"/>
        <v/>
      </c>
      <c r="E15893" s="626"/>
      <c r="F15893" s="626"/>
    </row>
    <row r="15894" spans="1:6">
      <c r="A15894" t="str">
        <f t="shared" si="248"/>
        <v/>
      </c>
      <c r="E15894" s="626"/>
      <c r="F15894" s="626"/>
    </row>
    <row r="15895" spans="1:6">
      <c r="A15895" t="str">
        <f t="shared" si="248"/>
        <v/>
      </c>
      <c r="E15895" s="626"/>
      <c r="F15895" s="626"/>
    </row>
    <row r="15896" spans="1:6">
      <c r="A15896" t="str">
        <f t="shared" si="248"/>
        <v/>
      </c>
      <c r="E15896" s="626"/>
      <c r="F15896" s="626"/>
    </row>
    <row r="15897" spans="1:6">
      <c r="A15897" t="str">
        <f t="shared" si="248"/>
        <v/>
      </c>
      <c r="E15897" s="626"/>
      <c r="F15897" s="626"/>
    </row>
    <row r="15898" spans="1:6">
      <c r="A15898" t="str">
        <f t="shared" si="248"/>
        <v/>
      </c>
      <c r="E15898" s="626"/>
      <c r="F15898" s="626"/>
    </row>
    <row r="15899" spans="1:6">
      <c r="A15899" t="str">
        <f t="shared" si="248"/>
        <v/>
      </c>
      <c r="E15899" s="626"/>
      <c r="F15899" s="626"/>
    </row>
    <row r="15900" spans="1:6">
      <c r="A15900" t="str">
        <f t="shared" si="248"/>
        <v/>
      </c>
      <c r="E15900" s="626"/>
      <c r="F15900" s="626"/>
    </row>
    <row r="15901" spans="1:6">
      <c r="A15901" t="str">
        <f t="shared" si="248"/>
        <v/>
      </c>
      <c r="E15901" s="626"/>
      <c r="F15901" s="626"/>
    </row>
    <row r="15902" spans="1:6">
      <c r="A15902" t="str">
        <f t="shared" si="248"/>
        <v/>
      </c>
      <c r="E15902" s="626"/>
      <c r="F15902" s="626"/>
    </row>
    <row r="15903" spans="1:6">
      <c r="A15903" t="str">
        <f t="shared" si="248"/>
        <v/>
      </c>
      <c r="E15903" s="626"/>
      <c r="F15903" s="626"/>
    </row>
    <row r="15904" spans="1:6">
      <c r="A15904" t="str">
        <f t="shared" si="248"/>
        <v/>
      </c>
      <c r="E15904" s="626"/>
      <c r="F15904" s="626"/>
    </row>
    <row r="15905" spans="1:6">
      <c r="A15905" t="str">
        <f t="shared" si="248"/>
        <v/>
      </c>
      <c r="E15905" s="626"/>
      <c r="F15905" s="626"/>
    </row>
    <row r="15906" spans="1:6">
      <c r="A15906" t="str">
        <f t="shared" si="248"/>
        <v/>
      </c>
      <c r="E15906" s="626"/>
      <c r="F15906" s="626"/>
    </row>
    <row r="15907" spans="1:6">
      <c r="A15907" t="str">
        <f t="shared" si="248"/>
        <v/>
      </c>
      <c r="E15907" s="626"/>
      <c r="F15907" s="626"/>
    </row>
    <row r="15908" spans="1:6">
      <c r="A15908" t="str">
        <f t="shared" si="248"/>
        <v/>
      </c>
      <c r="E15908" s="626"/>
      <c r="F15908" s="626"/>
    </row>
    <row r="15909" spans="1:6">
      <c r="A15909" t="str">
        <f t="shared" si="248"/>
        <v/>
      </c>
      <c r="E15909" s="626"/>
      <c r="F15909" s="626"/>
    </row>
    <row r="15910" spans="1:6">
      <c r="A15910" t="str">
        <f t="shared" si="248"/>
        <v/>
      </c>
      <c r="E15910" s="626"/>
      <c r="F15910" s="626"/>
    </row>
    <row r="15911" spans="1:6">
      <c r="A15911" t="str">
        <f t="shared" si="248"/>
        <v/>
      </c>
      <c r="E15911" s="626"/>
      <c r="F15911" s="626"/>
    </row>
    <row r="15912" spans="1:6">
      <c r="A15912" t="str">
        <f t="shared" si="248"/>
        <v/>
      </c>
      <c r="E15912" s="626"/>
      <c r="F15912" s="626"/>
    </row>
    <row r="15913" spans="1:6">
      <c r="A15913" t="str">
        <f t="shared" si="248"/>
        <v/>
      </c>
      <c r="E15913" s="626"/>
      <c r="F15913" s="626"/>
    </row>
    <row r="15914" spans="1:6">
      <c r="A15914" t="str">
        <f t="shared" si="248"/>
        <v/>
      </c>
      <c r="E15914" s="626"/>
      <c r="F15914" s="626"/>
    </row>
    <row r="15915" spans="1:6">
      <c r="A15915" t="str">
        <f t="shared" si="248"/>
        <v/>
      </c>
      <c r="E15915" s="626"/>
      <c r="F15915" s="626"/>
    </row>
    <row r="15916" spans="1:6">
      <c r="A15916" t="str">
        <f t="shared" si="248"/>
        <v/>
      </c>
      <c r="E15916" s="626"/>
      <c r="F15916" s="626"/>
    </row>
    <row r="15917" spans="1:6">
      <c r="A15917" t="str">
        <f t="shared" si="248"/>
        <v/>
      </c>
      <c r="E15917" s="626"/>
      <c r="F15917" s="626"/>
    </row>
    <row r="15918" spans="1:6">
      <c r="A15918" t="str">
        <f t="shared" si="248"/>
        <v/>
      </c>
      <c r="E15918" s="626"/>
      <c r="F15918" s="626"/>
    </row>
    <row r="15919" spans="1:6">
      <c r="A15919" t="str">
        <f t="shared" si="248"/>
        <v/>
      </c>
      <c r="E15919" s="626"/>
      <c r="F15919" s="626"/>
    </row>
    <row r="15920" spans="1:6">
      <c r="A15920" t="str">
        <f t="shared" si="248"/>
        <v/>
      </c>
      <c r="E15920" s="626"/>
      <c r="F15920" s="626"/>
    </row>
    <row r="15921" spans="1:6">
      <c r="A15921" t="str">
        <f t="shared" si="248"/>
        <v/>
      </c>
      <c r="E15921" s="626"/>
      <c r="F15921" s="626"/>
    </row>
    <row r="15922" spans="1:6">
      <c r="A15922" t="str">
        <f t="shared" si="248"/>
        <v/>
      </c>
      <c r="E15922" s="626"/>
      <c r="F15922" s="626"/>
    </row>
    <row r="15923" spans="1:6">
      <c r="A15923" t="str">
        <f t="shared" si="248"/>
        <v/>
      </c>
      <c r="E15923" s="626"/>
      <c r="F15923" s="626"/>
    </row>
    <row r="15924" spans="1:6">
      <c r="A15924" t="str">
        <f t="shared" si="248"/>
        <v/>
      </c>
      <c r="E15924" s="626"/>
      <c r="F15924" s="626"/>
    </row>
    <row r="15925" spans="1:6">
      <c r="A15925" t="str">
        <f t="shared" si="248"/>
        <v/>
      </c>
      <c r="E15925" s="626"/>
      <c r="F15925" s="626"/>
    </row>
    <row r="15926" spans="1:6">
      <c r="A15926" t="str">
        <f t="shared" si="248"/>
        <v/>
      </c>
      <c r="E15926" s="626"/>
      <c r="F15926" s="626"/>
    </row>
    <row r="15927" spans="1:6">
      <c r="A15927" t="str">
        <f t="shared" si="248"/>
        <v/>
      </c>
      <c r="E15927" s="626"/>
      <c r="F15927" s="626"/>
    </row>
    <row r="15928" spans="1:6">
      <c r="A15928" t="str">
        <f t="shared" si="248"/>
        <v/>
      </c>
      <c r="E15928" s="626"/>
      <c r="F15928" s="626"/>
    </row>
    <row r="15929" spans="1:6">
      <c r="A15929" t="str">
        <f t="shared" si="248"/>
        <v/>
      </c>
      <c r="E15929" s="626"/>
      <c r="F15929" s="626"/>
    </row>
    <row r="15930" spans="1:6">
      <c r="A15930" t="str">
        <f t="shared" si="248"/>
        <v/>
      </c>
      <c r="E15930" s="626"/>
      <c r="F15930" s="626"/>
    </row>
    <row r="15931" spans="1:6">
      <c r="A15931" t="str">
        <f t="shared" si="248"/>
        <v/>
      </c>
      <c r="E15931" s="626"/>
      <c r="F15931" s="626"/>
    </row>
    <row r="15932" spans="1:6">
      <c r="A15932" t="str">
        <f t="shared" si="248"/>
        <v/>
      </c>
      <c r="E15932" s="626"/>
      <c r="F15932" s="626"/>
    </row>
    <row r="15933" spans="1:6">
      <c r="A15933" t="str">
        <f t="shared" si="248"/>
        <v/>
      </c>
      <c r="E15933" s="626"/>
      <c r="F15933" s="626"/>
    </row>
    <row r="15934" spans="1:6">
      <c r="A15934" t="str">
        <f t="shared" si="248"/>
        <v/>
      </c>
      <c r="E15934" s="626"/>
      <c r="F15934" s="626"/>
    </row>
    <row r="15935" spans="1:6">
      <c r="A15935" t="str">
        <f t="shared" si="248"/>
        <v/>
      </c>
      <c r="E15935" s="626"/>
      <c r="F15935" s="626"/>
    </row>
    <row r="15936" spans="1:6">
      <c r="A15936" t="str">
        <f t="shared" si="248"/>
        <v/>
      </c>
      <c r="E15936" s="626"/>
      <c r="F15936" s="626"/>
    </row>
    <row r="15937" spans="1:6">
      <c r="A15937" t="str">
        <f t="shared" si="248"/>
        <v/>
      </c>
      <c r="E15937" s="626"/>
      <c r="F15937" s="626"/>
    </row>
    <row r="15938" spans="1:6">
      <c r="A15938" t="str">
        <f t="shared" ref="A15938:A16001" si="249">B15938&amp;E15938&amp;J15938</f>
        <v/>
      </c>
      <c r="E15938" s="626"/>
      <c r="F15938" s="626"/>
    </row>
    <row r="15939" spans="1:6">
      <c r="A15939" t="str">
        <f t="shared" si="249"/>
        <v/>
      </c>
      <c r="E15939" s="626"/>
      <c r="F15939" s="626"/>
    </row>
    <row r="15940" spans="1:6">
      <c r="A15940" t="str">
        <f t="shared" si="249"/>
        <v/>
      </c>
      <c r="E15940" s="626"/>
      <c r="F15940" s="626"/>
    </row>
    <row r="15941" spans="1:6">
      <c r="A15941" t="str">
        <f t="shared" si="249"/>
        <v/>
      </c>
      <c r="E15941" s="626"/>
      <c r="F15941" s="626"/>
    </row>
    <row r="15942" spans="1:6">
      <c r="A15942" t="str">
        <f t="shared" si="249"/>
        <v/>
      </c>
      <c r="E15942" s="626"/>
      <c r="F15942" s="626"/>
    </row>
    <row r="15943" spans="1:6">
      <c r="A15943" t="str">
        <f t="shared" si="249"/>
        <v/>
      </c>
      <c r="E15943" s="626"/>
      <c r="F15943" s="626"/>
    </row>
    <row r="15944" spans="1:6">
      <c r="A15944" t="str">
        <f t="shared" si="249"/>
        <v/>
      </c>
      <c r="E15944" s="626"/>
      <c r="F15944" s="626"/>
    </row>
    <row r="15945" spans="1:6">
      <c r="A15945" t="str">
        <f t="shared" si="249"/>
        <v/>
      </c>
      <c r="E15945" s="626"/>
      <c r="F15945" s="626"/>
    </row>
    <row r="15946" spans="1:6">
      <c r="A15946" t="str">
        <f t="shared" si="249"/>
        <v/>
      </c>
      <c r="E15946" s="626"/>
      <c r="F15946" s="626"/>
    </row>
    <row r="15947" spans="1:6">
      <c r="A15947" t="str">
        <f t="shared" si="249"/>
        <v/>
      </c>
      <c r="E15947" s="626"/>
      <c r="F15947" s="626"/>
    </row>
    <row r="15948" spans="1:6">
      <c r="A15948" t="str">
        <f t="shared" si="249"/>
        <v/>
      </c>
      <c r="E15948" s="626"/>
      <c r="F15948" s="626"/>
    </row>
    <row r="15949" spans="1:6">
      <c r="A15949" t="str">
        <f t="shared" si="249"/>
        <v/>
      </c>
      <c r="E15949" s="626"/>
      <c r="F15949" s="626"/>
    </row>
    <row r="15950" spans="1:6">
      <c r="A15950" t="str">
        <f t="shared" si="249"/>
        <v/>
      </c>
      <c r="E15950" s="626"/>
      <c r="F15950" s="626"/>
    </row>
    <row r="15951" spans="1:6">
      <c r="A15951" t="str">
        <f t="shared" si="249"/>
        <v/>
      </c>
      <c r="E15951" s="626"/>
      <c r="F15951" s="626"/>
    </row>
    <row r="15952" spans="1:6">
      <c r="A15952" t="str">
        <f t="shared" si="249"/>
        <v/>
      </c>
      <c r="E15952" s="626"/>
      <c r="F15952" s="626"/>
    </row>
    <row r="15953" spans="1:6">
      <c r="A15953" t="str">
        <f t="shared" si="249"/>
        <v/>
      </c>
      <c r="E15953" s="626"/>
      <c r="F15953" s="626"/>
    </row>
    <row r="15954" spans="1:6">
      <c r="A15954" t="str">
        <f t="shared" si="249"/>
        <v/>
      </c>
      <c r="E15954" s="626"/>
      <c r="F15954" s="626"/>
    </row>
    <row r="15955" spans="1:6">
      <c r="A15955" t="str">
        <f t="shared" si="249"/>
        <v/>
      </c>
      <c r="E15955" s="626"/>
      <c r="F15955" s="626"/>
    </row>
    <row r="15956" spans="1:6">
      <c r="A15956" t="str">
        <f t="shared" si="249"/>
        <v/>
      </c>
      <c r="E15956" s="626"/>
      <c r="F15956" s="626"/>
    </row>
    <row r="15957" spans="1:6">
      <c r="A15957" t="str">
        <f t="shared" si="249"/>
        <v/>
      </c>
      <c r="E15957" s="626"/>
      <c r="F15957" s="626"/>
    </row>
    <row r="15958" spans="1:6">
      <c r="A15958" t="str">
        <f t="shared" si="249"/>
        <v/>
      </c>
      <c r="E15958" s="626"/>
      <c r="F15958" s="626"/>
    </row>
    <row r="15959" spans="1:6">
      <c r="A15959" t="str">
        <f t="shared" si="249"/>
        <v/>
      </c>
      <c r="E15959" s="626"/>
      <c r="F15959" s="626"/>
    </row>
    <row r="15960" spans="1:6">
      <c r="A15960" t="str">
        <f t="shared" si="249"/>
        <v/>
      </c>
      <c r="E15960" s="626"/>
      <c r="F15960" s="626"/>
    </row>
    <row r="15961" spans="1:6">
      <c r="A15961" t="str">
        <f t="shared" si="249"/>
        <v/>
      </c>
      <c r="E15961" s="626"/>
      <c r="F15961" s="626"/>
    </row>
    <row r="15962" spans="1:6">
      <c r="A15962" t="str">
        <f t="shared" si="249"/>
        <v/>
      </c>
      <c r="E15962" s="626"/>
      <c r="F15962" s="626"/>
    </row>
    <row r="15963" spans="1:6">
      <c r="A15963" t="str">
        <f t="shared" si="249"/>
        <v/>
      </c>
      <c r="E15963" s="626"/>
      <c r="F15963" s="626"/>
    </row>
    <row r="15964" spans="1:6">
      <c r="A15964" t="str">
        <f t="shared" si="249"/>
        <v/>
      </c>
      <c r="E15964" s="626"/>
      <c r="F15964" s="626"/>
    </row>
    <row r="15965" spans="1:6">
      <c r="A15965" t="str">
        <f t="shared" si="249"/>
        <v/>
      </c>
      <c r="E15965" s="626"/>
      <c r="F15965" s="626"/>
    </row>
    <row r="15966" spans="1:6">
      <c r="A15966" t="str">
        <f t="shared" si="249"/>
        <v/>
      </c>
      <c r="E15966" s="626"/>
      <c r="F15966" s="626"/>
    </row>
    <row r="15967" spans="1:6">
      <c r="A15967" t="str">
        <f t="shared" si="249"/>
        <v/>
      </c>
      <c r="E15967" s="626"/>
      <c r="F15967" s="626"/>
    </row>
    <row r="15968" spans="1:6">
      <c r="A15968" t="str">
        <f t="shared" si="249"/>
        <v/>
      </c>
      <c r="E15968" s="626"/>
      <c r="F15968" s="626"/>
    </row>
    <row r="15969" spans="1:6">
      <c r="A15969" t="str">
        <f t="shared" si="249"/>
        <v/>
      </c>
      <c r="E15969" s="626"/>
      <c r="F15969" s="626"/>
    </row>
    <row r="15970" spans="1:6">
      <c r="A15970" t="str">
        <f t="shared" si="249"/>
        <v/>
      </c>
      <c r="E15970" s="626"/>
      <c r="F15970" s="626"/>
    </row>
    <row r="15971" spans="1:6">
      <c r="A15971" t="str">
        <f t="shared" si="249"/>
        <v/>
      </c>
      <c r="E15971" s="626"/>
      <c r="F15971" s="626"/>
    </row>
    <row r="15972" spans="1:6">
      <c r="A15972" t="str">
        <f t="shared" si="249"/>
        <v/>
      </c>
      <c r="E15972" s="626"/>
      <c r="F15972" s="626"/>
    </row>
    <row r="15973" spans="1:6">
      <c r="A15973" t="str">
        <f t="shared" si="249"/>
        <v/>
      </c>
      <c r="E15973" s="626"/>
      <c r="F15973" s="626"/>
    </row>
    <row r="15974" spans="1:6">
      <c r="A15974" t="str">
        <f t="shared" si="249"/>
        <v/>
      </c>
      <c r="E15974" s="626"/>
      <c r="F15974" s="626"/>
    </row>
    <row r="15975" spans="1:6">
      <c r="A15975" t="str">
        <f t="shared" si="249"/>
        <v/>
      </c>
      <c r="E15975" s="626"/>
      <c r="F15975" s="626"/>
    </row>
    <row r="15976" spans="1:6">
      <c r="A15976" t="str">
        <f t="shared" si="249"/>
        <v/>
      </c>
      <c r="E15976" s="626"/>
      <c r="F15976" s="626"/>
    </row>
    <row r="15977" spans="1:6">
      <c r="A15977" t="str">
        <f t="shared" si="249"/>
        <v/>
      </c>
      <c r="E15977" s="626"/>
      <c r="F15977" s="626"/>
    </row>
    <row r="15978" spans="1:6">
      <c r="A15978" t="str">
        <f t="shared" si="249"/>
        <v/>
      </c>
      <c r="E15978" s="626"/>
      <c r="F15978" s="626"/>
    </row>
    <row r="15979" spans="1:6">
      <c r="A15979" t="str">
        <f t="shared" si="249"/>
        <v/>
      </c>
      <c r="E15979" s="626"/>
      <c r="F15979" s="626"/>
    </row>
    <row r="15980" spans="1:6">
      <c r="A15980" t="str">
        <f t="shared" si="249"/>
        <v/>
      </c>
      <c r="E15980" s="626"/>
      <c r="F15980" s="626"/>
    </row>
    <row r="15981" spans="1:6">
      <c r="A15981" t="str">
        <f t="shared" si="249"/>
        <v/>
      </c>
      <c r="E15981" s="626"/>
      <c r="F15981" s="626"/>
    </row>
    <row r="15982" spans="1:6">
      <c r="A15982" t="str">
        <f t="shared" si="249"/>
        <v/>
      </c>
      <c r="E15982" s="626"/>
      <c r="F15982" s="626"/>
    </row>
    <row r="15983" spans="1:6">
      <c r="A15983" t="str">
        <f t="shared" si="249"/>
        <v/>
      </c>
      <c r="E15983" s="626"/>
      <c r="F15983" s="626"/>
    </row>
    <row r="15984" spans="1:6">
      <c r="A15984" t="str">
        <f t="shared" si="249"/>
        <v/>
      </c>
      <c r="E15984" s="626"/>
      <c r="F15984" s="626"/>
    </row>
    <row r="15985" spans="1:6">
      <c r="A15985" t="str">
        <f t="shared" si="249"/>
        <v/>
      </c>
      <c r="E15985" s="626"/>
      <c r="F15985" s="626"/>
    </row>
    <row r="15986" spans="1:6">
      <c r="A15986" t="str">
        <f t="shared" si="249"/>
        <v/>
      </c>
      <c r="E15986" s="626"/>
      <c r="F15986" s="626"/>
    </row>
    <row r="15987" spans="1:6">
      <c r="A15987" t="str">
        <f t="shared" si="249"/>
        <v/>
      </c>
      <c r="E15987" s="626"/>
      <c r="F15987" s="626"/>
    </row>
    <row r="15988" spans="1:6">
      <c r="A15988" t="str">
        <f t="shared" si="249"/>
        <v/>
      </c>
      <c r="E15988" s="626"/>
      <c r="F15988" s="626"/>
    </row>
    <row r="15989" spans="1:6">
      <c r="A15989" t="str">
        <f t="shared" si="249"/>
        <v/>
      </c>
      <c r="E15989" s="626"/>
      <c r="F15989" s="626"/>
    </row>
    <row r="15990" spans="1:6">
      <c r="A15990" t="str">
        <f t="shared" si="249"/>
        <v/>
      </c>
      <c r="E15990" s="626"/>
      <c r="F15990" s="626"/>
    </row>
    <row r="15991" spans="1:6">
      <c r="A15991" t="str">
        <f t="shared" si="249"/>
        <v/>
      </c>
      <c r="E15991" s="626"/>
      <c r="F15991" s="626"/>
    </row>
    <row r="15992" spans="1:6">
      <c r="A15992" t="str">
        <f t="shared" si="249"/>
        <v/>
      </c>
      <c r="E15992" s="626"/>
      <c r="F15992" s="626"/>
    </row>
    <row r="15993" spans="1:6">
      <c r="A15993" t="str">
        <f t="shared" si="249"/>
        <v/>
      </c>
      <c r="E15993" s="626"/>
      <c r="F15993" s="626"/>
    </row>
    <row r="15994" spans="1:6">
      <c r="A15994" t="str">
        <f t="shared" si="249"/>
        <v/>
      </c>
      <c r="E15994" s="626"/>
      <c r="F15994" s="626"/>
    </row>
    <row r="15995" spans="1:6">
      <c r="A15995" t="str">
        <f t="shared" si="249"/>
        <v/>
      </c>
      <c r="E15995" s="626"/>
      <c r="F15995" s="626"/>
    </row>
    <row r="15996" spans="1:6">
      <c r="A15996" t="str">
        <f t="shared" si="249"/>
        <v/>
      </c>
      <c r="E15996" s="626"/>
      <c r="F15996" s="626"/>
    </row>
    <row r="15997" spans="1:6">
      <c r="A15997" t="str">
        <f t="shared" si="249"/>
        <v/>
      </c>
      <c r="E15997" s="626"/>
      <c r="F15997" s="626"/>
    </row>
    <row r="15998" spans="1:6">
      <c r="A15998" t="str">
        <f t="shared" si="249"/>
        <v/>
      </c>
      <c r="E15998" s="626"/>
      <c r="F15998" s="626"/>
    </row>
    <row r="15999" spans="1:6">
      <c r="A15999" t="str">
        <f t="shared" si="249"/>
        <v/>
      </c>
      <c r="E15999" s="626"/>
      <c r="F15999" s="626"/>
    </row>
    <row r="16000" spans="1:6">
      <c r="A16000" t="str">
        <f t="shared" si="249"/>
        <v/>
      </c>
      <c r="E16000" s="626"/>
      <c r="F16000" s="626"/>
    </row>
    <row r="16001" spans="1:6">
      <c r="A16001" t="str">
        <f t="shared" si="249"/>
        <v/>
      </c>
      <c r="E16001" s="626"/>
      <c r="F16001" s="626"/>
    </row>
    <row r="16002" spans="1:6">
      <c r="A16002" t="str">
        <f t="shared" ref="A16002:A16065" si="250">B16002&amp;E16002&amp;J16002</f>
        <v/>
      </c>
      <c r="E16002" s="626"/>
      <c r="F16002" s="626"/>
    </row>
    <row r="16003" spans="1:6">
      <c r="A16003" t="str">
        <f t="shared" si="250"/>
        <v/>
      </c>
      <c r="E16003" s="626"/>
      <c r="F16003" s="626"/>
    </row>
    <row r="16004" spans="1:6">
      <c r="A16004" t="str">
        <f t="shared" si="250"/>
        <v/>
      </c>
      <c r="E16004" s="626"/>
      <c r="F16004" s="626"/>
    </row>
    <row r="16005" spans="1:6">
      <c r="A16005" t="str">
        <f t="shared" si="250"/>
        <v/>
      </c>
      <c r="E16005" s="626"/>
      <c r="F16005" s="626"/>
    </row>
    <row r="16006" spans="1:6">
      <c r="A16006" t="str">
        <f t="shared" si="250"/>
        <v/>
      </c>
      <c r="E16006" s="626"/>
      <c r="F16006" s="626"/>
    </row>
    <row r="16007" spans="1:6">
      <c r="A16007" t="str">
        <f t="shared" si="250"/>
        <v/>
      </c>
      <c r="E16007" s="626"/>
      <c r="F16007" s="626"/>
    </row>
    <row r="16008" spans="1:6">
      <c r="A16008" t="str">
        <f t="shared" si="250"/>
        <v/>
      </c>
      <c r="E16008" s="626"/>
      <c r="F16008" s="626"/>
    </row>
    <row r="16009" spans="1:6">
      <c r="A16009" t="str">
        <f t="shared" si="250"/>
        <v/>
      </c>
      <c r="E16009" s="626"/>
      <c r="F16009" s="626"/>
    </row>
    <row r="16010" spans="1:6">
      <c r="A16010" t="str">
        <f t="shared" si="250"/>
        <v/>
      </c>
      <c r="E16010" s="626"/>
      <c r="F16010" s="626"/>
    </row>
    <row r="16011" spans="1:6">
      <c r="A16011" t="str">
        <f t="shared" si="250"/>
        <v/>
      </c>
      <c r="E16011" s="626"/>
      <c r="F16011" s="626"/>
    </row>
    <row r="16012" spans="1:6">
      <c r="A16012" t="str">
        <f t="shared" si="250"/>
        <v/>
      </c>
      <c r="E16012" s="626"/>
      <c r="F16012" s="626"/>
    </row>
    <row r="16013" spans="1:6">
      <c r="A16013" t="str">
        <f t="shared" si="250"/>
        <v/>
      </c>
      <c r="E16013" s="626"/>
      <c r="F16013" s="626"/>
    </row>
    <row r="16014" spans="1:6">
      <c r="A16014" t="str">
        <f t="shared" si="250"/>
        <v/>
      </c>
      <c r="E16014" s="626"/>
      <c r="F16014" s="626"/>
    </row>
    <row r="16015" spans="1:6">
      <c r="A16015" t="str">
        <f t="shared" si="250"/>
        <v/>
      </c>
      <c r="E16015" s="626"/>
      <c r="F16015" s="626"/>
    </row>
    <row r="16016" spans="1:6">
      <c r="A16016" t="str">
        <f t="shared" si="250"/>
        <v/>
      </c>
      <c r="E16016" s="626"/>
      <c r="F16016" s="626"/>
    </row>
    <row r="16017" spans="1:6">
      <c r="A16017" t="str">
        <f t="shared" si="250"/>
        <v/>
      </c>
      <c r="E16017" s="626"/>
      <c r="F16017" s="626"/>
    </row>
    <row r="16018" spans="1:6">
      <c r="A16018" t="str">
        <f t="shared" si="250"/>
        <v/>
      </c>
      <c r="E16018" s="626"/>
      <c r="F16018" s="626"/>
    </row>
    <row r="16019" spans="1:6">
      <c r="A16019" t="str">
        <f t="shared" si="250"/>
        <v/>
      </c>
      <c r="E16019" s="626"/>
      <c r="F16019" s="626"/>
    </row>
    <row r="16020" spans="1:6">
      <c r="A16020" t="str">
        <f t="shared" si="250"/>
        <v/>
      </c>
      <c r="E16020" s="626"/>
      <c r="F16020" s="626"/>
    </row>
    <row r="16021" spans="1:6">
      <c r="A16021" t="str">
        <f t="shared" si="250"/>
        <v/>
      </c>
      <c r="E16021" s="626"/>
      <c r="F16021" s="626"/>
    </row>
    <row r="16022" spans="1:6">
      <c r="A16022" t="str">
        <f t="shared" si="250"/>
        <v/>
      </c>
      <c r="E16022" s="626"/>
      <c r="F16022" s="626"/>
    </row>
    <row r="16023" spans="1:6">
      <c r="A16023" t="str">
        <f t="shared" si="250"/>
        <v/>
      </c>
      <c r="E16023" s="626"/>
      <c r="F16023" s="626"/>
    </row>
    <row r="16024" spans="1:6">
      <c r="A16024" t="str">
        <f t="shared" si="250"/>
        <v/>
      </c>
      <c r="E16024" s="626"/>
      <c r="F16024" s="626"/>
    </row>
    <row r="16025" spans="1:6">
      <c r="A16025" t="str">
        <f t="shared" si="250"/>
        <v/>
      </c>
      <c r="E16025" s="626"/>
      <c r="F16025" s="626"/>
    </row>
    <row r="16026" spans="1:6">
      <c r="A16026" t="str">
        <f t="shared" si="250"/>
        <v/>
      </c>
      <c r="E16026" s="626"/>
      <c r="F16026" s="626"/>
    </row>
    <row r="16027" spans="1:6">
      <c r="A16027" t="str">
        <f t="shared" si="250"/>
        <v/>
      </c>
      <c r="E16027" s="626"/>
      <c r="F16027" s="626"/>
    </row>
    <row r="16028" spans="1:6">
      <c r="A16028" t="str">
        <f t="shared" si="250"/>
        <v/>
      </c>
      <c r="E16028" s="626"/>
      <c r="F16028" s="626"/>
    </row>
    <row r="16029" spans="1:6">
      <c r="A16029" t="str">
        <f t="shared" si="250"/>
        <v/>
      </c>
      <c r="E16029" s="626"/>
      <c r="F16029" s="626"/>
    </row>
    <row r="16030" spans="1:6">
      <c r="A16030" t="str">
        <f t="shared" si="250"/>
        <v/>
      </c>
      <c r="E16030" s="626"/>
      <c r="F16030" s="626"/>
    </row>
    <row r="16031" spans="1:6">
      <c r="A16031" t="str">
        <f t="shared" si="250"/>
        <v/>
      </c>
      <c r="E16031" s="626"/>
      <c r="F16031" s="626"/>
    </row>
    <row r="16032" spans="1:6">
      <c r="A16032" t="str">
        <f t="shared" si="250"/>
        <v/>
      </c>
      <c r="E16032" s="626"/>
      <c r="F16032" s="626"/>
    </row>
    <row r="16033" spans="1:6">
      <c r="A16033" t="str">
        <f t="shared" si="250"/>
        <v/>
      </c>
      <c r="E16033" s="626"/>
      <c r="F16033" s="626"/>
    </row>
    <row r="16034" spans="1:6">
      <c r="A16034" t="str">
        <f t="shared" si="250"/>
        <v/>
      </c>
      <c r="E16034" s="626"/>
      <c r="F16034" s="626"/>
    </row>
    <row r="16035" spans="1:6">
      <c r="A16035" t="str">
        <f t="shared" si="250"/>
        <v/>
      </c>
      <c r="E16035" s="626"/>
      <c r="F16035" s="626"/>
    </row>
    <row r="16036" spans="1:6">
      <c r="A16036" t="str">
        <f t="shared" si="250"/>
        <v/>
      </c>
      <c r="E16036" s="626"/>
      <c r="F16036" s="626"/>
    </row>
    <row r="16037" spans="1:6">
      <c r="A16037" t="str">
        <f t="shared" si="250"/>
        <v/>
      </c>
      <c r="E16037" s="626"/>
      <c r="F16037" s="626"/>
    </row>
    <row r="16038" spans="1:6">
      <c r="A16038" t="str">
        <f t="shared" si="250"/>
        <v/>
      </c>
      <c r="E16038" s="626"/>
      <c r="F16038" s="626"/>
    </row>
    <row r="16039" spans="1:6">
      <c r="A16039" t="str">
        <f t="shared" si="250"/>
        <v/>
      </c>
      <c r="E16039" s="626"/>
      <c r="F16039" s="626"/>
    </row>
    <row r="16040" spans="1:6">
      <c r="A16040" t="str">
        <f t="shared" si="250"/>
        <v/>
      </c>
      <c r="E16040" s="626"/>
      <c r="F16040" s="626"/>
    </row>
    <row r="16041" spans="1:6">
      <c r="A16041" t="str">
        <f t="shared" si="250"/>
        <v/>
      </c>
      <c r="E16041" s="626"/>
      <c r="F16041" s="626"/>
    </row>
    <row r="16042" spans="1:6">
      <c r="A16042" t="str">
        <f t="shared" si="250"/>
        <v/>
      </c>
      <c r="E16042" s="626"/>
      <c r="F16042" s="626"/>
    </row>
    <row r="16043" spans="1:6">
      <c r="A16043" t="str">
        <f t="shared" si="250"/>
        <v/>
      </c>
      <c r="E16043" s="626"/>
      <c r="F16043" s="626"/>
    </row>
    <row r="16044" spans="1:6">
      <c r="A16044" t="str">
        <f t="shared" si="250"/>
        <v/>
      </c>
      <c r="E16044" s="626"/>
      <c r="F16044" s="626"/>
    </row>
    <row r="16045" spans="1:6">
      <c r="A16045" t="str">
        <f t="shared" si="250"/>
        <v/>
      </c>
      <c r="E16045" s="626"/>
      <c r="F16045" s="626"/>
    </row>
    <row r="16046" spans="1:6">
      <c r="A16046" t="str">
        <f t="shared" si="250"/>
        <v/>
      </c>
      <c r="E16046" s="626"/>
      <c r="F16046" s="626"/>
    </row>
    <row r="16047" spans="1:6">
      <c r="A16047" t="str">
        <f t="shared" si="250"/>
        <v/>
      </c>
      <c r="E16047" s="626"/>
      <c r="F16047" s="626"/>
    </row>
    <row r="16048" spans="1:6">
      <c r="A16048" t="str">
        <f t="shared" si="250"/>
        <v/>
      </c>
      <c r="E16048" s="626"/>
      <c r="F16048" s="626"/>
    </row>
    <row r="16049" spans="1:6">
      <c r="A16049" t="str">
        <f t="shared" si="250"/>
        <v/>
      </c>
      <c r="E16049" s="626"/>
      <c r="F16049" s="626"/>
    </row>
    <row r="16050" spans="1:6">
      <c r="A16050" t="str">
        <f t="shared" si="250"/>
        <v/>
      </c>
      <c r="E16050" s="626"/>
      <c r="F16050" s="626"/>
    </row>
    <row r="16051" spans="1:6">
      <c r="A16051" t="str">
        <f t="shared" si="250"/>
        <v/>
      </c>
      <c r="E16051" s="626"/>
      <c r="F16051" s="626"/>
    </row>
    <row r="16052" spans="1:6">
      <c r="A16052" t="str">
        <f t="shared" si="250"/>
        <v/>
      </c>
      <c r="E16052" s="626"/>
      <c r="F16052" s="626"/>
    </row>
    <row r="16053" spans="1:6">
      <c r="A16053" t="str">
        <f t="shared" si="250"/>
        <v/>
      </c>
      <c r="E16053" s="626"/>
      <c r="F16053" s="626"/>
    </row>
    <row r="16054" spans="1:6">
      <c r="A16054" t="str">
        <f t="shared" si="250"/>
        <v/>
      </c>
      <c r="E16054" s="626"/>
      <c r="F16054" s="626"/>
    </row>
    <row r="16055" spans="1:6">
      <c r="A16055" t="str">
        <f t="shared" si="250"/>
        <v/>
      </c>
      <c r="E16055" s="626"/>
      <c r="F16055" s="626"/>
    </row>
    <row r="16056" spans="1:6">
      <c r="A16056" t="str">
        <f t="shared" si="250"/>
        <v/>
      </c>
      <c r="E16056" s="626"/>
      <c r="F16056" s="626"/>
    </row>
    <row r="16057" spans="1:6">
      <c r="A16057" t="str">
        <f t="shared" si="250"/>
        <v/>
      </c>
      <c r="E16057" s="626"/>
      <c r="F16057" s="626"/>
    </row>
    <row r="16058" spans="1:6">
      <c r="A16058" t="str">
        <f t="shared" si="250"/>
        <v/>
      </c>
      <c r="E16058" s="626"/>
      <c r="F16058" s="626"/>
    </row>
    <row r="16059" spans="1:6">
      <c r="A16059" t="str">
        <f t="shared" si="250"/>
        <v/>
      </c>
      <c r="E16059" s="626"/>
      <c r="F16059" s="626"/>
    </row>
    <row r="16060" spans="1:6">
      <c r="A16060" t="str">
        <f t="shared" si="250"/>
        <v/>
      </c>
      <c r="E16060" s="626"/>
      <c r="F16060" s="626"/>
    </row>
    <row r="16061" spans="1:6">
      <c r="A16061" t="str">
        <f t="shared" si="250"/>
        <v/>
      </c>
      <c r="E16061" s="626"/>
      <c r="F16061" s="626"/>
    </row>
    <row r="16062" spans="1:6">
      <c r="A16062" t="str">
        <f t="shared" si="250"/>
        <v/>
      </c>
      <c r="E16062" s="626"/>
      <c r="F16062" s="626"/>
    </row>
    <row r="16063" spans="1:6">
      <c r="A16063" t="str">
        <f t="shared" si="250"/>
        <v/>
      </c>
      <c r="E16063" s="626"/>
      <c r="F16063" s="626"/>
    </row>
    <row r="16064" spans="1:6">
      <c r="A16064" t="str">
        <f t="shared" si="250"/>
        <v/>
      </c>
      <c r="E16064" s="626"/>
      <c r="F16064" s="626"/>
    </row>
    <row r="16065" spans="1:6">
      <c r="A16065" t="str">
        <f t="shared" si="250"/>
        <v/>
      </c>
      <c r="E16065" s="626"/>
      <c r="F16065" s="626"/>
    </row>
    <row r="16066" spans="1:6">
      <c r="A16066" t="str">
        <f t="shared" ref="A16066:A16129" si="251">B16066&amp;E16066&amp;J16066</f>
        <v/>
      </c>
      <c r="E16066" s="626"/>
      <c r="F16066" s="626"/>
    </row>
    <row r="16067" spans="1:6">
      <c r="A16067" t="str">
        <f t="shared" si="251"/>
        <v/>
      </c>
      <c r="E16067" s="626"/>
      <c r="F16067" s="626"/>
    </row>
    <row r="16068" spans="1:6">
      <c r="A16068" t="str">
        <f t="shared" si="251"/>
        <v/>
      </c>
      <c r="E16068" s="626"/>
      <c r="F16068" s="626"/>
    </row>
    <row r="16069" spans="1:6">
      <c r="A16069" t="str">
        <f t="shared" si="251"/>
        <v/>
      </c>
      <c r="E16069" s="626"/>
      <c r="F16069" s="626"/>
    </row>
    <row r="16070" spans="1:6">
      <c r="A16070" t="str">
        <f t="shared" si="251"/>
        <v/>
      </c>
      <c r="E16070" s="626"/>
      <c r="F16070" s="626"/>
    </row>
    <row r="16071" spans="1:6">
      <c r="A16071" t="str">
        <f t="shared" si="251"/>
        <v/>
      </c>
      <c r="E16071" s="626"/>
      <c r="F16071" s="626"/>
    </row>
    <row r="16072" spans="1:6">
      <c r="A16072" t="str">
        <f t="shared" si="251"/>
        <v/>
      </c>
      <c r="E16072" s="626"/>
      <c r="F16072" s="626"/>
    </row>
    <row r="16073" spans="1:6">
      <c r="A16073" t="str">
        <f t="shared" si="251"/>
        <v/>
      </c>
      <c r="E16073" s="626"/>
      <c r="F16073" s="626"/>
    </row>
    <row r="16074" spans="1:6">
      <c r="A16074" t="str">
        <f t="shared" si="251"/>
        <v/>
      </c>
      <c r="E16074" s="626"/>
      <c r="F16074" s="626"/>
    </row>
    <row r="16075" spans="1:6">
      <c r="A16075" t="str">
        <f t="shared" si="251"/>
        <v/>
      </c>
      <c r="E16075" s="626"/>
      <c r="F16075" s="626"/>
    </row>
    <row r="16076" spans="1:6">
      <c r="A16076" t="str">
        <f t="shared" si="251"/>
        <v/>
      </c>
      <c r="E16076" s="626"/>
      <c r="F16076" s="626"/>
    </row>
    <row r="16077" spans="1:6">
      <c r="A16077" t="str">
        <f t="shared" si="251"/>
        <v/>
      </c>
      <c r="E16077" s="626"/>
      <c r="F16077" s="626"/>
    </row>
    <row r="16078" spans="1:6">
      <c r="A16078" t="str">
        <f t="shared" si="251"/>
        <v/>
      </c>
      <c r="E16078" s="626"/>
      <c r="F16078" s="626"/>
    </row>
    <row r="16079" spans="1:6">
      <c r="A16079" t="str">
        <f t="shared" si="251"/>
        <v/>
      </c>
      <c r="E16079" s="626"/>
      <c r="F16079" s="626"/>
    </row>
    <row r="16080" spans="1:6">
      <c r="A16080" t="str">
        <f t="shared" si="251"/>
        <v/>
      </c>
      <c r="E16080" s="626"/>
      <c r="F16080" s="626"/>
    </row>
    <row r="16081" spans="1:6">
      <c r="A16081" t="str">
        <f t="shared" si="251"/>
        <v/>
      </c>
      <c r="E16081" s="626"/>
      <c r="F16081" s="626"/>
    </row>
    <row r="16082" spans="1:6">
      <c r="A16082" t="str">
        <f t="shared" si="251"/>
        <v/>
      </c>
      <c r="E16082" s="626"/>
      <c r="F16082" s="626"/>
    </row>
    <row r="16083" spans="1:6">
      <c r="A16083" t="str">
        <f t="shared" si="251"/>
        <v/>
      </c>
      <c r="E16083" s="626"/>
      <c r="F16083" s="626"/>
    </row>
    <row r="16084" spans="1:6">
      <c r="A16084" t="str">
        <f t="shared" si="251"/>
        <v/>
      </c>
      <c r="E16084" s="626"/>
      <c r="F16084" s="626"/>
    </row>
    <row r="16085" spans="1:6">
      <c r="A16085" t="str">
        <f t="shared" si="251"/>
        <v/>
      </c>
      <c r="E16085" s="626"/>
      <c r="F16085" s="626"/>
    </row>
    <row r="16086" spans="1:6">
      <c r="A16086" t="str">
        <f t="shared" si="251"/>
        <v/>
      </c>
      <c r="E16086" s="626"/>
      <c r="F16086" s="626"/>
    </row>
    <row r="16087" spans="1:6">
      <c r="A16087" t="str">
        <f t="shared" si="251"/>
        <v/>
      </c>
      <c r="E16087" s="626"/>
      <c r="F16087" s="626"/>
    </row>
    <row r="16088" spans="1:6">
      <c r="A16088" t="str">
        <f t="shared" si="251"/>
        <v/>
      </c>
      <c r="E16088" s="626"/>
      <c r="F16088" s="626"/>
    </row>
    <row r="16089" spans="1:6">
      <c r="A16089" t="str">
        <f t="shared" si="251"/>
        <v/>
      </c>
      <c r="E16089" s="626"/>
      <c r="F16089" s="626"/>
    </row>
    <row r="16090" spans="1:6">
      <c r="A16090" t="str">
        <f t="shared" si="251"/>
        <v/>
      </c>
      <c r="E16090" s="626"/>
      <c r="F16090" s="626"/>
    </row>
    <row r="16091" spans="1:6">
      <c r="A16091" t="str">
        <f t="shared" si="251"/>
        <v/>
      </c>
      <c r="E16091" s="626"/>
      <c r="F16091" s="626"/>
    </row>
    <row r="16092" spans="1:6">
      <c r="A16092" t="str">
        <f t="shared" si="251"/>
        <v/>
      </c>
      <c r="E16092" s="626"/>
      <c r="F16092" s="626"/>
    </row>
    <row r="16093" spans="1:6">
      <c r="A16093" t="str">
        <f t="shared" si="251"/>
        <v/>
      </c>
      <c r="E16093" s="626"/>
      <c r="F16093" s="626"/>
    </row>
    <row r="16094" spans="1:6">
      <c r="A16094" t="str">
        <f t="shared" si="251"/>
        <v/>
      </c>
      <c r="E16094" s="626"/>
      <c r="F16094" s="626"/>
    </row>
    <row r="16095" spans="1:6">
      <c r="A16095" t="str">
        <f t="shared" si="251"/>
        <v/>
      </c>
      <c r="E16095" s="626"/>
      <c r="F16095" s="626"/>
    </row>
    <row r="16096" spans="1:6">
      <c r="A16096" t="str">
        <f t="shared" si="251"/>
        <v/>
      </c>
      <c r="E16096" s="626"/>
      <c r="F16096" s="626"/>
    </row>
    <row r="16097" spans="1:6">
      <c r="A16097" t="str">
        <f t="shared" si="251"/>
        <v/>
      </c>
      <c r="E16097" s="626"/>
      <c r="F16097" s="626"/>
    </row>
    <row r="16098" spans="1:6">
      <c r="A16098" t="str">
        <f t="shared" si="251"/>
        <v/>
      </c>
      <c r="E16098" s="626"/>
      <c r="F16098" s="626"/>
    </row>
    <row r="16099" spans="1:6">
      <c r="A16099" t="str">
        <f t="shared" si="251"/>
        <v/>
      </c>
      <c r="E16099" s="626"/>
      <c r="F16099" s="626"/>
    </row>
    <row r="16100" spans="1:6">
      <c r="A16100" t="str">
        <f t="shared" si="251"/>
        <v/>
      </c>
      <c r="E16100" s="626"/>
      <c r="F16100" s="626"/>
    </row>
    <row r="16101" spans="1:6">
      <c r="A16101" t="str">
        <f t="shared" si="251"/>
        <v/>
      </c>
      <c r="E16101" s="626"/>
      <c r="F16101" s="626"/>
    </row>
    <row r="16102" spans="1:6">
      <c r="A16102" t="str">
        <f t="shared" si="251"/>
        <v/>
      </c>
      <c r="E16102" s="626"/>
      <c r="F16102" s="626"/>
    </row>
    <row r="16103" spans="1:6">
      <c r="A16103" t="str">
        <f t="shared" si="251"/>
        <v/>
      </c>
      <c r="E16103" s="626"/>
      <c r="F16103" s="626"/>
    </row>
    <row r="16104" spans="1:6">
      <c r="A16104" t="str">
        <f t="shared" si="251"/>
        <v/>
      </c>
      <c r="E16104" s="626"/>
      <c r="F16104" s="626"/>
    </row>
    <row r="16105" spans="1:6">
      <c r="A16105" t="str">
        <f t="shared" si="251"/>
        <v/>
      </c>
      <c r="E16105" s="626"/>
      <c r="F16105" s="626"/>
    </row>
    <row r="16106" spans="1:6">
      <c r="A16106" t="str">
        <f t="shared" si="251"/>
        <v/>
      </c>
      <c r="E16106" s="626"/>
      <c r="F16106" s="626"/>
    </row>
    <row r="16107" spans="1:6">
      <c r="A16107" t="str">
        <f t="shared" si="251"/>
        <v/>
      </c>
      <c r="E16107" s="626"/>
      <c r="F16107" s="626"/>
    </row>
    <row r="16108" spans="1:6">
      <c r="A16108" t="str">
        <f t="shared" si="251"/>
        <v/>
      </c>
      <c r="E16108" s="626"/>
      <c r="F16108" s="626"/>
    </row>
    <row r="16109" spans="1:6">
      <c r="A16109" t="str">
        <f t="shared" si="251"/>
        <v/>
      </c>
      <c r="E16109" s="626"/>
      <c r="F16109" s="626"/>
    </row>
    <row r="16110" spans="1:6">
      <c r="A16110" t="str">
        <f t="shared" si="251"/>
        <v/>
      </c>
      <c r="E16110" s="626"/>
      <c r="F16110" s="626"/>
    </row>
    <row r="16111" spans="1:6">
      <c r="A16111" t="str">
        <f t="shared" si="251"/>
        <v/>
      </c>
      <c r="E16111" s="626"/>
      <c r="F16111" s="626"/>
    </row>
    <row r="16112" spans="1:6">
      <c r="A16112" t="str">
        <f t="shared" si="251"/>
        <v/>
      </c>
      <c r="E16112" s="626"/>
      <c r="F16112" s="626"/>
    </row>
    <row r="16113" spans="1:6">
      <c r="A16113" t="str">
        <f t="shared" si="251"/>
        <v/>
      </c>
      <c r="E16113" s="626"/>
      <c r="F16113" s="626"/>
    </row>
    <row r="16114" spans="1:6">
      <c r="A16114" t="str">
        <f t="shared" si="251"/>
        <v/>
      </c>
      <c r="E16114" s="626"/>
      <c r="F16114" s="626"/>
    </row>
    <row r="16115" spans="1:6">
      <c r="A16115" t="str">
        <f t="shared" si="251"/>
        <v/>
      </c>
      <c r="E16115" s="626"/>
      <c r="F16115" s="626"/>
    </row>
    <row r="16116" spans="1:6">
      <c r="A16116" t="str">
        <f t="shared" si="251"/>
        <v/>
      </c>
      <c r="E16116" s="626"/>
      <c r="F16116" s="626"/>
    </row>
    <row r="16117" spans="1:6">
      <c r="A16117" t="str">
        <f t="shared" si="251"/>
        <v/>
      </c>
      <c r="E16117" s="626"/>
      <c r="F16117" s="626"/>
    </row>
    <row r="16118" spans="1:6">
      <c r="A16118" t="str">
        <f t="shared" si="251"/>
        <v/>
      </c>
      <c r="E16118" s="626"/>
      <c r="F16118" s="626"/>
    </row>
    <row r="16119" spans="1:6">
      <c r="A16119" t="str">
        <f t="shared" si="251"/>
        <v/>
      </c>
      <c r="E16119" s="626"/>
      <c r="F16119" s="626"/>
    </row>
    <row r="16120" spans="1:6">
      <c r="A16120" t="str">
        <f t="shared" si="251"/>
        <v/>
      </c>
      <c r="E16120" s="626"/>
      <c r="F16120" s="626"/>
    </row>
    <row r="16121" spans="1:6">
      <c r="A16121" t="str">
        <f t="shared" si="251"/>
        <v/>
      </c>
      <c r="E16121" s="626"/>
      <c r="F16121" s="626"/>
    </row>
    <row r="16122" spans="1:6">
      <c r="A16122" t="str">
        <f t="shared" si="251"/>
        <v/>
      </c>
      <c r="E16122" s="626"/>
      <c r="F16122" s="626"/>
    </row>
    <row r="16123" spans="1:6">
      <c r="A16123" t="str">
        <f t="shared" si="251"/>
        <v/>
      </c>
      <c r="E16123" s="626"/>
      <c r="F16123" s="626"/>
    </row>
    <row r="16124" spans="1:6">
      <c r="A16124" t="str">
        <f t="shared" si="251"/>
        <v/>
      </c>
      <c r="E16124" s="626"/>
      <c r="F16124" s="626"/>
    </row>
    <row r="16125" spans="1:6">
      <c r="A16125" t="str">
        <f t="shared" si="251"/>
        <v/>
      </c>
      <c r="E16125" s="626"/>
      <c r="F16125" s="626"/>
    </row>
    <row r="16126" spans="1:6">
      <c r="A16126" t="str">
        <f t="shared" si="251"/>
        <v/>
      </c>
      <c r="E16126" s="626"/>
      <c r="F16126" s="626"/>
    </row>
    <row r="16127" spans="1:6">
      <c r="A16127" t="str">
        <f t="shared" si="251"/>
        <v/>
      </c>
      <c r="E16127" s="626"/>
      <c r="F16127" s="626"/>
    </row>
    <row r="16128" spans="1:6">
      <c r="A16128" t="str">
        <f t="shared" si="251"/>
        <v/>
      </c>
      <c r="E16128" s="626"/>
      <c r="F16128" s="626"/>
    </row>
    <row r="16129" spans="1:6">
      <c r="A16129" t="str">
        <f t="shared" si="251"/>
        <v/>
      </c>
      <c r="E16129" s="626"/>
      <c r="F16129" s="626"/>
    </row>
    <row r="16130" spans="1:6">
      <c r="A16130" t="str">
        <f t="shared" ref="A16130:A16193" si="252">B16130&amp;E16130&amp;J16130</f>
        <v/>
      </c>
      <c r="E16130" s="626"/>
      <c r="F16130" s="626"/>
    </row>
    <row r="16131" spans="1:6">
      <c r="A16131" t="str">
        <f t="shared" si="252"/>
        <v/>
      </c>
      <c r="E16131" s="626"/>
      <c r="F16131" s="626"/>
    </row>
    <row r="16132" spans="1:6">
      <c r="A16132" t="str">
        <f t="shared" si="252"/>
        <v/>
      </c>
      <c r="E16132" s="626"/>
      <c r="F16132" s="626"/>
    </row>
    <row r="16133" spans="1:6">
      <c r="A16133" t="str">
        <f t="shared" si="252"/>
        <v/>
      </c>
      <c r="E16133" s="626"/>
      <c r="F16133" s="626"/>
    </row>
    <row r="16134" spans="1:6">
      <c r="A16134" t="str">
        <f t="shared" si="252"/>
        <v/>
      </c>
      <c r="E16134" s="626"/>
      <c r="F16134" s="626"/>
    </row>
    <row r="16135" spans="1:6">
      <c r="A16135" t="str">
        <f t="shared" si="252"/>
        <v/>
      </c>
      <c r="E16135" s="626"/>
      <c r="F16135" s="626"/>
    </row>
    <row r="16136" spans="1:6">
      <c r="A16136" t="str">
        <f t="shared" si="252"/>
        <v/>
      </c>
      <c r="E16136" s="626"/>
      <c r="F16136" s="626"/>
    </row>
    <row r="16137" spans="1:6">
      <c r="A16137" t="str">
        <f t="shared" si="252"/>
        <v/>
      </c>
      <c r="E16137" s="626"/>
      <c r="F16137" s="626"/>
    </row>
    <row r="16138" spans="1:6">
      <c r="A16138" t="str">
        <f t="shared" si="252"/>
        <v/>
      </c>
      <c r="E16138" s="626"/>
      <c r="F16138" s="626"/>
    </row>
    <row r="16139" spans="1:6">
      <c r="A16139" t="str">
        <f t="shared" si="252"/>
        <v/>
      </c>
      <c r="E16139" s="626"/>
      <c r="F16139" s="626"/>
    </row>
    <row r="16140" spans="1:6">
      <c r="A16140" t="str">
        <f t="shared" si="252"/>
        <v/>
      </c>
      <c r="E16140" s="626"/>
      <c r="F16140" s="626"/>
    </row>
    <row r="16141" spans="1:6">
      <c r="A16141" t="str">
        <f t="shared" si="252"/>
        <v/>
      </c>
      <c r="E16141" s="626"/>
      <c r="F16141" s="626"/>
    </row>
    <row r="16142" spans="1:6">
      <c r="A16142" t="str">
        <f t="shared" si="252"/>
        <v/>
      </c>
      <c r="E16142" s="626"/>
      <c r="F16142" s="626"/>
    </row>
    <row r="16143" spans="1:6">
      <c r="A16143" t="str">
        <f t="shared" si="252"/>
        <v/>
      </c>
      <c r="E16143" s="626"/>
      <c r="F16143" s="626"/>
    </row>
    <row r="16144" spans="1:6">
      <c r="A16144" t="str">
        <f t="shared" si="252"/>
        <v/>
      </c>
      <c r="E16144" s="626"/>
      <c r="F16144" s="626"/>
    </row>
    <row r="16145" spans="1:6">
      <c r="A16145" t="str">
        <f t="shared" si="252"/>
        <v/>
      </c>
      <c r="E16145" s="626"/>
      <c r="F16145" s="626"/>
    </row>
    <row r="16146" spans="1:6">
      <c r="A16146" t="str">
        <f t="shared" si="252"/>
        <v/>
      </c>
      <c r="E16146" s="626"/>
      <c r="F16146" s="626"/>
    </row>
    <row r="16147" spans="1:6">
      <c r="A16147" t="str">
        <f t="shared" si="252"/>
        <v/>
      </c>
      <c r="E16147" s="626"/>
      <c r="F16147" s="626"/>
    </row>
    <row r="16148" spans="1:6">
      <c r="A16148" t="str">
        <f t="shared" si="252"/>
        <v/>
      </c>
      <c r="E16148" s="626"/>
      <c r="F16148" s="626"/>
    </row>
    <row r="16149" spans="1:6">
      <c r="A16149" t="str">
        <f t="shared" si="252"/>
        <v/>
      </c>
      <c r="E16149" s="626"/>
      <c r="F16149" s="626"/>
    </row>
    <row r="16150" spans="1:6">
      <c r="A16150" t="str">
        <f t="shared" si="252"/>
        <v/>
      </c>
      <c r="E16150" s="626"/>
      <c r="F16150" s="626"/>
    </row>
    <row r="16151" spans="1:6">
      <c r="A16151" t="str">
        <f t="shared" si="252"/>
        <v/>
      </c>
      <c r="E16151" s="626"/>
      <c r="F16151" s="626"/>
    </row>
    <row r="16152" spans="1:6">
      <c r="A16152" t="str">
        <f t="shared" si="252"/>
        <v/>
      </c>
      <c r="E16152" s="626"/>
      <c r="F16152" s="626"/>
    </row>
    <row r="16153" spans="1:6">
      <c r="A16153" t="str">
        <f t="shared" si="252"/>
        <v/>
      </c>
      <c r="E16153" s="626"/>
      <c r="F16153" s="626"/>
    </row>
    <row r="16154" spans="1:6">
      <c r="A16154" t="str">
        <f t="shared" si="252"/>
        <v/>
      </c>
      <c r="E16154" s="626"/>
      <c r="F16154" s="626"/>
    </row>
    <row r="16155" spans="1:6">
      <c r="A16155" t="str">
        <f t="shared" si="252"/>
        <v/>
      </c>
      <c r="E16155" s="626"/>
      <c r="F16155" s="626"/>
    </row>
    <row r="16156" spans="1:6">
      <c r="A16156" t="str">
        <f t="shared" si="252"/>
        <v/>
      </c>
      <c r="E16156" s="626"/>
      <c r="F16156" s="626"/>
    </row>
    <row r="16157" spans="1:6">
      <c r="A16157" t="str">
        <f t="shared" si="252"/>
        <v/>
      </c>
      <c r="E16157" s="626"/>
      <c r="F16157" s="626"/>
    </row>
    <row r="16158" spans="1:6">
      <c r="A16158" t="str">
        <f t="shared" si="252"/>
        <v/>
      </c>
      <c r="E16158" s="626"/>
      <c r="F16158" s="626"/>
    </row>
    <row r="16159" spans="1:6">
      <c r="A16159" t="str">
        <f t="shared" si="252"/>
        <v/>
      </c>
      <c r="E16159" s="626"/>
      <c r="F16159" s="626"/>
    </row>
    <row r="16160" spans="1:6">
      <c r="A16160" t="str">
        <f t="shared" si="252"/>
        <v/>
      </c>
      <c r="E16160" s="626"/>
      <c r="F16160" s="626"/>
    </row>
    <row r="16161" spans="1:6">
      <c r="A16161" t="str">
        <f t="shared" si="252"/>
        <v/>
      </c>
      <c r="E16161" s="626"/>
      <c r="F16161" s="626"/>
    </row>
    <row r="16162" spans="1:6">
      <c r="A16162" t="str">
        <f t="shared" si="252"/>
        <v/>
      </c>
      <c r="E16162" s="626"/>
      <c r="F16162" s="626"/>
    </row>
    <row r="16163" spans="1:6">
      <c r="A16163" t="str">
        <f t="shared" si="252"/>
        <v/>
      </c>
      <c r="E16163" s="626"/>
      <c r="F16163" s="626"/>
    </row>
    <row r="16164" spans="1:6">
      <c r="A16164" t="str">
        <f t="shared" si="252"/>
        <v/>
      </c>
      <c r="E16164" s="626"/>
      <c r="F16164" s="626"/>
    </row>
    <row r="16165" spans="1:6">
      <c r="A16165" t="str">
        <f t="shared" si="252"/>
        <v/>
      </c>
      <c r="E16165" s="626"/>
      <c r="F16165" s="626"/>
    </row>
    <row r="16166" spans="1:6">
      <c r="A16166" t="str">
        <f t="shared" si="252"/>
        <v/>
      </c>
      <c r="E16166" s="626"/>
      <c r="F16166" s="626"/>
    </row>
    <row r="16167" spans="1:6">
      <c r="A16167" t="str">
        <f t="shared" si="252"/>
        <v/>
      </c>
      <c r="E16167" s="626"/>
      <c r="F16167" s="626"/>
    </row>
    <row r="16168" spans="1:6">
      <c r="A16168" t="str">
        <f t="shared" si="252"/>
        <v/>
      </c>
      <c r="E16168" s="626"/>
      <c r="F16168" s="626"/>
    </row>
    <row r="16169" spans="1:6">
      <c r="A16169" t="str">
        <f t="shared" si="252"/>
        <v/>
      </c>
      <c r="E16169" s="626"/>
      <c r="F16169" s="626"/>
    </row>
    <row r="16170" spans="1:6">
      <c r="A16170" t="str">
        <f t="shared" si="252"/>
        <v/>
      </c>
      <c r="E16170" s="626"/>
      <c r="F16170" s="626"/>
    </row>
    <row r="16171" spans="1:6">
      <c r="A16171" t="str">
        <f t="shared" si="252"/>
        <v/>
      </c>
      <c r="E16171" s="626"/>
      <c r="F16171" s="626"/>
    </row>
    <row r="16172" spans="1:6">
      <c r="A16172" t="str">
        <f t="shared" si="252"/>
        <v/>
      </c>
      <c r="E16172" s="626"/>
      <c r="F16172" s="626"/>
    </row>
    <row r="16173" spans="1:6">
      <c r="A16173" t="str">
        <f t="shared" si="252"/>
        <v/>
      </c>
      <c r="E16173" s="626"/>
      <c r="F16173" s="626"/>
    </row>
    <row r="16174" spans="1:6">
      <c r="A16174" t="str">
        <f t="shared" si="252"/>
        <v/>
      </c>
      <c r="E16174" s="626"/>
      <c r="F16174" s="626"/>
    </row>
    <row r="16175" spans="1:6">
      <c r="A16175" t="str">
        <f t="shared" si="252"/>
        <v/>
      </c>
      <c r="E16175" s="626"/>
      <c r="F16175" s="626"/>
    </row>
    <row r="16176" spans="1:6">
      <c r="A16176" t="str">
        <f t="shared" si="252"/>
        <v/>
      </c>
      <c r="E16176" s="626"/>
      <c r="F16176" s="626"/>
    </row>
    <row r="16177" spans="1:6">
      <c r="A16177" t="str">
        <f t="shared" si="252"/>
        <v/>
      </c>
      <c r="E16177" s="626"/>
      <c r="F16177" s="626"/>
    </row>
    <row r="16178" spans="1:6">
      <c r="A16178" t="str">
        <f t="shared" si="252"/>
        <v/>
      </c>
      <c r="E16178" s="626"/>
      <c r="F16178" s="626"/>
    </row>
    <row r="16179" spans="1:6">
      <c r="A16179" t="str">
        <f t="shared" si="252"/>
        <v/>
      </c>
      <c r="E16179" s="626"/>
      <c r="F16179" s="626"/>
    </row>
    <row r="16180" spans="1:6">
      <c r="A16180" t="str">
        <f t="shared" si="252"/>
        <v/>
      </c>
      <c r="E16180" s="626"/>
      <c r="F16180" s="626"/>
    </row>
    <row r="16181" spans="1:6">
      <c r="A16181" t="str">
        <f t="shared" si="252"/>
        <v/>
      </c>
      <c r="E16181" s="626"/>
      <c r="F16181" s="626"/>
    </row>
    <row r="16182" spans="1:6">
      <c r="A16182" t="str">
        <f t="shared" si="252"/>
        <v/>
      </c>
      <c r="E16182" s="626"/>
      <c r="F16182" s="626"/>
    </row>
    <row r="16183" spans="1:6">
      <c r="A16183" t="str">
        <f t="shared" si="252"/>
        <v/>
      </c>
      <c r="E16183" s="626"/>
      <c r="F16183" s="626"/>
    </row>
    <row r="16184" spans="1:6">
      <c r="A16184" t="str">
        <f t="shared" si="252"/>
        <v/>
      </c>
      <c r="E16184" s="626"/>
      <c r="F16184" s="626"/>
    </row>
    <row r="16185" spans="1:6">
      <c r="A16185" t="str">
        <f t="shared" si="252"/>
        <v/>
      </c>
      <c r="E16185" s="626"/>
      <c r="F16185" s="626"/>
    </row>
    <row r="16186" spans="1:6">
      <c r="A16186" t="str">
        <f t="shared" si="252"/>
        <v/>
      </c>
      <c r="E16186" s="626"/>
      <c r="F16186" s="626"/>
    </row>
    <row r="16187" spans="1:6">
      <c r="A16187" t="str">
        <f t="shared" si="252"/>
        <v/>
      </c>
      <c r="E16187" s="626"/>
      <c r="F16187" s="626"/>
    </row>
    <row r="16188" spans="1:6">
      <c r="A16188" t="str">
        <f t="shared" si="252"/>
        <v/>
      </c>
      <c r="E16188" s="626"/>
      <c r="F16188" s="626"/>
    </row>
    <row r="16189" spans="1:6">
      <c r="A16189" t="str">
        <f t="shared" si="252"/>
        <v/>
      </c>
      <c r="E16189" s="626"/>
      <c r="F16189" s="626"/>
    </row>
    <row r="16190" spans="1:6">
      <c r="A16190" t="str">
        <f t="shared" si="252"/>
        <v/>
      </c>
      <c r="E16190" s="626"/>
      <c r="F16190" s="626"/>
    </row>
    <row r="16191" spans="1:6">
      <c r="A16191" t="str">
        <f t="shared" si="252"/>
        <v/>
      </c>
      <c r="E16191" s="626"/>
      <c r="F16191" s="626"/>
    </row>
    <row r="16192" spans="1:6">
      <c r="A16192" t="str">
        <f t="shared" si="252"/>
        <v/>
      </c>
      <c r="E16192" s="626"/>
      <c r="F16192" s="626"/>
    </row>
    <row r="16193" spans="1:6">
      <c r="A16193" t="str">
        <f t="shared" si="252"/>
        <v/>
      </c>
      <c r="E16193" s="626"/>
      <c r="F16193" s="626"/>
    </row>
    <row r="16194" spans="1:6">
      <c r="A16194" t="str">
        <f t="shared" ref="A16194:A16257" si="253">B16194&amp;E16194&amp;J16194</f>
        <v/>
      </c>
      <c r="E16194" s="626"/>
      <c r="F16194" s="626"/>
    </row>
    <row r="16195" spans="1:6">
      <c r="A16195" t="str">
        <f t="shared" si="253"/>
        <v/>
      </c>
      <c r="E16195" s="626"/>
      <c r="F16195" s="626"/>
    </row>
    <row r="16196" spans="1:6">
      <c r="A16196" t="str">
        <f t="shared" si="253"/>
        <v/>
      </c>
      <c r="E16196" s="626"/>
      <c r="F16196" s="626"/>
    </row>
    <row r="16197" spans="1:6">
      <c r="A16197" t="str">
        <f t="shared" si="253"/>
        <v/>
      </c>
      <c r="E16197" s="626"/>
      <c r="F16197" s="626"/>
    </row>
    <row r="16198" spans="1:6">
      <c r="A16198" t="str">
        <f t="shared" si="253"/>
        <v/>
      </c>
      <c r="E16198" s="626"/>
      <c r="F16198" s="626"/>
    </row>
    <row r="16199" spans="1:6">
      <c r="A16199" t="str">
        <f t="shared" si="253"/>
        <v/>
      </c>
      <c r="E16199" s="626"/>
      <c r="F16199" s="626"/>
    </row>
    <row r="16200" spans="1:6">
      <c r="A16200" t="str">
        <f t="shared" si="253"/>
        <v/>
      </c>
      <c r="E16200" s="626"/>
      <c r="F16200" s="626"/>
    </row>
    <row r="16201" spans="1:6">
      <c r="A16201" t="str">
        <f t="shared" si="253"/>
        <v/>
      </c>
      <c r="E16201" s="626"/>
      <c r="F16201" s="626"/>
    </row>
    <row r="16202" spans="1:6">
      <c r="A16202" t="str">
        <f t="shared" si="253"/>
        <v/>
      </c>
      <c r="E16202" s="626"/>
      <c r="F16202" s="626"/>
    </row>
    <row r="16203" spans="1:6">
      <c r="A16203" t="str">
        <f t="shared" si="253"/>
        <v/>
      </c>
      <c r="E16203" s="626"/>
      <c r="F16203" s="626"/>
    </row>
    <row r="16204" spans="1:6">
      <c r="A16204" t="str">
        <f t="shared" si="253"/>
        <v/>
      </c>
      <c r="E16204" s="626"/>
      <c r="F16204" s="626"/>
    </row>
    <row r="16205" spans="1:6">
      <c r="A16205" t="str">
        <f t="shared" si="253"/>
        <v/>
      </c>
      <c r="E16205" s="626"/>
      <c r="F16205" s="626"/>
    </row>
    <row r="16206" spans="1:6">
      <c r="A16206" t="str">
        <f t="shared" si="253"/>
        <v/>
      </c>
      <c r="E16206" s="626"/>
      <c r="F16206" s="626"/>
    </row>
    <row r="16207" spans="1:6">
      <c r="A16207" t="str">
        <f t="shared" si="253"/>
        <v/>
      </c>
      <c r="E16207" s="626"/>
      <c r="F16207" s="626"/>
    </row>
    <row r="16208" spans="1:6">
      <c r="A16208" t="str">
        <f t="shared" si="253"/>
        <v/>
      </c>
      <c r="E16208" s="626"/>
      <c r="F16208" s="626"/>
    </row>
    <row r="16209" spans="1:6">
      <c r="A16209" t="str">
        <f t="shared" si="253"/>
        <v/>
      </c>
      <c r="E16209" s="626"/>
      <c r="F16209" s="626"/>
    </row>
    <row r="16210" spans="1:6">
      <c r="A16210" t="str">
        <f t="shared" si="253"/>
        <v/>
      </c>
      <c r="E16210" s="626"/>
      <c r="F16210" s="626"/>
    </row>
    <row r="16211" spans="1:6">
      <c r="A16211" t="str">
        <f t="shared" si="253"/>
        <v/>
      </c>
      <c r="E16211" s="626"/>
      <c r="F16211" s="626"/>
    </row>
    <row r="16212" spans="1:6">
      <c r="A16212" t="str">
        <f t="shared" si="253"/>
        <v/>
      </c>
      <c r="E16212" s="626"/>
      <c r="F16212" s="626"/>
    </row>
    <row r="16213" spans="1:6">
      <c r="A16213" t="str">
        <f t="shared" si="253"/>
        <v/>
      </c>
      <c r="E16213" s="626"/>
      <c r="F16213" s="626"/>
    </row>
    <row r="16214" spans="1:6">
      <c r="A16214" t="str">
        <f t="shared" si="253"/>
        <v/>
      </c>
      <c r="E16214" s="626"/>
      <c r="F16214" s="626"/>
    </row>
    <row r="16215" spans="1:6">
      <c r="A16215" t="str">
        <f t="shared" si="253"/>
        <v/>
      </c>
      <c r="E16215" s="626"/>
      <c r="F16215" s="626"/>
    </row>
    <row r="16216" spans="1:6">
      <c r="A16216" t="str">
        <f t="shared" si="253"/>
        <v/>
      </c>
      <c r="E16216" s="626"/>
      <c r="F16216" s="626"/>
    </row>
    <row r="16217" spans="1:6">
      <c r="A16217" t="str">
        <f t="shared" si="253"/>
        <v/>
      </c>
      <c r="E16217" s="626"/>
      <c r="F16217" s="626"/>
    </row>
    <row r="16218" spans="1:6">
      <c r="A16218" t="str">
        <f t="shared" si="253"/>
        <v/>
      </c>
      <c r="E16218" s="626"/>
      <c r="F16218" s="626"/>
    </row>
    <row r="16219" spans="1:6">
      <c r="A16219" t="str">
        <f t="shared" si="253"/>
        <v/>
      </c>
      <c r="E16219" s="626"/>
      <c r="F16219" s="626"/>
    </row>
    <row r="16220" spans="1:6">
      <c r="A16220" t="str">
        <f t="shared" si="253"/>
        <v/>
      </c>
      <c r="E16220" s="626"/>
      <c r="F16220" s="626"/>
    </row>
    <row r="16221" spans="1:6">
      <c r="A16221" t="str">
        <f t="shared" si="253"/>
        <v/>
      </c>
      <c r="E16221" s="626"/>
      <c r="F16221" s="626"/>
    </row>
    <row r="16222" spans="1:6">
      <c r="A16222" t="str">
        <f t="shared" si="253"/>
        <v/>
      </c>
      <c r="E16222" s="626"/>
      <c r="F16222" s="626"/>
    </row>
    <row r="16223" spans="1:6">
      <c r="A16223" t="str">
        <f t="shared" si="253"/>
        <v/>
      </c>
      <c r="E16223" s="626"/>
      <c r="F16223" s="626"/>
    </row>
    <row r="16224" spans="1:6">
      <c r="A16224" t="str">
        <f t="shared" si="253"/>
        <v/>
      </c>
      <c r="E16224" s="626"/>
      <c r="F16224" s="626"/>
    </row>
    <row r="16225" spans="1:6">
      <c r="A16225" t="str">
        <f t="shared" si="253"/>
        <v/>
      </c>
      <c r="E16225" s="626"/>
      <c r="F16225" s="626"/>
    </row>
    <row r="16226" spans="1:6">
      <c r="A16226" t="str">
        <f t="shared" si="253"/>
        <v/>
      </c>
      <c r="E16226" s="626"/>
      <c r="F16226" s="626"/>
    </row>
    <row r="16227" spans="1:6">
      <c r="A16227" t="str">
        <f t="shared" si="253"/>
        <v/>
      </c>
      <c r="E16227" s="626"/>
      <c r="F16227" s="626"/>
    </row>
    <row r="16228" spans="1:6">
      <c r="A16228" t="str">
        <f t="shared" si="253"/>
        <v/>
      </c>
      <c r="E16228" s="626"/>
      <c r="F16228" s="626"/>
    </row>
    <row r="16229" spans="1:6">
      <c r="A16229" t="str">
        <f t="shared" si="253"/>
        <v/>
      </c>
      <c r="E16229" s="626"/>
      <c r="F16229" s="626"/>
    </row>
    <row r="16230" spans="1:6">
      <c r="A16230" t="str">
        <f t="shared" si="253"/>
        <v/>
      </c>
      <c r="E16230" s="626"/>
      <c r="F16230" s="626"/>
    </row>
    <row r="16231" spans="1:6">
      <c r="A16231" t="str">
        <f t="shared" si="253"/>
        <v/>
      </c>
      <c r="E16231" s="626"/>
      <c r="F16231" s="626"/>
    </row>
    <row r="16232" spans="1:6">
      <c r="A16232" t="str">
        <f t="shared" si="253"/>
        <v/>
      </c>
      <c r="E16232" s="626"/>
      <c r="F16232" s="626"/>
    </row>
    <row r="16233" spans="1:6">
      <c r="A16233" t="str">
        <f t="shared" si="253"/>
        <v/>
      </c>
      <c r="E16233" s="626"/>
      <c r="F16233" s="626"/>
    </row>
    <row r="16234" spans="1:6">
      <c r="A16234" t="str">
        <f t="shared" si="253"/>
        <v/>
      </c>
      <c r="E16234" s="626"/>
      <c r="F16234" s="626"/>
    </row>
    <row r="16235" spans="1:6">
      <c r="A16235" t="str">
        <f t="shared" si="253"/>
        <v/>
      </c>
      <c r="E16235" s="626"/>
      <c r="F16235" s="626"/>
    </row>
    <row r="16236" spans="1:6">
      <c r="A16236" t="str">
        <f t="shared" si="253"/>
        <v/>
      </c>
      <c r="E16236" s="626"/>
      <c r="F16236" s="626"/>
    </row>
    <row r="16237" spans="1:6">
      <c r="A16237" t="str">
        <f t="shared" si="253"/>
        <v/>
      </c>
      <c r="E16237" s="626"/>
      <c r="F16237" s="626"/>
    </row>
    <row r="16238" spans="1:6">
      <c r="A16238" t="str">
        <f t="shared" si="253"/>
        <v/>
      </c>
      <c r="E16238" s="626"/>
      <c r="F16238" s="626"/>
    </row>
    <row r="16239" spans="1:6">
      <c r="A16239" t="str">
        <f t="shared" si="253"/>
        <v/>
      </c>
      <c r="E16239" s="626"/>
      <c r="F16239" s="626"/>
    </row>
    <row r="16240" spans="1:6">
      <c r="A16240" t="str">
        <f t="shared" si="253"/>
        <v/>
      </c>
      <c r="E16240" s="626"/>
      <c r="F16240" s="626"/>
    </row>
    <row r="16241" spans="1:6">
      <c r="A16241" t="str">
        <f t="shared" si="253"/>
        <v/>
      </c>
      <c r="E16241" s="626"/>
      <c r="F16241" s="626"/>
    </row>
    <row r="16242" spans="1:6">
      <c r="A16242" t="str">
        <f t="shared" si="253"/>
        <v/>
      </c>
      <c r="E16242" s="626"/>
      <c r="F16242" s="626"/>
    </row>
    <row r="16243" spans="1:6">
      <c r="A16243" t="str">
        <f t="shared" si="253"/>
        <v/>
      </c>
      <c r="E16243" s="626"/>
      <c r="F16243" s="626"/>
    </row>
    <row r="16244" spans="1:6">
      <c r="A16244" t="str">
        <f t="shared" si="253"/>
        <v/>
      </c>
      <c r="E16244" s="626"/>
      <c r="F16244" s="626"/>
    </row>
    <row r="16245" spans="1:6">
      <c r="A16245" t="str">
        <f t="shared" si="253"/>
        <v/>
      </c>
      <c r="E16245" s="626"/>
      <c r="F16245" s="626"/>
    </row>
    <row r="16246" spans="1:6">
      <c r="A16246" t="str">
        <f t="shared" si="253"/>
        <v/>
      </c>
      <c r="E16246" s="626"/>
      <c r="F16246" s="626"/>
    </row>
    <row r="16247" spans="1:6">
      <c r="A16247" t="str">
        <f t="shared" si="253"/>
        <v/>
      </c>
      <c r="E16247" s="626"/>
      <c r="F16247" s="626"/>
    </row>
    <row r="16248" spans="1:6">
      <c r="A16248" t="str">
        <f t="shared" si="253"/>
        <v/>
      </c>
      <c r="E16248" s="626"/>
      <c r="F16248" s="626"/>
    </row>
    <row r="16249" spans="1:6">
      <c r="A16249" t="str">
        <f t="shared" si="253"/>
        <v/>
      </c>
      <c r="E16249" s="626"/>
      <c r="F16249" s="626"/>
    </row>
    <row r="16250" spans="1:6">
      <c r="A16250" t="str">
        <f t="shared" si="253"/>
        <v/>
      </c>
      <c r="E16250" s="626"/>
      <c r="F16250" s="626"/>
    </row>
    <row r="16251" spans="1:6">
      <c r="A16251" t="str">
        <f t="shared" si="253"/>
        <v/>
      </c>
      <c r="E16251" s="626"/>
      <c r="F16251" s="626"/>
    </row>
    <row r="16252" spans="1:6">
      <c r="A16252" t="str">
        <f t="shared" si="253"/>
        <v/>
      </c>
      <c r="E16252" s="626"/>
      <c r="F16252" s="626"/>
    </row>
    <row r="16253" spans="1:6">
      <c r="A16253" t="str">
        <f t="shared" si="253"/>
        <v/>
      </c>
      <c r="E16253" s="626"/>
      <c r="F16253" s="626"/>
    </row>
    <row r="16254" spans="1:6">
      <c r="A16254" t="str">
        <f t="shared" si="253"/>
        <v/>
      </c>
      <c r="E16254" s="626"/>
      <c r="F16254" s="626"/>
    </row>
    <row r="16255" spans="1:6">
      <c r="A16255" t="str">
        <f t="shared" si="253"/>
        <v/>
      </c>
      <c r="E16255" s="626"/>
      <c r="F16255" s="626"/>
    </row>
    <row r="16256" spans="1:6">
      <c r="A16256" t="str">
        <f t="shared" si="253"/>
        <v/>
      </c>
      <c r="E16256" s="626"/>
      <c r="F16256" s="626"/>
    </row>
    <row r="16257" spans="1:6">
      <c r="A16257" t="str">
        <f t="shared" si="253"/>
        <v/>
      </c>
      <c r="E16257" s="626"/>
      <c r="F16257" s="626"/>
    </row>
    <row r="16258" spans="1:6">
      <c r="A16258" t="str">
        <f t="shared" ref="A16258:A16321" si="254">B16258&amp;E16258&amp;J16258</f>
        <v/>
      </c>
      <c r="E16258" s="626"/>
      <c r="F16258" s="626"/>
    </row>
    <row r="16259" spans="1:6">
      <c r="A16259" t="str">
        <f t="shared" si="254"/>
        <v/>
      </c>
      <c r="E16259" s="626"/>
      <c r="F16259" s="626"/>
    </row>
    <row r="16260" spans="1:6">
      <c r="A16260" t="str">
        <f t="shared" si="254"/>
        <v/>
      </c>
      <c r="E16260" s="626"/>
      <c r="F16260" s="626"/>
    </row>
    <row r="16261" spans="1:6">
      <c r="A16261" t="str">
        <f t="shared" si="254"/>
        <v/>
      </c>
      <c r="E16261" s="626"/>
      <c r="F16261" s="626"/>
    </row>
    <row r="16262" spans="1:6">
      <c r="A16262" t="str">
        <f t="shared" si="254"/>
        <v/>
      </c>
      <c r="E16262" s="626"/>
      <c r="F16262" s="626"/>
    </row>
    <row r="16263" spans="1:6">
      <c r="A16263" t="str">
        <f t="shared" si="254"/>
        <v/>
      </c>
      <c r="E16263" s="626"/>
      <c r="F16263" s="626"/>
    </row>
    <row r="16264" spans="1:6">
      <c r="A16264" t="str">
        <f t="shared" si="254"/>
        <v/>
      </c>
      <c r="E16264" s="626"/>
      <c r="F16264" s="626"/>
    </row>
    <row r="16265" spans="1:6">
      <c r="A16265" t="str">
        <f t="shared" si="254"/>
        <v/>
      </c>
      <c r="E16265" s="626"/>
      <c r="F16265" s="626"/>
    </row>
    <row r="16266" spans="1:6">
      <c r="A16266" t="str">
        <f t="shared" si="254"/>
        <v/>
      </c>
      <c r="E16266" s="626"/>
      <c r="F16266" s="626"/>
    </row>
    <row r="16267" spans="1:6">
      <c r="A16267" t="str">
        <f t="shared" si="254"/>
        <v/>
      </c>
      <c r="E16267" s="626"/>
      <c r="F16267" s="626"/>
    </row>
    <row r="16268" spans="1:6">
      <c r="A16268" t="str">
        <f t="shared" si="254"/>
        <v/>
      </c>
      <c r="E16268" s="626"/>
      <c r="F16268" s="626"/>
    </row>
    <row r="16269" spans="1:6">
      <c r="A16269" t="str">
        <f t="shared" si="254"/>
        <v/>
      </c>
      <c r="E16269" s="626"/>
      <c r="F16269" s="626"/>
    </row>
    <row r="16270" spans="1:6">
      <c r="A16270" t="str">
        <f t="shared" si="254"/>
        <v/>
      </c>
      <c r="E16270" s="626"/>
      <c r="F16270" s="626"/>
    </row>
    <row r="16271" spans="1:6">
      <c r="A16271" t="str">
        <f t="shared" si="254"/>
        <v/>
      </c>
      <c r="E16271" s="626"/>
      <c r="F16271" s="626"/>
    </row>
    <row r="16272" spans="1:6">
      <c r="A16272" t="str">
        <f t="shared" si="254"/>
        <v/>
      </c>
      <c r="E16272" s="626"/>
      <c r="F16272" s="626"/>
    </row>
    <row r="16273" spans="1:6">
      <c r="A16273" t="str">
        <f t="shared" si="254"/>
        <v/>
      </c>
      <c r="E16273" s="626"/>
      <c r="F16273" s="626"/>
    </row>
    <row r="16274" spans="1:6">
      <c r="A16274" t="str">
        <f t="shared" si="254"/>
        <v/>
      </c>
      <c r="E16274" s="626"/>
      <c r="F16274" s="626"/>
    </row>
    <row r="16275" spans="1:6">
      <c r="A16275" t="str">
        <f t="shared" si="254"/>
        <v/>
      </c>
      <c r="E16275" s="626"/>
      <c r="F16275" s="626"/>
    </row>
    <row r="16276" spans="1:6">
      <c r="A16276" t="str">
        <f t="shared" si="254"/>
        <v/>
      </c>
      <c r="E16276" s="626"/>
      <c r="F16276" s="626"/>
    </row>
    <row r="16277" spans="1:6">
      <c r="A16277" t="str">
        <f t="shared" si="254"/>
        <v/>
      </c>
      <c r="E16277" s="626"/>
      <c r="F16277" s="626"/>
    </row>
    <row r="16278" spans="1:6">
      <c r="A16278" t="str">
        <f t="shared" si="254"/>
        <v/>
      </c>
      <c r="E16278" s="626"/>
      <c r="F16278" s="626"/>
    </row>
    <row r="16279" spans="1:6">
      <c r="A16279" t="str">
        <f t="shared" si="254"/>
        <v/>
      </c>
      <c r="E16279" s="626"/>
      <c r="F16279" s="626"/>
    </row>
    <row r="16280" spans="1:6">
      <c r="A16280" t="str">
        <f t="shared" si="254"/>
        <v/>
      </c>
      <c r="E16280" s="626"/>
      <c r="F16280" s="626"/>
    </row>
    <row r="16281" spans="1:6">
      <c r="A16281" t="str">
        <f t="shared" si="254"/>
        <v/>
      </c>
      <c r="E16281" s="626"/>
      <c r="F16281" s="626"/>
    </row>
    <row r="16282" spans="1:6">
      <c r="A16282" t="str">
        <f t="shared" si="254"/>
        <v/>
      </c>
      <c r="E16282" s="626"/>
      <c r="F16282" s="626"/>
    </row>
    <row r="16283" spans="1:6">
      <c r="A16283" t="str">
        <f t="shared" si="254"/>
        <v/>
      </c>
      <c r="E16283" s="626"/>
      <c r="F16283" s="626"/>
    </row>
    <row r="16284" spans="1:6">
      <c r="A16284" t="str">
        <f t="shared" si="254"/>
        <v/>
      </c>
      <c r="E16284" s="626"/>
      <c r="F16284" s="626"/>
    </row>
    <row r="16285" spans="1:6">
      <c r="A16285" t="str">
        <f t="shared" si="254"/>
        <v/>
      </c>
      <c r="E16285" s="626"/>
      <c r="F16285" s="626"/>
    </row>
    <row r="16286" spans="1:6">
      <c r="A16286" t="str">
        <f t="shared" si="254"/>
        <v/>
      </c>
      <c r="E16286" s="626"/>
      <c r="F16286" s="626"/>
    </row>
    <row r="16287" spans="1:6">
      <c r="A16287" t="str">
        <f t="shared" si="254"/>
        <v/>
      </c>
      <c r="E16287" s="626"/>
      <c r="F16287" s="626"/>
    </row>
    <row r="16288" spans="1:6">
      <c r="A16288" t="str">
        <f t="shared" si="254"/>
        <v/>
      </c>
      <c r="E16288" s="626"/>
      <c r="F16288" s="626"/>
    </row>
    <row r="16289" spans="1:6">
      <c r="A16289" t="str">
        <f t="shared" si="254"/>
        <v/>
      </c>
      <c r="E16289" s="626"/>
      <c r="F16289" s="626"/>
    </row>
    <row r="16290" spans="1:6">
      <c r="A16290" t="str">
        <f t="shared" si="254"/>
        <v/>
      </c>
      <c r="E16290" s="626"/>
      <c r="F16290" s="626"/>
    </row>
    <row r="16291" spans="1:6">
      <c r="A16291" t="str">
        <f t="shared" si="254"/>
        <v/>
      </c>
      <c r="E16291" s="626"/>
      <c r="F16291" s="626"/>
    </row>
    <row r="16292" spans="1:6">
      <c r="A16292" t="str">
        <f t="shared" si="254"/>
        <v/>
      </c>
      <c r="E16292" s="626"/>
      <c r="F16292" s="626"/>
    </row>
    <row r="16293" spans="1:6">
      <c r="A16293" t="str">
        <f t="shared" si="254"/>
        <v/>
      </c>
      <c r="E16293" s="626"/>
      <c r="F16293" s="626"/>
    </row>
    <row r="16294" spans="1:6">
      <c r="A16294" t="str">
        <f t="shared" si="254"/>
        <v/>
      </c>
      <c r="E16294" s="626"/>
      <c r="F16294" s="626"/>
    </row>
    <row r="16295" spans="1:6">
      <c r="A16295" t="str">
        <f t="shared" si="254"/>
        <v/>
      </c>
      <c r="E16295" s="626"/>
      <c r="F16295" s="626"/>
    </row>
    <row r="16296" spans="1:6">
      <c r="A16296" t="str">
        <f t="shared" si="254"/>
        <v/>
      </c>
      <c r="E16296" s="626"/>
      <c r="F16296" s="626"/>
    </row>
    <row r="16297" spans="1:6">
      <c r="A16297" t="str">
        <f t="shared" si="254"/>
        <v/>
      </c>
      <c r="E16297" s="626"/>
      <c r="F16297" s="626"/>
    </row>
    <row r="16298" spans="1:6">
      <c r="A16298" t="str">
        <f t="shared" si="254"/>
        <v/>
      </c>
      <c r="E16298" s="626"/>
      <c r="F16298" s="626"/>
    </row>
    <row r="16299" spans="1:6">
      <c r="A16299" t="str">
        <f t="shared" si="254"/>
        <v/>
      </c>
      <c r="E16299" s="626"/>
      <c r="F16299" s="626"/>
    </row>
    <row r="16300" spans="1:6">
      <c r="A16300" t="str">
        <f t="shared" si="254"/>
        <v/>
      </c>
      <c r="E16300" s="626"/>
      <c r="F16300" s="626"/>
    </row>
    <row r="16301" spans="1:6">
      <c r="A16301" t="str">
        <f t="shared" si="254"/>
        <v/>
      </c>
      <c r="E16301" s="626"/>
      <c r="F16301" s="626"/>
    </row>
    <row r="16302" spans="1:6">
      <c r="A16302" t="str">
        <f t="shared" si="254"/>
        <v/>
      </c>
      <c r="E16302" s="626"/>
      <c r="F16302" s="626"/>
    </row>
    <row r="16303" spans="1:6">
      <c r="A16303" t="str">
        <f t="shared" si="254"/>
        <v/>
      </c>
      <c r="E16303" s="626"/>
      <c r="F16303" s="626"/>
    </row>
    <row r="16304" spans="1:6">
      <c r="A16304" t="str">
        <f t="shared" si="254"/>
        <v/>
      </c>
      <c r="E16304" s="626"/>
      <c r="F16304" s="626"/>
    </row>
    <row r="16305" spans="1:6">
      <c r="A16305" t="str">
        <f t="shared" si="254"/>
        <v/>
      </c>
      <c r="E16305" s="626"/>
      <c r="F16305" s="626"/>
    </row>
    <row r="16306" spans="1:6">
      <c r="A16306" t="str">
        <f t="shared" si="254"/>
        <v/>
      </c>
      <c r="E16306" s="626"/>
      <c r="F16306" s="626"/>
    </row>
    <row r="16307" spans="1:6">
      <c r="A16307" t="str">
        <f t="shared" si="254"/>
        <v/>
      </c>
      <c r="E16307" s="626"/>
      <c r="F16307" s="626"/>
    </row>
    <row r="16308" spans="1:6">
      <c r="A16308" t="str">
        <f t="shared" si="254"/>
        <v/>
      </c>
      <c r="E16308" s="626"/>
      <c r="F16308" s="626"/>
    </row>
    <row r="16309" spans="1:6">
      <c r="A16309" t="str">
        <f t="shared" si="254"/>
        <v/>
      </c>
      <c r="E16309" s="626"/>
      <c r="F16309" s="626"/>
    </row>
    <row r="16310" spans="1:6">
      <c r="A16310" t="str">
        <f t="shared" si="254"/>
        <v/>
      </c>
      <c r="E16310" s="626"/>
      <c r="F16310" s="626"/>
    </row>
    <row r="16311" spans="1:6">
      <c r="A16311" t="str">
        <f t="shared" si="254"/>
        <v/>
      </c>
      <c r="E16311" s="626"/>
      <c r="F16311" s="626"/>
    </row>
    <row r="16312" spans="1:6">
      <c r="A16312" t="str">
        <f t="shared" si="254"/>
        <v/>
      </c>
      <c r="E16312" s="626"/>
      <c r="F16312" s="626"/>
    </row>
    <row r="16313" spans="1:6">
      <c r="A16313" t="str">
        <f t="shared" si="254"/>
        <v/>
      </c>
      <c r="E16313" s="626"/>
      <c r="F16313" s="626"/>
    </row>
    <row r="16314" spans="1:6">
      <c r="A16314" t="str">
        <f t="shared" si="254"/>
        <v/>
      </c>
      <c r="E16314" s="626"/>
      <c r="F16314" s="626"/>
    </row>
    <row r="16315" spans="1:6">
      <c r="A16315" t="str">
        <f t="shared" si="254"/>
        <v/>
      </c>
      <c r="E16315" s="626"/>
      <c r="F16315" s="626"/>
    </row>
    <row r="16316" spans="1:6">
      <c r="A16316" t="str">
        <f t="shared" si="254"/>
        <v/>
      </c>
      <c r="E16316" s="626"/>
      <c r="F16316" s="626"/>
    </row>
    <row r="16317" spans="1:6">
      <c r="A16317" t="str">
        <f t="shared" si="254"/>
        <v/>
      </c>
      <c r="E16317" s="626"/>
      <c r="F16317" s="626"/>
    </row>
    <row r="16318" spans="1:6">
      <c r="A16318" t="str">
        <f t="shared" si="254"/>
        <v/>
      </c>
      <c r="E16318" s="626"/>
      <c r="F16318" s="626"/>
    </row>
    <row r="16319" spans="1:6">
      <c r="A16319" t="str">
        <f t="shared" si="254"/>
        <v/>
      </c>
      <c r="E16319" s="626"/>
      <c r="F16319" s="626"/>
    </row>
    <row r="16320" spans="1:6">
      <c r="A16320" t="str">
        <f t="shared" si="254"/>
        <v/>
      </c>
      <c r="E16320" s="626"/>
      <c r="F16320" s="626"/>
    </row>
    <row r="16321" spans="1:6">
      <c r="A16321" t="str">
        <f t="shared" si="254"/>
        <v/>
      </c>
      <c r="E16321" s="626"/>
      <c r="F16321" s="626"/>
    </row>
    <row r="16322" spans="1:6">
      <c r="A16322" t="str">
        <f t="shared" ref="A16322:A16385" si="255">B16322&amp;E16322&amp;J16322</f>
        <v/>
      </c>
      <c r="E16322" s="626"/>
      <c r="F16322" s="626"/>
    </row>
    <row r="16323" spans="1:6">
      <c r="A16323" t="str">
        <f t="shared" si="255"/>
        <v/>
      </c>
      <c r="E16323" s="626"/>
      <c r="F16323" s="626"/>
    </row>
    <row r="16324" spans="1:6">
      <c r="A16324" t="str">
        <f t="shared" si="255"/>
        <v/>
      </c>
      <c r="E16324" s="626"/>
      <c r="F16324" s="626"/>
    </row>
    <row r="16325" spans="1:6">
      <c r="A16325" t="str">
        <f t="shared" si="255"/>
        <v/>
      </c>
      <c r="E16325" s="626"/>
      <c r="F16325" s="626"/>
    </row>
    <row r="16326" spans="1:6">
      <c r="A16326" t="str">
        <f t="shared" si="255"/>
        <v/>
      </c>
      <c r="E16326" s="626"/>
      <c r="F16326" s="626"/>
    </row>
    <row r="16327" spans="1:6">
      <c r="A16327" t="str">
        <f t="shared" si="255"/>
        <v/>
      </c>
      <c r="E16327" s="626"/>
      <c r="F16327" s="626"/>
    </row>
    <row r="16328" spans="1:6">
      <c r="A16328" t="str">
        <f t="shared" si="255"/>
        <v/>
      </c>
      <c r="E16328" s="626"/>
      <c r="F16328" s="626"/>
    </row>
    <row r="16329" spans="1:6">
      <c r="A16329" t="str">
        <f t="shared" si="255"/>
        <v/>
      </c>
      <c r="E16329" s="626"/>
      <c r="F16329" s="626"/>
    </row>
    <row r="16330" spans="1:6">
      <c r="A16330" t="str">
        <f t="shared" si="255"/>
        <v/>
      </c>
      <c r="E16330" s="626"/>
      <c r="F16330" s="626"/>
    </row>
    <row r="16331" spans="1:6">
      <c r="A16331" t="str">
        <f t="shared" si="255"/>
        <v/>
      </c>
      <c r="E16331" s="626"/>
      <c r="F16331" s="626"/>
    </row>
    <row r="16332" spans="1:6">
      <c r="A16332" t="str">
        <f t="shared" si="255"/>
        <v/>
      </c>
      <c r="E16332" s="626"/>
      <c r="F16332" s="626"/>
    </row>
    <row r="16333" spans="1:6">
      <c r="A16333" t="str">
        <f t="shared" si="255"/>
        <v/>
      </c>
      <c r="E16333" s="626"/>
      <c r="F16333" s="626"/>
    </row>
    <row r="16334" spans="1:6">
      <c r="A16334" t="str">
        <f t="shared" si="255"/>
        <v/>
      </c>
      <c r="E16334" s="626"/>
      <c r="F16334" s="626"/>
    </row>
    <row r="16335" spans="1:6">
      <c r="A16335" t="str">
        <f t="shared" si="255"/>
        <v/>
      </c>
      <c r="E16335" s="626"/>
      <c r="F16335" s="626"/>
    </row>
    <row r="16336" spans="1:6">
      <c r="A16336" t="str">
        <f t="shared" si="255"/>
        <v/>
      </c>
      <c r="E16336" s="626"/>
      <c r="F16336" s="626"/>
    </row>
    <row r="16337" spans="1:6">
      <c r="A16337" t="str">
        <f t="shared" si="255"/>
        <v/>
      </c>
      <c r="E16337" s="626"/>
      <c r="F16337" s="626"/>
    </row>
    <row r="16338" spans="1:6">
      <c r="A16338" t="str">
        <f t="shared" si="255"/>
        <v/>
      </c>
      <c r="E16338" s="626"/>
      <c r="F16338" s="626"/>
    </row>
    <row r="16339" spans="1:6">
      <c r="A16339" t="str">
        <f t="shared" si="255"/>
        <v/>
      </c>
      <c r="E16339" s="626"/>
      <c r="F16339" s="626"/>
    </row>
    <row r="16340" spans="1:6">
      <c r="A16340" t="str">
        <f t="shared" si="255"/>
        <v/>
      </c>
      <c r="E16340" s="626"/>
      <c r="F16340" s="626"/>
    </row>
    <row r="16341" spans="1:6">
      <c r="A16341" t="str">
        <f t="shared" si="255"/>
        <v/>
      </c>
      <c r="E16341" s="626"/>
      <c r="F16341" s="626"/>
    </row>
    <row r="16342" spans="1:6">
      <c r="A16342" t="str">
        <f t="shared" si="255"/>
        <v/>
      </c>
      <c r="E16342" s="626"/>
      <c r="F16342" s="626"/>
    </row>
    <row r="16343" spans="1:6">
      <c r="A16343" t="str">
        <f t="shared" si="255"/>
        <v/>
      </c>
      <c r="E16343" s="626"/>
      <c r="F16343" s="626"/>
    </row>
    <row r="16344" spans="1:6">
      <c r="A16344" t="str">
        <f t="shared" si="255"/>
        <v/>
      </c>
      <c r="E16344" s="626"/>
      <c r="F16344" s="626"/>
    </row>
    <row r="16345" spans="1:6">
      <c r="A16345" t="str">
        <f t="shared" si="255"/>
        <v/>
      </c>
      <c r="E16345" s="626"/>
      <c r="F16345" s="626"/>
    </row>
    <row r="16346" spans="1:6">
      <c r="A16346" t="str">
        <f t="shared" si="255"/>
        <v/>
      </c>
      <c r="E16346" s="626"/>
      <c r="F16346" s="626"/>
    </row>
    <row r="16347" spans="1:6">
      <c r="A16347" t="str">
        <f t="shared" si="255"/>
        <v/>
      </c>
      <c r="E16347" s="626"/>
      <c r="F16347" s="626"/>
    </row>
    <row r="16348" spans="1:6">
      <c r="A16348" t="str">
        <f t="shared" si="255"/>
        <v/>
      </c>
      <c r="E16348" s="626"/>
      <c r="F16348" s="626"/>
    </row>
    <row r="16349" spans="1:6">
      <c r="A16349" t="str">
        <f t="shared" si="255"/>
        <v/>
      </c>
      <c r="E16349" s="626"/>
      <c r="F16349" s="626"/>
    </row>
    <row r="16350" spans="1:6">
      <c r="A16350" t="str">
        <f t="shared" si="255"/>
        <v/>
      </c>
      <c r="E16350" s="626"/>
      <c r="F16350" s="626"/>
    </row>
    <row r="16351" spans="1:6">
      <c r="A16351" t="str">
        <f t="shared" si="255"/>
        <v/>
      </c>
      <c r="E16351" s="626"/>
      <c r="F16351" s="626"/>
    </row>
    <row r="16352" spans="1:6">
      <c r="A16352" t="str">
        <f t="shared" si="255"/>
        <v/>
      </c>
      <c r="E16352" s="626"/>
      <c r="F16352" s="626"/>
    </row>
    <row r="16353" spans="1:6">
      <c r="A16353" t="str">
        <f t="shared" si="255"/>
        <v/>
      </c>
      <c r="E16353" s="626"/>
      <c r="F16353" s="626"/>
    </row>
    <row r="16354" spans="1:6">
      <c r="A16354" t="str">
        <f t="shared" si="255"/>
        <v/>
      </c>
      <c r="E16354" s="626"/>
      <c r="F16354" s="626"/>
    </row>
    <row r="16355" spans="1:6">
      <c r="A16355" t="str">
        <f t="shared" si="255"/>
        <v/>
      </c>
      <c r="E16355" s="626"/>
      <c r="F16355" s="626"/>
    </row>
    <row r="16356" spans="1:6">
      <c r="A16356" t="str">
        <f t="shared" si="255"/>
        <v/>
      </c>
      <c r="E16356" s="626"/>
      <c r="F16356" s="626"/>
    </row>
    <row r="16357" spans="1:6">
      <c r="A16357" t="str">
        <f t="shared" si="255"/>
        <v/>
      </c>
      <c r="E16357" s="626"/>
      <c r="F16357" s="626"/>
    </row>
    <row r="16358" spans="1:6">
      <c r="A16358" t="str">
        <f t="shared" si="255"/>
        <v/>
      </c>
      <c r="E16358" s="626"/>
      <c r="F16358" s="626"/>
    </row>
    <row r="16359" spans="1:6">
      <c r="A16359" t="str">
        <f t="shared" si="255"/>
        <v/>
      </c>
      <c r="E16359" s="626"/>
      <c r="F16359" s="626"/>
    </row>
    <row r="16360" spans="1:6">
      <c r="A16360" t="str">
        <f t="shared" si="255"/>
        <v/>
      </c>
      <c r="E16360" s="626"/>
      <c r="F16360" s="626"/>
    </row>
    <row r="16361" spans="1:6">
      <c r="A16361" t="str">
        <f t="shared" si="255"/>
        <v/>
      </c>
      <c r="E16361" s="626"/>
      <c r="F16361" s="626"/>
    </row>
    <row r="16362" spans="1:6">
      <c r="A16362" t="str">
        <f t="shared" si="255"/>
        <v/>
      </c>
      <c r="E16362" s="626"/>
      <c r="F16362" s="626"/>
    </row>
    <row r="16363" spans="1:6">
      <c r="A16363" t="str">
        <f t="shared" si="255"/>
        <v/>
      </c>
      <c r="E16363" s="626"/>
      <c r="F16363" s="626"/>
    </row>
    <row r="16364" spans="1:6">
      <c r="A16364" t="str">
        <f t="shared" si="255"/>
        <v/>
      </c>
      <c r="E16364" s="626"/>
      <c r="F16364" s="626"/>
    </row>
    <row r="16365" spans="1:6">
      <c r="A16365" t="str">
        <f t="shared" si="255"/>
        <v/>
      </c>
      <c r="E16365" s="626"/>
      <c r="F16365" s="626"/>
    </row>
    <row r="16366" spans="1:6">
      <c r="A16366" t="str">
        <f t="shared" si="255"/>
        <v/>
      </c>
      <c r="E16366" s="626"/>
      <c r="F16366" s="626"/>
    </row>
    <row r="16367" spans="1:6">
      <c r="A16367" t="str">
        <f t="shared" si="255"/>
        <v/>
      </c>
      <c r="E16367" s="626"/>
      <c r="F16367" s="626"/>
    </row>
    <row r="16368" spans="1:6">
      <c r="A16368" t="str">
        <f t="shared" si="255"/>
        <v/>
      </c>
      <c r="E16368" s="626"/>
      <c r="F16368" s="626"/>
    </row>
    <row r="16369" spans="1:6">
      <c r="A16369" t="str">
        <f t="shared" si="255"/>
        <v/>
      </c>
      <c r="E16369" s="626"/>
      <c r="F16369" s="626"/>
    </row>
    <row r="16370" spans="1:6">
      <c r="A16370" t="str">
        <f t="shared" si="255"/>
        <v/>
      </c>
      <c r="E16370" s="626"/>
      <c r="F16370" s="626"/>
    </row>
    <row r="16371" spans="1:6">
      <c r="A16371" t="str">
        <f t="shared" si="255"/>
        <v/>
      </c>
      <c r="E16371" s="626"/>
      <c r="F16371" s="626"/>
    </row>
    <row r="16372" spans="1:6">
      <c r="A16372" t="str">
        <f t="shared" si="255"/>
        <v/>
      </c>
      <c r="E16372" s="626"/>
      <c r="F16372" s="626"/>
    </row>
    <row r="16373" spans="1:6">
      <c r="A16373" t="str">
        <f t="shared" si="255"/>
        <v/>
      </c>
      <c r="E16373" s="626"/>
      <c r="F16373" s="626"/>
    </row>
    <row r="16374" spans="1:6">
      <c r="A16374" t="str">
        <f t="shared" si="255"/>
        <v/>
      </c>
      <c r="E16374" s="626"/>
      <c r="F16374" s="626"/>
    </row>
    <row r="16375" spans="1:6">
      <c r="A16375" t="str">
        <f t="shared" si="255"/>
        <v/>
      </c>
      <c r="E16375" s="626"/>
      <c r="F16375" s="626"/>
    </row>
    <row r="16376" spans="1:6">
      <c r="A16376" t="str">
        <f t="shared" si="255"/>
        <v/>
      </c>
      <c r="E16376" s="626"/>
      <c r="F16376" s="626"/>
    </row>
    <row r="16377" spans="1:6">
      <c r="A16377" t="str">
        <f t="shared" si="255"/>
        <v/>
      </c>
      <c r="E16377" s="626"/>
      <c r="F16377" s="626"/>
    </row>
    <row r="16378" spans="1:6">
      <c r="A16378" t="str">
        <f t="shared" si="255"/>
        <v/>
      </c>
      <c r="E16378" s="626"/>
      <c r="F16378" s="626"/>
    </row>
    <row r="16379" spans="1:6">
      <c r="A16379" t="str">
        <f t="shared" si="255"/>
        <v/>
      </c>
      <c r="E16379" s="626"/>
      <c r="F16379" s="626"/>
    </row>
    <row r="16380" spans="1:6">
      <c r="A16380" t="str">
        <f t="shared" si="255"/>
        <v/>
      </c>
      <c r="E16380" s="626"/>
      <c r="F16380" s="626"/>
    </row>
    <row r="16381" spans="1:6">
      <c r="A16381" t="str">
        <f t="shared" si="255"/>
        <v/>
      </c>
      <c r="E16381" s="626"/>
      <c r="F16381" s="626"/>
    </row>
    <row r="16382" spans="1:6">
      <c r="A16382" t="str">
        <f t="shared" si="255"/>
        <v/>
      </c>
      <c r="E16382" s="626"/>
      <c r="F16382" s="626"/>
    </row>
    <row r="16383" spans="1:6">
      <c r="A16383" t="str">
        <f t="shared" si="255"/>
        <v/>
      </c>
      <c r="E16383" s="626"/>
      <c r="F16383" s="626"/>
    </row>
    <row r="16384" spans="1:6">
      <c r="A16384" t="str">
        <f t="shared" si="255"/>
        <v/>
      </c>
      <c r="E16384" s="626"/>
      <c r="F16384" s="626"/>
    </row>
    <row r="16385" spans="1:6">
      <c r="A16385" t="str">
        <f t="shared" si="255"/>
        <v/>
      </c>
      <c r="E16385" s="626"/>
      <c r="F16385" s="626"/>
    </row>
    <row r="16386" spans="1:6">
      <c r="A16386" t="str">
        <f t="shared" ref="A16386:A16449" si="256">B16386&amp;E16386&amp;J16386</f>
        <v/>
      </c>
      <c r="E16386" s="626"/>
      <c r="F16386" s="626"/>
    </row>
    <row r="16387" spans="1:6">
      <c r="A16387" t="str">
        <f t="shared" si="256"/>
        <v/>
      </c>
      <c r="E16387" s="626"/>
      <c r="F16387" s="626"/>
    </row>
    <row r="16388" spans="1:6">
      <c r="A16388" t="str">
        <f t="shared" si="256"/>
        <v/>
      </c>
      <c r="E16388" s="626"/>
      <c r="F16388" s="626"/>
    </row>
    <row r="16389" spans="1:6">
      <c r="A16389" t="str">
        <f t="shared" si="256"/>
        <v/>
      </c>
      <c r="E16389" s="626"/>
      <c r="F16389" s="626"/>
    </row>
    <row r="16390" spans="1:6">
      <c r="A16390" t="str">
        <f t="shared" si="256"/>
        <v/>
      </c>
      <c r="E16390" s="626"/>
      <c r="F16390" s="626"/>
    </row>
    <row r="16391" spans="1:6">
      <c r="A16391" t="str">
        <f t="shared" si="256"/>
        <v/>
      </c>
      <c r="E16391" s="626"/>
      <c r="F16391" s="626"/>
    </row>
    <row r="16392" spans="1:6">
      <c r="A16392" t="str">
        <f t="shared" si="256"/>
        <v/>
      </c>
      <c r="E16392" s="626"/>
      <c r="F16392" s="626"/>
    </row>
    <row r="16393" spans="1:6">
      <c r="A16393" t="str">
        <f t="shared" si="256"/>
        <v/>
      </c>
      <c r="E16393" s="626"/>
      <c r="F16393" s="626"/>
    </row>
    <row r="16394" spans="1:6">
      <c r="A16394" t="str">
        <f t="shared" si="256"/>
        <v/>
      </c>
      <c r="E16394" s="626"/>
      <c r="F16394" s="626"/>
    </row>
    <row r="16395" spans="1:6">
      <c r="A16395" t="str">
        <f t="shared" si="256"/>
        <v/>
      </c>
      <c r="E16395" s="626"/>
      <c r="F16395" s="626"/>
    </row>
    <row r="16396" spans="1:6">
      <c r="A16396" t="str">
        <f t="shared" si="256"/>
        <v/>
      </c>
      <c r="E16396" s="626"/>
      <c r="F16396" s="626"/>
    </row>
    <row r="16397" spans="1:6">
      <c r="A16397" t="str">
        <f t="shared" si="256"/>
        <v/>
      </c>
      <c r="E16397" s="626"/>
      <c r="F16397" s="626"/>
    </row>
    <row r="16398" spans="1:6">
      <c r="A16398" t="str">
        <f t="shared" si="256"/>
        <v/>
      </c>
      <c r="E16398" s="626"/>
      <c r="F16398" s="626"/>
    </row>
    <row r="16399" spans="1:6">
      <c r="A16399" t="str">
        <f t="shared" si="256"/>
        <v/>
      </c>
      <c r="E16399" s="626"/>
      <c r="F16399" s="626"/>
    </row>
    <row r="16400" spans="1:6">
      <c r="A16400" t="str">
        <f t="shared" si="256"/>
        <v/>
      </c>
      <c r="E16400" s="626"/>
      <c r="F16400" s="626"/>
    </row>
    <row r="16401" spans="1:6">
      <c r="A16401" t="str">
        <f t="shared" si="256"/>
        <v/>
      </c>
      <c r="E16401" s="626"/>
      <c r="F16401" s="626"/>
    </row>
    <row r="16402" spans="1:6">
      <c r="A16402" t="str">
        <f t="shared" si="256"/>
        <v/>
      </c>
      <c r="E16402" s="626"/>
      <c r="F16402" s="626"/>
    </row>
    <row r="16403" spans="1:6">
      <c r="A16403" t="str">
        <f t="shared" si="256"/>
        <v/>
      </c>
      <c r="E16403" s="626"/>
      <c r="F16403" s="626"/>
    </row>
    <row r="16404" spans="1:6">
      <c r="A16404" t="str">
        <f t="shared" si="256"/>
        <v/>
      </c>
      <c r="E16404" s="626"/>
      <c r="F16404" s="626"/>
    </row>
    <row r="16405" spans="1:6">
      <c r="A16405" t="str">
        <f t="shared" si="256"/>
        <v/>
      </c>
      <c r="E16405" s="626"/>
      <c r="F16405" s="626"/>
    </row>
    <row r="16406" spans="1:6">
      <c r="A16406" t="str">
        <f t="shared" si="256"/>
        <v/>
      </c>
      <c r="E16406" s="626"/>
      <c r="F16406" s="626"/>
    </row>
    <row r="16407" spans="1:6">
      <c r="A16407" t="str">
        <f t="shared" si="256"/>
        <v/>
      </c>
      <c r="E16407" s="626"/>
      <c r="F16407" s="626"/>
    </row>
    <row r="16408" spans="1:6">
      <c r="A16408" t="str">
        <f t="shared" si="256"/>
        <v/>
      </c>
      <c r="E16408" s="626"/>
      <c r="F16408" s="626"/>
    </row>
    <row r="16409" spans="1:6">
      <c r="A16409" t="str">
        <f t="shared" si="256"/>
        <v/>
      </c>
      <c r="E16409" s="626"/>
      <c r="F16409" s="626"/>
    </row>
    <row r="16410" spans="1:6">
      <c r="A16410" t="str">
        <f t="shared" si="256"/>
        <v/>
      </c>
      <c r="E16410" s="626"/>
      <c r="F16410" s="626"/>
    </row>
    <row r="16411" spans="1:6">
      <c r="A16411" t="str">
        <f t="shared" si="256"/>
        <v/>
      </c>
      <c r="E16411" s="626"/>
      <c r="F16411" s="626"/>
    </row>
    <row r="16412" spans="1:6">
      <c r="A16412" t="str">
        <f t="shared" si="256"/>
        <v/>
      </c>
      <c r="E16412" s="626"/>
      <c r="F16412" s="626"/>
    </row>
    <row r="16413" spans="1:6">
      <c r="A16413" t="str">
        <f t="shared" si="256"/>
        <v/>
      </c>
      <c r="E16413" s="626"/>
      <c r="F16413" s="626"/>
    </row>
    <row r="16414" spans="1:6">
      <c r="A16414" t="str">
        <f t="shared" si="256"/>
        <v/>
      </c>
      <c r="E16414" s="626"/>
      <c r="F16414" s="626"/>
    </row>
    <row r="16415" spans="1:6">
      <c r="A16415" t="str">
        <f t="shared" si="256"/>
        <v/>
      </c>
      <c r="E16415" s="626"/>
      <c r="F16415" s="626"/>
    </row>
    <row r="16416" spans="1:6">
      <c r="A16416" t="str">
        <f t="shared" si="256"/>
        <v/>
      </c>
      <c r="E16416" s="626"/>
      <c r="F16416" s="626"/>
    </row>
    <row r="16417" spans="1:6">
      <c r="A16417" t="str">
        <f t="shared" si="256"/>
        <v/>
      </c>
      <c r="E16417" s="626"/>
      <c r="F16417" s="626"/>
    </row>
    <row r="16418" spans="1:6">
      <c r="A16418" t="str">
        <f t="shared" si="256"/>
        <v/>
      </c>
      <c r="E16418" s="626"/>
      <c r="F16418" s="626"/>
    </row>
    <row r="16419" spans="1:6">
      <c r="A16419" t="str">
        <f t="shared" si="256"/>
        <v/>
      </c>
      <c r="E16419" s="626"/>
      <c r="F16419" s="626"/>
    </row>
    <row r="16420" spans="1:6">
      <c r="A16420" t="str">
        <f t="shared" si="256"/>
        <v/>
      </c>
      <c r="E16420" s="626"/>
      <c r="F16420" s="626"/>
    </row>
    <row r="16421" spans="1:6">
      <c r="A16421" t="str">
        <f t="shared" si="256"/>
        <v/>
      </c>
      <c r="E16421" s="626"/>
      <c r="F16421" s="626"/>
    </row>
    <row r="16422" spans="1:6">
      <c r="A16422" t="str">
        <f t="shared" si="256"/>
        <v/>
      </c>
      <c r="E16422" s="626"/>
      <c r="F16422" s="626"/>
    </row>
    <row r="16423" spans="1:6">
      <c r="A16423" t="str">
        <f t="shared" si="256"/>
        <v/>
      </c>
      <c r="E16423" s="626"/>
      <c r="F16423" s="626"/>
    </row>
    <row r="16424" spans="1:6">
      <c r="A16424" t="str">
        <f t="shared" si="256"/>
        <v/>
      </c>
      <c r="E16424" s="626"/>
      <c r="F16424" s="626"/>
    </row>
    <row r="16425" spans="1:6">
      <c r="A16425" t="str">
        <f t="shared" si="256"/>
        <v/>
      </c>
      <c r="E16425" s="626"/>
      <c r="F16425" s="626"/>
    </row>
    <row r="16426" spans="1:6">
      <c r="A16426" t="str">
        <f t="shared" si="256"/>
        <v/>
      </c>
      <c r="E16426" s="626"/>
      <c r="F16426" s="626"/>
    </row>
    <row r="16427" spans="1:6">
      <c r="A16427" t="str">
        <f t="shared" si="256"/>
        <v/>
      </c>
      <c r="E16427" s="626"/>
      <c r="F16427" s="626"/>
    </row>
    <row r="16428" spans="1:6">
      <c r="A16428" t="str">
        <f t="shared" si="256"/>
        <v/>
      </c>
      <c r="E16428" s="626"/>
      <c r="F16428" s="626"/>
    </row>
    <row r="16429" spans="1:6">
      <c r="A16429" t="str">
        <f t="shared" si="256"/>
        <v/>
      </c>
      <c r="E16429" s="626"/>
      <c r="F16429" s="626"/>
    </row>
    <row r="16430" spans="1:6">
      <c r="A16430" t="str">
        <f t="shared" si="256"/>
        <v/>
      </c>
      <c r="E16430" s="626"/>
      <c r="F16430" s="626"/>
    </row>
    <row r="16431" spans="1:6">
      <c r="A16431" t="str">
        <f t="shared" si="256"/>
        <v/>
      </c>
      <c r="E16431" s="626"/>
      <c r="F16431" s="626"/>
    </row>
    <row r="16432" spans="1:6">
      <c r="A16432" t="str">
        <f t="shared" si="256"/>
        <v/>
      </c>
      <c r="E16432" s="626"/>
      <c r="F16432" s="626"/>
    </row>
    <row r="16433" spans="1:6">
      <c r="A16433" t="str">
        <f t="shared" si="256"/>
        <v/>
      </c>
      <c r="E16433" s="626"/>
      <c r="F16433" s="626"/>
    </row>
    <row r="16434" spans="1:6">
      <c r="A16434" t="str">
        <f t="shared" si="256"/>
        <v/>
      </c>
      <c r="E16434" s="626"/>
      <c r="F16434" s="626"/>
    </row>
    <row r="16435" spans="1:6">
      <c r="A16435" t="str">
        <f t="shared" si="256"/>
        <v/>
      </c>
      <c r="E16435" s="626"/>
      <c r="F16435" s="626"/>
    </row>
    <row r="16436" spans="1:6">
      <c r="A16436" t="str">
        <f t="shared" si="256"/>
        <v/>
      </c>
      <c r="E16436" s="626"/>
      <c r="F16436" s="626"/>
    </row>
    <row r="16437" spans="1:6">
      <c r="A16437" t="str">
        <f t="shared" si="256"/>
        <v/>
      </c>
      <c r="E16437" s="626"/>
      <c r="F16437" s="626"/>
    </row>
    <row r="16438" spans="1:6">
      <c r="A16438" t="str">
        <f t="shared" si="256"/>
        <v/>
      </c>
      <c r="E16438" s="626"/>
      <c r="F16438" s="626"/>
    </row>
    <row r="16439" spans="1:6">
      <c r="A16439" t="str">
        <f t="shared" si="256"/>
        <v/>
      </c>
      <c r="E16439" s="626"/>
      <c r="F16439" s="626"/>
    </row>
    <row r="16440" spans="1:6">
      <c r="A16440" t="str">
        <f t="shared" si="256"/>
        <v/>
      </c>
      <c r="E16440" s="626"/>
      <c r="F16440" s="626"/>
    </row>
    <row r="16441" spans="1:6">
      <c r="A16441" t="str">
        <f t="shared" si="256"/>
        <v/>
      </c>
      <c r="E16441" s="626"/>
      <c r="F16441" s="626"/>
    </row>
    <row r="16442" spans="1:6">
      <c r="A16442" t="str">
        <f t="shared" si="256"/>
        <v/>
      </c>
      <c r="E16442" s="626"/>
      <c r="F16442" s="626"/>
    </row>
    <row r="16443" spans="1:6">
      <c r="A16443" t="str">
        <f t="shared" si="256"/>
        <v/>
      </c>
      <c r="E16443" s="626"/>
      <c r="F16443" s="626"/>
    </row>
    <row r="16444" spans="1:6">
      <c r="A16444" t="str">
        <f t="shared" si="256"/>
        <v/>
      </c>
      <c r="E16444" s="626"/>
      <c r="F16444" s="626"/>
    </row>
    <row r="16445" spans="1:6">
      <c r="A16445" t="str">
        <f t="shared" si="256"/>
        <v/>
      </c>
      <c r="E16445" s="626"/>
      <c r="F16445" s="626"/>
    </row>
    <row r="16446" spans="1:6">
      <c r="A16446" t="str">
        <f t="shared" si="256"/>
        <v/>
      </c>
      <c r="E16446" s="626"/>
      <c r="F16446" s="626"/>
    </row>
    <row r="16447" spans="1:6">
      <c r="A16447" t="str">
        <f t="shared" si="256"/>
        <v/>
      </c>
      <c r="E16447" s="626"/>
      <c r="F16447" s="626"/>
    </row>
    <row r="16448" spans="1:6">
      <c r="A16448" t="str">
        <f t="shared" si="256"/>
        <v/>
      </c>
      <c r="E16448" s="626"/>
      <c r="F16448" s="626"/>
    </row>
    <row r="16449" spans="1:6">
      <c r="A16449" t="str">
        <f t="shared" si="256"/>
        <v/>
      </c>
      <c r="E16449" s="626"/>
      <c r="F16449" s="626"/>
    </row>
    <row r="16450" spans="1:6">
      <c r="A16450" t="str">
        <f t="shared" ref="A16450:A16513" si="257">B16450&amp;E16450&amp;J16450</f>
        <v/>
      </c>
      <c r="E16450" s="626"/>
      <c r="F16450" s="626"/>
    </row>
    <row r="16451" spans="1:6">
      <c r="A16451" t="str">
        <f t="shared" si="257"/>
        <v/>
      </c>
      <c r="E16451" s="626"/>
      <c r="F16451" s="626"/>
    </row>
    <row r="16452" spans="1:6">
      <c r="A16452" t="str">
        <f t="shared" si="257"/>
        <v/>
      </c>
      <c r="E16452" s="626"/>
      <c r="F16452" s="626"/>
    </row>
    <row r="16453" spans="1:6">
      <c r="A16453" t="str">
        <f t="shared" si="257"/>
        <v/>
      </c>
      <c r="E16453" s="626"/>
      <c r="F16453" s="626"/>
    </row>
    <row r="16454" spans="1:6">
      <c r="A16454" t="str">
        <f t="shared" si="257"/>
        <v/>
      </c>
      <c r="E16454" s="626"/>
      <c r="F16454" s="626"/>
    </row>
    <row r="16455" spans="1:6">
      <c r="A16455" t="str">
        <f t="shared" si="257"/>
        <v/>
      </c>
      <c r="E16455" s="626"/>
      <c r="F16455" s="626"/>
    </row>
    <row r="16456" spans="1:6">
      <c r="A16456" t="str">
        <f t="shared" si="257"/>
        <v/>
      </c>
      <c r="E16456" s="626"/>
      <c r="F16456" s="626"/>
    </row>
    <row r="16457" spans="1:6">
      <c r="A16457" t="str">
        <f t="shared" si="257"/>
        <v/>
      </c>
      <c r="E16457" s="626"/>
      <c r="F16457" s="626"/>
    </row>
    <row r="16458" spans="1:6">
      <c r="A16458" t="str">
        <f t="shared" si="257"/>
        <v/>
      </c>
      <c r="E16458" s="626"/>
      <c r="F16458" s="626"/>
    </row>
    <row r="16459" spans="1:6">
      <c r="A16459" t="str">
        <f t="shared" si="257"/>
        <v/>
      </c>
      <c r="E16459" s="626"/>
      <c r="F16459" s="626"/>
    </row>
    <row r="16460" spans="1:6">
      <c r="A16460" t="str">
        <f t="shared" si="257"/>
        <v/>
      </c>
      <c r="E16460" s="626"/>
      <c r="F16460" s="626"/>
    </row>
    <row r="16461" spans="1:6">
      <c r="A16461" t="str">
        <f t="shared" si="257"/>
        <v/>
      </c>
      <c r="E16461" s="626"/>
      <c r="F16461" s="626"/>
    </row>
    <row r="16462" spans="1:6">
      <c r="A16462" t="str">
        <f t="shared" si="257"/>
        <v/>
      </c>
      <c r="E16462" s="626"/>
      <c r="F16462" s="626"/>
    </row>
    <row r="16463" spans="1:6">
      <c r="A16463" t="str">
        <f t="shared" si="257"/>
        <v/>
      </c>
      <c r="E16463" s="626"/>
      <c r="F16463" s="626"/>
    </row>
    <row r="16464" spans="1:6">
      <c r="A16464" t="str">
        <f t="shared" si="257"/>
        <v/>
      </c>
      <c r="E16464" s="626"/>
      <c r="F16464" s="626"/>
    </row>
    <row r="16465" spans="1:6">
      <c r="A16465" t="str">
        <f t="shared" si="257"/>
        <v/>
      </c>
      <c r="E16465" s="626"/>
      <c r="F16465" s="626"/>
    </row>
    <row r="16466" spans="1:6">
      <c r="A16466" t="str">
        <f t="shared" si="257"/>
        <v/>
      </c>
      <c r="E16466" s="626"/>
      <c r="F16466" s="626"/>
    </row>
    <row r="16467" spans="1:6">
      <c r="A16467" t="str">
        <f t="shared" si="257"/>
        <v/>
      </c>
      <c r="E16467" s="626"/>
      <c r="F16467" s="626"/>
    </row>
    <row r="16468" spans="1:6">
      <c r="A16468" t="str">
        <f t="shared" si="257"/>
        <v/>
      </c>
      <c r="E16468" s="626"/>
      <c r="F16468" s="626"/>
    </row>
    <row r="16469" spans="1:6">
      <c r="A16469" t="str">
        <f t="shared" si="257"/>
        <v/>
      </c>
      <c r="E16469" s="626"/>
      <c r="F16469" s="626"/>
    </row>
    <row r="16470" spans="1:6">
      <c r="A16470" t="str">
        <f t="shared" si="257"/>
        <v/>
      </c>
      <c r="E16470" s="626"/>
      <c r="F16470" s="626"/>
    </row>
    <row r="16471" spans="1:6">
      <c r="A16471" t="str">
        <f t="shared" si="257"/>
        <v/>
      </c>
      <c r="E16471" s="626"/>
      <c r="F16471" s="626"/>
    </row>
    <row r="16472" spans="1:6">
      <c r="A16472" t="str">
        <f t="shared" si="257"/>
        <v/>
      </c>
      <c r="E16472" s="626"/>
      <c r="F16472" s="626"/>
    </row>
    <row r="16473" spans="1:6">
      <c r="A16473" t="str">
        <f t="shared" si="257"/>
        <v/>
      </c>
      <c r="E16473" s="626"/>
      <c r="F16473" s="626"/>
    </row>
    <row r="16474" spans="1:6">
      <c r="A16474" t="str">
        <f t="shared" si="257"/>
        <v/>
      </c>
      <c r="E16474" s="626"/>
      <c r="F16474" s="626"/>
    </row>
    <row r="16475" spans="1:6">
      <c r="A16475" t="str">
        <f t="shared" si="257"/>
        <v/>
      </c>
      <c r="E16475" s="626"/>
      <c r="F16475" s="626"/>
    </row>
    <row r="16476" spans="1:6">
      <c r="A16476" t="str">
        <f t="shared" si="257"/>
        <v/>
      </c>
      <c r="E16476" s="626"/>
      <c r="F16476" s="626"/>
    </row>
    <row r="16477" spans="1:6">
      <c r="A16477" t="str">
        <f t="shared" si="257"/>
        <v/>
      </c>
      <c r="E16477" s="626"/>
      <c r="F16477" s="626"/>
    </row>
    <row r="16478" spans="1:6">
      <c r="A16478" t="str">
        <f t="shared" si="257"/>
        <v/>
      </c>
      <c r="E16478" s="626"/>
      <c r="F16478" s="626"/>
    </row>
    <row r="16479" spans="1:6">
      <c r="A16479" t="str">
        <f t="shared" si="257"/>
        <v/>
      </c>
      <c r="E16479" s="626"/>
      <c r="F16479" s="626"/>
    </row>
    <row r="16480" spans="1:6">
      <c r="A16480" t="str">
        <f t="shared" si="257"/>
        <v/>
      </c>
      <c r="E16480" s="626"/>
      <c r="F16480" s="626"/>
    </row>
    <row r="16481" spans="1:6">
      <c r="A16481" t="str">
        <f t="shared" si="257"/>
        <v/>
      </c>
      <c r="E16481" s="626"/>
      <c r="F16481" s="626"/>
    </row>
    <row r="16482" spans="1:6">
      <c r="A16482" t="str">
        <f t="shared" si="257"/>
        <v/>
      </c>
      <c r="E16482" s="626"/>
      <c r="F16482" s="626"/>
    </row>
    <row r="16483" spans="1:6">
      <c r="A16483" t="str">
        <f t="shared" si="257"/>
        <v/>
      </c>
      <c r="E16483" s="626"/>
      <c r="F16483" s="626"/>
    </row>
    <row r="16484" spans="1:6">
      <c r="A16484" t="str">
        <f t="shared" si="257"/>
        <v/>
      </c>
      <c r="E16484" s="626"/>
      <c r="F16484" s="626"/>
    </row>
    <row r="16485" spans="1:6">
      <c r="A16485" t="str">
        <f t="shared" si="257"/>
        <v/>
      </c>
      <c r="E16485" s="626"/>
      <c r="F16485" s="626"/>
    </row>
    <row r="16486" spans="1:6">
      <c r="A16486" t="str">
        <f t="shared" si="257"/>
        <v/>
      </c>
      <c r="E16486" s="626"/>
      <c r="F16486" s="626"/>
    </row>
    <row r="16487" spans="1:6">
      <c r="A16487" t="str">
        <f t="shared" si="257"/>
        <v/>
      </c>
      <c r="E16487" s="626"/>
      <c r="F16487" s="626"/>
    </row>
    <row r="16488" spans="1:6">
      <c r="A16488" t="str">
        <f t="shared" si="257"/>
        <v/>
      </c>
      <c r="E16488" s="626"/>
      <c r="F16488" s="626"/>
    </row>
    <row r="16489" spans="1:6">
      <c r="A16489" t="str">
        <f t="shared" si="257"/>
        <v/>
      </c>
      <c r="E16489" s="626"/>
      <c r="F16489" s="626"/>
    </row>
    <row r="16490" spans="1:6">
      <c r="A16490" t="str">
        <f t="shared" si="257"/>
        <v/>
      </c>
      <c r="E16490" s="626"/>
      <c r="F16490" s="626"/>
    </row>
    <row r="16491" spans="1:6">
      <c r="A16491" t="str">
        <f t="shared" si="257"/>
        <v/>
      </c>
      <c r="E16491" s="626"/>
      <c r="F16491" s="626"/>
    </row>
    <row r="16492" spans="1:6">
      <c r="A16492" t="str">
        <f t="shared" si="257"/>
        <v/>
      </c>
      <c r="E16492" s="626"/>
      <c r="F16492" s="626"/>
    </row>
    <row r="16493" spans="1:6">
      <c r="A16493" t="str">
        <f t="shared" si="257"/>
        <v/>
      </c>
      <c r="E16493" s="626"/>
      <c r="F16493" s="626"/>
    </row>
    <row r="16494" spans="1:6">
      <c r="A16494" t="str">
        <f t="shared" si="257"/>
        <v/>
      </c>
      <c r="E16494" s="626"/>
      <c r="F16494" s="626"/>
    </row>
    <row r="16495" spans="1:6">
      <c r="A16495" t="str">
        <f t="shared" si="257"/>
        <v/>
      </c>
      <c r="E16495" s="626"/>
      <c r="F16495" s="626"/>
    </row>
    <row r="16496" spans="1:6">
      <c r="A16496" t="str">
        <f t="shared" si="257"/>
        <v/>
      </c>
      <c r="E16496" s="626"/>
      <c r="F16496" s="626"/>
    </row>
    <row r="16497" spans="1:6">
      <c r="A16497" t="str">
        <f t="shared" si="257"/>
        <v/>
      </c>
      <c r="E16497" s="626"/>
      <c r="F16497" s="626"/>
    </row>
    <row r="16498" spans="1:6">
      <c r="A16498" t="str">
        <f t="shared" si="257"/>
        <v/>
      </c>
      <c r="E16498" s="626"/>
      <c r="F16498" s="626"/>
    </row>
    <row r="16499" spans="1:6">
      <c r="A16499" t="str">
        <f t="shared" si="257"/>
        <v/>
      </c>
      <c r="E16499" s="626"/>
      <c r="F16499" s="626"/>
    </row>
    <row r="16500" spans="1:6">
      <c r="A16500" t="str">
        <f t="shared" si="257"/>
        <v/>
      </c>
      <c r="E16500" s="626"/>
      <c r="F16500" s="626"/>
    </row>
    <row r="16501" spans="1:6">
      <c r="A16501" t="str">
        <f t="shared" si="257"/>
        <v/>
      </c>
      <c r="E16501" s="626"/>
      <c r="F16501" s="626"/>
    </row>
    <row r="16502" spans="1:6">
      <c r="A16502" t="str">
        <f t="shared" si="257"/>
        <v/>
      </c>
      <c r="E16502" s="626"/>
      <c r="F16502" s="626"/>
    </row>
    <row r="16503" spans="1:6">
      <c r="A16503" t="str">
        <f t="shared" si="257"/>
        <v/>
      </c>
      <c r="E16503" s="626"/>
      <c r="F16503" s="626"/>
    </row>
    <row r="16504" spans="1:6">
      <c r="A16504" t="str">
        <f t="shared" si="257"/>
        <v/>
      </c>
      <c r="E16504" s="626"/>
      <c r="F16504" s="626"/>
    </row>
    <row r="16505" spans="1:6">
      <c r="A16505" t="str">
        <f t="shared" si="257"/>
        <v/>
      </c>
      <c r="E16505" s="626"/>
      <c r="F16505" s="626"/>
    </row>
    <row r="16506" spans="1:6">
      <c r="A16506" t="str">
        <f t="shared" si="257"/>
        <v/>
      </c>
      <c r="E16506" s="626"/>
      <c r="F16506" s="626"/>
    </row>
    <row r="16507" spans="1:6">
      <c r="A16507" t="str">
        <f t="shared" si="257"/>
        <v/>
      </c>
      <c r="E16507" s="626"/>
      <c r="F16507" s="626"/>
    </row>
    <row r="16508" spans="1:6">
      <c r="A16508" t="str">
        <f t="shared" si="257"/>
        <v/>
      </c>
      <c r="E16508" s="626"/>
      <c r="F16508" s="626"/>
    </row>
    <row r="16509" spans="1:6">
      <c r="A16509" t="str">
        <f t="shared" si="257"/>
        <v/>
      </c>
      <c r="E16509" s="626"/>
      <c r="F16509" s="626"/>
    </row>
    <row r="16510" spans="1:6">
      <c r="A16510" t="str">
        <f t="shared" si="257"/>
        <v/>
      </c>
      <c r="E16510" s="626"/>
      <c r="F16510" s="626"/>
    </row>
    <row r="16511" spans="1:6">
      <c r="A16511" t="str">
        <f t="shared" si="257"/>
        <v/>
      </c>
      <c r="E16511" s="626"/>
      <c r="F16511" s="626"/>
    </row>
    <row r="16512" spans="1:6">
      <c r="A16512" t="str">
        <f t="shared" si="257"/>
        <v/>
      </c>
      <c r="E16512" s="626"/>
      <c r="F16512" s="626"/>
    </row>
    <row r="16513" spans="1:6">
      <c r="A16513" t="str">
        <f t="shared" si="257"/>
        <v/>
      </c>
      <c r="E16513" s="626"/>
      <c r="F16513" s="626"/>
    </row>
    <row r="16514" spans="1:6">
      <c r="A16514" t="str">
        <f t="shared" ref="A16514:A16577" si="258">B16514&amp;E16514&amp;J16514</f>
        <v/>
      </c>
      <c r="E16514" s="626"/>
      <c r="F16514" s="626"/>
    </row>
    <row r="16515" spans="1:6">
      <c r="A16515" t="str">
        <f t="shared" si="258"/>
        <v/>
      </c>
      <c r="E16515" s="626"/>
      <c r="F16515" s="626"/>
    </row>
    <row r="16516" spans="1:6">
      <c r="A16516" t="str">
        <f t="shared" si="258"/>
        <v/>
      </c>
      <c r="E16516" s="626"/>
      <c r="F16516" s="626"/>
    </row>
    <row r="16517" spans="1:6">
      <c r="A16517" t="str">
        <f t="shared" si="258"/>
        <v/>
      </c>
      <c r="E16517" s="626"/>
      <c r="F16517" s="626"/>
    </row>
    <row r="16518" spans="1:6">
      <c r="A16518" t="str">
        <f t="shared" si="258"/>
        <v/>
      </c>
      <c r="E16518" s="626"/>
      <c r="F16518" s="626"/>
    </row>
    <row r="16519" spans="1:6">
      <c r="A16519" t="str">
        <f t="shared" si="258"/>
        <v/>
      </c>
      <c r="E16519" s="626"/>
      <c r="F16519" s="626"/>
    </row>
    <row r="16520" spans="1:6">
      <c r="A16520" t="str">
        <f t="shared" si="258"/>
        <v/>
      </c>
      <c r="E16520" s="626"/>
      <c r="F16520" s="626"/>
    </row>
    <row r="16521" spans="1:6">
      <c r="A16521" t="str">
        <f t="shared" si="258"/>
        <v/>
      </c>
      <c r="E16521" s="626"/>
      <c r="F16521" s="626"/>
    </row>
    <row r="16522" spans="1:6">
      <c r="A16522" t="str">
        <f t="shared" si="258"/>
        <v/>
      </c>
      <c r="E16522" s="626"/>
      <c r="F16522" s="626"/>
    </row>
    <row r="16523" spans="1:6">
      <c r="A16523" t="str">
        <f t="shared" si="258"/>
        <v/>
      </c>
      <c r="E16523" s="626"/>
      <c r="F16523" s="626"/>
    </row>
    <row r="16524" spans="1:6">
      <c r="A16524" t="str">
        <f t="shared" si="258"/>
        <v/>
      </c>
      <c r="E16524" s="626"/>
      <c r="F16524" s="626"/>
    </row>
    <row r="16525" spans="1:6">
      <c r="A16525" t="str">
        <f t="shared" si="258"/>
        <v/>
      </c>
      <c r="E16525" s="626"/>
      <c r="F16525" s="626"/>
    </row>
    <row r="16526" spans="1:6">
      <c r="A16526" t="str">
        <f t="shared" si="258"/>
        <v/>
      </c>
      <c r="E16526" s="626"/>
      <c r="F16526" s="626"/>
    </row>
    <row r="16527" spans="1:6">
      <c r="A16527" t="str">
        <f t="shared" si="258"/>
        <v/>
      </c>
      <c r="E16527" s="626"/>
      <c r="F16527" s="626"/>
    </row>
    <row r="16528" spans="1:6">
      <c r="A16528" t="str">
        <f t="shared" si="258"/>
        <v/>
      </c>
      <c r="E16528" s="626"/>
      <c r="F16528" s="626"/>
    </row>
    <row r="16529" spans="1:6">
      <c r="A16529" t="str">
        <f t="shared" si="258"/>
        <v/>
      </c>
      <c r="E16529" s="626"/>
      <c r="F16529" s="626"/>
    </row>
    <row r="16530" spans="1:6">
      <c r="A16530" t="str">
        <f t="shared" si="258"/>
        <v/>
      </c>
      <c r="E16530" s="626"/>
      <c r="F16530" s="626"/>
    </row>
    <row r="16531" spans="1:6">
      <c r="A16531" t="str">
        <f t="shared" si="258"/>
        <v/>
      </c>
      <c r="E16531" s="626"/>
      <c r="F16531" s="626"/>
    </row>
    <row r="16532" spans="1:6">
      <c r="A16532" t="str">
        <f t="shared" si="258"/>
        <v/>
      </c>
      <c r="E16532" s="626"/>
      <c r="F16532" s="626"/>
    </row>
    <row r="16533" spans="1:6">
      <c r="A16533" t="str">
        <f t="shared" si="258"/>
        <v/>
      </c>
      <c r="E16533" s="626"/>
      <c r="F16533" s="626"/>
    </row>
    <row r="16534" spans="1:6">
      <c r="A16534" t="str">
        <f t="shared" si="258"/>
        <v/>
      </c>
      <c r="E16534" s="626"/>
      <c r="F16534" s="626"/>
    </row>
    <row r="16535" spans="1:6">
      <c r="A16535" t="str">
        <f t="shared" si="258"/>
        <v/>
      </c>
      <c r="E16535" s="626"/>
      <c r="F16535" s="626"/>
    </row>
    <row r="16536" spans="1:6">
      <c r="A16536" t="str">
        <f t="shared" si="258"/>
        <v/>
      </c>
      <c r="E16536" s="626"/>
      <c r="F16536" s="626"/>
    </row>
    <row r="16537" spans="1:6">
      <c r="A16537" t="str">
        <f t="shared" si="258"/>
        <v/>
      </c>
      <c r="E16537" s="626"/>
      <c r="F16537" s="626"/>
    </row>
    <row r="16538" spans="1:6">
      <c r="A16538" t="str">
        <f t="shared" si="258"/>
        <v/>
      </c>
      <c r="E16538" s="626"/>
      <c r="F16538" s="626"/>
    </row>
    <row r="16539" spans="1:6">
      <c r="A16539" t="str">
        <f t="shared" si="258"/>
        <v/>
      </c>
      <c r="E16539" s="626"/>
      <c r="F16539" s="626"/>
    </row>
    <row r="16540" spans="1:6">
      <c r="A16540" t="str">
        <f t="shared" si="258"/>
        <v/>
      </c>
      <c r="E16540" s="626"/>
      <c r="F16540" s="626"/>
    </row>
    <row r="16541" spans="1:6">
      <c r="A16541" t="str">
        <f t="shared" si="258"/>
        <v/>
      </c>
      <c r="E16541" s="626"/>
      <c r="F16541" s="626"/>
    </row>
    <row r="16542" spans="1:6">
      <c r="A16542" t="str">
        <f t="shared" si="258"/>
        <v/>
      </c>
      <c r="E16542" s="626"/>
      <c r="F16542" s="626"/>
    </row>
    <row r="16543" spans="1:6">
      <c r="A16543" t="str">
        <f t="shared" si="258"/>
        <v/>
      </c>
      <c r="E16543" s="626"/>
      <c r="F16543" s="626"/>
    </row>
    <row r="16544" spans="1:6">
      <c r="A16544" t="str">
        <f t="shared" si="258"/>
        <v/>
      </c>
      <c r="E16544" s="626"/>
      <c r="F16544" s="626"/>
    </row>
    <row r="16545" spans="1:6">
      <c r="A16545" t="str">
        <f t="shared" si="258"/>
        <v/>
      </c>
      <c r="E16545" s="626"/>
      <c r="F16545" s="626"/>
    </row>
    <row r="16546" spans="1:6">
      <c r="A16546" t="str">
        <f t="shared" si="258"/>
        <v/>
      </c>
      <c r="E16546" s="626"/>
      <c r="F16546" s="626"/>
    </row>
    <row r="16547" spans="1:6">
      <c r="A16547" t="str">
        <f t="shared" si="258"/>
        <v/>
      </c>
      <c r="E16547" s="626"/>
      <c r="F16547" s="626"/>
    </row>
    <row r="16548" spans="1:6">
      <c r="A16548" t="str">
        <f t="shared" si="258"/>
        <v/>
      </c>
      <c r="E16548" s="626"/>
      <c r="F16548" s="626"/>
    </row>
    <row r="16549" spans="1:6">
      <c r="A16549" t="str">
        <f t="shared" si="258"/>
        <v/>
      </c>
      <c r="E16549" s="626"/>
      <c r="F16549" s="626"/>
    </row>
    <row r="16550" spans="1:6">
      <c r="A16550" t="str">
        <f t="shared" si="258"/>
        <v/>
      </c>
      <c r="E16550" s="626"/>
      <c r="F16550" s="626"/>
    </row>
    <row r="16551" spans="1:6">
      <c r="A16551" t="str">
        <f t="shared" si="258"/>
        <v/>
      </c>
      <c r="E16551" s="626"/>
      <c r="F16551" s="626"/>
    </row>
    <row r="16552" spans="1:6">
      <c r="A16552" t="str">
        <f t="shared" si="258"/>
        <v/>
      </c>
      <c r="E16552" s="626"/>
      <c r="F16552" s="626"/>
    </row>
    <row r="16553" spans="1:6">
      <c r="A16553" t="str">
        <f t="shared" si="258"/>
        <v/>
      </c>
      <c r="E16553" s="626"/>
      <c r="F16553" s="626"/>
    </row>
    <row r="16554" spans="1:6">
      <c r="A16554" t="str">
        <f t="shared" si="258"/>
        <v/>
      </c>
      <c r="E16554" s="626"/>
      <c r="F16554" s="626"/>
    </row>
    <row r="16555" spans="1:6">
      <c r="A16555" t="str">
        <f t="shared" si="258"/>
        <v/>
      </c>
      <c r="E16555" s="626"/>
      <c r="F16555" s="626"/>
    </row>
    <row r="16556" spans="1:6">
      <c r="A16556" t="str">
        <f t="shared" si="258"/>
        <v/>
      </c>
      <c r="E16556" s="626"/>
      <c r="F16556" s="626"/>
    </row>
    <row r="16557" spans="1:6">
      <c r="A16557" t="str">
        <f t="shared" si="258"/>
        <v/>
      </c>
      <c r="E16557" s="626"/>
      <c r="F16557" s="626"/>
    </row>
    <row r="16558" spans="1:6">
      <c r="A16558" t="str">
        <f t="shared" si="258"/>
        <v/>
      </c>
      <c r="E16558" s="626"/>
      <c r="F16558" s="626"/>
    </row>
    <row r="16559" spans="1:6">
      <c r="A16559" t="str">
        <f t="shared" si="258"/>
        <v/>
      </c>
      <c r="E16559" s="626"/>
      <c r="F16559" s="626"/>
    </row>
    <row r="16560" spans="1:6">
      <c r="A16560" t="str">
        <f t="shared" si="258"/>
        <v/>
      </c>
      <c r="E16560" s="626"/>
      <c r="F16560" s="626"/>
    </row>
    <row r="16561" spans="1:6">
      <c r="A16561" t="str">
        <f t="shared" si="258"/>
        <v/>
      </c>
      <c r="E16561" s="626"/>
      <c r="F16561" s="626"/>
    </row>
    <row r="16562" spans="1:6">
      <c r="A16562" t="str">
        <f t="shared" si="258"/>
        <v/>
      </c>
      <c r="E16562" s="626"/>
      <c r="F16562" s="626"/>
    </row>
    <row r="16563" spans="1:6">
      <c r="A16563" t="str">
        <f t="shared" si="258"/>
        <v/>
      </c>
      <c r="E16563" s="626"/>
      <c r="F16563" s="626"/>
    </row>
    <row r="16564" spans="1:6">
      <c r="A16564" t="str">
        <f t="shared" si="258"/>
        <v/>
      </c>
      <c r="E16564" s="626"/>
      <c r="F16564" s="626"/>
    </row>
    <row r="16565" spans="1:6">
      <c r="A16565" t="str">
        <f t="shared" si="258"/>
        <v/>
      </c>
      <c r="E16565" s="626"/>
      <c r="F16565" s="626"/>
    </row>
    <row r="16566" spans="1:6">
      <c r="A16566" t="str">
        <f t="shared" si="258"/>
        <v/>
      </c>
      <c r="E16566" s="626"/>
      <c r="F16566" s="626"/>
    </row>
    <row r="16567" spans="1:6">
      <c r="A16567" t="str">
        <f t="shared" si="258"/>
        <v/>
      </c>
      <c r="E16567" s="626"/>
      <c r="F16567" s="626"/>
    </row>
    <row r="16568" spans="1:6">
      <c r="A16568" t="str">
        <f t="shared" si="258"/>
        <v/>
      </c>
      <c r="E16568" s="626"/>
      <c r="F16568" s="626"/>
    </row>
    <row r="16569" spans="1:6">
      <c r="A16569" t="str">
        <f t="shared" si="258"/>
        <v/>
      </c>
      <c r="E16569" s="626"/>
      <c r="F16569" s="626"/>
    </row>
    <row r="16570" spans="1:6">
      <c r="A16570" t="str">
        <f t="shared" si="258"/>
        <v/>
      </c>
      <c r="E16570" s="626"/>
      <c r="F16570" s="626"/>
    </row>
    <row r="16571" spans="1:6">
      <c r="A16571" t="str">
        <f t="shared" si="258"/>
        <v/>
      </c>
      <c r="E16571" s="626"/>
      <c r="F16571" s="626"/>
    </row>
    <row r="16572" spans="1:6">
      <c r="A16572" t="str">
        <f t="shared" si="258"/>
        <v/>
      </c>
      <c r="E16572" s="626"/>
      <c r="F16572" s="626"/>
    </row>
    <row r="16573" spans="1:6">
      <c r="A16573" t="str">
        <f t="shared" si="258"/>
        <v/>
      </c>
      <c r="E16573" s="626"/>
      <c r="F16573" s="626"/>
    </row>
    <row r="16574" spans="1:6">
      <c r="A16574" t="str">
        <f t="shared" si="258"/>
        <v/>
      </c>
      <c r="E16574" s="626"/>
      <c r="F16574" s="626"/>
    </row>
    <row r="16575" spans="1:6">
      <c r="A16575" t="str">
        <f t="shared" si="258"/>
        <v/>
      </c>
      <c r="E16575" s="626"/>
      <c r="F16575" s="626"/>
    </row>
    <row r="16576" spans="1:6">
      <c r="A16576" t="str">
        <f t="shared" si="258"/>
        <v/>
      </c>
      <c r="E16576" s="626"/>
      <c r="F16576" s="626"/>
    </row>
    <row r="16577" spans="1:6">
      <c r="A16577" t="str">
        <f t="shared" si="258"/>
        <v/>
      </c>
      <c r="E16577" s="626"/>
      <c r="F16577" s="626"/>
    </row>
    <row r="16578" spans="1:6">
      <c r="A16578" t="str">
        <f t="shared" ref="A16578:A16641" si="259">B16578&amp;E16578&amp;J16578</f>
        <v/>
      </c>
      <c r="E16578" s="626"/>
      <c r="F16578" s="626"/>
    </row>
    <row r="16579" spans="1:6">
      <c r="A16579" t="str">
        <f t="shared" si="259"/>
        <v/>
      </c>
      <c r="E16579" s="626"/>
      <c r="F16579" s="626"/>
    </row>
    <row r="16580" spans="1:6">
      <c r="A16580" t="str">
        <f t="shared" si="259"/>
        <v/>
      </c>
      <c r="E16580" s="626"/>
      <c r="F16580" s="626"/>
    </row>
    <row r="16581" spans="1:6">
      <c r="A16581" t="str">
        <f t="shared" si="259"/>
        <v/>
      </c>
      <c r="E16581" s="626"/>
      <c r="F16581" s="626"/>
    </row>
    <row r="16582" spans="1:6">
      <c r="A16582" t="str">
        <f t="shared" si="259"/>
        <v/>
      </c>
      <c r="E16582" s="626"/>
      <c r="F16582" s="626"/>
    </row>
    <row r="16583" spans="1:6">
      <c r="A16583" t="str">
        <f t="shared" si="259"/>
        <v/>
      </c>
      <c r="E16583" s="626"/>
      <c r="F16583" s="626"/>
    </row>
    <row r="16584" spans="1:6">
      <c r="A16584" t="str">
        <f t="shared" si="259"/>
        <v/>
      </c>
      <c r="E16584" s="626"/>
      <c r="F16584" s="626"/>
    </row>
    <row r="16585" spans="1:6">
      <c r="A16585" t="str">
        <f t="shared" si="259"/>
        <v/>
      </c>
      <c r="E16585" s="626"/>
      <c r="F16585" s="626"/>
    </row>
    <row r="16586" spans="1:6">
      <c r="A16586" t="str">
        <f t="shared" si="259"/>
        <v/>
      </c>
      <c r="E16586" s="626"/>
      <c r="F16586" s="626"/>
    </row>
    <row r="16587" spans="1:6">
      <c r="A16587" t="str">
        <f t="shared" si="259"/>
        <v/>
      </c>
      <c r="E16587" s="626"/>
      <c r="F16587" s="626"/>
    </row>
    <row r="16588" spans="1:6">
      <c r="A16588" t="str">
        <f t="shared" si="259"/>
        <v/>
      </c>
      <c r="E16588" s="626"/>
      <c r="F16588" s="626"/>
    </row>
    <row r="16589" spans="1:6">
      <c r="A16589" t="str">
        <f t="shared" si="259"/>
        <v/>
      </c>
      <c r="E16589" s="626"/>
      <c r="F16589" s="626"/>
    </row>
    <row r="16590" spans="1:6">
      <c r="A16590" t="str">
        <f t="shared" si="259"/>
        <v/>
      </c>
      <c r="E16590" s="626"/>
      <c r="F16590" s="626"/>
    </row>
    <row r="16591" spans="1:6">
      <c r="A16591" t="str">
        <f t="shared" si="259"/>
        <v/>
      </c>
      <c r="E16591" s="626"/>
      <c r="F16591" s="626"/>
    </row>
    <row r="16592" spans="1:6">
      <c r="A16592" t="str">
        <f t="shared" si="259"/>
        <v/>
      </c>
      <c r="E16592" s="626"/>
      <c r="F16592" s="626"/>
    </row>
    <row r="16593" spans="1:6">
      <c r="A16593" t="str">
        <f t="shared" si="259"/>
        <v/>
      </c>
      <c r="E16593" s="626"/>
      <c r="F16593" s="626"/>
    </row>
    <row r="16594" spans="1:6">
      <c r="A16594" t="str">
        <f t="shared" si="259"/>
        <v/>
      </c>
      <c r="E16594" s="626"/>
      <c r="F16594" s="626"/>
    </row>
    <row r="16595" spans="1:6">
      <c r="A16595" t="str">
        <f t="shared" si="259"/>
        <v/>
      </c>
      <c r="E16595" s="626"/>
      <c r="F16595" s="626"/>
    </row>
    <row r="16596" spans="1:6">
      <c r="A16596" t="str">
        <f t="shared" si="259"/>
        <v/>
      </c>
      <c r="E16596" s="626"/>
      <c r="F16596" s="626"/>
    </row>
    <row r="16597" spans="1:6">
      <c r="A16597" t="str">
        <f t="shared" si="259"/>
        <v/>
      </c>
      <c r="E16597" s="626"/>
      <c r="F16597" s="626"/>
    </row>
    <row r="16598" spans="1:6">
      <c r="A16598" t="str">
        <f t="shared" si="259"/>
        <v/>
      </c>
      <c r="E16598" s="626"/>
      <c r="F16598" s="626"/>
    </row>
    <row r="16599" spans="1:6">
      <c r="A16599" t="str">
        <f t="shared" si="259"/>
        <v/>
      </c>
      <c r="E16599" s="626"/>
      <c r="F16599" s="626"/>
    </row>
    <row r="16600" spans="1:6">
      <c r="A16600" t="str">
        <f t="shared" si="259"/>
        <v/>
      </c>
      <c r="E16600" s="626"/>
      <c r="F16600" s="626"/>
    </row>
    <row r="16601" spans="1:6">
      <c r="A16601" t="str">
        <f t="shared" si="259"/>
        <v/>
      </c>
      <c r="E16601" s="626"/>
      <c r="F16601" s="626"/>
    </row>
    <row r="16602" spans="1:6">
      <c r="A16602" t="str">
        <f t="shared" si="259"/>
        <v/>
      </c>
      <c r="E16602" s="626"/>
      <c r="F16602" s="626"/>
    </row>
    <row r="16603" spans="1:6">
      <c r="A16603" t="str">
        <f t="shared" si="259"/>
        <v/>
      </c>
      <c r="E16603" s="626"/>
      <c r="F16603" s="626"/>
    </row>
    <row r="16604" spans="1:6">
      <c r="A16604" t="str">
        <f t="shared" si="259"/>
        <v/>
      </c>
      <c r="E16604" s="626"/>
      <c r="F16604" s="626"/>
    </row>
    <row r="16605" spans="1:6">
      <c r="A16605" t="str">
        <f t="shared" si="259"/>
        <v/>
      </c>
      <c r="E16605" s="626"/>
      <c r="F16605" s="626"/>
    </row>
    <row r="16606" spans="1:6">
      <c r="A16606" t="str">
        <f t="shared" si="259"/>
        <v/>
      </c>
      <c r="E16606" s="626"/>
      <c r="F16606" s="626"/>
    </row>
    <row r="16607" spans="1:6">
      <c r="A16607" t="str">
        <f t="shared" si="259"/>
        <v/>
      </c>
      <c r="E16607" s="626"/>
      <c r="F16607" s="626"/>
    </row>
    <row r="16608" spans="1:6">
      <c r="A16608" t="str">
        <f t="shared" si="259"/>
        <v/>
      </c>
      <c r="E16608" s="626"/>
      <c r="F16608" s="626"/>
    </row>
    <row r="16609" spans="1:6">
      <c r="A16609" t="str">
        <f t="shared" si="259"/>
        <v/>
      </c>
      <c r="E16609" s="626"/>
      <c r="F16609" s="626"/>
    </row>
    <row r="16610" spans="1:6">
      <c r="A16610" t="str">
        <f t="shared" si="259"/>
        <v/>
      </c>
      <c r="E16610" s="626"/>
      <c r="F16610" s="626"/>
    </row>
    <row r="16611" spans="1:6">
      <c r="A16611" t="str">
        <f t="shared" si="259"/>
        <v/>
      </c>
      <c r="E16611" s="626"/>
      <c r="F16611" s="626"/>
    </row>
    <row r="16612" spans="1:6">
      <c r="A16612" t="str">
        <f t="shared" si="259"/>
        <v/>
      </c>
      <c r="E16612" s="626"/>
      <c r="F16612" s="626"/>
    </row>
    <row r="16613" spans="1:6">
      <c r="A16613" t="str">
        <f t="shared" si="259"/>
        <v/>
      </c>
      <c r="E16613" s="626"/>
      <c r="F16613" s="626"/>
    </row>
    <row r="16614" spans="1:6">
      <c r="A16614" t="str">
        <f t="shared" si="259"/>
        <v/>
      </c>
      <c r="E16614" s="626"/>
      <c r="F16614" s="626"/>
    </row>
    <row r="16615" spans="1:6">
      <c r="A16615" t="str">
        <f t="shared" si="259"/>
        <v/>
      </c>
      <c r="E16615" s="626"/>
      <c r="F16615" s="626"/>
    </row>
    <row r="16616" spans="1:6">
      <c r="A16616" t="str">
        <f t="shared" si="259"/>
        <v/>
      </c>
      <c r="E16616" s="626"/>
      <c r="F16616" s="626"/>
    </row>
    <row r="16617" spans="1:6">
      <c r="A16617" t="str">
        <f t="shared" si="259"/>
        <v/>
      </c>
      <c r="E16617" s="626"/>
      <c r="F16617" s="626"/>
    </row>
    <row r="16618" spans="1:6">
      <c r="A16618" t="str">
        <f t="shared" si="259"/>
        <v/>
      </c>
      <c r="E16618" s="626"/>
      <c r="F16618" s="626"/>
    </row>
    <row r="16619" spans="1:6">
      <c r="A16619" t="str">
        <f t="shared" si="259"/>
        <v/>
      </c>
      <c r="E16619" s="626"/>
      <c r="F16619" s="626"/>
    </row>
    <row r="16620" spans="1:6">
      <c r="A16620" t="str">
        <f t="shared" si="259"/>
        <v/>
      </c>
      <c r="E16620" s="626"/>
      <c r="F16620" s="626"/>
    </row>
    <row r="16621" spans="1:6">
      <c r="A16621" t="str">
        <f t="shared" si="259"/>
        <v/>
      </c>
      <c r="E16621" s="626"/>
      <c r="F16621" s="626"/>
    </row>
    <row r="16622" spans="1:6">
      <c r="A16622" t="str">
        <f t="shared" si="259"/>
        <v/>
      </c>
      <c r="E16622" s="626"/>
      <c r="F16622" s="626"/>
    </row>
    <row r="16623" spans="1:6">
      <c r="A16623" t="str">
        <f t="shared" si="259"/>
        <v/>
      </c>
      <c r="E16623" s="626"/>
      <c r="F16623" s="626"/>
    </row>
    <row r="16624" spans="1:6">
      <c r="A16624" t="str">
        <f t="shared" si="259"/>
        <v/>
      </c>
      <c r="E16624" s="626"/>
      <c r="F16624" s="626"/>
    </row>
    <row r="16625" spans="1:6">
      <c r="A16625" t="str">
        <f t="shared" si="259"/>
        <v/>
      </c>
      <c r="E16625" s="626"/>
      <c r="F16625" s="626"/>
    </row>
    <row r="16626" spans="1:6">
      <c r="A16626" t="str">
        <f t="shared" si="259"/>
        <v/>
      </c>
      <c r="E16626" s="626"/>
      <c r="F16626" s="626"/>
    </row>
    <row r="16627" spans="1:6">
      <c r="A16627" t="str">
        <f t="shared" si="259"/>
        <v/>
      </c>
      <c r="E16627" s="626"/>
      <c r="F16627" s="626"/>
    </row>
    <row r="16628" spans="1:6">
      <c r="A16628" t="str">
        <f t="shared" si="259"/>
        <v/>
      </c>
      <c r="E16628" s="626"/>
      <c r="F16628" s="626"/>
    </row>
    <row r="16629" spans="1:6">
      <c r="A16629" t="str">
        <f t="shared" si="259"/>
        <v/>
      </c>
      <c r="E16629" s="626"/>
      <c r="F16629" s="626"/>
    </row>
    <row r="16630" spans="1:6">
      <c r="A16630" t="str">
        <f t="shared" si="259"/>
        <v/>
      </c>
      <c r="E16630" s="626"/>
      <c r="F16630" s="626"/>
    </row>
    <row r="16631" spans="1:6">
      <c r="A16631" t="str">
        <f t="shared" si="259"/>
        <v/>
      </c>
      <c r="E16631" s="626"/>
      <c r="F16631" s="626"/>
    </row>
    <row r="16632" spans="1:6">
      <c r="A16632" t="str">
        <f t="shared" si="259"/>
        <v/>
      </c>
      <c r="E16632" s="626"/>
      <c r="F16632" s="626"/>
    </row>
    <row r="16633" spans="1:6">
      <c r="A16633" t="str">
        <f t="shared" si="259"/>
        <v/>
      </c>
      <c r="E16633" s="626"/>
      <c r="F16633" s="626"/>
    </row>
    <row r="16634" spans="1:6">
      <c r="A16634" t="str">
        <f t="shared" si="259"/>
        <v/>
      </c>
      <c r="E16634" s="626"/>
      <c r="F16634" s="626"/>
    </row>
    <row r="16635" spans="1:6">
      <c r="A16635" t="str">
        <f t="shared" si="259"/>
        <v/>
      </c>
      <c r="E16635" s="626"/>
      <c r="F16635" s="626"/>
    </row>
    <row r="16636" spans="1:6">
      <c r="A16636" t="str">
        <f t="shared" si="259"/>
        <v/>
      </c>
      <c r="E16636" s="626"/>
      <c r="F16636" s="626"/>
    </row>
    <row r="16637" spans="1:6">
      <c r="A16637" t="str">
        <f t="shared" si="259"/>
        <v/>
      </c>
      <c r="E16637" s="626"/>
      <c r="F16637" s="626"/>
    </row>
    <row r="16638" spans="1:6">
      <c r="A16638" t="str">
        <f t="shared" si="259"/>
        <v/>
      </c>
      <c r="E16638" s="626"/>
      <c r="F16638" s="626"/>
    </row>
    <row r="16639" spans="1:6">
      <c r="A16639" t="str">
        <f t="shared" si="259"/>
        <v/>
      </c>
      <c r="E16639" s="626"/>
      <c r="F16639" s="626"/>
    </row>
    <row r="16640" spans="1:6">
      <c r="A16640" t="str">
        <f t="shared" si="259"/>
        <v/>
      </c>
      <c r="E16640" s="626"/>
      <c r="F16640" s="626"/>
    </row>
    <row r="16641" spans="1:6">
      <c r="A16641" t="str">
        <f t="shared" si="259"/>
        <v/>
      </c>
      <c r="E16641" s="626"/>
      <c r="F16641" s="626"/>
    </row>
    <row r="16642" spans="1:6">
      <c r="A16642" t="str">
        <f t="shared" ref="A16642:A16705" si="260">B16642&amp;E16642&amp;J16642</f>
        <v/>
      </c>
      <c r="E16642" s="626"/>
      <c r="F16642" s="626"/>
    </row>
    <row r="16643" spans="1:6">
      <c r="A16643" t="str">
        <f t="shared" si="260"/>
        <v/>
      </c>
      <c r="E16643" s="626"/>
      <c r="F16643" s="626"/>
    </row>
    <row r="16644" spans="1:6">
      <c r="A16644" t="str">
        <f t="shared" si="260"/>
        <v/>
      </c>
      <c r="E16644" s="626"/>
      <c r="F16644" s="626"/>
    </row>
    <row r="16645" spans="1:6">
      <c r="A16645" t="str">
        <f t="shared" si="260"/>
        <v/>
      </c>
      <c r="E16645" s="626"/>
      <c r="F16645" s="626"/>
    </row>
    <row r="16646" spans="1:6">
      <c r="A16646" t="str">
        <f t="shared" si="260"/>
        <v/>
      </c>
      <c r="E16646" s="626"/>
      <c r="F16646" s="626"/>
    </row>
    <row r="16647" spans="1:6">
      <c r="A16647" t="str">
        <f t="shared" si="260"/>
        <v/>
      </c>
      <c r="E16647" s="626"/>
      <c r="F16647" s="626"/>
    </row>
    <row r="16648" spans="1:6">
      <c r="A16648" t="str">
        <f t="shared" si="260"/>
        <v/>
      </c>
      <c r="E16648" s="626"/>
      <c r="F16648" s="626"/>
    </row>
    <row r="16649" spans="1:6">
      <c r="A16649" t="str">
        <f t="shared" si="260"/>
        <v/>
      </c>
      <c r="E16649" s="626"/>
      <c r="F16649" s="626"/>
    </row>
    <row r="16650" spans="1:6">
      <c r="A16650" t="str">
        <f t="shared" si="260"/>
        <v/>
      </c>
      <c r="E16650" s="626"/>
      <c r="F16650" s="626"/>
    </row>
    <row r="16651" spans="1:6">
      <c r="A16651" t="str">
        <f t="shared" si="260"/>
        <v/>
      </c>
      <c r="E16651" s="626"/>
      <c r="F16651" s="626"/>
    </row>
    <row r="16652" spans="1:6">
      <c r="A16652" t="str">
        <f t="shared" si="260"/>
        <v/>
      </c>
      <c r="E16652" s="626"/>
      <c r="F16652" s="626"/>
    </row>
    <row r="16653" spans="1:6">
      <c r="A16653" t="str">
        <f t="shared" si="260"/>
        <v/>
      </c>
      <c r="E16653" s="626"/>
      <c r="F16653" s="626"/>
    </row>
    <row r="16654" spans="1:6">
      <c r="A16654" t="str">
        <f t="shared" si="260"/>
        <v/>
      </c>
      <c r="E16654" s="626"/>
      <c r="F16654" s="626"/>
    </row>
    <row r="16655" spans="1:6">
      <c r="A16655" t="str">
        <f t="shared" si="260"/>
        <v/>
      </c>
      <c r="E16655" s="626"/>
      <c r="F16655" s="626"/>
    </row>
    <row r="16656" spans="1:6">
      <c r="A16656" t="str">
        <f t="shared" si="260"/>
        <v/>
      </c>
      <c r="E16656" s="626"/>
      <c r="F16656" s="626"/>
    </row>
    <row r="16657" spans="1:6">
      <c r="A16657" t="str">
        <f t="shared" si="260"/>
        <v/>
      </c>
      <c r="E16657" s="626"/>
      <c r="F16657" s="626"/>
    </row>
    <row r="16658" spans="1:6">
      <c r="A16658" t="str">
        <f t="shared" si="260"/>
        <v/>
      </c>
      <c r="E16658" s="626"/>
      <c r="F16658" s="626"/>
    </row>
    <row r="16659" spans="1:6">
      <c r="A16659" t="str">
        <f t="shared" si="260"/>
        <v/>
      </c>
      <c r="E16659" s="626"/>
      <c r="F16659" s="626"/>
    </row>
    <row r="16660" spans="1:6">
      <c r="A16660" t="str">
        <f t="shared" si="260"/>
        <v/>
      </c>
      <c r="E16660" s="626"/>
      <c r="F16660" s="626"/>
    </row>
    <row r="16661" spans="1:6">
      <c r="A16661" t="str">
        <f t="shared" si="260"/>
        <v/>
      </c>
      <c r="E16661" s="626"/>
      <c r="F16661" s="626"/>
    </row>
    <row r="16662" spans="1:6">
      <c r="A16662" t="str">
        <f t="shared" si="260"/>
        <v/>
      </c>
      <c r="E16662" s="626"/>
      <c r="F16662" s="626"/>
    </row>
    <row r="16663" spans="1:6">
      <c r="A16663" t="str">
        <f t="shared" si="260"/>
        <v/>
      </c>
      <c r="E16663" s="626"/>
      <c r="F16663" s="626"/>
    </row>
    <row r="16664" spans="1:6">
      <c r="A16664" t="str">
        <f t="shared" si="260"/>
        <v/>
      </c>
      <c r="E16664" s="626"/>
      <c r="F16664" s="626"/>
    </row>
    <row r="16665" spans="1:6">
      <c r="A16665" t="str">
        <f t="shared" si="260"/>
        <v/>
      </c>
      <c r="E16665" s="626"/>
      <c r="F16665" s="626"/>
    </row>
    <row r="16666" spans="1:6">
      <c r="A16666" t="str">
        <f t="shared" si="260"/>
        <v/>
      </c>
      <c r="E16666" s="626"/>
      <c r="F16666" s="626"/>
    </row>
    <row r="16667" spans="1:6">
      <c r="A16667" t="str">
        <f t="shared" si="260"/>
        <v/>
      </c>
      <c r="E16667" s="626"/>
      <c r="F16667" s="626"/>
    </row>
    <row r="16668" spans="1:6">
      <c r="A16668" t="str">
        <f t="shared" si="260"/>
        <v/>
      </c>
      <c r="E16668" s="626"/>
      <c r="F16668" s="626"/>
    </row>
    <row r="16669" spans="1:6">
      <c r="A16669" t="str">
        <f t="shared" si="260"/>
        <v/>
      </c>
      <c r="E16669" s="626"/>
      <c r="F16669" s="626"/>
    </row>
    <row r="16670" spans="1:6">
      <c r="A16670" t="str">
        <f t="shared" si="260"/>
        <v/>
      </c>
      <c r="E16670" s="626"/>
      <c r="F16670" s="626"/>
    </row>
    <row r="16671" spans="1:6">
      <c r="A16671" t="str">
        <f t="shared" si="260"/>
        <v/>
      </c>
      <c r="E16671" s="626"/>
      <c r="F16671" s="626"/>
    </row>
    <row r="16672" spans="1:6">
      <c r="A16672" t="str">
        <f t="shared" si="260"/>
        <v/>
      </c>
      <c r="E16672" s="626"/>
      <c r="F16672" s="626"/>
    </row>
    <row r="16673" spans="1:6">
      <c r="A16673" t="str">
        <f t="shared" si="260"/>
        <v/>
      </c>
      <c r="E16673" s="626"/>
      <c r="F16673" s="626"/>
    </row>
    <row r="16674" spans="1:6">
      <c r="A16674" t="str">
        <f t="shared" si="260"/>
        <v/>
      </c>
      <c r="E16674" s="626"/>
      <c r="F16674" s="626"/>
    </row>
    <row r="16675" spans="1:6">
      <c r="A16675" t="str">
        <f t="shared" si="260"/>
        <v/>
      </c>
      <c r="E16675" s="626"/>
      <c r="F16675" s="626"/>
    </row>
    <row r="16676" spans="1:6">
      <c r="A16676" t="str">
        <f t="shared" si="260"/>
        <v/>
      </c>
      <c r="E16676" s="626"/>
      <c r="F16676" s="626"/>
    </row>
    <row r="16677" spans="1:6">
      <c r="A16677" t="str">
        <f t="shared" si="260"/>
        <v/>
      </c>
      <c r="E16677" s="626"/>
      <c r="F16677" s="626"/>
    </row>
    <row r="16678" spans="1:6">
      <c r="A16678" t="str">
        <f t="shared" si="260"/>
        <v/>
      </c>
      <c r="E16678" s="626"/>
      <c r="F16678" s="626"/>
    </row>
    <row r="16679" spans="1:6">
      <c r="A16679" t="str">
        <f t="shared" si="260"/>
        <v/>
      </c>
      <c r="E16679" s="626"/>
      <c r="F16679" s="626"/>
    </row>
    <row r="16680" spans="1:6">
      <c r="A16680" t="str">
        <f t="shared" si="260"/>
        <v/>
      </c>
      <c r="E16680" s="626"/>
      <c r="F16680" s="626"/>
    </row>
    <row r="16681" spans="1:6">
      <c r="A16681" t="str">
        <f t="shared" si="260"/>
        <v/>
      </c>
      <c r="E16681" s="626"/>
      <c r="F16681" s="626"/>
    </row>
    <row r="16682" spans="1:6">
      <c r="A16682" t="str">
        <f t="shared" si="260"/>
        <v/>
      </c>
      <c r="E16682" s="626"/>
      <c r="F16682" s="626"/>
    </row>
    <row r="16683" spans="1:6">
      <c r="A16683" t="str">
        <f t="shared" si="260"/>
        <v/>
      </c>
      <c r="E16683" s="626"/>
      <c r="F16683" s="626"/>
    </row>
    <row r="16684" spans="1:6">
      <c r="A16684" t="str">
        <f t="shared" si="260"/>
        <v/>
      </c>
      <c r="E16684" s="626"/>
      <c r="F16684" s="626"/>
    </row>
    <row r="16685" spans="1:6">
      <c r="A16685" t="str">
        <f t="shared" si="260"/>
        <v/>
      </c>
      <c r="E16685" s="626"/>
      <c r="F16685" s="626"/>
    </row>
    <row r="16686" spans="1:6">
      <c r="A16686" t="str">
        <f t="shared" si="260"/>
        <v/>
      </c>
      <c r="E16686" s="626"/>
      <c r="F16686" s="626"/>
    </row>
    <row r="16687" spans="1:6">
      <c r="A16687" t="str">
        <f t="shared" si="260"/>
        <v/>
      </c>
      <c r="E16687" s="626"/>
      <c r="F16687" s="626"/>
    </row>
    <row r="16688" spans="1:6">
      <c r="A16688" t="str">
        <f t="shared" si="260"/>
        <v/>
      </c>
      <c r="E16688" s="626"/>
      <c r="F16688" s="626"/>
    </row>
    <row r="16689" spans="1:6">
      <c r="A16689" t="str">
        <f t="shared" si="260"/>
        <v/>
      </c>
      <c r="E16689" s="626"/>
      <c r="F16689" s="626"/>
    </row>
    <row r="16690" spans="1:6">
      <c r="A16690" t="str">
        <f t="shared" si="260"/>
        <v/>
      </c>
      <c r="E16690" s="626"/>
      <c r="F16690" s="626"/>
    </row>
    <row r="16691" spans="1:6">
      <c r="A16691" t="str">
        <f t="shared" si="260"/>
        <v/>
      </c>
      <c r="E16691" s="626"/>
      <c r="F16691" s="626"/>
    </row>
    <row r="16692" spans="1:6">
      <c r="A16692" t="str">
        <f t="shared" si="260"/>
        <v/>
      </c>
      <c r="E16692" s="626"/>
      <c r="F16692" s="626"/>
    </row>
    <row r="16693" spans="1:6">
      <c r="A16693" t="str">
        <f t="shared" si="260"/>
        <v/>
      </c>
      <c r="E16693" s="626"/>
      <c r="F16693" s="626"/>
    </row>
    <row r="16694" spans="1:6">
      <c r="A16694" t="str">
        <f t="shared" si="260"/>
        <v/>
      </c>
      <c r="E16694" s="626"/>
      <c r="F16694" s="626"/>
    </row>
    <row r="16695" spans="1:6">
      <c r="A16695" t="str">
        <f t="shared" si="260"/>
        <v/>
      </c>
      <c r="E16695" s="626"/>
      <c r="F16695" s="626"/>
    </row>
    <row r="16696" spans="1:6">
      <c r="A16696" t="str">
        <f t="shared" si="260"/>
        <v/>
      </c>
      <c r="E16696" s="626"/>
      <c r="F16696" s="626"/>
    </row>
    <row r="16697" spans="1:6">
      <c r="A16697" t="str">
        <f t="shared" si="260"/>
        <v/>
      </c>
      <c r="E16697" s="626"/>
      <c r="F16697" s="626"/>
    </row>
    <row r="16698" spans="1:6">
      <c r="A16698" t="str">
        <f t="shared" si="260"/>
        <v/>
      </c>
      <c r="E16698" s="626"/>
      <c r="F16698" s="626"/>
    </row>
    <row r="16699" spans="1:6">
      <c r="A16699" t="str">
        <f t="shared" si="260"/>
        <v/>
      </c>
      <c r="E16699" s="626"/>
      <c r="F16699" s="626"/>
    </row>
    <row r="16700" spans="1:6">
      <c r="A16700" t="str">
        <f t="shared" si="260"/>
        <v/>
      </c>
      <c r="E16700" s="626"/>
      <c r="F16700" s="626"/>
    </row>
    <row r="16701" spans="1:6">
      <c r="A16701" t="str">
        <f t="shared" si="260"/>
        <v/>
      </c>
      <c r="E16701" s="626"/>
      <c r="F16701" s="626"/>
    </row>
    <row r="16702" spans="1:6">
      <c r="A16702" t="str">
        <f t="shared" si="260"/>
        <v/>
      </c>
      <c r="E16702" s="626"/>
      <c r="F16702" s="626"/>
    </row>
    <row r="16703" spans="1:6">
      <c r="A16703" t="str">
        <f t="shared" si="260"/>
        <v/>
      </c>
      <c r="E16703" s="626"/>
      <c r="F16703" s="626"/>
    </row>
    <row r="16704" spans="1:6">
      <c r="A16704" t="str">
        <f t="shared" si="260"/>
        <v/>
      </c>
      <c r="E16704" s="626"/>
      <c r="F16704" s="626"/>
    </row>
    <row r="16705" spans="1:6">
      <c r="A16705" t="str">
        <f t="shared" si="260"/>
        <v/>
      </c>
      <c r="E16705" s="626"/>
      <c r="F16705" s="626"/>
    </row>
    <row r="16706" spans="1:6">
      <c r="A16706" t="str">
        <f t="shared" ref="A16706:A16769" si="261">B16706&amp;E16706&amp;J16706</f>
        <v/>
      </c>
      <c r="E16706" s="626"/>
      <c r="F16706" s="626"/>
    </row>
    <row r="16707" spans="1:6">
      <c r="A16707" t="str">
        <f t="shared" si="261"/>
        <v/>
      </c>
      <c r="E16707" s="626"/>
      <c r="F16707" s="626"/>
    </row>
    <row r="16708" spans="1:6">
      <c r="A16708" t="str">
        <f t="shared" si="261"/>
        <v/>
      </c>
      <c r="E16708" s="626"/>
      <c r="F16708" s="626"/>
    </row>
    <row r="16709" spans="1:6">
      <c r="A16709" t="str">
        <f t="shared" si="261"/>
        <v/>
      </c>
      <c r="E16709" s="626"/>
      <c r="F16709" s="626"/>
    </row>
    <row r="16710" spans="1:6">
      <c r="A16710" t="str">
        <f t="shared" si="261"/>
        <v/>
      </c>
      <c r="E16710" s="626"/>
      <c r="F16710" s="626"/>
    </row>
    <row r="16711" spans="1:6">
      <c r="A16711" t="str">
        <f t="shared" si="261"/>
        <v/>
      </c>
      <c r="E16711" s="626"/>
      <c r="F16711" s="626"/>
    </row>
    <row r="16712" spans="1:6">
      <c r="A16712" t="str">
        <f t="shared" si="261"/>
        <v/>
      </c>
      <c r="E16712" s="626"/>
      <c r="F16712" s="626"/>
    </row>
    <row r="16713" spans="1:6">
      <c r="A16713" t="str">
        <f t="shared" si="261"/>
        <v/>
      </c>
      <c r="E16713" s="626"/>
      <c r="F16713" s="626"/>
    </row>
    <row r="16714" spans="1:6">
      <c r="A16714" t="str">
        <f t="shared" si="261"/>
        <v/>
      </c>
      <c r="E16714" s="626"/>
      <c r="F16714" s="626"/>
    </row>
    <row r="16715" spans="1:6">
      <c r="A16715" t="str">
        <f t="shared" si="261"/>
        <v/>
      </c>
      <c r="E16715" s="626"/>
      <c r="F16715" s="626"/>
    </row>
    <row r="16716" spans="1:6">
      <c r="A16716" t="str">
        <f t="shared" si="261"/>
        <v/>
      </c>
      <c r="E16716" s="626"/>
      <c r="F16716" s="626"/>
    </row>
    <row r="16717" spans="1:6">
      <c r="A16717" t="str">
        <f t="shared" si="261"/>
        <v/>
      </c>
      <c r="E16717" s="626"/>
      <c r="F16717" s="626"/>
    </row>
    <row r="16718" spans="1:6">
      <c r="A16718" t="str">
        <f t="shared" si="261"/>
        <v/>
      </c>
      <c r="E16718" s="626"/>
      <c r="F16718" s="626"/>
    </row>
    <row r="16719" spans="1:6">
      <c r="A16719" t="str">
        <f t="shared" si="261"/>
        <v/>
      </c>
      <c r="E16719" s="626"/>
      <c r="F16719" s="626"/>
    </row>
    <row r="16720" spans="1:6">
      <c r="A16720" t="str">
        <f t="shared" si="261"/>
        <v/>
      </c>
      <c r="E16720" s="626"/>
      <c r="F16720" s="626"/>
    </row>
    <row r="16721" spans="1:6">
      <c r="A16721" t="str">
        <f t="shared" si="261"/>
        <v/>
      </c>
      <c r="E16721" s="626"/>
      <c r="F16721" s="626"/>
    </row>
    <row r="16722" spans="1:6">
      <c r="A16722" t="str">
        <f t="shared" si="261"/>
        <v/>
      </c>
      <c r="E16722" s="626"/>
      <c r="F16722" s="626"/>
    </row>
    <row r="16723" spans="1:6">
      <c r="A16723" t="str">
        <f t="shared" si="261"/>
        <v/>
      </c>
      <c r="E16723" s="626"/>
      <c r="F16723" s="626"/>
    </row>
    <row r="16724" spans="1:6">
      <c r="A16724" t="str">
        <f t="shared" si="261"/>
        <v/>
      </c>
      <c r="E16724" s="626"/>
      <c r="F16724" s="626"/>
    </row>
    <row r="16725" spans="1:6">
      <c r="A16725" t="str">
        <f t="shared" si="261"/>
        <v/>
      </c>
      <c r="E16725" s="626"/>
      <c r="F16725" s="626"/>
    </row>
    <row r="16726" spans="1:6">
      <c r="A16726" t="str">
        <f t="shared" si="261"/>
        <v/>
      </c>
      <c r="E16726" s="626"/>
      <c r="F16726" s="626"/>
    </row>
    <row r="16727" spans="1:6">
      <c r="A16727" t="str">
        <f t="shared" si="261"/>
        <v/>
      </c>
      <c r="E16727" s="626"/>
      <c r="F16727" s="626"/>
    </row>
    <row r="16728" spans="1:6">
      <c r="A16728" t="str">
        <f t="shared" si="261"/>
        <v/>
      </c>
      <c r="E16728" s="626"/>
      <c r="F16728" s="626"/>
    </row>
    <row r="16729" spans="1:6">
      <c r="A16729" t="str">
        <f t="shared" si="261"/>
        <v/>
      </c>
      <c r="E16729" s="626"/>
      <c r="F16729" s="626"/>
    </row>
    <row r="16730" spans="1:6">
      <c r="A16730" t="str">
        <f t="shared" si="261"/>
        <v/>
      </c>
      <c r="E16730" s="626"/>
      <c r="F16730" s="626"/>
    </row>
    <row r="16731" spans="1:6">
      <c r="A16731" t="str">
        <f t="shared" si="261"/>
        <v/>
      </c>
      <c r="E16731" s="626"/>
      <c r="F16731" s="626"/>
    </row>
    <row r="16732" spans="1:6">
      <c r="A16732" t="str">
        <f t="shared" si="261"/>
        <v/>
      </c>
      <c r="E16732" s="626"/>
      <c r="F16732" s="626"/>
    </row>
    <row r="16733" spans="1:6">
      <c r="A16733" t="str">
        <f t="shared" si="261"/>
        <v/>
      </c>
      <c r="E16733" s="626"/>
      <c r="F16733" s="626"/>
    </row>
    <row r="16734" spans="1:6">
      <c r="A16734" t="str">
        <f t="shared" si="261"/>
        <v/>
      </c>
      <c r="E16734" s="626"/>
      <c r="F16734" s="626"/>
    </row>
    <row r="16735" spans="1:6">
      <c r="A16735" t="str">
        <f t="shared" si="261"/>
        <v/>
      </c>
      <c r="E16735" s="626"/>
      <c r="F16735" s="626"/>
    </row>
    <row r="16736" spans="1:6">
      <c r="A16736" t="str">
        <f t="shared" si="261"/>
        <v/>
      </c>
      <c r="E16736" s="626"/>
      <c r="F16736" s="626"/>
    </row>
    <row r="16737" spans="1:6">
      <c r="A16737" t="str">
        <f t="shared" si="261"/>
        <v/>
      </c>
      <c r="E16737" s="626"/>
      <c r="F16737" s="626"/>
    </row>
    <row r="16738" spans="1:6">
      <c r="A16738" t="str">
        <f t="shared" si="261"/>
        <v/>
      </c>
      <c r="E16738" s="626"/>
      <c r="F16738" s="626"/>
    </row>
    <row r="16739" spans="1:6">
      <c r="A16739" t="str">
        <f t="shared" si="261"/>
        <v/>
      </c>
      <c r="E16739" s="626"/>
      <c r="F16739" s="626"/>
    </row>
    <row r="16740" spans="1:6">
      <c r="A16740" t="str">
        <f t="shared" si="261"/>
        <v/>
      </c>
      <c r="E16740" s="626"/>
      <c r="F16740" s="626"/>
    </row>
    <row r="16741" spans="1:6">
      <c r="A16741" t="str">
        <f t="shared" si="261"/>
        <v/>
      </c>
      <c r="E16741" s="626"/>
      <c r="F16741" s="626"/>
    </row>
    <row r="16742" spans="1:6">
      <c r="A16742" t="str">
        <f t="shared" si="261"/>
        <v/>
      </c>
      <c r="E16742" s="626"/>
      <c r="F16742" s="626"/>
    </row>
    <row r="16743" spans="1:6">
      <c r="A16743" t="str">
        <f t="shared" si="261"/>
        <v/>
      </c>
      <c r="E16743" s="626"/>
      <c r="F16743" s="626"/>
    </row>
    <row r="16744" spans="1:6">
      <c r="A16744" t="str">
        <f t="shared" si="261"/>
        <v/>
      </c>
      <c r="E16744" s="626"/>
      <c r="F16744" s="626"/>
    </row>
    <row r="16745" spans="1:6">
      <c r="A16745" t="str">
        <f t="shared" si="261"/>
        <v/>
      </c>
      <c r="E16745" s="626"/>
      <c r="F16745" s="626"/>
    </row>
    <row r="16746" spans="1:6">
      <c r="A16746" t="str">
        <f t="shared" si="261"/>
        <v/>
      </c>
      <c r="E16746" s="626"/>
      <c r="F16746" s="626"/>
    </row>
    <row r="16747" spans="1:6">
      <c r="A16747" t="str">
        <f t="shared" si="261"/>
        <v/>
      </c>
      <c r="E16747" s="626"/>
      <c r="F16747" s="626"/>
    </row>
    <row r="16748" spans="1:6">
      <c r="A16748" t="str">
        <f t="shared" si="261"/>
        <v/>
      </c>
      <c r="E16748" s="626"/>
      <c r="F16748" s="626"/>
    </row>
    <row r="16749" spans="1:6">
      <c r="A16749" t="str">
        <f t="shared" si="261"/>
        <v/>
      </c>
      <c r="E16749" s="626"/>
      <c r="F16749" s="626"/>
    </row>
    <row r="16750" spans="1:6">
      <c r="A16750" t="str">
        <f t="shared" si="261"/>
        <v/>
      </c>
      <c r="E16750" s="626"/>
      <c r="F16750" s="626"/>
    </row>
    <row r="16751" spans="1:6">
      <c r="A16751" t="str">
        <f t="shared" si="261"/>
        <v/>
      </c>
      <c r="E16751" s="626"/>
      <c r="F16751" s="626"/>
    </row>
    <row r="16752" spans="1:6">
      <c r="A16752" t="str">
        <f t="shared" si="261"/>
        <v/>
      </c>
      <c r="E16752" s="626"/>
      <c r="F16752" s="626"/>
    </row>
    <row r="16753" spans="1:6">
      <c r="A16753" t="str">
        <f t="shared" si="261"/>
        <v/>
      </c>
      <c r="E16753" s="626"/>
      <c r="F16753" s="626"/>
    </row>
    <row r="16754" spans="1:6">
      <c r="A16754" t="str">
        <f t="shared" si="261"/>
        <v/>
      </c>
      <c r="E16754" s="626"/>
      <c r="F16754" s="626"/>
    </row>
    <row r="16755" spans="1:6">
      <c r="A16755" t="str">
        <f t="shared" si="261"/>
        <v/>
      </c>
      <c r="E16755" s="626"/>
      <c r="F16755" s="626"/>
    </row>
    <row r="16756" spans="1:6">
      <c r="A16756" t="str">
        <f t="shared" si="261"/>
        <v/>
      </c>
      <c r="E16756" s="626"/>
      <c r="F16756" s="626"/>
    </row>
    <row r="16757" spans="1:6">
      <c r="A16757" t="str">
        <f t="shared" si="261"/>
        <v/>
      </c>
      <c r="E16757" s="626"/>
      <c r="F16757" s="626"/>
    </row>
    <row r="16758" spans="1:6">
      <c r="A16758" t="str">
        <f t="shared" si="261"/>
        <v/>
      </c>
      <c r="E16758" s="626"/>
      <c r="F16758" s="626"/>
    </row>
    <row r="16759" spans="1:6">
      <c r="A16759" t="str">
        <f t="shared" si="261"/>
        <v/>
      </c>
      <c r="E16759" s="626"/>
      <c r="F16759" s="626"/>
    </row>
    <row r="16760" spans="1:6">
      <c r="A16760" t="str">
        <f t="shared" si="261"/>
        <v/>
      </c>
      <c r="E16760" s="626"/>
      <c r="F16760" s="626"/>
    </row>
    <row r="16761" spans="1:6">
      <c r="A16761" t="str">
        <f t="shared" si="261"/>
        <v/>
      </c>
      <c r="E16761" s="626"/>
      <c r="F16761" s="626"/>
    </row>
    <row r="16762" spans="1:6">
      <c r="A16762" t="str">
        <f t="shared" si="261"/>
        <v/>
      </c>
      <c r="E16762" s="626"/>
      <c r="F16762" s="626"/>
    </row>
    <row r="16763" spans="1:6">
      <c r="A16763" t="str">
        <f t="shared" si="261"/>
        <v/>
      </c>
      <c r="E16763" s="626"/>
      <c r="F16763" s="626"/>
    </row>
    <row r="16764" spans="1:6">
      <c r="A16764" t="str">
        <f t="shared" si="261"/>
        <v/>
      </c>
      <c r="E16764" s="626"/>
      <c r="F16764" s="626"/>
    </row>
    <row r="16765" spans="1:6">
      <c r="A16765" t="str">
        <f t="shared" si="261"/>
        <v/>
      </c>
      <c r="E16765" s="626"/>
      <c r="F16765" s="626"/>
    </row>
    <row r="16766" spans="1:6">
      <c r="A16766" t="str">
        <f t="shared" si="261"/>
        <v/>
      </c>
      <c r="E16766" s="626"/>
      <c r="F16766" s="626"/>
    </row>
    <row r="16767" spans="1:6">
      <c r="A16767" t="str">
        <f t="shared" si="261"/>
        <v/>
      </c>
      <c r="E16767" s="626"/>
      <c r="F16767" s="626"/>
    </row>
    <row r="16768" spans="1:6">
      <c r="A16768" t="str">
        <f t="shared" si="261"/>
        <v/>
      </c>
      <c r="E16768" s="626"/>
      <c r="F16768" s="626"/>
    </row>
    <row r="16769" spans="1:6">
      <c r="A16769" t="str">
        <f t="shared" si="261"/>
        <v/>
      </c>
      <c r="E16769" s="626"/>
      <c r="F16769" s="626"/>
    </row>
    <row r="16770" spans="1:6">
      <c r="A16770" t="str">
        <f t="shared" ref="A16770:A16833" si="262">B16770&amp;E16770&amp;J16770</f>
        <v/>
      </c>
      <c r="E16770" s="626"/>
      <c r="F16770" s="626"/>
    </row>
    <row r="16771" spans="1:6">
      <c r="A16771" t="str">
        <f t="shared" si="262"/>
        <v/>
      </c>
      <c r="E16771" s="626"/>
      <c r="F16771" s="626"/>
    </row>
    <row r="16772" spans="1:6">
      <c r="A16772" t="str">
        <f t="shared" si="262"/>
        <v/>
      </c>
      <c r="E16772" s="626"/>
      <c r="F16772" s="626"/>
    </row>
    <row r="16773" spans="1:6">
      <c r="A16773" t="str">
        <f t="shared" si="262"/>
        <v/>
      </c>
      <c r="E16773" s="626"/>
      <c r="F16773" s="626"/>
    </row>
    <row r="16774" spans="1:6">
      <c r="A16774" t="str">
        <f t="shared" si="262"/>
        <v/>
      </c>
      <c r="E16774" s="626"/>
      <c r="F16774" s="626"/>
    </row>
    <row r="16775" spans="1:6">
      <c r="A16775" t="str">
        <f t="shared" si="262"/>
        <v/>
      </c>
      <c r="E16775" s="626"/>
      <c r="F16775" s="626"/>
    </row>
    <row r="16776" spans="1:6">
      <c r="A16776" t="str">
        <f t="shared" si="262"/>
        <v/>
      </c>
      <c r="E16776" s="626"/>
      <c r="F16776" s="626"/>
    </row>
    <row r="16777" spans="1:6">
      <c r="A16777" t="str">
        <f t="shared" si="262"/>
        <v/>
      </c>
      <c r="E16777" s="626"/>
      <c r="F16777" s="626"/>
    </row>
    <row r="16778" spans="1:6">
      <c r="A16778" t="str">
        <f t="shared" si="262"/>
        <v/>
      </c>
      <c r="E16778" s="626"/>
      <c r="F16778" s="626"/>
    </row>
    <row r="16779" spans="1:6">
      <c r="A16779" t="str">
        <f t="shared" si="262"/>
        <v/>
      </c>
      <c r="E16779" s="626"/>
      <c r="F16779" s="626"/>
    </row>
    <row r="16780" spans="1:6">
      <c r="A16780" t="str">
        <f t="shared" si="262"/>
        <v/>
      </c>
      <c r="E16780" s="626"/>
      <c r="F16780" s="626"/>
    </row>
    <row r="16781" spans="1:6">
      <c r="A16781" t="str">
        <f t="shared" si="262"/>
        <v/>
      </c>
      <c r="E16781" s="626"/>
      <c r="F16781" s="626"/>
    </row>
    <row r="16782" spans="1:6">
      <c r="A16782" t="str">
        <f t="shared" si="262"/>
        <v/>
      </c>
      <c r="E16782" s="626"/>
      <c r="F16782" s="626"/>
    </row>
    <row r="16783" spans="1:6">
      <c r="A16783" t="str">
        <f t="shared" si="262"/>
        <v/>
      </c>
      <c r="E16783" s="626"/>
      <c r="F16783" s="626"/>
    </row>
    <row r="16784" spans="1:6">
      <c r="A16784" t="str">
        <f t="shared" si="262"/>
        <v/>
      </c>
      <c r="E16784" s="626"/>
      <c r="F16784" s="626"/>
    </row>
    <row r="16785" spans="1:6">
      <c r="A16785" t="str">
        <f t="shared" si="262"/>
        <v/>
      </c>
      <c r="E16785" s="626"/>
      <c r="F16785" s="626"/>
    </row>
    <row r="16786" spans="1:6">
      <c r="A16786" t="str">
        <f t="shared" si="262"/>
        <v/>
      </c>
      <c r="E16786" s="626"/>
      <c r="F16786" s="626"/>
    </row>
    <row r="16787" spans="1:6">
      <c r="A16787" t="str">
        <f t="shared" si="262"/>
        <v/>
      </c>
      <c r="E16787" s="626"/>
      <c r="F16787" s="626"/>
    </row>
    <row r="16788" spans="1:6">
      <c r="A16788" t="str">
        <f t="shared" si="262"/>
        <v/>
      </c>
      <c r="E16788" s="626"/>
      <c r="F16788" s="626"/>
    </row>
    <row r="16789" spans="1:6">
      <c r="A16789" t="str">
        <f t="shared" si="262"/>
        <v/>
      </c>
      <c r="E16789" s="626"/>
      <c r="F16789" s="626"/>
    </row>
    <row r="16790" spans="1:6">
      <c r="A16790" t="str">
        <f t="shared" si="262"/>
        <v/>
      </c>
      <c r="E16790" s="626"/>
      <c r="F16790" s="626"/>
    </row>
    <row r="16791" spans="1:6">
      <c r="A16791" t="str">
        <f t="shared" si="262"/>
        <v/>
      </c>
      <c r="E16791" s="626"/>
      <c r="F16791" s="626"/>
    </row>
    <row r="16792" spans="1:6">
      <c r="A16792" t="str">
        <f t="shared" si="262"/>
        <v/>
      </c>
      <c r="E16792" s="626"/>
      <c r="F16792" s="626"/>
    </row>
    <row r="16793" spans="1:6">
      <c r="A16793" t="str">
        <f t="shared" si="262"/>
        <v/>
      </c>
      <c r="E16793" s="626"/>
      <c r="F16793" s="626"/>
    </row>
    <row r="16794" spans="1:6">
      <c r="A16794" t="str">
        <f t="shared" si="262"/>
        <v/>
      </c>
      <c r="E16794" s="626"/>
      <c r="F16794" s="626"/>
    </row>
    <row r="16795" spans="1:6">
      <c r="A16795" t="str">
        <f t="shared" si="262"/>
        <v/>
      </c>
      <c r="E16795" s="626"/>
      <c r="F16795" s="626"/>
    </row>
    <row r="16796" spans="1:6">
      <c r="A16796" t="str">
        <f t="shared" si="262"/>
        <v/>
      </c>
      <c r="E16796" s="626"/>
      <c r="F16796" s="626"/>
    </row>
    <row r="16797" spans="1:6">
      <c r="A16797" t="str">
        <f t="shared" si="262"/>
        <v/>
      </c>
      <c r="E16797" s="626"/>
      <c r="F16797" s="626"/>
    </row>
    <row r="16798" spans="1:6">
      <c r="A16798" t="str">
        <f t="shared" si="262"/>
        <v/>
      </c>
      <c r="E16798" s="626"/>
      <c r="F16798" s="626"/>
    </row>
    <row r="16799" spans="1:6">
      <c r="A16799" t="str">
        <f t="shared" si="262"/>
        <v/>
      </c>
      <c r="E16799" s="626"/>
      <c r="F16799" s="626"/>
    </row>
    <row r="16800" spans="1:6">
      <c r="A16800" t="str">
        <f t="shared" si="262"/>
        <v/>
      </c>
      <c r="E16800" s="626"/>
      <c r="F16800" s="626"/>
    </row>
    <row r="16801" spans="1:6">
      <c r="A16801" t="str">
        <f t="shared" si="262"/>
        <v/>
      </c>
      <c r="E16801" s="626"/>
      <c r="F16801" s="626"/>
    </row>
    <row r="16802" spans="1:6">
      <c r="A16802" t="str">
        <f t="shared" si="262"/>
        <v/>
      </c>
      <c r="E16802" s="626"/>
      <c r="F16802" s="626"/>
    </row>
    <row r="16803" spans="1:6">
      <c r="A16803" t="str">
        <f t="shared" si="262"/>
        <v/>
      </c>
      <c r="E16803" s="626"/>
      <c r="F16803" s="626"/>
    </row>
    <row r="16804" spans="1:6">
      <c r="A16804" t="str">
        <f t="shared" si="262"/>
        <v/>
      </c>
      <c r="E16804" s="626"/>
      <c r="F16804" s="626"/>
    </row>
    <row r="16805" spans="1:6">
      <c r="A16805" t="str">
        <f t="shared" si="262"/>
        <v/>
      </c>
      <c r="E16805" s="626"/>
      <c r="F16805" s="626"/>
    </row>
    <row r="16806" spans="1:6">
      <c r="A16806" t="str">
        <f t="shared" si="262"/>
        <v/>
      </c>
      <c r="E16806" s="626"/>
      <c r="F16806" s="626"/>
    </row>
    <row r="16807" spans="1:6">
      <c r="A16807" t="str">
        <f t="shared" si="262"/>
        <v/>
      </c>
      <c r="E16807" s="626"/>
      <c r="F16807" s="626"/>
    </row>
    <row r="16808" spans="1:6">
      <c r="A16808" t="str">
        <f t="shared" si="262"/>
        <v/>
      </c>
      <c r="E16808" s="626"/>
      <c r="F16808" s="626"/>
    </row>
    <row r="16809" spans="1:6">
      <c r="A16809" t="str">
        <f t="shared" si="262"/>
        <v/>
      </c>
      <c r="E16809" s="626"/>
      <c r="F16809" s="626"/>
    </row>
    <row r="16810" spans="1:6">
      <c r="A16810" t="str">
        <f t="shared" si="262"/>
        <v/>
      </c>
      <c r="E16810" s="626"/>
      <c r="F16810" s="626"/>
    </row>
    <row r="16811" spans="1:6">
      <c r="A16811" t="str">
        <f t="shared" si="262"/>
        <v/>
      </c>
      <c r="E16811" s="626"/>
      <c r="F16811" s="626"/>
    </row>
    <row r="16812" spans="1:6">
      <c r="A16812" t="str">
        <f t="shared" si="262"/>
        <v/>
      </c>
      <c r="E16812" s="626"/>
      <c r="F16812" s="626"/>
    </row>
    <row r="16813" spans="1:6">
      <c r="A16813" t="str">
        <f t="shared" si="262"/>
        <v/>
      </c>
      <c r="E16813" s="626"/>
      <c r="F16813" s="626"/>
    </row>
    <row r="16814" spans="1:6">
      <c r="A16814" t="str">
        <f t="shared" si="262"/>
        <v/>
      </c>
      <c r="E16814" s="626"/>
      <c r="F16814" s="626"/>
    </row>
    <row r="16815" spans="1:6">
      <c r="A16815" t="str">
        <f t="shared" si="262"/>
        <v/>
      </c>
      <c r="E16815" s="626"/>
      <c r="F16815" s="626"/>
    </row>
    <row r="16816" spans="1:6">
      <c r="A16816" t="str">
        <f t="shared" si="262"/>
        <v/>
      </c>
      <c r="E16816" s="626"/>
      <c r="F16816" s="626"/>
    </row>
    <row r="16817" spans="1:6">
      <c r="A16817" t="str">
        <f t="shared" si="262"/>
        <v/>
      </c>
      <c r="E16817" s="626"/>
      <c r="F16817" s="626"/>
    </row>
    <row r="16818" spans="1:6">
      <c r="A16818" t="str">
        <f t="shared" si="262"/>
        <v/>
      </c>
      <c r="E16818" s="626"/>
      <c r="F16818" s="626"/>
    </row>
    <row r="16819" spans="1:6">
      <c r="A16819" t="str">
        <f t="shared" si="262"/>
        <v/>
      </c>
      <c r="E16819" s="626"/>
      <c r="F16819" s="626"/>
    </row>
    <row r="16820" spans="1:6">
      <c r="A16820" t="str">
        <f t="shared" si="262"/>
        <v/>
      </c>
      <c r="E16820" s="626"/>
      <c r="F16820" s="626"/>
    </row>
    <row r="16821" spans="1:6">
      <c r="A16821" t="str">
        <f t="shared" si="262"/>
        <v/>
      </c>
      <c r="E16821" s="626"/>
      <c r="F16821" s="626"/>
    </row>
    <row r="16822" spans="1:6">
      <c r="A16822" t="str">
        <f t="shared" si="262"/>
        <v/>
      </c>
      <c r="E16822" s="626"/>
      <c r="F16822" s="626"/>
    </row>
    <row r="16823" spans="1:6">
      <c r="A16823" t="str">
        <f t="shared" si="262"/>
        <v/>
      </c>
      <c r="E16823" s="626"/>
      <c r="F16823" s="626"/>
    </row>
    <row r="16824" spans="1:6">
      <c r="A16824" t="str">
        <f t="shared" si="262"/>
        <v/>
      </c>
      <c r="E16824" s="626"/>
      <c r="F16824" s="626"/>
    </row>
    <row r="16825" spans="1:6">
      <c r="A16825" t="str">
        <f t="shared" si="262"/>
        <v/>
      </c>
      <c r="E16825" s="626"/>
      <c r="F16825" s="626"/>
    </row>
    <row r="16826" spans="1:6">
      <c r="A16826" t="str">
        <f t="shared" si="262"/>
        <v/>
      </c>
      <c r="E16826" s="626"/>
      <c r="F16826" s="626"/>
    </row>
    <row r="16827" spans="1:6">
      <c r="A16827" t="str">
        <f t="shared" si="262"/>
        <v/>
      </c>
      <c r="E16827" s="626"/>
      <c r="F16827" s="626"/>
    </row>
    <row r="16828" spans="1:6">
      <c r="A16828" t="str">
        <f t="shared" si="262"/>
        <v/>
      </c>
      <c r="E16828" s="626"/>
      <c r="F16828" s="626"/>
    </row>
    <row r="16829" spans="1:6">
      <c r="A16829" t="str">
        <f t="shared" si="262"/>
        <v/>
      </c>
      <c r="E16829" s="626"/>
      <c r="F16829" s="626"/>
    </row>
    <row r="16830" spans="1:6">
      <c r="A16830" t="str">
        <f t="shared" si="262"/>
        <v/>
      </c>
      <c r="E16830" s="626"/>
      <c r="F16830" s="626"/>
    </row>
    <row r="16831" spans="1:6">
      <c r="A16831" t="str">
        <f t="shared" si="262"/>
        <v/>
      </c>
      <c r="E16831" s="626"/>
      <c r="F16831" s="626"/>
    </row>
    <row r="16832" spans="1:6">
      <c r="A16832" t="str">
        <f t="shared" si="262"/>
        <v/>
      </c>
      <c r="E16832" s="626"/>
      <c r="F16832" s="626"/>
    </row>
    <row r="16833" spans="1:6">
      <c r="A16833" t="str">
        <f t="shared" si="262"/>
        <v/>
      </c>
      <c r="E16833" s="626"/>
      <c r="F16833" s="626"/>
    </row>
    <row r="16834" spans="1:6">
      <c r="A16834" t="str">
        <f t="shared" ref="A16834:A16897" si="263">B16834&amp;E16834&amp;J16834</f>
        <v/>
      </c>
      <c r="E16834" s="626"/>
      <c r="F16834" s="626"/>
    </row>
    <row r="16835" spans="1:6">
      <c r="A16835" t="str">
        <f t="shared" si="263"/>
        <v/>
      </c>
      <c r="E16835" s="626"/>
      <c r="F16835" s="626"/>
    </row>
    <row r="16836" spans="1:6">
      <c r="A16836" t="str">
        <f t="shared" si="263"/>
        <v/>
      </c>
      <c r="E16836" s="626"/>
      <c r="F16836" s="626"/>
    </row>
    <row r="16837" spans="1:6">
      <c r="A16837" t="str">
        <f t="shared" si="263"/>
        <v/>
      </c>
      <c r="E16837" s="626"/>
      <c r="F16837" s="626"/>
    </row>
    <row r="16838" spans="1:6">
      <c r="A16838" t="str">
        <f t="shared" si="263"/>
        <v/>
      </c>
      <c r="E16838" s="626"/>
      <c r="F16838" s="626"/>
    </row>
    <row r="16839" spans="1:6">
      <c r="A16839" t="str">
        <f t="shared" si="263"/>
        <v/>
      </c>
      <c r="E16839" s="626"/>
      <c r="F16839" s="626"/>
    </row>
    <row r="16840" spans="1:6">
      <c r="A16840" t="str">
        <f t="shared" si="263"/>
        <v/>
      </c>
      <c r="E16840" s="626"/>
      <c r="F16840" s="626"/>
    </row>
    <row r="16841" spans="1:6">
      <c r="A16841" t="str">
        <f t="shared" si="263"/>
        <v/>
      </c>
      <c r="E16841" s="626"/>
      <c r="F16841" s="626"/>
    </row>
    <row r="16842" spans="1:6">
      <c r="A16842" t="str">
        <f t="shared" si="263"/>
        <v/>
      </c>
      <c r="E16842" s="626"/>
      <c r="F16842" s="626"/>
    </row>
    <row r="16843" spans="1:6">
      <c r="A16843" t="str">
        <f t="shared" si="263"/>
        <v/>
      </c>
      <c r="E16843" s="626"/>
      <c r="F16843" s="626"/>
    </row>
    <row r="16844" spans="1:6">
      <c r="A16844" t="str">
        <f t="shared" si="263"/>
        <v/>
      </c>
      <c r="E16844" s="626"/>
      <c r="F16844" s="626"/>
    </row>
    <row r="16845" spans="1:6">
      <c r="A16845" t="str">
        <f t="shared" si="263"/>
        <v/>
      </c>
      <c r="E16845" s="626"/>
      <c r="F16845" s="626"/>
    </row>
    <row r="16846" spans="1:6">
      <c r="A16846" t="str">
        <f t="shared" si="263"/>
        <v/>
      </c>
      <c r="E16846" s="626"/>
      <c r="F16846" s="626"/>
    </row>
    <row r="16847" spans="1:6">
      <c r="A16847" t="str">
        <f t="shared" si="263"/>
        <v/>
      </c>
      <c r="E16847" s="626"/>
      <c r="F16847" s="626"/>
    </row>
    <row r="16848" spans="1:6">
      <c r="A16848" t="str">
        <f t="shared" si="263"/>
        <v/>
      </c>
      <c r="E16848" s="626"/>
      <c r="F16848" s="626"/>
    </row>
    <row r="16849" spans="1:6">
      <c r="A16849" t="str">
        <f t="shared" si="263"/>
        <v/>
      </c>
      <c r="E16849" s="626"/>
      <c r="F16849" s="626"/>
    </row>
    <row r="16850" spans="1:6">
      <c r="A16850" t="str">
        <f t="shared" si="263"/>
        <v/>
      </c>
      <c r="E16850" s="626"/>
      <c r="F16850" s="626"/>
    </row>
    <row r="16851" spans="1:6">
      <c r="A16851" t="str">
        <f t="shared" si="263"/>
        <v/>
      </c>
      <c r="E16851" s="626"/>
      <c r="F16851" s="626"/>
    </row>
    <row r="16852" spans="1:6">
      <c r="A16852" t="str">
        <f t="shared" si="263"/>
        <v/>
      </c>
      <c r="E16852" s="626"/>
      <c r="F16852" s="626"/>
    </row>
    <row r="16853" spans="1:6">
      <c r="A16853" t="str">
        <f t="shared" si="263"/>
        <v/>
      </c>
      <c r="E16853" s="626"/>
      <c r="F16853" s="626"/>
    </row>
    <row r="16854" spans="1:6">
      <c r="A16854" t="str">
        <f t="shared" si="263"/>
        <v/>
      </c>
      <c r="E16854" s="626"/>
      <c r="F16854" s="626"/>
    </row>
    <row r="16855" spans="1:6">
      <c r="A16855" t="str">
        <f t="shared" si="263"/>
        <v/>
      </c>
      <c r="E16855" s="626"/>
      <c r="F16855" s="626"/>
    </row>
    <row r="16856" spans="1:6">
      <c r="A16856" t="str">
        <f t="shared" si="263"/>
        <v/>
      </c>
      <c r="E16856" s="626"/>
      <c r="F16856" s="626"/>
    </row>
    <row r="16857" spans="1:6">
      <c r="A16857" t="str">
        <f t="shared" si="263"/>
        <v/>
      </c>
      <c r="E16857" s="626"/>
      <c r="F16857" s="626"/>
    </row>
    <row r="16858" spans="1:6">
      <c r="A16858" t="str">
        <f t="shared" si="263"/>
        <v/>
      </c>
      <c r="E16858" s="626"/>
      <c r="F16858" s="626"/>
    </row>
    <row r="16859" spans="1:6">
      <c r="A16859" t="str">
        <f t="shared" si="263"/>
        <v/>
      </c>
      <c r="E16859" s="626"/>
      <c r="F16859" s="626"/>
    </row>
    <row r="16860" spans="1:6">
      <c r="A16860" t="str">
        <f t="shared" si="263"/>
        <v/>
      </c>
      <c r="E16860" s="626"/>
      <c r="F16860" s="626"/>
    </row>
    <row r="16861" spans="1:6">
      <c r="A16861" t="str">
        <f t="shared" si="263"/>
        <v/>
      </c>
      <c r="E16861" s="626"/>
      <c r="F16861" s="626"/>
    </row>
    <row r="16862" spans="1:6">
      <c r="A16862" t="str">
        <f t="shared" si="263"/>
        <v/>
      </c>
      <c r="E16862" s="626"/>
      <c r="F16862" s="626"/>
    </row>
    <row r="16863" spans="1:6">
      <c r="A16863" t="str">
        <f t="shared" si="263"/>
        <v/>
      </c>
      <c r="E16863" s="626"/>
      <c r="F16863" s="626"/>
    </row>
    <row r="16864" spans="1:6">
      <c r="A16864" t="str">
        <f t="shared" si="263"/>
        <v/>
      </c>
      <c r="E16864" s="626"/>
      <c r="F16864" s="626"/>
    </row>
    <row r="16865" spans="1:6">
      <c r="A16865" t="str">
        <f t="shared" si="263"/>
        <v/>
      </c>
      <c r="E16865" s="626"/>
      <c r="F16865" s="626"/>
    </row>
    <row r="16866" spans="1:6">
      <c r="A16866" t="str">
        <f t="shared" si="263"/>
        <v/>
      </c>
      <c r="E16866" s="626"/>
      <c r="F16866" s="626"/>
    </row>
    <row r="16867" spans="1:6">
      <c r="A16867" t="str">
        <f t="shared" si="263"/>
        <v/>
      </c>
      <c r="E16867" s="626"/>
      <c r="F16867" s="626"/>
    </row>
    <row r="16868" spans="1:6">
      <c r="A16868" t="str">
        <f t="shared" si="263"/>
        <v/>
      </c>
      <c r="E16868" s="626"/>
      <c r="F16868" s="626"/>
    </row>
    <row r="16869" spans="1:6">
      <c r="A16869" t="str">
        <f t="shared" si="263"/>
        <v/>
      </c>
      <c r="E16869" s="626"/>
      <c r="F16869" s="626"/>
    </row>
    <row r="16870" spans="1:6">
      <c r="A16870" t="str">
        <f t="shared" si="263"/>
        <v/>
      </c>
      <c r="E16870" s="626"/>
      <c r="F16870" s="626"/>
    </row>
    <row r="16871" spans="1:6">
      <c r="A16871" t="str">
        <f t="shared" si="263"/>
        <v/>
      </c>
      <c r="E16871" s="626"/>
      <c r="F16871" s="626"/>
    </row>
    <row r="16872" spans="1:6">
      <c r="A16872" t="str">
        <f t="shared" si="263"/>
        <v/>
      </c>
      <c r="E16872" s="626"/>
      <c r="F16872" s="626"/>
    </row>
    <row r="16873" spans="1:6">
      <c r="A16873" t="str">
        <f t="shared" si="263"/>
        <v/>
      </c>
      <c r="E16873" s="626"/>
      <c r="F16873" s="626"/>
    </row>
    <row r="16874" spans="1:6">
      <c r="A16874" t="str">
        <f t="shared" si="263"/>
        <v/>
      </c>
      <c r="E16874" s="626"/>
      <c r="F16874" s="626"/>
    </row>
    <row r="16875" spans="1:6">
      <c r="A16875" t="str">
        <f t="shared" si="263"/>
        <v/>
      </c>
      <c r="E16875" s="626"/>
      <c r="F16875" s="626"/>
    </row>
    <row r="16876" spans="1:6">
      <c r="A16876" t="str">
        <f t="shared" si="263"/>
        <v/>
      </c>
      <c r="E16876" s="626"/>
      <c r="F16876" s="626"/>
    </row>
    <row r="16877" spans="1:6">
      <c r="A16877" t="str">
        <f t="shared" si="263"/>
        <v/>
      </c>
      <c r="E16877" s="626"/>
      <c r="F16877" s="626"/>
    </row>
    <row r="16878" spans="1:6">
      <c r="A16878" t="str">
        <f t="shared" si="263"/>
        <v/>
      </c>
      <c r="E16878" s="626"/>
      <c r="F16878" s="626"/>
    </row>
    <row r="16879" spans="1:6">
      <c r="A16879" t="str">
        <f t="shared" si="263"/>
        <v/>
      </c>
      <c r="E16879" s="626"/>
      <c r="F16879" s="626"/>
    </row>
    <row r="16880" spans="1:6">
      <c r="A16880" t="str">
        <f t="shared" si="263"/>
        <v/>
      </c>
      <c r="E16880" s="626"/>
      <c r="F16880" s="626"/>
    </row>
    <row r="16881" spans="1:6">
      <c r="A16881" t="str">
        <f t="shared" si="263"/>
        <v/>
      </c>
      <c r="E16881" s="626"/>
      <c r="F16881" s="626"/>
    </row>
    <row r="16882" spans="1:6">
      <c r="A16882" t="str">
        <f t="shared" si="263"/>
        <v/>
      </c>
      <c r="E16882" s="626"/>
      <c r="F16882" s="626"/>
    </row>
    <row r="16883" spans="1:6">
      <c r="A16883" t="str">
        <f t="shared" si="263"/>
        <v/>
      </c>
      <c r="E16883" s="626"/>
      <c r="F16883" s="626"/>
    </row>
    <row r="16884" spans="1:6">
      <c r="A16884" t="str">
        <f t="shared" si="263"/>
        <v/>
      </c>
      <c r="E16884" s="626"/>
      <c r="F16884" s="626"/>
    </row>
    <row r="16885" spans="1:6">
      <c r="A16885" t="str">
        <f t="shared" si="263"/>
        <v/>
      </c>
      <c r="E16885" s="626"/>
      <c r="F16885" s="626"/>
    </row>
    <row r="16886" spans="1:6">
      <c r="A16886" t="str">
        <f t="shared" si="263"/>
        <v/>
      </c>
      <c r="E16886" s="626"/>
      <c r="F16886" s="626"/>
    </row>
    <row r="16887" spans="1:6">
      <c r="A16887" t="str">
        <f t="shared" si="263"/>
        <v/>
      </c>
      <c r="E16887" s="626"/>
      <c r="F16887" s="626"/>
    </row>
    <row r="16888" spans="1:6">
      <c r="A16888" t="str">
        <f t="shared" si="263"/>
        <v/>
      </c>
      <c r="E16888" s="626"/>
      <c r="F16888" s="626"/>
    </row>
    <row r="16889" spans="1:6">
      <c r="A16889" t="str">
        <f t="shared" si="263"/>
        <v/>
      </c>
      <c r="E16889" s="626"/>
      <c r="F16889" s="626"/>
    </row>
    <row r="16890" spans="1:6">
      <c r="A16890" t="str">
        <f t="shared" si="263"/>
        <v/>
      </c>
      <c r="E16890" s="626"/>
      <c r="F16890" s="626"/>
    </row>
    <row r="16891" spans="1:6">
      <c r="A16891" t="str">
        <f t="shared" si="263"/>
        <v/>
      </c>
      <c r="E16891" s="626"/>
      <c r="F16891" s="626"/>
    </row>
    <row r="16892" spans="1:6">
      <c r="A16892" t="str">
        <f t="shared" si="263"/>
        <v/>
      </c>
      <c r="E16892" s="626"/>
      <c r="F16892" s="626"/>
    </row>
    <row r="16893" spans="1:6">
      <c r="A16893" t="str">
        <f t="shared" si="263"/>
        <v/>
      </c>
      <c r="E16893" s="626"/>
      <c r="F16893" s="626"/>
    </row>
    <row r="16894" spans="1:6">
      <c r="A16894" t="str">
        <f t="shared" si="263"/>
        <v/>
      </c>
      <c r="E16894" s="626"/>
      <c r="F16894" s="626"/>
    </row>
    <row r="16895" spans="1:6">
      <c r="A16895" t="str">
        <f t="shared" si="263"/>
        <v/>
      </c>
      <c r="E16895" s="626"/>
      <c r="F16895" s="626"/>
    </row>
    <row r="16896" spans="1:6">
      <c r="A16896" t="str">
        <f t="shared" si="263"/>
        <v/>
      </c>
      <c r="E16896" s="626"/>
      <c r="F16896" s="626"/>
    </row>
    <row r="16897" spans="1:6">
      <c r="A16897" t="str">
        <f t="shared" si="263"/>
        <v/>
      </c>
      <c r="E16897" s="626"/>
      <c r="F16897" s="626"/>
    </row>
    <row r="16898" spans="1:6">
      <c r="A16898" t="str">
        <f t="shared" ref="A16898:A16961" si="264">B16898&amp;E16898&amp;J16898</f>
        <v/>
      </c>
      <c r="E16898" s="626"/>
      <c r="F16898" s="626"/>
    </row>
    <row r="16899" spans="1:6">
      <c r="A16899" t="str">
        <f t="shared" si="264"/>
        <v/>
      </c>
      <c r="E16899" s="626"/>
      <c r="F16899" s="626"/>
    </row>
    <row r="16900" spans="1:6">
      <c r="A16900" t="str">
        <f t="shared" si="264"/>
        <v/>
      </c>
      <c r="E16900" s="626"/>
      <c r="F16900" s="626"/>
    </row>
    <row r="16901" spans="1:6">
      <c r="A16901" t="str">
        <f t="shared" si="264"/>
        <v/>
      </c>
      <c r="E16901" s="626"/>
      <c r="F16901" s="626"/>
    </row>
    <row r="16902" spans="1:6">
      <c r="A16902" t="str">
        <f t="shared" si="264"/>
        <v/>
      </c>
      <c r="E16902" s="626"/>
      <c r="F16902" s="626"/>
    </row>
    <row r="16903" spans="1:6">
      <c r="A16903" t="str">
        <f t="shared" si="264"/>
        <v/>
      </c>
      <c r="E16903" s="626"/>
      <c r="F16903" s="626"/>
    </row>
    <row r="16904" spans="1:6">
      <c r="A16904" t="str">
        <f t="shared" si="264"/>
        <v/>
      </c>
      <c r="E16904" s="626"/>
      <c r="F16904" s="626"/>
    </row>
    <row r="16905" spans="1:6">
      <c r="A16905" t="str">
        <f t="shared" si="264"/>
        <v/>
      </c>
      <c r="E16905" s="626"/>
      <c r="F16905" s="626"/>
    </row>
    <row r="16906" spans="1:6">
      <c r="A16906" t="str">
        <f t="shared" si="264"/>
        <v/>
      </c>
      <c r="E16906" s="626"/>
      <c r="F16906" s="626"/>
    </row>
    <row r="16907" spans="1:6">
      <c r="A16907" t="str">
        <f t="shared" si="264"/>
        <v/>
      </c>
      <c r="E16907" s="626"/>
      <c r="F16907" s="626"/>
    </row>
    <row r="16908" spans="1:6">
      <c r="A16908" t="str">
        <f t="shared" si="264"/>
        <v/>
      </c>
      <c r="E16908" s="626"/>
      <c r="F16908" s="626"/>
    </row>
    <row r="16909" spans="1:6">
      <c r="A16909" t="str">
        <f t="shared" si="264"/>
        <v/>
      </c>
      <c r="E16909" s="626"/>
      <c r="F16909" s="626"/>
    </row>
    <row r="16910" spans="1:6">
      <c r="A16910" t="str">
        <f t="shared" si="264"/>
        <v/>
      </c>
      <c r="E16910" s="626"/>
      <c r="F16910" s="626"/>
    </row>
    <row r="16911" spans="1:6">
      <c r="A16911" t="str">
        <f t="shared" si="264"/>
        <v/>
      </c>
      <c r="E16911" s="626"/>
      <c r="F16911" s="626"/>
    </row>
    <row r="16912" spans="1:6">
      <c r="A16912" t="str">
        <f t="shared" si="264"/>
        <v/>
      </c>
      <c r="E16912" s="626"/>
      <c r="F16912" s="626"/>
    </row>
    <row r="16913" spans="1:6">
      <c r="A16913" t="str">
        <f t="shared" si="264"/>
        <v/>
      </c>
      <c r="E16913" s="626"/>
      <c r="F16913" s="626"/>
    </row>
    <row r="16914" spans="1:6">
      <c r="A16914" t="str">
        <f t="shared" si="264"/>
        <v/>
      </c>
      <c r="E16914" s="626"/>
      <c r="F16914" s="626"/>
    </row>
    <row r="16915" spans="1:6">
      <c r="A16915" t="str">
        <f t="shared" si="264"/>
        <v/>
      </c>
      <c r="E16915" s="626"/>
      <c r="F16915" s="626"/>
    </row>
    <row r="16916" spans="1:6">
      <c r="A16916" t="str">
        <f t="shared" si="264"/>
        <v/>
      </c>
      <c r="E16916" s="626"/>
      <c r="F16916" s="626"/>
    </row>
    <row r="16917" spans="1:6">
      <c r="A16917" t="str">
        <f t="shared" si="264"/>
        <v/>
      </c>
      <c r="E16917" s="626"/>
      <c r="F16917" s="626"/>
    </row>
    <row r="16918" spans="1:6">
      <c r="A16918" t="str">
        <f t="shared" si="264"/>
        <v/>
      </c>
      <c r="E16918" s="626"/>
      <c r="F16918" s="626"/>
    </row>
    <row r="16919" spans="1:6">
      <c r="A16919" t="str">
        <f t="shared" si="264"/>
        <v/>
      </c>
      <c r="E16919" s="626"/>
      <c r="F16919" s="626"/>
    </row>
    <row r="16920" spans="1:6">
      <c r="A16920" t="str">
        <f t="shared" si="264"/>
        <v/>
      </c>
      <c r="E16920" s="626"/>
      <c r="F16920" s="626"/>
    </row>
    <row r="16921" spans="1:6">
      <c r="A16921" t="str">
        <f t="shared" si="264"/>
        <v/>
      </c>
      <c r="E16921" s="626"/>
      <c r="F16921" s="626"/>
    </row>
    <row r="16922" spans="1:6">
      <c r="A16922" t="str">
        <f t="shared" si="264"/>
        <v/>
      </c>
      <c r="E16922" s="626"/>
      <c r="F16922" s="626"/>
    </row>
    <row r="16923" spans="1:6">
      <c r="A16923" t="str">
        <f t="shared" si="264"/>
        <v/>
      </c>
      <c r="E16923" s="626"/>
      <c r="F16923" s="626"/>
    </row>
    <row r="16924" spans="1:6">
      <c r="A16924" t="str">
        <f t="shared" si="264"/>
        <v/>
      </c>
      <c r="E16924" s="626"/>
      <c r="F16924" s="626"/>
    </row>
    <row r="16925" spans="1:6">
      <c r="A16925" t="str">
        <f t="shared" si="264"/>
        <v/>
      </c>
      <c r="E16925" s="626"/>
      <c r="F16925" s="626"/>
    </row>
    <row r="16926" spans="1:6">
      <c r="A16926" t="str">
        <f t="shared" si="264"/>
        <v/>
      </c>
      <c r="E16926" s="626"/>
      <c r="F16926" s="626"/>
    </row>
    <row r="16927" spans="1:6">
      <c r="A16927" t="str">
        <f t="shared" si="264"/>
        <v/>
      </c>
      <c r="E16927" s="626"/>
      <c r="F16927" s="626"/>
    </row>
    <row r="16928" spans="1:6">
      <c r="A16928" t="str">
        <f t="shared" si="264"/>
        <v/>
      </c>
      <c r="E16928" s="626"/>
      <c r="F16928" s="626"/>
    </row>
    <row r="16929" spans="1:6">
      <c r="A16929" t="str">
        <f t="shared" si="264"/>
        <v/>
      </c>
      <c r="E16929" s="626"/>
      <c r="F16929" s="626"/>
    </row>
    <row r="16930" spans="1:6">
      <c r="A16930" t="str">
        <f t="shared" si="264"/>
        <v/>
      </c>
      <c r="E16930" s="626"/>
      <c r="F16930" s="626"/>
    </row>
    <row r="16931" spans="1:6">
      <c r="A16931" t="str">
        <f t="shared" si="264"/>
        <v/>
      </c>
      <c r="E16931" s="626"/>
      <c r="F16931" s="626"/>
    </row>
    <row r="16932" spans="1:6">
      <c r="A16932" t="str">
        <f t="shared" si="264"/>
        <v/>
      </c>
      <c r="E16932" s="626"/>
      <c r="F16932" s="626"/>
    </row>
    <row r="16933" spans="1:6">
      <c r="A16933" t="str">
        <f t="shared" si="264"/>
        <v/>
      </c>
      <c r="E16933" s="626"/>
      <c r="F16933" s="626"/>
    </row>
    <row r="16934" spans="1:6">
      <c r="A16934" t="str">
        <f t="shared" si="264"/>
        <v/>
      </c>
      <c r="E16934" s="626"/>
      <c r="F16934" s="626"/>
    </row>
    <row r="16935" spans="1:6">
      <c r="A16935" t="str">
        <f t="shared" si="264"/>
        <v/>
      </c>
      <c r="E16935" s="626"/>
      <c r="F16935" s="626"/>
    </row>
    <row r="16936" spans="1:6">
      <c r="A16936" t="str">
        <f t="shared" si="264"/>
        <v/>
      </c>
      <c r="E16936" s="626"/>
      <c r="F16936" s="626"/>
    </row>
    <row r="16937" spans="1:6">
      <c r="A16937" t="str">
        <f t="shared" si="264"/>
        <v/>
      </c>
      <c r="E16937" s="626"/>
      <c r="F16937" s="626"/>
    </row>
    <row r="16938" spans="1:6">
      <c r="A16938" t="str">
        <f t="shared" si="264"/>
        <v/>
      </c>
      <c r="E16938" s="626"/>
      <c r="F16938" s="626"/>
    </row>
    <row r="16939" spans="1:6">
      <c r="A16939" t="str">
        <f t="shared" si="264"/>
        <v/>
      </c>
      <c r="E16939" s="626"/>
      <c r="F16939" s="626"/>
    </row>
    <row r="16940" spans="1:6">
      <c r="A16940" t="str">
        <f t="shared" si="264"/>
        <v/>
      </c>
      <c r="E16940" s="626"/>
      <c r="F16940" s="626"/>
    </row>
    <row r="16941" spans="1:6">
      <c r="A16941" t="str">
        <f t="shared" si="264"/>
        <v/>
      </c>
      <c r="E16941" s="626"/>
      <c r="F16941" s="626"/>
    </row>
    <row r="16942" spans="1:6">
      <c r="A16942" t="str">
        <f t="shared" si="264"/>
        <v/>
      </c>
      <c r="E16942" s="626"/>
      <c r="F16942" s="626"/>
    </row>
    <row r="16943" spans="1:6">
      <c r="A16943" t="str">
        <f t="shared" si="264"/>
        <v/>
      </c>
      <c r="E16943" s="626"/>
      <c r="F16943" s="626"/>
    </row>
    <row r="16944" spans="1:6">
      <c r="A16944" t="str">
        <f t="shared" si="264"/>
        <v/>
      </c>
      <c r="E16944" s="626"/>
      <c r="F16944" s="626"/>
    </row>
    <row r="16945" spans="1:6">
      <c r="A16945" t="str">
        <f t="shared" si="264"/>
        <v/>
      </c>
      <c r="E16945" s="626"/>
      <c r="F16945" s="626"/>
    </row>
    <row r="16946" spans="1:6">
      <c r="A16946" t="str">
        <f t="shared" si="264"/>
        <v/>
      </c>
      <c r="E16946" s="626"/>
      <c r="F16946" s="626"/>
    </row>
    <row r="16947" spans="1:6">
      <c r="A16947" t="str">
        <f t="shared" si="264"/>
        <v/>
      </c>
      <c r="E16947" s="626"/>
      <c r="F16947" s="626"/>
    </row>
    <row r="16948" spans="1:6">
      <c r="A16948" t="str">
        <f t="shared" si="264"/>
        <v/>
      </c>
      <c r="E16948" s="626"/>
      <c r="F16948" s="626"/>
    </row>
    <row r="16949" spans="1:6">
      <c r="A16949" t="str">
        <f t="shared" si="264"/>
        <v/>
      </c>
      <c r="E16949" s="626"/>
      <c r="F16949" s="626"/>
    </row>
    <row r="16950" spans="1:6">
      <c r="A16950" t="str">
        <f t="shared" si="264"/>
        <v/>
      </c>
      <c r="E16950" s="626"/>
      <c r="F16950" s="626"/>
    </row>
    <row r="16951" spans="1:6">
      <c r="A16951" t="str">
        <f t="shared" si="264"/>
        <v/>
      </c>
      <c r="E16951" s="626"/>
      <c r="F16951" s="626"/>
    </row>
    <row r="16952" spans="1:6">
      <c r="A16952" t="str">
        <f t="shared" si="264"/>
        <v/>
      </c>
      <c r="E16952" s="626"/>
      <c r="F16952" s="626"/>
    </row>
    <row r="16953" spans="1:6">
      <c r="A16953" t="str">
        <f t="shared" si="264"/>
        <v/>
      </c>
      <c r="E16953" s="626"/>
      <c r="F16953" s="626"/>
    </row>
    <row r="16954" spans="1:6">
      <c r="A16954" t="str">
        <f t="shared" si="264"/>
        <v/>
      </c>
      <c r="E16954" s="626"/>
      <c r="F16954" s="626"/>
    </row>
    <row r="16955" spans="1:6">
      <c r="A16955" t="str">
        <f t="shared" si="264"/>
        <v/>
      </c>
      <c r="E16955" s="626"/>
      <c r="F16955" s="626"/>
    </row>
    <row r="16956" spans="1:6">
      <c r="A16956" t="str">
        <f t="shared" si="264"/>
        <v/>
      </c>
      <c r="E16956" s="626"/>
      <c r="F16956" s="626"/>
    </row>
    <row r="16957" spans="1:6">
      <c r="A16957" t="str">
        <f t="shared" si="264"/>
        <v/>
      </c>
      <c r="E16957" s="626"/>
      <c r="F16957" s="626"/>
    </row>
    <row r="16958" spans="1:6">
      <c r="A16958" t="str">
        <f t="shared" si="264"/>
        <v/>
      </c>
      <c r="E16958" s="626"/>
      <c r="F16958" s="626"/>
    </row>
    <row r="16959" spans="1:6">
      <c r="A16959" t="str">
        <f t="shared" si="264"/>
        <v/>
      </c>
      <c r="E16959" s="626"/>
      <c r="F16959" s="626"/>
    </row>
    <row r="16960" spans="1:6">
      <c r="A16960" t="str">
        <f t="shared" si="264"/>
        <v/>
      </c>
      <c r="E16960" s="626"/>
      <c r="F16960" s="626"/>
    </row>
    <row r="16961" spans="1:6">
      <c r="A16961" t="str">
        <f t="shared" si="264"/>
        <v/>
      </c>
      <c r="E16961" s="626"/>
      <c r="F16961" s="626"/>
    </row>
    <row r="16962" spans="1:6">
      <c r="A16962" t="str">
        <f t="shared" ref="A16962:A17025" si="265">B16962&amp;E16962&amp;J16962</f>
        <v/>
      </c>
      <c r="E16962" s="626"/>
      <c r="F16962" s="626"/>
    </row>
    <row r="16963" spans="1:6">
      <c r="A16963" t="str">
        <f t="shared" si="265"/>
        <v/>
      </c>
      <c r="E16963" s="626"/>
      <c r="F16963" s="626"/>
    </row>
    <row r="16964" spans="1:6">
      <c r="A16964" t="str">
        <f t="shared" si="265"/>
        <v/>
      </c>
      <c r="E16964" s="626"/>
      <c r="F16964" s="626"/>
    </row>
    <row r="16965" spans="1:6">
      <c r="A16965" t="str">
        <f t="shared" si="265"/>
        <v/>
      </c>
      <c r="E16965" s="626"/>
      <c r="F16965" s="626"/>
    </row>
    <row r="16966" spans="1:6">
      <c r="A16966" t="str">
        <f t="shared" si="265"/>
        <v/>
      </c>
      <c r="E16966" s="626"/>
      <c r="F16966" s="626"/>
    </row>
    <row r="16967" spans="1:6">
      <c r="A16967" t="str">
        <f t="shared" si="265"/>
        <v/>
      </c>
      <c r="E16967" s="626"/>
      <c r="F16967" s="626"/>
    </row>
    <row r="16968" spans="1:6">
      <c r="A16968" t="str">
        <f t="shared" si="265"/>
        <v/>
      </c>
      <c r="E16968" s="626"/>
      <c r="F16968" s="626"/>
    </row>
    <row r="16969" spans="1:6">
      <c r="A16969" t="str">
        <f t="shared" si="265"/>
        <v/>
      </c>
      <c r="E16969" s="626"/>
      <c r="F16969" s="626"/>
    </row>
    <row r="16970" spans="1:6">
      <c r="A16970" t="str">
        <f t="shared" si="265"/>
        <v/>
      </c>
      <c r="E16970" s="626"/>
      <c r="F16970" s="626"/>
    </row>
    <row r="16971" spans="1:6">
      <c r="A16971" t="str">
        <f t="shared" si="265"/>
        <v/>
      </c>
      <c r="E16971" s="626"/>
      <c r="F16971" s="626"/>
    </row>
    <row r="16972" spans="1:6">
      <c r="A16972" t="str">
        <f t="shared" si="265"/>
        <v/>
      </c>
      <c r="E16972" s="626"/>
      <c r="F16972" s="626"/>
    </row>
    <row r="16973" spans="1:6">
      <c r="A16973" t="str">
        <f t="shared" si="265"/>
        <v/>
      </c>
      <c r="E16973" s="626"/>
      <c r="F16973" s="626"/>
    </row>
    <row r="16974" spans="1:6">
      <c r="A16974" t="str">
        <f t="shared" si="265"/>
        <v/>
      </c>
      <c r="E16974" s="626"/>
      <c r="F16974" s="626"/>
    </row>
    <row r="16975" spans="1:6">
      <c r="A16975" t="str">
        <f t="shared" si="265"/>
        <v/>
      </c>
      <c r="E16975" s="626"/>
      <c r="F16975" s="626"/>
    </row>
    <row r="16976" spans="1:6">
      <c r="A16976" t="str">
        <f t="shared" si="265"/>
        <v/>
      </c>
      <c r="E16976" s="626"/>
      <c r="F16976" s="626"/>
    </row>
    <row r="16977" spans="1:6">
      <c r="A16977" t="str">
        <f t="shared" si="265"/>
        <v/>
      </c>
      <c r="E16977" s="626"/>
      <c r="F16977" s="626"/>
    </row>
    <row r="16978" spans="1:6">
      <c r="A16978" t="str">
        <f t="shared" si="265"/>
        <v/>
      </c>
      <c r="E16978" s="626"/>
      <c r="F16978" s="626"/>
    </row>
    <row r="16979" spans="1:6">
      <c r="A16979" t="str">
        <f t="shared" si="265"/>
        <v/>
      </c>
      <c r="E16979" s="626"/>
      <c r="F16979" s="626"/>
    </row>
    <row r="16980" spans="1:6">
      <c r="A16980" t="str">
        <f t="shared" si="265"/>
        <v/>
      </c>
      <c r="E16980" s="626"/>
      <c r="F16980" s="626"/>
    </row>
    <row r="16981" spans="1:6">
      <c r="A16981" t="str">
        <f t="shared" si="265"/>
        <v/>
      </c>
      <c r="E16981" s="626"/>
      <c r="F16981" s="626"/>
    </row>
    <row r="16982" spans="1:6">
      <c r="A16982" t="str">
        <f t="shared" si="265"/>
        <v/>
      </c>
      <c r="E16982" s="626"/>
      <c r="F16982" s="626"/>
    </row>
    <row r="16983" spans="1:6">
      <c r="A16983" t="str">
        <f t="shared" si="265"/>
        <v/>
      </c>
      <c r="E16983" s="626"/>
      <c r="F16983" s="626"/>
    </row>
    <row r="16984" spans="1:6">
      <c r="A16984" t="str">
        <f t="shared" si="265"/>
        <v/>
      </c>
      <c r="E16984" s="626"/>
      <c r="F16984" s="626"/>
    </row>
    <row r="16985" spans="1:6">
      <c r="A16985" t="str">
        <f t="shared" si="265"/>
        <v/>
      </c>
      <c r="E16985" s="626"/>
      <c r="F16985" s="626"/>
    </row>
    <row r="16986" spans="1:6">
      <c r="A16986" t="str">
        <f t="shared" si="265"/>
        <v/>
      </c>
      <c r="E16986" s="626"/>
      <c r="F16986" s="626"/>
    </row>
    <row r="16987" spans="1:6">
      <c r="A16987" t="str">
        <f t="shared" si="265"/>
        <v/>
      </c>
      <c r="E16987" s="626"/>
      <c r="F16987" s="626"/>
    </row>
    <row r="16988" spans="1:6">
      <c r="A16988" t="str">
        <f t="shared" si="265"/>
        <v/>
      </c>
      <c r="E16988" s="626"/>
      <c r="F16988" s="626"/>
    </row>
    <row r="16989" spans="1:6">
      <c r="A16989" t="str">
        <f t="shared" si="265"/>
        <v/>
      </c>
      <c r="E16989" s="626"/>
      <c r="F16989" s="626"/>
    </row>
    <row r="16990" spans="1:6">
      <c r="A16990" t="str">
        <f t="shared" si="265"/>
        <v/>
      </c>
      <c r="E16990" s="626"/>
      <c r="F16990" s="626"/>
    </row>
    <row r="16991" spans="1:6">
      <c r="A16991" t="str">
        <f t="shared" si="265"/>
        <v/>
      </c>
      <c r="E16991" s="626"/>
      <c r="F16991" s="626"/>
    </row>
    <row r="16992" spans="1:6">
      <c r="A16992" t="str">
        <f t="shared" si="265"/>
        <v/>
      </c>
      <c r="E16992" s="626"/>
      <c r="F16992" s="626"/>
    </row>
    <row r="16993" spans="1:6">
      <c r="A16993" t="str">
        <f t="shared" si="265"/>
        <v/>
      </c>
      <c r="E16993" s="626"/>
      <c r="F16993" s="626"/>
    </row>
    <row r="16994" spans="1:6">
      <c r="A16994" t="str">
        <f t="shared" si="265"/>
        <v/>
      </c>
      <c r="E16994" s="626"/>
      <c r="F16994" s="626"/>
    </row>
    <row r="16995" spans="1:6">
      <c r="A16995" t="str">
        <f t="shared" si="265"/>
        <v/>
      </c>
      <c r="E16995" s="626"/>
      <c r="F16995" s="626"/>
    </row>
    <row r="16996" spans="1:6">
      <c r="A16996" t="str">
        <f t="shared" si="265"/>
        <v/>
      </c>
      <c r="E16996" s="626"/>
      <c r="F16996" s="626"/>
    </row>
    <row r="16997" spans="1:6">
      <c r="A16997" t="str">
        <f t="shared" si="265"/>
        <v/>
      </c>
      <c r="E16997" s="626"/>
      <c r="F16997" s="626"/>
    </row>
    <row r="16998" spans="1:6">
      <c r="A16998" t="str">
        <f t="shared" si="265"/>
        <v/>
      </c>
      <c r="E16998" s="626"/>
      <c r="F16998" s="626"/>
    </row>
    <row r="16999" spans="1:6">
      <c r="A16999" t="str">
        <f t="shared" si="265"/>
        <v/>
      </c>
      <c r="E16999" s="626"/>
      <c r="F16999" s="626"/>
    </row>
    <row r="17000" spans="1:6">
      <c r="A17000" t="str">
        <f t="shared" si="265"/>
        <v/>
      </c>
      <c r="E17000" s="626"/>
      <c r="F17000" s="626"/>
    </row>
    <row r="17001" spans="1:6">
      <c r="A17001" t="str">
        <f t="shared" si="265"/>
        <v/>
      </c>
      <c r="E17001" s="626"/>
      <c r="F17001" s="626"/>
    </row>
    <row r="17002" spans="1:6">
      <c r="A17002" t="str">
        <f t="shared" si="265"/>
        <v/>
      </c>
      <c r="E17002" s="626"/>
      <c r="F17002" s="626"/>
    </row>
    <row r="17003" spans="1:6">
      <c r="A17003" t="str">
        <f t="shared" si="265"/>
        <v/>
      </c>
      <c r="E17003" s="626"/>
      <c r="F17003" s="626"/>
    </row>
    <row r="17004" spans="1:6">
      <c r="A17004" t="str">
        <f t="shared" si="265"/>
        <v/>
      </c>
      <c r="E17004" s="626"/>
      <c r="F17004" s="626"/>
    </row>
    <row r="17005" spans="1:6">
      <c r="A17005" t="str">
        <f t="shared" si="265"/>
        <v/>
      </c>
      <c r="E17005" s="626"/>
      <c r="F17005" s="626"/>
    </row>
    <row r="17006" spans="1:6">
      <c r="A17006" t="str">
        <f t="shared" si="265"/>
        <v/>
      </c>
      <c r="E17006" s="626"/>
      <c r="F17006" s="626"/>
    </row>
    <row r="17007" spans="1:6">
      <c r="A17007" t="str">
        <f t="shared" si="265"/>
        <v/>
      </c>
      <c r="E17007" s="626"/>
      <c r="F17007" s="626"/>
    </row>
    <row r="17008" spans="1:6">
      <c r="A17008" t="str">
        <f t="shared" si="265"/>
        <v/>
      </c>
      <c r="E17008" s="626"/>
      <c r="F17008" s="626"/>
    </row>
    <row r="17009" spans="1:6">
      <c r="A17009" t="str">
        <f t="shared" si="265"/>
        <v/>
      </c>
      <c r="E17009" s="626"/>
      <c r="F17009" s="626"/>
    </row>
    <row r="17010" spans="1:6">
      <c r="A17010" t="str">
        <f t="shared" si="265"/>
        <v/>
      </c>
      <c r="E17010" s="626"/>
      <c r="F17010" s="626"/>
    </row>
    <row r="17011" spans="1:6">
      <c r="A17011" t="str">
        <f t="shared" si="265"/>
        <v/>
      </c>
      <c r="E17011" s="626"/>
      <c r="F17011" s="626"/>
    </row>
    <row r="17012" spans="1:6">
      <c r="A17012" t="str">
        <f t="shared" si="265"/>
        <v/>
      </c>
      <c r="E17012" s="626"/>
      <c r="F17012" s="626"/>
    </row>
    <row r="17013" spans="1:6">
      <c r="A17013" t="str">
        <f t="shared" si="265"/>
        <v/>
      </c>
      <c r="E17013" s="626"/>
      <c r="F17013" s="626"/>
    </row>
    <row r="17014" spans="1:6">
      <c r="A17014" t="str">
        <f t="shared" si="265"/>
        <v/>
      </c>
      <c r="E17014" s="626"/>
      <c r="F17014" s="626"/>
    </row>
    <row r="17015" spans="1:6">
      <c r="A17015" t="str">
        <f t="shared" si="265"/>
        <v/>
      </c>
      <c r="E17015" s="626"/>
      <c r="F17015" s="626"/>
    </row>
    <row r="17016" spans="1:6">
      <c r="A17016" t="str">
        <f t="shared" si="265"/>
        <v/>
      </c>
      <c r="E17016" s="626"/>
      <c r="F17016" s="626"/>
    </row>
    <row r="17017" spans="1:6">
      <c r="A17017" t="str">
        <f t="shared" si="265"/>
        <v/>
      </c>
      <c r="E17017" s="626"/>
      <c r="F17017" s="626"/>
    </row>
    <row r="17018" spans="1:6">
      <c r="A17018" t="str">
        <f t="shared" si="265"/>
        <v/>
      </c>
      <c r="E17018" s="626"/>
      <c r="F17018" s="626"/>
    </row>
    <row r="17019" spans="1:6">
      <c r="A17019" t="str">
        <f t="shared" si="265"/>
        <v/>
      </c>
      <c r="E17019" s="626"/>
      <c r="F17019" s="626"/>
    </row>
    <row r="17020" spans="1:6">
      <c r="A17020" t="str">
        <f t="shared" si="265"/>
        <v/>
      </c>
      <c r="E17020" s="626"/>
      <c r="F17020" s="626"/>
    </row>
    <row r="17021" spans="1:6">
      <c r="A17021" t="str">
        <f t="shared" si="265"/>
        <v/>
      </c>
      <c r="E17021" s="626"/>
      <c r="F17021" s="626"/>
    </row>
    <row r="17022" spans="1:6">
      <c r="A17022" t="str">
        <f t="shared" si="265"/>
        <v/>
      </c>
      <c r="E17022" s="626"/>
      <c r="F17022" s="626"/>
    </row>
    <row r="17023" spans="1:6">
      <c r="A17023" t="str">
        <f t="shared" si="265"/>
        <v/>
      </c>
      <c r="E17023" s="626"/>
      <c r="F17023" s="626"/>
    </row>
    <row r="17024" spans="1:6">
      <c r="A17024" t="str">
        <f t="shared" si="265"/>
        <v/>
      </c>
      <c r="E17024" s="626"/>
      <c r="F17024" s="626"/>
    </row>
    <row r="17025" spans="1:6">
      <c r="A17025" t="str">
        <f t="shared" si="265"/>
        <v/>
      </c>
      <c r="E17025" s="626"/>
      <c r="F17025" s="626"/>
    </row>
    <row r="17026" spans="1:6">
      <c r="A17026" t="str">
        <f t="shared" ref="A17026:A17089" si="266">B17026&amp;E17026&amp;J17026</f>
        <v/>
      </c>
      <c r="E17026" s="626"/>
      <c r="F17026" s="626"/>
    </row>
    <row r="17027" spans="1:6">
      <c r="A17027" t="str">
        <f t="shared" si="266"/>
        <v/>
      </c>
      <c r="E17027" s="626"/>
      <c r="F17027" s="626"/>
    </row>
    <row r="17028" spans="1:6">
      <c r="A17028" t="str">
        <f t="shared" si="266"/>
        <v/>
      </c>
      <c r="E17028" s="626"/>
      <c r="F17028" s="626"/>
    </row>
    <row r="17029" spans="1:6">
      <c r="A17029" t="str">
        <f t="shared" si="266"/>
        <v/>
      </c>
      <c r="E17029" s="626"/>
      <c r="F17029" s="626"/>
    </row>
    <row r="17030" spans="1:6">
      <c r="A17030" t="str">
        <f t="shared" si="266"/>
        <v/>
      </c>
      <c r="E17030" s="626"/>
      <c r="F17030" s="626"/>
    </row>
    <row r="17031" spans="1:6">
      <c r="A17031" t="str">
        <f t="shared" si="266"/>
        <v/>
      </c>
      <c r="E17031" s="626"/>
      <c r="F17031" s="626"/>
    </row>
    <row r="17032" spans="1:6">
      <c r="A17032" t="str">
        <f t="shared" si="266"/>
        <v/>
      </c>
      <c r="E17032" s="626"/>
      <c r="F17032" s="626"/>
    </row>
    <row r="17033" spans="1:6">
      <c r="A17033" t="str">
        <f t="shared" si="266"/>
        <v/>
      </c>
      <c r="E17033" s="626"/>
      <c r="F17033" s="626"/>
    </row>
    <row r="17034" spans="1:6">
      <c r="A17034" t="str">
        <f t="shared" si="266"/>
        <v/>
      </c>
      <c r="E17034" s="626"/>
      <c r="F17034" s="626"/>
    </row>
    <row r="17035" spans="1:6">
      <c r="A17035" t="str">
        <f t="shared" si="266"/>
        <v/>
      </c>
      <c r="E17035" s="626"/>
      <c r="F17035" s="626"/>
    </row>
    <row r="17036" spans="1:6">
      <c r="A17036" t="str">
        <f t="shared" si="266"/>
        <v/>
      </c>
      <c r="E17036" s="626"/>
      <c r="F17036" s="626"/>
    </row>
    <row r="17037" spans="1:6">
      <c r="A17037" t="str">
        <f t="shared" si="266"/>
        <v/>
      </c>
      <c r="E17037" s="626"/>
      <c r="F17037" s="626"/>
    </row>
    <row r="17038" spans="1:6">
      <c r="A17038" t="str">
        <f t="shared" si="266"/>
        <v/>
      </c>
      <c r="E17038" s="626"/>
      <c r="F17038" s="626"/>
    </row>
    <row r="17039" spans="1:6">
      <c r="A17039" t="str">
        <f t="shared" si="266"/>
        <v/>
      </c>
      <c r="E17039" s="626"/>
      <c r="F17039" s="626"/>
    </row>
    <row r="17040" spans="1:6">
      <c r="A17040" t="str">
        <f t="shared" si="266"/>
        <v/>
      </c>
      <c r="E17040" s="626"/>
      <c r="F17040" s="626"/>
    </row>
    <row r="17041" spans="1:6">
      <c r="A17041" t="str">
        <f t="shared" si="266"/>
        <v/>
      </c>
      <c r="E17041" s="626"/>
      <c r="F17041" s="626"/>
    </row>
    <row r="17042" spans="1:6">
      <c r="A17042" t="str">
        <f t="shared" si="266"/>
        <v/>
      </c>
      <c r="E17042" s="626"/>
      <c r="F17042" s="626"/>
    </row>
    <row r="17043" spans="1:6">
      <c r="A17043" t="str">
        <f t="shared" si="266"/>
        <v/>
      </c>
      <c r="E17043" s="626"/>
      <c r="F17043" s="626"/>
    </row>
    <row r="17044" spans="1:6">
      <c r="A17044" t="str">
        <f t="shared" si="266"/>
        <v/>
      </c>
      <c r="E17044" s="626"/>
      <c r="F17044" s="626"/>
    </row>
    <row r="17045" spans="1:6">
      <c r="A17045" t="str">
        <f t="shared" si="266"/>
        <v/>
      </c>
      <c r="E17045" s="626"/>
      <c r="F17045" s="626"/>
    </row>
    <row r="17046" spans="1:6">
      <c r="A17046" t="str">
        <f t="shared" si="266"/>
        <v/>
      </c>
      <c r="E17046" s="626"/>
      <c r="F17046" s="626"/>
    </row>
    <row r="17047" spans="1:6">
      <c r="A17047" t="str">
        <f t="shared" si="266"/>
        <v/>
      </c>
      <c r="E17047" s="626"/>
      <c r="F17047" s="626"/>
    </row>
    <row r="17048" spans="1:6">
      <c r="A17048" t="str">
        <f t="shared" si="266"/>
        <v/>
      </c>
      <c r="E17048" s="626"/>
      <c r="F17048" s="626"/>
    </row>
    <row r="17049" spans="1:6">
      <c r="A17049" t="str">
        <f t="shared" si="266"/>
        <v/>
      </c>
      <c r="E17049" s="626"/>
      <c r="F17049" s="626"/>
    </row>
    <row r="17050" spans="1:6">
      <c r="A17050" t="str">
        <f t="shared" si="266"/>
        <v/>
      </c>
      <c r="E17050" s="626"/>
      <c r="F17050" s="626"/>
    </row>
    <row r="17051" spans="1:6">
      <c r="A17051" t="str">
        <f t="shared" si="266"/>
        <v/>
      </c>
      <c r="E17051" s="626"/>
      <c r="F17051" s="626"/>
    </row>
    <row r="17052" spans="1:6">
      <c r="A17052" t="str">
        <f t="shared" si="266"/>
        <v/>
      </c>
      <c r="E17052" s="626"/>
      <c r="F17052" s="626"/>
    </row>
    <row r="17053" spans="1:6">
      <c r="A17053" t="str">
        <f t="shared" si="266"/>
        <v/>
      </c>
      <c r="E17053" s="626"/>
      <c r="F17053" s="626"/>
    </row>
    <row r="17054" spans="1:6">
      <c r="A17054" t="str">
        <f t="shared" si="266"/>
        <v/>
      </c>
      <c r="E17054" s="626"/>
      <c r="F17054" s="626"/>
    </row>
    <row r="17055" spans="1:6">
      <c r="A17055" t="str">
        <f t="shared" si="266"/>
        <v/>
      </c>
      <c r="E17055" s="626"/>
      <c r="F17055" s="626"/>
    </row>
    <row r="17056" spans="1:6">
      <c r="A17056" t="str">
        <f t="shared" si="266"/>
        <v/>
      </c>
      <c r="E17056" s="626"/>
      <c r="F17056" s="626"/>
    </row>
    <row r="17057" spans="1:6">
      <c r="A17057" t="str">
        <f t="shared" si="266"/>
        <v/>
      </c>
      <c r="E17057" s="626"/>
      <c r="F17057" s="626"/>
    </row>
    <row r="17058" spans="1:6">
      <c r="A17058" t="str">
        <f t="shared" si="266"/>
        <v/>
      </c>
      <c r="E17058" s="626"/>
      <c r="F17058" s="626"/>
    </row>
    <row r="17059" spans="1:6">
      <c r="A17059" t="str">
        <f t="shared" si="266"/>
        <v/>
      </c>
      <c r="E17059" s="626"/>
      <c r="F17059" s="626"/>
    </row>
    <row r="17060" spans="1:6">
      <c r="A17060" t="str">
        <f t="shared" si="266"/>
        <v/>
      </c>
      <c r="E17060" s="626"/>
      <c r="F17060" s="626"/>
    </row>
    <row r="17061" spans="1:6">
      <c r="A17061" t="str">
        <f t="shared" si="266"/>
        <v/>
      </c>
      <c r="E17061" s="626"/>
      <c r="F17061" s="626"/>
    </row>
    <row r="17062" spans="1:6">
      <c r="A17062" t="str">
        <f t="shared" si="266"/>
        <v/>
      </c>
      <c r="E17062" s="626"/>
      <c r="F17062" s="626"/>
    </row>
    <row r="17063" spans="1:6">
      <c r="A17063" t="str">
        <f t="shared" si="266"/>
        <v/>
      </c>
      <c r="E17063" s="626"/>
      <c r="F17063" s="626"/>
    </row>
    <row r="17064" spans="1:6">
      <c r="A17064" t="str">
        <f t="shared" si="266"/>
        <v/>
      </c>
      <c r="E17064" s="626"/>
      <c r="F17064" s="626"/>
    </row>
    <row r="17065" spans="1:6">
      <c r="A17065" t="str">
        <f t="shared" si="266"/>
        <v/>
      </c>
      <c r="E17065" s="626"/>
      <c r="F17065" s="626"/>
    </row>
    <row r="17066" spans="1:6">
      <c r="A17066" t="str">
        <f t="shared" si="266"/>
        <v/>
      </c>
      <c r="E17066" s="626"/>
      <c r="F17066" s="626"/>
    </row>
    <row r="17067" spans="1:6">
      <c r="A17067" t="str">
        <f t="shared" si="266"/>
        <v/>
      </c>
      <c r="E17067" s="626"/>
      <c r="F17067" s="626"/>
    </row>
    <row r="17068" spans="1:6">
      <c r="A17068" t="str">
        <f t="shared" si="266"/>
        <v/>
      </c>
      <c r="E17068" s="626"/>
      <c r="F17068" s="626"/>
    </row>
    <row r="17069" spans="1:6">
      <c r="A17069" t="str">
        <f t="shared" si="266"/>
        <v/>
      </c>
      <c r="E17069" s="626"/>
      <c r="F17069" s="626"/>
    </row>
    <row r="17070" spans="1:6">
      <c r="A17070" t="str">
        <f t="shared" si="266"/>
        <v/>
      </c>
      <c r="E17070" s="626"/>
      <c r="F17070" s="626"/>
    </row>
    <row r="17071" spans="1:6">
      <c r="A17071" t="str">
        <f t="shared" si="266"/>
        <v/>
      </c>
      <c r="E17071" s="626"/>
      <c r="F17071" s="626"/>
    </row>
    <row r="17072" spans="1:6">
      <c r="A17072" t="str">
        <f t="shared" si="266"/>
        <v/>
      </c>
      <c r="E17072" s="626"/>
      <c r="F17072" s="626"/>
    </row>
    <row r="17073" spans="1:6">
      <c r="A17073" t="str">
        <f t="shared" si="266"/>
        <v/>
      </c>
      <c r="E17073" s="626"/>
      <c r="F17073" s="626"/>
    </row>
    <row r="17074" spans="1:6">
      <c r="A17074" t="str">
        <f t="shared" si="266"/>
        <v/>
      </c>
      <c r="E17074" s="626"/>
      <c r="F17074" s="626"/>
    </row>
    <row r="17075" spans="1:6">
      <c r="A17075" t="str">
        <f t="shared" si="266"/>
        <v/>
      </c>
      <c r="E17075" s="626"/>
      <c r="F17075" s="626"/>
    </row>
    <row r="17076" spans="1:6">
      <c r="A17076" t="str">
        <f t="shared" si="266"/>
        <v/>
      </c>
      <c r="E17076" s="626"/>
      <c r="F17076" s="626"/>
    </row>
    <row r="17077" spans="1:6">
      <c r="A17077" t="str">
        <f t="shared" si="266"/>
        <v/>
      </c>
      <c r="E17077" s="626"/>
      <c r="F17077" s="626"/>
    </row>
    <row r="17078" spans="1:6">
      <c r="A17078" t="str">
        <f t="shared" si="266"/>
        <v/>
      </c>
      <c r="E17078" s="626"/>
      <c r="F17078" s="626"/>
    </row>
    <row r="17079" spans="1:6">
      <c r="A17079" t="str">
        <f t="shared" si="266"/>
        <v/>
      </c>
      <c r="E17079" s="626"/>
      <c r="F17079" s="626"/>
    </row>
    <row r="17080" spans="1:6">
      <c r="A17080" t="str">
        <f t="shared" si="266"/>
        <v/>
      </c>
      <c r="E17080" s="626"/>
      <c r="F17080" s="626"/>
    </row>
    <row r="17081" spans="1:6">
      <c r="A17081" t="str">
        <f t="shared" si="266"/>
        <v/>
      </c>
      <c r="E17081" s="626"/>
      <c r="F17081" s="626"/>
    </row>
    <row r="17082" spans="1:6">
      <c r="A17082" t="str">
        <f t="shared" si="266"/>
        <v/>
      </c>
      <c r="E17082" s="626"/>
      <c r="F17082" s="626"/>
    </row>
    <row r="17083" spans="1:6">
      <c r="A17083" t="str">
        <f t="shared" si="266"/>
        <v/>
      </c>
      <c r="E17083" s="626"/>
      <c r="F17083" s="626"/>
    </row>
    <row r="17084" spans="1:6">
      <c r="A17084" t="str">
        <f t="shared" si="266"/>
        <v/>
      </c>
      <c r="E17084" s="626"/>
      <c r="F17084" s="626"/>
    </row>
    <row r="17085" spans="1:6">
      <c r="A17085" t="str">
        <f t="shared" si="266"/>
        <v/>
      </c>
      <c r="E17085" s="626"/>
      <c r="F17085" s="626"/>
    </row>
    <row r="17086" spans="1:6">
      <c r="A17086" t="str">
        <f t="shared" si="266"/>
        <v/>
      </c>
      <c r="E17086" s="626"/>
      <c r="F17086" s="626"/>
    </row>
    <row r="17087" spans="1:6">
      <c r="A17087" t="str">
        <f t="shared" si="266"/>
        <v/>
      </c>
      <c r="E17087" s="626"/>
      <c r="F17087" s="626"/>
    </row>
    <row r="17088" spans="1:6">
      <c r="A17088" t="str">
        <f t="shared" si="266"/>
        <v/>
      </c>
      <c r="E17088" s="626"/>
      <c r="F17088" s="626"/>
    </row>
    <row r="17089" spans="1:6">
      <c r="A17089" t="str">
        <f t="shared" si="266"/>
        <v/>
      </c>
      <c r="E17089" s="626"/>
      <c r="F17089" s="626"/>
    </row>
    <row r="17090" spans="1:6">
      <c r="A17090" t="str">
        <f t="shared" ref="A17090:A17153" si="267">B17090&amp;E17090&amp;J17090</f>
        <v/>
      </c>
      <c r="E17090" s="626"/>
      <c r="F17090" s="626"/>
    </row>
    <row r="17091" spans="1:6">
      <c r="A17091" t="str">
        <f t="shared" si="267"/>
        <v/>
      </c>
      <c r="E17091" s="626"/>
      <c r="F17091" s="626"/>
    </row>
    <row r="17092" spans="1:6">
      <c r="A17092" t="str">
        <f t="shared" si="267"/>
        <v/>
      </c>
      <c r="E17092" s="626"/>
      <c r="F17092" s="626"/>
    </row>
    <row r="17093" spans="1:6">
      <c r="A17093" t="str">
        <f t="shared" si="267"/>
        <v/>
      </c>
      <c r="E17093" s="626"/>
      <c r="F17093" s="626"/>
    </row>
    <row r="17094" spans="1:6">
      <c r="A17094" t="str">
        <f t="shared" si="267"/>
        <v/>
      </c>
      <c r="E17094" s="626"/>
      <c r="F17094" s="626"/>
    </row>
    <row r="17095" spans="1:6">
      <c r="A17095" t="str">
        <f t="shared" si="267"/>
        <v/>
      </c>
      <c r="E17095" s="626"/>
      <c r="F17095" s="626"/>
    </row>
    <row r="17096" spans="1:6">
      <c r="A17096" t="str">
        <f t="shared" si="267"/>
        <v/>
      </c>
      <c r="E17096" s="626"/>
      <c r="F17096" s="626"/>
    </row>
    <row r="17097" spans="1:6">
      <c r="A17097" t="str">
        <f t="shared" si="267"/>
        <v/>
      </c>
      <c r="E17097" s="626"/>
      <c r="F17097" s="626"/>
    </row>
    <row r="17098" spans="1:6">
      <c r="A17098" t="str">
        <f t="shared" si="267"/>
        <v/>
      </c>
      <c r="E17098" s="626"/>
      <c r="F17098" s="626"/>
    </row>
    <row r="17099" spans="1:6">
      <c r="A17099" t="str">
        <f t="shared" si="267"/>
        <v/>
      </c>
      <c r="E17099" s="626"/>
      <c r="F17099" s="626"/>
    </row>
    <row r="17100" spans="1:6">
      <c r="A17100" t="str">
        <f t="shared" si="267"/>
        <v/>
      </c>
      <c r="E17100" s="626"/>
      <c r="F17100" s="626"/>
    </row>
    <row r="17101" spans="1:6">
      <c r="A17101" t="str">
        <f t="shared" si="267"/>
        <v/>
      </c>
      <c r="E17101" s="626"/>
      <c r="F17101" s="626"/>
    </row>
    <row r="17102" spans="1:6">
      <c r="A17102" t="str">
        <f t="shared" si="267"/>
        <v/>
      </c>
      <c r="E17102" s="626"/>
      <c r="F17102" s="626"/>
    </row>
    <row r="17103" spans="1:6">
      <c r="A17103" t="str">
        <f t="shared" si="267"/>
        <v/>
      </c>
      <c r="E17103" s="626"/>
      <c r="F17103" s="626"/>
    </row>
    <row r="17104" spans="1:6">
      <c r="A17104" t="str">
        <f t="shared" si="267"/>
        <v/>
      </c>
      <c r="E17104" s="626"/>
      <c r="F17104" s="626"/>
    </row>
    <row r="17105" spans="1:6">
      <c r="A17105" t="str">
        <f t="shared" si="267"/>
        <v/>
      </c>
      <c r="E17105" s="626"/>
      <c r="F17105" s="626"/>
    </row>
    <row r="17106" spans="1:6">
      <c r="A17106" t="str">
        <f t="shared" si="267"/>
        <v/>
      </c>
      <c r="E17106" s="626"/>
      <c r="F17106" s="626"/>
    </row>
    <row r="17107" spans="1:6">
      <c r="A17107" t="str">
        <f t="shared" si="267"/>
        <v/>
      </c>
      <c r="E17107" s="626"/>
      <c r="F17107" s="626"/>
    </row>
    <row r="17108" spans="1:6">
      <c r="A17108" t="str">
        <f t="shared" si="267"/>
        <v/>
      </c>
      <c r="E17108" s="626"/>
      <c r="F17108" s="626"/>
    </row>
    <row r="17109" spans="1:6">
      <c r="A17109" t="str">
        <f t="shared" si="267"/>
        <v/>
      </c>
      <c r="E17109" s="626"/>
      <c r="F17109" s="626"/>
    </row>
    <row r="17110" spans="1:6">
      <c r="A17110" t="str">
        <f t="shared" si="267"/>
        <v/>
      </c>
      <c r="E17110" s="626"/>
      <c r="F17110" s="626"/>
    </row>
    <row r="17111" spans="1:6">
      <c r="A17111" t="str">
        <f t="shared" si="267"/>
        <v/>
      </c>
      <c r="E17111" s="626"/>
      <c r="F17111" s="626"/>
    </row>
    <row r="17112" spans="1:6">
      <c r="A17112" t="str">
        <f t="shared" si="267"/>
        <v/>
      </c>
      <c r="E17112" s="626"/>
      <c r="F17112" s="626"/>
    </row>
    <row r="17113" spans="1:6">
      <c r="A17113" t="str">
        <f t="shared" si="267"/>
        <v/>
      </c>
      <c r="E17113" s="626"/>
      <c r="F17113" s="626"/>
    </row>
    <row r="17114" spans="1:6">
      <c r="A17114" t="str">
        <f t="shared" si="267"/>
        <v/>
      </c>
      <c r="E17114" s="626"/>
      <c r="F17114" s="626"/>
    </row>
    <row r="17115" spans="1:6">
      <c r="A17115" t="str">
        <f t="shared" si="267"/>
        <v/>
      </c>
      <c r="E17115" s="626"/>
      <c r="F17115" s="626"/>
    </row>
    <row r="17116" spans="1:6">
      <c r="A17116" t="str">
        <f t="shared" si="267"/>
        <v/>
      </c>
      <c r="E17116" s="626"/>
      <c r="F17116" s="626"/>
    </row>
    <row r="17117" spans="1:6">
      <c r="A17117" t="str">
        <f t="shared" si="267"/>
        <v/>
      </c>
      <c r="E17117" s="626"/>
      <c r="F17117" s="626"/>
    </row>
    <row r="17118" spans="1:6">
      <c r="A17118" t="str">
        <f t="shared" si="267"/>
        <v/>
      </c>
      <c r="E17118" s="626"/>
      <c r="F17118" s="626"/>
    </row>
    <row r="17119" spans="1:6">
      <c r="A17119" t="str">
        <f t="shared" si="267"/>
        <v/>
      </c>
      <c r="E17119" s="626"/>
      <c r="F17119" s="626"/>
    </row>
    <row r="17120" spans="1:6">
      <c r="A17120" t="str">
        <f t="shared" si="267"/>
        <v/>
      </c>
      <c r="E17120" s="626"/>
      <c r="F17120" s="626"/>
    </row>
    <row r="17121" spans="1:6">
      <c r="A17121" t="str">
        <f t="shared" si="267"/>
        <v/>
      </c>
      <c r="E17121" s="626"/>
      <c r="F17121" s="626"/>
    </row>
    <row r="17122" spans="1:6">
      <c r="A17122" t="str">
        <f t="shared" si="267"/>
        <v/>
      </c>
      <c r="E17122" s="626"/>
      <c r="F17122" s="626"/>
    </row>
    <row r="17123" spans="1:6">
      <c r="A17123" t="str">
        <f t="shared" si="267"/>
        <v/>
      </c>
      <c r="E17123" s="626"/>
      <c r="F17123" s="626"/>
    </row>
    <row r="17124" spans="1:6">
      <c r="A17124" t="str">
        <f t="shared" si="267"/>
        <v/>
      </c>
      <c r="E17124" s="626"/>
      <c r="F17124" s="626"/>
    </row>
    <row r="17125" spans="1:6">
      <c r="A17125" t="str">
        <f t="shared" si="267"/>
        <v/>
      </c>
      <c r="E17125" s="626"/>
      <c r="F17125" s="626"/>
    </row>
    <row r="17126" spans="1:6">
      <c r="A17126" t="str">
        <f t="shared" si="267"/>
        <v/>
      </c>
      <c r="E17126" s="626"/>
      <c r="F17126" s="626"/>
    </row>
    <row r="17127" spans="1:6">
      <c r="A17127" t="str">
        <f t="shared" si="267"/>
        <v/>
      </c>
      <c r="E17127" s="626"/>
      <c r="F17127" s="626"/>
    </row>
    <row r="17128" spans="1:6">
      <c r="A17128" t="str">
        <f t="shared" si="267"/>
        <v/>
      </c>
      <c r="E17128" s="626"/>
      <c r="F17128" s="626"/>
    </row>
    <row r="17129" spans="1:6">
      <c r="A17129" t="str">
        <f t="shared" si="267"/>
        <v/>
      </c>
      <c r="E17129" s="626"/>
      <c r="F17129" s="626"/>
    </row>
    <row r="17130" spans="1:6">
      <c r="A17130" t="str">
        <f t="shared" si="267"/>
        <v/>
      </c>
      <c r="E17130" s="626"/>
      <c r="F17130" s="626"/>
    </row>
    <row r="17131" spans="1:6">
      <c r="A17131" t="str">
        <f t="shared" si="267"/>
        <v/>
      </c>
      <c r="E17131" s="626"/>
      <c r="F17131" s="626"/>
    </row>
    <row r="17132" spans="1:6">
      <c r="A17132" t="str">
        <f t="shared" si="267"/>
        <v/>
      </c>
      <c r="E17132" s="626"/>
      <c r="F17132" s="626"/>
    </row>
    <row r="17133" spans="1:6">
      <c r="A17133" t="str">
        <f t="shared" si="267"/>
        <v/>
      </c>
      <c r="E17133" s="626"/>
      <c r="F17133" s="626"/>
    </row>
    <row r="17134" spans="1:6">
      <c r="A17134" t="str">
        <f t="shared" si="267"/>
        <v/>
      </c>
      <c r="E17134" s="626"/>
      <c r="F17134" s="626"/>
    </row>
    <row r="17135" spans="1:6">
      <c r="A17135" t="str">
        <f t="shared" si="267"/>
        <v/>
      </c>
      <c r="E17135" s="626"/>
      <c r="F17135" s="626"/>
    </row>
    <row r="17136" spans="1:6">
      <c r="A17136" t="str">
        <f t="shared" si="267"/>
        <v/>
      </c>
      <c r="E17136" s="626"/>
      <c r="F17136" s="626"/>
    </row>
    <row r="17137" spans="1:6">
      <c r="A17137" t="str">
        <f t="shared" si="267"/>
        <v/>
      </c>
      <c r="E17137" s="626"/>
      <c r="F17137" s="626"/>
    </row>
    <row r="17138" spans="1:6">
      <c r="A17138" t="str">
        <f t="shared" si="267"/>
        <v/>
      </c>
      <c r="E17138" s="626"/>
      <c r="F17138" s="626"/>
    </row>
    <row r="17139" spans="1:6">
      <c r="A17139" t="str">
        <f t="shared" si="267"/>
        <v/>
      </c>
      <c r="E17139" s="626"/>
      <c r="F17139" s="626"/>
    </row>
    <row r="17140" spans="1:6">
      <c r="A17140" t="str">
        <f t="shared" si="267"/>
        <v/>
      </c>
      <c r="E17140" s="626"/>
      <c r="F17140" s="626"/>
    </row>
    <row r="17141" spans="1:6">
      <c r="A17141" t="str">
        <f t="shared" si="267"/>
        <v/>
      </c>
      <c r="E17141" s="626"/>
      <c r="F17141" s="626"/>
    </row>
    <row r="17142" spans="1:6">
      <c r="A17142" t="str">
        <f t="shared" si="267"/>
        <v/>
      </c>
      <c r="E17142" s="626"/>
      <c r="F17142" s="626"/>
    </row>
    <row r="17143" spans="1:6">
      <c r="A17143" t="str">
        <f t="shared" si="267"/>
        <v/>
      </c>
      <c r="E17143" s="626"/>
      <c r="F17143" s="626"/>
    </row>
    <row r="17144" spans="1:6">
      <c r="A17144" t="str">
        <f t="shared" si="267"/>
        <v/>
      </c>
      <c r="E17144" s="626"/>
      <c r="F17144" s="626"/>
    </row>
    <row r="17145" spans="1:6">
      <c r="A17145" t="str">
        <f t="shared" si="267"/>
        <v/>
      </c>
      <c r="E17145" s="626"/>
      <c r="F17145" s="626"/>
    </row>
    <row r="17146" spans="1:6">
      <c r="A17146" t="str">
        <f t="shared" si="267"/>
        <v/>
      </c>
      <c r="E17146" s="626"/>
      <c r="F17146" s="626"/>
    </row>
    <row r="17147" spans="1:6">
      <c r="A17147" t="str">
        <f t="shared" si="267"/>
        <v/>
      </c>
      <c r="E17147" s="626"/>
      <c r="F17147" s="626"/>
    </row>
    <row r="17148" spans="1:6">
      <c r="A17148" t="str">
        <f t="shared" si="267"/>
        <v/>
      </c>
      <c r="E17148" s="626"/>
      <c r="F17148" s="626"/>
    </row>
    <row r="17149" spans="1:6">
      <c r="A17149" t="str">
        <f t="shared" si="267"/>
        <v/>
      </c>
      <c r="E17149" s="626"/>
      <c r="F17149" s="626"/>
    </row>
    <row r="17150" spans="1:6">
      <c r="A17150" t="str">
        <f t="shared" si="267"/>
        <v/>
      </c>
      <c r="E17150" s="626"/>
      <c r="F17150" s="626"/>
    </row>
    <row r="17151" spans="1:6">
      <c r="A17151" t="str">
        <f t="shared" si="267"/>
        <v/>
      </c>
      <c r="E17151" s="626"/>
      <c r="F17151" s="626"/>
    </row>
    <row r="17152" spans="1:6">
      <c r="A17152" t="str">
        <f t="shared" si="267"/>
        <v/>
      </c>
      <c r="E17152" s="626"/>
      <c r="F17152" s="626"/>
    </row>
    <row r="17153" spans="1:6">
      <c r="A17153" t="str">
        <f t="shared" si="267"/>
        <v/>
      </c>
      <c r="E17153" s="626"/>
      <c r="F17153" s="626"/>
    </row>
    <row r="17154" spans="1:6">
      <c r="A17154" t="str">
        <f t="shared" ref="A17154:A17217" si="268">B17154&amp;E17154&amp;J17154</f>
        <v/>
      </c>
      <c r="E17154" s="626"/>
      <c r="F17154" s="626"/>
    </row>
    <row r="17155" spans="1:6">
      <c r="A17155" t="str">
        <f t="shared" si="268"/>
        <v/>
      </c>
      <c r="E17155" s="626"/>
      <c r="F17155" s="626"/>
    </row>
    <row r="17156" spans="1:6">
      <c r="A17156" t="str">
        <f t="shared" si="268"/>
        <v/>
      </c>
      <c r="E17156" s="626"/>
      <c r="F17156" s="626"/>
    </row>
    <row r="17157" spans="1:6">
      <c r="A17157" t="str">
        <f t="shared" si="268"/>
        <v/>
      </c>
      <c r="E17157" s="626"/>
      <c r="F17157" s="626"/>
    </row>
    <row r="17158" spans="1:6">
      <c r="A17158" t="str">
        <f t="shared" si="268"/>
        <v/>
      </c>
      <c r="E17158" s="626"/>
      <c r="F17158" s="626"/>
    </row>
    <row r="17159" spans="1:6">
      <c r="A17159" t="str">
        <f t="shared" si="268"/>
        <v/>
      </c>
      <c r="E17159" s="626"/>
      <c r="F17159" s="626"/>
    </row>
    <row r="17160" spans="1:6">
      <c r="A17160" t="str">
        <f t="shared" si="268"/>
        <v/>
      </c>
      <c r="E17160" s="626"/>
      <c r="F17160" s="626"/>
    </row>
    <row r="17161" spans="1:6">
      <c r="A17161" t="str">
        <f t="shared" si="268"/>
        <v/>
      </c>
      <c r="E17161" s="626"/>
      <c r="F17161" s="626"/>
    </row>
    <row r="17162" spans="1:6">
      <c r="A17162" t="str">
        <f t="shared" si="268"/>
        <v/>
      </c>
      <c r="E17162" s="626"/>
      <c r="F17162" s="626"/>
    </row>
    <row r="17163" spans="1:6">
      <c r="A17163" t="str">
        <f t="shared" si="268"/>
        <v/>
      </c>
      <c r="E17163" s="626"/>
      <c r="F17163" s="626"/>
    </row>
    <row r="17164" spans="1:6">
      <c r="A17164" t="str">
        <f t="shared" si="268"/>
        <v/>
      </c>
      <c r="E17164" s="626"/>
      <c r="F17164" s="626"/>
    </row>
    <row r="17165" spans="1:6">
      <c r="A17165" t="str">
        <f t="shared" si="268"/>
        <v/>
      </c>
      <c r="E17165" s="626"/>
      <c r="F17165" s="626"/>
    </row>
    <row r="17166" spans="1:6">
      <c r="A17166" t="str">
        <f t="shared" si="268"/>
        <v/>
      </c>
      <c r="E17166" s="626"/>
      <c r="F17166" s="626"/>
    </row>
    <row r="17167" spans="1:6">
      <c r="A17167" t="str">
        <f t="shared" si="268"/>
        <v/>
      </c>
      <c r="E17167" s="626"/>
      <c r="F17167" s="626"/>
    </row>
    <row r="17168" spans="1:6">
      <c r="A17168" t="str">
        <f t="shared" si="268"/>
        <v/>
      </c>
      <c r="E17168" s="626"/>
      <c r="F17168" s="626"/>
    </row>
    <row r="17169" spans="1:6">
      <c r="A17169" t="str">
        <f t="shared" si="268"/>
        <v/>
      </c>
      <c r="E17169" s="626"/>
      <c r="F17169" s="626"/>
    </row>
    <row r="17170" spans="1:6">
      <c r="A17170" t="str">
        <f t="shared" si="268"/>
        <v/>
      </c>
      <c r="E17170" s="626"/>
      <c r="F17170" s="626"/>
    </row>
    <row r="17171" spans="1:6">
      <c r="A17171" t="str">
        <f t="shared" si="268"/>
        <v/>
      </c>
      <c r="E17171" s="626"/>
      <c r="F17171" s="626"/>
    </row>
    <row r="17172" spans="1:6">
      <c r="A17172" t="str">
        <f t="shared" si="268"/>
        <v/>
      </c>
      <c r="E17172" s="626"/>
      <c r="F17172" s="626"/>
    </row>
    <row r="17173" spans="1:6">
      <c r="A17173" t="str">
        <f t="shared" si="268"/>
        <v/>
      </c>
      <c r="E17173" s="626"/>
      <c r="F17173" s="626"/>
    </row>
    <row r="17174" spans="1:6">
      <c r="A17174" t="str">
        <f t="shared" si="268"/>
        <v/>
      </c>
      <c r="E17174" s="626"/>
      <c r="F17174" s="626"/>
    </row>
    <row r="17175" spans="1:6">
      <c r="A17175" t="str">
        <f t="shared" si="268"/>
        <v/>
      </c>
      <c r="E17175" s="626"/>
      <c r="F17175" s="626"/>
    </row>
    <row r="17176" spans="1:6">
      <c r="A17176" t="str">
        <f t="shared" si="268"/>
        <v/>
      </c>
      <c r="E17176" s="626"/>
      <c r="F17176" s="626"/>
    </row>
    <row r="17177" spans="1:6">
      <c r="A17177" t="str">
        <f t="shared" si="268"/>
        <v/>
      </c>
      <c r="E17177" s="626"/>
      <c r="F17177" s="626"/>
    </row>
    <row r="17178" spans="1:6">
      <c r="A17178" t="str">
        <f t="shared" si="268"/>
        <v/>
      </c>
      <c r="E17178" s="626"/>
      <c r="F17178" s="626"/>
    </row>
    <row r="17179" spans="1:6">
      <c r="A17179" t="str">
        <f t="shared" si="268"/>
        <v/>
      </c>
      <c r="E17179" s="626"/>
      <c r="F17179" s="626"/>
    </row>
    <row r="17180" spans="1:6">
      <c r="A17180" t="str">
        <f t="shared" si="268"/>
        <v/>
      </c>
      <c r="E17180" s="626"/>
      <c r="F17180" s="626"/>
    </row>
    <row r="17181" spans="1:6">
      <c r="A17181" t="str">
        <f t="shared" si="268"/>
        <v/>
      </c>
      <c r="E17181" s="626"/>
      <c r="F17181" s="626"/>
    </row>
    <row r="17182" spans="1:6">
      <c r="A17182" t="str">
        <f t="shared" si="268"/>
        <v/>
      </c>
      <c r="E17182" s="626"/>
      <c r="F17182" s="626"/>
    </row>
    <row r="17183" spans="1:6">
      <c r="A17183" t="str">
        <f t="shared" si="268"/>
        <v/>
      </c>
      <c r="E17183" s="626"/>
      <c r="F17183" s="626"/>
    </row>
    <row r="17184" spans="1:6">
      <c r="A17184" t="str">
        <f t="shared" si="268"/>
        <v/>
      </c>
      <c r="E17184" s="626"/>
      <c r="F17184" s="626"/>
    </row>
    <row r="17185" spans="1:6">
      <c r="A17185" t="str">
        <f t="shared" si="268"/>
        <v/>
      </c>
      <c r="E17185" s="626"/>
      <c r="F17185" s="626"/>
    </row>
    <row r="17186" spans="1:6">
      <c r="A17186" t="str">
        <f t="shared" si="268"/>
        <v/>
      </c>
      <c r="E17186" s="626"/>
      <c r="F17186" s="626"/>
    </row>
    <row r="17187" spans="1:6">
      <c r="A17187" t="str">
        <f t="shared" si="268"/>
        <v/>
      </c>
      <c r="E17187" s="626"/>
      <c r="F17187" s="626"/>
    </row>
    <row r="17188" spans="1:6">
      <c r="A17188" t="str">
        <f t="shared" si="268"/>
        <v/>
      </c>
      <c r="E17188" s="626"/>
      <c r="F17188" s="626"/>
    </row>
    <row r="17189" spans="1:6">
      <c r="A17189" t="str">
        <f t="shared" si="268"/>
        <v/>
      </c>
      <c r="E17189" s="626"/>
      <c r="F17189" s="626"/>
    </row>
    <row r="17190" spans="1:6">
      <c r="A17190" t="str">
        <f t="shared" si="268"/>
        <v/>
      </c>
      <c r="E17190" s="626"/>
      <c r="F17190" s="626"/>
    </row>
    <row r="17191" spans="1:6">
      <c r="A17191" t="str">
        <f t="shared" si="268"/>
        <v/>
      </c>
      <c r="E17191" s="626"/>
      <c r="F17191" s="626"/>
    </row>
    <row r="17192" spans="1:6">
      <c r="A17192" t="str">
        <f t="shared" si="268"/>
        <v/>
      </c>
      <c r="E17192" s="626"/>
      <c r="F17192" s="626"/>
    </row>
    <row r="17193" spans="1:6">
      <c r="A17193" t="str">
        <f t="shared" si="268"/>
        <v/>
      </c>
      <c r="E17193" s="626"/>
      <c r="F17193" s="626"/>
    </row>
    <row r="17194" spans="1:6">
      <c r="A17194" t="str">
        <f t="shared" si="268"/>
        <v/>
      </c>
      <c r="E17194" s="626"/>
      <c r="F17194" s="626"/>
    </row>
    <row r="17195" spans="1:6">
      <c r="A17195" t="str">
        <f t="shared" si="268"/>
        <v/>
      </c>
      <c r="E17195" s="626"/>
      <c r="F17195" s="626"/>
    </row>
    <row r="17196" spans="1:6">
      <c r="A17196" t="str">
        <f t="shared" si="268"/>
        <v/>
      </c>
      <c r="E17196" s="626"/>
      <c r="F17196" s="626"/>
    </row>
    <row r="17197" spans="1:6">
      <c r="A17197" t="str">
        <f t="shared" si="268"/>
        <v/>
      </c>
      <c r="E17197" s="626"/>
      <c r="F17197" s="626"/>
    </row>
    <row r="17198" spans="1:6">
      <c r="A17198" t="str">
        <f t="shared" si="268"/>
        <v/>
      </c>
      <c r="E17198" s="626"/>
      <c r="F17198" s="626"/>
    </row>
    <row r="17199" spans="1:6">
      <c r="A17199" t="str">
        <f t="shared" si="268"/>
        <v/>
      </c>
      <c r="E17199" s="626"/>
      <c r="F17199" s="626"/>
    </row>
    <row r="17200" spans="1:6">
      <c r="A17200" t="str">
        <f t="shared" si="268"/>
        <v/>
      </c>
      <c r="E17200" s="626"/>
      <c r="F17200" s="626"/>
    </row>
    <row r="17201" spans="1:6">
      <c r="A17201" t="str">
        <f t="shared" si="268"/>
        <v/>
      </c>
      <c r="E17201" s="626"/>
      <c r="F17201" s="626"/>
    </row>
    <row r="17202" spans="1:6">
      <c r="A17202" t="str">
        <f t="shared" si="268"/>
        <v/>
      </c>
      <c r="E17202" s="626"/>
      <c r="F17202" s="626"/>
    </row>
    <row r="17203" spans="1:6">
      <c r="A17203" t="str">
        <f t="shared" si="268"/>
        <v/>
      </c>
      <c r="E17203" s="626"/>
      <c r="F17203" s="626"/>
    </row>
    <row r="17204" spans="1:6">
      <c r="A17204" t="str">
        <f t="shared" si="268"/>
        <v/>
      </c>
      <c r="E17204" s="626"/>
      <c r="F17204" s="626"/>
    </row>
    <row r="17205" spans="1:6">
      <c r="A17205" t="str">
        <f t="shared" si="268"/>
        <v/>
      </c>
      <c r="E17205" s="626"/>
      <c r="F17205" s="626"/>
    </row>
    <row r="17206" spans="1:6">
      <c r="A17206" t="str">
        <f t="shared" si="268"/>
        <v/>
      </c>
      <c r="E17206" s="626"/>
      <c r="F17206" s="626"/>
    </row>
    <row r="17207" spans="1:6">
      <c r="A17207" t="str">
        <f t="shared" si="268"/>
        <v/>
      </c>
      <c r="E17207" s="626"/>
      <c r="F17207" s="626"/>
    </row>
    <row r="17208" spans="1:6">
      <c r="A17208" t="str">
        <f t="shared" si="268"/>
        <v/>
      </c>
      <c r="E17208" s="626"/>
      <c r="F17208" s="626"/>
    </row>
    <row r="17209" spans="1:6">
      <c r="A17209" t="str">
        <f t="shared" si="268"/>
        <v/>
      </c>
      <c r="E17209" s="626"/>
      <c r="F17209" s="626"/>
    </row>
    <row r="17210" spans="1:6">
      <c r="A17210" t="str">
        <f t="shared" si="268"/>
        <v/>
      </c>
      <c r="E17210" s="626"/>
      <c r="F17210" s="626"/>
    </row>
    <row r="17211" spans="1:6">
      <c r="A17211" t="str">
        <f t="shared" si="268"/>
        <v/>
      </c>
      <c r="E17211" s="626"/>
      <c r="F17211" s="626"/>
    </row>
    <row r="17212" spans="1:6">
      <c r="A17212" t="str">
        <f t="shared" si="268"/>
        <v/>
      </c>
      <c r="E17212" s="626"/>
      <c r="F17212" s="626"/>
    </row>
    <row r="17213" spans="1:6">
      <c r="A17213" t="str">
        <f t="shared" si="268"/>
        <v/>
      </c>
      <c r="E17213" s="626"/>
      <c r="F17213" s="626"/>
    </row>
    <row r="17214" spans="1:6">
      <c r="A17214" t="str">
        <f t="shared" si="268"/>
        <v/>
      </c>
      <c r="E17214" s="626"/>
      <c r="F17214" s="626"/>
    </row>
    <row r="17215" spans="1:6">
      <c r="A17215" t="str">
        <f t="shared" si="268"/>
        <v/>
      </c>
      <c r="E17215" s="626"/>
      <c r="F17215" s="626"/>
    </row>
    <row r="17216" spans="1:6">
      <c r="A17216" t="str">
        <f t="shared" si="268"/>
        <v/>
      </c>
      <c r="E17216" s="626"/>
      <c r="F17216" s="626"/>
    </row>
    <row r="17217" spans="1:6">
      <c r="A17217" t="str">
        <f t="shared" si="268"/>
        <v/>
      </c>
      <c r="E17217" s="626"/>
      <c r="F17217" s="626"/>
    </row>
    <row r="17218" spans="1:6">
      <c r="A17218" t="str">
        <f t="shared" ref="A17218:A17281" si="269">B17218&amp;E17218&amp;J17218</f>
        <v/>
      </c>
      <c r="E17218" s="626"/>
      <c r="F17218" s="626"/>
    </row>
    <row r="17219" spans="1:6">
      <c r="A17219" t="str">
        <f t="shared" si="269"/>
        <v/>
      </c>
      <c r="E17219" s="626"/>
      <c r="F17219" s="626"/>
    </row>
    <row r="17220" spans="1:6">
      <c r="A17220" t="str">
        <f t="shared" si="269"/>
        <v/>
      </c>
      <c r="E17220" s="626"/>
      <c r="F17220" s="626"/>
    </row>
    <row r="17221" spans="1:6">
      <c r="A17221" t="str">
        <f t="shared" si="269"/>
        <v/>
      </c>
      <c r="E17221" s="626"/>
      <c r="F17221" s="626"/>
    </row>
    <row r="17222" spans="1:6">
      <c r="A17222" t="str">
        <f t="shared" si="269"/>
        <v/>
      </c>
      <c r="E17222" s="626"/>
      <c r="F17222" s="626"/>
    </row>
    <row r="17223" spans="1:6">
      <c r="A17223" t="str">
        <f t="shared" si="269"/>
        <v/>
      </c>
      <c r="E17223" s="626"/>
      <c r="F17223" s="626"/>
    </row>
    <row r="17224" spans="1:6">
      <c r="A17224" t="str">
        <f t="shared" si="269"/>
        <v/>
      </c>
      <c r="E17224" s="626"/>
      <c r="F17224" s="626"/>
    </row>
    <row r="17225" spans="1:6">
      <c r="A17225" t="str">
        <f t="shared" si="269"/>
        <v/>
      </c>
      <c r="E17225" s="626"/>
      <c r="F17225" s="626"/>
    </row>
    <row r="17226" spans="1:6">
      <c r="A17226" t="str">
        <f t="shared" si="269"/>
        <v/>
      </c>
      <c r="E17226" s="626"/>
      <c r="F17226" s="626"/>
    </row>
    <row r="17227" spans="1:6">
      <c r="A17227" t="str">
        <f t="shared" si="269"/>
        <v/>
      </c>
      <c r="E17227" s="626"/>
      <c r="F17227" s="626"/>
    </row>
    <row r="17228" spans="1:6">
      <c r="A17228" t="str">
        <f t="shared" si="269"/>
        <v/>
      </c>
      <c r="E17228" s="626"/>
      <c r="F17228" s="626"/>
    </row>
    <row r="17229" spans="1:6">
      <c r="A17229" t="str">
        <f t="shared" si="269"/>
        <v/>
      </c>
      <c r="E17229" s="626"/>
      <c r="F17229" s="626"/>
    </row>
    <row r="17230" spans="1:6">
      <c r="A17230" t="str">
        <f t="shared" si="269"/>
        <v/>
      </c>
      <c r="E17230" s="626"/>
      <c r="F17230" s="626"/>
    </row>
    <row r="17231" spans="1:6">
      <c r="A17231" t="str">
        <f t="shared" si="269"/>
        <v/>
      </c>
      <c r="E17231" s="626"/>
      <c r="F17231" s="626"/>
    </row>
    <row r="17232" spans="1:6">
      <c r="A17232" t="str">
        <f t="shared" si="269"/>
        <v/>
      </c>
      <c r="E17232" s="626"/>
      <c r="F17232" s="626"/>
    </row>
    <row r="17233" spans="1:6">
      <c r="A17233" t="str">
        <f t="shared" si="269"/>
        <v/>
      </c>
      <c r="E17233" s="626"/>
      <c r="F17233" s="626"/>
    </row>
    <row r="17234" spans="1:6">
      <c r="A17234" t="str">
        <f t="shared" si="269"/>
        <v/>
      </c>
      <c r="E17234" s="626"/>
      <c r="F17234" s="626"/>
    </row>
    <row r="17235" spans="1:6">
      <c r="A17235" t="str">
        <f t="shared" si="269"/>
        <v/>
      </c>
      <c r="E17235" s="626"/>
      <c r="F17235" s="626"/>
    </row>
    <row r="17236" spans="1:6">
      <c r="A17236" t="str">
        <f t="shared" si="269"/>
        <v/>
      </c>
      <c r="E17236" s="626"/>
      <c r="F17236" s="626"/>
    </row>
    <row r="17237" spans="1:6">
      <c r="A17237" t="str">
        <f t="shared" si="269"/>
        <v/>
      </c>
      <c r="E17237" s="626"/>
      <c r="F17237" s="626"/>
    </row>
    <row r="17238" spans="1:6">
      <c r="A17238" t="str">
        <f t="shared" si="269"/>
        <v/>
      </c>
      <c r="E17238" s="626"/>
      <c r="F17238" s="626"/>
    </row>
    <row r="17239" spans="1:6">
      <c r="A17239" t="str">
        <f t="shared" si="269"/>
        <v/>
      </c>
      <c r="E17239" s="626"/>
      <c r="F17239" s="626"/>
    </row>
    <row r="17240" spans="1:6">
      <c r="A17240" t="str">
        <f t="shared" si="269"/>
        <v/>
      </c>
      <c r="E17240" s="626"/>
      <c r="F17240" s="626"/>
    </row>
    <row r="17241" spans="1:6">
      <c r="A17241" t="str">
        <f t="shared" si="269"/>
        <v/>
      </c>
      <c r="E17241" s="626"/>
      <c r="F17241" s="626"/>
    </row>
    <row r="17242" spans="1:6">
      <c r="A17242" t="str">
        <f t="shared" si="269"/>
        <v/>
      </c>
      <c r="E17242" s="626"/>
      <c r="F17242" s="626"/>
    </row>
    <row r="17243" spans="1:6">
      <c r="A17243" t="str">
        <f t="shared" si="269"/>
        <v/>
      </c>
      <c r="E17243" s="626"/>
      <c r="F17243" s="626"/>
    </row>
    <row r="17244" spans="1:6">
      <c r="A17244" t="str">
        <f t="shared" si="269"/>
        <v/>
      </c>
      <c r="E17244" s="626"/>
      <c r="F17244" s="626"/>
    </row>
    <row r="17245" spans="1:6">
      <c r="A17245" t="str">
        <f t="shared" si="269"/>
        <v/>
      </c>
      <c r="E17245" s="626"/>
      <c r="F17245" s="626"/>
    </row>
    <row r="17246" spans="1:6">
      <c r="A17246" t="str">
        <f t="shared" si="269"/>
        <v/>
      </c>
      <c r="E17246" s="626"/>
      <c r="F17246" s="626"/>
    </row>
    <row r="17247" spans="1:6">
      <c r="A17247" t="str">
        <f t="shared" si="269"/>
        <v/>
      </c>
      <c r="E17247" s="626"/>
      <c r="F17247" s="626"/>
    </row>
    <row r="17248" spans="1:6">
      <c r="A17248" t="str">
        <f t="shared" si="269"/>
        <v/>
      </c>
      <c r="E17248" s="626"/>
      <c r="F17248" s="626"/>
    </row>
    <row r="17249" spans="1:6">
      <c r="A17249" t="str">
        <f t="shared" si="269"/>
        <v/>
      </c>
      <c r="E17249" s="626"/>
      <c r="F17249" s="626"/>
    </row>
    <row r="17250" spans="1:6">
      <c r="A17250" t="str">
        <f t="shared" si="269"/>
        <v/>
      </c>
      <c r="E17250" s="626"/>
      <c r="F17250" s="626"/>
    </row>
    <row r="17251" spans="1:6">
      <c r="A17251" t="str">
        <f t="shared" si="269"/>
        <v/>
      </c>
      <c r="E17251" s="626"/>
      <c r="F17251" s="626"/>
    </row>
    <row r="17252" spans="1:6">
      <c r="A17252" t="str">
        <f t="shared" si="269"/>
        <v/>
      </c>
      <c r="E17252" s="626"/>
      <c r="F17252" s="626"/>
    </row>
    <row r="17253" spans="1:6">
      <c r="A17253" t="str">
        <f t="shared" si="269"/>
        <v/>
      </c>
      <c r="E17253" s="626"/>
      <c r="F17253" s="626"/>
    </row>
    <row r="17254" spans="1:6">
      <c r="A17254" t="str">
        <f t="shared" si="269"/>
        <v/>
      </c>
      <c r="E17254" s="626"/>
      <c r="F17254" s="626"/>
    </row>
    <row r="17255" spans="1:6">
      <c r="A17255" t="str">
        <f t="shared" si="269"/>
        <v/>
      </c>
      <c r="E17255" s="626"/>
      <c r="F17255" s="626"/>
    </row>
    <row r="17256" spans="1:6">
      <c r="A17256" t="str">
        <f t="shared" si="269"/>
        <v/>
      </c>
      <c r="E17256" s="626"/>
      <c r="F17256" s="626"/>
    </row>
    <row r="17257" spans="1:6">
      <c r="A17257" t="str">
        <f t="shared" si="269"/>
        <v/>
      </c>
      <c r="E17257" s="626"/>
      <c r="F17257" s="626"/>
    </row>
    <row r="17258" spans="1:6">
      <c r="A17258" t="str">
        <f t="shared" si="269"/>
        <v/>
      </c>
      <c r="E17258" s="626"/>
      <c r="F17258" s="626"/>
    </row>
    <row r="17259" spans="1:6">
      <c r="A17259" t="str">
        <f t="shared" si="269"/>
        <v/>
      </c>
      <c r="E17259" s="626"/>
      <c r="F17259" s="626"/>
    </row>
    <row r="17260" spans="1:6">
      <c r="A17260" t="str">
        <f t="shared" si="269"/>
        <v/>
      </c>
      <c r="E17260" s="626"/>
      <c r="F17260" s="626"/>
    </row>
    <row r="17261" spans="1:6">
      <c r="A17261" t="str">
        <f t="shared" si="269"/>
        <v/>
      </c>
      <c r="E17261" s="626"/>
      <c r="F17261" s="626"/>
    </row>
    <row r="17262" spans="1:6">
      <c r="A17262" t="str">
        <f t="shared" si="269"/>
        <v/>
      </c>
      <c r="E17262" s="626"/>
      <c r="F17262" s="626"/>
    </row>
    <row r="17263" spans="1:6">
      <c r="A17263" t="str">
        <f t="shared" si="269"/>
        <v/>
      </c>
      <c r="E17263" s="626"/>
      <c r="F17263" s="626"/>
    </row>
    <row r="17264" spans="1:6">
      <c r="A17264" t="str">
        <f t="shared" si="269"/>
        <v/>
      </c>
      <c r="E17264" s="626"/>
      <c r="F17264" s="626"/>
    </row>
    <row r="17265" spans="1:6">
      <c r="A17265" t="str">
        <f t="shared" si="269"/>
        <v/>
      </c>
      <c r="E17265" s="626"/>
      <c r="F17265" s="626"/>
    </row>
    <row r="17266" spans="1:6">
      <c r="A17266" t="str">
        <f t="shared" si="269"/>
        <v/>
      </c>
      <c r="E17266" s="626"/>
      <c r="F17266" s="626"/>
    </row>
    <row r="17267" spans="1:6">
      <c r="A17267" t="str">
        <f t="shared" si="269"/>
        <v/>
      </c>
      <c r="E17267" s="626"/>
      <c r="F17267" s="626"/>
    </row>
    <row r="17268" spans="1:6">
      <c r="A17268" t="str">
        <f t="shared" si="269"/>
        <v/>
      </c>
      <c r="E17268" s="626"/>
      <c r="F17268" s="626"/>
    </row>
    <row r="17269" spans="1:6">
      <c r="A17269" t="str">
        <f t="shared" si="269"/>
        <v/>
      </c>
      <c r="E17269" s="626"/>
      <c r="F17269" s="626"/>
    </row>
    <row r="17270" spans="1:6">
      <c r="A17270" t="str">
        <f t="shared" si="269"/>
        <v/>
      </c>
      <c r="E17270" s="626"/>
      <c r="F17270" s="626"/>
    </row>
    <row r="17271" spans="1:6">
      <c r="A17271" t="str">
        <f t="shared" si="269"/>
        <v/>
      </c>
      <c r="E17271" s="626"/>
      <c r="F17271" s="626"/>
    </row>
    <row r="17272" spans="1:6">
      <c r="A17272" t="str">
        <f t="shared" si="269"/>
        <v/>
      </c>
      <c r="E17272" s="626"/>
      <c r="F17272" s="626"/>
    </row>
    <row r="17273" spans="1:6">
      <c r="A17273" t="str">
        <f t="shared" si="269"/>
        <v/>
      </c>
      <c r="E17273" s="626"/>
      <c r="F17273" s="626"/>
    </row>
    <row r="17274" spans="1:6">
      <c r="A17274" t="str">
        <f t="shared" si="269"/>
        <v/>
      </c>
      <c r="E17274" s="626"/>
      <c r="F17274" s="626"/>
    </row>
    <row r="17275" spans="1:6">
      <c r="A17275" t="str">
        <f t="shared" si="269"/>
        <v/>
      </c>
      <c r="E17275" s="626"/>
      <c r="F17275" s="626"/>
    </row>
    <row r="17276" spans="1:6">
      <c r="A17276" t="str">
        <f t="shared" si="269"/>
        <v/>
      </c>
      <c r="E17276" s="626"/>
      <c r="F17276" s="626"/>
    </row>
    <row r="17277" spans="1:6">
      <c r="A17277" t="str">
        <f t="shared" si="269"/>
        <v/>
      </c>
      <c r="E17277" s="626"/>
      <c r="F17277" s="626"/>
    </row>
    <row r="17278" spans="1:6">
      <c r="A17278" t="str">
        <f t="shared" si="269"/>
        <v/>
      </c>
      <c r="E17278" s="626"/>
      <c r="F17278" s="626"/>
    </row>
    <row r="17279" spans="1:6">
      <c r="A17279" t="str">
        <f t="shared" si="269"/>
        <v/>
      </c>
      <c r="E17279" s="626"/>
      <c r="F17279" s="626"/>
    </row>
    <row r="17280" spans="1:6">
      <c r="A17280" t="str">
        <f t="shared" si="269"/>
        <v/>
      </c>
      <c r="E17280" s="626"/>
      <c r="F17280" s="626"/>
    </row>
    <row r="17281" spans="1:6">
      <c r="A17281" t="str">
        <f t="shared" si="269"/>
        <v/>
      </c>
      <c r="E17281" s="626"/>
      <c r="F17281" s="626"/>
    </row>
    <row r="17282" spans="1:6">
      <c r="A17282" t="str">
        <f t="shared" ref="A17282:A17345" si="270">B17282&amp;E17282&amp;J17282</f>
        <v/>
      </c>
      <c r="E17282" s="626"/>
      <c r="F17282" s="626"/>
    </row>
    <row r="17283" spans="1:6">
      <c r="A17283" t="str">
        <f t="shared" si="270"/>
        <v/>
      </c>
      <c r="E17283" s="626"/>
      <c r="F17283" s="626"/>
    </row>
    <row r="17284" spans="1:6">
      <c r="A17284" t="str">
        <f t="shared" si="270"/>
        <v/>
      </c>
      <c r="E17284" s="626"/>
      <c r="F17284" s="626"/>
    </row>
    <row r="17285" spans="1:6">
      <c r="A17285" t="str">
        <f t="shared" si="270"/>
        <v/>
      </c>
      <c r="E17285" s="626"/>
      <c r="F17285" s="626"/>
    </row>
    <row r="17286" spans="1:6">
      <c r="A17286" t="str">
        <f t="shared" si="270"/>
        <v/>
      </c>
      <c r="E17286" s="626"/>
      <c r="F17286" s="626"/>
    </row>
    <row r="17287" spans="1:6">
      <c r="A17287" t="str">
        <f t="shared" si="270"/>
        <v/>
      </c>
      <c r="E17287" s="626"/>
      <c r="F17287" s="626"/>
    </row>
    <row r="17288" spans="1:6">
      <c r="A17288" t="str">
        <f t="shared" si="270"/>
        <v/>
      </c>
      <c r="E17288" s="626"/>
      <c r="F17288" s="626"/>
    </row>
    <row r="17289" spans="1:6">
      <c r="A17289" t="str">
        <f t="shared" si="270"/>
        <v/>
      </c>
      <c r="E17289" s="626"/>
      <c r="F17289" s="626"/>
    </row>
    <row r="17290" spans="1:6">
      <c r="A17290" t="str">
        <f t="shared" si="270"/>
        <v/>
      </c>
      <c r="E17290" s="626"/>
      <c r="F17290" s="626"/>
    </row>
    <row r="17291" spans="1:6">
      <c r="A17291" t="str">
        <f t="shared" si="270"/>
        <v/>
      </c>
      <c r="E17291" s="626"/>
      <c r="F17291" s="626"/>
    </row>
    <row r="17292" spans="1:6">
      <c r="A17292" t="str">
        <f t="shared" si="270"/>
        <v/>
      </c>
      <c r="E17292" s="626"/>
      <c r="F17292" s="626"/>
    </row>
    <row r="17293" spans="1:6">
      <c r="A17293" t="str">
        <f t="shared" si="270"/>
        <v/>
      </c>
      <c r="E17293" s="626"/>
      <c r="F17293" s="626"/>
    </row>
    <row r="17294" spans="1:6">
      <c r="A17294" t="str">
        <f t="shared" si="270"/>
        <v/>
      </c>
      <c r="E17294" s="626"/>
      <c r="F17294" s="626"/>
    </row>
    <row r="17295" spans="1:6">
      <c r="A17295" t="str">
        <f t="shared" si="270"/>
        <v/>
      </c>
      <c r="E17295" s="626"/>
      <c r="F17295" s="626"/>
    </row>
    <row r="17296" spans="1:6">
      <c r="A17296" t="str">
        <f t="shared" si="270"/>
        <v/>
      </c>
      <c r="E17296" s="626"/>
      <c r="F17296" s="626"/>
    </row>
    <row r="17297" spans="1:6">
      <c r="A17297" t="str">
        <f t="shared" si="270"/>
        <v/>
      </c>
      <c r="E17297" s="626"/>
      <c r="F17297" s="626"/>
    </row>
    <row r="17298" spans="1:6">
      <c r="A17298" t="str">
        <f t="shared" si="270"/>
        <v/>
      </c>
      <c r="E17298" s="626"/>
      <c r="F17298" s="626"/>
    </row>
    <row r="17299" spans="1:6">
      <c r="A17299" t="str">
        <f t="shared" si="270"/>
        <v/>
      </c>
      <c r="E17299" s="626"/>
      <c r="F17299" s="626"/>
    </row>
    <row r="17300" spans="1:6">
      <c r="A17300" t="str">
        <f t="shared" si="270"/>
        <v/>
      </c>
      <c r="E17300" s="626"/>
      <c r="F17300" s="626"/>
    </row>
    <row r="17301" spans="1:6">
      <c r="A17301" t="str">
        <f t="shared" si="270"/>
        <v/>
      </c>
      <c r="E17301" s="626"/>
      <c r="F17301" s="626"/>
    </row>
    <row r="17302" spans="1:6">
      <c r="A17302" t="str">
        <f t="shared" si="270"/>
        <v/>
      </c>
      <c r="E17302" s="626"/>
      <c r="F17302" s="626"/>
    </row>
    <row r="17303" spans="1:6">
      <c r="A17303" t="str">
        <f t="shared" si="270"/>
        <v/>
      </c>
      <c r="E17303" s="626"/>
      <c r="F17303" s="626"/>
    </row>
    <row r="17304" spans="1:6">
      <c r="A17304" t="str">
        <f t="shared" si="270"/>
        <v/>
      </c>
      <c r="E17304" s="626"/>
      <c r="F17304" s="626"/>
    </row>
    <row r="17305" spans="1:6">
      <c r="A17305" t="str">
        <f t="shared" si="270"/>
        <v/>
      </c>
      <c r="E17305" s="626"/>
      <c r="F17305" s="626"/>
    </row>
    <row r="17306" spans="1:6">
      <c r="A17306" t="str">
        <f t="shared" si="270"/>
        <v/>
      </c>
      <c r="E17306" s="626"/>
      <c r="F17306" s="626"/>
    </row>
    <row r="17307" spans="1:6">
      <c r="A17307" t="str">
        <f t="shared" si="270"/>
        <v/>
      </c>
      <c r="E17307" s="626"/>
      <c r="F17307" s="626"/>
    </row>
    <row r="17308" spans="1:6">
      <c r="A17308" t="str">
        <f t="shared" si="270"/>
        <v/>
      </c>
      <c r="E17308" s="626"/>
      <c r="F17308" s="626"/>
    </row>
    <row r="17309" spans="1:6">
      <c r="A17309" t="str">
        <f t="shared" si="270"/>
        <v/>
      </c>
      <c r="E17309" s="626"/>
      <c r="F17309" s="626"/>
    </row>
    <row r="17310" spans="1:6">
      <c r="A17310" t="str">
        <f t="shared" si="270"/>
        <v/>
      </c>
      <c r="E17310" s="626"/>
      <c r="F17310" s="626"/>
    </row>
    <row r="17311" spans="1:6">
      <c r="A17311" t="str">
        <f t="shared" si="270"/>
        <v/>
      </c>
      <c r="E17311" s="626"/>
      <c r="F17311" s="626"/>
    </row>
    <row r="17312" spans="1:6">
      <c r="A17312" t="str">
        <f t="shared" si="270"/>
        <v/>
      </c>
      <c r="E17312" s="626"/>
      <c r="F17312" s="626"/>
    </row>
    <row r="17313" spans="1:6">
      <c r="A17313" t="str">
        <f t="shared" si="270"/>
        <v/>
      </c>
      <c r="E17313" s="626"/>
      <c r="F17313" s="626"/>
    </row>
    <row r="17314" spans="1:6">
      <c r="A17314" t="str">
        <f t="shared" si="270"/>
        <v/>
      </c>
      <c r="E17314" s="626"/>
      <c r="F17314" s="626"/>
    </row>
    <row r="17315" spans="1:6">
      <c r="A17315" t="str">
        <f t="shared" si="270"/>
        <v/>
      </c>
      <c r="E17315" s="626"/>
      <c r="F17315" s="626"/>
    </row>
    <row r="17316" spans="1:6">
      <c r="A17316" t="str">
        <f t="shared" si="270"/>
        <v/>
      </c>
      <c r="E17316" s="626"/>
      <c r="F17316" s="626"/>
    </row>
    <row r="17317" spans="1:6">
      <c r="A17317" t="str">
        <f t="shared" si="270"/>
        <v/>
      </c>
      <c r="E17317" s="626"/>
      <c r="F17317" s="626"/>
    </row>
    <row r="17318" spans="1:6">
      <c r="A17318" t="str">
        <f t="shared" si="270"/>
        <v/>
      </c>
      <c r="E17318" s="626"/>
      <c r="F17318" s="626"/>
    </row>
    <row r="17319" spans="1:6">
      <c r="A17319" t="str">
        <f t="shared" si="270"/>
        <v/>
      </c>
      <c r="E17319" s="626"/>
      <c r="F17319" s="626"/>
    </row>
    <row r="17320" spans="1:6">
      <c r="A17320" t="str">
        <f t="shared" si="270"/>
        <v/>
      </c>
      <c r="E17320" s="626"/>
      <c r="F17320" s="626"/>
    </row>
    <row r="17321" spans="1:6">
      <c r="A17321" t="str">
        <f t="shared" si="270"/>
        <v/>
      </c>
      <c r="E17321" s="626"/>
      <c r="F17321" s="626"/>
    </row>
    <row r="17322" spans="1:6">
      <c r="A17322" t="str">
        <f t="shared" si="270"/>
        <v/>
      </c>
      <c r="E17322" s="626"/>
      <c r="F17322" s="626"/>
    </row>
    <row r="17323" spans="1:6">
      <c r="A17323" t="str">
        <f t="shared" si="270"/>
        <v/>
      </c>
      <c r="E17323" s="626"/>
      <c r="F17323" s="626"/>
    </row>
    <row r="17324" spans="1:6">
      <c r="A17324" t="str">
        <f t="shared" si="270"/>
        <v/>
      </c>
      <c r="E17324" s="626"/>
      <c r="F17324" s="626"/>
    </row>
    <row r="17325" spans="1:6">
      <c r="A17325" t="str">
        <f t="shared" si="270"/>
        <v/>
      </c>
      <c r="E17325" s="626"/>
      <c r="F17325" s="626"/>
    </row>
    <row r="17326" spans="1:6">
      <c r="A17326" t="str">
        <f t="shared" si="270"/>
        <v/>
      </c>
      <c r="E17326" s="626"/>
      <c r="F17326" s="626"/>
    </row>
    <row r="17327" spans="1:6">
      <c r="A17327" t="str">
        <f t="shared" si="270"/>
        <v/>
      </c>
      <c r="E17327" s="626"/>
      <c r="F17327" s="626"/>
    </row>
    <row r="17328" spans="1:6">
      <c r="A17328" t="str">
        <f t="shared" si="270"/>
        <v/>
      </c>
      <c r="E17328" s="626"/>
      <c r="F17328" s="626"/>
    </row>
    <row r="17329" spans="1:6">
      <c r="A17329" t="str">
        <f t="shared" si="270"/>
        <v/>
      </c>
      <c r="E17329" s="626"/>
      <c r="F17329" s="626"/>
    </row>
    <row r="17330" spans="1:6">
      <c r="A17330" t="str">
        <f t="shared" si="270"/>
        <v/>
      </c>
      <c r="E17330" s="626"/>
      <c r="F17330" s="626"/>
    </row>
    <row r="17331" spans="1:6">
      <c r="A17331" t="str">
        <f t="shared" si="270"/>
        <v/>
      </c>
      <c r="E17331" s="626"/>
      <c r="F17331" s="626"/>
    </row>
    <row r="17332" spans="1:6">
      <c r="A17332" t="str">
        <f t="shared" si="270"/>
        <v/>
      </c>
      <c r="E17332" s="626"/>
      <c r="F17332" s="626"/>
    </row>
    <row r="17333" spans="1:6">
      <c r="A17333" t="str">
        <f t="shared" si="270"/>
        <v/>
      </c>
      <c r="E17333" s="626"/>
      <c r="F17333" s="626"/>
    </row>
    <row r="17334" spans="1:6">
      <c r="A17334" t="str">
        <f t="shared" si="270"/>
        <v/>
      </c>
      <c r="E17334" s="626"/>
      <c r="F17334" s="626"/>
    </row>
    <row r="17335" spans="1:6">
      <c r="A17335" t="str">
        <f t="shared" si="270"/>
        <v/>
      </c>
      <c r="E17335" s="626"/>
      <c r="F17335" s="626"/>
    </row>
    <row r="17336" spans="1:6">
      <c r="A17336" t="str">
        <f t="shared" si="270"/>
        <v/>
      </c>
      <c r="E17336" s="626"/>
      <c r="F17336" s="626"/>
    </row>
    <row r="17337" spans="1:6">
      <c r="A17337" t="str">
        <f t="shared" si="270"/>
        <v/>
      </c>
      <c r="E17337" s="626"/>
      <c r="F17337" s="626"/>
    </row>
    <row r="17338" spans="1:6">
      <c r="A17338" t="str">
        <f t="shared" si="270"/>
        <v/>
      </c>
      <c r="E17338" s="626"/>
      <c r="F17338" s="626"/>
    </row>
    <row r="17339" spans="1:6">
      <c r="A17339" t="str">
        <f t="shared" si="270"/>
        <v/>
      </c>
      <c r="E17339" s="626"/>
      <c r="F17339" s="626"/>
    </row>
    <row r="17340" spans="1:6">
      <c r="A17340" t="str">
        <f t="shared" si="270"/>
        <v/>
      </c>
      <c r="E17340" s="626"/>
      <c r="F17340" s="626"/>
    </row>
    <row r="17341" spans="1:6">
      <c r="A17341" t="str">
        <f t="shared" si="270"/>
        <v/>
      </c>
      <c r="E17341" s="626"/>
      <c r="F17341" s="626"/>
    </row>
    <row r="17342" spans="1:6">
      <c r="A17342" t="str">
        <f t="shared" si="270"/>
        <v/>
      </c>
      <c r="E17342" s="626"/>
      <c r="F17342" s="626"/>
    </row>
    <row r="17343" spans="1:6">
      <c r="A17343" t="str">
        <f t="shared" si="270"/>
        <v/>
      </c>
      <c r="E17343" s="626"/>
      <c r="F17343" s="626"/>
    </row>
    <row r="17344" spans="1:6">
      <c r="A17344" t="str">
        <f t="shared" si="270"/>
        <v/>
      </c>
      <c r="E17344" s="626"/>
      <c r="F17344" s="626"/>
    </row>
    <row r="17345" spans="1:6">
      <c r="A17345" t="str">
        <f t="shared" si="270"/>
        <v/>
      </c>
      <c r="E17345" s="626"/>
      <c r="F17345" s="626"/>
    </row>
    <row r="17346" spans="1:6">
      <c r="A17346" t="str">
        <f t="shared" ref="A17346:A17409" si="271">B17346&amp;E17346&amp;J17346</f>
        <v/>
      </c>
      <c r="E17346" s="626"/>
      <c r="F17346" s="626"/>
    </row>
    <row r="17347" spans="1:6">
      <c r="A17347" t="str">
        <f t="shared" si="271"/>
        <v/>
      </c>
      <c r="E17347" s="626"/>
      <c r="F17347" s="626"/>
    </row>
    <row r="17348" spans="1:6">
      <c r="A17348" t="str">
        <f t="shared" si="271"/>
        <v/>
      </c>
      <c r="E17348" s="626"/>
      <c r="F17348" s="626"/>
    </row>
    <row r="17349" spans="1:6">
      <c r="A17349" t="str">
        <f t="shared" si="271"/>
        <v/>
      </c>
      <c r="E17349" s="626"/>
      <c r="F17349" s="626"/>
    </row>
    <row r="17350" spans="1:6">
      <c r="A17350" t="str">
        <f t="shared" si="271"/>
        <v/>
      </c>
      <c r="E17350" s="626"/>
      <c r="F17350" s="626"/>
    </row>
    <row r="17351" spans="1:6">
      <c r="A17351" t="str">
        <f t="shared" si="271"/>
        <v/>
      </c>
      <c r="E17351" s="626"/>
      <c r="F17351" s="626"/>
    </row>
    <row r="17352" spans="1:6">
      <c r="A17352" t="str">
        <f t="shared" si="271"/>
        <v/>
      </c>
      <c r="E17352" s="626"/>
      <c r="F17352" s="626"/>
    </row>
    <row r="17353" spans="1:6">
      <c r="A17353" t="str">
        <f t="shared" si="271"/>
        <v/>
      </c>
      <c r="E17353" s="626"/>
      <c r="F17353" s="626"/>
    </row>
    <row r="17354" spans="1:6">
      <c r="A17354" t="str">
        <f t="shared" si="271"/>
        <v/>
      </c>
      <c r="E17354" s="626"/>
      <c r="F17354" s="626"/>
    </row>
    <row r="17355" spans="1:6">
      <c r="A17355" t="str">
        <f t="shared" si="271"/>
        <v/>
      </c>
      <c r="E17355" s="626"/>
      <c r="F17355" s="626"/>
    </row>
    <row r="17356" spans="1:6">
      <c r="A17356" t="str">
        <f t="shared" si="271"/>
        <v/>
      </c>
      <c r="E17356" s="626"/>
      <c r="F17356" s="626"/>
    </row>
    <row r="17357" spans="1:6">
      <c r="A17357" t="str">
        <f t="shared" si="271"/>
        <v/>
      </c>
      <c r="E17357" s="626"/>
      <c r="F17357" s="626"/>
    </row>
    <row r="17358" spans="1:6">
      <c r="A17358" t="str">
        <f t="shared" si="271"/>
        <v/>
      </c>
      <c r="E17358" s="626"/>
      <c r="F17358" s="626"/>
    </row>
    <row r="17359" spans="1:6">
      <c r="A17359" t="str">
        <f t="shared" si="271"/>
        <v/>
      </c>
      <c r="E17359" s="626"/>
      <c r="F17359" s="626"/>
    </row>
    <row r="17360" spans="1:6">
      <c r="A17360" t="str">
        <f t="shared" si="271"/>
        <v/>
      </c>
      <c r="E17360" s="626"/>
      <c r="F17360" s="626"/>
    </row>
    <row r="17361" spans="1:6">
      <c r="A17361" t="str">
        <f t="shared" si="271"/>
        <v/>
      </c>
      <c r="E17361" s="626"/>
      <c r="F17361" s="626"/>
    </row>
    <row r="17362" spans="1:6">
      <c r="A17362" t="str">
        <f t="shared" si="271"/>
        <v/>
      </c>
      <c r="E17362" s="626"/>
      <c r="F17362" s="626"/>
    </row>
    <row r="17363" spans="1:6">
      <c r="A17363" t="str">
        <f t="shared" si="271"/>
        <v/>
      </c>
      <c r="E17363" s="626"/>
      <c r="F17363" s="626"/>
    </row>
    <row r="17364" spans="1:6">
      <c r="A17364" t="str">
        <f t="shared" si="271"/>
        <v/>
      </c>
      <c r="E17364" s="626"/>
      <c r="F17364" s="626"/>
    </row>
    <row r="17365" spans="1:6">
      <c r="A17365" t="str">
        <f t="shared" si="271"/>
        <v/>
      </c>
      <c r="E17365" s="626"/>
      <c r="F17365" s="626"/>
    </row>
    <row r="17366" spans="1:6">
      <c r="A17366" t="str">
        <f t="shared" si="271"/>
        <v/>
      </c>
      <c r="E17366" s="626"/>
      <c r="F17366" s="626"/>
    </row>
    <row r="17367" spans="1:6">
      <c r="A17367" t="str">
        <f t="shared" si="271"/>
        <v/>
      </c>
      <c r="E17367" s="626"/>
      <c r="F17367" s="626"/>
    </row>
    <row r="17368" spans="1:6">
      <c r="A17368" t="str">
        <f t="shared" si="271"/>
        <v/>
      </c>
      <c r="E17368" s="626"/>
      <c r="F17368" s="626"/>
    </row>
    <row r="17369" spans="1:6">
      <c r="A17369" t="str">
        <f t="shared" si="271"/>
        <v/>
      </c>
      <c r="E17369" s="626"/>
      <c r="F17369" s="626"/>
    </row>
    <row r="17370" spans="1:6">
      <c r="A17370" t="str">
        <f t="shared" si="271"/>
        <v/>
      </c>
      <c r="E17370" s="626"/>
      <c r="F17370" s="626"/>
    </row>
    <row r="17371" spans="1:6">
      <c r="A17371" t="str">
        <f t="shared" si="271"/>
        <v/>
      </c>
      <c r="E17371" s="626"/>
      <c r="F17371" s="626"/>
    </row>
    <row r="17372" spans="1:6">
      <c r="A17372" t="str">
        <f t="shared" si="271"/>
        <v/>
      </c>
      <c r="E17372" s="626"/>
      <c r="F17372" s="626"/>
    </row>
    <row r="17373" spans="1:6">
      <c r="A17373" t="str">
        <f t="shared" si="271"/>
        <v/>
      </c>
      <c r="E17373" s="626"/>
      <c r="F17373" s="626"/>
    </row>
    <row r="17374" spans="1:6">
      <c r="A17374" t="str">
        <f t="shared" si="271"/>
        <v/>
      </c>
      <c r="E17374" s="626"/>
      <c r="F17374" s="626"/>
    </row>
    <row r="17375" spans="1:6">
      <c r="A17375" t="str">
        <f t="shared" si="271"/>
        <v/>
      </c>
      <c r="E17375" s="626"/>
      <c r="F17375" s="626"/>
    </row>
    <row r="17376" spans="1:6">
      <c r="A17376" t="str">
        <f t="shared" si="271"/>
        <v/>
      </c>
      <c r="E17376" s="626"/>
      <c r="F17376" s="626"/>
    </row>
    <row r="17377" spans="1:6">
      <c r="A17377" t="str">
        <f t="shared" si="271"/>
        <v/>
      </c>
      <c r="E17377" s="626"/>
      <c r="F17377" s="626"/>
    </row>
    <row r="17378" spans="1:6">
      <c r="A17378" t="str">
        <f t="shared" si="271"/>
        <v/>
      </c>
      <c r="E17378" s="626"/>
      <c r="F17378" s="626"/>
    </row>
    <row r="17379" spans="1:6">
      <c r="A17379" t="str">
        <f t="shared" si="271"/>
        <v/>
      </c>
      <c r="E17379" s="626"/>
      <c r="F17379" s="626"/>
    </row>
    <row r="17380" spans="1:6">
      <c r="A17380" t="str">
        <f t="shared" si="271"/>
        <v/>
      </c>
      <c r="E17380" s="626"/>
      <c r="F17380" s="626"/>
    </row>
    <row r="17381" spans="1:6">
      <c r="A17381" t="str">
        <f t="shared" si="271"/>
        <v/>
      </c>
      <c r="E17381" s="626"/>
      <c r="F17381" s="626"/>
    </row>
    <row r="17382" spans="1:6">
      <c r="A17382" t="str">
        <f t="shared" si="271"/>
        <v/>
      </c>
      <c r="E17382" s="626"/>
      <c r="F17382" s="626"/>
    </row>
    <row r="17383" spans="1:6">
      <c r="A17383" t="str">
        <f t="shared" si="271"/>
        <v/>
      </c>
      <c r="E17383" s="626"/>
      <c r="F17383" s="626"/>
    </row>
    <row r="17384" spans="1:6">
      <c r="A17384" t="str">
        <f t="shared" si="271"/>
        <v/>
      </c>
      <c r="E17384" s="626"/>
      <c r="F17384" s="626"/>
    </row>
    <row r="17385" spans="1:6">
      <c r="A17385" t="str">
        <f t="shared" si="271"/>
        <v/>
      </c>
      <c r="E17385" s="626"/>
      <c r="F17385" s="626"/>
    </row>
    <row r="17386" spans="1:6">
      <c r="A17386" t="str">
        <f t="shared" si="271"/>
        <v/>
      </c>
      <c r="E17386" s="626"/>
      <c r="F17386" s="626"/>
    </row>
    <row r="17387" spans="1:6">
      <c r="A17387" t="str">
        <f t="shared" si="271"/>
        <v/>
      </c>
      <c r="E17387" s="626"/>
      <c r="F17387" s="626"/>
    </row>
    <row r="17388" spans="1:6">
      <c r="A17388" t="str">
        <f t="shared" si="271"/>
        <v/>
      </c>
      <c r="E17388" s="626"/>
      <c r="F17388" s="626"/>
    </row>
    <row r="17389" spans="1:6">
      <c r="A17389" t="str">
        <f t="shared" si="271"/>
        <v/>
      </c>
      <c r="E17389" s="626"/>
      <c r="F17389" s="626"/>
    </row>
    <row r="17390" spans="1:6">
      <c r="A17390" t="str">
        <f t="shared" si="271"/>
        <v/>
      </c>
      <c r="E17390" s="626"/>
      <c r="F17390" s="626"/>
    </row>
    <row r="17391" spans="1:6">
      <c r="A17391" t="str">
        <f t="shared" si="271"/>
        <v/>
      </c>
      <c r="E17391" s="626"/>
      <c r="F17391" s="626"/>
    </row>
    <row r="17392" spans="1:6">
      <c r="A17392" t="str">
        <f t="shared" si="271"/>
        <v/>
      </c>
      <c r="E17392" s="626"/>
      <c r="F17392" s="626"/>
    </row>
    <row r="17393" spans="1:6">
      <c r="A17393" t="str">
        <f t="shared" si="271"/>
        <v/>
      </c>
      <c r="E17393" s="626"/>
      <c r="F17393" s="626"/>
    </row>
    <row r="17394" spans="1:6">
      <c r="A17394" t="str">
        <f t="shared" si="271"/>
        <v/>
      </c>
      <c r="E17394" s="626"/>
      <c r="F17394" s="626"/>
    </row>
    <row r="17395" spans="1:6">
      <c r="A17395" t="str">
        <f t="shared" si="271"/>
        <v/>
      </c>
      <c r="E17395" s="626"/>
      <c r="F17395" s="626"/>
    </row>
    <row r="17396" spans="1:6">
      <c r="A17396" t="str">
        <f t="shared" si="271"/>
        <v/>
      </c>
      <c r="E17396" s="626"/>
      <c r="F17396" s="626"/>
    </row>
    <row r="17397" spans="1:6">
      <c r="A17397" t="str">
        <f t="shared" si="271"/>
        <v/>
      </c>
      <c r="E17397" s="626"/>
      <c r="F17397" s="626"/>
    </row>
    <row r="17398" spans="1:6">
      <c r="A17398" t="str">
        <f t="shared" si="271"/>
        <v/>
      </c>
      <c r="E17398" s="626"/>
      <c r="F17398" s="626"/>
    </row>
    <row r="17399" spans="1:6">
      <c r="A17399" t="str">
        <f t="shared" si="271"/>
        <v/>
      </c>
      <c r="E17399" s="626"/>
      <c r="F17399" s="626"/>
    </row>
    <row r="17400" spans="1:6">
      <c r="A17400" t="str">
        <f t="shared" si="271"/>
        <v/>
      </c>
      <c r="E17400" s="626"/>
      <c r="F17400" s="626"/>
    </row>
    <row r="17401" spans="1:6">
      <c r="A17401" t="str">
        <f t="shared" si="271"/>
        <v/>
      </c>
      <c r="E17401" s="626"/>
      <c r="F17401" s="626"/>
    </row>
    <row r="17402" spans="1:6">
      <c r="A17402" t="str">
        <f t="shared" si="271"/>
        <v/>
      </c>
      <c r="E17402" s="626"/>
      <c r="F17402" s="626"/>
    </row>
    <row r="17403" spans="1:6">
      <c r="A17403" t="str">
        <f t="shared" si="271"/>
        <v/>
      </c>
      <c r="E17403" s="626"/>
      <c r="F17403" s="626"/>
    </row>
    <row r="17404" spans="1:6">
      <c r="A17404" t="str">
        <f t="shared" si="271"/>
        <v/>
      </c>
      <c r="E17404" s="626"/>
      <c r="F17404" s="626"/>
    </row>
    <row r="17405" spans="1:6">
      <c r="A17405" t="str">
        <f t="shared" si="271"/>
        <v/>
      </c>
      <c r="E17405" s="626"/>
      <c r="F17405" s="626"/>
    </row>
    <row r="17406" spans="1:6">
      <c r="A17406" t="str">
        <f t="shared" si="271"/>
        <v/>
      </c>
      <c r="E17406" s="626"/>
      <c r="F17406" s="626"/>
    </row>
    <row r="17407" spans="1:6">
      <c r="A17407" t="str">
        <f t="shared" si="271"/>
        <v/>
      </c>
      <c r="E17407" s="626"/>
      <c r="F17407" s="626"/>
    </row>
    <row r="17408" spans="1:6">
      <c r="A17408" t="str">
        <f t="shared" si="271"/>
        <v/>
      </c>
      <c r="E17408" s="626"/>
      <c r="F17408" s="626"/>
    </row>
    <row r="17409" spans="1:6">
      <c r="A17409" t="str">
        <f t="shared" si="271"/>
        <v/>
      </c>
      <c r="E17409" s="626"/>
      <c r="F17409" s="626"/>
    </row>
    <row r="17410" spans="1:6">
      <c r="A17410" t="str">
        <f t="shared" ref="A17410:A17473" si="272">B17410&amp;E17410&amp;J17410</f>
        <v/>
      </c>
      <c r="E17410" s="626"/>
      <c r="F17410" s="626"/>
    </row>
    <row r="17411" spans="1:6">
      <c r="A17411" t="str">
        <f t="shared" si="272"/>
        <v/>
      </c>
      <c r="E17411" s="626"/>
      <c r="F17411" s="626"/>
    </row>
    <row r="17412" spans="1:6">
      <c r="A17412" t="str">
        <f t="shared" si="272"/>
        <v/>
      </c>
      <c r="E17412" s="626"/>
      <c r="F17412" s="626"/>
    </row>
    <row r="17413" spans="1:6">
      <c r="A17413" t="str">
        <f t="shared" si="272"/>
        <v/>
      </c>
      <c r="E17413" s="626"/>
      <c r="F17413" s="626"/>
    </row>
    <row r="17414" spans="1:6">
      <c r="A17414" t="str">
        <f t="shared" si="272"/>
        <v/>
      </c>
      <c r="E17414" s="626"/>
      <c r="F17414" s="626"/>
    </row>
    <row r="17415" spans="1:6">
      <c r="A17415" t="str">
        <f t="shared" si="272"/>
        <v/>
      </c>
      <c r="E17415" s="626"/>
      <c r="F17415" s="626"/>
    </row>
    <row r="17416" spans="1:6">
      <c r="A17416" t="str">
        <f t="shared" si="272"/>
        <v/>
      </c>
      <c r="E17416" s="626"/>
      <c r="F17416" s="626"/>
    </row>
    <row r="17417" spans="1:6">
      <c r="A17417" t="str">
        <f t="shared" si="272"/>
        <v/>
      </c>
      <c r="E17417" s="626"/>
      <c r="F17417" s="626"/>
    </row>
    <row r="17418" spans="1:6">
      <c r="A17418" t="str">
        <f t="shared" si="272"/>
        <v/>
      </c>
      <c r="E17418" s="626"/>
      <c r="F17418" s="626"/>
    </row>
    <row r="17419" spans="1:6">
      <c r="A17419" t="str">
        <f t="shared" si="272"/>
        <v/>
      </c>
      <c r="E17419" s="626"/>
      <c r="F17419" s="626"/>
    </row>
    <row r="17420" spans="1:6">
      <c r="A17420" t="str">
        <f t="shared" si="272"/>
        <v/>
      </c>
      <c r="E17420" s="626"/>
      <c r="F17420" s="626"/>
    </row>
    <row r="17421" spans="1:6">
      <c r="A17421" t="str">
        <f t="shared" si="272"/>
        <v/>
      </c>
      <c r="E17421" s="626"/>
      <c r="F17421" s="626"/>
    </row>
    <row r="17422" spans="1:6">
      <c r="A17422" t="str">
        <f t="shared" si="272"/>
        <v/>
      </c>
      <c r="E17422" s="626"/>
      <c r="F17422" s="626"/>
    </row>
    <row r="17423" spans="1:6">
      <c r="A17423" t="str">
        <f t="shared" si="272"/>
        <v/>
      </c>
      <c r="E17423" s="626"/>
      <c r="F17423" s="626"/>
    </row>
    <row r="17424" spans="1:6">
      <c r="A17424" t="str">
        <f t="shared" si="272"/>
        <v/>
      </c>
      <c r="E17424" s="626"/>
      <c r="F17424" s="626"/>
    </row>
    <row r="17425" spans="1:6">
      <c r="A17425" t="str">
        <f t="shared" si="272"/>
        <v/>
      </c>
      <c r="E17425" s="626"/>
      <c r="F17425" s="626"/>
    </row>
    <row r="17426" spans="1:6">
      <c r="A17426" t="str">
        <f t="shared" si="272"/>
        <v/>
      </c>
      <c r="E17426" s="626"/>
      <c r="F17426" s="626"/>
    </row>
    <row r="17427" spans="1:6">
      <c r="A17427" t="str">
        <f t="shared" si="272"/>
        <v/>
      </c>
      <c r="E17427" s="626"/>
      <c r="F17427" s="626"/>
    </row>
    <row r="17428" spans="1:6">
      <c r="A17428" t="str">
        <f t="shared" si="272"/>
        <v/>
      </c>
      <c r="E17428" s="626"/>
      <c r="F17428" s="626"/>
    </row>
    <row r="17429" spans="1:6">
      <c r="A17429" t="str">
        <f t="shared" si="272"/>
        <v/>
      </c>
      <c r="E17429" s="626"/>
      <c r="F17429" s="626"/>
    </row>
    <row r="17430" spans="1:6">
      <c r="A17430" t="str">
        <f t="shared" si="272"/>
        <v/>
      </c>
      <c r="E17430" s="626"/>
      <c r="F17430" s="626"/>
    </row>
    <row r="17431" spans="1:6">
      <c r="A17431" t="str">
        <f t="shared" si="272"/>
        <v/>
      </c>
      <c r="E17431" s="626"/>
      <c r="F17431" s="626"/>
    </row>
    <row r="17432" spans="1:6">
      <c r="A17432" t="str">
        <f t="shared" si="272"/>
        <v/>
      </c>
      <c r="E17432" s="626"/>
      <c r="F17432" s="626"/>
    </row>
    <row r="17433" spans="1:6">
      <c r="A17433" t="str">
        <f t="shared" si="272"/>
        <v/>
      </c>
      <c r="E17433" s="626"/>
      <c r="F17433" s="626"/>
    </row>
    <row r="17434" spans="1:6">
      <c r="A17434" t="str">
        <f t="shared" si="272"/>
        <v/>
      </c>
      <c r="E17434" s="626"/>
      <c r="F17434" s="626"/>
    </row>
    <row r="17435" spans="1:6">
      <c r="A17435" t="str">
        <f t="shared" si="272"/>
        <v/>
      </c>
      <c r="E17435" s="626"/>
      <c r="F17435" s="626"/>
    </row>
    <row r="17436" spans="1:6">
      <c r="A17436" t="str">
        <f t="shared" si="272"/>
        <v/>
      </c>
      <c r="E17436" s="626"/>
      <c r="F17436" s="626"/>
    </row>
    <row r="17437" spans="1:6">
      <c r="A17437" t="str">
        <f t="shared" si="272"/>
        <v/>
      </c>
      <c r="E17437" s="626"/>
      <c r="F17437" s="626"/>
    </row>
    <row r="17438" spans="1:6">
      <c r="A17438" t="str">
        <f t="shared" si="272"/>
        <v/>
      </c>
      <c r="E17438" s="626"/>
      <c r="F17438" s="626"/>
    </row>
    <row r="17439" spans="1:6">
      <c r="A17439" t="str">
        <f t="shared" si="272"/>
        <v/>
      </c>
      <c r="E17439" s="626"/>
      <c r="F17439" s="626"/>
    </row>
    <row r="17440" spans="1:6">
      <c r="A17440" t="str">
        <f t="shared" si="272"/>
        <v/>
      </c>
      <c r="E17440" s="626"/>
      <c r="F17440" s="626"/>
    </row>
    <row r="17441" spans="1:6">
      <c r="A17441" t="str">
        <f t="shared" si="272"/>
        <v/>
      </c>
      <c r="E17441" s="626"/>
      <c r="F17441" s="626"/>
    </row>
    <row r="17442" spans="1:6">
      <c r="A17442" t="str">
        <f t="shared" si="272"/>
        <v/>
      </c>
      <c r="E17442" s="626"/>
      <c r="F17442" s="626"/>
    </row>
    <row r="17443" spans="1:6">
      <c r="A17443" t="str">
        <f t="shared" si="272"/>
        <v/>
      </c>
      <c r="E17443" s="626"/>
      <c r="F17443" s="626"/>
    </row>
    <row r="17444" spans="1:6">
      <c r="A17444" t="str">
        <f t="shared" si="272"/>
        <v/>
      </c>
      <c r="E17444" s="626"/>
      <c r="F17444" s="626"/>
    </row>
    <row r="17445" spans="1:6">
      <c r="A17445" t="str">
        <f t="shared" si="272"/>
        <v/>
      </c>
      <c r="E17445" s="626"/>
      <c r="F17445" s="626"/>
    </row>
    <row r="17446" spans="1:6">
      <c r="A17446" t="str">
        <f t="shared" si="272"/>
        <v/>
      </c>
      <c r="E17446" s="626"/>
      <c r="F17446" s="626"/>
    </row>
    <row r="17447" spans="1:6">
      <c r="A17447" t="str">
        <f t="shared" si="272"/>
        <v/>
      </c>
      <c r="E17447" s="626"/>
      <c r="F17447" s="626"/>
    </row>
    <row r="17448" spans="1:6">
      <c r="A17448" t="str">
        <f t="shared" si="272"/>
        <v/>
      </c>
      <c r="E17448" s="626"/>
      <c r="F17448" s="626"/>
    </row>
    <row r="17449" spans="1:6">
      <c r="A17449" t="str">
        <f t="shared" si="272"/>
        <v/>
      </c>
      <c r="E17449" s="626"/>
      <c r="F17449" s="626"/>
    </row>
    <row r="17450" spans="1:6">
      <c r="A17450" t="str">
        <f t="shared" si="272"/>
        <v/>
      </c>
      <c r="E17450" s="626"/>
      <c r="F17450" s="626"/>
    </row>
    <row r="17451" spans="1:6">
      <c r="A17451" t="str">
        <f t="shared" si="272"/>
        <v/>
      </c>
      <c r="E17451" s="626"/>
      <c r="F17451" s="626"/>
    </row>
    <row r="17452" spans="1:6">
      <c r="A17452" t="str">
        <f t="shared" si="272"/>
        <v/>
      </c>
      <c r="E17452" s="626"/>
      <c r="F17452" s="626"/>
    </row>
    <row r="17453" spans="1:6">
      <c r="A17453" t="str">
        <f t="shared" si="272"/>
        <v/>
      </c>
      <c r="E17453" s="626"/>
      <c r="F17453" s="626"/>
    </row>
    <row r="17454" spans="1:6">
      <c r="A17454" t="str">
        <f t="shared" si="272"/>
        <v/>
      </c>
      <c r="E17454" s="626"/>
      <c r="F17454" s="626"/>
    </row>
    <row r="17455" spans="1:6">
      <c r="A17455" t="str">
        <f t="shared" si="272"/>
        <v/>
      </c>
      <c r="E17455" s="626"/>
      <c r="F17455" s="626"/>
    </row>
    <row r="17456" spans="1:6">
      <c r="A17456" t="str">
        <f t="shared" si="272"/>
        <v/>
      </c>
      <c r="E17456" s="626"/>
      <c r="F17456" s="626"/>
    </row>
    <row r="17457" spans="1:6">
      <c r="A17457" t="str">
        <f t="shared" si="272"/>
        <v/>
      </c>
      <c r="E17457" s="626"/>
      <c r="F17457" s="626"/>
    </row>
    <row r="17458" spans="1:6">
      <c r="A17458" t="str">
        <f t="shared" si="272"/>
        <v/>
      </c>
      <c r="E17458" s="626"/>
      <c r="F17458" s="626"/>
    </row>
    <row r="17459" spans="1:6">
      <c r="A17459" t="str">
        <f t="shared" si="272"/>
        <v/>
      </c>
      <c r="E17459" s="626"/>
      <c r="F17459" s="626"/>
    </row>
    <row r="17460" spans="1:6">
      <c r="A17460" t="str">
        <f t="shared" si="272"/>
        <v/>
      </c>
      <c r="E17460" s="626"/>
      <c r="F17460" s="626"/>
    </row>
    <row r="17461" spans="1:6">
      <c r="A17461" t="str">
        <f t="shared" si="272"/>
        <v/>
      </c>
      <c r="E17461" s="626"/>
      <c r="F17461" s="626"/>
    </row>
    <row r="17462" spans="1:6">
      <c r="A17462" t="str">
        <f t="shared" si="272"/>
        <v/>
      </c>
      <c r="E17462" s="626"/>
      <c r="F17462" s="626"/>
    </row>
    <row r="17463" spans="1:6">
      <c r="A17463" t="str">
        <f t="shared" si="272"/>
        <v/>
      </c>
      <c r="E17463" s="626"/>
      <c r="F17463" s="626"/>
    </row>
    <row r="17464" spans="1:6">
      <c r="A17464" t="str">
        <f t="shared" si="272"/>
        <v/>
      </c>
      <c r="E17464" s="626"/>
      <c r="F17464" s="626"/>
    </row>
    <row r="17465" spans="1:6">
      <c r="A17465" t="str">
        <f t="shared" si="272"/>
        <v/>
      </c>
      <c r="E17465" s="626"/>
      <c r="F17465" s="626"/>
    </row>
    <row r="17466" spans="1:6">
      <c r="A17466" t="str">
        <f t="shared" si="272"/>
        <v/>
      </c>
      <c r="E17466" s="626"/>
      <c r="F17466" s="626"/>
    </row>
    <row r="17467" spans="1:6">
      <c r="A17467" t="str">
        <f t="shared" si="272"/>
        <v/>
      </c>
      <c r="E17467" s="626"/>
      <c r="F17467" s="626"/>
    </row>
    <row r="17468" spans="1:6">
      <c r="A17468" t="str">
        <f t="shared" si="272"/>
        <v/>
      </c>
      <c r="E17468" s="626"/>
      <c r="F17468" s="626"/>
    </row>
    <row r="17469" spans="1:6">
      <c r="A17469" t="str">
        <f t="shared" si="272"/>
        <v/>
      </c>
      <c r="E17469" s="626"/>
      <c r="F17469" s="626"/>
    </row>
    <row r="17470" spans="1:6">
      <c r="A17470" t="str">
        <f t="shared" si="272"/>
        <v/>
      </c>
      <c r="E17470" s="626"/>
      <c r="F17470" s="626"/>
    </row>
    <row r="17471" spans="1:6">
      <c r="A17471" t="str">
        <f t="shared" si="272"/>
        <v/>
      </c>
      <c r="E17471" s="626"/>
      <c r="F17471" s="626"/>
    </row>
    <row r="17472" spans="1:6">
      <c r="A17472" t="str">
        <f t="shared" si="272"/>
        <v/>
      </c>
      <c r="E17472" s="626"/>
      <c r="F17472" s="626"/>
    </row>
    <row r="17473" spans="1:6">
      <c r="A17473" t="str">
        <f t="shared" si="272"/>
        <v/>
      </c>
      <c r="E17473" s="626"/>
      <c r="F17473" s="626"/>
    </row>
    <row r="17474" spans="1:6">
      <c r="A17474" t="str">
        <f t="shared" ref="A17474:A17537" si="273">B17474&amp;E17474&amp;J17474</f>
        <v/>
      </c>
      <c r="E17474" s="626"/>
      <c r="F17474" s="626"/>
    </row>
    <row r="17475" spans="1:6">
      <c r="A17475" t="str">
        <f t="shared" si="273"/>
        <v/>
      </c>
      <c r="E17475" s="626"/>
      <c r="F17475" s="626"/>
    </row>
    <row r="17476" spans="1:6">
      <c r="A17476" t="str">
        <f t="shared" si="273"/>
        <v/>
      </c>
      <c r="E17476" s="626"/>
      <c r="F17476" s="626"/>
    </row>
    <row r="17477" spans="1:6">
      <c r="A17477" t="str">
        <f t="shared" si="273"/>
        <v/>
      </c>
      <c r="E17477" s="626"/>
      <c r="F17477" s="626"/>
    </row>
    <row r="17478" spans="1:6">
      <c r="A17478" t="str">
        <f t="shared" si="273"/>
        <v/>
      </c>
      <c r="E17478" s="626"/>
      <c r="F17478" s="626"/>
    </row>
    <row r="17479" spans="1:6">
      <c r="A17479" t="str">
        <f t="shared" si="273"/>
        <v/>
      </c>
      <c r="E17479" s="626"/>
      <c r="F17479" s="626"/>
    </row>
    <row r="17480" spans="1:6">
      <c r="A17480" t="str">
        <f t="shared" si="273"/>
        <v/>
      </c>
      <c r="E17480" s="626"/>
      <c r="F17480" s="626"/>
    </row>
    <row r="17481" spans="1:6">
      <c r="A17481" t="str">
        <f t="shared" si="273"/>
        <v/>
      </c>
      <c r="E17481" s="626"/>
      <c r="F17481" s="626"/>
    </row>
    <row r="17482" spans="1:6">
      <c r="A17482" t="str">
        <f t="shared" si="273"/>
        <v/>
      </c>
      <c r="E17482" s="626"/>
      <c r="F17482" s="626"/>
    </row>
    <row r="17483" spans="1:6">
      <c r="A17483" t="str">
        <f t="shared" si="273"/>
        <v/>
      </c>
      <c r="E17483" s="626"/>
      <c r="F17483" s="626"/>
    </row>
    <row r="17484" spans="1:6">
      <c r="A17484" t="str">
        <f t="shared" si="273"/>
        <v/>
      </c>
      <c r="E17484" s="626"/>
      <c r="F17484" s="626"/>
    </row>
    <row r="17485" spans="1:6">
      <c r="A17485" t="str">
        <f t="shared" si="273"/>
        <v/>
      </c>
      <c r="E17485" s="626"/>
      <c r="F17485" s="626"/>
    </row>
    <row r="17486" spans="1:6">
      <c r="A17486" t="str">
        <f t="shared" si="273"/>
        <v/>
      </c>
      <c r="E17486" s="626"/>
      <c r="F17486" s="626"/>
    </row>
    <row r="17487" spans="1:6">
      <c r="A17487" t="str">
        <f t="shared" si="273"/>
        <v/>
      </c>
      <c r="E17487" s="626"/>
      <c r="F17487" s="626"/>
    </row>
    <row r="17488" spans="1:6">
      <c r="A17488" t="str">
        <f t="shared" si="273"/>
        <v/>
      </c>
      <c r="E17488" s="626"/>
      <c r="F17488" s="626"/>
    </row>
    <row r="17489" spans="1:6">
      <c r="A17489" t="str">
        <f t="shared" si="273"/>
        <v/>
      </c>
      <c r="E17489" s="626"/>
      <c r="F17489" s="626"/>
    </row>
    <row r="17490" spans="1:6">
      <c r="A17490" t="str">
        <f t="shared" si="273"/>
        <v/>
      </c>
      <c r="E17490" s="626"/>
      <c r="F17490" s="626"/>
    </row>
    <row r="17491" spans="1:6">
      <c r="A17491" t="str">
        <f t="shared" si="273"/>
        <v/>
      </c>
      <c r="E17491" s="626"/>
      <c r="F17491" s="626"/>
    </row>
    <row r="17492" spans="1:6">
      <c r="A17492" t="str">
        <f t="shared" si="273"/>
        <v/>
      </c>
      <c r="E17492" s="626"/>
      <c r="F17492" s="626"/>
    </row>
    <row r="17493" spans="1:6">
      <c r="A17493" t="str">
        <f t="shared" si="273"/>
        <v/>
      </c>
      <c r="E17493" s="626"/>
      <c r="F17493" s="626"/>
    </row>
    <row r="17494" spans="1:6">
      <c r="A17494" t="str">
        <f t="shared" si="273"/>
        <v/>
      </c>
      <c r="E17494" s="626"/>
      <c r="F17494" s="626"/>
    </row>
    <row r="17495" spans="1:6">
      <c r="A17495" t="str">
        <f t="shared" si="273"/>
        <v/>
      </c>
      <c r="E17495" s="626"/>
      <c r="F17495" s="626"/>
    </row>
    <row r="17496" spans="1:6">
      <c r="A17496" t="str">
        <f t="shared" si="273"/>
        <v/>
      </c>
      <c r="E17496" s="626"/>
      <c r="F17496" s="626"/>
    </row>
    <row r="17497" spans="1:6">
      <c r="A17497" t="str">
        <f t="shared" si="273"/>
        <v/>
      </c>
      <c r="E17497" s="626"/>
      <c r="F17497" s="626"/>
    </row>
    <row r="17498" spans="1:6">
      <c r="A17498" t="str">
        <f t="shared" si="273"/>
        <v/>
      </c>
      <c r="E17498" s="626"/>
      <c r="F17498" s="626"/>
    </row>
    <row r="17499" spans="1:6">
      <c r="A17499" t="str">
        <f t="shared" si="273"/>
        <v/>
      </c>
      <c r="E17499" s="626"/>
      <c r="F17499" s="626"/>
    </row>
    <row r="17500" spans="1:6">
      <c r="A17500" t="str">
        <f t="shared" si="273"/>
        <v/>
      </c>
      <c r="E17500" s="626"/>
      <c r="F17500" s="626"/>
    </row>
    <row r="17501" spans="1:6">
      <c r="A17501" t="str">
        <f t="shared" si="273"/>
        <v/>
      </c>
      <c r="E17501" s="626"/>
      <c r="F17501" s="626"/>
    </row>
    <row r="17502" spans="1:6">
      <c r="A17502" t="str">
        <f t="shared" si="273"/>
        <v/>
      </c>
      <c r="E17502" s="626"/>
      <c r="F17502" s="626"/>
    </row>
    <row r="17503" spans="1:6">
      <c r="A17503" t="str">
        <f t="shared" si="273"/>
        <v/>
      </c>
      <c r="E17503" s="626"/>
      <c r="F17503" s="626"/>
    </row>
    <row r="17504" spans="1:6">
      <c r="A17504" t="str">
        <f t="shared" si="273"/>
        <v/>
      </c>
      <c r="E17504" s="626"/>
      <c r="F17504" s="626"/>
    </row>
    <row r="17505" spans="1:6">
      <c r="A17505" t="str">
        <f t="shared" si="273"/>
        <v/>
      </c>
      <c r="E17505" s="626"/>
      <c r="F17505" s="626"/>
    </row>
    <row r="17506" spans="1:6">
      <c r="A17506" t="str">
        <f t="shared" si="273"/>
        <v/>
      </c>
      <c r="E17506" s="626"/>
      <c r="F17506" s="626"/>
    </row>
    <row r="17507" spans="1:6">
      <c r="A17507" t="str">
        <f t="shared" si="273"/>
        <v/>
      </c>
      <c r="E17507" s="626"/>
      <c r="F17507" s="626"/>
    </row>
    <row r="17508" spans="1:6">
      <c r="A17508" t="str">
        <f t="shared" si="273"/>
        <v/>
      </c>
      <c r="E17508" s="626"/>
      <c r="F17508" s="626"/>
    </row>
    <row r="17509" spans="1:6">
      <c r="A17509" t="str">
        <f t="shared" si="273"/>
        <v/>
      </c>
      <c r="E17509" s="626"/>
      <c r="F17509" s="626"/>
    </row>
    <row r="17510" spans="1:6">
      <c r="A17510" t="str">
        <f t="shared" si="273"/>
        <v/>
      </c>
      <c r="E17510" s="626"/>
      <c r="F17510" s="626"/>
    </row>
    <row r="17511" spans="1:6">
      <c r="A17511" t="str">
        <f t="shared" si="273"/>
        <v/>
      </c>
      <c r="E17511" s="626"/>
      <c r="F17511" s="626"/>
    </row>
    <row r="17512" spans="1:6">
      <c r="A17512" t="str">
        <f t="shared" si="273"/>
        <v/>
      </c>
      <c r="E17512" s="626"/>
      <c r="F17512" s="626"/>
    </row>
    <row r="17513" spans="1:6">
      <c r="A17513" t="str">
        <f t="shared" si="273"/>
        <v/>
      </c>
      <c r="E17513" s="626"/>
      <c r="F17513" s="626"/>
    </row>
    <row r="17514" spans="1:6">
      <c r="A17514" t="str">
        <f t="shared" si="273"/>
        <v/>
      </c>
      <c r="E17514" s="626"/>
      <c r="F17514" s="626"/>
    </row>
    <row r="17515" spans="1:6">
      <c r="A17515" t="str">
        <f t="shared" si="273"/>
        <v/>
      </c>
      <c r="E17515" s="626"/>
      <c r="F17515" s="626"/>
    </row>
    <row r="17516" spans="1:6">
      <c r="A17516" t="str">
        <f t="shared" si="273"/>
        <v/>
      </c>
      <c r="E17516" s="626"/>
      <c r="F17516" s="626"/>
    </row>
    <row r="17517" spans="1:6">
      <c r="A17517" t="str">
        <f t="shared" si="273"/>
        <v/>
      </c>
      <c r="E17517" s="626"/>
      <c r="F17517" s="626"/>
    </row>
    <row r="17518" spans="1:6">
      <c r="A17518" t="str">
        <f t="shared" si="273"/>
        <v/>
      </c>
      <c r="E17518" s="626"/>
      <c r="F17518" s="626"/>
    </row>
    <row r="17519" spans="1:6">
      <c r="A17519" t="str">
        <f t="shared" si="273"/>
        <v/>
      </c>
      <c r="E17519" s="626"/>
      <c r="F17519" s="626"/>
    </row>
    <row r="17520" spans="1:6">
      <c r="A17520" t="str">
        <f t="shared" si="273"/>
        <v/>
      </c>
      <c r="E17520" s="626"/>
      <c r="F17520" s="626"/>
    </row>
    <row r="17521" spans="1:6">
      <c r="A17521" t="str">
        <f t="shared" si="273"/>
        <v/>
      </c>
      <c r="E17521" s="626"/>
      <c r="F17521" s="626"/>
    </row>
    <row r="17522" spans="1:6">
      <c r="A17522" t="str">
        <f t="shared" si="273"/>
        <v/>
      </c>
      <c r="E17522" s="626"/>
      <c r="F17522" s="626"/>
    </row>
    <row r="17523" spans="1:6">
      <c r="A17523" t="str">
        <f t="shared" si="273"/>
        <v/>
      </c>
      <c r="E17523" s="626"/>
      <c r="F17523" s="626"/>
    </row>
    <row r="17524" spans="1:6">
      <c r="A17524" t="str">
        <f t="shared" si="273"/>
        <v/>
      </c>
      <c r="E17524" s="626"/>
      <c r="F17524" s="626"/>
    </row>
    <row r="17525" spans="1:6">
      <c r="A17525" t="str">
        <f t="shared" si="273"/>
        <v/>
      </c>
      <c r="E17525" s="626"/>
      <c r="F17525" s="626"/>
    </row>
    <row r="17526" spans="1:6">
      <c r="A17526" t="str">
        <f t="shared" si="273"/>
        <v/>
      </c>
      <c r="E17526" s="626"/>
      <c r="F17526" s="626"/>
    </row>
    <row r="17527" spans="1:6">
      <c r="A17527" t="str">
        <f t="shared" si="273"/>
        <v/>
      </c>
      <c r="E17527" s="626"/>
      <c r="F17527" s="626"/>
    </row>
    <row r="17528" spans="1:6">
      <c r="A17528" t="str">
        <f t="shared" si="273"/>
        <v/>
      </c>
      <c r="E17528" s="626"/>
      <c r="F17528" s="626"/>
    </row>
    <row r="17529" spans="1:6">
      <c r="A17529" t="str">
        <f t="shared" si="273"/>
        <v/>
      </c>
      <c r="E17529" s="626"/>
      <c r="F17529" s="626"/>
    </row>
    <row r="17530" spans="1:6">
      <c r="A17530" t="str">
        <f t="shared" si="273"/>
        <v/>
      </c>
      <c r="E17530" s="626"/>
      <c r="F17530" s="626"/>
    </row>
    <row r="17531" spans="1:6">
      <c r="A17531" t="str">
        <f t="shared" si="273"/>
        <v/>
      </c>
      <c r="E17531" s="626"/>
      <c r="F17531" s="626"/>
    </row>
    <row r="17532" spans="1:6">
      <c r="A17532" t="str">
        <f t="shared" si="273"/>
        <v/>
      </c>
      <c r="E17532" s="626"/>
      <c r="F17532" s="626"/>
    </row>
    <row r="17533" spans="1:6">
      <c r="A17533" t="str">
        <f t="shared" si="273"/>
        <v/>
      </c>
      <c r="E17533" s="626"/>
      <c r="F17533" s="626"/>
    </row>
    <row r="17534" spans="1:6">
      <c r="A17534" t="str">
        <f t="shared" si="273"/>
        <v/>
      </c>
      <c r="E17534" s="626"/>
      <c r="F17534" s="626"/>
    </row>
    <row r="17535" spans="1:6">
      <c r="A17535" t="str">
        <f t="shared" si="273"/>
        <v/>
      </c>
      <c r="E17535" s="626"/>
      <c r="F17535" s="626"/>
    </row>
    <row r="17536" spans="1:6">
      <c r="A17536" t="str">
        <f t="shared" si="273"/>
        <v/>
      </c>
      <c r="E17536" s="626"/>
      <c r="F17536" s="626"/>
    </row>
    <row r="17537" spans="1:6">
      <c r="A17537" t="str">
        <f t="shared" si="273"/>
        <v/>
      </c>
      <c r="E17537" s="626"/>
      <c r="F17537" s="626"/>
    </row>
    <row r="17538" spans="1:6">
      <c r="A17538" t="str">
        <f t="shared" ref="A17538:A17601" si="274">B17538&amp;E17538&amp;J17538</f>
        <v/>
      </c>
      <c r="E17538" s="626"/>
      <c r="F17538" s="626"/>
    </row>
    <row r="17539" spans="1:6">
      <c r="A17539" t="str">
        <f t="shared" si="274"/>
        <v/>
      </c>
      <c r="E17539" s="626"/>
      <c r="F17539" s="626"/>
    </row>
    <row r="17540" spans="1:6">
      <c r="A17540" t="str">
        <f t="shared" si="274"/>
        <v/>
      </c>
      <c r="E17540" s="626"/>
      <c r="F17540" s="626"/>
    </row>
    <row r="17541" spans="1:6">
      <c r="A17541" t="str">
        <f t="shared" si="274"/>
        <v/>
      </c>
      <c r="E17541" s="626"/>
      <c r="F17541" s="626"/>
    </row>
    <row r="17542" spans="1:6">
      <c r="A17542" t="str">
        <f t="shared" si="274"/>
        <v/>
      </c>
      <c r="E17542" s="626"/>
      <c r="F17542" s="626"/>
    </row>
    <row r="17543" spans="1:6">
      <c r="A17543" t="str">
        <f t="shared" si="274"/>
        <v/>
      </c>
      <c r="E17543" s="626"/>
      <c r="F17543" s="626"/>
    </row>
    <row r="17544" spans="1:6">
      <c r="A17544" t="str">
        <f t="shared" si="274"/>
        <v/>
      </c>
      <c r="E17544" s="626"/>
      <c r="F17544" s="626"/>
    </row>
    <row r="17545" spans="1:6">
      <c r="A17545" t="str">
        <f t="shared" si="274"/>
        <v/>
      </c>
      <c r="E17545" s="626"/>
      <c r="F17545" s="626"/>
    </row>
    <row r="17546" spans="1:6">
      <c r="A17546" t="str">
        <f t="shared" si="274"/>
        <v/>
      </c>
      <c r="E17546" s="626"/>
      <c r="F17546" s="626"/>
    </row>
    <row r="17547" spans="1:6">
      <c r="A17547" t="str">
        <f t="shared" si="274"/>
        <v/>
      </c>
      <c r="E17547" s="626"/>
      <c r="F17547" s="626"/>
    </row>
    <row r="17548" spans="1:6">
      <c r="A17548" t="str">
        <f t="shared" si="274"/>
        <v/>
      </c>
      <c r="E17548" s="626"/>
      <c r="F17548" s="626"/>
    </row>
    <row r="17549" spans="1:6">
      <c r="A17549" t="str">
        <f t="shared" si="274"/>
        <v/>
      </c>
      <c r="E17549" s="626"/>
      <c r="F17549" s="626"/>
    </row>
    <row r="17550" spans="1:6">
      <c r="A17550" t="str">
        <f t="shared" si="274"/>
        <v/>
      </c>
      <c r="E17550" s="626"/>
      <c r="F17550" s="626"/>
    </row>
    <row r="17551" spans="1:6">
      <c r="A17551" t="str">
        <f t="shared" si="274"/>
        <v/>
      </c>
      <c r="E17551" s="626"/>
      <c r="F17551" s="626"/>
    </row>
    <row r="17552" spans="1:6">
      <c r="A17552" t="str">
        <f t="shared" si="274"/>
        <v/>
      </c>
      <c r="E17552" s="626"/>
      <c r="F17552" s="626"/>
    </row>
    <row r="17553" spans="1:6">
      <c r="A17553" t="str">
        <f t="shared" si="274"/>
        <v/>
      </c>
      <c r="E17553" s="626"/>
      <c r="F17553" s="626"/>
    </row>
    <row r="17554" spans="1:6">
      <c r="A17554" t="str">
        <f t="shared" si="274"/>
        <v/>
      </c>
      <c r="E17554" s="626"/>
      <c r="F17554" s="626"/>
    </row>
    <row r="17555" spans="1:6">
      <c r="A17555" t="str">
        <f t="shared" si="274"/>
        <v/>
      </c>
      <c r="E17555" s="626"/>
      <c r="F17555" s="626"/>
    </row>
    <row r="17556" spans="1:6">
      <c r="A17556" t="str">
        <f t="shared" si="274"/>
        <v/>
      </c>
      <c r="E17556" s="626"/>
      <c r="F17556" s="626"/>
    </row>
    <row r="17557" spans="1:6">
      <c r="A17557" t="str">
        <f t="shared" si="274"/>
        <v/>
      </c>
      <c r="E17557" s="626"/>
      <c r="F17557" s="626"/>
    </row>
    <row r="17558" spans="1:6">
      <c r="A17558" t="str">
        <f t="shared" si="274"/>
        <v/>
      </c>
      <c r="E17558" s="626"/>
      <c r="F17558" s="626"/>
    </row>
    <row r="17559" spans="1:6">
      <c r="A17559" t="str">
        <f t="shared" si="274"/>
        <v/>
      </c>
      <c r="E17559" s="626"/>
      <c r="F17559" s="626"/>
    </row>
    <row r="17560" spans="1:6">
      <c r="A17560" t="str">
        <f t="shared" si="274"/>
        <v/>
      </c>
      <c r="E17560" s="626"/>
      <c r="F17560" s="626"/>
    </row>
    <row r="17561" spans="1:6">
      <c r="A17561" t="str">
        <f t="shared" si="274"/>
        <v/>
      </c>
      <c r="E17561" s="626"/>
      <c r="F17561" s="626"/>
    </row>
    <row r="17562" spans="1:6">
      <c r="A17562" t="str">
        <f t="shared" si="274"/>
        <v/>
      </c>
      <c r="E17562" s="626"/>
      <c r="F17562" s="626"/>
    </row>
    <row r="17563" spans="1:6">
      <c r="A17563" t="str">
        <f t="shared" si="274"/>
        <v/>
      </c>
      <c r="E17563" s="626"/>
      <c r="F17563" s="626"/>
    </row>
    <row r="17564" spans="1:6">
      <c r="A17564" t="str">
        <f t="shared" si="274"/>
        <v/>
      </c>
      <c r="E17564" s="626"/>
      <c r="F17564" s="626"/>
    </row>
    <row r="17565" spans="1:6">
      <c r="A17565" t="str">
        <f t="shared" si="274"/>
        <v/>
      </c>
      <c r="E17565" s="626"/>
      <c r="F17565" s="626"/>
    </row>
    <row r="17566" spans="1:6">
      <c r="A17566" t="str">
        <f t="shared" si="274"/>
        <v/>
      </c>
      <c r="E17566" s="626"/>
      <c r="F17566" s="626"/>
    </row>
    <row r="17567" spans="1:6">
      <c r="A17567" t="str">
        <f t="shared" si="274"/>
        <v/>
      </c>
      <c r="E17567" s="626"/>
      <c r="F17567" s="626"/>
    </row>
    <row r="17568" spans="1:6">
      <c r="A17568" t="str">
        <f t="shared" si="274"/>
        <v/>
      </c>
      <c r="E17568" s="626"/>
      <c r="F17568" s="626"/>
    </row>
    <row r="17569" spans="1:6">
      <c r="A17569" t="str">
        <f t="shared" si="274"/>
        <v/>
      </c>
      <c r="E17569" s="626"/>
      <c r="F17569" s="626"/>
    </row>
    <row r="17570" spans="1:6">
      <c r="A17570" t="str">
        <f t="shared" si="274"/>
        <v/>
      </c>
      <c r="E17570" s="626"/>
      <c r="F17570" s="626"/>
    </row>
    <row r="17571" spans="1:6">
      <c r="A17571" t="str">
        <f t="shared" si="274"/>
        <v/>
      </c>
      <c r="E17571" s="626"/>
      <c r="F17571" s="626"/>
    </row>
    <row r="17572" spans="1:6">
      <c r="A17572" t="str">
        <f t="shared" si="274"/>
        <v/>
      </c>
      <c r="E17572" s="626"/>
      <c r="F17572" s="626"/>
    </row>
    <row r="17573" spans="1:6">
      <c r="A17573" t="str">
        <f t="shared" si="274"/>
        <v/>
      </c>
      <c r="E17573" s="626"/>
      <c r="F17573" s="626"/>
    </row>
    <row r="17574" spans="1:6">
      <c r="A17574" t="str">
        <f t="shared" si="274"/>
        <v/>
      </c>
      <c r="E17574" s="626"/>
      <c r="F17574" s="626"/>
    </row>
    <row r="17575" spans="1:6">
      <c r="A17575" t="str">
        <f t="shared" si="274"/>
        <v/>
      </c>
      <c r="E17575" s="626"/>
      <c r="F17575" s="626"/>
    </row>
    <row r="17576" spans="1:6">
      <c r="A17576" t="str">
        <f t="shared" si="274"/>
        <v/>
      </c>
      <c r="E17576" s="626"/>
      <c r="F17576" s="626"/>
    </row>
    <row r="17577" spans="1:6">
      <c r="A17577" t="str">
        <f t="shared" si="274"/>
        <v/>
      </c>
      <c r="E17577" s="626"/>
      <c r="F17577" s="626"/>
    </row>
    <row r="17578" spans="1:6">
      <c r="A17578" t="str">
        <f t="shared" si="274"/>
        <v/>
      </c>
      <c r="E17578" s="626"/>
      <c r="F17578" s="626"/>
    </row>
    <row r="17579" spans="1:6">
      <c r="A17579" t="str">
        <f t="shared" si="274"/>
        <v/>
      </c>
      <c r="E17579" s="626"/>
      <c r="F17579" s="626"/>
    </row>
    <row r="17580" spans="1:6">
      <c r="A17580" t="str">
        <f t="shared" si="274"/>
        <v/>
      </c>
      <c r="E17580" s="626"/>
      <c r="F17580" s="626"/>
    </row>
    <row r="17581" spans="1:6">
      <c r="A17581" t="str">
        <f t="shared" si="274"/>
        <v/>
      </c>
      <c r="E17581" s="626"/>
      <c r="F17581" s="626"/>
    </row>
    <row r="17582" spans="1:6">
      <c r="A17582" t="str">
        <f t="shared" si="274"/>
        <v/>
      </c>
      <c r="E17582" s="626"/>
      <c r="F17582" s="626"/>
    </row>
    <row r="17583" spans="1:6">
      <c r="A17583" t="str">
        <f t="shared" si="274"/>
        <v/>
      </c>
      <c r="E17583" s="626"/>
      <c r="F17583" s="626"/>
    </row>
    <row r="17584" spans="1:6">
      <c r="A17584" t="str">
        <f t="shared" si="274"/>
        <v/>
      </c>
      <c r="E17584" s="626"/>
      <c r="F17584" s="626"/>
    </row>
    <row r="17585" spans="1:6">
      <c r="A17585" t="str">
        <f t="shared" si="274"/>
        <v/>
      </c>
      <c r="E17585" s="626"/>
      <c r="F17585" s="626"/>
    </row>
    <row r="17586" spans="1:6">
      <c r="A17586" t="str">
        <f t="shared" si="274"/>
        <v/>
      </c>
      <c r="E17586" s="626"/>
      <c r="F17586" s="626"/>
    </row>
    <row r="17587" spans="1:6">
      <c r="A17587" t="str">
        <f t="shared" si="274"/>
        <v/>
      </c>
      <c r="E17587" s="626"/>
      <c r="F17587" s="626"/>
    </row>
    <row r="17588" spans="1:6">
      <c r="A17588" t="str">
        <f t="shared" si="274"/>
        <v/>
      </c>
      <c r="E17588" s="626"/>
      <c r="F17588" s="626"/>
    </row>
    <row r="17589" spans="1:6">
      <c r="A17589" t="str">
        <f t="shared" si="274"/>
        <v/>
      </c>
      <c r="E17589" s="626"/>
      <c r="F17589" s="626"/>
    </row>
    <row r="17590" spans="1:6">
      <c r="A17590" t="str">
        <f t="shared" si="274"/>
        <v/>
      </c>
      <c r="E17590" s="626"/>
      <c r="F17590" s="626"/>
    </row>
    <row r="17591" spans="1:6">
      <c r="A17591" t="str">
        <f t="shared" si="274"/>
        <v/>
      </c>
      <c r="E17591" s="626"/>
      <c r="F17591" s="626"/>
    </row>
    <row r="17592" spans="1:6">
      <c r="A17592" t="str">
        <f t="shared" si="274"/>
        <v/>
      </c>
      <c r="E17592" s="626"/>
      <c r="F17592" s="626"/>
    </row>
    <row r="17593" spans="1:6">
      <c r="A17593" t="str">
        <f t="shared" si="274"/>
        <v/>
      </c>
      <c r="E17593" s="626"/>
      <c r="F17593" s="626"/>
    </row>
    <row r="17594" spans="1:6">
      <c r="A17594" t="str">
        <f t="shared" si="274"/>
        <v/>
      </c>
      <c r="E17594" s="626"/>
      <c r="F17594" s="626"/>
    </row>
    <row r="17595" spans="1:6">
      <c r="A17595" t="str">
        <f t="shared" si="274"/>
        <v/>
      </c>
      <c r="E17595" s="626"/>
      <c r="F17595" s="626"/>
    </row>
    <row r="17596" spans="1:6">
      <c r="A17596" t="str">
        <f t="shared" si="274"/>
        <v/>
      </c>
      <c r="E17596" s="626"/>
      <c r="F17596" s="626"/>
    </row>
    <row r="17597" spans="1:6">
      <c r="A17597" t="str">
        <f t="shared" si="274"/>
        <v/>
      </c>
      <c r="E17597" s="626"/>
      <c r="F17597" s="626"/>
    </row>
    <row r="17598" spans="1:6">
      <c r="A17598" t="str">
        <f t="shared" si="274"/>
        <v/>
      </c>
      <c r="E17598" s="626"/>
      <c r="F17598" s="626"/>
    </row>
    <row r="17599" spans="1:6">
      <c r="A17599" t="str">
        <f t="shared" si="274"/>
        <v/>
      </c>
      <c r="E17599" s="626"/>
      <c r="F17599" s="626"/>
    </row>
    <row r="17600" spans="1:6">
      <c r="A17600" t="str">
        <f t="shared" si="274"/>
        <v/>
      </c>
      <c r="E17600" s="626"/>
      <c r="F17600" s="626"/>
    </row>
    <row r="17601" spans="1:6">
      <c r="A17601" t="str">
        <f t="shared" si="274"/>
        <v/>
      </c>
      <c r="E17601" s="626"/>
      <c r="F17601" s="626"/>
    </row>
    <row r="17602" spans="1:6">
      <c r="A17602" t="str">
        <f t="shared" ref="A17602:A17665" si="275">B17602&amp;E17602&amp;J17602</f>
        <v/>
      </c>
      <c r="E17602" s="626"/>
      <c r="F17602" s="626"/>
    </row>
    <row r="17603" spans="1:6">
      <c r="A17603" t="str">
        <f t="shared" si="275"/>
        <v/>
      </c>
      <c r="E17603" s="626"/>
      <c r="F17603" s="626"/>
    </row>
    <row r="17604" spans="1:6">
      <c r="A17604" t="str">
        <f t="shared" si="275"/>
        <v/>
      </c>
      <c r="E17604" s="626"/>
      <c r="F17604" s="626"/>
    </row>
    <row r="17605" spans="1:6">
      <c r="A17605" t="str">
        <f t="shared" si="275"/>
        <v/>
      </c>
      <c r="E17605" s="626"/>
      <c r="F17605" s="626"/>
    </row>
    <row r="17606" spans="1:6">
      <c r="A17606" t="str">
        <f t="shared" si="275"/>
        <v/>
      </c>
      <c r="E17606" s="626"/>
      <c r="F17606" s="626"/>
    </row>
    <row r="17607" spans="1:6">
      <c r="A17607" t="str">
        <f t="shared" si="275"/>
        <v/>
      </c>
      <c r="E17607" s="626"/>
      <c r="F17607" s="626"/>
    </row>
    <row r="17608" spans="1:6">
      <c r="A17608" t="str">
        <f t="shared" si="275"/>
        <v/>
      </c>
      <c r="E17608" s="626"/>
      <c r="F17608" s="626"/>
    </row>
    <row r="17609" spans="1:6">
      <c r="A17609" t="str">
        <f t="shared" si="275"/>
        <v/>
      </c>
      <c r="E17609" s="626"/>
      <c r="F17609" s="626"/>
    </row>
    <row r="17610" spans="1:6">
      <c r="A17610" t="str">
        <f t="shared" si="275"/>
        <v/>
      </c>
      <c r="E17610" s="626"/>
      <c r="F17610" s="626"/>
    </row>
    <row r="17611" spans="1:6">
      <c r="A17611" t="str">
        <f t="shared" si="275"/>
        <v/>
      </c>
      <c r="E17611" s="626"/>
      <c r="F17611" s="626"/>
    </row>
    <row r="17612" spans="1:6">
      <c r="A17612" t="str">
        <f t="shared" si="275"/>
        <v/>
      </c>
      <c r="E17612" s="626"/>
      <c r="F17612" s="626"/>
    </row>
    <row r="17613" spans="1:6">
      <c r="A17613" t="str">
        <f t="shared" si="275"/>
        <v/>
      </c>
      <c r="E17613" s="626"/>
      <c r="F17613" s="626"/>
    </row>
    <row r="17614" spans="1:6">
      <c r="A17614" t="str">
        <f t="shared" si="275"/>
        <v/>
      </c>
      <c r="E17614" s="626"/>
      <c r="F17614" s="626"/>
    </row>
    <row r="17615" spans="1:6">
      <c r="A17615" t="str">
        <f t="shared" si="275"/>
        <v/>
      </c>
      <c r="E17615" s="626"/>
      <c r="F17615" s="626"/>
    </row>
    <row r="17616" spans="1:6">
      <c r="A17616" t="str">
        <f t="shared" si="275"/>
        <v/>
      </c>
      <c r="E17616" s="626"/>
      <c r="F17616" s="626"/>
    </row>
    <row r="17617" spans="1:6">
      <c r="A17617" t="str">
        <f t="shared" si="275"/>
        <v/>
      </c>
      <c r="E17617" s="626"/>
      <c r="F17617" s="626"/>
    </row>
    <row r="17618" spans="1:6">
      <c r="A17618" t="str">
        <f t="shared" si="275"/>
        <v/>
      </c>
      <c r="E17618" s="626"/>
      <c r="F17618" s="626"/>
    </row>
    <row r="17619" spans="1:6">
      <c r="A17619" t="str">
        <f t="shared" si="275"/>
        <v/>
      </c>
      <c r="E17619" s="626"/>
      <c r="F17619" s="626"/>
    </row>
    <row r="17620" spans="1:6">
      <c r="A17620" t="str">
        <f t="shared" si="275"/>
        <v/>
      </c>
      <c r="E17620" s="626"/>
      <c r="F17620" s="626"/>
    </row>
    <row r="17621" spans="1:6">
      <c r="A17621" t="str">
        <f t="shared" si="275"/>
        <v/>
      </c>
      <c r="E17621" s="626"/>
      <c r="F17621" s="626"/>
    </row>
    <row r="17622" spans="1:6">
      <c r="A17622" t="str">
        <f t="shared" si="275"/>
        <v/>
      </c>
      <c r="E17622" s="626"/>
      <c r="F17622" s="626"/>
    </row>
    <row r="17623" spans="1:6">
      <c r="A17623" t="str">
        <f t="shared" si="275"/>
        <v/>
      </c>
      <c r="E17623" s="626"/>
      <c r="F17623" s="626"/>
    </row>
    <row r="17624" spans="1:6">
      <c r="A17624" t="str">
        <f t="shared" si="275"/>
        <v/>
      </c>
      <c r="E17624" s="626"/>
      <c r="F17624" s="626"/>
    </row>
    <row r="17625" spans="1:6">
      <c r="A17625" t="str">
        <f t="shared" si="275"/>
        <v/>
      </c>
      <c r="E17625" s="626"/>
      <c r="F17625" s="626"/>
    </row>
    <row r="17626" spans="1:6">
      <c r="A17626" t="str">
        <f t="shared" si="275"/>
        <v/>
      </c>
      <c r="E17626" s="626"/>
      <c r="F17626" s="626"/>
    </row>
    <row r="17627" spans="1:6">
      <c r="A17627" t="str">
        <f t="shared" si="275"/>
        <v/>
      </c>
      <c r="E17627" s="626"/>
      <c r="F17627" s="626"/>
    </row>
    <row r="17628" spans="1:6">
      <c r="A17628" t="str">
        <f t="shared" si="275"/>
        <v/>
      </c>
      <c r="E17628" s="626"/>
      <c r="F17628" s="626"/>
    </row>
    <row r="17629" spans="1:6">
      <c r="A17629" t="str">
        <f t="shared" si="275"/>
        <v/>
      </c>
      <c r="E17629" s="626"/>
      <c r="F17629" s="626"/>
    </row>
    <row r="17630" spans="1:6">
      <c r="A17630" t="str">
        <f t="shared" si="275"/>
        <v/>
      </c>
      <c r="E17630" s="626"/>
      <c r="F17630" s="626"/>
    </row>
    <row r="17631" spans="1:6">
      <c r="A17631" t="str">
        <f t="shared" si="275"/>
        <v/>
      </c>
      <c r="E17631" s="626"/>
      <c r="F17631" s="626"/>
    </row>
    <row r="17632" spans="1:6">
      <c r="A17632" t="str">
        <f t="shared" si="275"/>
        <v/>
      </c>
      <c r="E17632" s="626"/>
      <c r="F17632" s="626"/>
    </row>
    <row r="17633" spans="1:6">
      <c r="A17633" t="str">
        <f t="shared" si="275"/>
        <v/>
      </c>
      <c r="E17633" s="626"/>
      <c r="F17633" s="626"/>
    </row>
    <row r="17634" spans="1:6">
      <c r="A17634" t="str">
        <f t="shared" si="275"/>
        <v/>
      </c>
      <c r="E17634" s="626"/>
      <c r="F17634" s="626"/>
    </row>
    <row r="17635" spans="1:6">
      <c r="A17635" t="str">
        <f t="shared" si="275"/>
        <v/>
      </c>
      <c r="E17635" s="626"/>
      <c r="F17635" s="626"/>
    </row>
    <row r="17636" spans="1:6">
      <c r="A17636" t="str">
        <f t="shared" si="275"/>
        <v/>
      </c>
      <c r="E17636" s="626"/>
      <c r="F17636" s="626"/>
    </row>
    <row r="17637" spans="1:6">
      <c r="A17637" t="str">
        <f t="shared" si="275"/>
        <v/>
      </c>
      <c r="E17637" s="626"/>
      <c r="F17637" s="626"/>
    </row>
    <row r="17638" spans="1:6">
      <c r="A17638" t="str">
        <f t="shared" si="275"/>
        <v/>
      </c>
      <c r="E17638" s="626"/>
      <c r="F17638" s="626"/>
    </row>
    <row r="17639" spans="1:6">
      <c r="A17639" t="str">
        <f t="shared" si="275"/>
        <v/>
      </c>
      <c r="E17639" s="626"/>
      <c r="F17639" s="626"/>
    </row>
    <row r="17640" spans="1:6">
      <c r="A17640" t="str">
        <f t="shared" si="275"/>
        <v/>
      </c>
      <c r="E17640" s="626"/>
      <c r="F17640" s="626"/>
    </row>
    <row r="17641" spans="1:6">
      <c r="A17641" t="str">
        <f t="shared" si="275"/>
        <v/>
      </c>
      <c r="E17641" s="626"/>
      <c r="F17641" s="626"/>
    </row>
    <row r="17642" spans="1:6">
      <c r="A17642" t="str">
        <f t="shared" si="275"/>
        <v/>
      </c>
      <c r="E17642" s="626"/>
      <c r="F17642" s="626"/>
    </row>
    <row r="17643" spans="1:6">
      <c r="A17643" t="str">
        <f t="shared" si="275"/>
        <v/>
      </c>
      <c r="E17643" s="626"/>
      <c r="F17643" s="626"/>
    </row>
    <row r="17644" spans="1:6">
      <c r="A17644" t="str">
        <f t="shared" si="275"/>
        <v/>
      </c>
      <c r="E17644" s="626"/>
      <c r="F17644" s="626"/>
    </row>
    <row r="17645" spans="1:6">
      <c r="A17645" t="str">
        <f t="shared" si="275"/>
        <v/>
      </c>
      <c r="E17645" s="626"/>
      <c r="F17645" s="626"/>
    </row>
    <row r="17646" spans="1:6">
      <c r="A17646" t="str">
        <f t="shared" si="275"/>
        <v/>
      </c>
      <c r="E17646" s="626"/>
      <c r="F17646" s="626"/>
    </row>
    <row r="17647" spans="1:6">
      <c r="A17647" t="str">
        <f t="shared" si="275"/>
        <v/>
      </c>
      <c r="E17647" s="626"/>
      <c r="F17647" s="626"/>
    </row>
    <row r="17648" spans="1:6">
      <c r="A17648" t="str">
        <f t="shared" si="275"/>
        <v/>
      </c>
      <c r="E17648" s="626"/>
      <c r="F17648" s="626"/>
    </row>
    <row r="17649" spans="1:6">
      <c r="A17649" t="str">
        <f t="shared" si="275"/>
        <v/>
      </c>
      <c r="E17649" s="626"/>
      <c r="F17649" s="626"/>
    </row>
    <row r="17650" spans="1:6">
      <c r="A17650" t="str">
        <f t="shared" si="275"/>
        <v/>
      </c>
      <c r="E17650" s="626"/>
      <c r="F17650" s="626"/>
    </row>
    <row r="17651" spans="1:6">
      <c r="A17651" t="str">
        <f t="shared" si="275"/>
        <v/>
      </c>
      <c r="E17651" s="626"/>
      <c r="F17651" s="626"/>
    </row>
    <row r="17652" spans="1:6">
      <c r="A17652" t="str">
        <f t="shared" si="275"/>
        <v/>
      </c>
      <c r="E17652" s="626"/>
      <c r="F17652" s="626"/>
    </row>
    <row r="17653" spans="1:6">
      <c r="A17653" t="str">
        <f t="shared" si="275"/>
        <v/>
      </c>
      <c r="E17653" s="626"/>
      <c r="F17653" s="626"/>
    </row>
    <row r="17654" spans="1:6">
      <c r="A17654" t="str">
        <f t="shared" si="275"/>
        <v/>
      </c>
      <c r="E17654" s="626"/>
      <c r="F17654" s="626"/>
    </row>
    <row r="17655" spans="1:6">
      <c r="A17655" t="str">
        <f t="shared" si="275"/>
        <v/>
      </c>
      <c r="E17655" s="626"/>
      <c r="F17655" s="626"/>
    </row>
    <row r="17656" spans="1:6">
      <c r="A17656" t="str">
        <f t="shared" si="275"/>
        <v/>
      </c>
      <c r="E17656" s="626"/>
      <c r="F17656" s="626"/>
    </row>
    <row r="17657" spans="1:6">
      <c r="A17657" t="str">
        <f t="shared" si="275"/>
        <v/>
      </c>
      <c r="E17657" s="626"/>
      <c r="F17657" s="626"/>
    </row>
    <row r="17658" spans="1:6">
      <c r="A17658" t="str">
        <f t="shared" si="275"/>
        <v/>
      </c>
      <c r="E17658" s="626"/>
      <c r="F17658" s="626"/>
    </row>
    <row r="17659" spans="1:6">
      <c r="A17659" t="str">
        <f t="shared" si="275"/>
        <v/>
      </c>
      <c r="E17659" s="626"/>
      <c r="F17659" s="626"/>
    </row>
    <row r="17660" spans="1:6">
      <c r="A17660" t="str">
        <f t="shared" si="275"/>
        <v/>
      </c>
      <c r="E17660" s="626"/>
      <c r="F17660" s="626"/>
    </row>
    <row r="17661" spans="1:6">
      <c r="A17661" t="str">
        <f t="shared" si="275"/>
        <v/>
      </c>
      <c r="E17661" s="626"/>
      <c r="F17661" s="626"/>
    </row>
    <row r="17662" spans="1:6">
      <c r="A17662" t="str">
        <f t="shared" si="275"/>
        <v/>
      </c>
      <c r="E17662" s="626"/>
      <c r="F17662" s="626"/>
    </row>
    <row r="17663" spans="1:6">
      <c r="A17663" t="str">
        <f t="shared" si="275"/>
        <v/>
      </c>
      <c r="E17663" s="626"/>
      <c r="F17663" s="626"/>
    </row>
    <row r="17664" spans="1:6">
      <c r="A17664" t="str">
        <f t="shared" si="275"/>
        <v/>
      </c>
      <c r="E17664" s="626"/>
      <c r="F17664" s="626"/>
    </row>
    <row r="17665" spans="1:6">
      <c r="A17665" t="str">
        <f t="shared" si="275"/>
        <v/>
      </c>
      <c r="E17665" s="626"/>
      <c r="F17665" s="626"/>
    </row>
    <row r="17666" spans="1:6">
      <c r="A17666" t="str">
        <f t="shared" ref="A17666:A17729" si="276">B17666&amp;E17666&amp;J17666</f>
        <v/>
      </c>
      <c r="E17666" s="626"/>
      <c r="F17666" s="626"/>
    </row>
    <row r="17667" spans="1:6">
      <c r="A17667" t="str">
        <f t="shared" si="276"/>
        <v/>
      </c>
      <c r="E17667" s="626"/>
      <c r="F17667" s="626"/>
    </row>
    <row r="17668" spans="1:6">
      <c r="A17668" t="str">
        <f t="shared" si="276"/>
        <v/>
      </c>
      <c r="E17668" s="626"/>
      <c r="F17668" s="626"/>
    </row>
    <row r="17669" spans="1:6">
      <c r="A17669" t="str">
        <f t="shared" si="276"/>
        <v/>
      </c>
      <c r="E17669" s="626"/>
      <c r="F17669" s="626"/>
    </row>
    <row r="17670" spans="1:6">
      <c r="A17670" t="str">
        <f t="shared" si="276"/>
        <v/>
      </c>
      <c r="E17670" s="626"/>
      <c r="F17670" s="626"/>
    </row>
    <row r="17671" spans="1:6">
      <c r="A17671" t="str">
        <f t="shared" si="276"/>
        <v/>
      </c>
      <c r="E17671" s="626"/>
      <c r="F17671" s="626"/>
    </row>
    <row r="17672" spans="1:6">
      <c r="A17672" t="str">
        <f t="shared" si="276"/>
        <v/>
      </c>
      <c r="E17672" s="626"/>
      <c r="F17672" s="626"/>
    </row>
    <row r="17673" spans="1:6">
      <c r="A17673" t="str">
        <f t="shared" si="276"/>
        <v/>
      </c>
      <c r="E17673" s="626"/>
      <c r="F17673" s="626"/>
    </row>
    <row r="17674" spans="1:6">
      <c r="A17674" t="str">
        <f t="shared" si="276"/>
        <v/>
      </c>
      <c r="E17674" s="626"/>
      <c r="F17674" s="626"/>
    </row>
    <row r="17675" spans="1:6">
      <c r="A17675" t="str">
        <f t="shared" si="276"/>
        <v/>
      </c>
      <c r="E17675" s="626"/>
      <c r="F17675" s="626"/>
    </row>
    <row r="17676" spans="1:6">
      <c r="A17676" t="str">
        <f t="shared" si="276"/>
        <v/>
      </c>
      <c r="E17676" s="626"/>
      <c r="F17676" s="626"/>
    </row>
    <row r="17677" spans="1:6">
      <c r="A17677" t="str">
        <f t="shared" si="276"/>
        <v/>
      </c>
      <c r="E17677" s="626"/>
      <c r="F17677" s="626"/>
    </row>
    <row r="17678" spans="1:6">
      <c r="A17678" t="str">
        <f t="shared" si="276"/>
        <v/>
      </c>
      <c r="E17678" s="626"/>
      <c r="F17678" s="626"/>
    </row>
    <row r="17679" spans="1:6">
      <c r="A17679" t="str">
        <f t="shared" si="276"/>
        <v/>
      </c>
      <c r="E17679" s="626"/>
      <c r="F17679" s="626"/>
    </row>
    <row r="17680" spans="1:6">
      <c r="A17680" t="str">
        <f t="shared" si="276"/>
        <v/>
      </c>
      <c r="E17680" s="626"/>
      <c r="F17680" s="626"/>
    </row>
    <row r="17681" spans="1:6">
      <c r="A17681" t="str">
        <f t="shared" si="276"/>
        <v/>
      </c>
      <c r="E17681" s="626"/>
      <c r="F17681" s="626"/>
    </row>
    <row r="17682" spans="1:6">
      <c r="A17682" t="str">
        <f t="shared" si="276"/>
        <v/>
      </c>
      <c r="E17682" s="626"/>
      <c r="F17682" s="626"/>
    </row>
    <row r="17683" spans="1:6">
      <c r="A17683" t="str">
        <f t="shared" si="276"/>
        <v/>
      </c>
      <c r="E17683" s="626"/>
      <c r="F17683" s="626"/>
    </row>
    <row r="17684" spans="1:6">
      <c r="A17684" t="str">
        <f t="shared" si="276"/>
        <v/>
      </c>
      <c r="E17684" s="626"/>
      <c r="F17684" s="626"/>
    </row>
    <row r="17685" spans="1:6">
      <c r="A17685" t="str">
        <f t="shared" si="276"/>
        <v/>
      </c>
      <c r="E17685" s="626"/>
      <c r="F17685" s="626"/>
    </row>
    <row r="17686" spans="1:6">
      <c r="A17686" t="str">
        <f t="shared" si="276"/>
        <v/>
      </c>
      <c r="E17686" s="626"/>
      <c r="F17686" s="626"/>
    </row>
    <row r="17687" spans="1:6">
      <c r="A17687" t="str">
        <f t="shared" si="276"/>
        <v/>
      </c>
      <c r="E17687" s="626"/>
      <c r="F17687" s="626"/>
    </row>
    <row r="17688" spans="1:6">
      <c r="A17688" t="str">
        <f t="shared" si="276"/>
        <v/>
      </c>
      <c r="E17688" s="626"/>
      <c r="F17688" s="626"/>
    </row>
    <row r="17689" spans="1:6">
      <c r="A17689" t="str">
        <f t="shared" si="276"/>
        <v/>
      </c>
      <c r="E17689" s="626"/>
      <c r="F17689" s="626"/>
    </row>
    <row r="17690" spans="1:6">
      <c r="A17690" t="str">
        <f t="shared" si="276"/>
        <v/>
      </c>
      <c r="E17690" s="626"/>
      <c r="F17690" s="626"/>
    </row>
    <row r="17691" spans="1:6">
      <c r="A17691" t="str">
        <f t="shared" si="276"/>
        <v/>
      </c>
      <c r="E17691" s="626"/>
      <c r="F17691" s="626"/>
    </row>
    <row r="17692" spans="1:6">
      <c r="A17692" t="str">
        <f t="shared" si="276"/>
        <v/>
      </c>
      <c r="E17692" s="626"/>
      <c r="F17692" s="626"/>
    </row>
    <row r="17693" spans="1:6">
      <c r="A17693" t="str">
        <f t="shared" si="276"/>
        <v/>
      </c>
      <c r="E17693" s="626"/>
      <c r="F17693" s="626"/>
    </row>
    <row r="17694" spans="1:6">
      <c r="A17694" t="str">
        <f t="shared" si="276"/>
        <v/>
      </c>
      <c r="E17694" s="626"/>
      <c r="F17694" s="626"/>
    </row>
    <row r="17695" spans="1:6">
      <c r="A17695" t="str">
        <f t="shared" si="276"/>
        <v/>
      </c>
      <c r="E17695" s="626"/>
      <c r="F17695" s="626"/>
    </row>
    <row r="17696" spans="1:6">
      <c r="A17696" t="str">
        <f t="shared" si="276"/>
        <v/>
      </c>
      <c r="E17696" s="626"/>
      <c r="F17696" s="626"/>
    </row>
    <row r="17697" spans="1:6">
      <c r="A17697" t="str">
        <f t="shared" si="276"/>
        <v/>
      </c>
      <c r="E17697" s="626"/>
      <c r="F17697" s="626"/>
    </row>
    <row r="17698" spans="1:6">
      <c r="A17698" t="str">
        <f t="shared" si="276"/>
        <v/>
      </c>
      <c r="E17698" s="626"/>
      <c r="F17698" s="626"/>
    </row>
    <row r="17699" spans="1:6">
      <c r="A17699" t="str">
        <f t="shared" si="276"/>
        <v/>
      </c>
      <c r="E17699" s="626"/>
      <c r="F17699" s="626"/>
    </row>
    <row r="17700" spans="1:6">
      <c r="A17700" t="str">
        <f t="shared" si="276"/>
        <v/>
      </c>
      <c r="E17700" s="626"/>
      <c r="F17700" s="626"/>
    </row>
    <row r="17701" spans="1:6">
      <c r="A17701" t="str">
        <f t="shared" si="276"/>
        <v/>
      </c>
      <c r="E17701" s="626"/>
      <c r="F17701" s="626"/>
    </row>
    <row r="17702" spans="1:6">
      <c r="A17702" t="str">
        <f t="shared" si="276"/>
        <v/>
      </c>
      <c r="E17702" s="626"/>
      <c r="F17702" s="626"/>
    </row>
    <row r="17703" spans="1:6">
      <c r="A17703" t="str">
        <f t="shared" si="276"/>
        <v/>
      </c>
      <c r="E17703" s="626"/>
      <c r="F17703" s="626"/>
    </row>
    <row r="17704" spans="1:6">
      <c r="A17704" t="str">
        <f t="shared" si="276"/>
        <v/>
      </c>
      <c r="E17704" s="626"/>
      <c r="F17704" s="626"/>
    </row>
    <row r="17705" spans="1:6">
      <c r="A17705" t="str">
        <f t="shared" si="276"/>
        <v/>
      </c>
      <c r="E17705" s="626"/>
      <c r="F17705" s="626"/>
    </row>
    <row r="17706" spans="1:6">
      <c r="A17706" t="str">
        <f t="shared" si="276"/>
        <v/>
      </c>
      <c r="E17706" s="626"/>
      <c r="F17706" s="626"/>
    </row>
    <row r="17707" spans="1:6">
      <c r="A17707" t="str">
        <f t="shared" si="276"/>
        <v/>
      </c>
      <c r="E17707" s="626"/>
      <c r="F17707" s="626"/>
    </row>
    <row r="17708" spans="1:6">
      <c r="A17708" t="str">
        <f t="shared" si="276"/>
        <v/>
      </c>
      <c r="E17708" s="626"/>
      <c r="F17708" s="626"/>
    </row>
    <row r="17709" spans="1:6">
      <c r="A17709" t="str">
        <f t="shared" si="276"/>
        <v/>
      </c>
      <c r="E17709" s="626"/>
      <c r="F17709" s="626"/>
    </row>
    <row r="17710" spans="1:6">
      <c r="A17710" t="str">
        <f t="shared" si="276"/>
        <v/>
      </c>
      <c r="E17710" s="626"/>
      <c r="F17710" s="626"/>
    </row>
    <row r="17711" spans="1:6">
      <c r="A17711" t="str">
        <f t="shared" si="276"/>
        <v/>
      </c>
      <c r="E17711" s="626"/>
      <c r="F17711" s="626"/>
    </row>
    <row r="17712" spans="1:6">
      <c r="A17712" t="str">
        <f t="shared" si="276"/>
        <v/>
      </c>
      <c r="E17712" s="626"/>
      <c r="F17712" s="626"/>
    </row>
    <row r="17713" spans="1:6">
      <c r="A17713" t="str">
        <f t="shared" si="276"/>
        <v/>
      </c>
      <c r="E17713" s="626"/>
      <c r="F17713" s="626"/>
    </row>
    <row r="17714" spans="1:6">
      <c r="A17714" t="str">
        <f t="shared" si="276"/>
        <v/>
      </c>
      <c r="E17714" s="626"/>
      <c r="F17714" s="626"/>
    </row>
    <row r="17715" spans="1:6">
      <c r="A17715" t="str">
        <f t="shared" si="276"/>
        <v/>
      </c>
      <c r="E17715" s="626"/>
      <c r="F17715" s="626"/>
    </row>
    <row r="17716" spans="1:6">
      <c r="A17716" t="str">
        <f t="shared" si="276"/>
        <v/>
      </c>
      <c r="E17716" s="626"/>
      <c r="F17716" s="626"/>
    </row>
    <row r="17717" spans="1:6">
      <c r="A17717" t="str">
        <f t="shared" si="276"/>
        <v/>
      </c>
      <c r="E17717" s="626"/>
      <c r="F17717" s="626"/>
    </row>
    <row r="17718" spans="1:6">
      <c r="A17718" t="str">
        <f t="shared" si="276"/>
        <v/>
      </c>
      <c r="E17718" s="626"/>
      <c r="F17718" s="626"/>
    </row>
    <row r="17719" spans="1:6">
      <c r="A17719" t="str">
        <f t="shared" si="276"/>
        <v/>
      </c>
      <c r="E17719" s="626"/>
      <c r="F17719" s="626"/>
    </row>
    <row r="17720" spans="1:6">
      <c r="A17720" t="str">
        <f t="shared" si="276"/>
        <v/>
      </c>
      <c r="E17720" s="626"/>
      <c r="F17720" s="626"/>
    </row>
    <row r="17721" spans="1:6">
      <c r="A17721" t="str">
        <f t="shared" si="276"/>
        <v/>
      </c>
      <c r="E17721" s="626"/>
      <c r="F17721" s="626"/>
    </row>
    <row r="17722" spans="1:6">
      <c r="A17722" t="str">
        <f t="shared" si="276"/>
        <v/>
      </c>
      <c r="E17722" s="626"/>
      <c r="F17722" s="626"/>
    </row>
    <row r="17723" spans="1:6">
      <c r="A17723" t="str">
        <f t="shared" si="276"/>
        <v/>
      </c>
      <c r="E17723" s="626"/>
      <c r="F17723" s="626"/>
    </row>
    <row r="17724" spans="1:6">
      <c r="A17724" t="str">
        <f t="shared" si="276"/>
        <v/>
      </c>
      <c r="E17724" s="626"/>
      <c r="F17724" s="626"/>
    </row>
    <row r="17725" spans="1:6">
      <c r="A17725" t="str">
        <f t="shared" si="276"/>
        <v/>
      </c>
      <c r="E17725" s="626"/>
      <c r="F17725" s="626"/>
    </row>
    <row r="17726" spans="1:6">
      <c r="A17726" t="str">
        <f t="shared" si="276"/>
        <v/>
      </c>
      <c r="E17726" s="626"/>
      <c r="F17726" s="626"/>
    </row>
    <row r="17727" spans="1:6">
      <c r="A17727" t="str">
        <f t="shared" si="276"/>
        <v/>
      </c>
      <c r="E17727" s="626"/>
      <c r="F17727" s="626"/>
    </row>
    <row r="17728" spans="1:6">
      <c r="A17728" t="str">
        <f t="shared" si="276"/>
        <v/>
      </c>
      <c r="E17728" s="626"/>
      <c r="F17728" s="626"/>
    </row>
    <row r="17729" spans="1:6">
      <c r="A17729" t="str">
        <f t="shared" si="276"/>
        <v/>
      </c>
      <c r="E17729" s="626"/>
      <c r="F17729" s="626"/>
    </row>
    <row r="17730" spans="1:6">
      <c r="A17730" t="str">
        <f t="shared" ref="A17730:A17793" si="277">B17730&amp;E17730&amp;J17730</f>
        <v/>
      </c>
      <c r="E17730" s="626"/>
      <c r="F17730" s="626"/>
    </row>
    <row r="17731" spans="1:6">
      <c r="A17731" t="str">
        <f t="shared" si="277"/>
        <v/>
      </c>
      <c r="E17731" s="626"/>
      <c r="F17731" s="626"/>
    </row>
    <row r="17732" spans="1:6">
      <c r="A17732" t="str">
        <f t="shared" si="277"/>
        <v/>
      </c>
      <c r="E17732" s="626"/>
      <c r="F17732" s="626"/>
    </row>
    <row r="17733" spans="1:6">
      <c r="A17733" t="str">
        <f t="shared" si="277"/>
        <v/>
      </c>
      <c r="E17733" s="626"/>
      <c r="F17733" s="626"/>
    </row>
    <row r="17734" spans="1:6">
      <c r="A17734" t="str">
        <f t="shared" si="277"/>
        <v/>
      </c>
      <c r="E17734" s="626"/>
      <c r="F17734" s="626"/>
    </row>
    <row r="17735" spans="1:6">
      <c r="A17735" t="str">
        <f t="shared" si="277"/>
        <v/>
      </c>
      <c r="E17735" s="626"/>
      <c r="F17735" s="626"/>
    </row>
    <row r="17736" spans="1:6">
      <c r="A17736" t="str">
        <f t="shared" si="277"/>
        <v/>
      </c>
      <c r="E17736" s="626"/>
      <c r="F17736" s="626"/>
    </row>
    <row r="17737" spans="1:6">
      <c r="A17737" t="str">
        <f t="shared" si="277"/>
        <v/>
      </c>
      <c r="E17737" s="626"/>
      <c r="F17737" s="626"/>
    </row>
    <row r="17738" spans="1:6">
      <c r="A17738" t="str">
        <f t="shared" si="277"/>
        <v/>
      </c>
      <c r="E17738" s="626"/>
      <c r="F17738" s="626"/>
    </row>
    <row r="17739" spans="1:6">
      <c r="A17739" t="str">
        <f t="shared" si="277"/>
        <v/>
      </c>
      <c r="E17739" s="626"/>
      <c r="F17739" s="626"/>
    </row>
    <row r="17740" spans="1:6">
      <c r="A17740" t="str">
        <f t="shared" si="277"/>
        <v/>
      </c>
      <c r="E17740" s="626"/>
      <c r="F17740" s="626"/>
    </row>
    <row r="17741" spans="1:6">
      <c r="A17741" t="str">
        <f t="shared" si="277"/>
        <v/>
      </c>
      <c r="E17741" s="626"/>
      <c r="F17741" s="626"/>
    </row>
    <row r="17742" spans="1:6">
      <c r="A17742" t="str">
        <f t="shared" si="277"/>
        <v/>
      </c>
      <c r="E17742" s="626"/>
      <c r="F17742" s="626"/>
    </row>
    <row r="17743" spans="1:6">
      <c r="A17743" t="str">
        <f t="shared" si="277"/>
        <v/>
      </c>
      <c r="E17743" s="626"/>
      <c r="F17743" s="626"/>
    </row>
    <row r="17744" spans="1:6">
      <c r="A17744" t="str">
        <f t="shared" si="277"/>
        <v/>
      </c>
      <c r="E17744" s="626"/>
      <c r="F17744" s="626"/>
    </row>
    <row r="17745" spans="1:6">
      <c r="A17745" t="str">
        <f t="shared" si="277"/>
        <v/>
      </c>
      <c r="E17745" s="626"/>
      <c r="F17745" s="626"/>
    </row>
    <row r="17746" spans="1:6">
      <c r="A17746" t="str">
        <f t="shared" si="277"/>
        <v/>
      </c>
      <c r="E17746" s="626"/>
      <c r="F17746" s="626"/>
    </row>
    <row r="17747" spans="1:6">
      <c r="A17747" t="str">
        <f t="shared" si="277"/>
        <v/>
      </c>
      <c r="E17747" s="626"/>
      <c r="F17747" s="626"/>
    </row>
    <row r="17748" spans="1:6">
      <c r="A17748" t="str">
        <f t="shared" si="277"/>
        <v/>
      </c>
      <c r="E17748" s="626"/>
      <c r="F17748" s="626"/>
    </row>
    <row r="17749" spans="1:6">
      <c r="A17749" t="str">
        <f t="shared" si="277"/>
        <v/>
      </c>
      <c r="E17749" s="626"/>
      <c r="F17749" s="626"/>
    </row>
    <row r="17750" spans="1:6">
      <c r="A17750" t="str">
        <f t="shared" si="277"/>
        <v/>
      </c>
      <c r="E17750" s="626"/>
      <c r="F17750" s="626"/>
    </row>
    <row r="17751" spans="1:6">
      <c r="A17751" t="str">
        <f t="shared" si="277"/>
        <v/>
      </c>
      <c r="E17751" s="626"/>
      <c r="F17751" s="626"/>
    </row>
    <row r="17752" spans="1:6">
      <c r="A17752" t="str">
        <f t="shared" si="277"/>
        <v/>
      </c>
      <c r="E17752" s="626"/>
      <c r="F17752" s="626"/>
    </row>
    <row r="17753" spans="1:6">
      <c r="A17753" t="str">
        <f t="shared" si="277"/>
        <v/>
      </c>
      <c r="E17753" s="626"/>
      <c r="F17753" s="626"/>
    </row>
    <row r="17754" spans="1:6">
      <c r="A17754" t="str">
        <f t="shared" si="277"/>
        <v/>
      </c>
      <c r="E17754" s="626"/>
      <c r="F17754" s="626"/>
    </row>
    <row r="17755" spans="1:6">
      <c r="A17755" t="str">
        <f t="shared" si="277"/>
        <v/>
      </c>
      <c r="E17755" s="626"/>
      <c r="F17755" s="626"/>
    </row>
    <row r="17756" spans="1:6">
      <c r="A17756" t="str">
        <f t="shared" si="277"/>
        <v/>
      </c>
      <c r="E17756" s="626"/>
      <c r="F17756" s="626"/>
    </row>
    <row r="17757" spans="1:6">
      <c r="A17757" t="str">
        <f t="shared" si="277"/>
        <v/>
      </c>
      <c r="E17757" s="626"/>
      <c r="F17757" s="626"/>
    </row>
    <row r="17758" spans="1:6">
      <c r="A17758" t="str">
        <f t="shared" si="277"/>
        <v/>
      </c>
      <c r="E17758" s="626"/>
      <c r="F17758" s="626"/>
    </row>
    <row r="17759" spans="1:6">
      <c r="A17759" t="str">
        <f t="shared" si="277"/>
        <v/>
      </c>
      <c r="E17759" s="626"/>
      <c r="F17759" s="626"/>
    </row>
    <row r="17760" spans="1:6">
      <c r="A17760" t="str">
        <f t="shared" si="277"/>
        <v/>
      </c>
      <c r="E17760" s="626"/>
      <c r="F17760" s="626"/>
    </row>
    <row r="17761" spans="1:6">
      <c r="A17761" t="str">
        <f t="shared" si="277"/>
        <v/>
      </c>
      <c r="E17761" s="626"/>
      <c r="F17761" s="626"/>
    </row>
    <row r="17762" spans="1:6">
      <c r="A17762" t="str">
        <f t="shared" si="277"/>
        <v/>
      </c>
      <c r="E17762" s="626"/>
      <c r="F17762" s="626"/>
    </row>
    <row r="17763" spans="1:6">
      <c r="A17763" t="str">
        <f t="shared" si="277"/>
        <v/>
      </c>
      <c r="E17763" s="626"/>
      <c r="F17763" s="626"/>
    </row>
    <row r="17764" spans="1:6">
      <c r="A17764" t="str">
        <f t="shared" si="277"/>
        <v/>
      </c>
      <c r="E17764" s="626"/>
      <c r="F17764" s="626"/>
    </row>
    <row r="17765" spans="1:6">
      <c r="A17765" t="str">
        <f t="shared" si="277"/>
        <v/>
      </c>
      <c r="E17765" s="626"/>
      <c r="F17765" s="626"/>
    </row>
    <row r="17766" spans="1:6">
      <c r="A17766" t="str">
        <f t="shared" si="277"/>
        <v/>
      </c>
      <c r="E17766" s="626"/>
      <c r="F17766" s="626"/>
    </row>
    <row r="17767" spans="1:6">
      <c r="A17767" t="str">
        <f t="shared" si="277"/>
        <v/>
      </c>
      <c r="E17767" s="626"/>
      <c r="F17767" s="626"/>
    </row>
    <row r="17768" spans="1:6">
      <c r="A17768" t="str">
        <f t="shared" si="277"/>
        <v/>
      </c>
      <c r="E17768" s="626"/>
      <c r="F17768" s="626"/>
    </row>
    <row r="17769" spans="1:6">
      <c r="A17769" t="str">
        <f t="shared" si="277"/>
        <v/>
      </c>
      <c r="E17769" s="626"/>
      <c r="F17769" s="626"/>
    </row>
    <row r="17770" spans="1:6">
      <c r="A17770" t="str">
        <f t="shared" si="277"/>
        <v/>
      </c>
      <c r="E17770" s="626"/>
      <c r="F17770" s="626"/>
    </row>
    <row r="17771" spans="1:6">
      <c r="A17771" t="str">
        <f t="shared" si="277"/>
        <v/>
      </c>
      <c r="E17771" s="626"/>
      <c r="F17771" s="626"/>
    </row>
    <row r="17772" spans="1:6">
      <c r="A17772" t="str">
        <f t="shared" si="277"/>
        <v/>
      </c>
      <c r="E17772" s="626"/>
      <c r="F17772" s="626"/>
    </row>
    <row r="17773" spans="1:6">
      <c r="A17773" t="str">
        <f t="shared" si="277"/>
        <v/>
      </c>
      <c r="E17773" s="626"/>
      <c r="F17773" s="626"/>
    </row>
    <row r="17774" spans="1:6">
      <c r="A17774" t="str">
        <f t="shared" si="277"/>
        <v/>
      </c>
      <c r="E17774" s="626"/>
      <c r="F17774" s="626"/>
    </row>
    <row r="17775" spans="1:6">
      <c r="A17775" t="str">
        <f t="shared" si="277"/>
        <v/>
      </c>
      <c r="E17775" s="626"/>
      <c r="F17775" s="626"/>
    </row>
    <row r="17776" spans="1:6">
      <c r="A17776" t="str">
        <f t="shared" si="277"/>
        <v/>
      </c>
      <c r="E17776" s="626"/>
      <c r="F17776" s="626"/>
    </row>
    <row r="17777" spans="1:6">
      <c r="A17777" t="str">
        <f t="shared" si="277"/>
        <v/>
      </c>
      <c r="E17777" s="626"/>
      <c r="F17777" s="626"/>
    </row>
    <row r="17778" spans="1:6">
      <c r="A17778" t="str">
        <f t="shared" si="277"/>
        <v/>
      </c>
      <c r="E17778" s="626"/>
      <c r="F17778" s="626"/>
    </row>
    <row r="17779" spans="1:6">
      <c r="A17779" t="str">
        <f t="shared" si="277"/>
        <v/>
      </c>
      <c r="E17779" s="626"/>
      <c r="F17779" s="626"/>
    </row>
    <row r="17780" spans="1:6">
      <c r="A17780" t="str">
        <f t="shared" si="277"/>
        <v/>
      </c>
      <c r="E17780" s="626"/>
      <c r="F17780" s="626"/>
    </row>
    <row r="17781" spans="1:6">
      <c r="A17781" t="str">
        <f t="shared" si="277"/>
        <v/>
      </c>
      <c r="E17781" s="626"/>
      <c r="F17781" s="626"/>
    </row>
    <row r="17782" spans="1:6">
      <c r="A17782" t="str">
        <f t="shared" si="277"/>
        <v/>
      </c>
      <c r="E17782" s="626"/>
      <c r="F17782" s="626"/>
    </row>
    <row r="17783" spans="1:6">
      <c r="A17783" t="str">
        <f t="shared" si="277"/>
        <v/>
      </c>
      <c r="E17783" s="626"/>
      <c r="F17783" s="626"/>
    </row>
    <row r="17784" spans="1:6">
      <c r="A17784" t="str">
        <f t="shared" si="277"/>
        <v/>
      </c>
      <c r="E17784" s="626"/>
      <c r="F17784" s="626"/>
    </row>
    <row r="17785" spans="1:6">
      <c r="A17785" t="str">
        <f t="shared" si="277"/>
        <v/>
      </c>
      <c r="E17785" s="626"/>
      <c r="F17785" s="626"/>
    </row>
    <row r="17786" spans="1:6">
      <c r="A17786" t="str">
        <f t="shared" si="277"/>
        <v/>
      </c>
      <c r="E17786" s="626"/>
      <c r="F17786" s="626"/>
    </row>
    <row r="17787" spans="1:6">
      <c r="A17787" t="str">
        <f t="shared" si="277"/>
        <v/>
      </c>
      <c r="E17787" s="626"/>
      <c r="F17787" s="626"/>
    </row>
    <row r="17788" spans="1:6">
      <c r="A17788" t="str">
        <f t="shared" si="277"/>
        <v/>
      </c>
      <c r="E17788" s="626"/>
      <c r="F17788" s="626"/>
    </row>
    <row r="17789" spans="1:6">
      <c r="A17789" t="str">
        <f t="shared" si="277"/>
        <v/>
      </c>
      <c r="E17789" s="626"/>
      <c r="F17789" s="626"/>
    </row>
    <row r="17790" spans="1:6">
      <c r="A17790" t="str">
        <f t="shared" si="277"/>
        <v/>
      </c>
      <c r="E17790" s="626"/>
      <c r="F17790" s="626"/>
    </row>
    <row r="17791" spans="1:6">
      <c r="A17791" t="str">
        <f t="shared" si="277"/>
        <v/>
      </c>
      <c r="E17791" s="626"/>
      <c r="F17791" s="626"/>
    </row>
    <row r="17792" spans="1:6">
      <c r="A17792" t="str">
        <f t="shared" si="277"/>
        <v/>
      </c>
      <c r="E17792" s="626"/>
      <c r="F17792" s="626"/>
    </row>
    <row r="17793" spans="1:6">
      <c r="A17793" t="str">
        <f t="shared" si="277"/>
        <v/>
      </c>
      <c r="E17793" s="626"/>
      <c r="F17793" s="626"/>
    </row>
    <row r="17794" spans="1:6">
      <c r="A17794" t="str">
        <f t="shared" ref="A17794:A17857" si="278">B17794&amp;E17794&amp;J17794</f>
        <v/>
      </c>
      <c r="E17794" s="626"/>
      <c r="F17794" s="626"/>
    </row>
    <row r="17795" spans="1:6">
      <c r="A17795" t="str">
        <f t="shared" si="278"/>
        <v/>
      </c>
      <c r="E17795" s="626"/>
      <c r="F17795" s="626"/>
    </row>
    <row r="17796" spans="1:6">
      <c r="A17796" t="str">
        <f t="shared" si="278"/>
        <v/>
      </c>
      <c r="E17796" s="626"/>
      <c r="F17796" s="626"/>
    </row>
    <row r="17797" spans="1:6">
      <c r="A17797" t="str">
        <f t="shared" si="278"/>
        <v/>
      </c>
      <c r="E17797" s="626"/>
      <c r="F17797" s="626"/>
    </row>
    <row r="17798" spans="1:6">
      <c r="A17798" t="str">
        <f t="shared" si="278"/>
        <v/>
      </c>
      <c r="E17798" s="626"/>
      <c r="F17798" s="626"/>
    </row>
    <row r="17799" spans="1:6">
      <c r="A17799" t="str">
        <f t="shared" si="278"/>
        <v/>
      </c>
      <c r="E17799" s="626"/>
      <c r="F17799" s="626"/>
    </row>
    <row r="17800" spans="1:6">
      <c r="A17800" t="str">
        <f t="shared" si="278"/>
        <v/>
      </c>
      <c r="E17800" s="626"/>
      <c r="F17800" s="626"/>
    </row>
    <row r="17801" spans="1:6">
      <c r="A17801" t="str">
        <f t="shared" si="278"/>
        <v/>
      </c>
      <c r="E17801" s="626"/>
      <c r="F17801" s="626"/>
    </row>
    <row r="17802" spans="1:6">
      <c r="A17802" t="str">
        <f t="shared" si="278"/>
        <v/>
      </c>
      <c r="E17802" s="626"/>
      <c r="F17802" s="626"/>
    </row>
    <row r="17803" spans="1:6">
      <c r="A17803" t="str">
        <f t="shared" si="278"/>
        <v/>
      </c>
      <c r="E17803" s="626"/>
      <c r="F17803" s="626"/>
    </row>
    <row r="17804" spans="1:6">
      <c r="A17804" t="str">
        <f t="shared" si="278"/>
        <v/>
      </c>
      <c r="E17804" s="626"/>
      <c r="F17804" s="626"/>
    </row>
    <row r="17805" spans="1:6">
      <c r="A17805" t="str">
        <f t="shared" si="278"/>
        <v/>
      </c>
      <c r="E17805" s="626"/>
      <c r="F17805" s="626"/>
    </row>
    <row r="17806" spans="1:6">
      <c r="A17806" t="str">
        <f t="shared" si="278"/>
        <v/>
      </c>
      <c r="E17806" s="626"/>
      <c r="F17806" s="626"/>
    </row>
    <row r="17807" spans="1:6">
      <c r="A17807" t="str">
        <f t="shared" si="278"/>
        <v/>
      </c>
      <c r="E17807" s="626"/>
      <c r="F17807" s="626"/>
    </row>
    <row r="17808" spans="1:6">
      <c r="A17808" t="str">
        <f t="shared" si="278"/>
        <v/>
      </c>
      <c r="E17808" s="626"/>
      <c r="F17808" s="626"/>
    </row>
    <row r="17809" spans="1:6">
      <c r="A17809" t="str">
        <f t="shared" si="278"/>
        <v/>
      </c>
      <c r="E17809" s="626"/>
      <c r="F17809" s="626"/>
    </row>
    <row r="17810" spans="1:6">
      <c r="A17810" t="str">
        <f t="shared" si="278"/>
        <v/>
      </c>
      <c r="E17810" s="626"/>
      <c r="F17810" s="626"/>
    </row>
    <row r="17811" spans="1:6">
      <c r="A17811" t="str">
        <f t="shared" si="278"/>
        <v/>
      </c>
      <c r="E17811" s="626"/>
      <c r="F17811" s="626"/>
    </row>
    <row r="17812" spans="1:6">
      <c r="A17812" t="str">
        <f t="shared" si="278"/>
        <v/>
      </c>
      <c r="E17812" s="626"/>
      <c r="F17812" s="626"/>
    </row>
    <row r="17813" spans="1:6">
      <c r="A17813" t="str">
        <f t="shared" si="278"/>
        <v/>
      </c>
      <c r="E17813" s="626"/>
      <c r="F17813" s="626"/>
    </row>
    <row r="17814" spans="1:6">
      <c r="A17814" t="str">
        <f t="shared" si="278"/>
        <v/>
      </c>
      <c r="E17814" s="626"/>
      <c r="F17814" s="626"/>
    </row>
    <row r="17815" spans="1:6">
      <c r="A17815" t="str">
        <f t="shared" si="278"/>
        <v/>
      </c>
      <c r="E17815" s="626"/>
      <c r="F17815" s="626"/>
    </row>
    <row r="17816" spans="1:6">
      <c r="A17816" t="str">
        <f t="shared" si="278"/>
        <v/>
      </c>
      <c r="E17816" s="626"/>
      <c r="F17816" s="626"/>
    </row>
    <row r="17817" spans="1:6">
      <c r="A17817" t="str">
        <f t="shared" si="278"/>
        <v/>
      </c>
      <c r="E17817" s="626"/>
      <c r="F17817" s="626"/>
    </row>
    <row r="17818" spans="1:6">
      <c r="A17818" t="str">
        <f t="shared" si="278"/>
        <v/>
      </c>
      <c r="E17818" s="626"/>
      <c r="F17818" s="626"/>
    </row>
    <row r="17819" spans="1:6">
      <c r="A17819" t="str">
        <f t="shared" si="278"/>
        <v/>
      </c>
      <c r="E17819" s="626"/>
      <c r="F17819" s="626"/>
    </row>
    <row r="17820" spans="1:6">
      <c r="A17820" t="str">
        <f t="shared" si="278"/>
        <v/>
      </c>
      <c r="E17820" s="626"/>
      <c r="F17820" s="626"/>
    </row>
    <row r="17821" spans="1:6">
      <c r="A17821" t="str">
        <f t="shared" si="278"/>
        <v/>
      </c>
      <c r="E17821" s="626"/>
      <c r="F17821" s="626"/>
    </row>
    <row r="17822" spans="1:6">
      <c r="A17822" t="str">
        <f t="shared" si="278"/>
        <v/>
      </c>
      <c r="E17822" s="626"/>
      <c r="F17822" s="626"/>
    </row>
    <row r="17823" spans="1:6">
      <c r="A17823" t="str">
        <f t="shared" si="278"/>
        <v/>
      </c>
      <c r="E17823" s="626"/>
      <c r="F17823" s="626"/>
    </row>
    <row r="17824" spans="1:6">
      <c r="A17824" t="str">
        <f t="shared" si="278"/>
        <v/>
      </c>
      <c r="E17824" s="626"/>
      <c r="F17824" s="626"/>
    </row>
    <row r="17825" spans="1:6">
      <c r="A17825" t="str">
        <f t="shared" si="278"/>
        <v/>
      </c>
      <c r="E17825" s="626"/>
      <c r="F17825" s="626"/>
    </row>
    <row r="17826" spans="1:6">
      <c r="A17826" t="str">
        <f t="shared" si="278"/>
        <v/>
      </c>
      <c r="E17826" s="626"/>
      <c r="F17826" s="626"/>
    </row>
    <row r="17827" spans="1:6">
      <c r="A17827" t="str">
        <f t="shared" si="278"/>
        <v/>
      </c>
      <c r="E17827" s="626"/>
      <c r="F17827" s="626"/>
    </row>
    <row r="17828" spans="1:6">
      <c r="A17828" t="str">
        <f t="shared" si="278"/>
        <v/>
      </c>
      <c r="E17828" s="626"/>
      <c r="F17828" s="626"/>
    </row>
    <row r="17829" spans="1:6">
      <c r="A17829" t="str">
        <f t="shared" si="278"/>
        <v/>
      </c>
      <c r="E17829" s="626"/>
      <c r="F17829" s="626"/>
    </row>
    <row r="17830" spans="1:6">
      <c r="A17830" t="str">
        <f t="shared" si="278"/>
        <v/>
      </c>
      <c r="E17830" s="626"/>
      <c r="F17830" s="626"/>
    </row>
    <row r="17831" spans="1:6">
      <c r="A17831" t="str">
        <f t="shared" si="278"/>
        <v/>
      </c>
      <c r="E17831" s="626"/>
      <c r="F17831" s="626"/>
    </row>
    <row r="17832" spans="1:6">
      <c r="A17832" t="str">
        <f t="shared" si="278"/>
        <v/>
      </c>
      <c r="E17832" s="626"/>
      <c r="F17832" s="626"/>
    </row>
    <row r="17833" spans="1:6">
      <c r="A17833" t="str">
        <f t="shared" si="278"/>
        <v/>
      </c>
      <c r="E17833" s="626"/>
      <c r="F17833" s="626"/>
    </row>
    <row r="17834" spans="1:6">
      <c r="A17834" t="str">
        <f t="shared" si="278"/>
        <v/>
      </c>
      <c r="E17834" s="626"/>
      <c r="F17834" s="626"/>
    </row>
    <row r="17835" spans="1:6">
      <c r="A17835" t="str">
        <f t="shared" si="278"/>
        <v/>
      </c>
      <c r="E17835" s="626"/>
      <c r="F17835" s="626"/>
    </row>
    <row r="17836" spans="1:6">
      <c r="A17836" t="str">
        <f t="shared" si="278"/>
        <v/>
      </c>
      <c r="E17836" s="626"/>
      <c r="F17836" s="626"/>
    </row>
    <row r="17837" spans="1:6">
      <c r="A17837" t="str">
        <f t="shared" si="278"/>
        <v/>
      </c>
      <c r="E17837" s="626"/>
      <c r="F17837" s="626"/>
    </row>
    <row r="17838" spans="1:6">
      <c r="A17838" t="str">
        <f t="shared" si="278"/>
        <v/>
      </c>
      <c r="E17838" s="626"/>
      <c r="F17838" s="626"/>
    </row>
    <row r="17839" spans="1:6">
      <c r="A17839" t="str">
        <f t="shared" si="278"/>
        <v/>
      </c>
      <c r="E17839" s="626"/>
      <c r="F17839" s="626"/>
    </row>
    <row r="17840" spans="1:6">
      <c r="A17840" t="str">
        <f t="shared" si="278"/>
        <v/>
      </c>
      <c r="E17840" s="626"/>
      <c r="F17840" s="626"/>
    </row>
    <row r="17841" spans="1:6">
      <c r="A17841" t="str">
        <f t="shared" si="278"/>
        <v/>
      </c>
      <c r="E17841" s="626"/>
      <c r="F17841" s="626"/>
    </row>
    <row r="17842" spans="1:6">
      <c r="A17842" t="str">
        <f t="shared" si="278"/>
        <v/>
      </c>
      <c r="E17842" s="626"/>
      <c r="F17842" s="626"/>
    </row>
    <row r="17843" spans="1:6">
      <c r="A17843" t="str">
        <f t="shared" si="278"/>
        <v/>
      </c>
      <c r="E17843" s="626"/>
      <c r="F17843" s="626"/>
    </row>
    <row r="17844" spans="1:6">
      <c r="A17844" t="str">
        <f t="shared" si="278"/>
        <v/>
      </c>
      <c r="E17844" s="626"/>
      <c r="F17844" s="626"/>
    </row>
    <row r="17845" spans="1:6">
      <c r="A17845" t="str">
        <f t="shared" si="278"/>
        <v/>
      </c>
      <c r="E17845" s="626"/>
      <c r="F17845" s="626"/>
    </row>
    <row r="17846" spans="1:6">
      <c r="A17846" t="str">
        <f t="shared" si="278"/>
        <v/>
      </c>
      <c r="E17846" s="626"/>
      <c r="F17846" s="626"/>
    </row>
    <row r="17847" spans="1:6">
      <c r="A17847" t="str">
        <f t="shared" si="278"/>
        <v/>
      </c>
      <c r="E17847" s="626"/>
      <c r="F17847" s="626"/>
    </row>
    <row r="17848" spans="1:6">
      <c r="A17848" t="str">
        <f t="shared" si="278"/>
        <v/>
      </c>
      <c r="E17848" s="626"/>
      <c r="F17848" s="626"/>
    </row>
    <row r="17849" spans="1:6">
      <c r="A17849" t="str">
        <f t="shared" si="278"/>
        <v/>
      </c>
      <c r="E17849" s="626"/>
      <c r="F17849" s="626"/>
    </row>
    <row r="17850" spans="1:6">
      <c r="A17850" t="str">
        <f t="shared" si="278"/>
        <v/>
      </c>
      <c r="E17850" s="626"/>
      <c r="F17850" s="626"/>
    </row>
    <row r="17851" spans="1:6">
      <c r="A17851" t="str">
        <f t="shared" si="278"/>
        <v/>
      </c>
      <c r="E17851" s="626"/>
      <c r="F17851" s="626"/>
    </row>
    <row r="17852" spans="1:6">
      <c r="A17852" t="str">
        <f t="shared" si="278"/>
        <v/>
      </c>
      <c r="E17852" s="626"/>
      <c r="F17852" s="626"/>
    </row>
    <row r="17853" spans="1:6">
      <c r="A17853" t="str">
        <f t="shared" si="278"/>
        <v/>
      </c>
      <c r="E17853" s="626"/>
      <c r="F17853" s="626"/>
    </row>
    <row r="17854" spans="1:6">
      <c r="A17854" t="str">
        <f t="shared" si="278"/>
        <v/>
      </c>
      <c r="E17854" s="626"/>
      <c r="F17854" s="626"/>
    </row>
    <row r="17855" spans="1:6">
      <c r="A17855" t="str">
        <f t="shared" si="278"/>
        <v/>
      </c>
      <c r="E17855" s="626"/>
      <c r="F17855" s="626"/>
    </row>
    <row r="17856" spans="1:6">
      <c r="A17856" t="str">
        <f t="shared" si="278"/>
        <v/>
      </c>
      <c r="E17856" s="626"/>
      <c r="F17856" s="626"/>
    </row>
    <row r="17857" spans="1:6">
      <c r="A17857" t="str">
        <f t="shared" si="278"/>
        <v/>
      </c>
      <c r="E17857" s="626"/>
      <c r="F17857" s="626"/>
    </row>
    <row r="17858" spans="1:6">
      <c r="A17858" t="str">
        <f t="shared" ref="A17858:A17921" si="279">B17858&amp;E17858&amp;J17858</f>
        <v/>
      </c>
      <c r="E17858" s="626"/>
      <c r="F17858" s="626"/>
    </row>
    <row r="17859" spans="1:6">
      <c r="A17859" t="str">
        <f t="shared" si="279"/>
        <v/>
      </c>
      <c r="E17859" s="626"/>
      <c r="F17859" s="626"/>
    </row>
    <row r="17860" spans="1:6">
      <c r="A17860" t="str">
        <f t="shared" si="279"/>
        <v/>
      </c>
      <c r="E17860" s="626"/>
      <c r="F17860" s="626"/>
    </row>
    <row r="17861" spans="1:6">
      <c r="A17861" t="str">
        <f t="shared" si="279"/>
        <v/>
      </c>
      <c r="E17861" s="626"/>
      <c r="F17861" s="626"/>
    </row>
    <row r="17862" spans="1:6">
      <c r="A17862" t="str">
        <f t="shared" si="279"/>
        <v/>
      </c>
      <c r="E17862" s="626"/>
      <c r="F17862" s="626"/>
    </row>
    <row r="17863" spans="1:6">
      <c r="A17863" t="str">
        <f t="shared" si="279"/>
        <v/>
      </c>
      <c r="E17863" s="626"/>
      <c r="F17863" s="626"/>
    </row>
    <row r="17864" spans="1:6">
      <c r="A17864" t="str">
        <f t="shared" si="279"/>
        <v/>
      </c>
      <c r="E17864" s="626"/>
      <c r="F17864" s="626"/>
    </row>
    <row r="17865" spans="1:6">
      <c r="A17865" t="str">
        <f t="shared" si="279"/>
        <v/>
      </c>
      <c r="E17865" s="626"/>
      <c r="F17865" s="626"/>
    </row>
    <row r="17866" spans="1:6">
      <c r="A17866" t="str">
        <f t="shared" si="279"/>
        <v/>
      </c>
      <c r="E17866" s="626"/>
      <c r="F17866" s="626"/>
    </row>
    <row r="17867" spans="1:6">
      <c r="A17867" t="str">
        <f t="shared" si="279"/>
        <v/>
      </c>
      <c r="E17867" s="626"/>
      <c r="F17867" s="626"/>
    </row>
    <row r="17868" spans="1:6">
      <c r="A17868" t="str">
        <f t="shared" si="279"/>
        <v/>
      </c>
      <c r="E17868" s="626"/>
      <c r="F17868" s="626"/>
    </row>
    <row r="17869" spans="1:6">
      <c r="A17869" t="str">
        <f t="shared" si="279"/>
        <v/>
      </c>
      <c r="E17869" s="626"/>
      <c r="F17869" s="626"/>
    </row>
    <row r="17870" spans="1:6">
      <c r="A17870" t="str">
        <f t="shared" si="279"/>
        <v/>
      </c>
      <c r="E17870" s="626"/>
      <c r="F17870" s="626"/>
    </row>
    <row r="17871" spans="1:6">
      <c r="A17871" t="str">
        <f t="shared" si="279"/>
        <v/>
      </c>
      <c r="E17871" s="626"/>
      <c r="F17871" s="626"/>
    </row>
    <row r="17872" spans="1:6">
      <c r="A17872" t="str">
        <f t="shared" si="279"/>
        <v/>
      </c>
      <c r="E17872" s="626"/>
      <c r="F17872" s="626"/>
    </row>
    <row r="17873" spans="1:6">
      <c r="A17873" t="str">
        <f t="shared" si="279"/>
        <v/>
      </c>
      <c r="E17873" s="626"/>
      <c r="F17873" s="626"/>
    </row>
    <row r="17874" spans="1:6">
      <c r="A17874" t="str">
        <f t="shared" si="279"/>
        <v/>
      </c>
      <c r="E17874" s="626"/>
      <c r="F17874" s="626"/>
    </row>
    <row r="17875" spans="1:6">
      <c r="A17875" t="str">
        <f t="shared" si="279"/>
        <v/>
      </c>
      <c r="E17875" s="626"/>
      <c r="F17875" s="626"/>
    </row>
    <row r="17876" spans="1:6">
      <c r="A17876" t="str">
        <f t="shared" si="279"/>
        <v/>
      </c>
      <c r="E17876" s="626"/>
      <c r="F17876" s="626"/>
    </row>
    <row r="17877" spans="1:6">
      <c r="A17877" t="str">
        <f t="shared" si="279"/>
        <v/>
      </c>
      <c r="E17877" s="626"/>
      <c r="F17877" s="626"/>
    </row>
    <row r="17878" spans="1:6">
      <c r="A17878" t="str">
        <f t="shared" si="279"/>
        <v/>
      </c>
      <c r="E17878" s="626"/>
      <c r="F17878" s="626"/>
    </row>
    <row r="17879" spans="1:6">
      <c r="A17879" t="str">
        <f t="shared" si="279"/>
        <v/>
      </c>
      <c r="E17879" s="626"/>
      <c r="F17879" s="626"/>
    </row>
    <row r="17880" spans="1:6">
      <c r="A17880" t="str">
        <f t="shared" si="279"/>
        <v/>
      </c>
      <c r="E17880" s="626"/>
      <c r="F17880" s="626"/>
    </row>
    <row r="17881" spans="1:6">
      <c r="A17881" t="str">
        <f t="shared" si="279"/>
        <v/>
      </c>
      <c r="E17881" s="626"/>
      <c r="F17881" s="626"/>
    </row>
    <row r="17882" spans="1:6">
      <c r="A17882" t="str">
        <f t="shared" si="279"/>
        <v/>
      </c>
      <c r="E17882" s="626"/>
      <c r="F17882" s="626"/>
    </row>
    <row r="17883" spans="1:6">
      <c r="A17883" t="str">
        <f t="shared" si="279"/>
        <v/>
      </c>
      <c r="E17883" s="626"/>
      <c r="F17883" s="626"/>
    </row>
    <row r="17884" spans="1:6">
      <c r="A17884" t="str">
        <f t="shared" si="279"/>
        <v/>
      </c>
      <c r="E17884" s="626"/>
      <c r="F17884" s="626"/>
    </row>
    <row r="17885" spans="1:6">
      <c r="A17885" t="str">
        <f t="shared" si="279"/>
        <v/>
      </c>
      <c r="E17885" s="626"/>
      <c r="F17885" s="626"/>
    </row>
    <row r="17886" spans="1:6">
      <c r="A17886" t="str">
        <f t="shared" si="279"/>
        <v/>
      </c>
      <c r="E17886" s="626"/>
      <c r="F17886" s="626"/>
    </row>
    <row r="17887" spans="1:6">
      <c r="A17887" t="str">
        <f t="shared" si="279"/>
        <v/>
      </c>
      <c r="E17887" s="626"/>
      <c r="F17887" s="626"/>
    </row>
    <row r="17888" spans="1:6">
      <c r="A17888" t="str">
        <f t="shared" si="279"/>
        <v/>
      </c>
      <c r="E17888" s="626"/>
      <c r="F17888" s="626"/>
    </row>
    <row r="17889" spans="1:6">
      <c r="A17889" t="str">
        <f t="shared" si="279"/>
        <v/>
      </c>
      <c r="E17889" s="626"/>
      <c r="F17889" s="626"/>
    </row>
    <row r="17890" spans="1:6">
      <c r="A17890" t="str">
        <f t="shared" si="279"/>
        <v/>
      </c>
      <c r="E17890" s="626"/>
      <c r="F17890" s="626"/>
    </row>
    <row r="17891" spans="1:6">
      <c r="A17891" t="str">
        <f t="shared" si="279"/>
        <v/>
      </c>
      <c r="E17891" s="626"/>
      <c r="F17891" s="626"/>
    </row>
    <row r="17892" spans="1:6">
      <c r="A17892" t="str">
        <f t="shared" si="279"/>
        <v/>
      </c>
      <c r="E17892" s="626"/>
      <c r="F17892" s="626"/>
    </row>
    <row r="17893" spans="1:6">
      <c r="A17893" t="str">
        <f t="shared" si="279"/>
        <v/>
      </c>
      <c r="E17893" s="626"/>
      <c r="F17893" s="626"/>
    </row>
    <row r="17894" spans="1:6">
      <c r="A17894" t="str">
        <f t="shared" si="279"/>
        <v/>
      </c>
      <c r="E17894" s="626"/>
      <c r="F17894" s="626"/>
    </row>
    <row r="17895" spans="1:6">
      <c r="A17895" t="str">
        <f t="shared" si="279"/>
        <v/>
      </c>
      <c r="E17895" s="626"/>
      <c r="F17895" s="626"/>
    </row>
    <row r="17896" spans="1:6">
      <c r="A17896" t="str">
        <f t="shared" si="279"/>
        <v/>
      </c>
      <c r="E17896" s="626"/>
      <c r="F17896" s="626"/>
    </row>
    <row r="17897" spans="1:6">
      <c r="A17897" t="str">
        <f t="shared" si="279"/>
        <v/>
      </c>
      <c r="E17897" s="626"/>
      <c r="F17897" s="626"/>
    </row>
    <row r="17898" spans="1:6">
      <c r="A17898" t="str">
        <f t="shared" si="279"/>
        <v/>
      </c>
      <c r="E17898" s="626"/>
      <c r="F17898" s="626"/>
    </row>
    <row r="17899" spans="1:6">
      <c r="A17899" t="str">
        <f t="shared" si="279"/>
        <v/>
      </c>
      <c r="E17899" s="626"/>
      <c r="F17899" s="626"/>
    </row>
    <row r="17900" spans="1:6">
      <c r="A17900" t="str">
        <f t="shared" si="279"/>
        <v/>
      </c>
      <c r="E17900" s="626"/>
      <c r="F17900" s="626"/>
    </row>
    <row r="17901" spans="1:6">
      <c r="A17901" t="str">
        <f t="shared" si="279"/>
        <v/>
      </c>
      <c r="E17901" s="626"/>
      <c r="F17901" s="626"/>
    </row>
    <row r="17902" spans="1:6">
      <c r="A17902" t="str">
        <f t="shared" si="279"/>
        <v/>
      </c>
      <c r="E17902" s="626"/>
      <c r="F17902" s="626"/>
    </row>
    <row r="17903" spans="1:6">
      <c r="A17903" t="str">
        <f t="shared" si="279"/>
        <v/>
      </c>
      <c r="E17903" s="626"/>
      <c r="F17903" s="626"/>
    </row>
    <row r="17904" spans="1:6">
      <c r="A17904" t="str">
        <f t="shared" si="279"/>
        <v/>
      </c>
      <c r="E17904" s="626"/>
      <c r="F17904" s="626"/>
    </row>
    <row r="17905" spans="1:6">
      <c r="A17905" t="str">
        <f t="shared" si="279"/>
        <v/>
      </c>
      <c r="E17905" s="626"/>
      <c r="F17905" s="626"/>
    </row>
    <row r="17906" spans="1:6">
      <c r="A17906" t="str">
        <f t="shared" si="279"/>
        <v/>
      </c>
      <c r="E17906" s="626"/>
      <c r="F17906" s="626"/>
    </row>
    <row r="17907" spans="1:6">
      <c r="A17907" t="str">
        <f t="shared" si="279"/>
        <v/>
      </c>
      <c r="E17907" s="626"/>
      <c r="F17907" s="626"/>
    </row>
    <row r="17908" spans="1:6">
      <c r="A17908" t="str">
        <f t="shared" si="279"/>
        <v/>
      </c>
      <c r="E17908" s="626"/>
      <c r="F17908" s="626"/>
    </row>
    <row r="17909" spans="1:6">
      <c r="A17909" t="str">
        <f t="shared" si="279"/>
        <v/>
      </c>
      <c r="E17909" s="626"/>
      <c r="F17909" s="626"/>
    </row>
    <row r="17910" spans="1:6">
      <c r="A17910" t="str">
        <f t="shared" si="279"/>
        <v/>
      </c>
      <c r="E17910" s="626"/>
      <c r="F17910" s="626"/>
    </row>
    <row r="17911" spans="1:6">
      <c r="A17911" t="str">
        <f t="shared" si="279"/>
        <v/>
      </c>
      <c r="E17911" s="626"/>
      <c r="F17911" s="626"/>
    </row>
    <row r="17912" spans="1:6">
      <c r="A17912" t="str">
        <f t="shared" si="279"/>
        <v/>
      </c>
      <c r="E17912" s="626"/>
      <c r="F17912" s="626"/>
    </row>
    <row r="17913" spans="1:6">
      <c r="A17913" t="str">
        <f t="shared" si="279"/>
        <v/>
      </c>
      <c r="E17913" s="626"/>
      <c r="F17913" s="626"/>
    </row>
    <row r="17914" spans="1:6">
      <c r="A17914" t="str">
        <f t="shared" si="279"/>
        <v/>
      </c>
      <c r="E17914" s="626"/>
      <c r="F17914" s="626"/>
    </row>
    <row r="17915" spans="1:6">
      <c r="A17915" t="str">
        <f t="shared" si="279"/>
        <v/>
      </c>
      <c r="E17915" s="626"/>
      <c r="F17915" s="626"/>
    </row>
    <row r="17916" spans="1:6">
      <c r="A17916" t="str">
        <f t="shared" si="279"/>
        <v/>
      </c>
      <c r="E17916" s="626"/>
      <c r="F17916" s="626"/>
    </row>
    <row r="17917" spans="1:6">
      <c r="A17917" t="str">
        <f t="shared" si="279"/>
        <v/>
      </c>
      <c r="E17917" s="626"/>
      <c r="F17917" s="626"/>
    </row>
    <row r="17918" spans="1:6">
      <c r="A17918" t="str">
        <f t="shared" si="279"/>
        <v/>
      </c>
      <c r="E17918" s="626"/>
      <c r="F17918" s="626"/>
    </row>
    <row r="17919" spans="1:6">
      <c r="A17919" t="str">
        <f t="shared" si="279"/>
        <v/>
      </c>
      <c r="E17919" s="626"/>
      <c r="F17919" s="626"/>
    </row>
    <row r="17920" spans="1:6">
      <c r="A17920" t="str">
        <f t="shared" si="279"/>
        <v/>
      </c>
      <c r="E17920" s="626"/>
      <c r="F17920" s="626"/>
    </row>
    <row r="17921" spans="1:6">
      <c r="A17921" t="str">
        <f t="shared" si="279"/>
        <v/>
      </c>
      <c r="E17921" s="626"/>
      <c r="F17921" s="626"/>
    </row>
    <row r="17922" spans="1:6">
      <c r="A17922" t="str">
        <f t="shared" ref="A17922:A17985" si="280">B17922&amp;E17922&amp;J17922</f>
        <v/>
      </c>
      <c r="E17922" s="626"/>
      <c r="F17922" s="626"/>
    </row>
    <row r="17923" spans="1:6">
      <c r="A17923" t="str">
        <f t="shared" si="280"/>
        <v/>
      </c>
      <c r="E17923" s="626"/>
      <c r="F17923" s="626"/>
    </row>
    <row r="17924" spans="1:6">
      <c r="A17924" t="str">
        <f t="shared" si="280"/>
        <v/>
      </c>
      <c r="E17924" s="626"/>
      <c r="F17924" s="626"/>
    </row>
    <row r="17925" spans="1:6">
      <c r="A17925" t="str">
        <f t="shared" si="280"/>
        <v/>
      </c>
      <c r="E17925" s="626"/>
      <c r="F17925" s="626"/>
    </row>
    <row r="17926" spans="1:6">
      <c r="A17926" t="str">
        <f t="shared" si="280"/>
        <v/>
      </c>
      <c r="E17926" s="626"/>
      <c r="F17926" s="626"/>
    </row>
    <row r="17927" spans="1:6">
      <c r="A17927" t="str">
        <f t="shared" si="280"/>
        <v/>
      </c>
      <c r="E17927" s="626"/>
      <c r="F17927" s="626"/>
    </row>
    <row r="17928" spans="1:6">
      <c r="A17928" t="str">
        <f t="shared" si="280"/>
        <v/>
      </c>
      <c r="E17928" s="626"/>
      <c r="F17928" s="626"/>
    </row>
    <row r="17929" spans="1:6">
      <c r="A17929" t="str">
        <f t="shared" si="280"/>
        <v/>
      </c>
      <c r="E17929" s="626"/>
      <c r="F17929" s="626"/>
    </row>
    <row r="17930" spans="1:6">
      <c r="A17930" t="str">
        <f t="shared" si="280"/>
        <v/>
      </c>
      <c r="E17930" s="626"/>
      <c r="F17930" s="626"/>
    </row>
    <row r="17931" spans="1:6">
      <c r="A17931" t="str">
        <f t="shared" si="280"/>
        <v/>
      </c>
      <c r="E17931" s="626"/>
      <c r="F17931" s="626"/>
    </row>
    <row r="17932" spans="1:6">
      <c r="A17932" t="str">
        <f t="shared" si="280"/>
        <v/>
      </c>
      <c r="E17932" s="626"/>
      <c r="F17932" s="626"/>
    </row>
    <row r="17933" spans="1:6">
      <c r="A17933" t="str">
        <f t="shared" si="280"/>
        <v/>
      </c>
      <c r="E17933" s="626"/>
      <c r="F17933" s="626"/>
    </row>
    <row r="17934" spans="1:6">
      <c r="A17934" t="str">
        <f t="shared" si="280"/>
        <v/>
      </c>
      <c r="E17934" s="626"/>
      <c r="F17934" s="626"/>
    </row>
    <row r="17935" spans="1:6">
      <c r="A17935" t="str">
        <f t="shared" si="280"/>
        <v/>
      </c>
      <c r="E17935" s="626"/>
      <c r="F17935" s="626"/>
    </row>
    <row r="17936" spans="1:6">
      <c r="A17936" t="str">
        <f t="shared" si="280"/>
        <v/>
      </c>
      <c r="E17936" s="626"/>
      <c r="F17936" s="626"/>
    </row>
    <row r="17937" spans="1:6">
      <c r="A17937" t="str">
        <f t="shared" si="280"/>
        <v/>
      </c>
      <c r="E17937" s="626"/>
      <c r="F17937" s="626"/>
    </row>
    <row r="17938" spans="1:6">
      <c r="A17938" t="str">
        <f t="shared" si="280"/>
        <v/>
      </c>
      <c r="E17938" s="626"/>
      <c r="F17938" s="626"/>
    </row>
    <row r="17939" spans="1:6">
      <c r="A17939" t="str">
        <f t="shared" si="280"/>
        <v/>
      </c>
      <c r="E17939" s="626"/>
      <c r="F17939" s="626"/>
    </row>
    <row r="17940" spans="1:6">
      <c r="A17940" t="str">
        <f t="shared" si="280"/>
        <v/>
      </c>
      <c r="E17940" s="626"/>
      <c r="F17940" s="626"/>
    </row>
    <row r="17941" spans="1:6">
      <c r="A17941" t="str">
        <f t="shared" si="280"/>
        <v/>
      </c>
      <c r="E17941" s="626"/>
      <c r="F17941" s="626"/>
    </row>
    <row r="17942" spans="1:6">
      <c r="A17942" t="str">
        <f t="shared" si="280"/>
        <v/>
      </c>
      <c r="E17942" s="626"/>
      <c r="F17942" s="626"/>
    </row>
    <row r="17943" spans="1:6">
      <c r="A17943" t="str">
        <f t="shared" si="280"/>
        <v/>
      </c>
      <c r="E17943" s="626"/>
      <c r="F17943" s="626"/>
    </row>
    <row r="17944" spans="1:6">
      <c r="A17944" t="str">
        <f t="shared" si="280"/>
        <v/>
      </c>
      <c r="E17944" s="626"/>
      <c r="F17944" s="626"/>
    </row>
    <row r="17945" spans="1:6">
      <c r="A17945" t="str">
        <f t="shared" si="280"/>
        <v/>
      </c>
      <c r="E17945" s="626"/>
      <c r="F17945" s="626"/>
    </row>
    <row r="17946" spans="1:6">
      <c r="A17946" t="str">
        <f t="shared" si="280"/>
        <v/>
      </c>
      <c r="E17946" s="626"/>
      <c r="F17946" s="626"/>
    </row>
    <row r="17947" spans="1:6">
      <c r="A17947" t="str">
        <f t="shared" si="280"/>
        <v/>
      </c>
      <c r="E17947" s="626"/>
      <c r="F17947" s="626"/>
    </row>
    <row r="17948" spans="1:6">
      <c r="A17948" t="str">
        <f t="shared" si="280"/>
        <v/>
      </c>
      <c r="E17948" s="626"/>
      <c r="F17948" s="626"/>
    </row>
    <row r="17949" spans="1:6">
      <c r="A17949" t="str">
        <f t="shared" si="280"/>
        <v/>
      </c>
      <c r="E17949" s="626"/>
      <c r="F17949" s="626"/>
    </row>
    <row r="17950" spans="1:6">
      <c r="A17950" t="str">
        <f t="shared" si="280"/>
        <v/>
      </c>
      <c r="E17950" s="626"/>
      <c r="F17950" s="626"/>
    </row>
    <row r="17951" spans="1:6">
      <c r="A17951" t="str">
        <f t="shared" si="280"/>
        <v/>
      </c>
      <c r="E17951" s="626"/>
      <c r="F17951" s="626"/>
    </row>
    <row r="17952" spans="1:6">
      <c r="A17952" t="str">
        <f t="shared" si="280"/>
        <v/>
      </c>
      <c r="E17952" s="626"/>
      <c r="F17952" s="626"/>
    </row>
    <row r="17953" spans="1:6">
      <c r="A17953" t="str">
        <f t="shared" si="280"/>
        <v/>
      </c>
      <c r="E17953" s="626"/>
      <c r="F17953" s="626"/>
    </row>
    <row r="17954" spans="1:6">
      <c r="A17954" t="str">
        <f t="shared" si="280"/>
        <v/>
      </c>
      <c r="E17954" s="626"/>
      <c r="F17954" s="626"/>
    </row>
    <row r="17955" spans="1:6">
      <c r="A17955" t="str">
        <f t="shared" si="280"/>
        <v/>
      </c>
      <c r="E17955" s="626"/>
      <c r="F17955" s="626"/>
    </row>
    <row r="17956" spans="1:6">
      <c r="A17956" t="str">
        <f t="shared" si="280"/>
        <v/>
      </c>
      <c r="E17956" s="626"/>
      <c r="F17956" s="626"/>
    </row>
    <row r="17957" spans="1:6">
      <c r="A17957" t="str">
        <f t="shared" si="280"/>
        <v/>
      </c>
      <c r="E17957" s="626"/>
      <c r="F17957" s="626"/>
    </row>
    <row r="17958" spans="1:6">
      <c r="A17958" t="str">
        <f t="shared" si="280"/>
        <v/>
      </c>
      <c r="E17958" s="626"/>
      <c r="F17958" s="626"/>
    </row>
    <row r="17959" spans="1:6">
      <c r="A17959" t="str">
        <f t="shared" si="280"/>
        <v/>
      </c>
      <c r="E17959" s="626"/>
      <c r="F17959" s="626"/>
    </row>
    <row r="17960" spans="1:6">
      <c r="A17960" t="str">
        <f t="shared" si="280"/>
        <v/>
      </c>
      <c r="E17960" s="626"/>
      <c r="F17960" s="626"/>
    </row>
    <row r="17961" spans="1:6">
      <c r="A17961" t="str">
        <f t="shared" si="280"/>
        <v/>
      </c>
      <c r="E17961" s="626"/>
      <c r="F17961" s="626"/>
    </row>
    <row r="17962" spans="1:6">
      <c r="A17962" t="str">
        <f t="shared" si="280"/>
        <v/>
      </c>
      <c r="E17962" s="626"/>
      <c r="F17962" s="626"/>
    </row>
    <row r="17963" spans="1:6">
      <c r="A17963" t="str">
        <f t="shared" si="280"/>
        <v/>
      </c>
      <c r="E17963" s="626"/>
      <c r="F17963" s="626"/>
    </row>
    <row r="17964" spans="1:6">
      <c r="A17964" t="str">
        <f t="shared" si="280"/>
        <v/>
      </c>
      <c r="E17964" s="626"/>
      <c r="F17964" s="626"/>
    </row>
    <row r="17965" spans="1:6">
      <c r="A17965" t="str">
        <f t="shared" si="280"/>
        <v/>
      </c>
      <c r="E17965" s="626"/>
      <c r="F17965" s="626"/>
    </row>
    <row r="17966" spans="1:6">
      <c r="A17966" t="str">
        <f t="shared" si="280"/>
        <v/>
      </c>
      <c r="E17966" s="626"/>
      <c r="F17966" s="626"/>
    </row>
    <row r="17967" spans="1:6">
      <c r="A17967" t="str">
        <f t="shared" si="280"/>
        <v/>
      </c>
      <c r="E17967" s="626"/>
      <c r="F17967" s="626"/>
    </row>
    <row r="17968" spans="1:6">
      <c r="A17968" t="str">
        <f t="shared" si="280"/>
        <v/>
      </c>
      <c r="E17968" s="626"/>
      <c r="F17968" s="626"/>
    </row>
    <row r="17969" spans="1:6">
      <c r="A17969" t="str">
        <f t="shared" si="280"/>
        <v/>
      </c>
      <c r="E17969" s="626"/>
      <c r="F17969" s="626"/>
    </row>
    <row r="17970" spans="1:6">
      <c r="A17970" t="str">
        <f t="shared" si="280"/>
        <v/>
      </c>
      <c r="E17970" s="626"/>
      <c r="F17970" s="626"/>
    </row>
    <row r="17971" spans="1:6">
      <c r="A17971" t="str">
        <f t="shared" si="280"/>
        <v/>
      </c>
      <c r="E17971" s="626"/>
      <c r="F17971" s="626"/>
    </row>
    <row r="17972" spans="1:6">
      <c r="A17972" t="str">
        <f t="shared" si="280"/>
        <v/>
      </c>
      <c r="E17972" s="626"/>
      <c r="F17972" s="626"/>
    </row>
    <row r="17973" spans="1:6">
      <c r="A17973" t="str">
        <f t="shared" si="280"/>
        <v/>
      </c>
      <c r="E17973" s="626"/>
      <c r="F17973" s="626"/>
    </row>
    <row r="17974" spans="1:6">
      <c r="A17974" t="str">
        <f t="shared" si="280"/>
        <v/>
      </c>
      <c r="E17974" s="626"/>
      <c r="F17974" s="626"/>
    </row>
    <row r="17975" spans="1:6">
      <c r="A17975" t="str">
        <f t="shared" si="280"/>
        <v/>
      </c>
      <c r="E17975" s="626"/>
      <c r="F17975" s="626"/>
    </row>
    <row r="17976" spans="1:6">
      <c r="A17976" t="str">
        <f t="shared" si="280"/>
        <v/>
      </c>
      <c r="E17976" s="626"/>
      <c r="F17976" s="626"/>
    </row>
    <row r="17977" spans="1:6">
      <c r="A17977" t="str">
        <f t="shared" si="280"/>
        <v/>
      </c>
      <c r="E17977" s="626"/>
      <c r="F17977" s="626"/>
    </row>
    <row r="17978" spans="1:6">
      <c r="A17978" t="str">
        <f t="shared" si="280"/>
        <v/>
      </c>
      <c r="E17978" s="626"/>
      <c r="F17978" s="626"/>
    </row>
    <row r="17979" spans="1:6">
      <c r="A17979" t="str">
        <f t="shared" si="280"/>
        <v/>
      </c>
      <c r="E17979" s="626"/>
      <c r="F17979" s="626"/>
    </row>
    <row r="17980" spans="1:6">
      <c r="A17980" t="str">
        <f t="shared" si="280"/>
        <v/>
      </c>
      <c r="E17980" s="626"/>
      <c r="F17980" s="626"/>
    </row>
    <row r="17981" spans="1:6">
      <c r="A17981" t="str">
        <f t="shared" si="280"/>
        <v/>
      </c>
      <c r="E17981" s="626"/>
      <c r="F17981" s="626"/>
    </row>
    <row r="17982" spans="1:6">
      <c r="A17982" t="str">
        <f t="shared" si="280"/>
        <v/>
      </c>
      <c r="E17982" s="626"/>
      <c r="F17982" s="626"/>
    </row>
    <row r="17983" spans="1:6">
      <c r="A17983" t="str">
        <f t="shared" si="280"/>
        <v/>
      </c>
      <c r="E17983" s="626"/>
      <c r="F17983" s="626"/>
    </row>
    <row r="17984" spans="1:6">
      <c r="A17984" t="str">
        <f t="shared" si="280"/>
        <v/>
      </c>
      <c r="E17984" s="626"/>
      <c r="F17984" s="626"/>
    </row>
    <row r="17985" spans="1:6">
      <c r="A17985" t="str">
        <f t="shared" si="280"/>
        <v/>
      </c>
      <c r="E17985" s="626"/>
      <c r="F17985" s="626"/>
    </row>
    <row r="17986" spans="1:6">
      <c r="A17986" t="str">
        <f t="shared" ref="A17986:A18049" si="281">B17986&amp;E17986&amp;J17986</f>
        <v/>
      </c>
      <c r="E17986" s="626"/>
      <c r="F17986" s="626"/>
    </row>
    <row r="17987" spans="1:6">
      <c r="A17987" t="str">
        <f t="shared" si="281"/>
        <v/>
      </c>
      <c r="E17987" s="626"/>
      <c r="F17987" s="626"/>
    </row>
    <row r="17988" spans="1:6">
      <c r="A17988" t="str">
        <f t="shared" si="281"/>
        <v/>
      </c>
      <c r="E17988" s="626"/>
      <c r="F17988" s="626"/>
    </row>
    <row r="17989" spans="1:6">
      <c r="A17989" t="str">
        <f t="shared" si="281"/>
        <v/>
      </c>
      <c r="E17989" s="626"/>
      <c r="F17989" s="626"/>
    </row>
    <row r="17990" spans="1:6">
      <c r="A17990" t="str">
        <f t="shared" si="281"/>
        <v/>
      </c>
      <c r="E17990" s="626"/>
      <c r="F17990" s="626"/>
    </row>
    <row r="17991" spans="1:6">
      <c r="A17991" t="str">
        <f t="shared" si="281"/>
        <v/>
      </c>
      <c r="E17991" s="626"/>
      <c r="F17991" s="626"/>
    </row>
    <row r="17992" spans="1:6">
      <c r="A17992" t="str">
        <f t="shared" si="281"/>
        <v/>
      </c>
      <c r="E17992" s="626"/>
      <c r="F17992" s="626"/>
    </row>
    <row r="17993" spans="1:6">
      <c r="A17993" t="str">
        <f t="shared" si="281"/>
        <v/>
      </c>
      <c r="E17993" s="626"/>
      <c r="F17993" s="626"/>
    </row>
    <row r="17994" spans="1:6">
      <c r="A17994" t="str">
        <f t="shared" si="281"/>
        <v/>
      </c>
      <c r="E17994" s="626"/>
      <c r="F17994" s="626"/>
    </row>
    <row r="17995" spans="1:6">
      <c r="A17995" t="str">
        <f t="shared" si="281"/>
        <v/>
      </c>
      <c r="E17995" s="626"/>
      <c r="F17995" s="626"/>
    </row>
    <row r="17996" spans="1:6">
      <c r="A17996" t="str">
        <f t="shared" si="281"/>
        <v/>
      </c>
      <c r="E17996" s="626"/>
      <c r="F17996" s="626"/>
    </row>
    <row r="17997" spans="1:6">
      <c r="A17997" t="str">
        <f t="shared" si="281"/>
        <v/>
      </c>
      <c r="E17997" s="626"/>
      <c r="F17997" s="626"/>
    </row>
    <row r="17998" spans="1:6">
      <c r="A17998" t="str">
        <f t="shared" si="281"/>
        <v/>
      </c>
      <c r="E17998" s="626"/>
      <c r="F17998" s="626"/>
    </row>
    <row r="17999" spans="1:6">
      <c r="A17999" t="str">
        <f t="shared" si="281"/>
        <v/>
      </c>
      <c r="E17999" s="626"/>
      <c r="F17999" s="626"/>
    </row>
    <row r="18000" spans="1:6">
      <c r="A18000" t="str">
        <f t="shared" si="281"/>
        <v/>
      </c>
      <c r="E18000" s="626"/>
      <c r="F18000" s="626"/>
    </row>
    <row r="18001" spans="1:6">
      <c r="A18001" t="str">
        <f t="shared" si="281"/>
        <v/>
      </c>
      <c r="E18001" s="626"/>
      <c r="F18001" s="626"/>
    </row>
    <row r="18002" spans="1:6">
      <c r="A18002" t="str">
        <f t="shared" si="281"/>
        <v/>
      </c>
      <c r="E18002" s="626"/>
      <c r="F18002" s="626"/>
    </row>
    <row r="18003" spans="1:6">
      <c r="A18003" t="str">
        <f t="shared" si="281"/>
        <v/>
      </c>
      <c r="E18003" s="626"/>
      <c r="F18003" s="626"/>
    </row>
    <row r="18004" spans="1:6">
      <c r="A18004" t="str">
        <f t="shared" si="281"/>
        <v/>
      </c>
      <c r="E18004" s="626"/>
      <c r="F18004" s="626"/>
    </row>
    <row r="18005" spans="1:6">
      <c r="A18005" t="str">
        <f t="shared" si="281"/>
        <v/>
      </c>
      <c r="E18005" s="626"/>
      <c r="F18005" s="626"/>
    </row>
    <row r="18006" spans="1:6">
      <c r="A18006" t="str">
        <f t="shared" si="281"/>
        <v/>
      </c>
      <c r="E18006" s="626"/>
      <c r="F18006" s="626"/>
    </row>
    <row r="18007" spans="1:6">
      <c r="A18007" t="str">
        <f t="shared" si="281"/>
        <v/>
      </c>
      <c r="E18007" s="626"/>
      <c r="F18007" s="626"/>
    </row>
    <row r="18008" spans="1:6">
      <c r="A18008" t="str">
        <f t="shared" si="281"/>
        <v/>
      </c>
      <c r="E18008" s="626"/>
      <c r="F18008" s="626"/>
    </row>
    <row r="18009" spans="1:6">
      <c r="A18009" t="str">
        <f t="shared" si="281"/>
        <v/>
      </c>
      <c r="E18009" s="626"/>
      <c r="F18009" s="626"/>
    </row>
    <row r="18010" spans="1:6">
      <c r="A18010" t="str">
        <f t="shared" si="281"/>
        <v/>
      </c>
      <c r="E18010" s="626"/>
      <c r="F18010" s="626"/>
    </row>
    <row r="18011" spans="1:6">
      <c r="A18011" t="str">
        <f t="shared" si="281"/>
        <v/>
      </c>
      <c r="E18011" s="626"/>
      <c r="F18011" s="626"/>
    </row>
    <row r="18012" spans="1:6">
      <c r="A18012" t="str">
        <f t="shared" si="281"/>
        <v/>
      </c>
      <c r="E18012" s="626"/>
      <c r="F18012" s="626"/>
    </row>
    <row r="18013" spans="1:6">
      <c r="A18013" t="str">
        <f t="shared" si="281"/>
        <v/>
      </c>
      <c r="E18013" s="626"/>
      <c r="F18013" s="626"/>
    </row>
    <row r="18014" spans="1:6">
      <c r="A18014" t="str">
        <f t="shared" si="281"/>
        <v/>
      </c>
      <c r="E18014" s="626"/>
      <c r="F18014" s="626"/>
    </row>
    <row r="18015" spans="1:6">
      <c r="A18015" t="str">
        <f t="shared" si="281"/>
        <v/>
      </c>
      <c r="E18015" s="626"/>
      <c r="F18015" s="626"/>
    </row>
    <row r="18016" spans="1:6">
      <c r="A18016" t="str">
        <f t="shared" si="281"/>
        <v/>
      </c>
      <c r="E18016" s="626"/>
      <c r="F18016" s="626"/>
    </row>
    <row r="18017" spans="1:6">
      <c r="A18017" t="str">
        <f t="shared" si="281"/>
        <v/>
      </c>
      <c r="E18017" s="626"/>
      <c r="F18017" s="626"/>
    </row>
    <row r="18018" spans="1:6">
      <c r="A18018" t="str">
        <f t="shared" si="281"/>
        <v/>
      </c>
      <c r="E18018" s="626"/>
      <c r="F18018" s="626"/>
    </row>
    <row r="18019" spans="1:6">
      <c r="A18019" t="str">
        <f t="shared" si="281"/>
        <v/>
      </c>
      <c r="E18019" s="626"/>
      <c r="F18019" s="626"/>
    </row>
    <row r="18020" spans="1:6">
      <c r="A18020" t="str">
        <f t="shared" si="281"/>
        <v/>
      </c>
      <c r="E18020" s="626"/>
      <c r="F18020" s="626"/>
    </row>
    <row r="18021" spans="1:6">
      <c r="A18021" t="str">
        <f t="shared" si="281"/>
        <v/>
      </c>
      <c r="E18021" s="626"/>
      <c r="F18021" s="626"/>
    </row>
    <row r="18022" spans="1:6">
      <c r="A18022" t="str">
        <f t="shared" si="281"/>
        <v/>
      </c>
      <c r="E18022" s="626"/>
      <c r="F18022" s="626"/>
    </row>
    <row r="18023" spans="1:6">
      <c r="A18023" t="str">
        <f t="shared" si="281"/>
        <v/>
      </c>
      <c r="E18023" s="626"/>
      <c r="F18023" s="626"/>
    </row>
    <row r="18024" spans="1:6">
      <c r="A18024" t="str">
        <f t="shared" si="281"/>
        <v/>
      </c>
      <c r="E18024" s="626"/>
      <c r="F18024" s="626"/>
    </row>
    <row r="18025" spans="1:6">
      <c r="A18025" t="str">
        <f t="shared" si="281"/>
        <v/>
      </c>
      <c r="E18025" s="626"/>
      <c r="F18025" s="626"/>
    </row>
    <row r="18026" spans="1:6">
      <c r="A18026" t="str">
        <f t="shared" si="281"/>
        <v/>
      </c>
      <c r="E18026" s="626"/>
      <c r="F18026" s="626"/>
    </row>
    <row r="18027" spans="1:6">
      <c r="A18027" t="str">
        <f t="shared" si="281"/>
        <v/>
      </c>
      <c r="E18027" s="626"/>
      <c r="F18027" s="626"/>
    </row>
    <row r="18028" spans="1:6">
      <c r="A18028" t="str">
        <f t="shared" si="281"/>
        <v/>
      </c>
      <c r="E18028" s="626"/>
      <c r="F18028" s="626"/>
    </row>
    <row r="18029" spans="1:6">
      <c r="A18029" t="str">
        <f t="shared" si="281"/>
        <v/>
      </c>
      <c r="E18029" s="626"/>
      <c r="F18029" s="626"/>
    </row>
    <row r="18030" spans="1:6">
      <c r="A18030" t="str">
        <f t="shared" si="281"/>
        <v/>
      </c>
      <c r="E18030" s="626"/>
      <c r="F18030" s="626"/>
    </row>
    <row r="18031" spans="1:6">
      <c r="A18031" t="str">
        <f t="shared" si="281"/>
        <v/>
      </c>
      <c r="E18031" s="626"/>
      <c r="F18031" s="626"/>
    </row>
    <row r="18032" spans="1:6">
      <c r="A18032" t="str">
        <f t="shared" si="281"/>
        <v/>
      </c>
      <c r="E18032" s="626"/>
      <c r="F18032" s="626"/>
    </row>
    <row r="18033" spans="1:6">
      <c r="A18033" t="str">
        <f t="shared" si="281"/>
        <v/>
      </c>
      <c r="E18033" s="626"/>
      <c r="F18033" s="626"/>
    </row>
    <row r="18034" spans="1:6">
      <c r="A18034" t="str">
        <f t="shared" si="281"/>
        <v/>
      </c>
      <c r="E18034" s="626"/>
      <c r="F18034" s="626"/>
    </row>
    <row r="18035" spans="1:6">
      <c r="A18035" t="str">
        <f t="shared" si="281"/>
        <v/>
      </c>
      <c r="E18035" s="626"/>
      <c r="F18035" s="626"/>
    </row>
    <row r="18036" spans="1:6">
      <c r="A18036" t="str">
        <f t="shared" si="281"/>
        <v/>
      </c>
      <c r="E18036" s="626"/>
      <c r="F18036" s="626"/>
    </row>
    <row r="18037" spans="1:6">
      <c r="A18037" t="str">
        <f t="shared" si="281"/>
        <v/>
      </c>
      <c r="E18037" s="626"/>
      <c r="F18037" s="626"/>
    </row>
    <row r="18038" spans="1:6">
      <c r="A18038" t="str">
        <f t="shared" si="281"/>
        <v/>
      </c>
      <c r="E18038" s="626"/>
      <c r="F18038" s="626"/>
    </row>
    <row r="18039" spans="1:6">
      <c r="A18039" t="str">
        <f t="shared" si="281"/>
        <v/>
      </c>
      <c r="E18039" s="626"/>
      <c r="F18039" s="626"/>
    </row>
    <row r="18040" spans="1:6">
      <c r="A18040" t="str">
        <f t="shared" si="281"/>
        <v/>
      </c>
      <c r="E18040" s="626"/>
      <c r="F18040" s="626"/>
    </row>
    <row r="18041" spans="1:6">
      <c r="A18041" t="str">
        <f t="shared" si="281"/>
        <v/>
      </c>
      <c r="E18041" s="626"/>
      <c r="F18041" s="626"/>
    </row>
    <row r="18042" spans="1:6">
      <c r="A18042" t="str">
        <f t="shared" si="281"/>
        <v/>
      </c>
      <c r="E18042" s="626"/>
      <c r="F18042" s="626"/>
    </row>
    <row r="18043" spans="1:6">
      <c r="A18043" t="str">
        <f t="shared" si="281"/>
        <v/>
      </c>
      <c r="E18043" s="626"/>
      <c r="F18043" s="626"/>
    </row>
    <row r="18044" spans="1:6">
      <c r="A18044" t="str">
        <f t="shared" si="281"/>
        <v/>
      </c>
      <c r="E18044" s="626"/>
      <c r="F18044" s="626"/>
    </row>
    <row r="18045" spans="1:6">
      <c r="A18045" t="str">
        <f t="shared" si="281"/>
        <v/>
      </c>
      <c r="E18045" s="626"/>
      <c r="F18045" s="626"/>
    </row>
    <row r="18046" spans="1:6">
      <c r="A18046" t="str">
        <f t="shared" si="281"/>
        <v/>
      </c>
      <c r="E18046" s="626"/>
      <c r="F18046" s="626"/>
    </row>
    <row r="18047" spans="1:6">
      <c r="A18047" t="str">
        <f t="shared" si="281"/>
        <v/>
      </c>
      <c r="E18047" s="626"/>
      <c r="F18047" s="626"/>
    </row>
    <row r="18048" spans="1:6">
      <c r="A18048" t="str">
        <f t="shared" si="281"/>
        <v/>
      </c>
      <c r="E18048" s="626"/>
      <c r="F18048" s="626"/>
    </row>
    <row r="18049" spans="1:6">
      <c r="A18049" t="str">
        <f t="shared" si="281"/>
        <v/>
      </c>
      <c r="E18049" s="626"/>
      <c r="F18049" s="626"/>
    </row>
    <row r="18050" spans="1:6">
      <c r="A18050" t="str">
        <f t="shared" ref="A18050:A18113" si="282">B18050&amp;E18050&amp;J18050</f>
        <v/>
      </c>
      <c r="E18050" s="626"/>
      <c r="F18050" s="626"/>
    </row>
    <row r="18051" spans="1:6">
      <c r="A18051" t="str">
        <f t="shared" si="282"/>
        <v/>
      </c>
      <c r="E18051" s="626"/>
      <c r="F18051" s="626"/>
    </row>
    <row r="18052" spans="1:6">
      <c r="A18052" t="str">
        <f t="shared" si="282"/>
        <v/>
      </c>
      <c r="E18052" s="626"/>
      <c r="F18052" s="626"/>
    </row>
    <row r="18053" spans="1:6">
      <c r="A18053" t="str">
        <f t="shared" si="282"/>
        <v/>
      </c>
      <c r="E18053" s="626"/>
      <c r="F18053" s="626"/>
    </row>
    <row r="18054" spans="1:6">
      <c r="A18054" t="str">
        <f t="shared" si="282"/>
        <v/>
      </c>
      <c r="E18054" s="626"/>
      <c r="F18054" s="626"/>
    </row>
    <row r="18055" spans="1:6">
      <c r="A18055" t="str">
        <f t="shared" si="282"/>
        <v/>
      </c>
      <c r="E18055" s="626"/>
      <c r="F18055" s="626"/>
    </row>
    <row r="18056" spans="1:6">
      <c r="A18056" t="str">
        <f t="shared" si="282"/>
        <v/>
      </c>
      <c r="E18056" s="626"/>
      <c r="F18056" s="626"/>
    </row>
    <row r="18057" spans="1:6">
      <c r="A18057" t="str">
        <f t="shared" si="282"/>
        <v/>
      </c>
      <c r="E18057" s="626"/>
      <c r="F18057" s="626"/>
    </row>
    <row r="18058" spans="1:6">
      <c r="A18058" t="str">
        <f t="shared" si="282"/>
        <v/>
      </c>
      <c r="E18058" s="626"/>
      <c r="F18058" s="626"/>
    </row>
    <row r="18059" spans="1:6">
      <c r="A18059" t="str">
        <f t="shared" si="282"/>
        <v/>
      </c>
      <c r="E18059" s="626"/>
      <c r="F18059" s="626"/>
    </row>
    <row r="18060" spans="1:6">
      <c r="A18060" t="str">
        <f t="shared" si="282"/>
        <v/>
      </c>
      <c r="E18060" s="626"/>
      <c r="F18060" s="626"/>
    </row>
    <row r="18061" spans="1:6">
      <c r="A18061" t="str">
        <f t="shared" si="282"/>
        <v/>
      </c>
      <c r="E18061" s="626"/>
      <c r="F18061" s="626"/>
    </row>
    <row r="18062" spans="1:6">
      <c r="A18062" t="str">
        <f t="shared" si="282"/>
        <v/>
      </c>
      <c r="E18062" s="626"/>
      <c r="F18062" s="626"/>
    </row>
    <row r="18063" spans="1:6">
      <c r="A18063" t="str">
        <f t="shared" si="282"/>
        <v/>
      </c>
      <c r="E18063" s="626"/>
      <c r="F18063" s="626"/>
    </row>
    <row r="18064" spans="1:6">
      <c r="A18064" t="str">
        <f t="shared" si="282"/>
        <v/>
      </c>
      <c r="E18064" s="626"/>
      <c r="F18064" s="626"/>
    </row>
    <row r="18065" spans="1:6">
      <c r="A18065" t="str">
        <f t="shared" si="282"/>
        <v/>
      </c>
      <c r="E18065" s="626"/>
      <c r="F18065" s="626"/>
    </row>
    <row r="18066" spans="1:6">
      <c r="A18066" t="str">
        <f t="shared" si="282"/>
        <v/>
      </c>
      <c r="E18066" s="626"/>
      <c r="F18066" s="626"/>
    </row>
    <row r="18067" spans="1:6">
      <c r="A18067" t="str">
        <f t="shared" si="282"/>
        <v/>
      </c>
      <c r="E18067" s="626"/>
      <c r="F18067" s="626"/>
    </row>
    <row r="18068" spans="1:6">
      <c r="A18068" t="str">
        <f t="shared" si="282"/>
        <v/>
      </c>
      <c r="E18068" s="626"/>
      <c r="F18068" s="626"/>
    </row>
    <row r="18069" spans="1:6">
      <c r="A18069" t="str">
        <f t="shared" si="282"/>
        <v/>
      </c>
      <c r="E18069" s="626"/>
      <c r="F18069" s="626"/>
    </row>
    <row r="18070" spans="1:6">
      <c r="A18070" t="str">
        <f t="shared" si="282"/>
        <v/>
      </c>
      <c r="E18070" s="626"/>
      <c r="F18070" s="626"/>
    </row>
    <row r="18071" spans="1:6">
      <c r="A18071" t="str">
        <f t="shared" si="282"/>
        <v/>
      </c>
      <c r="E18071" s="626"/>
      <c r="F18071" s="626"/>
    </row>
    <row r="18072" spans="1:6">
      <c r="A18072" t="str">
        <f t="shared" si="282"/>
        <v/>
      </c>
      <c r="E18072" s="626"/>
      <c r="F18072" s="626"/>
    </row>
    <row r="18073" spans="1:6">
      <c r="A18073" t="str">
        <f t="shared" si="282"/>
        <v/>
      </c>
      <c r="E18073" s="626"/>
      <c r="F18073" s="626"/>
    </row>
    <row r="18074" spans="1:6">
      <c r="A18074" t="str">
        <f t="shared" si="282"/>
        <v/>
      </c>
      <c r="E18074" s="626"/>
      <c r="F18074" s="626"/>
    </row>
    <row r="18075" spans="1:6">
      <c r="A18075" t="str">
        <f t="shared" si="282"/>
        <v/>
      </c>
      <c r="E18075" s="626"/>
      <c r="F18075" s="626"/>
    </row>
    <row r="18076" spans="1:6">
      <c r="A18076" t="str">
        <f t="shared" si="282"/>
        <v/>
      </c>
      <c r="E18076" s="626"/>
      <c r="F18076" s="626"/>
    </row>
    <row r="18077" spans="1:6">
      <c r="A18077" t="str">
        <f t="shared" si="282"/>
        <v/>
      </c>
      <c r="E18077" s="626"/>
      <c r="F18077" s="626"/>
    </row>
    <row r="18078" spans="1:6">
      <c r="A18078" t="str">
        <f t="shared" si="282"/>
        <v/>
      </c>
      <c r="E18078" s="626"/>
      <c r="F18078" s="626"/>
    </row>
    <row r="18079" spans="1:6">
      <c r="A18079" t="str">
        <f t="shared" si="282"/>
        <v/>
      </c>
      <c r="E18079" s="626"/>
      <c r="F18079" s="626"/>
    </row>
    <row r="18080" spans="1:6">
      <c r="A18080" t="str">
        <f t="shared" si="282"/>
        <v/>
      </c>
      <c r="E18080" s="626"/>
      <c r="F18080" s="626"/>
    </row>
    <row r="18081" spans="1:6">
      <c r="A18081" t="str">
        <f t="shared" si="282"/>
        <v/>
      </c>
      <c r="E18081" s="626"/>
      <c r="F18081" s="626"/>
    </row>
    <row r="18082" spans="1:6">
      <c r="A18082" t="str">
        <f t="shared" si="282"/>
        <v/>
      </c>
      <c r="E18082" s="626"/>
      <c r="F18082" s="626"/>
    </row>
    <row r="18083" spans="1:6">
      <c r="A18083" t="str">
        <f t="shared" si="282"/>
        <v/>
      </c>
      <c r="E18083" s="626"/>
      <c r="F18083" s="626"/>
    </row>
    <row r="18084" spans="1:6">
      <c r="A18084" t="str">
        <f t="shared" si="282"/>
        <v/>
      </c>
      <c r="E18084" s="626"/>
      <c r="F18084" s="626"/>
    </row>
    <row r="18085" spans="1:6">
      <c r="A18085" t="str">
        <f t="shared" si="282"/>
        <v/>
      </c>
      <c r="E18085" s="626"/>
      <c r="F18085" s="626"/>
    </row>
    <row r="18086" spans="1:6">
      <c r="A18086" t="str">
        <f t="shared" si="282"/>
        <v/>
      </c>
      <c r="E18086" s="626"/>
      <c r="F18086" s="626"/>
    </row>
    <row r="18087" spans="1:6">
      <c r="A18087" t="str">
        <f t="shared" si="282"/>
        <v/>
      </c>
      <c r="E18087" s="626"/>
      <c r="F18087" s="626"/>
    </row>
    <row r="18088" spans="1:6">
      <c r="A18088" t="str">
        <f t="shared" si="282"/>
        <v/>
      </c>
      <c r="E18088" s="626"/>
      <c r="F18088" s="626"/>
    </row>
    <row r="18089" spans="1:6">
      <c r="A18089" t="str">
        <f t="shared" si="282"/>
        <v/>
      </c>
      <c r="E18089" s="626"/>
      <c r="F18089" s="626"/>
    </row>
    <row r="18090" spans="1:6">
      <c r="A18090" t="str">
        <f t="shared" si="282"/>
        <v/>
      </c>
      <c r="E18090" s="626"/>
      <c r="F18090" s="626"/>
    </row>
    <row r="18091" spans="1:6">
      <c r="A18091" t="str">
        <f t="shared" si="282"/>
        <v/>
      </c>
      <c r="E18091" s="626"/>
      <c r="F18091" s="626"/>
    </row>
    <row r="18092" spans="1:6">
      <c r="A18092" t="str">
        <f t="shared" si="282"/>
        <v/>
      </c>
      <c r="E18092" s="626"/>
      <c r="F18092" s="626"/>
    </row>
    <row r="18093" spans="1:6">
      <c r="A18093" t="str">
        <f t="shared" si="282"/>
        <v/>
      </c>
      <c r="E18093" s="626"/>
      <c r="F18093" s="626"/>
    </row>
    <row r="18094" spans="1:6">
      <c r="A18094" t="str">
        <f t="shared" si="282"/>
        <v/>
      </c>
      <c r="E18094" s="626"/>
      <c r="F18094" s="626"/>
    </row>
    <row r="18095" spans="1:6">
      <c r="A18095" t="str">
        <f t="shared" si="282"/>
        <v/>
      </c>
      <c r="E18095" s="626"/>
      <c r="F18095" s="626"/>
    </row>
    <row r="18096" spans="1:6">
      <c r="A18096" t="str">
        <f t="shared" si="282"/>
        <v/>
      </c>
      <c r="E18096" s="626"/>
      <c r="F18096" s="626"/>
    </row>
    <row r="18097" spans="1:6">
      <c r="A18097" t="str">
        <f t="shared" si="282"/>
        <v/>
      </c>
      <c r="E18097" s="626"/>
      <c r="F18097" s="626"/>
    </row>
    <row r="18098" spans="1:6">
      <c r="A18098" t="str">
        <f t="shared" si="282"/>
        <v/>
      </c>
      <c r="E18098" s="626"/>
      <c r="F18098" s="626"/>
    </row>
    <row r="18099" spans="1:6">
      <c r="A18099" t="str">
        <f t="shared" si="282"/>
        <v/>
      </c>
      <c r="E18099" s="626"/>
      <c r="F18099" s="626"/>
    </row>
    <row r="18100" spans="1:6">
      <c r="A18100" t="str">
        <f t="shared" si="282"/>
        <v/>
      </c>
      <c r="E18100" s="626"/>
      <c r="F18100" s="626"/>
    </row>
    <row r="18101" spans="1:6">
      <c r="A18101" t="str">
        <f t="shared" si="282"/>
        <v/>
      </c>
      <c r="E18101" s="626"/>
      <c r="F18101" s="626"/>
    </row>
    <row r="18102" spans="1:6">
      <c r="A18102" t="str">
        <f t="shared" si="282"/>
        <v/>
      </c>
      <c r="E18102" s="626"/>
      <c r="F18102" s="626"/>
    </row>
    <row r="18103" spans="1:6">
      <c r="A18103" t="str">
        <f t="shared" si="282"/>
        <v/>
      </c>
      <c r="E18103" s="626"/>
      <c r="F18103" s="626"/>
    </row>
    <row r="18104" spans="1:6">
      <c r="A18104" t="str">
        <f t="shared" si="282"/>
        <v/>
      </c>
      <c r="E18104" s="626"/>
      <c r="F18104" s="626"/>
    </row>
    <row r="18105" spans="1:6">
      <c r="A18105" t="str">
        <f t="shared" si="282"/>
        <v/>
      </c>
      <c r="E18105" s="626"/>
      <c r="F18105" s="626"/>
    </row>
    <row r="18106" spans="1:6">
      <c r="A18106" t="str">
        <f t="shared" si="282"/>
        <v/>
      </c>
      <c r="E18106" s="626"/>
      <c r="F18106" s="626"/>
    </row>
    <row r="18107" spans="1:6">
      <c r="A18107" t="str">
        <f t="shared" si="282"/>
        <v/>
      </c>
      <c r="E18107" s="626"/>
      <c r="F18107" s="626"/>
    </row>
    <row r="18108" spans="1:6">
      <c r="A18108" t="str">
        <f t="shared" si="282"/>
        <v/>
      </c>
      <c r="E18108" s="626"/>
      <c r="F18108" s="626"/>
    </row>
    <row r="18109" spans="1:6">
      <c r="A18109" t="str">
        <f t="shared" si="282"/>
        <v/>
      </c>
      <c r="E18109" s="626"/>
      <c r="F18109" s="626"/>
    </row>
    <row r="18110" spans="1:6">
      <c r="A18110" t="str">
        <f t="shared" si="282"/>
        <v/>
      </c>
      <c r="E18110" s="626"/>
      <c r="F18110" s="626"/>
    </row>
    <row r="18111" spans="1:6">
      <c r="A18111" t="str">
        <f t="shared" si="282"/>
        <v/>
      </c>
      <c r="E18111" s="626"/>
      <c r="F18111" s="626"/>
    </row>
    <row r="18112" spans="1:6">
      <c r="A18112" t="str">
        <f t="shared" si="282"/>
        <v/>
      </c>
      <c r="E18112" s="626"/>
      <c r="F18112" s="626"/>
    </row>
    <row r="18113" spans="1:6">
      <c r="A18113" t="str">
        <f t="shared" si="282"/>
        <v/>
      </c>
      <c r="E18113" s="626"/>
      <c r="F18113" s="626"/>
    </row>
    <row r="18114" spans="1:6">
      <c r="A18114" t="str">
        <f t="shared" ref="A18114:A18177" si="283">B18114&amp;E18114&amp;J18114</f>
        <v/>
      </c>
      <c r="E18114" s="626"/>
      <c r="F18114" s="626"/>
    </row>
    <row r="18115" spans="1:6">
      <c r="A18115" t="str">
        <f t="shared" si="283"/>
        <v/>
      </c>
      <c r="E18115" s="626"/>
      <c r="F18115" s="626"/>
    </row>
    <row r="18116" spans="1:6">
      <c r="A18116" t="str">
        <f t="shared" si="283"/>
        <v/>
      </c>
      <c r="E18116" s="626"/>
      <c r="F18116" s="626"/>
    </row>
    <row r="18117" spans="1:6">
      <c r="A18117" t="str">
        <f t="shared" si="283"/>
        <v/>
      </c>
      <c r="E18117" s="626"/>
      <c r="F18117" s="626"/>
    </row>
    <row r="18118" spans="1:6">
      <c r="A18118" t="str">
        <f t="shared" si="283"/>
        <v/>
      </c>
      <c r="E18118" s="626"/>
      <c r="F18118" s="626"/>
    </row>
    <row r="18119" spans="1:6">
      <c r="A18119" t="str">
        <f t="shared" si="283"/>
        <v/>
      </c>
      <c r="E18119" s="626"/>
      <c r="F18119" s="626"/>
    </row>
    <row r="18120" spans="1:6">
      <c r="A18120" t="str">
        <f t="shared" si="283"/>
        <v/>
      </c>
      <c r="E18120" s="626"/>
      <c r="F18120" s="626"/>
    </row>
    <row r="18121" spans="1:6">
      <c r="A18121" t="str">
        <f t="shared" si="283"/>
        <v/>
      </c>
      <c r="E18121" s="626"/>
      <c r="F18121" s="626"/>
    </row>
    <row r="18122" spans="1:6">
      <c r="A18122" t="str">
        <f t="shared" si="283"/>
        <v/>
      </c>
      <c r="E18122" s="626"/>
      <c r="F18122" s="626"/>
    </row>
    <row r="18123" spans="1:6">
      <c r="A18123" t="str">
        <f t="shared" si="283"/>
        <v/>
      </c>
      <c r="E18123" s="626"/>
      <c r="F18123" s="626"/>
    </row>
    <row r="18124" spans="1:6">
      <c r="A18124" t="str">
        <f t="shared" si="283"/>
        <v/>
      </c>
      <c r="E18124" s="626"/>
      <c r="F18124" s="626"/>
    </row>
    <row r="18125" spans="1:6">
      <c r="A18125" t="str">
        <f t="shared" si="283"/>
        <v/>
      </c>
      <c r="E18125" s="626"/>
      <c r="F18125" s="626"/>
    </row>
    <row r="18126" spans="1:6">
      <c r="A18126" t="str">
        <f t="shared" si="283"/>
        <v/>
      </c>
      <c r="E18126" s="626"/>
      <c r="F18126" s="626"/>
    </row>
    <row r="18127" spans="1:6">
      <c r="A18127" t="str">
        <f t="shared" si="283"/>
        <v/>
      </c>
      <c r="E18127" s="626"/>
      <c r="F18127" s="626"/>
    </row>
    <row r="18128" spans="1:6">
      <c r="A18128" t="str">
        <f t="shared" si="283"/>
        <v/>
      </c>
      <c r="E18128" s="626"/>
      <c r="F18128" s="626"/>
    </row>
    <row r="18129" spans="1:6">
      <c r="A18129" t="str">
        <f t="shared" si="283"/>
        <v/>
      </c>
      <c r="E18129" s="626"/>
      <c r="F18129" s="626"/>
    </row>
    <row r="18130" spans="1:6">
      <c r="A18130" t="str">
        <f t="shared" si="283"/>
        <v/>
      </c>
      <c r="E18130" s="626"/>
      <c r="F18130" s="626"/>
    </row>
    <row r="18131" spans="1:6">
      <c r="A18131" t="str">
        <f t="shared" si="283"/>
        <v/>
      </c>
      <c r="E18131" s="626"/>
      <c r="F18131" s="626"/>
    </row>
    <row r="18132" spans="1:6">
      <c r="A18132" t="str">
        <f t="shared" si="283"/>
        <v/>
      </c>
      <c r="E18132" s="626"/>
      <c r="F18132" s="626"/>
    </row>
    <row r="18133" spans="1:6">
      <c r="A18133" t="str">
        <f t="shared" si="283"/>
        <v/>
      </c>
      <c r="E18133" s="626"/>
      <c r="F18133" s="626"/>
    </row>
    <row r="18134" spans="1:6">
      <c r="A18134" t="str">
        <f t="shared" si="283"/>
        <v/>
      </c>
      <c r="E18134" s="626"/>
      <c r="F18134" s="626"/>
    </row>
    <row r="18135" spans="1:6">
      <c r="A18135" t="str">
        <f t="shared" si="283"/>
        <v/>
      </c>
      <c r="E18135" s="626"/>
      <c r="F18135" s="626"/>
    </row>
    <row r="18136" spans="1:6">
      <c r="A18136" t="str">
        <f t="shared" si="283"/>
        <v/>
      </c>
      <c r="E18136" s="626"/>
      <c r="F18136" s="626"/>
    </row>
    <row r="18137" spans="1:6">
      <c r="A18137" t="str">
        <f t="shared" si="283"/>
        <v/>
      </c>
      <c r="E18137" s="626"/>
      <c r="F18137" s="626"/>
    </row>
    <row r="18138" spans="1:6">
      <c r="A18138" t="str">
        <f t="shared" si="283"/>
        <v/>
      </c>
      <c r="E18138" s="626"/>
      <c r="F18138" s="626"/>
    </row>
    <row r="18139" spans="1:6">
      <c r="A18139" t="str">
        <f t="shared" si="283"/>
        <v/>
      </c>
      <c r="E18139" s="626"/>
      <c r="F18139" s="626"/>
    </row>
    <row r="18140" spans="1:6">
      <c r="A18140" t="str">
        <f t="shared" si="283"/>
        <v/>
      </c>
      <c r="E18140" s="626"/>
      <c r="F18140" s="626"/>
    </row>
    <row r="18141" spans="1:6">
      <c r="A18141" t="str">
        <f t="shared" si="283"/>
        <v/>
      </c>
      <c r="E18141" s="626"/>
      <c r="F18141" s="626"/>
    </row>
    <row r="18142" spans="1:6">
      <c r="A18142" t="str">
        <f t="shared" si="283"/>
        <v/>
      </c>
      <c r="E18142" s="626"/>
      <c r="F18142" s="626"/>
    </row>
    <row r="18143" spans="1:6">
      <c r="A18143" t="str">
        <f t="shared" si="283"/>
        <v/>
      </c>
      <c r="E18143" s="626"/>
      <c r="F18143" s="626"/>
    </row>
    <row r="18144" spans="1:6">
      <c r="A18144" t="str">
        <f t="shared" si="283"/>
        <v/>
      </c>
      <c r="E18144" s="626"/>
      <c r="F18144" s="626"/>
    </row>
    <row r="18145" spans="1:6">
      <c r="A18145" t="str">
        <f t="shared" si="283"/>
        <v/>
      </c>
      <c r="E18145" s="626"/>
      <c r="F18145" s="626"/>
    </row>
    <row r="18146" spans="1:6">
      <c r="A18146" t="str">
        <f t="shared" si="283"/>
        <v/>
      </c>
      <c r="E18146" s="626"/>
      <c r="F18146" s="626"/>
    </row>
    <row r="18147" spans="1:6">
      <c r="A18147" t="str">
        <f t="shared" si="283"/>
        <v/>
      </c>
      <c r="E18147" s="626"/>
      <c r="F18147" s="626"/>
    </row>
    <row r="18148" spans="1:6">
      <c r="A18148" t="str">
        <f t="shared" si="283"/>
        <v/>
      </c>
      <c r="E18148" s="626"/>
      <c r="F18148" s="626"/>
    </row>
    <row r="18149" spans="1:6">
      <c r="A18149" t="str">
        <f t="shared" si="283"/>
        <v/>
      </c>
      <c r="E18149" s="626"/>
      <c r="F18149" s="626"/>
    </row>
    <row r="18150" spans="1:6">
      <c r="A18150" t="str">
        <f t="shared" si="283"/>
        <v/>
      </c>
      <c r="E18150" s="626"/>
      <c r="F18150" s="626"/>
    </row>
    <row r="18151" spans="1:6">
      <c r="A18151" t="str">
        <f t="shared" si="283"/>
        <v/>
      </c>
      <c r="E18151" s="626"/>
      <c r="F18151" s="626"/>
    </row>
    <row r="18152" spans="1:6">
      <c r="A18152" t="str">
        <f t="shared" si="283"/>
        <v/>
      </c>
      <c r="E18152" s="626"/>
      <c r="F18152" s="626"/>
    </row>
    <row r="18153" spans="1:6">
      <c r="A18153" t="str">
        <f t="shared" si="283"/>
        <v/>
      </c>
      <c r="E18153" s="626"/>
      <c r="F18153" s="626"/>
    </row>
    <row r="18154" spans="1:6">
      <c r="A18154" t="str">
        <f t="shared" si="283"/>
        <v/>
      </c>
      <c r="E18154" s="626"/>
      <c r="F18154" s="626"/>
    </row>
    <row r="18155" spans="1:6">
      <c r="A18155" t="str">
        <f t="shared" si="283"/>
        <v/>
      </c>
      <c r="E18155" s="626"/>
      <c r="F18155" s="626"/>
    </row>
    <row r="18156" spans="1:6">
      <c r="A18156" t="str">
        <f t="shared" si="283"/>
        <v/>
      </c>
      <c r="E18156" s="626"/>
      <c r="F18156" s="626"/>
    </row>
    <row r="18157" spans="1:6">
      <c r="A18157" t="str">
        <f t="shared" si="283"/>
        <v/>
      </c>
      <c r="E18157" s="626"/>
      <c r="F18157" s="626"/>
    </row>
    <row r="18158" spans="1:6">
      <c r="A18158" t="str">
        <f t="shared" si="283"/>
        <v/>
      </c>
      <c r="E18158" s="626"/>
      <c r="F18158" s="626"/>
    </row>
    <row r="18159" spans="1:6">
      <c r="A18159" t="str">
        <f t="shared" si="283"/>
        <v/>
      </c>
      <c r="E18159" s="626"/>
      <c r="F18159" s="626"/>
    </row>
    <row r="18160" spans="1:6">
      <c r="A18160" t="str">
        <f t="shared" si="283"/>
        <v/>
      </c>
      <c r="E18160" s="626"/>
      <c r="F18160" s="626"/>
    </row>
    <row r="18161" spans="1:6">
      <c r="A18161" t="str">
        <f t="shared" si="283"/>
        <v/>
      </c>
      <c r="E18161" s="626"/>
      <c r="F18161" s="626"/>
    </row>
    <row r="18162" spans="1:6">
      <c r="A18162" t="str">
        <f t="shared" si="283"/>
        <v/>
      </c>
      <c r="E18162" s="626"/>
      <c r="F18162" s="626"/>
    </row>
    <row r="18163" spans="1:6">
      <c r="A18163" t="str">
        <f t="shared" si="283"/>
        <v/>
      </c>
      <c r="E18163" s="626"/>
      <c r="F18163" s="626"/>
    </row>
    <row r="18164" spans="1:6">
      <c r="A18164" t="str">
        <f t="shared" si="283"/>
        <v/>
      </c>
      <c r="E18164" s="626"/>
      <c r="F18164" s="626"/>
    </row>
    <row r="18165" spans="1:6">
      <c r="A18165" t="str">
        <f t="shared" si="283"/>
        <v/>
      </c>
      <c r="E18165" s="626"/>
      <c r="F18165" s="626"/>
    </row>
    <row r="18166" spans="1:6">
      <c r="A18166" t="str">
        <f t="shared" si="283"/>
        <v/>
      </c>
      <c r="E18166" s="626"/>
      <c r="F18166" s="626"/>
    </row>
    <row r="18167" spans="1:6">
      <c r="A18167" t="str">
        <f t="shared" si="283"/>
        <v/>
      </c>
      <c r="E18167" s="626"/>
      <c r="F18167" s="626"/>
    </row>
    <row r="18168" spans="1:6">
      <c r="A18168" t="str">
        <f t="shared" si="283"/>
        <v/>
      </c>
      <c r="E18168" s="626"/>
      <c r="F18168" s="626"/>
    </row>
    <row r="18169" spans="1:6">
      <c r="A18169" t="str">
        <f t="shared" si="283"/>
        <v/>
      </c>
      <c r="E18169" s="626"/>
      <c r="F18169" s="626"/>
    </row>
    <row r="18170" spans="1:6">
      <c r="A18170" t="str">
        <f t="shared" si="283"/>
        <v/>
      </c>
      <c r="E18170" s="626"/>
      <c r="F18170" s="626"/>
    </row>
    <row r="18171" spans="1:6">
      <c r="A18171" t="str">
        <f t="shared" si="283"/>
        <v/>
      </c>
      <c r="E18171" s="626"/>
      <c r="F18171" s="626"/>
    </row>
    <row r="18172" spans="1:6">
      <c r="A18172" t="str">
        <f t="shared" si="283"/>
        <v/>
      </c>
      <c r="E18172" s="626"/>
      <c r="F18172" s="626"/>
    </row>
    <row r="18173" spans="1:6">
      <c r="A18173" t="str">
        <f t="shared" si="283"/>
        <v/>
      </c>
      <c r="E18173" s="626"/>
      <c r="F18173" s="626"/>
    </row>
    <row r="18174" spans="1:6">
      <c r="A18174" t="str">
        <f t="shared" si="283"/>
        <v/>
      </c>
      <c r="E18174" s="626"/>
      <c r="F18174" s="626"/>
    </row>
    <row r="18175" spans="1:6">
      <c r="A18175" t="str">
        <f t="shared" si="283"/>
        <v/>
      </c>
      <c r="E18175" s="626"/>
      <c r="F18175" s="626"/>
    </row>
    <row r="18176" spans="1:6">
      <c r="A18176" t="str">
        <f t="shared" si="283"/>
        <v/>
      </c>
      <c r="E18176" s="626"/>
      <c r="F18176" s="626"/>
    </row>
    <row r="18177" spans="1:6">
      <c r="A18177" t="str">
        <f t="shared" si="283"/>
        <v/>
      </c>
      <c r="E18177" s="626"/>
      <c r="F18177" s="626"/>
    </row>
    <row r="18178" spans="1:6">
      <c r="A18178" t="str">
        <f t="shared" ref="A18178:A18241" si="284">B18178&amp;E18178&amp;J18178</f>
        <v/>
      </c>
      <c r="E18178" s="626"/>
      <c r="F18178" s="626"/>
    </row>
    <row r="18179" spans="1:6">
      <c r="A18179" t="str">
        <f t="shared" si="284"/>
        <v/>
      </c>
      <c r="E18179" s="626"/>
      <c r="F18179" s="626"/>
    </row>
    <row r="18180" spans="1:6">
      <c r="A18180" t="str">
        <f t="shared" si="284"/>
        <v/>
      </c>
      <c r="E18180" s="626"/>
      <c r="F18180" s="626"/>
    </row>
    <row r="18181" spans="1:6">
      <c r="A18181" t="str">
        <f t="shared" si="284"/>
        <v/>
      </c>
      <c r="E18181" s="626"/>
      <c r="F18181" s="626"/>
    </row>
    <row r="18182" spans="1:6">
      <c r="A18182" t="str">
        <f t="shared" si="284"/>
        <v/>
      </c>
      <c r="E18182" s="626"/>
      <c r="F18182" s="626"/>
    </row>
    <row r="18183" spans="1:6">
      <c r="A18183" t="str">
        <f t="shared" si="284"/>
        <v/>
      </c>
      <c r="E18183" s="626"/>
      <c r="F18183" s="626"/>
    </row>
    <row r="18184" spans="1:6">
      <c r="A18184" t="str">
        <f t="shared" si="284"/>
        <v/>
      </c>
      <c r="E18184" s="626"/>
      <c r="F18184" s="626"/>
    </row>
    <row r="18185" spans="1:6">
      <c r="A18185" t="str">
        <f t="shared" si="284"/>
        <v/>
      </c>
      <c r="E18185" s="626"/>
      <c r="F18185" s="626"/>
    </row>
    <row r="18186" spans="1:6">
      <c r="A18186" t="str">
        <f t="shared" si="284"/>
        <v/>
      </c>
      <c r="E18186" s="626"/>
      <c r="F18186" s="626"/>
    </row>
    <row r="18187" spans="1:6">
      <c r="A18187" t="str">
        <f t="shared" si="284"/>
        <v/>
      </c>
      <c r="E18187" s="626"/>
      <c r="F18187" s="626"/>
    </row>
    <row r="18188" spans="1:6">
      <c r="A18188" t="str">
        <f t="shared" si="284"/>
        <v/>
      </c>
      <c r="E18188" s="626"/>
      <c r="F18188" s="626"/>
    </row>
    <row r="18189" spans="1:6">
      <c r="A18189" t="str">
        <f t="shared" si="284"/>
        <v/>
      </c>
      <c r="E18189" s="626"/>
      <c r="F18189" s="626"/>
    </row>
    <row r="18190" spans="1:6">
      <c r="A18190" t="str">
        <f t="shared" si="284"/>
        <v/>
      </c>
      <c r="E18190" s="626"/>
      <c r="F18190" s="626"/>
    </row>
    <row r="18191" spans="1:6">
      <c r="A18191" t="str">
        <f t="shared" si="284"/>
        <v/>
      </c>
      <c r="E18191" s="626"/>
      <c r="F18191" s="626"/>
    </row>
    <row r="18192" spans="1:6">
      <c r="A18192" t="str">
        <f t="shared" si="284"/>
        <v/>
      </c>
      <c r="E18192" s="626"/>
      <c r="F18192" s="626"/>
    </row>
    <row r="18193" spans="1:6">
      <c r="A18193" t="str">
        <f t="shared" si="284"/>
        <v/>
      </c>
      <c r="E18193" s="626"/>
      <c r="F18193" s="626"/>
    </row>
    <row r="18194" spans="1:6">
      <c r="A18194" t="str">
        <f t="shared" si="284"/>
        <v/>
      </c>
      <c r="E18194" s="626"/>
      <c r="F18194" s="626"/>
    </row>
    <row r="18195" spans="1:6">
      <c r="A18195" t="str">
        <f t="shared" si="284"/>
        <v/>
      </c>
      <c r="E18195" s="626"/>
      <c r="F18195" s="626"/>
    </row>
    <row r="18196" spans="1:6">
      <c r="A18196" t="str">
        <f t="shared" si="284"/>
        <v/>
      </c>
      <c r="E18196" s="626"/>
      <c r="F18196" s="626"/>
    </row>
    <row r="18197" spans="1:6">
      <c r="A18197" t="str">
        <f t="shared" si="284"/>
        <v/>
      </c>
      <c r="E18197" s="626"/>
      <c r="F18197" s="626"/>
    </row>
    <row r="18198" spans="1:6">
      <c r="A18198" t="str">
        <f t="shared" si="284"/>
        <v/>
      </c>
      <c r="E18198" s="626"/>
      <c r="F18198" s="626"/>
    </row>
    <row r="18199" spans="1:6">
      <c r="A18199" t="str">
        <f t="shared" si="284"/>
        <v/>
      </c>
      <c r="E18199" s="626"/>
      <c r="F18199" s="626"/>
    </row>
    <row r="18200" spans="1:6">
      <c r="A18200" t="str">
        <f t="shared" si="284"/>
        <v/>
      </c>
      <c r="E18200" s="626"/>
      <c r="F18200" s="626"/>
    </row>
    <row r="18201" spans="1:6">
      <c r="A18201" t="str">
        <f t="shared" si="284"/>
        <v/>
      </c>
      <c r="E18201" s="626"/>
      <c r="F18201" s="626"/>
    </row>
    <row r="18202" spans="1:6">
      <c r="A18202" t="str">
        <f t="shared" si="284"/>
        <v/>
      </c>
      <c r="E18202" s="626"/>
      <c r="F18202" s="626"/>
    </row>
    <row r="18203" spans="1:6">
      <c r="A18203" t="str">
        <f t="shared" si="284"/>
        <v/>
      </c>
      <c r="E18203" s="626"/>
      <c r="F18203" s="626"/>
    </row>
    <row r="18204" spans="1:6">
      <c r="A18204" t="str">
        <f t="shared" si="284"/>
        <v/>
      </c>
      <c r="E18204" s="626"/>
      <c r="F18204" s="626"/>
    </row>
    <row r="18205" spans="1:6">
      <c r="A18205" t="str">
        <f t="shared" si="284"/>
        <v/>
      </c>
      <c r="E18205" s="626"/>
      <c r="F18205" s="626"/>
    </row>
    <row r="18206" spans="1:6">
      <c r="A18206" t="str">
        <f t="shared" si="284"/>
        <v/>
      </c>
      <c r="E18206" s="626"/>
      <c r="F18206" s="626"/>
    </row>
    <row r="18207" spans="1:6">
      <c r="A18207" t="str">
        <f t="shared" si="284"/>
        <v/>
      </c>
      <c r="E18207" s="626"/>
      <c r="F18207" s="626"/>
    </row>
    <row r="18208" spans="1:6">
      <c r="A18208" t="str">
        <f t="shared" si="284"/>
        <v/>
      </c>
      <c r="E18208" s="626"/>
      <c r="F18208" s="626"/>
    </row>
    <row r="18209" spans="1:6">
      <c r="A18209" t="str">
        <f t="shared" si="284"/>
        <v/>
      </c>
      <c r="E18209" s="626"/>
      <c r="F18209" s="626"/>
    </row>
    <row r="18210" spans="1:6">
      <c r="A18210" t="str">
        <f t="shared" si="284"/>
        <v/>
      </c>
      <c r="E18210" s="626"/>
      <c r="F18210" s="626"/>
    </row>
    <row r="18211" spans="1:6">
      <c r="A18211" t="str">
        <f t="shared" si="284"/>
        <v/>
      </c>
      <c r="E18211" s="626"/>
      <c r="F18211" s="626"/>
    </row>
    <row r="18212" spans="1:6">
      <c r="A18212" t="str">
        <f t="shared" si="284"/>
        <v/>
      </c>
      <c r="E18212" s="626"/>
      <c r="F18212" s="626"/>
    </row>
    <row r="18213" spans="1:6">
      <c r="A18213" t="str">
        <f t="shared" si="284"/>
        <v/>
      </c>
      <c r="E18213" s="626"/>
      <c r="F18213" s="626"/>
    </row>
    <row r="18214" spans="1:6">
      <c r="A18214" t="str">
        <f t="shared" si="284"/>
        <v/>
      </c>
      <c r="E18214" s="626"/>
      <c r="F18214" s="626"/>
    </row>
    <row r="18215" spans="1:6">
      <c r="A18215" t="str">
        <f t="shared" si="284"/>
        <v/>
      </c>
      <c r="E18215" s="626"/>
      <c r="F18215" s="626"/>
    </row>
    <row r="18216" spans="1:6">
      <c r="A18216" t="str">
        <f t="shared" si="284"/>
        <v/>
      </c>
      <c r="E18216" s="626"/>
      <c r="F18216" s="626"/>
    </row>
    <row r="18217" spans="1:6">
      <c r="A18217" t="str">
        <f t="shared" si="284"/>
        <v/>
      </c>
      <c r="E18217" s="626"/>
      <c r="F18217" s="626"/>
    </row>
    <row r="18218" spans="1:6">
      <c r="A18218" t="str">
        <f t="shared" si="284"/>
        <v/>
      </c>
      <c r="E18218" s="626"/>
      <c r="F18218" s="626"/>
    </row>
    <row r="18219" spans="1:6">
      <c r="A18219" t="str">
        <f t="shared" si="284"/>
        <v/>
      </c>
      <c r="E18219" s="626"/>
      <c r="F18219" s="626"/>
    </row>
    <row r="18220" spans="1:6">
      <c r="A18220" t="str">
        <f t="shared" si="284"/>
        <v/>
      </c>
      <c r="E18220" s="626"/>
      <c r="F18220" s="626"/>
    </row>
    <row r="18221" spans="1:6">
      <c r="A18221" t="str">
        <f t="shared" si="284"/>
        <v/>
      </c>
      <c r="E18221" s="626"/>
      <c r="F18221" s="626"/>
    </row>
    <row r="18222" spans="1:6">
      <c r="A18222" t="str">
        <f t="shared" si="284"/>
        <v/>
      </c>
      <c r="E18222" s="626"/>
      <c r="F18222" s="626"/>
    </row>
    <row r="18223" spans="1:6">
      <c r="A18223" t="str">
        <f t="shared" si="284"/>
        <v/>
      </c>
      <c r="E18223" s="626"/>
      <c r="F18223" s="626"/>
    </row>
    <row r="18224" spans="1:6">
      <c r="A18224" t="str">
        <f t="shared" si="284"/>
        <v/>
      </c>
      <c r="E18224" s="626"/>
      <c r="F18224" s="626"/>
    </row>
    <row r="18225" spans="1:6">
      <c r="A18225" t="str">
        <f t="shared" si="284"/>
        <v/>
      </c>
      <c r="E18225" s="626"/>
      <c r="F18225" s="626"/>
    </row>
    <row r="18226" spans="1:6">
      <c r="A18226" t="str">
        <f t="shared" si="284"/>
        <v/>
      </c>
      <c r="E18226" s="626"/>
      <c r="F18226" s="626"/>
    </row>
    <row r="18227" spans="1:6">
      <c r="A18227" t="str">
        <f t="shared" si="284"/>
        <v/>
      </c>
      <c r="E18227" s="626"/>
      <c r="F18227" s="626"/>
    </row>
    <row r="18228" spans="1:6">
      <c r="A18228" t="str">
        <f t="shared" si="284"/>
        <v/>
      </c>
      <c r="E18228" s="626"/>
      <c r="F18228" s="626"/>
    </row>
    <row r="18229" spans="1:6">
      <c r="A18229" t="str">
        <f t="shared" si="284"/>
        <v/>
      </c>
      <c r="E18229" s="626"/>
      <c r="F18229" s="626"/>
    </row>
    <row r="18230" spans="1:6">
      <c r="A18230" t="str">
        <f t="shared" si="284"/>
        <v/>
      </c>
      <c r="E18230" s="626"/>
      <c r="F18230" s="626"/>
    </row>
    <row r="18231" spans="1:6">
      <c r="A18231" t="str">
        <f t="shared" si="284"/>
        <v/>
      </c>
      <c r="E18231" s="626"/>
      <c r="F18231" s="626"/>
    </row>
    <row r="18232" spans="1:6">
      <c r="A18232" t="str">
        <f t="shared" si="284"/>
        <v/>
      </c>
      <c r="E18232" s="626"/>
      <c r="F18232" s="626"/>
    </row>
    <row r="18233" spans="1:6">
      <c r="A18233" t="str">
        <f t="shared" si="284"/>
        <v/>
      </c>
      <c r="E18233" s="626"/>
      <c r="F18233" s="626"/>
    </row>
    <row r="18234" spans="1:6">
      <c r="A18234" t="str">
        <f t="shared" si="284"/>
        <v/>
      </c>
      <c r="E18234" s="626"/>
      <c r="F18234" s="626"/>
    </row>
    <row r="18235" spans="1:6">
      <c r="A18235" t="str">
        <f t="shared" si="284"/>
        <v/>
      </c>
      <c r="E18235" s="626"/>
      <c r="F18235" s="626"/>
    </row>
    <row r="18236" spans="1:6">
      <c r="A18236" t="str">
        <f t="shared" si="284"/>
        <v/>
      </c>
      <c r="E18236" s="626"/>
      <c r="F18236" s="626"/>
    </row>
    <row r="18237" spans="1:6">
      <c r="A18237" t="str">
        <f t="shared" si="284"/>
        <v/>
      </c>
      <c r="E18237" s="626"/>
      <c r="F18237" s="626"/>
    </row>
    <row r="18238" spans="1:6">
      <c r="A18238" t="str">
        <f t="shared" si="284"/>
        <v/>
      </c>
      <c r="E18238" s="626"/>
      <c r="F18238" s="626"/>
    </row>
    <row r="18239" spans="1:6">
      <c r="A18239" t="str">
        <f t="shared" si="284"/>
        <v/>
      </c>
      <c r="E18239" s="626"/>
      <c r="F18239" s="626"/>
    </row>
    <row r="18240" spans="1:6">
      <c r="A18240" t="str">
        <f t="shared" si="284"/>
        <v/>
      </c>
      <c r="E18240" s="626"/>
      <c r="F18240" s="626"/>
    </row>
    <row r="18241" spans="1:6">
      <c r="A18241" t="str">
        <f t="shared" si="284"/>
        <v/>
      </c>
      <c r="E18241" s="626"/>
      <c r="F18241" s="626"/>
    </row>
    <row r="18242" spans="1:6">
      <c r="A18242" t="str">
        <f t="shared" ref="A18242:A18305" si="285">B18242&amp;E18242&amp;J18242</f>
        <v/>
      </c>
      <c r="E18242" s="626"/>
      <c r="F18242" s="626"/>
    </row>
    <row r="18243" spans="1:6">
      <c r="A18243" t="str">
        <f t="shared" si="285"/>
        <v/>
      </c>
      <c r="E18243" s="626"/>
      <c r="F18243" s="626"/>
    </row>
    <row r="18244" spans="1:6">
      <c r="A18244" t="str">
        <f t="shared" si="285"/>
        <v/>
      </c>
      <c r="E18244" s="626"/>
      <c r="F18244" s="626"/>
    </row>
    <row r="18245" spans="1:6">
      <c r="A18245" t="str">
        <f t="shared" si="285"/>
        <v/>
      </c>
      <c r="E18245" s="626"/>
      <c r="F18245" s="626"/>
    </row>
    <row r="18246" spans="1:6">
      <c r="A18246" t="str">
        <f t="shared" si="285"/>
        <v/>
      </c>
      <c r="E18246" s="626"/>
      <c r="F18246" s="626"/>
    </row>
    <row r="18247" spans="1:6">
      <c r="A18247" t="str">
        <f t="shared" si="285"/>
        <v/>
      </c>
      <c r="E18247" s="626"/>
      <c r="F18247" s="626"/>
    </row>
    <row r="18248" spans="1:6">
      <c r="A18248" t="str">
        <f t="shared" si="285"/>
        <v/>
      </c>
      <c r="E18248" s="626"/>
      <c r="F18248" s="626"/>
    </row>
    <row r="18249" spans="1:6">
      <c r="A18249" t="str">
        <f t="shared" si="285"/>
        <v/>
      </c>
      <c r="E18249" s="626"/>
      <c r="F18249" s="626"/>
    </row>
    <row r="18250" spans="1:6">
      <c r="A18250" t="str">
        <f t="shared" si="285"/>
        <v/>
      </c>
      <c r="E18250" s="626"/>
      <c r="F18250" s="626"/>
    </row>
    <row r="18251" spans="1:6">
      <c r="A18251" t="str">
        <f t="shared" si="285"/>
        <v/>
      </c>
      <c r="E18251" s="626"/>
      <c r="F18251" s="626"/>
    </row>
    <row r="18252" spans="1:6">
      <c r="A18252" t="str">
        <f t="shared" si="285"/>
        <v/>
      </c>
      <c r="E18252" s="626"/>
      <c r="F18252" s="626"/>
    </row>
    <row r="18253" spans="1:6">
      <c r="A18253" t="str">
        <f t="shared" si="285"/>
        <v/>
      </c>
      <c r="E18253" s="626"/>
      <c r="F18253" s="626"/>
    </row>
    <row r="18254" spans="1:6">
      <c r="A18254" t="str">
        <f t="shared" si="285"/>
        <v/>
      </c>
      <c r="E18254" s="626"/>
      <c r="F18254" s="626"/>
    </row>
    <row r="18255" spans="1:6">
      <c r="A18255" t="str">
        <f t="shared" si="285"/>
        <v/>
      </c>
      <c r="E18255" s="626"/>
      <c r="F18255" s="626"/>
    </row>
    <row r="18256" spans="1:6">
      <c r="A18256" t="str">
        <f t="shared" si="285"/>
        <v/>
      </c>
      <c r="E18256" s="626"/>
      <c r="F18256" s="626"/>
    </row>
    <row r="18257" spans="1:6">
      <c r="A18257" t="str">
        <f t="shared" si="285"/>
        <v/>
      </c>
      <c r="E18257" s="626"/>
      <c r="F18257" s="626"/>
    </row>
    <row r="18258" spans="1:6">
      <c r="A18258" t="str">
        <f t="shared" si="285"/>
        <v/>
      </c>
      <c r="E18258" s="626"/>
      <c r="F18258" s="626"/>
    </row>
    <row r="18259" spans="1:6">
      <c r="A18259" t="str">
        <f t="shared" si="285"/>
        <v/>
      </c>
      <c r="E18259" s="626"/>
      <c r="F18259" s="626"/>
    </row>
    <row r="18260" spans="1:6">
      <c r="A18260" t="str">
        <f t="shared" si="285"/>
        <v/>
      </c>
      <c r="E18260" s="626"/>
      <c r="F18260" s="626"/>
    </row>
    <row r="18261" spans="1:6">
      <c r="A18261" t="str">
        <f t="shared" si="285"/>
        <v/>
      </c>
      <c r="E18261" s="626"/>
      <c r="F18261" s="626"/>
    </row>
    <row r="18262" spans="1:6">
      <c r="A18262" t="str">
        <f t="shared" si="285"/>
        <v/>
      </c>
      <c r="E18262" s="626"/>
      <c r="F18262" s="626"/>
    </row>
    <row r="18263" spans="1:6">
      <c r="A18263" t="str">
        <f t="shared" si="285"/>
        <v/>
      </c>
      <c r="E18263" s="626"/>
      <c r="F18263" s="626"/>
    </row>
    <row r="18264" spans="1:6">
      <c r="A18264" t="str">
        <f t="shared" si="285"/>
        <v/>
      </c>
      <c r="E18264" s="626"/>
      <c r="F18264" s="626"/>
    </row>
    <row r="18265" spans="1:6">
      <c r="A18265" t="str">
        <f t="shared" si="285"/>
        <v/>
      </c>
      <c r="E18265" s="626"/>
      <c r="F18265" s="626"/>
    </row>
    <row r="18266" spans="1:6">
      <c r="A18266" t="str">
        <f t="shared" si="285"/>
        <v/>
      </c>
      <c r="E18266" s="626"/>
      <c r="F18266" s="626"/>
    </row>
    <row r="18267" spans="1:6">
      <c r="A18267" t="str">
        <f t="shared" si="285"/>
        <v/>
      </c>
      <c r="E18267" s="626"/>
      <c r="F18267" s="626"/>
    </row>
    <row r="18268" spans="1:6">
      <c r="A18268" t="str">
        <f t="shared" si="285"/>
        <v/>
      </c>
      <c r="E18268" s="626"/>
      <c r="F18268" s="626"/>
    </row>
    <row r="18269" spans="1:6">
      <c r="A18269" t="str">
        <f t="shared" si="285"/>
        <v/>
      </c>
      <c r="E18269" s="626"/>
      <c r="F18269" s="626"/>
    </row>
    <row r="18270" spans="1:6">
      <c r="A18270" t="str">
        <f t="shared" si="285"/>
        <v/>
      </c>
      <c r="E18270" s="626"/>
      <c r="F18270" s="626"/>
    </row>
    <row r="18271" spans="1:6">
      <c r="A18271" t="str">
        <f t="shared" si="285"/>
        <v/>
      </c>
      <c r="E18271" s="626"/>
      <c r="F18271" s="626"/>
    </row>
    <row r="18272" spans="1:6">
      <c r="A18272" t="str">
        <f t="shared" si="285"/>
        <v/>
      </c>
      <c r="E18272" s="626"/>
      <c r="F18272" s="626"/>
    </row>
    <row r="18273" spans="1:6">
      <c r="A18273" t="str">
        <f t="shared" si="285"/>
        <v/>
      </c>
      <c r="E18273" s="626"/>
      <c r="F18273" s="626"/>
    </row>
    <row r="18274" spans="1:6">
      <c r="A18274" t="str">
        <f t="shared" si="285"/>
        <v/>
      </c>
      <c r="E18274" s="626"/>
      <c r="F18274" s="626"/>
    </row>
    <row r="18275" spans="1:6">
      <c r="A18275" t="str">
        <f t="shared" si="285"/>
        <v/>
      </c>
      <c r="E18275" s="626"/>
      <c r="F18275" s="626"/>
    </row>
    <row r="18276" spans="1:6">
      <c r="A18276" t="str">
        <f t="shared" si="285"/>
        <v/>
      </c>
      <c r="E18276" s="626"/>
      <c r="F18276" s="626"/>
    </row>
    <row r="18277" spans="1:6">
      <c r="A18277" t="str">
        <f t="shared" si="285"/>
        <v/>
      </c>
      <c r="E18277" s="626"/>
      <c r="F18277" s="626"/>
    </row>
    <row r="18278" spans="1:6">
      <c r="A18278" t="str">
        <f t="shared" si="285"/>
        <v/>
      </c>
      <c r="E18278" s="626"/>
      <c r="F18278" s="626"/>
    </row>
    <row r="18279" spans="1:6">
      <c r="A18279" t="str">
        <f t="shared" si="285"/>
        <v/>
      </c>
      <c r="E18279" s="626"/>
      <c r="F18279" s="626"/>
    </row>
    <row r="18280" spans="1:6">
      <c r="A18280" t="str">
        <f t="shared" si="285"/>
        <v/>
      </c>
      <c r="E18280" s="626"/>
      <c r="F18280" s="626"/>
    </row>
    <row r="18281" spans="1:6">
      <c r="A18281" t="str">
        <f t="shared" si="285"/>
        <v/>
      </c>
      <c r="E18281" s="626"/>
      <c r="F18281" s="626"/>
    </row>
    <row r="18282" spans="1:6">
      <c r="A18282" t="str">
        <f t="shared" si="285"/>
        <v/>
      </c>
      <c r="E18282" s="626"/>
      <c r="F18282" s="626"/>
    </row>
    <row r="18283" spans="1:6">
      <c r="A18283" t="str">
        <f t="shared" si="285"/>
        <v/>
      </c>
      <c r="E18283" s="626"/>
      <c r="F18283" s="626"/>
    </row>
    <row r="18284" spans="1:6">
      <c r="A18284" t="str">
        <f t="shared" si="285"/>
        <v/>
      </c>
      <c r="E18284" s="626"/>
      <c r="F18284" s="626"/>
    </row>
    <row r="18285" spans="1:6">
      <c r="A18285" t="str">
        <f t="shared" si="285"/>
        <v/>
      </c>
      <c r="E18285" s="626"/>
      <c r="F18285" s="626"/>
    </row>
    <row r="18286" spans="1:6">
      <c r="A18286" t="str">
        <f t="shared" si="285"/>
        <v/>
      </c>
      <c r="E18286" s="626"/>
      <c r="F18286" s="626"/>
    </row>
    <row r="18287" spans="1:6">
      <c r="A18287" t="str">
        <f t="shared" si="285"/>
        <v/>
      </c>
      <c r="E18287" s="626"/>
      <c r="F18287" s="626"/>
    </row>
    <row r="18288" spans="1:6">
      <c r="A18288" t="str">
        <f t="shared" si="285"/>
        <v/>
      </c>
      <c r="E18288" s="626"/>
      <c r="F18288" s="626"/>
    </row>
    <row r="18289" spans="1:6">
      <c r="A18289" t="str">
        <f t="shared" si="285"/>
        <v/>
      </c>
      <c r="E18289" s="626"/>
      <c r="F18289" s="626"/>
    </row>
    <row r="18290" spans="1:6">
      <c r="A18290" t="str">
        <f t="shared" si="285"/>
        <v/>
      </c>
      <c r="E18290" s="626"/>
      <c r="F18290" s="626"/>
    </row>
    <row r="18291" spans="1:6">
      <c r="A18291" t="str">
        <f t="shared" si="285"/>
        <v/>
      </c>
      <c r="E18291" s="626"/>
      <c r="F18291" s="626"/>
    </row>
    <row r="18292" spans="1:6">
      <c r="A18292" t="str">
        <f t="shared" si="285"/>
        <v/>
      </c>
      <c r="E18292" s="626"/>
      <c r="F18292" s="626"/>
    </row>
    <row r="18293" spans="1:6">
      <c r="A18293" t="str">
        <f t="shared" si="285"/>
        <v/>
      </c>
      <c r="E18293" s="626"/>
      <c r="F18293" s="626"/>
    </row>
    <row r="18294" spans="1:6">
      <c r="A18294" t="str">
        <f t="shared" si="285"/>
        <v/>
      </c>
      <c r="E18294" s="626"/>
      <c r="F18294" s="626"/>
    </row>
    <row r="18295" spans="1:6">
      <c r="A18295" t="str">
        <f t="shared" si="285"/>
        <v/>
      </c>
      <c r="E18295" s="626"/>
      <c r="F18295" s="626"/>
    </row>
    <row r="18296" spans="1:6">
      <c r="A18296" t="str">
        <f t="shared" si="285"/>
        <v/>
      </c>
      <c r="E18296" s="626"/>
      <c r="F18296" s="626"/>
    </row>
    <row r="18297" spans="1:6">
      <c r="A18297" t="str">
        <f t="shared" si="285"/>
        <v/>
      </c>
      <c r="E18297" s="626"/>
      <c r="F18297" s="626"/>
    </row>
    <row r="18298" spans="1:6">
      <c r="A18298" t="str">
        <f t="shared" si="285"/>
        <v/>
      </c>
      <c r="E18298" s="626"/>
      <c r="F18298" s="626"/>
    </row>
    <row r="18299" spans="1:6">
      <c r="A18299" t="str">
        <f t="shared" si="285"/>
        <v/>
      </c>
      <c r="E18299" s="626"/>
      <c r="F18299" s="626"/>
    </row>
    <row r="18300" spans="1:6">
      <c r="A18300" t="str">
        <f t="shared" si="285"/>
        <v/>
      </c>
      <c r="E18300" s="626"/>
      <c r="F18300" s="626"/>
    </row>
    <row r="18301" spans="1:6">
      <c r="A18301" t="str">
        <f t="shared" si="285"/>
        <v/>
      </c>
      <c r="E18301" s="626"/>
      <c r="F18301" s="626"/>
    </row>
    <row r="18302" spans="1:6">
      <c r="A18302" t="str">
        <f t="shared" si="285"/>
        <v/>
      </c>
      <c r="E18302" s="626"/>
      <c r="F18302" s="626"/>
    </row>
    <row r="18303" spans="1:6">
      <c r="A18303" t="str">
        <f t="shared" si="285"/>
        <v/>
      </c>
      <c r="E18303" s="626"/>
      <c r="F18303" s="626"/>
    </row>
    <row r="18304" spans="1:6">
      <c r="A18304" t="str">
        <f t="shared" si="285"/>
        <v/>
      </c>
      <c r="E18304" s="626"/>
      <c r="F18304" s="626"/>
    </row>
    <row r="18305" spans="1:6">
      <c r="A18305" t="str">
        <f t="shared" si="285"/>
        <v/>
      </c>
      <c r="E18305" s="626"/>
      <c r="F18305" s="626"/>
    </row>
    <row r="18306" spans="1:6">
      <c r="A18306" t="str">
        <f t="shared" ref="A18306:A18369" si="286">B18306&amp;E18306&amp;J18306</f>
        <v/>
      </c>
      <c r="E18306" s="626"/>
      <c r="F18306" s="626"/>
    </row>
    <row r="18307" spans="1:6">
      <c r="A18307" t="str">
        <f t="shared" si="286"/>
        <v/>
      </c>
      <c r="E18307" s="626"/>
      <c r="F18307" s="626"/>
    </row>
    <row r="18308" spans="1:6">
      <c r="A18308" t="str">
        <f t="shared" si="286"/>
        <v/>
      </c>
      <c r="E18308" s="626"/>
      <c r="F18308" s="626"/>
    </row>
    <row r="18309" spans="1:6">
      <c r="A18309" t="str">
        <f t="shared" si="286"/>
        <v/>
      </c>
      <c r="E18309" s="626"/>
      <c r="F18309" s="626"/>
    </row>
    <row r="18310" spans="1:6">
      <c r="A18310" t="str">
        <f t="shared" si="286"/>
        <v/>
      </c>
      <c r="E18310" s="626"/>
      <c r="F18310" s="626"/>
    </row>
    <row r="18311" spans="1:6">
      <c r="A18311" t="str">
        <f t="shared" si="286"/>
        <v/>
      </c>
      <c r="E18311" s="626"/>
      <c r="F18311" s="626"/>
    </row>
    <row r="18312" spans="1:6">
      <c r="A18312" t="str">
        <f t="shared" si="286"/>
        <v/>
      </c>
      <c r="E18312" s="626"/>
      <c r="F18312" s="626"/>
    </row>
    <row r="18313" spans="1:6">
      <c r="A18313" t="str">
        <f t="shared" si="286"/>
        <v/>
      </c>
      <c r="E18313" s="626"/>
      <c r="F18313" s="626"/>
    </row>
    <row r="18314" spans="1:6">
      <c r="A18314" t="str">
        <f t="shared" si="286"/>
        <v/>
      </c>
      <c r="E18314" s="626"/>
      <c r="F18314" s="626"/>
    </row>
    <row r="18315" spans="1:6">
      <c r="A18315" t="str">
        <f t="shared" si="286"/>
        <v/>
      </c>
      <c r="E18315" s="626"/>
      <c r="F18315" s="626"/>
    </row>
    <row r="18316" spans="1:6">
      <c r="A18316" t="str">
        <f t="shared" si="286"/>
        <v/>
      </c>
      <c r="E18316" s="626"/>
      <c r="F18316" s="626"/>
    </row>
    <row r="18317" spans="1:6">
      <c r="A18317" t="str">
        <f t="shared" si="286"/>
        <v/>
      </c>
      <c r="E18317" s="626"/>
      <c r="F18317" s="626"/>
    </row>
    <row r="18318" spans="1:6">
      <c r="A18318" t="str">
        <f t="shared" si="286"/>
        <v/>
      </c>
      <c r="E18318" s="626"/>
      <c r="F18318" s="626"/>
    </row>
    <row r="18319" spans="1:6">
      <c r="A18319" t="str">
        <f t="shared" si="286"/>
        <v/>
      </c>
      <c r="E18319" s="626"/>
      <c r="F18319" s="626"/>
    </row>
    <row r="18320" spans="1:6">
      <c r="A18320" t="str">
        <f t="shared" si="286"/>
        <v/>
      </c>
      <c r="E18320" s="626"/>
      <c r="F18320" s="626"/>
    </row>
    <row r="18321" spans="1:6">
      <c r="A18321" t="str">
        <f t="shared" si="286"/>
        <v/>
      </c>
      <c r="E18321" s="626"/>
      <c r="F18321" s="626"/>
    </row>
    <row r="18322" spans="1:6">
      <c r="A18322" t="str">
        <f t="shared" si="286"/>
        <v/>
      </c>
      <c r="E18322" s="626"/>
      <c r="F18322" s="626"/>
    </row>
    <row r="18323" spans="1:6">
      <c r="A18323" t="str">
        <f t="shared" si="286"/>
        <v/>
      </c>
      <c r="E18323" s="626"/>
      <c r="F18323" s="626"/>
    </row>
    <row r="18324" spans="1:6">
      <c r="A18324" t="str">
        <f t="shared" si="286"/>
        <v/>
      </c>
      <c r="E18324" s="626"/>
      <c r="F18324" s="626"/>
    </row>
    <row r="18325" spans="1:6">
      <c r="A18325" t="str">
        <f t="shared" si="286"/>
        <v/>
      </c>
      <c r="E18325" s="626"/>
      <c r="F18325" s="626"/>
    </row>
    <row r="18326" spans="1:6">
      <c r="A18326" t="str">
        <f t="shared" si="286"/>
        <v/>
      </c>
      <c r="E18326" s="626"/>
      <c r="F18326" s="626"/>
    </row>
    <row r="18327" spans="1:6">
      <c r="A18327" t="str">
        <f t="shared" si="286"/>
        <v/>
      </c>
      <c r="E18327" s="626"/>
      <c r="F18327" s="626"/>
    </row>
    <row r="18328" spans="1:6">
      <c r="A18328" t="str">
        <f t="shared" si="286"/>
        <v/>
      </c>
      <c r="E18328" s="626"/>
      <c r="F18328" s="626"/>
    </row>
    <row r="18329" spans="1:6">
      <c r="A18329" t="str">
        <f t="shared" si="286"/>
        <v/>
      </c>
      <c r="E18329" s="626"/>
      <c r="F18329" s="626"/>
    </row>
    <row r="18330" spans="1:6">
      <c r="A18330" t="str">
        <f t="shared" si="286"/>
        <v/>
      </c>
      <c r="E18330" s="626"/>
      <c r="F18330" s="626"/>
    </row>
    <row r="18331" spans="1:6">
      <c r="A18331" t="str">
        <f t="shared" si="286"/>
        <v/>
      </c>
      <c r="E18331" s="626"/>
      <c r="F18331" s="626"/>
    </row>
    <row r="18332" spans="1:6">
      <c r="A18332" t="str">
        <f t="shared" si="286"/>
        <v/>
      </c>
      <c r="E18332" s="626"/>
      <c r="F18332" s="626"/>
    </row>
    <row r="18333" spans="1:6">
      <c r="A18333" t="str">
        <f t="shared" si="286"/>
        <v/>
      </c>
      <c r="E18333" s="626"/>
      <c r="F18333" s="626"/>
    </row>
    <row r="18334" spans="1:6">
      <c r="A18334" t="str">
        <f t="shared" si="286"/>
        <v/>
      </c>
      <c r="E18334" s="626"/>
      <c r="F18334" s="626"/>
    </row>
    <row r="18335" spans="1:6">
      <c r="A18335" t="str">
        <f t="shared" si="286"/>
        <v/>
      </c>
      <c r="E18335" s="626"/>
      <c r="F18335" s="626"/>
    </row>
    <row r="18336" spans="1:6">
      <c r="A18336" t="str">
        <f t="shared" si="286"/>
        <v/>
      </c>
      <c r="E18336" s="626"/>
      <c r="F18336" s="626"/>
    </row>
    <row r="18337" spans="1:6">
      <c r="A18337" t="str">
        <f t="shared" si="286"/>
        <v/>
      </c>
      <c r="E18337" s="626"/>
      <c r="F18337" s="626"/>
    </row>
    <row r="18338" spans="1:6">
      <c r="A18338" t="str">
        <f t="shared" si="286"/>
        <v/>
      </c>
      <c r="E18338" s="626"/>
      <c r="F18338" s="626"/>
    </row>
    <row r="18339" spans="1:6">
      <c r="A18339" t="str">
        <f t="shared" si="286"/>
        <v/>
      </c>
      <c r="E18339" s="626"/>
      <c r="F18339" s="626"/>
    </row>
    <row r="18340" spans="1:6">
      <c r="A18340" t="str">
        <f t="shared" si="286"/>
        <v/>
      </c>
      <c r="E18340" s="626"/>
      <c r="F18340" s="626"/>
    </row>
    <row r="18341" spans="1:6">
      <c r="A18341" t="str">
        <f t="shared" si="286"/>
        <v/>
      </c>
      <c r="E18341" s="626"/>
      <c r="F18341" s="626"/>
    </row>
    <row r="18342" spans="1:6">
      <c r="A18342" t="str">
        <f t="shared" si="286"/>
        <v/>
      </c>
      <c r="E18342" s="626"/>
      <c r="F18342" s="626"/>
    </row>
    <row r="18343" spans="1:6">
      <c r="A18343" t="str">
        <f t="shared" si="286"/>
        <v/>
      </c>
      <c r="E18343" s="626"/>
      <c r="F18343" s="626"/>
    </row>
    <row r="18344" spans="1:6">
      <c r="A18344" t="str">
        <f t="shared" si="286"/>
        <v/>
      </c>
      <c r="E18344" s="626"/>
      <c r="F18344" s="626"/>
    </row>
    <row r="18345" spans="1:6">
      <c r="A18345" t="str">
        <f t="shared" si="286"/>
        <v/>
      </c>
      <c r="E18345" s="626"/>
      <c r="F18345" s="626"/>
    </row>
    <row r="18346" spans="1:6">
      <c r="A18346" t="str">
        <f t="shared" si="286"/>
        <v/>
      </c>
      <c r="E18346" s="626"/>
      <c r="F18346" s="626"/>
    </row>
    <row r="18347" spans="1:6">
      <c r="A18347" t="str">
        <f t="shared" si="286"/>
        <v/>
      </c>
      <c r="E18347" s="626"/>
      <c r="F18347" s="626"/>
    </row>
    <row r="18348" spans="1:6">
      <c r="A18348" t="str">
        <f t="shared" si="286"/>
        <v/>
      </c>
      <c r="E18348" s="626"/>
      <c r="F18348" s="626"/>
    </row>
    <row r="18349" spans="1:6">
      <c r="A18349" t="str">
        <f t="shared" si="286"/>
        <v/>
      </c>
      <c r="E18349" s="626"/>
      <c r="F18349" s="626"/>
    </row>
    <row r="18350" spans="1:6">
      <c r="A18350" t="str">
        <f t="shared" si="286"/>
        <v/>
      </c>
      <c r="E18350" s="626"/>
      <c r="F18350" s="626"/>
    </row>
    <row r="18351" spans="1:6">
      <c r="A18351" t="str">
        <f t="shared" si="286"/>
        <v/>
      </c>
      <c r="E18351" s="626"/>
      <c r="F18351" s="626"/>
    </row>
    <row r="18352" spans="1:6">
      <c r="A18352" t="str">
        <f t="shared" si="286"/>
        <v/>
      </c>
      <c r="E18352" s="626"/>
      <c r="F18352" s="626"/>
    </row>
    <row r="18353" spans="1:6">
      <c r="A18353" t="str">
        <f t="shared" si="286"/>
        <v/>
      </c>
      <c r="E18353" s="626"/>
      <c r="F18353" s="626"/>
    </row>
    <row r="18354" spans="1:6">
      <c r="A18354" t="str">
        <f t="shared" si="286"/>
        <v/>
      </c>
      <c r="E18354" s="626"/>
      <c r="F18354" s="626"/>
    </row>
    <row r="18355" spans="1:6">
      <c r="A18355" t="str">
        <f t="shared" si="286"/>
        <v/>
      </c>
      <c r="E18355" s="626"/>
      <c r="F18355" s="626"/>
    </row>
    <row r="18356" spans="1:6">
      <c r="A18356" t="str">
        <f t="shared" si="286"/>
        <v/>
      </c>
      <c r="E18356" s="626"/>
      <c r="F18356" s="626"/>
    </row>
    <row r="18357" spans="1:6">
      <c r="A18357" t="str">
        <f t="shared" si="286"/>
        <v/>
      </c>
      <c r="E18357" s="626"/>
      <c r="F18357" s="626"/>
    </row>
    <row r="18358" spans="1:6">
      <c r="A18358" t="str">
        <f t="shared" si="286"/>
        <v/>
      </c>
      <c r="E18358" s="626"/>
      <c r="F18358" s="626"/>
    </row>
    <row r="18359" spans="1:6">
      <c r="A18359" t="str">
        <f t="shared" si="286"/>
        <v/>
      </c>
      <c r="E18359" s="626"/>
      <c r="F18359" s="626"/>
    </row>
    <row r="18360" spans="1:6">
      <c r="A18360" t="str">
        <f t="shared" si="286"/>
        <v/>
      </c>
      <c r="E18360" s="626"/>
      <c r="F18360" s="626"/>
    </row>
    <row r="18361" spans="1:6">
      <c r="A18361" t="str">
        <f t="shared" si="286"/>
        <v/>
      </c>
      <c r="E18361" s="626"/>
      <c r="F18361" s="626"/>
    </row>
    <row r="18362" spans="1:6">
      <c r="A18362" t="str">
        <f t="shared" si="286"/>
        <v/>
      </c>
      <c r="E18362" s="626"/>
      <c r="F18362" s="626"/>
    </row>
    <row r="18363" spans="1:6">
      <c r="A18363" t="str">
        <f t="shared" si="286"/>
        <v/>
      </c>
      <c r="E18363" s="626"/>
      <c r="F18363" s="626"/>
    </row>
    <row r="18364" spans="1:6">
      <c r="A18364" t="str">
        <f t="shared" si="286"/>
        <v/>
      </c>
      <c r="E18364" s="626"/>
      <c r="F18364" s="626"/>
    </row>
    <row r="18365" spans="1:6">
      <c r="A18365" t="str">
        <f t="shared" si="286"/>
        <v/>
      </c>
      <c r="E18365" s="626"/>
      <c r="F18365" s="626"/>
    </row>
    <row r="18366" spans="1:6">
      <c r="A18366" t="str">
        <f t="shared" si="286"/>
        <v/>
      </c>
      <c r="E18366" s="626"/>
      <c r="F18366" s="626"/>
    </row>
    <row r="18367" spans="1:6">
      <c r="A18367" t="str">
        <f t="shared" si="286"/>
        <v/>
      </c>
      <c r="E18367" s="626"/>
      <c r="F18367" s="626"/>
    </row>
    <row r="18368" spans="1:6">
      <c r="A18368" t="str">
        <f t="shared" si="286"/>
        <v/>
      </c>
      <c r="E18368" s="626"/>
      <c r="F18368" s="626"/>
    </row>
    <row r="18369" spans="1:6">
      <c r="A18369" t="str">
        <f t="shared" si="286"/>
        <v/>
      </c>
      <c r="E18369" s="626"/>
      <c r="F18369" s="626"/>
    </row>
    <row r="18370" spans="1:6">
      <c r="A18370" t="str">
        <f t="shared" ref="A18370:A18433" si="287">B18370&amp;E18370&amp;J18370</f>
        <v/>
      </c>
      <c r="E18370" s="626"/>
      <c r="F18370" s="626"/>
    </row>
    <row r="18371" spans="1:6">
      <c r="A18371" t="str">
        <f t="shared" si="287"/>
        <v/>
      </c>
      <c r="E18371" s="626"/>
      <c r="F18371" s="626"/>
    </row>
    <row r="18372" spans="1:6">
      <c r="A18372" t="str">
        <f t="shared" si="287"/>
        <v/>
      </c>
      <c r="E18372" s="626"/>
      <c r="F18372" s="626"/>
    </row>
    <row r="18373" spans="1:6">
      <c r="A18373" t="str">
        <f t="shared" si="287"/>
        <v/>
      </c>
      <c r="E18373" s="626"/>
      <c r="F18373" s="626"/>
    </row>
    <row r="18374" spans="1:6">
      <c r="A18374" t="str">
        <f t="shared" si="287"/>
        <v/>
      </c>
      <c r="E18374" s="626"/>
      <c r="F18374" s="626"/>
    </row>
    <row r="18375" spans="1:6">
      <c r="A18375" t="str">
        <f t="shared" si="287"/>
        <v/>
      </c>
      <c r="E18375" s="626"/>
      <c r="F18375" s="626"/>
    </row>
    <row r="18376" spans="1:6">
      <c r="A18376" t="str">
        <f t="shared" si="287"/>
        <v/>
      </c>
      <c r="E18376" s="626"/>
      <c r="F18376" s="626"/>
    </row>
    <row r="18377" spans="1:6">
      <c r="A18377" t="str">
        <f t="shared" si="287"/>
        <v/>
      </c>
      <c r="E18377" s="626"/>
      <c r="F18377" s="626"/>
    </row>
    <row r="18378" spans="1:6">
      <c r="A18378" t="str">
        <f t="shared" si="287"/>
        <v/>
      </c>
      <c r="E18378" s="626"/>
      <c r="F18378" s="626"/>
    </row>
    <row r="18379" spans="1:6">
      <c r="A18379" t="str">
        <f t="shared" si="287"/>
        <v/>
      </c>
      <c r="E18379" s="626"/>
      <c r="F18379" s="626"/>
    </row>
    <row r="18380" spans="1:6">
      <c r="A18380" t="str">
        <f t="shared" si="287"/>
        <v/>
      </c>
      <c r="E18380" s="626"/>
      <c r="F18380" s="626"/>
    </row>
    <row r="18381" spans="1:6">
      <c r="A18381" t="str">
        <f t="shared" si="287"/>
        <v/>
      </c>
      <c r="E18381" s="626"/>
      <c r="F18381" s="626"/>
    </row>
    <row r="18382" spans="1:6">
      <c r="A18382" t="str">
        <f t="shared" si="287"/>
        <v/>
      </c>
      <c r="E18382" s="626"/>
      <c r="F18382" s="626"/>
    </row>
    <row r="18383" spans="1:6">
      <c r="A18383" t="str">
        <f t="shared" si="287"/>
        <v/>
      </c>
      <c r="E18383" s="626"/>
      <c r="F18383" s="626"/>
    </row>
    <row r="18384" spans="1:6">
      <c r="A18384" t="str">
        <f t="shared" si="287"/>
        <v/>
      </c>
      <c r="E18384" s="626"/>
      <c r="F18384" s="626"/>
    </row>
    <row r="18385" spans="1:6">
      <c r="A18385" t="str">
        <f t="shared" si="287"/>
        <v/>
      </c>
      <c r="E18385" s="626"/>
      <c r="F18385" s="626"/>
    </row>
    <row r="18386" spans="1:6">
      <c r="A18386" t="str">
        <f t="shared" si="287"/>
        <v/>
      </c>
      <c r="E18386" s="626"/>
      <c r="F18386" s="626"/>
    </row>
    <row r="18387" spans="1:6">
      <c r="A18387" t="str">
        <f t="shared" si="287"/>
        <v/>
      </c>
      <c r="E18387" s="626"/>
      <c r="F18387" s="626"/>
    </row>
    <row r="18388" spans="1:6">
      <c r="A18388" t="str">
        <f t="shared" si="287"/>
        <v/>
      </c>
      <c r="E18388" s="626"/>
      <c r="F18388" s="626"/>
    </row>
    <row r="18389" spans="1:6">
      <c r="A18389" t="str">
        <f t="shared" si="287"/>
        <v/>
      </c>
      <c r="E18389" s="626"/>
      <c r="F18389" s="626"/>
    </row>
    <row r="18390" spans="1:6">
      <c r="A18390" t="str">
        <f t="shared" si="287"/>
        <v/>
      </c>
      <c r="E18390" s="626"/>
      <c r="F18390" s="626"/>
    </row>
    <row r="18391" spans="1:6">
      <c r="A18391" t="str">
        <f t="shared" si="287"/>
        <v/>
      </c>
      <c r="E18391" s="626"/>
      <c r="F18391" s="626"/>
    </row>
    <row r="18392" spans="1:6">
      <c r="A18392" t="str">
        <f t="shared" si="287"/>
        <v/>
      </c>
      <c r="E18392" s="626"/>
      <c r="F18392" s="626"/>
    </row>
    <row r="18393" spans="1:6">
      <c r="A18393" t="str">
        <f t="shared" si="287"/>
        <v/>
      </c>
      <c r="E18393" s="626"/>
      <c r="F18393" s="626"/>
    </row>
    <row r="18394" spans="1:6">
      <c r="A18394" t="str">
        <f t="shared" si="287"/>
        <v/>
      </c>
      <c r="E18394" s="626"/>
      <c r="F18394" s="626"/>
    </row>
    <row r="18395" spans="1:6">
      <c r="A18395" t="str">
        <f t="shared" si="287"/>
        <v/>
      </c>
      <c r="E18395" s="626"/>
      <c r="F18395" s="626"/>
    </row>
    <row r="18396" spans="1:6">
      <c r="A18396" t="str">
        <f t="shared" si="287"/>
        <v/>
      </c>
      <c r="E18396" s="626"/>
      <c r="F18396" s="626"/>
    </row>
    <row r="18397" spans="1:6">
      <c r="A18397" t="str">
        <f t="shared" si="287"/>
        <v/>
      </c>
      <c r="E18397" s="626"/>
      <c r="F18397" s="626"/>
    </row>
    <row r="18398" spans="1:6">
      <c r="A18398" t="str">
        <f t="shared" si="287"/>
        <v/>
      </c>
      <c r="E18398" s="626"/>
      <c r="F18398" s="626"/>
    </row>
    <row r="18399" spans="1:6">
      <c r="A18399" t="str">
        <f t="shared" si="287"/>
        <v/>
      </c>
      <c r="E18399" s="626"/>
      <c r="F18399" s="626"/>
    </row>
    <row r="18400" spans="1:6">
      <c r="A18400" t="str">
        <f t="shared" si="287"/>
        <v/>
      </c>
      <c r="E18400" s="626"/>
      <c r="F18400" s="626"/>
    </row>
    <row r="18401" spans="1:6">
      <c r="A18401" t="str">
        <f t="shared" si="287"/>
        <v/>
      </c>
      <c r="E18401" s="626"/>
      <c r="F18401" s="626"/>
    </row>
    <row r="18402" spans="1:6">
      <c r="A18402" t="str">
        <f t="shared" si="287"/>
        <v/>
      </c>
      <c r="E18402" s="626"/>
      <c r="F18402" s="626"/>
    </row>
    <row r="18403" spans="1:6">
      <c r="A18403" t="str">
        <f t="shared" si="287"/>
        <v/>
      </c>
      <c r="E18403" s="626"/>
      <c r="F18403" s="626"/>
    </row>
    <row r="18404" spans="1:6">
      <c r="A18404" t="str">
        <f t="shared" si="287"/>
        <v/>
      </c>
      <c r="E18404" s="626"/>
      <c r="F18404" s="626"/>
    </row>
    <row r="18405" spans="1:6">
      <c r="A18405" t="str">
        <f t="shared" si="287"/>
        <v/>
      </c>
      <c r="E18405" s="626"/>
      <c r="F18405" s="626"/>
    </row>
    <row r="18406" spans="1:6">
      <c r="A18406" t="str">
        <f t="shared" si="287"/>
        <v/>
      </c>
      <c r="E18406" s="626"/>
      <c r="F18406" s="626"/>
    </row>
    <row r="18407" spans="1:6">
      <c r="A18407" t="str">
        <f t="shared" si="287"/>
        <v/>
      </c>
      <c r="E18407" s="626"/>
      <c r="F18407" s="626"/>
    </row>
    <row r="18408" spans="1:6">
      <c r="A18408" t="str">
        <f t="shared" si="287"/>
        <v/>
      </c>
      <c r="E18408" s="626"/>
      <c r="F18408" s="626"/>
    </row>
    <row r="18409" spans="1:6">
      <c r="A18409" t="str">
        <f t="shared" si="287"/>
        <v/>
      </c>
      <c r="E18409" s="626"/>
      <c r="F18409" s="626"/>
    </row>
    <row r="18410" spans="1:6">
      <c r="A18410" t="str">
        <f t="shared" si="287"/>
        <v/>
      </c>
      <c r="E18410" s="626"/>
      <c r="F18410" s="626"/>
    </row>
    <row r="18411" spans="1:6">
      <c r="A18411" t="str">
        <f t="shared" si="287"/>
        <v/>
      </c>
      <c r="E18411" s="626"/>
      <c r="F18411" s="626"/>
    </row>
    <row r="18412" spans="1:6">
      <c r="A18412" t="str">
        <f t="shared" si="287"/>
        <v/>
      </c>
      <c r="E18412" s="626"/>
      <c r="F18412" s="626"/>
    </row>
    <row r="18413" spans="1:6">
      <c r="A18413" t="str">
        <f t="shared" si="287"/>
        <v/>
      </c>
      <c r="E18413" s="626"/>
      <c r="F18413" s="626"/>
    </row>
    <row r="18414" spans="1:6">
      <c r="A18414" t="str">
        <f t="shared" si="287"/>
        <v/>
      </c>
      <c r="E18414" s="626"/>
      <c r="F18414" s="626"/>
    </row>
    <row r="18415" spans="1:6">
      <c r="A18415" t="str">
        <f t="shared" si="287"/>
        <v/>
      </c>
      <c r="E18415" s="626"/>
      <c r="F18415" s="626"/>
    </row>
    <row r="18416" spans="1:6">
      <c r="A18416" t="str">
        <f t="shared" si="287"/>
        <v/>
      </c>
      <c r="E18416" s="626"/>
      <c r="F18416" s="626"/>
    </row>
    <row r="18417" spans="1:6">
      <c r="A18417" t="str">
        <f t="shared" si="287"/>
        <v/>
      </c>
      <c r="E18417" s="626"/>
      <c r="F18417" s="626"/>
    </row>
    <row r="18418" spans="1:6">
      <c r="A18418" t="str">
        <f t="shared" si="287"/>
        <v/>
      </c>
      <c r="E18418" s="626"/>
      <c r="F18418" s="626"/>
    </row>
    <row r="18419" spans="1:6">
      <c r="A18419" t="str">
        <f t="shared" si="287"/>
        <v/>
      </c>
      <c r="E18419" s="626"/>
      <c r="F18419" s="626"/>
    </row>
    <row r="18420" spans="1:6">
      <c r="A18420" t="str">
        <f t="shared" si="287"/>
        <v/>
      </c>
      <c r="E18420" s="626"/>
      <c r="F18420" s="626"/>
    </row>
    <row r="18421" spans="1:6">
      <c r="A18421" t="str">
        <f t="shared" si="287"/>
        <v/>
      </c>
      <c r="E18421" s="626"/>
      <c r="F18421" s="626"/>
    </row>
    <row r="18422" spans="1:6">
      <c r="A18422" t="str">
        <f t="shared" si="287"/>
        <v/>
      </c>
      <c r="E18422" s="626"/>
      <c r="F18422" s="626"/>
    </row>
    <row r="18423" spans="1:6">
      <c r="A18423" t="str">
        <f t="shared" si="287"/>
        <v/>
      </c>
      <c r="E18423" s="626"/>
      <c r="F18423" s="626"/>
    </row>
    <row r="18424" spans="1:6">
      <c r="A18424" t="str">
        <f t="shared" si="287"/>
        <v/>
      </c>
      <c r="E18424" s="626"/>
      <c r="F18424" s="626"/>
    </row>
    <row r="18425" spans="1:6">
      <c r="A18425" t="str">
        <f t="shared" si="287"/>
        <v/>
      </c>
      <c r="E18425" s="626"/>
      <c r="F18425" s="626"/>
    </row>
    <row r="18426" spans="1:6">
      <c r="A18426" t="str">
        <f t="shared" si="287"/>
        <v/>
      </c>
      <c r="E18426" s="626"/>
      <c r="F18426" s="626"/>
    </row>
    <row r="18427" spans="1:6">
      <c r="A18427" t="str">
        <f t="shared" si="287"/>
        <v/>
      </c>
      <c r="E18427" s="626"/>
      <c r="F18427" s="626"/>
    </row>
    <row r="18428" spans="1:6">
      <c r="A18428" t="str">
        <f t="shared" si="287"/>
        <v/>
      </c>
      <c r="E18428" s="626"/>
      <c r="F18428" s="626"/>
    </row>
    <row r="18429" spans="1:6">
      <c r="A18429" t="str">
        <f t="shared" si="287"/>
        <v/>
      </c>
      <c r="E18429" s="626"/>
      <c r="F18429" s="626"/>
    </row>
    <row r="18430" spans="1:6">
      <c r="A18430" t="str">
        <f t="shared" si="287"/>
        <v/>
      </c>
      <c r="E18430" s="626"/>
      <c r="F18430" s="626"/>
    </row>
    <row r="18431" spans="1:6">
      <c r="A18431" t="str">
        <f t="shared" si="287"/>
        <v/>
      </c>
      <c r="E18431" s="626"/>
      <c r="F18431" s="626"/>
    </row>
    <row r="18432" spans="1:6">
      <c r="A18432" t="str">
        <f t="shared" si="287"/>
        <v/>
      </c>
      <c r="E18432" s="626"/>
      <c r="F18432" s="626"/>
    </row>
    <row r="18433" spans="1:6">
      <c r="A18433" t="str">
        <f t="shared" si="287"/>
        <v/>
      </c>
      <c r="E18433" s="626"/>
      <c r="F18433" s="626"/>
    </row>
    <row r="18434" spans="1:6">
      <c r="A18434" t="str">
        <f t="shared" ref="A18434:A18497" si="288">B18434&amp;E18434&amp;J18434</f>
        <v/>
      </c>
      <c r="E18434" s="626"/>
      <c r="F18434" s="626"/>
    </row>
    <row r="18435" spans="1:6">
      <c r="A18435" t="str">
        <f t="shared" si="288"/>
        <v/>
      </c>
      <c r="E18435" s="626"/>
      <c r="F18435" s="626"/>
    </row>
    <row r="18436" spans="1:6">
      <c r="A18436" t="str">
        <f t="shared" si="288"/>
        <v/>
      </c>
      <c r="E18436" s="626"/>
      <c r="F18436" s="626"/>
    </row>
    <row r="18437" spans="1:6">
      <c r="A18437" t="str">
        <f t="shared" si="288"/>
        <v/>
      </c>
      <c r="E18437" s="626"/>
      <c r="F18437" s="626"/>
    </row>
    <row r="18438" spans="1:6">
      <c r="A18438" t="str">
        <f t="shared" si="288"/>
        <v/>
      </c>
      <c r="E18438" s="626"/>
      <c r="F18438" s="626"/>
    </row>
    <row r="18439" spans="1:6">
      <c r="A18439" t="str">
        <f t="shared" si="288"/>
        <v/>
      </c>
      <c r="E18439" s="626"/>
      <c r="F18439" s="626"/>
    </row>
    <row r="18440" spans="1:6">
      <c r="A18440" t="str">
        <f t="shared" si="288"/>
        <v/>
      </c>
      <c r="E18440" s="626"/>
      <c r="F18440" s="626"/>
    </row>
    <row r="18441" spans="1:6">
      <c r="A18441" t="str">
        <f t="shared" si="288"/>
        <v/>
      </c>
      <c r="E18441" s="626"/>
      <c r="F18441" s="626"/>
    </row>
    <row r="18442" spans="1:6">
      <c r="A18442" t="str">
        <f t="shared" si="288"/>
        <v/>
      </c>
      <c r="E18442" s="626"/>
      <c r="F18442" s="626"/>
    </row>
    <row r="18443" spans="1:6">
      <c r="A18443" t="str">
        <f t="shared" si="288"/>
        <v/>
      </c>
      <c r="E18443" s="626"/>
      <c r="F18443" s="626"/>
    </row>
    <row r="18444" spans="1:6">
      <c r="A18444" t="str">
        <f t="shared" si="288"/>
        <v/>
      </c>
      <c r="E18444" s="626"/>
      <c r="F18444" s="626"/>
    </row>
    <row r="18445" spans="1:6">
      <c r="A18445" t="str">
        <f t="shared" si="288"/>
        <v/>
      </c>
      <c r="E18445" s="626"/>
      <c r="F18445" s="626"/>
    </row>
    <row r="18446" spans="1:6">
      <c r="A18446" t="str">
        <f t="shared" si="288"/>
        <v/>
      </c>
      <c r="E18446" s="626"/>
      <c r="F18446" s="626"/>
    </row>
    <row r="18447" spans="1:6">
      <c r="A18447" t="str">
        <f t="shared" si="288"/>
        <v/>
      </c>
      <c r="E18447" s="626"/>
      <c r="F18447" s="626"/>
    </row>
    <row r="18448" spans="1:6">
      <c r="A18448" t="str">
        <f t="shared" si="288"/>
        <v/>
      </c>
      <c r="E18448" s="626"/>
      <c r="F18448" s="626"/>
    </row>
    <row r="18449" spans="1:6">
      <c r="A18449" t="str">
        <f t="shared" si="288"/>
        <v/>
      </c>
      <c r="E18449" s="626"/>
      <c r="F18449" s="626"/>
    </row>
    <row r="18450" spans="1:6">
      <c r="A18450" t="str">
        <f t="shared" si="288"/>
        <v/>
      </c>
      <c r="E18450" s="626"/>
      <c r="F18450" s="626"/>
    </row>
    <row r="18451" spans="1:6">
      <c r="A18451" t="str">
        <f t="shared" si="288"/>
        <v/>
      </c>
      <c r="E18451" s="626"/>
      <c r="F18451" s="626"/>
    </row>
    <row r="18452" spans="1:6">
      <c r="A18452" t="str">
        <f t="shared" si="288"/>
        <v/>
      </c>
      <c r="E18452" s="626"/>
      <c r="F18452" s="626"/>
    </row>
    <row r="18453" spans="1:6">
      <c r="A18453" t="str">
        <f t="shared" si="288"/>
        <v/>
      </c>
      <c r="E18453" s="626"/>
      <c r="F18453" s="626"/>
    </row>
    <row r="18454" spans="1:6">
      <c r="A18454" t="str">
        <f t="shared" si="288"/>
        <v/>
      </c>
      <c r="E18454" s="626"/>
      <c r="F18454" s="626"/>
    </row>
    <row r="18455" spans="1:6">
      <c r="A18455" t="str">
        <f t="shared" si="288"/>
        <v/>
      </c>
      <c r="E18455" s="626"/>
      <c r="F18455" s="626"/>
    </row>
    <row r="18456" spans="1:6">
      <c r="A18456" t="str">
        <f t="shared" si="288"/>
        <v/>
      </c>
      <c r="E18456" s="626"/>
      <c r="F18456" s="626"/>
    </row>
    <row r="18457" spans="1:6">
      <c r="A18457" t="str">
        <f t="shared" si="288"/>
        <v/>
      </c>
      <c r="E18457" s="626"/>
      <c r="F18457" s="626"/>
    </row>
    <row r="18458" spans="1:6">
      <c r="A18458" t="str">
        <f t="shared" si="288"/>
        <v/>
      </c>
      <c r="E18458" s="626"/>
      <c r="F18458" s="626"/>
    </row>
    <row r="18459" spans="1:6">
      <c r="A18459" t="str">
        <f t="shared" si="288"/>
        <v/>
      </c>
      <c r="E18459" s="626"/>
      <c r="F18459" s="626"/>
    </row>
    <row r="18460" spans="1:6">
      <c r="A18460" t="str">
        <f t="shared" si="288"/>
        <v/>
      </c>
      <c r="E18460" s="626"/>
      <c r="F18460" s="626"/>
    </row>
    <row r="18461" spans="1:6">
      <c r="A18461" t="str">
        <f t="shared" si="288"/>
        <v/>
      </c>
      <c r="E18461" s="626"/>
      <c r="F18461" s="626"/>
    </row>
    <row r="18462" spans="1:6">
      <c r="A18462" t="str">
        <f t="shared" si="288"/>
        <v/>
      </c>
      <c r="E18462" s="626"/>
      <c r="F18462" s="626"/>
    </row>
    <row r="18463" spans="1:6">
      <c r="A18463" t="str">
        <f t="shared" si="288"/>
        <v/>
      </c>
      <c r="E18463" s="626"/>
      <c r="F18463" s="626"/>
    </row>
    <row r="18464" spans="1:6">
      <c r="A18464" t="str">
        <f t="shared" si="288"/>
        <v/>
      </c>
      <c r="E18464" s="626"/>
      <c r="F18464" s="626"/>
    </row>
    <row r="18465" spans="1:6">
      <c r="A18465" t="str">
        <f t="shared" si="288"/>
        <v/>
      </c>
      <c r="E18465" s="626"/>
      <c r="F18465" s="626"/>
    </row>
    <row r="18466" spans="1:6">
      <c r="A18466" t="str">
        <f t="shared" si="288"/>
        <v/>
      </c>
      <c r="E18466" s="626"/>
      <c r="F18466" s="626"/>
    </row>
    <row r="18467" spans="1:6">
      <c r="A18467" t="str">
        <f t="shared" si="288"/>
        <v/>
      </c>
      <c r="E18467" s="626"/>
      <c r="F18467" s="626"/>
    </row>
    <row r="18468" spans="1:6">
      <c r="A18468" t="str">
        <f t="shared" si="288"/>
        <v/>
      </c>
      <c r="E18468" s="626"/>
      <c r="F18468" s="626"/>
    </row>
    <row r="18469" spans="1:6">
      <c r="A18469" t="str">
        <f t="shared" si="288"/>
        <v/>
      </c>
      <c r="E18469" s="626"/>
      <c r="F18469" s="626"/>
    </row>
    <row r="18470" spans="1:6">
      <c r="A18470" t="str">
        <f t="shared" si="288"/>
        <v/>
      </c>
      <c r="E18470" s="626"/>
      <c r="F18470" s="626"/>
    </row>
    <row r="18471" spans="1:6">
      <c r="A18471" t="str">
        <f t="shared" si="288"/>
        <v/>
      </c>
      <c r="E18471" s="626"/>
      <c r="F18471" s="626"/>
    </row>
    <row r="18472" spans="1:6">
      <c r="A18472" t="str">
        <f t="shared" si="288"/>
        <v/>
      </c>
      <c r="E18472" s="626"/>
      <c r="F18472" s="626"/>
    </row>
    <row r="18473" spans="1:6">
      <c r="A18473" t="str">
        <f t="shared" si="288"/>
        <v/>
      </c>
      <c r="E18473" s="626"/>
      <c r="F18473" s="626"/>
    </row>
    <row r="18474" spans="1:6">
      <c r="A18474" t="str">
        <f t="shared" si="288"/>
        <v/>
      </c>
      <c r="E18474" s="626"/>
      <c r="F18474" s="626"/>
    </row>
    <row r="18475" spans="1:6">
      <c r="A18475" t="str">
        <f t="shared" si="288"/>
        <v/>
      </c>
      <c r="E18475" s="626"/>
      <c r="F18475" s="626"/>
    </row>
    <row r="18476" spans="1:6">
      <c r="A18476" t="str">
        <f t="shared" si="288"/>
        <v/>
      </c>
      <c r="E18476" s="626"/>
      <c r="F18476" s="626"/>
    </row>
    <row r="18477" spans="1:6">
      <c r="A18477" t="str">
        <f t="shared" si="288"/>
        <v/>
      </c>
      <c r="E18477" s="626"/>
      <c r="F18477" s="626"/>
    </row>
    <row r="18478" spans="1:6">
      <c r="A18478" t="str">
        <f t="shared" si="288"/>
        <v/>
      </c>
      <c r="E18478" s="626"/>
      <c r="F18478" s="626"/>
    </row>
    <row r="18479" spans="1:6">
      <c r="A18479" t="str">
        <f t="shared" si="288"/>
        <v/>
      </c>
      <c r="E18479" s="626"/>
      <c r="F18479" s="626"/>
    </row>
    <row r="18480" spans="1:6">
      <c r="A18480" t="str">
        <f t="shared" si="288"/>
        <v/>
      </c>
      <c r="E18480" s="626"/>
      <c r="F18480" s="626"/>
    </row>
    <row r="18481" spans="1:6">
      <c r="A18481" t="str">
        <f t="shared" si="288"/>
        <v/>
      </c>
      <c r="E18481" s="626"/>
      <c r="F18481" s="626"/>
    </row>
    <row r="18482" spans="1:6">
      <c r="A18482" t="str">
        <f t="shared" si="288"/>
        <v/>
      </c>
      <c r="E18482" s="626"/>
      <c r="F18482" s="626"/>
    </row>
    <row r="18483" spans="1:6">
      <c r="A18483" t="str">
        <f t="shared" si="288"/>
        <v/>
      </c>
      <c r="E18483" s="626"/>
      <c r="F18483" s="626"/>
    </row>
    <row r="18484" spans="1:6">
      <c r="A18484" t="str">
        <f t="shared" si="288"/>
        <v/>
      </c>
      <c r="E18484" s="626"/>
      <c r="F18484" s="626"/>
    </row>
    <row r="18485" spans="1:6">
      <c r="A18485" t="str">
        <f t="shared" si="288"/>
        <v/>
      </c>
      <c r="E18485" s="626"/>
      <c r="F18485" s="626"/>
    </row>
    <row r="18486" spans="1:6">
      <c r="A18486" t="str">
        <f t="shared" si="288"/>
        <v/>
      </c>
      <c r="E18486" s="626"/>
      <c r="F18486" s="626"/>
    </row>
    <row r="18487" spans="1:6">
      <c r="A18487" t="str">
        <f t="shared" si="288"/>
        <v/>
      </c>
      <c r="E18487" s="626"/>
      <c r="F18487" s="626"/>
    </row>
    <row r="18488" spans="1:6">
      <c r="A18488" t="str">
        <f t="shared" si="288"/>
        <v/>
      </c>
      <c r="E18488" s="626"/>
      <c r="F18488" s="626"/>
    </row>
    <row r="18489" spans="1:6">
      <c r="A18489" t="str">
        <f t="shared" si="288"/>
        <v/>
      </c>
      <c r="E18489" s="626"/>
      <c r="F18489" s="626"/>
    </row>
    <row r="18490" spans="1:6">
      <c r="A18490" t="str">
        <f t="shared" si="288"/>
        <v/>
      </c>
      <c r="E18490" s="626"/>
      <c r="F18490" s="626"/>
    </row>
    <row r="18491" spans="1:6">
      <c r="A18491" t="str">
        <f t="shared" si="288"/>
        <v/>
      </c>
      <c r="E18491" s="626"/>
      <c r="F18491" s="626"/>
    </row>
    <row r="18492" spans="1:6">
      <c r="A18492" t="str">
        <f t="shared" si="288"/>
        <v/>
      </c>
      <c r="E18492" s="626"/>
      <c r="F18492" s="626"/>
    </row>
    <row r="18493" spans="1:6">
      <c r="A18493" t="str">
        <f t="shared" si="288"/>
        <v/>
      </c>
      <c r="E18493" s="626"/>
      <c r="F18493" s="626"/>
    </row>
    <row r="18494" spans="1:6">
      <c r="A18494" t="str">
        <f t="shared" si="288"/>
        <v/>
      </c>
      <c r="E18494" s="626"/>
      <c r="F18494" s="626"/>
    </row>
    <row r="18495" spans="1:6">
      <c r="A18495" t="str">
        <f t="shared" si="288"/>
        <v/>
      </c>
      <c r="E18495" s="626"/>
      <c r="F18495" s="626"/>
    </row>
    <row r="18496" spans="1:6">
      <c r="A18496" t="str">
        <f t="shared" si="288"/>
        <v/>
      </c>
      <c r="E18496" s="626"/>
      <c r="F18496" s="626"/>
    </row>
    <row r="18497" spans="1:6">
      <c r="A18497" t="str">
        <f t="shared" si="288"/>
        <v/>
      </c>
      <c r="E18497" s="626"/>
      <c r="F18497" s="626"/>
    </row>
    <row r="18498" spans="1:6">
      <c r="A18498" t="str">
        <f t="shared" ref="A18498:A18561" si="289">B18498&amp;E18498&amp;J18498</f>
        <v/>
      </c>
      <c r="E18498" s="626"/>
      <c r="F18498" s="626"/>
    </row>
    <row r="18499" spans="1:6">
      <c r="A18499" t="str">
        <f t="shared" si="289"/>
        <v/>
      </c>
      <c r="E18499" s="626"/>
      <c r="F18499" s="626"/>
    </row>
    <row r="18500" spans="1:6">
      <c r="A18500" t="str">
        <f t="shared" si="289"/>
        <v/>
      </c>
      <c r="E18500" s="626"/>
      <c r="F18500" s="626"/>
    </row>
    <row r="18501" spans="1:6">
      <c r="A18501" t="str">
        <f t="shared" si="289"/>
        <v/>
      </c>
      <c r="E18501" s="626"/>
      <c r="F18501" s="626"/>
    </row>
    <row r="18502" spans="1:6">
      <c r="A18502" t="str">
        <f t="shared" si="289"/>
        <v/>
      </c>
      <c r="E18502" s="626"/>
      <c r="F18502" s="626"/>
    </row>
    <row r="18503" spans="1:6">
      <c r="A18503" t="str">
        <f t="shared" si="289"/>
        <v/>
      </c>
      <c r="E18503" s="626"/>
      <c r="F18503" s="626"/>
    </row>
    <row r="18504" spans="1:6">
      <c r="A18504" t="str">
        <f t="shared" si="289"/>
        <v/>
      </c>
      <c r="E18504" s="626"/>
      <c r="F18504" s="626"/>
    </row>
    <row r="18505" spans="1:6">
      <c r="A18505" t="str">
        <f t="shared" si="289"/>
        <v/>
      </c>
      <c r="E18505" s="626"/>
      <c r="F18505" s="626"/>
    </row>
    <row r="18506" spans="1:6">
      <c r="A18506" t="str">
        <f t="shared" si="289"/>
        <v/>
      </c>
      <c r="E18506" s="626"/>
      <c r="F18506" s="626"/>
    </row>
    <row r="18507" spans="1:6">
      <c r="A18507" t="str">
        <f t="shared" si="289"/>
        <v/>
      </c>
      <c r="E18507" s="626"/>
      <c r="F18507" s="626"/>
    </row>
    <row r="18508" spans="1:6">
      <c r="A18508" t="str">
        <f t="shared" si="289"/>
        <v/>
      </c>
      <c r="E18508" s="626"/>
      <c r="F18508" s="626"/>
    </row>
    <row r="18509" spans="1:6">
      <c r="A18509" t="str">
        <f t="shared" si="289"/>
        <v/>
      </c>
      <c r="E18509" s="626"/>
      <c r="F18509" s="626"/>
    </row>
    <row r="18510" spans="1:6">
      <c r="A18510" t="str">
        <f t="shared" si="289"/>
        <v/>
      </c>
      <c r="E18510" s="626"/>
      <c r="F18510" s="626"/>
    </row>
    <row r="18511" spans="1:6">
      <c r="A18511" t="str">
        <f t="shared" si="289"/>
        <v/>
      </c>
      <c r="E18511" s="626"/>
      <c r="F18511" s="626"/>
    </row>
    <row r="18512" spans="1:6">
      <c r="A18512" t="str">
        <f t="shared" si="289"/>
        <v/>
      </c>
      <c r="E18512" s="626"/>
      <c r="F18512" s="626"/>
    </row>
    <row r="18513" spans="1:6">
      <c r="A18513" t="str">
        <f t="shared" si="289"/>
        <v/>
      </c>
      <c r="E18513" s="626"/>
      <c r="F18513" s="626"/>
    </row>
    <row r="18514" spans="1:6">
      <c r="A18514" t="str">
        <f t="shared" si="289"/>
        <v/>
      </c>
      <c r="E18514" s="626"/>
      <c r="F18514" s="626"/>
    </row>
    <row r="18515" spans="1:6">
      <c r="A18515" t="str">
        <f t="shared" si="289"/>
        <v/>
      </c>
      <c r="E18515" s="626"/>
      <c r="F18515" s="626"/>
    </row>
    <row r="18516" spans="1:6">
      <c r="A18516" t="str">
        <f t="shared" si="289"/>
        <v/>
      </c>
      <c r="E18516" s="626"/>
      <c r="F18516" s="626"/>
    </row>
    <row r="18517" spans="1:6">
      <c r="A18517" t="str">
        <f t="shared" si="289"/>
        <v/>
      </c>
      <c r="E18517" s="626"/>
      <c r="F18517" s="626"/>
    </row>
    <row r="18518" spans="1:6">
      <c r="A18518" t="str">
        <f t="shared" si="289"/>
        <v/>
      </c>
      <c r="E18518" s="626"/>
      <c r="F18518" s="626"/>
    </row>
    <row r="18519" spans="1:6">
      <c r="A18519" t="str">
        <f t="shared" si="289"/>
        <v/>
      </c>
      <c r="E18519" s="626"/>
      <c r="F18519" s="626"/>
    </row>
    <row r="18520" spans="1:6">
      <c r="A18520" t="str">
        <f t="shared" si="289"/>
        <v/>
      </c>
      <c r="E18520" s="626"/>
      <c r="F18520" s="626"/>
    </row>
    <row r="18521" spans="1:6">
      <c r="A18521" t="str">
        <f t="shared" si="289"/>
        <v/>
      </c>
      <c r="E18521" s="626"/>
      <c r="F18521" s="626"/>
    </row>
    <row r="18522" spans="1:6">
      <c r="A18522" t="str">
        <f t="shared" si="289"/>
        <v/>
      </c>
      <c r="E18522" s="626"/>
      <c r="F18522" s="626"/>
    </row>
    <row r="18523" spans="1:6">
      <c r="A18523" t="str">
        <f t="shared" si="289"/>
        <v/>
      </c>
      <c r="E18523" s="626"/>
      <c r="F18523" s="626"/>
    </row>
    <row r="18524" spans="1:6">
      <c r="A18524" t="str">
        <f t="shared" si="289"/>
        <v/>
      </c>
      <c r="E18524" s="626"/>
      <c r="F18524" s="626"/>
    </row>
    <row r="18525" spans="1:6">
      <c r="A18525" t="str">
        <f t="shared" si="289"/>
        <v/>
      </c>
      <c r="E18525" s="626"/>
      <c r="F18525" s="626"/>
    </row>
    <row r="18526" spans="1:6">
      <c r="A18526" t="str">
        <f t="shared" si="289"/>
        <v/>
      </c>
      <c r="E18526" s="626"/>
      <c r="F18526" s="626"/>
    </row>
    <row r="18527" spans="1:6">
      <c r="A18527" t="str">
        <f t="shared" si="289"/>
        <v/>
      </c>
      <c r="E18527" s="626"/>
      <c r="F18527" s="626"/>
    </row>
    <row r="18528" spans="1:6">
      <c r="A18528" t="str">
        <f t="shared" si="289"/>
        <v/>
      </c>
      <c r="E18528" s="626"/>
      <c r="F18528" s="626"/>
    </row>
    <row r="18529" spans="1:6">
      <c r="A18529" t="str">
        <f t="shared" si="289"/>
        <v/>
      </c>
      <c r="E18529" s="626"/>
      <c r="F18529" s="626"/>
    </row>
    <row r="18530" spans="1:6">
      <c r="A18530" t="str">
        <f t="shared" si="289"/>
        <v/>
      </c>
      <c r="E18530" s="626"/>
      <c r="F18530" s="626"/>
    </row>
    <row r="18531" spans="1:6">
      <c r="A18531" t="str">
        <f t="shared" si="289"/>
        <v/>
      </c>
      <c r="E18531" s="626"/>
      <c r="F18531" s="626"/>
    </row>
    <row r="18532" spans="1:6">
      <c r="A18532" t="str">
        <f t="shared" si="289"/>
        <v/>
      </c>
      <c r="E18532" s="626"/>
      <c r="F18532" s="626"/>
    </row>
    <row r="18533" spans="1:6">
      <c r="A18533" t="str">
        <f t="shared" si="289"/>
        <v/>
      </c>
      <c r="E18533" s="626"/>
      <c r="F18533" s="626"/>
    </row>
    <row r="18534" spans="1:6">
      <c r="A18534" t="str">
        <f t="shared" si="289"/>
        <v/>
      </c>
      <c r="E18534" s="626"/>
      <c r="F18534" s="626"/>
    </row>
    <row r="18535" spans="1:6">
      <c r="A18535" t="str">
        <f t="shared" si="289"/>
        <v/>
      </c>
      <c r="E18535" s="626"/>
      <c r="F18535" s="626"/>
    </row>
    <row r="18536" spans="1:6">
      <c r="A18536" t="str">
        <f t="shared" si="289"/>
        <v/>
      </c>
      <c r="E18536" s="626"/>
      <c r="F18536" s="626"/>
    </row>
    <row r="18537" spans="1:6">
      <c r="A18537" t="str">
        <f t="shared" si="289"/>
        <v/>
      </c>
      <c r="E18537" s="626"/>
      <c r="F18537" s="626"/>
    </row>
    <row r="18538" spans="1:6">
      <c r="A18538" t="str">
        <f t="shared" si="289"/>
        <v/>
      </c>
      <c r="E18538" s="626"/>
      <c r="F18538" s="626"/>
    </row>
    <row r="18539" spans="1:6">
      <c r="A18539" t="str">
        <f t="shared" si="289"/>
        <v/>
      </c>
      <c r="E18539" s="626"/>
      <c r="F18539" s="626"/>
    </row>
    <row r="18540" spans="1:6">
      <c r="A18540" t="str">
        <f t="shared" si="289"/>
        <v/>
      </c>
      <c r="E18540" s="626"/>
      <c r="F18540" s="626"/>
    </row>
    <row r="18541" spans="1:6">
      <c r="A18541" t="str">
        <f t="shared" si="289"/>
        <v/>
      </c>
      <c r="E18541" s="626"/>
      <c r="F18541" s="626"/>
    </row>
    <row r="18542" spans="1:6">
      <c r="A18542" t="str">
        <f t="shared" si="289"/>
        <v/>
      </c>
      <c r="E18542" s="626"/>
      <c r="F18542" s="626"/>
    </row>
    <row r="18543" spans="1:6">
      <c r="A18543" t="str">
        <f t="shared" si="289"/>
        <v/>
      </c>
      <c r="E18543" s="626"/>
      <c r="F18543" s="626"/>
    </row>
    <row r="18544" spans="1:6">
      <c r="A18544" t="str">
        <f t="shared" si="289"/>
        <v/>
      </c>
      <c r="E18544" s="626"/>
      <c r="F18544" s="626"/>
    </row>
    <row r="18545" spans="1:6">
      <c r="A18545" t="str">
        <f t="shared" si="289"/>
        <v/>
      </c>
      <c r="E18545" s="626"/>
      <c r="F18545" s="626"/>
    </row>
    <row r="18546" spans="1:6">
      <c r="A18546" t="str">
        <f t="shared" si="289"/>
        <v/>
      </c>
      <c r="E18546" s="626"/>
      <c r="F18546" s="626"/>
    </row>
    <row r="18547" spans="1:6">
      <c r="A18547" t="str">
        <f t="shared" si="289"/>
        <v/>
      </c>
      <c r="E18547" s="626"/>
      <c r="F18547" s="626"/>
    </row>
    <row r="18548" spans="1:6">
      <c r="A18548" t="str">
        <f t="shared" si="289"/>
        <v/>
      </c>
      <c r="E18548" s="626"/>
      <c r="F18548" s="626"/>
    </row>
    <row r="18549" spans="1:6">
      <c r="A18549" t="str">
        <f t="shared" si="289"/>
        <v/>
      </c>
      <c r="E18549" s="626"/>
      <c r="F18549" s="626"/>
    </row>
    <row r="18550" spans="1:6">
      <c r="A18550" t="str">
        <f t="shared" si="289"/>
        <v/>
      </c>
      <c r="E18550" s="626"/>
      <c r="F18550" s="626"/>
    </row>
    <row r="18551" spans="1:6">
      <c r="A18551" t="str">
        <f t="shared" si="289"/>
        <v/>
      </c>
      <c r="E18551" s="626"/>
      <c r="F18551" s="626"/>
    </row>
    <row r="18552" spans="1:6">
      <c r="A18552" t="str">
        <f t="shared" si="289"/>
        <v/>
      </c>
      <c r="E18552" s="626"/>
      <c r="F18552" s="626"/>
    </row>
    <row r="18553" spans="1:6">
      <c r="A18553" t="str">
        <f t="shared" si="289"/>
        <v/>
      </c>
      <c r="E18553" s="626"/>
      <c r="F18553" s="626"/>
    </row>
    <row r="18554" spans="1:6">
      <c r="A18554" t="str">
        <f t="shared" si="289"/>
        <v/>
      </c>
      <c r="E18554" s="626"/>
      <c r="F18554" s="626"/>
    </row>
    <row r="18555" spans="1:6">
      <c r="A18555" t="str">
        <f t="shared" si="289"/>
        <v/>
      </c>
      <c r="E18555" s="626"/>
      <c r="F18555" s="626"/>
    </row>
    <row r="18556" spans="1:6">
      <c r="A18556" t="str">
        <f t="shared" si="289"/>
        <v/>
      </c>
      <c r="E18556" s="626"/>
      <c r="F18556" s="626"/>
    </row>
    <row r="18557" spans="1:6">
      <c r="A18557" t="str">
        <f t="shared" si="289"/>
        <v/>
      </c>
      <c r="E18557" s="626"/>
      <c r="F18557" s="626"/>
    </row>
    <row r="18558" spans="1:6">
      <c r="A18558" t="str">
        <f t="shared" si="289"/>
        <v/>
      </c>
      <c r="E18558" s="626"/>
      <c r="F18558" s="626"/>
    </row>
    <row r="18559" spans="1:6">
      <c r="A18559" t="str">
        <f t="shared" si="289"/>
        <v/>
      </c>
      <c r="E18559" s="626"/>
      <c r="F18559" s="626"/>
    </row>
    <row r="18560" spans="1:6">
      <c r="A18560" t="str">
        <f t="shared" si="289"/>
        <v/>
      </c>
      <c r="E18560" s="626"/>
      <c r="F18560" s="626"/>
    </row>
    <row r="18561" spans="1:6">
      <c r="A18561" t="str">
        <f t="shared" si="289"/>
        <v/>
      </c>
      <c r="E18561" s="626"/>
      <c r="F18561" s="626"/>
    </row>
    <row r="18562" spans="1:6">
      <c r="A18562" t="str">
        <f t="shared" ref="A18562:A18625" si="290">B18562&amp;E18562&amp;J18562</f>
        <v/>
      </c>
      <c r="E18562" s="626"/>
      <c r="F18562" s="626"/>
    </row>
    <row r="18563" spans="1:6">
      <c r="A18563" t="str">
        <f t="shared" si="290"/>
        <v/>
      </c>
      <c r="E18563" s="626"/>
      <c r="F18563" s="626"/>
    </row>
    <row r="18564" spans="1:6">
      <c r="A18564" t="str">
        <f t="shared" si="290"/>
        <v/>
      </c>
      <c r="E18564" s="626"/>
      <c r="F18564" s="626"/>
    </row>
    <row r="18565" spans="1:6">
      <c r="A18565" t="str">
        <f t="shared" si="290"/>
        <v/>
      </c>
      <c r="E18565" s="626"/>
      <c r="F18565" s="626"/>
    </row>
    <row r="18566" spans="1:6">
      <c r="A18566" t="str">
        <f t="shared" si="290"/>
        <v/>
      </c>
      <c r="E18566" s="626"/>
      <c r="F18566" s="626"/>
    </row>
    <row r="18567" spans="1:6">
      <c r="A18567" t="str">
        <f t="shared" si="290"/>
        <v/>
      </c>
      <c r="E18567" s="626"/>
      <c r="F18567" s="626"/>
    </row>
    <row r="18568" spans="1:6">
      <c r="A18568" t="str">
        <f t="shared" si="290"/>
        <v/>
      </c>
      <c r="E18568" s="626"/>
      <c r="F18568" s="626"/>
    </row>
    <row r="18569" spans="1:6">
      <c r="A18569" t="str">
        <f t="shared" si="290"/>
        <v/>
      </c>
      <c r="E18569" s="626"/>
      <c r="F18569" s="626"/>
    </row>
    <row r="18570" spans="1:6">
      <c r="A18570" t="str">
        <f t="shared" si="290"/>
        <v/>
      </c>
      <c r="E18570" s="626"/>
      <c r="F18570" s="626"/>
    </row>
    <row r="18571" spans="1:6">
      <c r="A18571" t="str">
        <f t="shared" si="290"/>
        <v/>
      </c>
      <c r="E18571" s="626"/>
      <c r="F18571" s="626"/>
    </row>
    <row r="18572" spans="1:6">
      <c r="A18572" t="str">
        <f t="shared" si="290"/>
        <v/>
      </c>
      <c r="E18572" s="626"/>
      <c r="F18572" s="626"/>
    </row>
    <row r="18573" spans="1:6">
      <c r="A18573" t="str">
        <f t="shared" si="290"/>
        <v/>
      </c>
      <c r="E18573" s="626"/>
      <c r="F18573" s="626"/>
    </row>
    <row r="18574" spans="1:6">
      <c r="A18574" t="str">
        <f t="shared" si="290"/>
        <v/>
      </c>
      <c r="E18574" s="626"/>
      <c r="F18574" s="626"/>
    </row>
    <row r="18575" spans="1:6">
      <c r="A18575" t="str">
        <f t="shared" si="290"/>
        <v/>
      </c>
      <c r="E18575" s="626"/>
      <c r="F18575" s="626"/>
    </row>
    <row r="18576" spans="1:6">
      <c r="A18576" t="str">
        <f t="shared" si="290"/>
        <v/>
      </c>
      <c r="E18576" s="626"/>
      <c r="F18576" s="626"/>
    </row>
    <row r="18577" spans="1:6">
      <c r="A18577" t="str">
        <f t="shared" si="290"/>
        <v/>
      </c>
      <c r="E18577" s="626"/>
      <c r="F18577" s="626"/>
    </row>
    <row r="18578" spans="1:6">
      <c r="A18578" t="str">
        <f t="shared" si="290"/>
        <v/>
      </c>
      <c r="E18578" s="626"/>
      <c r="F18578" s="626"/>
    </row>
    <row r="18579" spans="1:6">
      <c r="A18579" t="str">
        <f t="shared" si="290"/>
        <v/>
      </c>
      <c r="E18579" s="626"/>
      <c r="F18579" s="626"/>
    </row>
    <row r="18580" spans="1:6">
      <c r="A18580" t="str">
        <f t="shared" si="290"/>
        <v/>
      </c>
      <c r="E18580" s="626"/>
      <c r="F18580" s="626"/>
    </row>
    <row r="18581" spans="1:6">
      <c r="A18581" t="str">
        <f t="shared" si="290"/>
        <v/>
      </c>
      <c r="E18581" s="626"/>
      <c r="F18581" s="626"/>
    </row>
    <row r="18582" spans="1:6">
      <c r="A18582" t="str">
        <f t="shared" si="290"/>
        <v/>
      </c>
      <c r="E18582" s="626"/>
      <c r="F18582" s="626"/>
    </row>
    <row r="18583" spans="1:6">
      <c r="A18583" t="str">
        <f t="shared" si="290"/>
        <v/>
      </c>
      <c r="E18583" s="626"/>
      <c r="F18583" s="626"/>
    </row>
    <row r="18584" spans="1:6">
      <c r="A18584" t="str">
        <f t="shared" si="290"/>
        <v/>
      </c>
      <c r="E18584" s="626"/>
      <c r="F18584" s="626"/>
    </row>
    <row r="18585" spans="1:6">
      <c r="A18585" t="str">
        <f t="shared" si="290"/>
        <v/>
      </c>
      <c r="E18585" s="626"/>
      <c r="F18585" s="626"/>
    </row>
    <row r="18586" spans="1:6">
      <c r="A18586" t="str">
        <f t="shared" si="290"/>
        <v/>
      </c>
      <c r="E18586" s="626"/>
      <c r="F18586" s="626"/>
    </row>
    <row r="18587" spans="1:6">
      <c r="A18587" t="str">
        <f t="shared" si="290"/>
        <v/>
      </c>
      <c r="E18587" s="626"/>
      <c r="F18587" s="626"/>
    </row>
    <row r="18588" spans="1:6">
      <c r="A18588" t="str">
        <f t="shared" si="290"/>
        <v/>
      </c>
      <c r="E18588" s="626"/>
      <c r="F18588" s="626"/>
    </row>
    <row r="18589" spans="1:6">
      <c r="A18589" t="str">
        <f t="shared" si="290"/>
        <v/>
      </c>
      <c r="E18589" s="626"/>
      <c r="F18589" s="626"/>
    </row>
    <row r="18590" spans="1:6">
      <c r="A18590" t="str">
        <f t="shared" si="290"/>
        <v/>
      </c>
      <c r="E18590" s="626"/>
      <c r="F18590" s="626"/>
    </row>
    <row r="18591" spans="1:6">
      <c r="A18591" t="str">
        <f t="shared" si="290"/>
        <v/>
      </c>
      <c r="E18591" s="626"/>
      <c r="F18591" s="626"/>
    </row>
    <row r="18592" spans="1:6">
      <c r="A18592" t="str">
        <f t="shared" si="290"/>
        <v/>
      </c>
      <c r="E18592" s="626"/>
      <c r="F18592" s="626"/>
    </row>
    <row r="18593" spans="1:6">
      <c r="A18593" t="str">
        <f t="shared" si="290"/>
        <v/>
      </c>
      <c r="E18593" s="626"/>
      <c r="F18593" s="626"/>
    </row>
    <row r="18594" spans="1:6">
      <c r="A18594" t="str">
        <f t="shared" si="290"/>
        <v/>
      </c>
      <c r="E18594" s="626"/>
      <c r="F18594" s="626"/>
    </row>
    <row r="18595" spans="1:6">
      <c r="A18595" t="str">
        <f t="shared" si="290"/>
        <v/>
      </c>
      <c r="E18595" s="626"/>
      <c r="F18595" s="626"/>
    </row>
    <row r="18596" spans="1:6">
      <c r="A18596" t="str">
        <f t="shared" si="290"/>
        <v/>
      </c>
      <c r="E18596" s="626"/>
      <c r="F18596" s="626"/>
    </row>
    <row r="18597" spans="1:6">
      <c r="A18597" t="str">
        <f t="shared" si="290"/>
        <v/>
      </c>
      <c r="E18597" s="626"/>
      <c r="F18597" s="626"/>
    </row>
    <row r="18598" spans="1:6">
      <c r="A18598" t="str">
        <f t="shared" si="290"/>
        <v/>
      </c>
      <c r="E18598" s="626"/>
      <c r="F18598" s="626"/>
    </row>
    <row r="18599" spans="1:6">
      <c r="A18599" t="str">
        <f t="shared" si="290"/>
        <v/>
      </c>
      <c r="E18599" s="626"/>
      <c r="F18599" s="626"/>
    </row>
    <row r="18600" spans="1:6">
      <c r="A18600" t="str">
        <f t="shared" si="290"/>
        <v/>
      </c>
      <c r="E18600" s="626"/>
      <c r="F18600" s="626"/>
    </row>
    <row r="18601" spans="1:6">
      <c r="A18601" t="str">
        <f t="shared" si="290"/>
        <v/>
      </c>
      <c r="E18601" s="626"/>
      <c r="F18601" s="626"/>
    </row>
    <row r="18602" spans="1:6">
      <c r="A18602" t="str">
        <f t="shared" si="290"/>
        <v/>
      </c>
      <c r="E18602" s="626"/>
      <c r="F18602" s="626"/>
    </row>
    <row r="18603" spans="1:6">
      <c r="A18603" t="str">
        <f t="shared" si="290"/>
        <v/>
      </c>
      <c r="E18603" s="626"/>
      <c r="F18603" s="626"/>
    </row>
    <row r="18604" spans="1:6">
      <c r="A18604" t="str">
        <f t="shared" si="290"/>
        <v/>
      </c>
      <c r="E18604" s="626"/>
      <c r="F18604" s="626"/>
    </row>
    <row r="18605" spans="1:6">
      <c r="A18605" t="str">
        <f t="shared" si="290"/>
        <v/>
      </c>
      <c r="E18605" s="626"/>
      <c r="F18605" s="626"/>
    </row>
    <row r="18606" spans="1:6">
      <c r="A18606" t="str">
        <f t="shared" si="290"/>
        <v/>
      </c>
      <c r="E18606" s="626"/>
      <c r="F18606" s="626"/>
    </row>
    <row r="18607" spans="1:6">
      <c r="A18607" t="str">
        <f t="shared" si="290"/>
        <v/>
      </c>
      <c r="E18607" s="626"/>
      <c r="F18607" s="626"/>
    </row>
    <row r="18608" spans="1:6">
      <c r="A18608" t="str">
        <f t="shared" si="290"/>
        <v/>
      </c>
      <c r="E18608" s="626"/>
      <c r="F18608" s="626"/>
    </row>
    <row r="18609" spans="1:6">
      <c r="A18609" t="str">
        <f t="shared" si="290"/>
        <v/>
      </c>
      <c r="E18609" s="626"/>
      <c r="F18609" s="626"/>
    </row>
    <row r="18610" spans="1:6">
      <c r="A18610" t="str">
        <f t="shared" si="290"/>
        <v/>
      </c>
      <c r="E18610" s="626"/>
      <c r="F18610" s="626"/>
    </row>
    <row r="18611" spans="1:6">
      <c r="A18611" t="str">
        <f t="shared" si="290"/>
        <v/>
      </c>
      <c r="E18611" s="626"/>
      <c r="F18611" s="626"/>
    </row>
    <row r="18612" spans="1:6">
      <c r="A18612" t="str">
        <f t="shared" si="290"/>
        <v/>
      </c>
      <c r="E18612" s="626"/>
      <c r="F18612" s="626"/>
    </row>
    <row r="18613" spans="1:6">
      <c r="A18613" t="str">
        <f t="shared" si="290"/>
        <v/>
      </c>
      <c r="E18613" s="626"/>
      <c r="F18613" s="626"/>
    </row>
    <row r="18614" spans="1:6">
      <c r="A18614" t="str">
        <f t="shared" si="290"/>
        <v/>
      </c>
      <c r="E18614" s="626"/>
      <c r="F18614" s="626"/>
    </row>
    <row r="18615" spans="1:6">
      <c r="A18615" t="str">
        <f t="shared" si="290"/>
        <v/>
      </c>
      <c r="E18615" s="626"/>
      <c r="F18615" s="626"/>
    </row>
    <row r="18616" spans="1:6">
      <c r="A18616" t="str">
        <f t="shared" si="290"/>
        <v/>
      </c>
      <c r="E18616" s="626"/>
      <c r="F18616" s="626"/>
    </row>
    <row r="18617" spans="1:6">
      <c r="A18617" t="str">
        <f t="shared" si="290"/>
        <v/>
      </c>
      <c r="E18617" s="626"/>
      <c r="F18617" s="626"/>
    </row>
    <row r="18618" spans="1:6">
      <c r="A18618" t="str">
        <f t="shared" si="290"/>
        <v/>
      </c>
      <c r="E18618" s="626"/>
      <c r="F18618" s="626"/>
    </row>
    <row r="18619" spans="1:6">
      <c r="A18619" t="str">
        <f t="shared" si="290"/>
        <v/>
      </c>
      <c r="E18619" s="626"/>
      <c r="F18619" s="626"/>
    </row>
    <row r="18620" spans="1:6">
      <c r="A18620" t="str">
        <f t="shared" si="290"/>
        <v/>
      </c>
      <c r="E18620" s="626"/>
      <c r="F18620" s="626"/>
    </row>
    <row r="18621" spans="1:6">
      <c r="A18621" t="str">
        <f t="shared" si="290"/>
        <v/>
      </c>
      <c r="E18621" s="626"/>
      <c r="F18621" s="626"/>
    </row>
    <row r="18622" spans="1:6">
      <c r="A18622" t="str">
        <f t="shared" si="290"/>
        <v/>
      </c>
      <c r="E18622" s="626"/>
      <c r="F18622" s="626"/>
    </row>
    <row r="18623" spans="1:6">
      <c r="A18623" t="str">
        <f t="shared" si="290"/>
        <v/>
      </c>
      <c r="E18623" s="626"/>
      <c r="F18623" s="626"/>
    </row>
    <row r="18624" spans="1:6">
      <c r="A18624" t="str">
        <f t="shared" si="290"/>
        <v/>
      </c>
      <c r="E18624" s="626"/>
      <c r="F18624" s="626"/>
    </row>
    <row r="18625" spans="1:6">
      <c r="A18625" t="str">
        <f t="shared" si="290"/>
        <v/>
      </c>
      <c r="E18625" s="626"/>
      <c r="F18625" s="626"/>
    </row>
    <row r="18626" spans="1:6">
      <c r="A18626" t="str">
        <f t="shared" ref="A18626:A18689" si="291">B18626&amp;E18626&amp;J18626</f>
        <v/>
      </c>
      <c r="E18626" s="626"/>
      <c r="F18626" s="626"/>
    </row>
    <row r="18627" spans="1:6">
      <c r="A18627" t="str">
        <f t="shared" si="291"/>
        <v/>
      </c>
      <c r="E18627" s="626"/>
      <c r="F18627" s="626"/>
    </row>
    <row r="18628" spans="1:6">
      <c r="A18628" t="str">
        <f t="shared" si="291"/>
        <v/>
      </c>
      <c r="E18628" s="626"/>
      <c r="F18628" s="626"/>
    </row>
    <row r="18629" spans="1:6">
      <c r="A18629" t="str">
        <f t="shared" si="291"/>
        <v/>
      </c>
      <c r="E18629" s="626"/>
      <c r="F18629" s="626"/>
    </row>
    <row r="18630" spans="1:6">
      <c r="A18630" t="str">
        <f t="shared" si="291"/>
        <v/>
      </c>
      <c r="E18630" s="626"/>
      <c r="F18630" s="626"/>
    </row>
    <row r="18631" spans="1:6">
      <c r="A18631" t="str">
        <f t="shared" si="291"/>
        <v/>
      </c>
      <c r="E18631" s="626"/>
      <c r="F18631" s="626"/>
    </row>
    <row r="18632" spans="1:6">
      <c r="A18632" t="str">
        <f t="shared" si="291"/>
        <v/>
      </c>
      <c r="E18632" s="626"/>
      <c r="F18632" s="626"/>
    </row>
    <row r="18633" spans="1:6">
      <c r="A18633" t="str">
        <f t="shared" si="291"/>
        <v/>
      </c>
      <c r="E18633" s="626"/>
      <c r="F18633" s="626"/>
    </row>
    <row r="18634" spans="1:6">
      <c r="A18634" t="str">
        <f t="shared" si="291"/>
        <v/>
      </c>
      <c r="E18634" s="626"/>
      <c r="F18634" s="626"/>
    </row>
    <row r="18635" spans="1:6">
      <c r="A18635" t="str">
        <f t="shared" si="291"/>
        <v/>
      </c>
      <c r="E18635" s="626"/>
      <c r="F18635" s="626"/>
    </row>
    <row r="18636" spans="1:6">
      <c r="A18636" t="str">
        <f t="shared" si="291"/>
        <v/>
      </c>
      <c r="E18636" s="626"/>
      <c r="F18636" s="626"/>
    </row>
    <row r="18637" spans="1:6">
      <c r="A18637" t="str">
        <f t="shared" si="291"/>
        <v/>
      </c>
      <c r="E18637" s="626"/>
      <c r="F18637" s="626"/>
    </row>
    <row r="18638" spans="1:6">
      <c r="A18638" t="str">
        <f t="shared" si="291"/>
        <v/>
      </c>
      <c r="E18638" s="626"/>
      <c r="F18638" s="626"/>
    </row>
    <row r="18639" spans="1:6">
      <c r="A18639" t="str">
        <f t="shared" si="291"/>
        <v/>
      </c>
      <c r="E18639" s="626"/>
      <c r="F18639" s="626"/>
    </row>
    <row r="18640" spans="1:6">
      <c r="A18640" t="str">
        <f t="shared" si="291"/>
        <v/>
      </c>
      <c r="E18640" s="626"/>
      <c r="F18640" s="626"/>
    </row>
    <row r="18641" spans="1:6">
      <c r="A18641" t="str">
        <f t="shared" si="291"/>
        <v/>
      </c>
      <c r="E18641" s="626"/>
      <c r="F18641" s="626"/>
    </row>
    <row r="18642" spans="1:6">
      <c r="A18642" t="str">
        <f t="shared" si="291"/>
        <v/>
      </c>
      <c r="E18642" s="626"/>
      <c r="F18642" s="626"/>
    </row>
    <row r="18643" spans="1:6">
      <c r="A18643" t="str">
        <f t="shared" si="291"/>
        <v/>
      </c>
      <c r="E18643" s="626"/>
      <c r="F18643" s="626"/>
    </row>
    <row r="18644" spans="1:6">
      <c r="A18644" t="str">
        <f t="shared" si="291"/>
        <v/>
      </c>
      <c r="E18644" s="626"/>
      <c r="F18644" s="626"/>
    </row>
    <row r="18645" spans="1:6">
      <c r="A18645" t="str">
        <f t="shared" si="291"/>
        <v/>
      </c>
      <c r="E18645" s="626"/>
      <c r="F18645" s="626"/>
    </row>
    <row r="18646" spans="1:6">
      <c r="A18646" t="str">
        <f t="shared" si="291"/>
        <v/>
      </c>
      <c r="E18646" s="626"/>
      <c r="F18646" s="626"/>
    </row>
    <row r="18647" spans="1:6">
      <c r="A18647" t="str">
        <f t="shared" si="291"/>
        <v/>
      </c>
      <c r="E18647" s="626"/>
      <c r="F18647" s="626"/>
    </row>
    <row r="18648" spans="1:6">
      <c r="A18648" t="str">
        <f t="shared" si="291"/>
        <v/>
      </c>
      <c r="E18648" s="626"/>
      <c r="F18648" s="626"/>
    </row>
    <row r="18649" spans="1:6">
      <c r="A18649" t="str">
        <f t="shared" si="291"/>
        <v/>
      </c>
      <c r="E18649" s="626"/>
      <c r="F18649" s="626"/>
    </row>
    <row r="18650" spans="1:6">
      <c r="A18650" t="str">
        <f t="shared" si="291"/>
        <v/>
      </c>
      <c r="E18650" s="626"/>
      <c r="F18650" s="626"/>
    </row>
    <row r="18651" spans="1:6">
      <c r="A18651" t="str">
        <f t="shared" si="291"/>
        <v/>
      </c>
      <c r="E18651" s="626"/>
      <c r="F18651" s="626"/>
    </row>
    <row r="18652" spans="1:6">
      <c r="A18652" t="str">
        <f t="shared" si="291"/>
        <v/>
      </c>
      <c r="E18652" s="626"/>
      <c r="F18652" s="626"/>
    </row>
    <row r="18653" spans="1:6">
      <c r="A18653" t="str">
        <f t="shared" si="291"/>
        <v/>
      </c>
      <c r="E18653" s="626"/>
      <c r="F18653" s="626"/>
    </row>
    <row r="18654" spans="1:6">
      <c r="A18654" t="str">
        <f t="shared" si="291"/>
        <v/>
      </c>
      <c r="E18654" s="626"/>
      <c r="F18654" s="626"/>
    </row>
    <row r="18655" spans="1:6">
      <c r="A18655" t="str">
        <f t="shared" si="291"/>
        <v/>
      </c>
      <c r="E18655" s="626"/>
      <c r="F18655" s="626"/>
    </row>
    <row r="18656" spans="1:6">
      <c r="A18656" t="str">
        <f t="shared" si="291"/>
        <v/>
      </c>
      <c r="E18656" s="626"/>
      <c r="F18656" s="626"/>
    </row>
    <row r="18657" spans="1:6">
      <c r="A18657" t="str">
        <f t="shared" si="291"/>
        <v/>
      </c>
      <c r="E18657" s="626"/>
      <c r="F18657" s="626"/>
    </row>
    <row r="18658" spans="1:6">
      <c r="A18658" t="str">
        <f t="shared" si="291"/>
        <v/>
      </c>
      <c r="E18658" s="626"/>
      <c r="F18658" s="626"/>
    </row>
    <row r="18659" spans="1:6">
      <c r="A18659" t="str">
        <f t="shared" si="291"/>
        <v/>
      </c>
      <c r="E18659" s="626"/>
      <c r="F18659" s="626"/>
    </row>
    <row r="18660" spans="1:6">
      <c r="A18660" t="str">
        <f t="shared" si="291"/>
        <v/>
      </c>
      <c r="E18660" s="626"/>
      <c r="F18660" s="626"/>
    </row>
    <row r="18661" spans="1:6">
      <c r="A18661" t="str">
        <f t="shared" si="291"/>
        <v/>
      </c>
      <c r="E18661" s="626"/>
      <c r="F18661" s="626"/>
    </row>
    <row r="18662" spans="1:6">
      <c r="A18662" t="str">
        <f t="shared" si="291"/>
        <v/>
      </c>
      <c r="E18662" s="626"/>
      <c r="F18662" s="626"/>
    </row>
    <row r="18663" spans="1:6">
      <c r="A18663" t="str">
        <f t="shared" si="291"/>
        <v/>
      </c>
      <c r="E18663" s="626"/>
      <c r="F18663" s="626"/>
    </row>
    <row r="18664" spans="1:6">
      <c r="A18664" t="str">
        <f t="shared" si="291"/>
        <v/>
      </c>
      <c r="E18664" s="626"/>
      <c r="F18664" s="626"/>
    </row>
    <row r="18665" spans="1:6">
      <c r="A18665" t="str">
        <f t="shared" si="291"/>
        <v/>
      </c>
      <c r="E18665" s="626"/>
      <c r="F18665" s="626"/>
    </row>
    <row r="18666" spans="1:6">
      <c r="A18666" t="str">
        <f t="shared" si="291"/>
        <v/>
      </c>
      <c r="E18666" s="626"/>
      <c r="F18666" s="626"/>
    </row>
    <row r="18667" spans="1:6">
      <c r="A18667" t="str">
        <f t="shared" si="291"/>
        <v/>
      </c>
      <c r="E18667" s="626"/>
      <c r="F18667" s="626"/>
    </row>
    <row r="18668" spans="1:6">
      <c r="A18668" t="str">
        <f t="shared" si="291"/>
        <v/>
      </c>
      <c r="E18668" s="626"/>
      <c r="F18668" s="626"/>
    </row>
    <row r="18669" spans="1:6">
      <c r="A18669" t="str">
        <f t="shared" si="291"/>
        <v/>
      </c>
      <c r="E18669" s="626"/>
      <c r="F18669" s="626"/>
    </row>
    <row r="18670" spans="1:6">
      <c r="A18670" t="str">
        <f t="shared" si="291"/>
        <v/>
      </c>
      <c r="E18670" s="626"/>
      <c r="F18670" s="626"/>
    </row>
    <row r="18671" spans="1:6">
      <c r="A18671" t="str">
        <f t="shared" si="291"/>
        <v/>
      </c>
      <c r="E18671" s="626"/>
      <c r="F18671" s="626"/>
    </row>
    <row r="18672" spans="1:6">
      <c r="A18672" t="str">
        <f t="shared" si="291"/>
        <v/>
      </c>
      <c r="E18672" s="626"/>
      <c r="F18672" s="626"/>
    </row>
    <row r="18673" spans="1:6">
      <c r="A18673" t="str">
        <f t="shared" si="291"/>
        <v/>
      </c>
      <c r="E18673" s="626"/>
      <c r="F18673" s="626"/>
    </row>
    <row r="18674" spans="1:6">
      <c r="A18674" t="str">
        <f t="shared" si="291"/>
        <v/>
      </c>
      <c r="E18674" s="626"/>
      <c r="F18674" s="626"/>
    </row>
    <row r="18675" spans="1:6">
      <c r="A18675" t="str">
        <f t="shared" si="291"/>
        <v/>
      </c>
      <c r="E18675" s="626"/>
      <c r="F18675" s="626"/>
    </row>
    <row r="18676" spans="1:6">
      <c r="A18676" t="str">
        <f t="shared" si="291"/>
        <v/>
      </c>
      <c r="E18676" s="626"/>
      <c r="F18676" s="626"/>
    </row>
    <row r="18677" spans="1:6">
      <c r="A18677" t="str">
        <f t="shared" si="291"/>
        <v/>
      </c>
      <c r="E18677" s="626"/>
      <c r="F18677" s="626"/>
    </row>
    <row r="18678" spans="1:6">
      <c r="A18678" t="str">
        <f t="shared" si="291"/>
        <v/>
      </c>
      <c r="E18678" s="626"/>
      <c r="F18678" s="626"/>
    </row>
    <row r="18679" spans="1:6">
      <c r="A18679" t="str">
        <f t="shared" si="291"/>
        <v/>
      </c>
      <c r="E18679" s="626"/>
      <c r="F18679" s="626"/>
    </row>
    <row r="18680" spans="1:6">
      <c r="A18680" t="str">
        <f t="shared" si="291"/>
        <v/>
      </c>
      <c r="E18680" s="626"/>
      <c r="F18680" s="626"/>
    </row>
    <row r="18681" spans="1:6">
      <c r="A18681" t="str">
        <f t="shared" si="291"/>
        <v/>
      </c>
      <c r="E18681" s="626"/>
      <c r="F18681" s="626"/>
    </row>
    <row r="18682" spans="1:6">
      <c r="A18682" t="str">
        <f t="shared" si="291"/>
        <v/>
      </c>
      <c r="E18682" s="626"/>
      <c r="F18682" s="626"/>
    </row>
    <row r="18683" spans="1:6">
      <c r="A18683" t="str">
        <f t="shared" si="291"/>
        <v/>
      </c>
      <c r="E18683" s="626"/>
      <c r="F18683" s="626"/>
    </row>
    <row r="18684" spans="1:6">
      <c r="A18684" t="str">
        <f t="shared" si="291"/>
        <v/>
      </c>
      <c r="E18684" s="626"/>
      <c r="F18684" s="626"/>
    </row>
    <row r="18685" spans="1:6">
      <c r="A18685" t="str">
        <f t="shared" si="291"/>
        <v/>
      </c>
      <c r="E18685" s="626"/>
      <c r="F18685" s="626"/>
    </row>
    <row r="18686" spans="1:6">
      <c r="A18686" t="str">
        <f t="shared" si="291"/>
        <v/>
      </c>
      <c r="E18686" s="626"/>
      <c r="F18686" s="626"/>
    </row>
    <row r="18687" spans="1:6">
      <c r="A18687" t="str">
        <f t="shared" si="291"/>
        <v/>
      </c>
      <c r="E18687" s="626"/>
      <c r="F18687" s="626"/>
    </row>
    <row r="18688" spans="1:6">
      <c r="A18688" t="str">
        <f t="shared" si="291"/>
        <v/>
      </c>
      <c r="E18688" s="626"/>
      <c r="F18688" s="626"/>
    </row>
    <row r="18689" spans="1:6">
      <c r="A18689" t="str">
        <f t="shared" si="291"/>
        <v/>
      </c>
      <c r="E18689" s="626"/>
      <c r="F18689" s="626"/>
    </row>
    <row r="18690" spans="1:6">
      <c r="A18690" t="str">
        <f t="shared" ref="A18690:A18753" si="292">B18690&amp;E18690&amp;J18690</f>
        <v/>
      </c>
      <c r="E18690" s="626"/>
      <c r="F18690" s="626"/>
    </row>
    <row r="18691" spans="1:6">
      <c r="A18691" t="str">
        <f t="shared" si="292"/>
        <v/>
      </c>
      <c r="E18691" s="626"/>
      <c r="F18691" s="626"/>
    </row>
    <row r="18692" spans="1:6">
      <c r="A18692" t="str">
        <f t="shared" si="292"/>
        <v/>
      </c>
      <c r="E18692" s="626"/>
      <c r="F18692" s="626"/>
    </row>
    <row r="18693" spans="1:6">
      <c r="A18693" t="str">
        <f t="shared" si="292"/>
        <v/>
      </c>
      <c r="E18693" s="626"/>
      <c r="F18693" s="626"/>
    </row>
    <row r="18694" spans="1:6">
      <c r="A18694" t="str">
        <f t="shared" si="292"/>
        <v/>
      </c>
      <c r="E18694" s="626"/>
      <c r="F18694" s="626"/>
    </row>
    <row r="18695" spans="1:6">
      <c r="A18695" t="str">
        <f t="shared" si="292"/>
        <v/>
      </c>
      <c r="E18695" s="626"/>
      <c r="F18695" s="626"/>
    </row>
    <row r="18696" spans="1:6">
      <c r="A18696" t="str">
        <f t="shared" si="292"/>
        <v/>
      </c>
      <c r="E18696" s="626"/>
      <c r="F18696" s="626"/>
    </row>
    <row r="18697" spans="1:6">
      <c r="A18697" t="str">
        <f t="shared" si="292"/>
        <v/>
      </c>
      <c r="E18697" s="626"/>
      <c r="F18697" s="626"/>
    </row>
    <row r="18698" spans="1:6">
      <c r="A18698" t="str">
        <f t="shared" si="292"/>
        <v/>
      </c>
      <c r="E18698" s="626"/>
      <c r="F18698" s="626"/>
    </row>
    <row r="18699" spans="1:6">
      <c r="A18699" t="str">
        <f t="shared" si="292"/>
        <v/>
      </c>
      <c r="E18699" s="626"/>
      <c r="F18699" s="626"/>
    </row>
    <row r="18700" spans="1:6">
      <c r="A18700" t="str">
        <f t="shared" si="292"/>
        <v/>
      </c>
      <c r="E18700" s="626"/>
      <c r="F18700" s="626"/>
    </row>
    <row r="18701" spans="1:6">
      <c r="A18701" t="str">
        <f t="shared" si="292"/>
        <v/>
      </c>
      <c r="E18701" s="626"/>
      <c r="F18701" s="626"/>
    </row>
    <row r="18702" spans="1:6">
      <c r="A18702" t="str">
        <f t="shared" si="292"/>
        <v/>
      </c>
      <c r="E18702" s="626"/>
      <c r="F18702" s="626"/>
    </row>
    <row r="18703" spans="1:6">
      <c r="A18703" t="str">
        <f t="shared" si="292"/>
        <v/>
      </c>
      <c r="E18703" s="626"/>
      <c r="F18703" s="626"/>
    </row>
    <row r="18704" spans="1:6">
      <c r="A18704" t="str">
        <f t="shared" si="292"/>
        <v/>
      </c>
      <c r="E18704" s="626"/>
      <c r="F18704" s="626"/>
    </row>
    <row r="18705" spans="1:6">
      <c r="A18705" t="str">
        <f t="shared" si="292"/>
        <v/>
      </c>
      <c r="E18705" s="626"/>
      <c r="F18705" s="626"/>
    </row>
    <row r="18706" spans="1:6">
      <c r="A18706" t="str">
        <f t="shared" si="292"/>
        <v/>
      </c>
      <c r="E18706" s="626"/>
      <c r="F18706" s="626"/>
    </row>
    <row r="18707" spans="1:6">
      <c r="A18707" t="str">
        <f t="shared" si="292"/>
        <v/>
      </c>
      <c r="E18707" s="626"/>
      <c r="F18707" s="626"/>
    </row>
    <row r="18708" spans="1:6">
      <c r="A18708" t="str">
        <f t="shared" si="292"/>
        <v/>
      </c>
      <c r="E18708" s="626"/>
      <c r="F18708" s="626"/>
    </row>
    <row r="18709" spans="1:6">
      <c r="A18709" t="str">
        <f t="shared" si="292"/>
        <v/>
      </c>
      <c r="E18709" s="626"/>
      <c r="F18709" s="626"/>
    </row>
    <row r="18710" spans="1:6">
      <c r="A18710" t="str">
        <f t="shared" si="292"/>
        <v/>
      </c>
      <c r="E18710" s="626"/>
      <c r="F18710" s="626"/>
    </row>
    <row r="18711" spans="1:6">
      <c r="A18711" t="str">
        <f t="shared" si="292"/>
        <v/>
      </c>
      <c r="E18711" s="626"/>
      <c r="F18711" s="626"/>
    </row>
    <row r="18712" spans="1:6">
      <c r="A18712" t="str">
        <f t="shared" si="292"/>
        <v/>
      </c>
      <c r="E18712" s="626"/>
      <c r="F18712" s="626"/>
    </row>
    <row r="18713" spans="1:6">
      <c r="A18713" t="str">
        <f t="shared" si="292"/>
        <v/>
      </c>
      <c r="E18713" s="626"/>
      <c r="F18713" s="626"/>
    </row>
    <row r="18714" spans="1:6">
      <c r="A18714" t="str">
        <f t="shared" si="292"/>
        <v/>
      </c>
      <c r="E18714" s="626"/>
      <c r="F18714" s="626"/>
    </row>
    <row r="18715" spans="1:6">
      <c r="A18715" t="str">
        <f t="shared" si="292"/>
        <v/>
      </c>
      <c r="E18715" s="626"/>
      <c r="F18715" s="626"/>
    </row>
    <row r="18716" spans="1:6">
      <c r="A18716" t="str">
        <f t="shared" si="292"/>
        <v/>
      </c>
      <c r="E18716" s="626"/>
      <c r="F18716" s="626"/>
    </row>
    <row r="18717" spans="1:6">
      <c r="A18717" t="str">
        <f t="shared" si="292"/>
        <v/>
      </c>
      <c r="E18717" s="626"/>
      <c r="F18717" s="626"/>
    </row>
    <row r="18718" spans="1:6">
      <c r="A18718" t="str">
        <f t="shared" si="292"/>
        <v/>
      </c>
      <c r="E18718" s="626"/>
      <c r="F18718" s="626"/>
    </row>
    <row r="18719" spans="1:6">
      <c r="A18719" t="str">
        <f t="shared" si="292"/>
        <v/>
      </c>
      <c r="E18719" s="626"/>
      <c r="F18719" s="626"/>
    </row>
    <row r="18720" spans="1:6">
      <c r="A18720" t="str">
        <f t="shared" si="292"/>
        <v/>
      </c>
      <c r="E18720" s="626"/>
      <c r="F18720" s="626"/>
    </row>
    <row r="18721" spans="1:6">
      <c r="A18721" t="str">
        <f t="shared" si="292"/>
        <v/>
      </c>
      <c r="E18721" s="626"/>
      <c r="F18721" s="626"/>
    </row>
    <row r="18722" spans="1:6">
      <c r="A18722" t="str">
        <f t="shared" si="292"/>
        <v/>
      </c>
      <c r="E18722" s="626"/>
      <c r="F18722" s="626"/>
    </row>
    <row r="18723" spans="1:6">
      <c r="A18723" t="str">
        <f t="shared" si="292"/>
        <v/>
      </c>
      <c r="E18723" s="626"/>
      <c r="F18723" s="626"/>
    </row>
    <row r="18724" spans="1:6">
      <c r="A18724" t="str">
        <f t="shared" si="292"/>
        <v/>
      </c>
      <c r="E18724" s="626"/>
      <c r="F18724" s="626"/>
    </row>
    <row r="18725" spans="1:6">
      <c r="A18725" t="str">
        <f t="shared" si="292"/>
        <v/>
      </c>
      <c r="E18725" s="626"/>
      <c r="F18725" s="626"/>
    </row>
    <row r="18726" spans="1:6">
      <c r="A18726" t="str">
        <f t="shared" si="292"/>
        <v/>
      </c>
      <c r="E18726" s="626"/>
      <c r="F18726" s="626"/>
    </row>
    <row r="18727" spans="1:6">
      <c r="A18727" t="str">
        <f t="shared" si="292"/>
        <v/>
      </c>
      <c r="E18727" s="626"/>
      <c r="F18727" s="626"/>
    </row>
    <row r="18728" spans="1:6">
      <c r="A18728" t="str">
        <f t="shared" si="292"/>
        <v/>
      </c>
      <c r="E18728" s="626"/>
      <c r="F18728" s="626"/>
    </row>
    <row r="18729" spans="1:6">
      <c r="A18729" t="str">
        <f t="shared" si="292"/>
        <v/>
      </c>
      <c r="E18729" s="626"/>
      <c r="F18729" s="626"/>
    </row>
    <row r="18730" spans="1:6">
      <c r="A18730" t="str">
        <f t="shared" si="292"/>
        <v/>
      </c>
      <c r="E18730" s="626"/>
      <c r="F18730" s="626"/>
    </row>
    <row r="18731" spans="1:6">
      <c r="A18731" t="str">
        <f t="shared" si="292"/>
        <v/>
      </c>
      <c r="E18731" s="626"/>
      <c r="F18731" s="626"/>
    </row>
    <row r="18732" spans="1:6">
      <c r="A18732" t="str">
        <f t="shared" si="292"/>
        <v/>
      </c>
      <c r="E18732" s="626"/>
      <c r="F18732" s="626"/>
    </row>
    <row r="18733" spans="1:6">
      <c r="A18733" t="str">
        <f t="shared" si="292"/>
        <v/>
      </c>
      <c r="E18733" s="626"/>
      <c r="F18733" s="626"/>
    </row>
    <row r="18734" spans="1:6">
      <c r="A18734" t="str">
        <f t="shared" si="292"/>
        <v/>
      </c>
      <c r="E18734" s="626"/>
      <c r="F18734" s="626"/>
    </row>
    <row r="18735" spans="1:6">
      <c r="A18735" t="str">
        <f t="shared" si="292"/>
        <v/>
      </c>
      <c r="E18735" s="626"/>
      <c r="F18735" s="626"/>
    </row>
    <row r="18736" spans="1:6">
      <c r="A18736" t="str">
        <f t="shared" si="292"/>
        <v/>
      </c>
      <c r="E18736" s="626"/>
      <c r="F18736" s="626"/>
    </row>
    <row r="18737" spans="1:6">
      <c r="A18737" t="str">
        <f t="shared" si="292"/>
        <v/>
      </c>
      <c r="E18737" s="626"/>
      <c r="F18737" s="626"/>
    </row>
    <row r="18738" spans="1:6">
      <c r="A18738" t="str">
        <f t="shared" si="292"/>
        <v/>
      </c>
      <c r="E18738" s="626"/>
      <c r="F18738" s="626"/>
    </row>
    <row r="18739" spans="1:6">
      <c r="A18739" t="str">
        <f t="shared" si="292"/>
        <v/>
      </c>
      <c r="E18739" s="626"/>
      <c r="F18739" s="626"/>
    </row>
    <row r="18740" spans="1:6">
      <c r="A18740" t="str">
        <f t="shared" si="292"/>
        <v/>
      </c>
      <c r="E18740" s="626"/>
      <c r="F18740" s="626"/>
    </row>
    <row r="18741" spans="1:6">
      <c r="A18741" t="str">
        <f t="shared" si="292"/>
        <v/>
      </c>
      <c r="E18741" s="626"/>
      <c r="F18741" s="626"/>
    </row>
    <row r="18742" spans="1:6">
      <c r="A18742" t="str">
        <f t="shared" si="292"/>
        <v/>
      </c>
      <c r="E18742" s="626"/>
      <c r="F18742" s="626"/>
    </row>
    <row r="18743" spans="1:6">
      <c r="A18743" t="str">
        <f t="shared" si="292"/>
        <v/>
      </c>
      <c r="E18743" s="626"/>
      <c r="F18743" s="626"/>
    </row>
    <row r="18744" spans="1:6">
      <c r="A18744" t="str">
        <f t="shared" si="292"/>
        <v/>
      </c>
      <c r="E18744" s="626"/>
      <c r="F18744" s="626"/>
    </row>
    <row r="18745" spans="1:6">
      <c r="A18745" t="str">
        <f t="shared" si="292"/>
        <v/>
      </c>
      <c r="E18745" s="626"/>
      <c r="F18745" s="626"/>
    </row>
    <row r="18746" spans="1:6">
      <c r="A18746" t="str">
        <f t="shared" si="292"/>
        <v/>
      </c>
      <c r="E18746" s="626"/>
      <c r="F18746" s="626"/>
    </row>
    <row r="18747" spans="1:6">
      <c r="A18747" t="str">
        <f t="shared" si="292"/>
        <v/>
      </c>
      <c r="E18747" s="626"/>
      <c r="F18747" s="626"/>
    </row>
    <row r="18748" spans="1:6">
      <c r="A18748" t="str">
        <f t="shared" si="292"/>
        <v/>
      </c>
      <c r="E18748" s="626"/>
      <c r="F18748" s="626"/>
    </row>
    <row r="18749" spans="1:6">
      <c r="A18749" t="str">
        <f t="shared" si="292"/>
        <v/>
      </c>
      <c r="E18749" s="626"/>
      <c r="F18749" s="626"/>
    </row>
    <row r="18750" spans="1:6">
      <c r="A18750" t="str">
        <f t="shared" si="292"/>
        <v/>
      </c>
      <c r="E18750" s="626"/>
      <c r="F18750" s="626"/>
    </row>
    <row r="18751" spans="1:6">
      <c r="A18751" t="str">
        <f t="shared" si="292"/>
        <v/>
      </c>
      <c r="E18751" s="626"/>
      <c r="F18751" s="626"/>
    </row>
    <row r="18752" spans="1:6">
      <c r="A18752" t="str">
        <f t="shared" si="292"/>
        <v/>
      </c>
      <c r="E18752" s="626"/>
      <c r="F18752" s="626"/>
    </row>
    <row r="18753" spans="1:6">
      <c r="A18753" t="str">
        <f t="shared" si="292"/>
        <v/>
      </c>
      <c r="E18753" s="626"/>
      <c r="F18753" s="626"/>
    </row>
    <row r="18754" spans="1:6">
      <c r="A18754" t="str">
        <f t="shared" ref="A18754:A18817" si="293">B18754&amp;E18754&amp;J18754</f>
        <v/>
      </c>
      <c r="E18754" s="626"/>
      <c r="F18754" s="626"/>
    </row>
    <row r="18755" spans="1:6">
      <c r="A18755" t="str">
        <f t="shared" si="293"/>
        <v/>
      </c>
      <c r="E18755" s="626"/>
      <c r="F18755" s="626"/>
    </row>
    <row r="18756" spans="1:6">
      <c r="A18756" t="str">
        <f t="shared" si="293"/>
        <v/>
      </c>
      <c r="E18756" s="626"/>
      <c r="F18756" s="626"/>
    </row>
    <row r="18757" spans="1:6">
      <c r="A18757" t="str">
        <f t="shared" si="293"/>
        <v/>
      </c>
      <c r="E18757" s="626"/>
      <c r="F18757" s="626"/>
    </row>
    <row r="18758" spans="1:6">
      <c r="A18758" t="str">
        <f t="shared" si="293"/>
        <v/>
      </c>
      <c r="E18758" s="626"/>
      <c r="F18758" s="626"/>
    </row>
    <row r="18759" spans="1:6">
      <c r="A18759" t="str">
        <f t="shared" si="293"/>
        <v/>
      </c>
      <c r="E18759" s="626"/>
      <c r="F18759" s="626"/>
    </row>
    <row r="18760" spans="1:6">
      <c r="A18760" t="str">
        <f t="shared" si="293"/>
        <v/>
      </c>
      <c r="E18760" s="626"/>
      <c r="F18760" s="626"/>
    </row>
    <row r="18761" spans="1:6">
      <c r="A18761" t="str">
        <f t="shared" si="293"/>
        <v/>
      </c>
      <c r="E18761" s="626"/>
      <c r="F18761" s="626"/>
    </row>
    <row r="18762" spans="1:6">
      <c r="A18762" t="str">
        <f t="shared" si="293"/>
        <v/>
      </c>
      <c r="E18762" s="626"/>
      <c r="F18762" s="626"/>
    </row>
    <row r="18763" spans="1:6">
      <c r="A18763" t="str">
        <f t="shared" si="293"/>
        <v/>
      </c>
      <c r="E18763" s="626"/>
      <c r="F18763" s="626"/>
    </row>
    <row r="18764" spans="1:6">
      <c r="A18764" t="str">
        <f t="shared" si="293"/>
        <v/>
      </c>
      <c r="E18764" s="626"/>
      <c r="F18764" s="626"/>
    </row>
    <row r="18765" spans="1:6">
      <c r="A18765" t="str">
        <f t="shared" si="293"/>
        <v/>
      </c>
      <c r="E18765" s="626"/>
      <c r="F18765" s="626"/>
    </row>
    <row r="18766" spans="1:6">
      <c r="A18766" t="str">
        <f t="shared" si="293"/>
        <v/>
      </c>
      <c r="E18766" s="626"/>
      <c r="F18766" s="626"/>
    </row>
    <row r="18767" spans="1:6">
      <c r="A18767" t="str">
        <f t="shared" si="293"/>
        <v/>
      </c>
      <c r="E18767" s="626"/>
      <c r="F18767" s="626"/>
    </row>
    <row r="18768" spans="1:6">
      <c r="A18768" t="str">
        <f t="shared" si="293"/>
        <v/>
      </c>
      <c r="E18768" s="626"/>
      <c r="F18768" s="626"/>
    </row>
    <row r="18769" spans="1:6">
      <c r="A18769" t="str">
        <f t="shared" si="293"/>
        <v/>
      </c>
      <c r="E18769" s="626"/>
      <c r="F18769" s="626"/>
    </row>
    <row r="18770" spans="1:6">
      <c r="A18770" t="str">
        <f t="shared" si="293"/>
        <v/>
      </c>
      <c r="E18770" s="626"/>
      <c r="F18770" s="626"/>
    </row>
    <row r="18771" spans="1:6">
      <c r="A18771" t="str">
        <f t="shared" si="293"/>
        <v/>
      </c>
      <c r="E18771" s="626"/>
      <c r="F18771" s="626"/>
    </row>
    <row r="18772" spans="1:6">
      <c r="A18772" t="str">
        <f t="shared" si="293"/>
        <v/>
      </c>
      <c r="E18772" s="626"/>
      <c r="F18772" s="626"/>
    </row>
    <row r="18773" spans="1:6">
      <c r="A18773" t="str">
        <f t="shared" si="293"/>
        <v/>
      </c>
      <c r="E18773" s="626"/>
      <c r="F18773" s="626"/>
    </row>
    <row r="18774" spans="1:6">
      <c r="A18774" t="str">
        <f t="shared" si="293"/>
        <v/>
      </c>
      <c r="E18774" s="626"/>
      <c r="F18774" s="626"/>
    </row>
    <row r="18775" spans="1:6">
      <c r="A18775" t="str">
        <f t="shared" si="293"/>
        <v/>
      </c>
      <c r="E18775" s="626"/>
      <c r="F18775" s="626"/>
    </row>
    <row r="18776" spans="1:6">
      <c r="A18776" t="str">
        <f t="shared" si="293"/>
        <v/>
      </c>
      <c r="E18776" s="626"/>
      <c r="F18776" s="626"/>
    </row>
    <row r="18777" spans="1:6">
      <c r="A18777" t="str">
        <f t="shared" si="293"/>
        <v/>
      </c>
      <c r="E18777" s="626"/>
      <c r="F18777" s="626"/>
    </row>
    <row r="18778" spans="1:6">
      <c r="A18778" t="str">
        <f t="shared" si="293"/>
        <v/>
      </c>
      <c r="E18778" s="626"/>
      <c r="F18778" s="626"/>
    </row>
    <row r="18779" spans="1:6">
      <c r="A18779" t="str">
        <f t="shared" si="293"/>
        <v/>
      </c>
      <c r="E18779" s="626"/>
      <c r="F18779" s="626"/>
    </row>
    <row r="18780" spans="1:6">
      <c r="A18780" t="str">
        <f t="shared" si="293"/>
        <v/>
      </c>
      <c r="E18780" s="626"/>
      <c r="F18780" s="626"/>
    </row>
    <row r="18781" spans="1:6">
      <c r="A18781" t="str">
        <f t="shared" si="293"/>
        <v/>
      </c>
      <c r="E18781" s="626"/>
      <c r="F18781" s="626"/>
    </row>
    <row r="18782" spans="1:6">
      <c r="A18782" t="str">
        <f t="shared" si="293"/>
        <v/>
      </c>
      <c r="E18782" s="626"/>
      <c r="F18782" s="626"/>
    </row>
    <row r="18783" spans="1:6">
      <c r="A18783" t="str">
        <f t="shared" si="293"/>
        <v/>
      </c>
      <c r="E18783" s="626"/>
      <c r="F18783" s="626"/>
    </row>
    <row r="18784" spans="1:6">
      <c r="A18784" t="str">
        <f t="shared" si="293"/>
        <v/>
      </c>
      <c r="E18784" s="626"/>
      <c r="F18784" s="626"/>
    </row>
    <row r="18785" spans="1:6">
      <c r="A18785" t="str">
        <f t="shared" si="293"/>
        <v/>
      </c>
      <c r="E18785" s="626"/>
      <c r="F18785" s="626"/>
    </row>
    <row r="18786" spans="1:6">
      <c r="A18786" t="str">
        <f t="shared" si="293"/>
        <v/>
      </c>
      <c r="E18786" s="626"/>
      <c r="F18786" s="626"/>
    </row>
    <row r="18787" spans="1:6">
      <c r="A18787" t="str">
        <f t="shared" si="293"/>
        <v/>
      </c>
      <c r="E18787" s="626"/>
      <c r="F18787" s="626"/>
    </row>
    <row r="18788" spans="1:6">
      <c r="A18788" t="str">
        <f t="shared" si="293"/>
        <v/>
      </c>
      <c r="E18788" s="626"/>
      <c r="F18788" s="626"/>
    </row>
    <row r="18789" spans="1:6">
      <c r="A18789" t="str">
        <f t="shared" si="293"/>
        <v/>
      </c>
      <c r="E18789" s="626"/>
      <c r="F18789" s="626"/>
    </row>
    <row r="18790" spans="1:6">
      <c r="A18790" t="str">
        <f t="shared" si="293"/>
        <v/>
      </c>
      <c r="E18790" s="626"/>
      <c r="F18790" s="626"/>
    </row>
    <row r="18791" spans="1:6">
      <c r="A18791" t="str">
        <f t="shared" si="293"/>
        <v/>
      </c>
      <c r="E18791" s="626"/>
      <c r="F18791" s="626"/>
    </row>
    <row r="18792" spans="1:6">
      <c r="A18792" t="str">
        <f t="shared" si="293"/>
        <v/>
      </c>
      <c r="E18792" s="626"/>
      <c r="F18792" s="626"/>
    </row>
    <row r="18793" spans="1:6">
      <c r="A18793" t="str">
        <f t="shared" si="293"/>
        <v/>
      </c>
      <c r="E18793" s="626"/>
      <c r="F18793" s="626"/>
    </row>
    <row r="18794" spans="1:6">
      <c r="A18794" t="str">
        <f t="shared" si="293"/>
        <v/>
      </c>
      <c r="E18794" s="626"/>
      <c r="F18794" s="626"/>
    </row>
    <row r="18795" spans="1:6">
      <c r="A18795" t="str">
        <f t="shared" si="293"/>
        <v/>
      </c>
      <c r="E18795" s="626"/>
      <c r="F18795" s="626"/>
    </row>
    <row r="18796" spans="1:6">
      <c r="A18796" t="str">
        <f t="shared" si="293"/>
        <v/>
      </c>
      <c r="E18796" s="626"/>
      <c r="F18796" s="626"/>
    </row>
    <row r="18797" spans="1:6">
      <c r="A18797" t="str">
        <f t="shared" si="293"/>
        <v/>
      </c>
      <c r="E18797" s="626"/>
      <c r="F18797" s="626"/>
    </row>
    <row r="18798" spans="1:6">
      <c r="A18798" t="str">
        <f t="shared" si="293"/>
        <v/>
      </c>
      <c r="E18798" s="626"/>
      <c r="F18798" s="626"/>
    </row>
    <row r="18799" spans="1:6">
      <c r="A18799" t="str">
        <f t="shared" si="293"/>
        <v/>
      </c>
      <c r="E18799" s="626"/>
      <c r="F18799" s="626"/>
    </row>
    <row r="18800" spans="1:6">
      <c r="A18800" t="str">
        <f t="shared" si="293"/>
        <v/>
      </c>
      <c r="E18800" s="626"/>
      <c r="F18800" s="626"/>
    </row>
    <row r="18801" spans="1:6">
      <c r="A18801" t="str">
        <f t="shared" si="293"/>
        <v/>
      </c>
      <c r="E18801" s="626"/>
      <c r="F18801" s="626"/>
    </row>
    <row r="18802" spans="1:6">
      <c r="A18802" t="str">
        <f t="shared" si="293"/>
        <v/>
      </c>
      <c r="E18802" s="626"/>
      <c r="F18802" s="626"/>
    </row>
    <row r="18803" spans="1:6">
      <c r="A18803" t="str">
        <f t="shared" si="293"/>
        <v/>
      </c>
      <c r="E18803" s="626"/>
      <c r="F18803" s="626"/>
    </row>
    <row r="18804" spans="1:6">
      <c r="A18804" t="str">
        <f t="shared" si="293"/>
        <v/>
      </c>
      <c r="E18804" s="626"/>
      <c r="F18804" s="626"/>
    </row>
    <row r="18805" spans="1:6">
      <c r="A18805" t="str">
        <f t="shared" si="293"/>
        <v/>
      </c>
      <c r="E18805" s="626"/>
      <c r="F18805" s="626"/>
    </row>
    <row r="18806" spans="1:6">
      <c r="A18806" t="str">
        <f t="shared" si="293"/>
        <v/>
      </c>
      <c r="E18806" s="626"/>
      <c r="F18806" s="626"/>
    </row>
    <row r="18807" spans="1:6">
      <c r="A18807" t="str">
        <f t="shared" si="293"/>
        <v/>
      </c>
      <c r="E18807" s="626"/>
      <c r="F18807" s="626"/>
    </row>
    <row r="18808" spans="1:6">
      <c r="A18808" t="str">
        <f t="shared" si="293"/>
        <v/>
      </c>
      <c r="E18808" s="626"/>
      <c r="F18808" s="626"/>
    </row>
    <row r="18809" spans="1:6">
      <c r="A18809" t="str">
        <f t="shared" si="293"/>
        <v/>
      </c>
      <c r="E18809" s="626"/>
      <c r="F18809" s="626"/>
    </row>
    <row r="18810" spans="1:6">
      <c r="A18810" t="str">
        <f t="shared" si="293"/>
        <v/>
      </c>
      <c r="E18810" s="626"/>
      <c r="F18810" s="626"/>
    </row>
    <row r="18811" spans="1:6">
      <c r="A18811" t="str">
        <f t="shared" si="293"/>
        <v/>
      </c>
      <c r="E18811" s="626"/>
      <c r="F18811" s="626"/>
    </row>
    <row r="18812" spans="1:6">
      <c r="A18812" t="str">
        <f t="shared" si="293"/>
        <v/>
      </c>
      <c r="E18812" s="626"/>
      <c r="F18812" s="626"/>
    </row>
    <row r="18813" spans="1:6">
      <c r="A18813" t="str">
        <f t="shared" si="293"/>
        <v/>
      </c>
      <c r="E18813" s="626"/>
      <c r="F18813" s="626"/>
    </row>
    <row r="18814" spans="1:6">
      <c r="A18814" t="str">
        <f t="shared" si="293"/>
        <v/>
      </c>
      <c r="E18814" s="626"/>
      <c r="F18814" s="626"/>
    </row>
    <row r="18815" spans="1:6">
      <c r="A18815" t="str">
        <f t="shared" si="293"/>
        <v/>
      </c>
      <c r="E18815" s="626"/>
      <c r="F18815" s="626"/>
    </row>
    <row r="18816" spans="1:6">
      <c r="A18816" t="str">
        <f t="shared" si="293"/>
        <v/>
      </c>
      <c r="E18816" s="626"/>
      <c r="F18816" s="626"/>
    </row>
    <row r="18817" spans="1:6">
      <c r="A18817" t="str">
        <f t="shared" si="293"/>
        <v/>
      </c>
      <c r="E18817" s="626"/>
      <c r="F18817" s="626"/>
    </row>
    <row r="18818" spans="1:6">
      <c r="A18818" t="str">
        <f t="shared" ref="A18818:A18881" si="294">B18818&amp;E18818&amp;J18818</f>
        <v/>
      </c>
      <c r="E18818" s="626"/>
      <c r="F18818" s="626"/>
    </row>
    <row r="18819" spans="1:6">
      <c r="A18819" t="str">
        <f t="shared" si="294"/>
        <v/>
      </c>
      <c r="E18819" s="626"/>
      <c r="F18819" s="626"/>
    </row>
    <row r="18820" spans="1:6">
      <c r="A18820" t="str">
        <f t="shared" si="294"/>
        <v/>
      </c>
      <c r="E18820" s="626"/>
      <c r="F18820" s="626"/>
    </row>
    <row r="18821" spans="1:6">
      <c r="A18821" t="str">
        <f t="shared" si="294"/>
        <v/>
      </c>
      <c r="E18821" s="626"/>
      <c r="F18821" s="626"/>
    </row>
    <row r="18822" spans="1:6">
      <c r="A18822" t="str">
        <f t="shared" si="294"/>
        <v/>
      </c>
      <c r="E18822" s="626"/>
      <c r="F18822" s="626"/>
    </row>
    <row r="18823" spans="1:6">
      <c r="A18823" t="str">
        <f t="shared" si="294"/>
        <v/>
      </c>
      <c r="E18823" s="626"/>
      <c r="F18823" s="626"/>
    </row>
    <row r="18824" spans="1:6">
      <c r="A18824" t="str">
        <f t="shared" si="294"/>
        <v/>
      </c>
      <c r="E18824" s="626"/>
      <c r="F18824" s="626"/>
    </row>
    <row r="18825" spans="1:6">
      <c r="A18825" t="str">
        <f t="shared" si="294"/>
        <v/>
      </c>
      <c r="E18825" s="626"/>
      <c r="F18825" s="626"/>
    </row>
    <row r="18826" spans="1:6">
      <c r="A18826" t="str">
        <f t="shared" si="294"/>
        <v/>
      </c>
      <c r="E18826" s="626"/>
      <c r="F18826" s="626"/>
    </row>
    <row r="18827" spans="1:6">
      <c r="A18827" t="str">
        <f t="shared" si="294"/>
        <v/>
      </c>
      <c r="E18827" s="626"/>
      <c r="F18827" s="626"/>
    </row>
    <row r="18828" spans="1:6">
      <c r="A18828" t="str">
        <f t="shared" si="294"/>
        <v/>
      </c>
      <c r="E18828" s="626"/>
      <c r="F18828" s="626"/>
    </row>
    <row r="18829" spans="1:6">
      <c r="A18829" t="str">
        <f t="shared" si="294"/>
        <v/>
      </c>
      <c r="E18829" s="626"/>
      <c r="F18829" s="626"/>
    </row>
    <row r="18830" spans="1:6">
      <c r="A18830" t="str">
        <f t="shared" si="294"/>
        <v/>
      </c>
      <c r="E18830" s="626"/>
      <c r="F18830" s="626"/>
    </row>
    <row r="18831" spans="1:6">
      <c r="A18831" t="str">
        <f t="shared" si="294"/>
        <v/>
      </c>
      <c r="E18831" s="626"/>
      <c r="F18831" s="626"/>
    </row>
    <row r="18832" spans="1:6">
      <c r="A18832" t="str">
        <f t="shared" si="294"/>
        <v/>
      </c>
      <c r="E18832" s="626"/>
      <c r="F18832" s="626"/>
    </row>
    <row r="18833" spans="1:6">
      <c r="A18833" t="str">
        <f t="shared" si="294"/>
        <v/>
      </c>
      <c r="E18833" s="626"/>
      <c r="F18833" s="626"/>
    </row>
    <row r="18834" spans="1:6">
      <c r="A18834" t="str">
        <f t="shared" si="294"/>
        <v/>
      </c>
      <c r="E18834" s="626"/>
      <c r="F18834" s="626"/>
    </row>
    <row r="18835" spans="1:6">
      <c r="A18835" t="str">
        <f t="shared" si="294"/>
        <v/>
      </c>
      <c r="E18835" s="626"/>
      <c r="F18835" s="626"/>
    </row>
    <row r="18836" spans="1:6">
      <c r="A18836" t="str">
        <f t="shared" si="294"/>
        <v/>
      </c>
      <c r="E18836" s="626"/>
      <c r="F18836" s="626"/>
    </row>
    <row r="18837" spans="1:6">
      <c r="A18837" t="str">
        <f t="shared" si="294"/>
        <v/>
      </c>
      <c r="E18837" s="626"/>
      <c r="F18837" s="626"/>
    </row>
    <row r="18838" spans="1:6">
      <c r="A18838" t="str">
        <f t="shared" si="294"/>
        <v/>
      </c>
      <c r="E18838" s="626"/>
      <c r="F18838" s="626"/>
    </row>
    <row r="18839" spans="1:6">
      <c r="A18839" t="str">
        <f t="shared" si="294"/>
        <v/>
      </c>
      <c r="E18839" s="626"/>
      <c r="F18839" s="626"/>
    </row>
    <row r="18840" spans="1:6">
      <c r="A18840" t="str">
        <f t="shared" si="294"/>
        <v/>
      </c>
      <c r="E18840" s="626"/>
      <c r="F18840" s="626"/>
    </row>
    <row r="18841" spans="1:6">
      <c r="A18841" t="str">
        <f t="shared" si="294"/>
        <v/>
      </c>
      <c r="E18841" s="626"/>
      <c r="F18841" s="626"/>
    </row>
    <row r="18842" spans="1:6">
      <c r="A18842" t="str">
        <f t="shared" si="294"/>
        <v/>
      </c>
      <c r="E18842" s="626"/>
      <c r="F18842" s="626"/>
    </row>
    <row r="18843" spans="1:6">
      <c r="A18843" t="str">
        <f t="shared" si="294"/>
        <v/>
      </c>
      <c r="E18843" s="626"/>
      <c r="F18843" s="626"/>
    </row>
    <row r="18844" spans="1:6">
      <c r="A18844" t="str">
        <f t="shared" si="294"/>
        <v/>
      </c>
      <c r="E18844" s="626"/>
      <c r="F18844" s="626"/>
    </row>
    <row r="18845" spans="1:6">
      <c r="A18845" t="str">
        <f t="shared" si="294"/>
        <v/>
      </c>
      <c r="E18845" s="626"/>
      <c r="F18845" s="626"/>
    </row>
    <row r="18846" spans="1:6">
      <c r="A18846" t="str">
        <f t="shared" si="294"/>
        <v/>
      </c>
      <c r="E18846" s="626"/>
      <c r="F18846" s="626"/>
    </row>
    <row r="18847" spans="1:6">
      <c r="A18847" t="str">
        <f t="shared" si="294"/>
        <v/>
      </c>
      <c r="E18847" s="626"/>
      <c r="F18847" s="626"/>
    </row>
    <row r="18848" spans="1:6">
      <c r="A18848" t="str">
        <f t="shared" si="294"/>
        <v/>
      </c>
      <c r="E18848" s="626"/>
      <c r="F18848" s="626"/>
    </row>
    <row r="18849" spans="1:6">
      <c r="A18849" t="str">
        <f t="shared" si="294"/>
        <v/>
      </c>
      <c r="E18849" s="626"/>
      <c r="F18849" s="626"/>
    </row>
    <row r="18850" spans="1:6">
      <c r="A18850" t="str">
        <f t="shared" si="294"/>
        <v/>
      </c>
      <c r="E18850" s="626"/>
      <c r="F18850" s="626"/>
    </row>
    <row r="18851" spans="1:6">
      <c r="A18851" t="str">
        <f t="shared" si="294"/>
        <v/>
      </c>
      <c r="E18851" s="626"/>
      <c r="F18851" s="626"/>
    </row>
    <row r="18852" spans="1:6">
      <c r="A18852" t="str">
        <f t="shared" si="294"/>
        <v/>
      </c>
      <c r="E18852" s="626"/>
      <c r="F18852" s="626"/>
    </row>
    <row r="18853" spans="1:6">
      <c r="A18853" t="str">
        <f t="shared" si="294"/>
        <v/>
      </c>
      <c r="E18853" s="626"/>
      <c r="F18853" s="626"/>
    </row>
    <row r="18854" spans="1:6">
      <c r="A18854" t="str">
        <f t="shared" si="294"/>
        <v/>
      </c>
      <c r="E18854" s="626"/>
      <c r="F18854" s="626"/>
    </row>
    <row r="18855" spans="1:6">
      <c r="A18855" t="str">
        <f t="shared" si="294"/>
        <v/>
      </c>
      <c r="E18855" s="626"/>
      <c r="F18855" s="626"/>
    </row>
    <row r="18856" spans="1:6">
      <c r="A18856" t="str">
        <f t="shared" si="294"/>
        <v/>
      </c>
      <c r="E18856" s="626"/>
      <c r="F18856" s="626"/>
    </row>
    <row r="18857" spans="1:6">
      <c r="A18857" t="str">
        <f t="shared" si="294"/>
        <v/>
      </c>
      <c r="E18857" s="626"/>
      <c r="F18857" s="626"/>
    </row>
    <row r="18858" spans="1:6">
      <c r="A18858" t="str">
        <f t="shared" si="294"/>
        <v/>
      </c>
      <c r="E18858" s="626"/>
      <c r="F18858" s="626"/>
    </row>
    <row r="18859" spans="1:6">
      <c r="A18859" t="str">
        <f t="shared" si="294"/>
        <v/>
      </c>
      <c r="E18859" s="626"/>
      <c r="F18859" s="626"/>
    </row>
    <row r="18860" spans="1:6">
      <c r="A18860" t="str">
        <f t="shared" si="294"/>
        <v/>
      </c>
      <c r="E18860" s="626"/>
      <c r="F18860" s="626"/>
    </row>
    <row r="18861" spans="1:6">
      <c r="A18861" t="str">
        <f t="shared" si="294"/>
        <v/>
      </c>
      <c r="E18861" s="626"/>
      <c r="F18861" s="626"/>
    </row>
    <row r="18862" spans="1:6">
      <c r="A18862" t="str">
        <f t="shared" si="294"/>
        <v/>
      </c>
      <c r="E18862" s="626"/>
      <c r="F18862" s="626"/>
    </row>
    <row r="18863" spans="1:6">
      <c r="A18863" t="str">
        <f t="shared" si="294"/>
        <v/>
      </c>
      <c r="E18863" s="626"/>
      <c r="F18863" s="626"/>
    </row>
    <row r="18864" spans="1:6">
      <c r="A18864" t="str">
        <f t="shared" si="294"/>
        <v/>
      </c>
      <c r="E18864" s="626"/>
      <c r="F18864" s="626"/>
    </row>
    <row r="18865" spans="1:6">
      <c r="A18865" t="str">
        <f t="shared" si="294"/>
        <v/>
      </c>
      <c r="E18865" s="626"/>
      <c r="F18865" s="626"/>
    </row>
    <row r="18866" spans="1:6">
      <c r="A18866" t="str">
        <f t="shared" si="294"/>
        <v/>
      </c>
      <c r="E18866" s="626"/>
      <c r="F18866" s="626"/>
    </row>
    <row r="18867" spans="1:6">
      <c r="A18867" t="str">
        <f t="shared" si="294"/>
        <v/>
      </c>
      <c r="E18867" s="626"/>
      <c r="F18867" s="626"/>
    </row>
    <row r="18868" spans="1:6">
      <c r="A18868" t="str">
        <f t="shared" si="294"/>
        <v/>
      </c>
      <c r="E18868" s="626"/>
      <c r="F18868" s="626"/>
    </row>
    <row r="18869" spans="1:6">
      <c r="A18869" t="str">
        <f t="shared" si="294"/>
        <v/>
      </c>
      <c r="E18869" s="626"/>
      <c r="F18869" s="626"/>
    </row>
    <row r="18870" spans="1:6">
      <c r="A18870" t="str">
        <f t="shared" si="294"/>
        <v/>
      </c>
      <c r="E18870" s="626"/>
      <c r="F18870" s="626"/>
    </row>
    <row r="18871" spans="1:6">
      <c r="A18871" t="str">
        <f t="shared" si="294"/>
        <v/>
      </c>
      <c r="E18871" s="626"/>
      <c r="F18871" s="626"/>
    </row>
    <row r="18872" spans="1:6">
      <c r="A18872" t="str">
        <f t="shared" si="294"/>
        <v/>
      </c>
      <c r="E18872" s="626"/>
      <c r="F18872" s="626"/>
    </row>
    <row r="18873" spans="1:6">
      <c r="A18873" t="str">
        <f t="shared" si="294"/>
        <v/>
      </c>
      <c r="E18873" s="626"/>
      <c r="F18873" s="626"/>
    </row>
    <row r="18874" spans="1:6">
      <c r="A18874" t="str">
        <f t="shared" si="294"/>
        <v/>
      </c>
      <c r="E18874" s="626"/>
      <c r="F18874" s="626"/>
    </row>
    <row r="18875" spans="1:6">
      <c r="A18875" t="str">
        <f t="shared" si="294"/>
        <v/>
      </c>
      <c r="E18875" s="626"/>
      <c r="F18875" s="626"/>
    </row>
    <row r="18876" spans="1:6">
      <c r="A18876" t="str">
        <f t="shared" si="294"/>
        <v/>
      </c>
      <c r="E18876" s="626"/>
      <c r="F18876" s="626"/>
    </row>
    <row r="18877" spans="1:6">
      <c r="A18877" t="str">
        <f t="shared" si="294"/>
        <v/>
      </c>
      <c r="E18877" s="626"/>
      <c r="F18877" s="626"/>
    </row>
    <row r="18878" spans="1:6">
      <c r="A18878" t="str">
        <f t="shared" si="294"/>
        <v/>
      </c>
      <c r="E18878" s="626"/>
      <c r="F18878" s="626"/>
    </row>
    <row r="18879" spans="1:6">
      <c r="A18879" t="str">
        <f t="shared" si="294"/>
        <v/>
      </c>
      <c r="E18879" s="626"/>
      <c r="F18879" s="626"/>
    </row>
    <row r="18880" spans="1:6">
      <c r="A18880" t="str">
        <f t="shared" si="294"/>
        <v/>
      </c>
      <c r="E18880" s="626"/>
      <c r="F18880" s="626"/>
    </row>
    <row r="18881" spans="1:6">
      <c r="A18881" t="str">
        <f t="shared" si="294"/>
        <v/>
      </c>
      <c r="E18881" s="626"/>
      <c r="F18881" s="626"/>
    </row>
    <row r="18882" spans="1:6">
      <c r="A18882" t="str">
        <f t="shared" ref="A18882:A18945" si="295">B18882&amp;E18882&amp;J18882</f>
        <v/>
      </c>
      <c r="E18882" s="626"/>
      <c r="F18882" s="626"/>
    </row>
    <row r="18883" spans="1:6">
      <c r="A18883" t="str">
        <f t="shared" si="295"/>
        <v/>
      </c>
      <c r="E18883" s="626"/>
      <c r="F18883" s="626"/>
    </row>
    <row r="18884" spans="1:6">
      <c r="A18884" t="str">
        <f t="shared" si="295"/>
        <v/>
      </c>
      <c r="E18884" s="626"/>
      <c r="F18884" s="626"/>
    </row>
    <row r="18885" spans="1:6">
      <c r="A18885" t="str">
        <f t="shared" si="295"/>
        <v/>
      </c>
      <c r="E18885" s="626"/>
      <c r="F18885" s="626"/>
    </row>
    <row r="18886" spans="1:6">
      <c r="A18886" t="str">
        <f t="shared" si="295"/>
        <v/>
      </c>
      <c r="E18886" s="626"/>
      <c r="F18886" s="626"/>
    </row>
    <row r="18887" spans="1:6">
      <c r="A18887" t="str">
        <f t="shared" si="295"/>
        <v/>
      </c>
      <c r="E18887" s="626"/>
      <c r="F18887" s="626"/>
    </row>
    <row r="18888" spans="1:6">
      <c r="A18888" t="str">
        <f t="shared" si="295"/>
        <v/>
      </c>
      <c r="E18888" s="626"/>
      <c r="F18888" s="626"/>
    </row>
    <row r="18889" spans="1:6">
      <c r="A18889" t="str">
        <f t="shared" si="295"/>
        <v/>
      </c>
      <c r="E18889" s="626"/>
      <c r="F18889" s="626"/>
    </row>
    <row r="18890" spans="1:6">
      <c r="A18890" t="str">
        <f t="shared" si="295"/>
        <v/>
      </c>
      <c r="E18890" s="626"/>
      <c r="F18890" s="626"/>
    </row>
    <row r="18891" spans="1:6">
      <c r="A18891" t="str">
        <f t="shared" si="295"/>
        <v/>
      </c>
      <c r="E18891" s="626"/>
      <c r="F18891" s="626"/>
    </row>
    <row r="18892" spans="1:6">
      <c r="A18892" t="str">
        <f t="shared" si="295"/>
        <v/>
      </c>
      <c r="E18892" s="626"/>
      <c r="F18892" s="626"/>
    </row>
    <row r="18893" spans="1:6">
      <c r="A18893" t="str">
        <f t="shared" si="295"/>
        <v/>
      </c>
      <c r="E18893" s="626"/>
      <c r="F18893" s="626"/>
    </row>
    <row r="18894" spans="1:6">
      <c r="A18894" t="str">
        <f t="shared" si="295"/>
        <v/>
      </c>
      <c r="E18894" s="626"/>
      <c r="F18894" s="626"/>
    </row>
    <row r="18895" spans="1:6">
      <c r="A18895" t="str">
        <f t="shared" si="295"/>
        <v/>
      </c>
      <c r="E18895" s="626"/>
      <c r="F18895" s="626"/>
    </row>
    <row r="18896" spans="1:6">
      <c r="A18896" t="str">
        <f t="shared" si="295"/>
        <v/>
      </c>
      <c r="E18896" s="626"/>
      <c r="F18896" s="626"/>
    </row>
    <row r="18897" spans="1:6">
      <c r="A18897" t="str">
        <f t="shared" si="295"/>
        <v/>
      </c>
      <c r="E18897" s="626"/>
      <c r="F18897" s="626"/>
    </row>
    <row r="18898" spans="1:6">
      <c r="A18898" t="str">
        <f t="shared" si="295"/>
        <v/>
      </c>
      <c r="E18898" s="626"/>
      <c r="F18898" s="626"/>
    </row>
    <row r="18899" spans="1:6">
      <c r="A18899" t="str">
        <f t="shared" si="295"/>
        <v/>
      </c>
      <c r="E18899" s="626"/>
      <c r="F18899" s="626"/>
    </row>
    <row r="18900" spans="1:6">
      <c r="A18900" t="str">
        <f t="shared" si="295"/>
        <v/>
      </c>
      <c r="E18900" s="626"/>
      <c r="F18900" s="626"/>
    </row>
    <row r="18901" spans="1:6">
      <c r="A18901" t="str">
        <f t="shared" si="295"/>
        <v/>
      </c>
      <c r="E18901" s="626"/>
      <c r="F18901" s="626"/>
    </row>
    <row r="18902" spans="1:6">
      <c r="A18902" t="str">
        <f t="shared" si="295"/>
        <v/>
      </c>
      <c r="E18902" s="626"/>
      <c r="F18902" s="626"/>
    </row>
    <row r="18903" spans="1:6">
      <c r="A18903" t="str">
        <f t="shared" si="295"/>
        <v/>
      </c>
      <c r="E18903" s="626"/>
      <c r="F18903" s="626"/>
    </row>
    <row r="18904" spans="1:6">
      <c r="A18904" t="str">
        <f t="shared" si="295"/>
        <v/>
      </c>
      <c r="E18904" s="626"/>
      <c r="F18904" s="626"/>
    </row>
    <row r="18905" spans="1:6">
      <c r="A18905" t="str">
        <f t="shared" si="295"/>
        <v/>
      </c>
      <c r="E18905" s="626"/>
      <c r="F18905" s="626"/>
    </row>
    <row r="18906" spans="1:6">
      <c r="A18906" t="str">
        <f t="shared" si="295"/>
        <v/>
      </c>
      <c r="E18906" s="626"/>
      <c r="F18906" s="626"/>
    </row>
    <row r="18907" spans="1:6">
      <c r="A18907" t="str">
        <f t="shared" si="295"/>
        <v/>
      </c>
      <c r="E18907" s="626"/>
      <c r="F18907" s="626"/>
    </row>
    <row r="18908" spans="1:6">
      <c r="A18908" t="str">
        <f t="shared" si="295"/>
        <v/>
      </c>
      <c r="E18908" s="626"/>
      <c r="F18908" s="626"/>
    </row>
    <row r="18909" spans="1:6">
      <c r="A18909" t="str">
        <f t="shared" si="295"/>
        <v/>
      </c>
      <c r="E18909" s="626"/>
      <c r="F18909" s="626"/>
    </row>
    <row r="18910" spans="1:6">
      <c r="A18910" t="str">
        <f t="shared" si="295"/>
        <v/>
      </c>
      <c r="E18910" s="626"/>
      <c r="F18910" s="626"/>
    </row>
    <row r="18911" spans="1:6">
      <c r="A18911" t="str">
        <f t="shared" si="295"/>
        <v/>
      </c>
      <c r="E18911" s="626"/>
      <c r="F18911" s="626"/>
    </row>
    <row r="18912" spans="1:6">
      <c r="A18912" t="str">
        <f t="shared" si="295"/>
        <v/>
      </c>
      <c r="E18912" s="626"/>
      <c r="F18912" s="626"/>
    </row>
    <row r="18913" spans="1:6">
      <c r="A18913" t="str">
        <f t="shared" si="295"/>
        <v/>
      </c>
      <c r="E18913" s="626"/>
      <c r="F18913" s="626"/>
    </row>
    <row r="18914" spans="1:6">
      <c r="A18914" t="str">
        <f t="shared" si="295"/>
        <v/>
      </c>
      <c r="E18914" s="626"/>
      <c r="F18914" s="626"/>
    </row>
    <row r="18915" spans="1:6">
      <c r="A18915" t="str">
        <f t="shared" si="295"/>
        <v/>
      </c>
      <c r="E18915" s="626"/>
      <c r="F18915" s="626"/>
    </row>
    <row r="18916" spans="1:6">
      <c r="A18916" t="str">
        <f t="shared" si="295"/>
        <v/>
      </c>
      <c r="E18916" s="626"/>
      <c r="F18916" s="626"/>
    </row>
    <row r="18917" spans="1:6">
      <c r="A18917" t="str">
        <f t="shared" si="295"/>
        <v/>
      </c>
      <c r="E18917" s="626"/>
      <c r="F18917" s="626"/>
    </row>
    <row r="18918" spans="1:6">
      <c r="A18918" t="str">
        <f t="shared" si="295"/>
        <v/>
      </c>
      <c r="E18918" s="626"/>
      <c r="F18918" s="626"/>
    </row>
    <row r="18919" spans="1:6">
      <c r="A18919" t="str">
        <f t="shared" si="295"/>
        <v/>
      </c>
      <c r="E18919" s="626"/>
      <c r="F18919" s="626"/>
    </row>
    <row r="18920" spans="1:6">
      <c r="A18920" t="str">
        <f t="shared" si="295"/>
        <v/>
      </c>
      <c r="E18920" s="626"/>
      <c r="F18920" s="626"/>
    </row>
    <row r="18921" spans="1:6">
      <c r="A18921" t="str">
        <f t="shared" si="295"/>
        <v/>
      </c>
      <c r="E18921" s="626"/>
      <c r="F18921" s="626"/>
    </row>
    <row r="18922" spans="1:6">
      <c r="A18922" t="str">
        <f t="shared" si="295"/>
        <v/>
      </c>
      <c r="E18922" s="626"/>
      <c r="F18922" s="626"/>
    </row>
    <row r="18923" spans="1:6">
      <c r="A18923" t="str">
        <f t="shared" si="295"/>
        <v/>
      </c>
      <c r="E18923" s="626"/>
      <c r="F18923" s="626"/>
    </row>
    <row r="18924" spans="1:6">
      <c r="A18924" t="str">
        <f t="shared" si="295"/>
        <v/>
      </c>
      <c r="E18924" s="626"/>
      <c r="F18924" s="626"/>
    </row>
    <row r="18925" spans="1:6">
      <c r="A18925" t="str">
        <f t="shared" si="295"/>
        <v/>
      </c>
      <c r="E18925" s="626"/>
      <c r="F18925" s="626"/>
    </row>
    <row r="18926" spans="1:6">
      <c r="A18926" t="str">
        <f t="shared" si="295"/>
        <v/>
      </c>
      <c r="E18926" s="626"/>
      <c r="F18926" s="626"/>
    </row>
    <row r="18927" spans="1:6">
      <c r="A18927" t="str">
        <f t="shared" si="295"/>
        <v/>
      </c>
      <c r="E18927" s="626"/>
      <c r="F18927" s="626"/>
    </row>
    <row r="18928" spans="1:6">
      <c r="A18928" t="str">
        <f t="shared" si="295"/>
        <v/>
      </c>
      <c r="E18928" s="626"/>
      <c r="F18928" s="626"/>
    </row>
    <row r="18929" spans="1:6">
      <c r="A18929" t="str">
        <f t="shared" si="295"/>
        <v/>
      </c>
      <c r="E18929" s="626"/>
      <c r="F18929" s="626"/>
    </row>
    <row r="18930" spans="1:6">
      <c r="A18930" t="str">
        <f t="shared" si="295"/>
        <v/>
      </c>
      <c r="E18930" s="626"/>
      <c r="F18930" s="626"/>
    </row>
    <row r="18931" spans="1:6">
      <c r="A18931" t="str">
        <f t="shared" si="295"/>
        <v/>
      </c>
      <c r="E18931" s="626"/>
      <c r="F18931" s="626"/>
    </row>
    <row r="18932" spans="1:6">
      <c r="A18932" t="str">
        <f t="shared" si="295"/>
        <v/>
      </c>
      <c r="E18932" s="626"/>
      <c r="F18932" s="626"/>
    </row>
    <row r="18933" spans="1:6">
      <c r="A18933" t="str">
        <f t="shared" si="295"/>
        <v/>
      </c>
      <c r="E18933" s="626"/>
      <c r="F18933" s="626"/>
    </row>
    <row r="18934" spans="1:6">
      <c r="A18934" t="str">
        <f t="shared" si="295"/>
        <v/>
      </c>
      <c r="E18934" s="626"/>
      <c r="F18934" s="626"/>
    </row>
    <row r="18935" spans="1:6">
      <c r="A18935" t="str">
        <f t="shared" si="295"/>
        <v/>
      </c>
      <c r="E18935" s="626"/>
      <c r="F18935" s="626"/>
    </row>
    <row r="18936" spans="1:6">
      <c r="A18936" t="str">
        <f t="shared" si="295"/>
        <v/>
      </c>
      <c r="E18936" s="626"/>
      <c r="F18936" s="626"/>
    </row>
    <row r="18937" spans="1:6">
      <c r="A18937" t="str">
        <f t="shared" si="295"/>
        <v/>
      </c>
      <c r="E18937" s="626"/>
      <c r="F18937" s="626"/>
    </row>
    <row r="18938" spans="1:6">
      <c r="A18938" t="str">
        <f t="shared" si="295"/>
        <v/>
      </c>
      <c r="E18938" s="626"/>
      <c r="F18938" s="626"/>
    </row>
    <row r="18939" spans="1:6">
      <c r="A18939" t="str">
        <f t="shared" si="295"/>
        <v/>
      </c>
      <c r="E18939" s="626"/>
      <c r="F18939" s="626"/>
    </row>
    <row r="18940" spans="1:6">
      <c r="A18940" t="str">
        <f t="shared" si="295"/>
        <v/>
      </c>
      <c r="E18940" s="626"/>
      <c r="F18940" s="626"/>
    </row>
    <row r="18941" spans="1:6">
      <c r="A18941" t="str">
        <f t="shared" si="295"/>
        <v/>
      </c>
      <c r="E18941" s="626"/>
      <c r="F18941" s="626"/>
    </row>
    <row r="18942" spans="1:6">
      <c r="A18942" t="str">
        <f t="shared" si="295"/>
        <v/>
      </c>
      <c r="E18942" s="626"/>
      <c r="F18942" s="626"/>
    </row>
    <row r="18943" spans="1:6">
      <c r="A18943" t="str">
        <f t="shared" si="295"/>
        <v/>
      </c>
      <c r="E18943" s="626"/>
      <c r="F18943" s="626"/>
    </row>
    <row r="18944" spans="1:6">
      <c r="A18944" t="str">
        <f t="shared" si="295"/>
        <v/>
      </c>
      <c r="E18944" s="626"/>
      <c r="F18944" s="626"/>
    </row>
    <row r="18945" spans="1:6">
      <c r="A18945" t="str">
        <f t="shared" si="295"/>
        <v/>
      </c>
      <c r="E18945" s="626"/>
      <c r="F18945" s="626"/>
    </row>
    <row r="18946" spans="1:6">
      <c r="A18946" t="str">
        <f t="shared" ref="A18946:A19009" si="296">B18946&amp;E18946&amp;J18946</f>
        <v/>
      </c>
      <c r="E18946" s="626"/>
      <c r="F18946" s="626"/>
    </row>
    <row r="18947" spans="1:6">
      <c r="A18947" t="str">
        <f t="shared" si="296"/>
        <v/>
      </c>
      <c r="E18947" s="626"/>
      <c r="F18947" s="626"/>
    </row>
    <row r="18948" spans="1:6">
      <c r="A18948" t="str">
        <f t="shared" si="296"/>
        <v/>
      </c>
      <c r="E18948" s="626"/>
      <c r="F18948" s="626"/>
    </row>
    <row r="18949" spans="1:6">
      <c r="A18949" t="str">
        <f t="shared" si="296"/>
        <v/>
      </c>
      <c r="E18949" s="626"/>
      <c r="F18949" s="626"/>
    </row>
    <row r="18950" spans="1:6">
      <c r="A18950" t="str">
        <f t="shared" si="296"/>
        <v/>
      </c>
      <c r="E18950" s="626"/>
      <c r="F18950" s="626"/>
    </row>
    <row r="18951" spans="1:6">
      <c r="A18951" t="str">
        <f t="shared" si="296"/>
        <v/>
      </c>
      <c r="E18951" s="626"/>
      <c r="F18951" s="626"/>
    </row>
    <row r="18952" spans="1:6">
      <c r="A18952" t="str">
        <f t="shared" si="296"/>
        <v/>
      </c>
      <c r="E18952" s="626"/>
      <c r="F18952" s="626"/>
    </row>
    <row r="18953" spans="1:6">
      <c r="A18953" t="str">
        <f t="shared" si="296"/>
        <v/>
      </c>
      <c r="E18953" s="626"/>
      <c r="F18953" s="626"/>
    </row>
    <row r="18954" spans="1:6">
      <c r="A18954" t="str">
        <f t="shared" si="296"/>
        <v/>
      </c>
      <c r="E18954" s="626"/>
      <c r="F18954" s="626"/>
    </row>
    <row r="18955" spans="1:6">
      <c r="A18955" t="str">
        <f t="shared" si="296"/>
        <v/>
      </c>
      <c r="E18955" s="626"/>
      <c r="F18955" s="626"/>
    </row>
    <row r="18956" spans="1:6">
      <c r="A18956" t="str">
        <f t="shared" si="296"/>
        <v/>
      </c>
      <c r="E18956" s="626"/>
      <c r="F18956" s="626"/>
    </row>
    <row r="18957" spans="1:6">
      <c r="A18957" t="str">
        <f t="shared" si="296"/>
        <v/>
      </c>
      <c r="E18957" s="626"/>
      <c r="F18957" s="626"/>
    </row>
    <row r="18958" spans="1:6">
      <c r="A18958" t="str">
        <f t="shared" si="296"/>
        <v/>
      </c>
      <c r="E18958" s="626"/>
      <c r="F18958" s="626"/>
    </row>
    <row r="18959" spans="1:6">
      <c r="A18959" t="str">
        <f t="shared" si="296"/>
        <v/>
      </c>
      <c r="E18959" s="626"/>
      <c r="F18959" s="626"/>
    </row>
    <row r="18960" spans="1:6">
      <c r="A18960" t="str">
        <f t="shared" si="296"/>
        <v/>
      </c>
      <c r="E18960" s="626"/>
      <c r="F18960" s="626"/>
    </row>
    <row r="18961" spans="1:6">
      <c r="A18961" t="str">
        <f t="shared" si="296"/>
        <v/>
      </c>
      <c r="E18961" s="626"/>
      <c r="F18961" s="626"/>
    </row>
    <row r="18962" spans="1:6">
      <c r="A18962" t="str">
        <f t="shared" si="296"/>
        <v/>
      </c>
      <c r="E18962" s="626"/>
      <c r="F18962" s="626"/>
    </row>
    <row r="18963" spans="1:6">
      <c r="A18963" t="str">
        <f t="shared" si="296"/>
        <v/>
      </c>
      <c r="E18963" s="626"/>
      <c r="F18963" s="626"/>
    </row>
    <row r="18964" spans="1:6">
      <c r="A18964" t="str">
        <f t="shared" si="296"/>
        <v/>
      </c>
      <c r="E18964" s="626"/>
      <c r="F18964" s="626"/>
    </row>
    <row r="18965" spans="1:6">
      <c r="A18965" t="str">
        <f t="shared" si="296"/>
        <v/>
      </c>
      <c r="E18965" s="626"/>
      <c r="F18965" s="626"/>
    </row>
    <row r="18966" spans="1:6">
      <c r="A18966" t="str">
        <f t="shared" si="296"/>
        <v/>
      </c>
      <c r="E18966" s="626"/>
      <c r="F18966" s="626"/>
    </row>
    <row r="18967" spans="1:6">
      <c r="A18967" t="str">
        <f t="shared" si="296"/>
        <v/>
      </c>
      <c r="E18967" s="626"/>
      <c r="F18967" s="626"/>
    </row>
    <row r="18968" spans="1:6">
      <c r="A18968" t="str">
        <f t="shared" si="296"/>
        <v/>
      </c>
      <c r="E18968" s="626"/>
      <c r="F18968" s="626"/>
    </row>
    <row r="18969" spans="1:6">
      <c r="A18969" t="str">
        <f t="shared" si="296"/>
        <v/>
      </c>
      <c r="E18969" s="626"/>
      <c r="F18969" s="626"/>
    </row>
    <row r="18970" spans="1:6">
      <c r="A18970" t="str">
        <f t="shared" si="296"/>
        <v/>
      </c>
      <c r="E18970" s="626"/>
      <c r="F18970" s="626"/>
    </row>
    <row r="18971" spans="1:6">
      <c r="A18971" t="str">
        <f t="shared" si="296"/>
        <v/>
      </c>
      <c r="E18971" s="626"/>
      <c r="F18971" s="626"/>
    </row>
    <row r="18972" spans="1:6">
      <c r="A18972" t="str">
        <f t="shared" si="296"/>
        <v/>
      </c>
      <c r="E18972" s="626"/>
      <c r="F18972" s="626"/>
    </row>
    <row r="18973" spans="1:6">
      <c r="A18973" t="str">
        <f t="shared" si="296"/>
        <v/>
      </c>
      <c r="E18973" s="626"/>
      <c r="F18973" s="626"/>
    </row>
    <row r="18974" spans="1:6">
      <c r="A18974" t="str">
        <f t="shared" si="296"/>
        <v/>
      </c>
      <c r="E18974" s="626"/>
      <c r="F18974" s="626"/>
    </row>
    <row r="18975" spans="1:6">
      <c r="A18975" t="str">
        <f t="shared" si="296"/>
        <v/>
      </c>
      <c r="E18975" s="626"/>
      <c r="F18975" s="626"/>
    </row>
    <row r="18976" spans="1:6">
      <c r="A18976" t="str">
        <f t="shared" si="296"/>
        <v/>
      </c>
      <c r="E18976" s="626"/>
      <c r="F18976" s="626"/>
    </row>
    <row r="18977" spans="1:6">
      <c r="A18977" t="str">
        <f t="shared" si="296"/>
        <v/>
      </c>
      <c r="E18977" s="626"/>
      <c r="F18977" s="626"/>
    </row>
    <row r="18978" spans="1:6">
      <c r="A18978" t="str">
        <f t="shared" si="296"/>
        <v/>
      </c>
      <c r="E18978" s="626"/>
      <c r="F18978" s="626"/>
    </row>
    <row r="18979" spans="1:6">
      <c r="A18979" t="str">
        <f t="shared" si="296"/>
        <v/>
      </c>
      <c r="E18979" s="626"/>
      <c r="F18979" s="626"/>
    </row>
    <row r="18980" spans="1:6">
      <c r="A18980" t="str">
        <f t="shared" si="296"/>
        <v/>
      </c>
      <c r="E18980" s="626"/>
      <c r="F18980" s="626"/>
    </row>
    <row r="18981" spans="1:6">
      <c r="A18981" t="str">
        <f t="shared" si="296"/>
        <v/>
      </c>
      <c r="E18981" s="626"/>
      <c r="F18981" s="626"/>
    </row>
    <row r="18982" spans="1:6">
      <c r="A18982" t="str">
        <f t="shared" si="296"/>
        <v/>
      </c>
      <c r="E18982" s="626"/>
      <c r="F18982" s="626"/>
    </row>
    <row r="18983" spans="1:6">
      <c r="A18983" t="str">
        <f t="shared" si="296"/>
        <v/>
      </c>
      <c r="E18983" s="626"/>
      <c r="F18983" s="626"/>
    </row>
    <row r="18984" spans="1:6">
      <c r="A18984" t="str">
        <f t="shared" si="296"/>
        <v/>
      </c>
      <c r="E18984" s="626"/>
      <c r="F18984" s="626"/>
    </row>
    <row r="18985" spans="1:6">
      <c r="A18985" t="str">
        <f t="shared" si="296"/>
        <v/>
      </c>
      <c r="E18985" s="626"/>
      <c r="F18985" s="626"/>
    </row>
    <row r="18986" spans="1:6">
      <c r="A18986" t="str">
        <f t="shared" si="296"/>
        <v/>
      </c>
      <c r="E18986" s="626"/>
      <c r="F18986" s="626"/>
    </row>
    <row r="18987" spans="1:6">
      <c r="A18987" t="str">
        <f t="shared" si="296"/>
        <v/>
      </c>
      <c r="E18987" s="626"/>
      <c r="F18987" s="626"/>
    </row>
    <row r="18988" spans="1:6">
      <c r="A18988" t="str">
        <f t="shared" si="296"/>
        <v/>
      </c>
      <c r="E18988" s="626"/>
      <c r="F18988" s="626"/>
    </row>
    <row r="18989" spans="1:6">
      <c r="A18989" t="str">
        <f t="shared" si="296"/>
        <v/>
      </c>
      <c r="E18989" s="626"/>
      <c r="F18989" s="626"/>
    </row>
    <row r="18990" spans="1:6">
      <c r="A18990" t="str">
        <f t="shared" si="296"/>
        <v/>
      </c>
      <c r="E18990" s="626"/>
      <c r="F18990" s="626"/>
    </row>
    <row r="18991" spans="1:6">
      <c r="A18991" t="str">
        <f t="shared" si="296"/>
        <v/>
      </c>
      <c r="E18991" s="626"/>
      <c r="F18991" s="626"/>
    </row>
    <row r="18992" spans="1:6">
      <c r="A18992" t="str">
        <f t="shared" si="296"/>
        <v/>
      </c>
      <c r="E18992" s="626"/>
      <c r="F18992" s="626"/>
    </row>
    <row r="18993" spans="1:6">
      <c r="A18993" t="str">
        <f t="shared" si="296"/>
        <v/>
      </c>
      <c r="E18993" s="626"/>
      <c r="F18993" s="626"/>
    </row>
    <row r="18994" spans="1:6">
      <c r="A18994" t="str">
        <f t="shared" si="296"/>
        <v/>
      </c>
      <c r="E18994" s="626"/>
      <c r="F18994" s="626"/>
    </row>
    <row r="18995" spans="1:6">
      <c r="A18995" t="str">
        <f t="shared" si="296"/>
        <v/>
      </c>
      <c r="E18995" s="626"/>
      <c r="F18995" s="626"/>
    </row>
    <row r="18996" spans="1:6">
      <c r="A18996" t="str">
        <f t="shared" si="296"/>
        <v/>
      </c>
      <c r="E18996" s="626"/>
      <c r="F18996" s="626"/>
    </row>
    <row r="18997" spans="1:6">
      <c r="A18997" t="str">
        <f t="shared" si="296"/>
        <v/>
      </c>
      <c r="E18997" s="626"/>
      <c r="F18997" s="626"/>
    </row>
    <row r="18998" spans="1:6">
      <c r="A18998" t="str">
        <f t="shared" si="296"/>
        <v/>
      </c>
      <c r="E18998" s="626"/>
      <c r="F18998" s="626"/>
    </row>
    <row r="18999" spans="1:6">
      <c r="A18999" t="str">
        <f t="shared" si="296"/>
        <v/>
      </c>
      <c r="E18999" s="626"/>
      <c r="F18999" s="626"/>
    </row>
    <row r="19000" spans="1:6">
      <c r="A19000" t="str">
        <f t="shared" si="296"/>
        <v/>
      </c>
      <c r="E19000" s="626"/>
      <c r="F19000" s="626"/>
    </row>
    <row r="19001" spans="1:6">
      <c r="A19001" t="str">
        <f t="shared" si="296"/>
        <v/>
      </c>
      <c r="E19001" s="626"/>
      <c r="F19001" s="626"/>
    </row>
    <row r="19002" spans="1:6">
      <c r="A19002" t="str">
        <f t="shared" si="296"/>
        <v/>
      </c>
      <c r="E19002" s="626"/>
      <c r="F19002" s="626"/>
    </row>
    <row r="19003" spans="1:6">
      <c r="A19003" t="str">
        <f t="shared" si="296"/>
        <v/>
      </c>
      <c r="E19003" s="626"/>
      <c r="F19003" s="626"/>
    </row>
    <row r="19004" spans="1:6">
      <c r="A19004" t="str">
        <f t="shared" si="296"/>
        <v/>
      </c>
      <c r="E19004" s="626"/>
      <c r="F19004" s="626"/>
    </row>
    <row r="19005" spans="1:6">
      <c r="A19005" t="str">
        <f t="shared" si="296"/>
        <v/>
      </c>
      <c r="E19005" s="626"/>
      <c r="F19005" s="626"/>
    </row>
    <row r="19006" spans="1:6">
      <c r="A19006" t="str">
        <f t="shared" si="296"/>
        <v/>
      </c>
      <c r="E19006" s="626"/>
      <c r="F19006" s="626"/>
    </row>
    <row r="19007" spans="1:6">
      <c r="A19007" t="str">
        <f t="shared" si="296"/>
        <v/>
      </c>
      <c r="E19007" s="626"/>
      <c r="F19007" s="626"/>
    </row>
    <row r="19008" spans="1:6">
      <c r="A19008" t="str">
        <f t="shared" si="296"/>
        <v/>
      </c>
      <c r="E19008" s="626"/>
      <c r="F19008" s="626"/>
    </row>
    <row r="19009" spans="1:6">
      <c r="A19009" t="str">
        <f t="shared" si="296"/>
        <v/>
      </c>
      <c r="E19009" s="626"/>
      <c r="F19009" s="626"/>
    </row>
    <row r="19010" spans="1:6">
      <c r="A19010" t="str">
        <f t="shared" ref="A19010:A19073" si="297">B19010&amp;E19010&amp;J19010</f>
        <v/>
      </c>
      <c r="E19010" s="626"/>
      <c r="F19010" s="626"/>
    </row>
    <row r="19011" spans="1:6">
      <c r="A19011" t="str">
        <f t="shared" si="297"/>
        <v/>
      </c>
      <c r="E19011" s="626"/>
      <c r="F19011" s="626"/>
    </row>
    <row r="19012" spans="1:6">
      <c r="A19012" t="str">
        <f t="shared" si="297"/>
        <v/>
      </c>
      <c r="E19012" s="626"/>
      <c r="F19012" s="626"/>
    </row>
    <row r="19013" spans="1:6">
      <c r="A19013" t="str">
        <f t="shared" si="297"/>
        <v/>
      </c>
      <c r="E19013" s="626"/>
      <c r="F19013" s="626"/>
    </row>
    <row r="19014" spans="1:6">
      <c r="A19014" t="str">
        <f t="shared" si="297"/>
        <v/>
      </c>
      <c r="E19014" s="626"/>
      <c r="F19014" s="626"/>
    </row>
    <row r="19015" spans="1:6">
      <c r="A19015" t="str">
        <f t="shared" si="297"/>
        <v/>
      </c>
      <c r="E19015" s="626"/>
      <c r="F19015" s="626"/>
    </row>
    <row r="19016" spans="1:6">
      <c r="A19016" t="str">
        <f t="shared" si="297"/>
        <v/>
      </c>
      <c r="E19016" s="626"/>
      <c r="F19016" s="626"/>
    </row>
    <row r="19017" spans="1:6">
      <c r="A19017" t="str">
        <f t="shared" si="297"/>
        <v/>
      </c>
      <c r="E19017" s="626"/>
      <c r="F19017" s="626"/>
    </row>
    <row r="19018" spans="1:6">
      <c r="A19018" t="str">
        <f t="shared" si="297"/>
        <v/>
      </c>
      <c r="E19018" s="626"/>
      <c r="F19018" s="626"/>
    </row>
    <row r="19019" spans="1:6">
      <c r="A19019" t="str">
        <f t="shared" si="297"/>
        <v/>
      </c>
      <c r="E19019" s="626"/>
      <c r="F19019" s="626"/>
    </row>
    <row r="19020" spans="1:6">
      <c r="A19020" t="str">
        <f t="shared" si="297"/>
        <v/>
      </c>
      <c r="E19020" s="626"/>
      <c r="F19020" s="626"/>
    </row>
    <row r="19021" spans="1:6">
      <c r="A19021" t="str">
        <f t="shared" si="297"/>
        <v/>
      </c>
      <c r="E19021" s="626"/>
      <c r="F19021" s="626"/>
    </row>
    <row r="19022" spans="1:6">
      <c r="A19022" t="str">
        <f t="shared" si="297"/>
        <v/>
      </c>
      <c r="E19022" s="626"/>
      <c r="F19022" s="626"/>
    </row>
    <row r="19023" spans="1:6">
      <c r="A19023" t="str">
        <f t="shared" si="297"/>
        <v/>
      </c>
      <c r="E19023" s="626"/>
      <c r="F19023" s="626"/>
    </row>
    <row r="19024" spans="1:6">
      <c r="A19024" t="str">
        <f t="shared" si="297"/>
        <v/>
      </c>
      <c r="E19024" s="626"/>
      <c r="F19024" s="626"/>
    </row>
    <row r="19025" spans="1:6">
      <c r="A19025" t="str">
        <f t="shared" si="297"/>
        <v/>
      </c>
      <c r="E19025" s="626"/>
      <c r="F19025" s="626"/>
    </row>
    <row r="19026" spans="1:6">
      <c r="A19026" t="str">
        <f t="shared" si="297"/>
        <v/>
      </c>
      <c r="E19026" s="626"/>
      <c r="F19026" s="626"/>
    </row>
    <row r="19027" spans="1:6">
      <c r="A19027" t="str">
        <f t="shared" si="297"/>
        <v/>
      </c>
      <c r="E19027" s="626"/>
      <c r="F19027" s="626"/>
    </row>
    <row r="19028" spans="1:6">
      <c r="A19028" t="str">
        <f t="shared" si="297"/>
        <v/>
      </c>
      <c r="E19028" s="626"/>
      <c r="F19028" s="626"/>
    </row>
    <row r="19029" spans="1:6">
      <c r="A19029" t="str">
        <f t="shared" si="297"/>
        <v/>
      </c>
      <c r="E19029" s="626"/>
      <c r="F19029" s="626"/>
    </row>
    <row r="19030" spans="1:6">
      <c r="A19030" t="str">
        <f t="shared" si="297"/>
        <v/>
      </c>
      <c r="E19030" s="626"/>
      <c r="F19030" s="626"/>
    </row>
    <row r="19031" spans="1:6">
      <c r="A19031" t="str">
        <f t="shared" si="297"/>
        <v/>
      </c>
      <c r="E19031" s="626"/>
      <c r="F19031" s="626"/>
    </row>
    <row r="19032" spans="1:6">
      <c r="A19032" t="str">
        <f t="shared" si="297"/>
        <v/>
      </c>
      <c r="E19032" s="626"/>
      <c r="F19032" s="626"/>
    </row>
    <row r="19033" spans="1:6">
      <c r="A19033" t="str">
        <f t="shared" si="297"/>
        <v/>
      </c>
      <c r="E19033" s="626"/>
      <c r="F19033" s="626"/>
    </row>
    <row r="19034" spans="1:6">
      <c r="A19034" t="str">
        <f t="shared" si="297"/>
        <v/>
      </c>
      <c r="E19034" s="626"/>
      <c r="F19034" s="626"/>
    </row>
    <row r="19035" spans="1:6">
      <c r="A19035" t="str">
        <f t="shared" si="297"/>
        <v/>
      </c>
      <c r="E19035" s="626"/>
      <c r="F19035" s="626"/>
    </row>
    <row r="19036" spans="1:6">
      <c r="A19036" t="str">
        <f t="shared" si="297"/>
        <v/>
      </c>
      <c r="E19036" s="626"/>
      <c r="F19036" s="626"/>
    </row>
    <row r="19037" spans="1:6">
      <c r="A19037" t="str">
        <f t="shared" si="297"/>
        <v/>
      </c>
      <c r="E19037" s="626"/>
      <c r="F19037" s="626"/>
    </row>
    <row r="19038" spans="1:6">
      <c r="A19038" t="str">
        <f t="shared" si="297"/>
        <v/>
      </c>
      <c r="E19038" s="626"/>
      <c r="F19038" s="626"/>
    </row>
    <row r="19039" spans="1:6">
      <c r="A19039" t="str">
        <f t="shared" si="297"/>
        <v/>
      </c>
      <c r="E19039" s="626"/>
      <c r="F19039" s="626"/>
    </row>
    <row r="19040" spans="1:6">
      <c r="A19040" t="str">
        <f t="shared" si="297"/>
        <v/>
      </c>
      <c r="E19040" s="626"/>
      <c r="F19040" s="626"/>
    </row>
    <row r="19041" spans="1:6">
      <c r="A19041" t="str">
        <f t="shared" si="297"/>
        <v/>
      </c>
      <c r="E19041" s="626"/>
      <c r="F19041" s="626"/>
    </row>
    <row r="19042" spans="1:6">
      <c r="A19042" t="str">
        <f t="shared" si="297"/>
        <v/>
      </c>
      <c r="E19042" s="626"/>
      <c r="F19042" s="626"/>
    </row>
    <row r="19043" spans="1:6">
      <c r="A19043" t="str">
        <f t="shared" si="297"/>
        <v/>
      </c>
      <c r="E19043" s="626"/>
      <c r="F19043" s="626"/>
    </row>
    <row r="19044" spans="1:6">
      <c r="A19044" t="str">
        <f t="shared" si="297"/>
        <v/>
      </c>
      <c r="E19044" s="626"/>
      <c r="F19044" s="626"/>
    </row>
    <row r="19045" spans="1:6">
      <c r="A19045" t="str">
        <f t="shared" si="297"/>
        <v/>
      </c>
      <c r="E19045" s="626"/>
      <c r="F19045" s="626"/>
    </row>
    <row r="19046" spans="1:6">
      <c r="A19046" t="str">
        <f t="shared" si="297"/>
        <v/>
      </c>
      <c r="E19046" s="626"/>
      <c r="F19046" s="626"/>
    </row>
    <row r="19047" spans="1:6">
      <c r="A19047" t="str">
        <f t="shared" si="297"/>
        <v/>
      </c>
      <c r="E19047" s="626"/>
      <c r="F19047" s="626"/>
    </row>
    <row r="19048" spans="1:6">
      <c r="A19048" t="str">
        <f t="shared" si="297"/>
        <v/>
      </c>
      <c r="E19048" s="626"/>
      <c r="F19048" s="626"/>
    </row>
    <row r="19049" spans="1:6">
      <c r="A19049" t="str">
        <f t="shared" si="297"/>
        <v/>
      </c>
      <c r="E19049" s="626"/>
      <c r="F19049" s="626"/>
    </row>
    <row r="19050" spans="1:6">
      <c r="A19050" t="str">
        <f t="shared" si="297"/>
        <v/>
      </c>
      <c r="E19050" s="626"/>
      <c r="F19050" s="626"/>
    </row>
    <row r="19051" spans="1:6">
      <c r="A19051" t="str">
        <f t="shared" si="297"/>
        <v/>
      </c>
      <c r="E19051" s="626"/>
      <c r="F19051" s="626"/>
    </row>
    <row r="19052" spans="1:6">
      <c r="A19052" t="str">
        <f t="shared" si="297"/>
        <v/>
      </c>
      <c r="E19052" s="626"/>
      <c r="F19052" s="626"/>
    </row>
    <row r="19053" spans="1:6">
      <c r="A19053" t="str">
        <f t="shared" si="297"/>
        <v/>
      </c>
      <c r="E19053" s="626"/>
      <c r="F19053" s="626"/>
    </row>
    <row r="19054" spans="1:6">
      <c r="A19054" t="str">
        <f t="shared" si="297"/>
        <v/>
      </c>
      <c r="E19054" s="626"/>
      <c r="F19054" s="626"/>
    </row>
    <row r="19055" spans="1:6">
      <c r="A19055" t="str">
        <f t="shared" si="297"/>
        <v/>
      </c>
      <c r="E19055" s="626"/>
      <c r="F19055" s="626"/>
    </row>
    <row r="19056" spans="1:6">
      <c r="A19056" t="str">
        <f t="shared" si="297"/>
        <v/>
      </c>
      <c r="E19056" s="626"/>
      <c r="F19056" s="626"/>
    </row>
    <row r="19057" spans="1:6">
      <c r="A19057" t="str">
        <f t="shared" si="297"/>
        <v/>
      </c>
      <c r="E19057" s="626"/>
      <c r="F19057" s="626"/>
    </row>
    <row r="19058" spans="1:6">
      <c r="A19058" t="str">
        <f t="shared" si="297"/>
        <v/>
      </c>
      <c r="E19058" s="626"/>
      <c r="F19058" s="626"/>
    </row>
    <row r="19059" spans="1:6">
      <c r="A19059" t="str">
        <f t="shared" si="297"/>
        <v/>
      </c>
      <c r="E19059" s="626"/>
      <c r="F19059" s="626"/>
    </row>
    <row r="19060" spans="1:6">
      <c r="A19060" t="str">
        <f t="shared" si="297"/>
        <v/>
      </c>
      <c r="E19060" s="626"/>
      <c r="F19060" s="626"/>
    </row>
    <row r="19061" spans="1:6">
      <c r="A19061" t="str">
        <f t="shared" si="297"/>
        <v/>
      </c>
      <c r="E19061" s="626"/>
      <c r="F19061" s="626"/>
    </row>
    <row r="19062" spans="1:6">
      <c r="A19062" t="str">
        <f t="shared" si="297"/>
        <v/>
      </c>
      <c r="E19062" s="626"/>
      <c r="F19062" s="626"/>
    </row>
    <row r="19063" spans="1:6">
      <c r="A19063" t="str">
        <f t="shared" si="297"/>
        <v/>
      </c>
      <c r="E19063" s="626"/>
      <c r="F19063" s="626"/>
    </row>
    <row r="19064" spans="1:6">
      <c r="A19064" t="str">
        <f t="shared" si="297"/>
        <v/>
      </c>
      <c r="E19064" s="626"/>
      <c r="F19064" s="626"/>
    </row>
    <row r="19065" spans="1:6">
      <c r="A19065" t="str">
        <f t="shared" si="297"/>
        <v/>
      </c>
      <c r="E19065" s="626"/>
      <c r="F19065" s="626"/>
    </row>
    <row r="19066" spans="1:6">
      <c r="A19066" t="str">
        <f t="shared" si="297"/>
        <v/>
      </c>
      <c r="E19066" s="626"/>
      <c r="F19066" s="626"/>
    </row>
    <row r="19067" spans="1:6">
      <c r="A19067" t="str">
        <f t="shared" si="297"/>
        <v/>
      </c>
      <c r="E19067" s="626"/>
      <c r="F19067" s="626"/>
    </row>
    <row r="19068" spans="1:6">
      <c r="A19068" t="str">
        <f t="shared" si="297"/>
        <v/>
      </c>
      <c r="E19068" s="626"/>
      <c r="F19068" s="626"/>
    </row>
    <row r="19069" spans="1:6">
      <c r="A19069" t="str">
        <f t="shared" si="297"/>
        <v/>
      </c>
      <c r="E19069" s="626"/>
      <c r="F19069" s="626"/>
    </row>
    <row r="19070" spans="1:6">
      <c r="A19070" t="str">
        <f t="shared" si="297"/>
        <v/>
      </c>
      <c r="E19070" s="626"/>
      <c r="F19070" s="626"/>
    </row>
    <row r="19071" spans="1:6">
      <c r="A19071" t="str">
        <f t="shared" si="297"/>
        <v/>
      </c>
      <c r="E19071" s="626"/>
      <c r="F19071" s="626"/>
    </row>
    <row r="19072" spans="1:6">
      <c r="A19072" t="str">
        <f t="shared" si="297"/>
        <v/>
      </c>
      <c r="E19072" s="626"/>
      <c r="F19072" s="626"/>
    </row>
    <row r="19073" spans="1:6">
      <c r="A19073" t="str">
        <f t="shared" si="297"/>
        <v/>
      </c>
      <c r="E19073" s="626"/>
      <c r="F19073" s="626"/>
    </row>
    <row r="19074" spans="1:6">
      <c r="A19074" t="str">
        <f t="shared" ref="A19074:A19137" si="298">B19074&amp;E19074&amp;J19074</f>
        <v/>
      </c>
      <c r="E19074" s="626"/>
      <c r="F19074" s="626"/>
    </row>
    <row r="19075" spans="1:6">
      <c r="A19075" t="str">
        <f t="shared" si="298"/>
        <v/>
      </c>
      <c r="E19075" s="626"/>
      <c r="F19075" s="626"/>
    </row>
    <row r="19076" spans="1:6">
      <c r="A19076" t="str">
        <f t="shared" si="298"/>
        <v/>
      </c>
      <c r="E19076" s="626"/>
      <c r="F19076" s="626"/>
    </row>
    <row r="19077" spans="1:6">
      <c r="A19077" t="str">
        <f t="shared" si="298"/>
        <v/>
      </c>
      <c r="E19077" s="626"/>
      <c r="F19077" s="626"/>
    </row>
    <row r="19078" spans="1:6">
      <c r="A19078" t="str">
        <f t="shared" si="298"/>
        <v/>
      </c>
      <c r="E19078" s="626"/>
      <c r="F19078" s="626"/>
    </row>
    <row r="19079" spans="1:6">
      <c r="A19079" t="str">
        <f t="shared" si="298"/>
        <v/>
      </c>
      <c r="E19079" s="626"/>
      <c r="F19079" s="626"/>
    </row>
    <row r="19080" spans="1:6">
      <c r="A19080" t="str">
        <f t="shared" si="298"/>
        <v/>
      </c>
      <c r="E19080" s="626"/>
      <c r="F19080" s="626"/>
    </row>
    <row r="19081" spans="1:6">
      <c r="A19081" t="str">
        <f t="shared" si="298"/>
        <v/>
      </c>
      <c r="E19081" s="626"/>
      <c r="F19081" s="626"/>
    </row>
    <row r="19082" spans="1:6">
      <c r="A19082" t="str">
        <f t="shared" si="298"/>
        <v/>
      </c>
      <c r="E19082" s="626"/>
      <c r="F19082" s="626"/>
    </row>
    <row r="19083" spans="1:6">
      <c r="A19083" t="str">
        <f t="shared" si="298"/>
        <v/>
      </c>
      <c r="E19083" s="626"/>
      <c r="F19083" s="626"/>
    </row>
    <row r="19084" spans="1:6">
      <c r="A19084" t="str">
        <f t="shared" si="298"/>
        <v/>
      </c>
      <c r="E19084" s="626"/>
      <c r="F19084" s="626"/>
    </row>
    <row r="19085" spans="1:6">
      <c r="A19085" t="str">
        <f t="shared" si="298"/>
        <v/>
      </c>
      <c r="E19085" s="626"/>
      <c r="F19085" s="626"/>
    </row>
    <row r="19086" spans="1:6">
      <c r="A19086" t="str">
        <f t="shared" si="298"/>
        <v/>
      </c>
      <c r="E19086" s="626"/>
      <c r="F19086" s="626"/>
    </row>
    <row r="19087" spans="1:6">
      <c r="A19087" t="str">
        <f t="shared" si="298"/>
        <v/>
      </c>
      <c r="E19087" s="626"/>
      <c r="F19087" s="626"/>
    </row>
    <row r="19088" spans="1:6">
      <c r="A19088" t="str">
        <f t="shared" si="298"/>
        <v/>
      </c>
      <c r="E19088" s="626"/>
      <c r="F19088" s="626"/>
    </row>
    <row r="19089" spans="1:6">
      <c r="A19089" t="str">
        <f t="shared" si="298"/>
        <v/>
      </c>
      <c r="E19089" s="626"/>
      <c r="F19089" s="626"/>
    </row>
    <row r="19090" spans="1:6">
      <c r="A19090" t="str">
        <f t="shared" si="298"/>
        <v/>
      </c>
      <c r="E19090" s="626"/>
      <c r="F19090" s="626"/>
    </row>
    <row r="19091" spans="1:6">
      <c r="A19091" t="str">
        <f t="shared" si="298"/>
        <v/>
      </c>
      <c r="E19091" s="626"/>
      <c r="F19091" s="626"/>
    </row>
    <row r="19092" spans="1:6">
      <c r="A19092" t="str">
        <f t="shared" si="298"/>
        <v/>
      </c>
      <c r="E19092" s="626"/>
      <c r="F19092" s="626"/>
    </row>
    <row r="19093" spans="1:6">
      <c r="A19093" t="str">
        <f t="shared" si="298"/>
        <v/>
      </c>
      <c r="E19093" s="626"/>
      <c r="F19093" s="626"/>
    </row>
    <row r="19094" spans="1:6">
      <c r="A19094" t="str">
        <f t="shared" si="298"/>
        <v/>
      </c>
      <c r="E19094" s="626"/>
      <c r="F19094" s="626"/>
    </row>
    <row r="19095" spans="1:6">
      <c r="A19095" t="str">
        <f t="shared" si="298"/>
        <v/>
      </c>
      <c r="E19095" s="626"/>
      <c r="F19095" s="626"/>
    </row>
    <row r="19096" spans="1:6">
      <c r="A19096" t="str">
        <f t="shared" si="298"/>
        <v/>
      </c>
      <c r="E19096" s="626"/>
      <c r="F19096" s="626"/>
    </row>
    <row r="19097" spans="1:6">
      <c r="A19097" t="str">
        <f t="shared" si="298"/>
        <v/>
      </c>
      <c r="E19097" s="626"/>
      <c r="F19097" s="626"/>
    </row>
    <row r="19098" spans="1:6">
      <c r="A19098" t="str">
        <f t="shared" si="298"/>
        <v/>
      </c>
      <c r="E19098" s="626"/>
      <c r="F19098" s="626"/>
    </row>
    <row r="19099" spans="1:6">
      <c r="A19099" t="str">
        <f t="shared" si="298"/>
        <v/>
      </c>
      <c r="E19099" s="626"/>
      <c r="F19099" s="626"/>
    </row>
    <row r="19100" spans="1:6">
      <c r="A19100" t="str">
        <f t="shared" si="298"/>
        <v/>
      </c>
      <c r="E19100" s="626"/>
      <c r="F19100" s="626"/>
    </row>
    <row r="19101" spans="1:6">
      <c r="A19101" t="str">
        <f t="shared" si="298"/>
        <v/>
      </c>
      <c r="E19101" s="626"/>
      <c r="F19101" s="626"/>
    </row>
    <row r="19102" spans="1:6">
      <c r="A19102" t="str">
        <f t="shared" si="298"/>
        <v/>
      </c>
      <c r="E19102" s="626"/>
      <c r="F19102" s="626"/>
    </row>
    <row r="19103" spans="1:6">
      <c r="A19103" t="str">
        <f t="shared" si="298"/>
        <v/>
      </c>
      <c r="E19103" s="626"/>
      <c r="F19103" s="626"/>
    </row>
    <row r="19104" spans="1:6">
      <c r="A19104" t="str">
        <f t="shared" si="298"/>
        <v/>
      </c>
      <c r="E19104" s="626"/>
      <c r="F19104" s="626"/>
    </row>
    <row r="19105" spans="1:6">
      <c r="A19105" t="str">
        <f t="shared" si="298"/>
        <v/>
      </c>
      <c r="E19105" s="626"/>
      <c r="F19105" s="626"/>
    </row>
    <row r="19106" spans="1:6">
      <c r="A19106" t="str">
        <f t="shared" si="298"/>
        <v/>
      </c>
      <c r="E19106" s="626"/>
      <c r="F19106" s="626"/>
    </row>
    <row r="19107" spans="1:6">
      <c r="A19107" t="str">
        <f t="shared" si="298"/>
        <v/>
      </c>
      <c r="E19107" s="626"/>
      <c r="F19107" s="626"/>
    </row>
    <row r="19108" spans="1:6">
      <c r="A19108" t="str">
        <f t="shared" si="298"/>
        <v/>
      </c>
      <c r="E19108" s="626"/>
      <c r="F19108" s="626"/>
    </row>
    <row r="19109" spans="1:6">
      <c r="A19109" t="str">
        <f t="shared" si="298"/>
        <v/>
      </c>
      <c r="E19109" s="626"/>
      <c r="F19109" s="626"/>
    </row>
    <row r="19110" spans="1:6">
      <c r="A19110" t="str">
        <f t="shared" si="298"/>
        <v/>
      </c>
      <c r="E19110" s="626"/>
      <c r="F19110" s="626"/>
    </row>
    <row r="19111" spans="1:6">
      <c r="A19111" t="str">
        <f t="shared" si="298"/>
        <v/>
      </c>
      <c r="E19111" s="626"/>
      <c r="F19111" s="626"/>
    </row>
    <row r="19112" spans="1:6">
      <c r="A19112" t="str">
        <f t="shared" si="298"/>
        <v/>
      </c>
      <c r="E19112" s="626"/>
      <c r="F19112" s="626"/>
    </row>
    <row r="19113" spans="1:6">
      <c r="A19113" t="str">
        <f t="shared" si="298"/>
        <v/>
      </c>
      <c r="E19113" s="626"/>
      <c r="F19113" s="626"/>
    </row>
    <row r="19114" spans="1:6">
      <c r="A19114" t="str">
        <f t="shared" si="298"/>
        <v/>
      </c>
      <c r="E19114" s="626"/>
      <c r="F19114" s="626"/>
    </row>
    <row r="19115" spans="1:6">
      <c r="A19115" t="str">
        <f t="shared" si="298"/>
        <v/>
      </c>
      <c r="E19115" s="626"/>
      <c r="F19115" s="626"/>
    </row>
    <row r="19116" spans="1:6">
      <c r="A19116" t="str">
        <f t="shared" si="298"/>
        <v/>
      </c>
      <c r="E19116" s="626"/>
      <c r="F19116" s="626"/>
    </row>
    <row r="19117" spans="1:6">
      <c r="A19117" t="str">
        <f t="shared" si="298"/>
        <v/>
      </c>
      <c r="E19117" s="626"/>
      <c r="F19117" s="626"/>
    </row>
    <row r="19118" spans="1:6">
      <c r="A19118" t="str">
        <f t="shared" si="298"/>
        <v/>
      </c>
      <c r="E19118" s="626"/>
      <c r="F19118" s="626"/>
    </row>
    <row r="19119" spans="1:6">
      <c r="A19119" t="str">
        <f t="shared" si="298"/>
        <v/>
      </c>
      <c r="E19119" s="626"/>
      <c r="F19119" s="626"/>
    </row>
    <row r="19120" spans="1:6">
      <c r="A19120" t="str">
        <f t="shared" si="298"/>
        <v/>
      </c>
      <c r="E19120" s="626"/>
      <c r="F19120" s="626"/>
    </row>
    <row r="19121" spans="1:6">
      <c r="A19121" t="str">
        <f t="shared" si="298"/>
        <v/>
      </c>
      <c r="E19121" s="626"/>
      <c r="F19121" s="626"/>
    </row>
    <row r="19122" spans="1:6">
      <c r="A19122" t="str">
        <f t="shared" si="298"/>
        <v/>
      </c>
      <c r="E19122" s="626"/>
      <c r="F19122" s="626"/>
    </row>
    <row r="19123" spans="1:6">
      <c r="A19123" t="str">
        <f t="shared" si="298"/>
        <v/>
      </c>
      <c r="E19123" s="626"/>
      <c r="F19123" s="626"/>
    </row>
    <row r="19124" spans="1:6">
      <c r="A19124" t="str">
        <f t="shared" si="298"/>
        <v/>
      </c>
      <c r="E19124" s="626"/>
      <c r="F19124" s="626"/>
    </row>
    <row r="19125" spans="1:6">
      <c r="A19125" t="str">
        <f t="shared" si="298"/>
        <v/>
      </c>
      <c r="E19125" s="626"/>
      <c r="F19125" s="626"/>
    </row>
    <row r="19126" spans="1:6">
      <c r="A19126" t="str">
        <f t="shared" si="298"/>
        <v/>
      </c>
      <c r="E19126" s="626"/>
      <c r="F19126" s="626"/>
    </row>
    <row r="19127" spans="1:6">
      <c r="A19127" t="str">
        <f t="shared" si="298"/>
        <v/>
      </c>
      <c r="E19127" s="626"/>
      <c r="F19127" s="626"/>
    </row>
    <row r="19128" spans="1:6">
      <c r="A19128" t="str">
        <f t="shared" si="298"/>
        <v/>
      </c>
      <c r="E19128" s="626"/>
      <c r="F19128" s="626"/>
    </row>
    <row r="19129" spans="1:6">
      <c r="A19129" t="str">
        <f t="shared" si="298"/>
        <v/>
      </c>
      <c r="E19129" s="626"/>
      <c r="F19129" s="626"/>
    </row>
    <row r="19130" spans="1:6">
      <c r="A19130" t="str">
        <f t="shared" si="298"/>
        <v/>
      </c>
      <c r="E19130" s="626"/>
      <c r="F19130" s="626"/>
    </row>
    <row r="19131" spans="1:6">
      <c r="A19131" t="str">
        <f t="shared" si="298"/>
        <v/>
      </c>
      <c r="E19131" s="626"/>
      <c r="F19131" s="626"/>
    </row>
    <row r="19132" spans="1:6">
      <c r="A19132" t="str">
        <f t="shared" si="298"/>
        <v/>
      </c>
      <c r="E19132" s="626"/>
      <c r="F19132" s="626"/>
    </row>
    <row r="19133" spans="1:6">
      <c r="A19133" t="str">
        <f t="shared" si="298"/>
        <v/>
      </c>
      <c r="E19133" s="626"/>
      <c r="F19133" s="626"/>
    </row>
    <row r="19134" spans="1:6">
      <c r="A19134" t="str">
        <f t="shared" si="298"/>
        <v/>
      </c>
      <c r="E19134" s="626"/>
      <c r="F19134" s="626"/>
    </row>
    <row r="19135" spans="1:6">
      <c r="A19135" t="str">
        <f t="shared" si="298"/>
        <v/>
      </c>
      <c r="E19135" s="626"/>
      <c r="F19135" s="626"/>
    </row>
    <row r="19136" spans="1:6">
      <c r="A19136" t="str">
        <f t="shared" si="298"/>
        <v/>
      </c>
      <c r="E19136" s="626"/>
      <c r="F19136" s="626"/>
    </row>
    <row r="19137" spans="1:6">
      <c r="A19137" t="str">
        <f t="shared" si="298"/>
        <v/>
      </c>
      <c r="E19137" s="626"/>
      <c r="F19137" s="626"/>
    </row>
    <row r="19138" spans="1:6">
      <c r="A19138" t="str">
        <f t="shared" ref="A19138:A19201" si="299">B19138&amp;E19138&amp;J19138</f>
        <v/>
      </c>
      <c r="E19138" s="626"/>
      <c r="F19138" s="626"/>
    </row>
    <row r="19139" spans="1:6">
      <c r="A19139" t="str">
        <f t="shared" si="299"/>
        <v/>
      </c>
      <c r="E19139" s="626"/>
      <c r="F19139" s="626"/>
    </row>
    <row r="19140" spans="1:6">
      <c r="A19140" t="str">
        <f t="shared" si="299"/>
        <v/>
      </c>
      <c r="E19140" s="626"/>
      <c r="F19140" s="626"/>
    </row>
    <row r="19141" spans="1:6">
      <c r="A19141" t="str">
        <f t="shared" si="299"/>
        <v/>
      </c>
      <c r="E19141" s="626"/>
      <c r="F19141" s="626"/>
    </row>
    <row r="19142" spans="1:6">
      <c r="A19142" t="str">
        <f t="shared" si="299"/>
        <v/>
      </c>
      <c r="E19142" s="626"/>
      <c r="F19142" s="626"/>
    </row>
    <row r="19143" spans="1:6">
      <c r="A19143" t="str">
        <f t="shared" si="299"/>
        <v/>
      </c>
      <c r="E19143" s="626"/>
      <c r="F19143" s="626"/>
    </row>
    <row r="19144" spans="1:6">
      <c r="A19144" t="str">
        <f t="shared" si="299"/>
        <v/>
      </c>
      <c r="E19144" s="626"/>
      <c r="F19144" s="626"/>
    </row>
    <row r="19145" spans="1:6">
      <c r="A19145" t="str">
        <f t="shared" si="299"/>
        <v/>
      </c>
      <c r="E19145" s="626"/>
      <c r="F19145" s="626"/>
    </row>
    <row r="19146" spans="1:6">
      <c r="A19146" t="str">
        <f t="shared" si="299"/>
        <v/>
      </c>
      <c r="E19146" s="626"/>
      <c r="F19146" s="626"/>
    </row>
    <row r="19147" spans="1:6">
      <c r="A19147" t="str">
        <f t="shared" si="299"/>
        <v/>
      </c>
      <c r="E19147" s="626"/>
      <c r="F19147" s="626"/>
    </row>
    <row r="19148" spans="1:6">
      <c r="A19148" t="str">
        <f t="shared" si="299"/>
        <v/>
      </c>
      <c r="E19148" s="626"/>
      <c r="F19148" s="626"/>
    </row>
    <row r="19149" spans="1:6">
      <c r="A19149" t="str">
        <f t="shared" si="299"/>
        <v/>
      </c>
      <c r="E19149" s="626"/>
      <c r="F19149" s="626"/>
    </row>
    <row r="19150" spans="1:6">
      <c r="A19150" t="str">
        <f t="shared" si="299"/>
        <v/>
      </c>
      <c r="E19150" s="626"/>
      <c r="F19150" s="626"/>
    </row>
    <row r="19151" spans="1:6">
      <c r="A19151" t="str">
        <f t="shared" si="299"/>
        <v/>
      </c>
      <c r="E19151" s="626"/>
      <c r="F19151" s="626"/>
    </row>
    <row r="19152" spans="1:6">
      <c r="A19152" t="str">
        <f t="shared" si="299"/>
        <v/>
      </c>
      <c r="E19152" s="626"/>
      <c r="F19152" s="626"/>
    </row>
    <row r="19153" spans="1:6">
      <c r="A19153" t="str">
        <f t="shared" si="299"/>
        <v/>
      </c>
      <c r="E19153" s="626"/>
      <c r="F19153" s="626"/>
    </row>
    <row r="19154" spans="1:6">
      <c r="A19154" t="str">
        <f t="shared" si="299"/>
        <v/>
      </c>
      <c r="E19154" s="626"/>
      <c r="F19154" s="626"/>
    </row>
    <row r="19155" spans="1:6">
      <c r="A19155" t="str">
        <f t="shared" si="299"/>
        <v/>
      </c>
      <c r="E19155" s="626"/>
      <c r="F19155" s="626"/>
    </row>
    <row r="19156" spans="1:6">
      <c r="A19156" t="str">
        <f t="shared" si="299"/>
        <v/>
      </c>
      <c r="E19156" s="626"/>
      <c r="F19156" s="626"/>
    </row>
    <row r="19157" spans="1:6">
      <c r="A19157" t="str">
        <f t="shared" si="299"/>
        <v/>
      </c>
      <c r="E19157" s="626"/>
      <c r="F19157" s="626"/>
    </row>
    <row r="19158" spans="1:6">
      <c r="A19158" t="str">
        <f t="shared" si="299"/>
        <v/>
      </c>
      <c r="E19158" s="626"/>
      <c r="F19158" s="626"/>
    </row>
    <row r="19159" spans="1:6">
      <c r="A19159" t="str">
        <f t="shared" si="299"/>
        <v/>
      </c>
      <c r="E19159" s="626"/>
      <c r="F19159" s="626"/>
    </row>
    <row r="19160" spans="1:6">
      <c r="A19160" t="str">
        <f t="shared" si="299"/>
        <v/>
      </c>
      <c r="E19160" s="626"/>
      <c r="F19160" s="626"/>
    </row>
    <row r="19161" spans="1:6">
      <c r="A19161" t="str">
        <f t="shared" si="299"/>
        <v/>
      </c>
      <c r="E19161" s="626"/>
      <c r="F19161" s="626"/>
    </row>
    <row r="19162" spans="1:6">
      <c r="A19162" t="str">
        <f t="shared" si="299"/>
        <v/>
      </c>
      <c r="E19162" s="626"/>
      <c r="F19162" s="626"/>
    </row>
    <row r="19163" spans="1:6">
      <c r="A19163" t="str">
        <f t="shared" si="299"/>
        <v/>
      </c>
      <c r="E19163" s="626"/>
      <c r="F19163" s="626"/>
    </row>
    <row r="19164" spans="1:6">
      <c r="A19164" t="str">
        <f t="shared" si="299"/>
        <v/>
      </c>
      <c r="E19164" s="626"/>
      <c r="F19164" s="626"/>
    </row>
    <row r="19165" spans="1:6">
      <c r="A19165" t="str">
        <f t="shared" si="299"/>
        <v/>
      </c>
      <c r="E19165" s="626"/>
      <c r="F19165" s="626"/>
    </row>
    <row r="19166" spans="1:6">
      <c r="A19166" t="str">
        <f t="shared" si="299"/>
        <v/>
      </c>
      <c r="E19166" s="626"/>
      <c r="F19166" s="626"/>
    </row>
    <row r="19167" spans="1:6">
      <c r="A19167" t="str">
        <f t="shared" si="299"/>
        <v/>
      </c>
      <c r="E19167" s="626"/>
      <c r="F19167" s="626"/>
    </row>
    <row r="19168" spans="1:6">
      <c r="A19168" t="str">
        <f t="shared" si="299"/>
        <v/>
      </c>
      <c r="E19168" s="626"/>
      <c r="F19168" s="626"/>
    </row>
    <row r="19169" spans="1:6">
      <c r="A19169" t="str">
        <f t="shared" si="299"/>
        <v/>
      </c>
      <c r="E19169" s="626"/>
      <c r="F19169" s="626"/>
    </row>
    <row r="19170" spans="1:6">
      <c r="A19170" t="str">
        <f t="shared" si="299"/>
        <v/>
      </c>
      <c r="E19170" s="626"/>
      <c r="F19170" s="626"/>
    </row>
    <row r="19171" spans="1:6">
      <c r="A19171" t="str">
        <f t="shared" si="299"/>
        <v/>
      </c>
      <c r="E19171" s="626"/>
      <c r="F19171" s="626"/>
    </row>
    <row r="19172" spans="1:6">
      <c r="A19172" t="str">
        <f t="shared" si="299"/>
        <v/>
      </c>
      <c r="E19172" s="626"/>
      <c r="F19172" s="626"/>
    </row>
    <row r="19173" spans="1:6">
      <c r="A19173" t="str">
        <f t="shared" si="299"/>
        <v/>
      </c>
      <c r="E19173" s="626"/>
      <c r="F19173" s="626"/>
    </row>
    <row r="19174" spans="1:6">
      <c r="A19174" t="str">
        <f t="shared" si="299"/>
        <v/>
      </c>
      <c r="E19174" s="626"/>
      <c r="F19174" s="626"/>
    </row>
    <row r="19175" spans="1:6">
      <c r="A19175" t="str">
        <f t="shared" si="299"/>
        <v/>
      </c>
      <c r="E19175" s="626"/>
      <c r="F19175" s="626"/>
    </row>
    <row r="19176" spans="1:6">
      <c r="A19176" t="str">
        <f t="shared" si="299"/>
        <v/>
      </c>
      <c r="E19176" s="626"/>
      <c r="F19176" s="626"/>
    </row>
    <row r="19177" spans="1:6">
      <c r="A19177" t="str">
        <f t="shared" si="299"/>
        <v/>
      </c>
      <c r="E19177" s="626"/>
      <c r="F19177" s="626"/>
    </row>
    <row r="19178" spans="1:6">
      <c r="A19178" t="str">
        <f t="shared" si="299"/>
        <v/>
      </c>
      <c r="E19178" s="626"/>
      <c r="F19178" s="626"/>
    </row>
    <row r="19179" spans="1:6">
      <c r="A19179" t="str">
        <f t="shared" si="299"/>
        <v/>
      </c>
      <c r="E19179" s="626"/>
      <c r="F19179" s="626"/>
    </row>
    <row r="19180" spans="1:6">
      <c r="A19180" t="str">
        <f t="shared" si="299"/>
        <v/>
      </c>
      <c r="E19180" s="626"/>
      <c r="F19180" s="626"/>
    </row>
    <row r="19181" spans="1:6">
      <c r="A19181" t="str">
        <f t="shared" si="299"/>
        <v/>
      </c>
      <c r="E19181" s="626"/>
      <c r="F19181" s="626"/>
    </row>
    <row r="19182" spans="1:6">
      <c r="A19182" t="str">
        <f t="shared" si="299"/>
        <v/>
      </c>
      <c r="E19182" s="626"/>
      <c r="F19182" s="626"/>
    </row>
    <row r="19183" spans="1:6">
      <c r="A19183" t="str">
        <f t="shared" si="299"/>
        <v/>
      </c>
      <c r="E19183" s="626"/>
      <c r="F19183" s="626"/>
    </row>
    <row r="19184" spans="1:6">
      <c r="A19184" t="str">
        <f t="shared" si="299"/>
        <v/>
      </c>
      <c r="E19184" s="626"/>
      <c r="F19184" s="626"/>
    </row>
    <row r="19185" spans="1:6">
      <c r="A19185" t="str">
        <f t="shared" si="299"/>
        <v/>
      </c>
      <c r="E19185" s="626"/>
      <c r="F19185" s="626"/>
    </row>
    <row r="19186" spans="1:6">
      <c r="A19186" t="str">
        <f t="shared" si="299"/>
        <v/>
      </c>
      <c r="E19186" s="626"/>
      <c r="F19186" s="626"/>
    </row>
    <row r="19187" spans="1:6">
      <c r="A19187" t="str">
        <f t="shared" si="299"/>
        <v/>
      </c>
      <c r="E19187" s="626"/>
      <c r="F19187" s="626"/>
    </row>
    <row r="19188" spans="1:6">
      <c r="A19188" t="str">
        <f t="shared" si="299"/>
        <v/>
      </c>
      <c r="E19188" s="626"/>
      <c r="F19188" s="626"/>
    </row>
    <row r="19189" spans="1:6">
      <c r="A19189" t="str">
        <f t="shared" si="299"/>
        <v/>
      </c>
      <c r="E19189" s="626"/>
      <c r="F19189" s="626"/>
    </row>
    <row r="19190" spans="1:6">
      <c r="A19190" t="str">
        <f t="shared" si="299"/>
        <v/>
      </c>
      <c r="E19190" s="626"/>
      <c r="F19190" s="626"/>
    </row>
    <row r="19191" spans="1:6">
      <c r="A19191" t="str">
        <f t="shared" si="299"/>
        <v/>
      </c>
      <c r="E19191" s="626"/>
      <c r="F19191" s="626"/>
    </row>
    <row r="19192" spans="1:6">
      <c r="A19192" t="str">
        <f t="shared" si="299"/>
        <v/>
      </c>
      <c r="E19192" s="626"/>
      <c r="F19192" s="626"/>
    </row>
    <row r="19193" spans="1:6">
      <c r="A19193" t="str">
        <f t="shared" si="299"/>
        <v/>
      </c>
      <c r="E19193" s="626"/>
      <c r="F19193" s="626"/>
    </row>
    <row r="19194" spans="1:6">
      <c r="A19194" t="str">
        <f t="shared" si="299"/>
        <v/>
      </c>
      <c r="E19194" s="626"/>
      <c r="F19194" s="626"/>
    </row>
    <row r="19195" spans="1:6">
      <c r="A19195" t="str">
        <f t="shared" si="299"/>
        <v/>
      </c>
      <c r="E19195" s="626"/>
      <c r="F19195" s="626"/>
    </row>
    <row r="19196" spans="1:6">
      <c r="A19196" t="str">
        <f t="shared" si="299"/>
        <v/>
      </c>
      <c r="E19196" s="626"/>
      <c r="F19196" s="626"/>
    </row>
    <row r="19197" spans="1:6">
      <c r="A19197" t="str">
        <f t="shared" si="299"/>
        <v/>
      </c>
      <c r="E19197" s="626"/>
      <c r="F19197" s="626"/>
    </row>
    <row r="19198" spans="1:6">
      <c r="A19198" t="str">
        <f t="shared" si="299"/>
        <v/>
      </c>
      <c r="E19198" s="626"/>
      <c r="F19198" s="626"/>
    </row>
    <row r="19199" spans="1:6">
      <c r="A19199" t="str">
        <f t="shared" si="299"/>
        <v/>
      </c>
      <c r="E19199" s="626"/>
      <c r="F19199" s="626"/>
    </row>
    <row r="19200" spans="1:6">
      <c r="A19200" t="str">
        <f t="shared" si="299"/>
        <v/>
      </c>
      <c r="E19200" s="626"/>
      <c r="F19200" s="626"/>
    </row>
    <row r="19201" spans="1:6">
      <c r="A19201" t="str">
        <f t="shared" si="299"/>
        <v/>
      </c>
      <c r="E19201" s="626"/>
      <c r="F19201" s="626"/>
    </row>
    <row r="19202" spans="1:6">
      <c r="A19202" t="str">
        <f t="shared" ref="A19202:A19265" si="300">B19202&amp;E19202&amp;J19202</f>
        <v/>
      </c>
      <c r="E19202" s="626"/>
      <c r="F19202" s="626"/>
    </row>
    <row r="19203" spans="1:6">
      <c r="A19203" t="str">
        <f t="shared" si="300"/>
        <v/>
      </c>
      <c r="E19203" s="626"/>
      <c r="F19203" s="626"/>
    </row>
    <row r="19204" spans="1:6">
      <c r="A19204" t="str">
        <f t="shared" si="300"/>
        <v/>
      </c>
      <c r="E19204" s="626"/>
      <c r="F19204" s="626"/>
    </row>
    <row r="19205" spans="1:6">
      <c r="A19205" t="str">
        <f t="shared" si="300"/>
        <v/>
      </c>
      <c r="E19205" s="626"/>
      <c r="F19205" s="626"/>
    </row>
    <row r="19206" spans="1:6">
      <c r="A19206" t="str">
        <f t="shared" si="300"/>
        <v/>
      </c>
      <c r="E19206" s="626"/>
      <c r="F19206" s="626"/>
    </row>
    <row r="19207" spans="1:6">
      <c r="A19207" t="str">
        <f t="shared" si="300"/>
        <v/>
      </c>
      <c r="E19207" s="626"/>
      <c r="F19207" s="626"/>
    </row>
    <row r="19208" spans="1:6">
      <c r="A19208" t="str">
        <f t="shared" si="300"/>
        <v/>
      </c>
      <c r="E19208" s="626"/>
      <c r="F19208" s="626"/>
    </row>
    <row r="19209" spans="1:6">
      <c r="A19209" t="str">
        <f t="shared" si="300"/>
        <v/>
      </c>
      <c r="E19209" s="626"/>
      <c r="F19209" s="626"/>
    </row>
    <row r="19210" spans="1:6">
      <c r="A19210" t="str">
        <f t="shared" si="300"/>
        <v/>
      </c>
      <c r="E19210" s="626"/>
      <c r="F19210" s="626"/>
    </row>
    <row r="19211" spans="1:6">
      <c r="A19211" t="str">
        <f t="shared" si="300"/>
        <v/>
      </c>
      <c r="E19211" s="626"/>
      <c r="F19211" s="626"/>
    </row>
    <row r="19212" spans="1:6">
      <c r="A19212" t="str">
        <f t="shared" si="300"/>
        <v/>
      </c>
      <c r="E19212" s="626"/>
      <c r="F19212" s="626"/>
    </row>
    <row r="19213" spans="1:6">
      <c r="A19213" t="str">
        <f t="shared" si="300"/>
        <v/>
      </c>
      <c r="E19213" s="626"/>
      <c r="F19213" s="626"/>
    </row>
    <row r="19214" spans="1:6">
      <c r="A19214" t="str">
        <f t="shared" si="300"/>
        <v/>
      </c>
      <c r="E19214" s="626"/>
      <c r="F19214" s="626"/>
    </row>
    <row r="19215" spans="1:6">
      <c r="A19215" t="str">
        <f t="shared" si="300"/>
        <v/>
      </c>
      <c r="E19215" s="626"/>
      <c r="F19215" s="626"/>
    </row>
    <row r="19216" spans="1:6">
      <c r="A19216" t="str">
        <f t="shared" si="300"/>
        <v/>
      </c>
      <c r="E19216" s="626"/>
      <c r="F19216" s="626"/>
    </row>
    <row r="19217" spans="1:6">
      <c r="A19217" t="str">
        <f t="shared" si="300"/>
        <v/>
      </c>
      <c r="E19217" s="626"/>
      <c r="F19217" s="626"/>
    </row>
    <row r="19218" spans="1:6">
      <c r="A19218" t="str">
        <f t="shared" si="300"/>
        <v/>
      </c>
      <c r="E19218" s="626"/>
      <c r="F19218" s="626"/>
    </row>
    <row r="19219" spans="1:6">
      <c r="A19219" t="str">
        <f t="shared" si="300"/>
        <v/>
      </c>
      <c r="E19219" s="626"/>
      <c r="F19219" s="626"/>
    </row>
    <row r="19220" spans="1:6">
      <c r="A19220" t="str">
        <f t="shared" si="300"/>
        <v/>
      </c>
      <c r="E19220" s="626"/>
      <c r="F19220" s="626"/>
    </row>
    <row r="19221" spans="1:6">
      <c r="A19221" t="str">
        <f t="shared" si="300"/>
        <v/>
      </c>
      <c r="E19221" s="626"/>
      <c r="F19221" s="626"/>
    </row>
    <row r="19222" spans="1:6">
      <c r="A19222" t="str">
        <f t="shared" si="300"/>
        <v/>
      </c>
      <c r="E19222" s="626"/>
      <c r="F19222" s="626"/>
    </row>
    <row r="19223" spans="1:6">
      <c r="A19223" t="str">
        <f t="shared" si="300"/>
        <v/>
      </c>
      <c r="E19223" s="626"/>
      <c r="F19223" s="626"/>
    </row>
    <row r="19224" spans="1:6">
      <c r="A19224" t="str">
        <f t="shared" si="300"/>
        <v/>
      </c>
      <c r="E19224" s="626"/>
      <c r="F19224" s="626"/>
    </row>
    <row r="19225" spans="1:6">
      <c r="A19225" t="str">
        <f t="shared" si="300"/>
        <v/>
      </c>
      <c r="E19225" s="626"/>
      <c r="F19225" s="626"/>
    </row>
    <row r="19226" spans="1:6">
      <c r="A19226" t="str">
        <f t="shared" si="300"/>
        <v/>
      </c>
      <c r="E19226" s="626"/>
      <c r="F19226" s="626"/>
    </row>
    <row r="19227" spans="1:6">
      <c r="A19227" t="str">
        <f t="shared" si="300"/>
        <v/>
      </c>
      <c r="E19227" s="626"/>
      <c r="F19227" s="626"/>
    </row>
    <row r="19228" spans="1:6">
      <c r="A19228" t="str">
        <f t="shared" si="300"/>
        <v/>
      </c>
      <c r="E19228" s="626"/>
      <c r="F19228" s="626"/>
    </row>
    <row r="19229" spans="1:6">
      <c r="A19229" t="str">
        <f t="shared" si="300"/>
        <v/>
      </c>
      <c r="E19229" s="626"/>
      <c r="F19229" s="626"/>
    </row>
    <row r="19230" spans="1:6">
      <c r="A19230" t="str">
        <f t="shared" si="300"/>
        <v/>
      </c>
      <c r="E19230" s="626"/>
      <c r="F19230" s="626"/>
    </row>
    <row r="19231" spans="1:6">
      <c r="A19231" t="str">
        <f t="shared" si="300"/>
        <v/>
      </c>
      <c r="E19231" s="626"/>
      <c r="F19231" s="626"/>
    </row>
    <row r="19232" spans="1:6">
      <c r="A19232" t="str">
        <f t="shared" si="300"/>
        <v/>
      </c>
      <c r="E19232" s="626"/>
      <c r="F19232" s="626"/>
    </row>
    <row r="19233" spans="1:6">
      <c r="A19233" t="str">
        <f t="shared" si="300"/>
        <v/>
      </c>
      <c r="E19233" s="626"/>
      <c r="F19233" s="626"/>
    </row>
    <row r="19234" spans="1:6">
      <c r="A19234" t="str">
        <f t="shared" si="300"/>
        <v/>
      </c>
      <c r="E19234" s="626"/>
      <c r="F19234" s="626"/>
    </row>
    <row r="19235" spans="1:6">
      <c r="A19235" t="str">
        <f t="shared" si="300"/>
        <v/>
      </c>
      <c r="E19235" s="626"/>
      <c r="F19235" s="626"/>
    </row>
    <row r="19236" spans="1:6">
      <c r="A19236" t="str">
        <f t="shared" si="300"/>
        <v/>
      </c>
      <c r="E19236" s="626"/>
      <c r="F19236" s="626"/>
    </row>
    <row r="19237" spans="1:6">
      <c r="A19237" t="str">
        <f t="shared" si="300"/>
        <v/>
      </c>
      <c r="E19237" s="626"/>
      <c r="F19237" s="626"/>
    </row>
    <row r="19238" spans="1:6">
      <c r="A19238" t="str">
        <f t="shared" si="300"/>
        <v/>
      </c>
      <c r="E19238" s="626"/>
      <c r="F19238" s="626"/>
    </row>
    <row r="19239" spans="1:6">
      <c r="A19239" t="str">
        <f t="shared" si="300"/>
        <v/>
      </c>
      <c r="E19239" s="626"/>
      <c r="F19239" s="626"/>
    </row>
    <row r="19240" spans="1:6">
      <c r="A19240" t="str">
        <f t="shared" si="300"/>
        <v/>
      </c>
      <c r="E19240" s="626"/>
      <c r="F19240" s="626"/>
    </row>
    <row r="19241" spans="1:6">
      <c r="A19241" t="str">
        <f t="shared" si="300"/>
        <v/>
      </c>
      <c r="E19241" s="626"/>
      <c r="F19241" s="626"/>
    </row>
    <row r="19242" spans="1:6">
      <c r="A19242" t="str">
        <f t="shared" si="300"/>
        <v/>
      </c>
      <c r="E19242" s="626"/>
      <c r="F19242" s="626"/>
    </row>
    <row r="19243" spans="1:6">
      <c r="A19243" t="str">
        <f t="shared" si="300"/>
        <v/>
      </c>
      <c r="E19243" s="626"/>
      <c r="F19243" s="626"/>
    </row>
    <row r="19244" spans="1:6">
      <c r="A19244" t="str">
        <f t="shared" si="300"/>
        <v/>
      </c>
      <c r="E19244" s="626"/>
      <c r="F19244" s="626"/>
    </row>
    <row r="19245" spans="1:6">
      <c r="A19245" t="str">
        <f t="shared" si="300"/>
        <v/>
      </c>
      <c r="E19245" s="626"/>
      <c r="F19245" s="626"/>
    </row>
    <row r="19246" spans="1:6">
      <c r="A19246" t="str">
        <f t="shared" si="300"/>
        <v/>
      </c>
      <c r="E19246" s="626"/>
      <c r="F19246" s="626"/>
    </row>
    <row r="19247" spans="1:6">
      <c r="A19247" t="str">
        <f t="shared" si="300"/>
        <v/>
      </c>
      <c r="E19247" s="626"/>
      <c r="F19247" s="626"/>
    </row>
    <row r="19248" spans="1:6">
      <c r="A19248" t="str">
        <f t="shared" si="300"/>
        <v/>
      </c>
      <c r="E19248" s="626"/>
      <c r="F19248" s="626"/>
    </row>
    <row r="19249" spans="1:6">
      <c r="A19249" t="str">
        <f t="shared" si="300"/>
        <v/>
      </c>
      <c r="E19249" s="626"/>
      <c r="F19249" s="626"/>
    </row>
    <row r="19250" spans="1:6">
      <c r="A19250" t="str">
        <f t="shared" si="300"/>
        <v/>
      </c>
      <c r="E19250" s="626"/>
      <c r="F19250" s="626"/>
    </row>
    <row r="19251" spans="1:6">
      <c r="A19251" t="str">
        <f t="shared" si="300"/>
        <v/>
      </c>
      <c r="E19251" s="626"/>
      <c r="F19251" s="626"/>
    </row>
    <row r="19252" spans="1:6">
      <c r="A19252" t="str">
        <f t="shared" si="300"/>
        <v/>
      </c>
      <c r="E19252" s="626"/>
      <c r="F19252" s="626"/>
    </row>
    <row r="19253" spans="1:6">
      <c r="A19253" t="str">
        <f t="shared" si="300"/>
        <v/>
      </c>
      <c r="E19253" s="626"/>
      <c r="F19253" s="626"/>
    </row>
    <row r="19254" spans="1:6">
      <c r="A19254" t="str">
        <f t="shared" si="300"/>
        <v/>
      </c>
      <c r="E19254" s="626"/>
      <c r="F19254" s="626"/>
    </row>
    <row r="19255" spans="1:6">
      <c r="A19255" t="str">
        <f t="shared" si="300"/>
        <v/>
      </c>
      <c r="E19255" s="626"/>
      <c r="F19255" s="626"/>
    </row>
    <row r="19256" spans="1:6">
      <c r="A19256" t="str">
        <f t="shared" si="300"/>
        <v/>
      </c>
      <c r="E19256" s="626"/>
      <c r="F19256" s="626"/>
    </row>
    <row r="19257" spans="1:6">
      <c r="A19257" t="str">
        <f t="shared" si="300"/>
        <v/>
      </c>
      <c r="E19257" s="626"/>
      <c r="F19257" s="626"/>
    </row>
    <row r="19258" spans="1:6">
      <c r="A19258" t="str">
        <f t="shared" si="300"/>
        <v/>
      </c>
      <c r="E19258" s="626"/>
      <c r="F19258" s="626"/>
    </row>
    <row r="19259" spans="1:6">
      <c r="A19259" t="str">
        <f t="shared" si="300"/>
        <v/>
      </c>
      <c r="E19259" s="626"/>
      <c r="F19259" s="626"/>
    </row>
    <row r="19260" spans="1:6">
      <c r="A19260" t="str">
        <f t="shared" si="300"/>
        <v/>
      </c>
      <c r="E19260" s="626"/>
      <c r="F19260" s="626"/>
    </row>
    <row r="19261" spans="1:6">
      <c r="A19261" t="str">
        <f t="shared" si="300"/>
        <v/>
      </c>
      <c r="E19261" s="626"/>
      <c r="F19261" s="626"/>
    </row>
    <row r="19262" spans="1:6">
      <c r="A19262" t="str">
        <f t="shared" si="300"/>
        <v/>
      </c>
      <c r="E19262" s="626"/>
      <c r="F19262" s="626"/>
    </row>
    <row r="19263" spans="1:6">
      <c r="A19263" t="str">
        <f t="shared" si="300"/>
        <v/>
      </c>
      <c r="E19263" s="626"/>
      <c r="F19263" s="626"/>
    </row>
    <row r="19264" spans="1:6">
      <c r="A19264" t="str">
        <f t="shared" si="300"/>
        <v/>
      </c>
      <c r="E19264" s="626"/>
      <c r="F19264" s="626"/>
    </row>
    <row r="19265" spans="1:6">
      <c r="A19265" t="str">
        <f t="shared" si="300"/>
        <v/>
      </c>
      <c r="E19265" s="626"/>
      <c r="F19265" s="626"/>
    </row>
    <row r="19266" spans="1:6">
      <c r="A19266" t="str">
        <f t="shared" ref="A19266:A19329" si="301">B19266&amp;E19266&amp;J19266</f>
        <v/>
      </c>
      <c r="E19266" s="626"/>
      <c r="F19266" s="626"/>
    </row>
    <row r="19267" spans="1:6">
      <c r="A19267" t="str">
        <f t="shared" si="301"/>
        <v/>
      </c>
      <c r="E19267" s="626"/>
      <c r="F19267" s="626"/>
    </row>
    <row r="19268" spans="1:6">
      <c r="A19268" t="str">
        <f t="shared" si="301"/>
        <v/>
      </c>
      <c r="E19268" s="626"/>
      <c r="F19268" s="626"/>
    </row>
    <row r="19269" spans="1:6">
      <c r="A19269" t="str">
        <f t="shared" si="301"/>
        <v/>
      </c>
      <c r="E19269" s="626"/>
      <c r="F19269" s="626"/>
    </row>
    <row r="19270" spans="1:6">
      <c r="A19270" t="str">
        <f t="shared" si="301"/>
        <v/>
      </c>
      <c r="E19270" s="626"/>
      <c r="F19270" s="626"/>
    </row>
    <row r="19271" spans="1:6">
      <c r="A19271" t="str">
        <f t="shared" si="301"/>
        <v/>
      </c>
      <c r="E19271" s="626"/>
      <c r="F19271" s="626"/>
    </row>
    <row r="19272" spans="1:6">
      <c r="A19272" t="str">
        <f t="shared" si="301"/>
        <v/>
      </c>
      <c r="E19272" s="626"/>
      <c r="F19272" s="626"/>
    </row>
    <row r="19273" spans="1:6">
      <c r="A19273" t="str">
        <f t="shared" si="301"/>
        <v/>
      </c>
      <c r="E19273" s="626"/>
      <c r="F19273" s="626"/>
    </row>
    <row r="19274" spans="1:6">
      <c r="A19274" t="str">
        <f t="shared" si="301"/>
        <v/>
      </c>
      <c r="E19274" s="626"/>
      <c r="F19274" s="626"/>
    </row>
    <row r="19275" spans="1:6">
      <c r="A19275" t="str">
        <f t="shared" si="301"/>
        <v/>
      </c>
      <c r="E19275" s="626"/>
      <c r="F19275" s="626"/>
    </row>
    <row r="19276" spans="1:6">
      <c r="A19276" t="str">
        <f t="shared" si="301"/>
        <v/>
      </c>
      <c r="E19276" s="626"/>
      <c r="F19276" s="626"/>
    </row>
    <row r="19277" spans="1:6">
      <c r="A19277" t="str">
        <f t="shared" si="301"/>
        <v/>
      </c>
      <c r="E19277" s="626"/>
      <c r="F19277" s="626"/>
    </row>
    <row r="19278" spans="1:6">
      <c r="A19278" t="str">
        <f t="shared" si="301"/>
        <v/>
      </c>
      <c r="E19278" s="626"/>
      <c r="F19278" s="626"/>
    </row>
    <row r="19279" spans="1:6">
      <c r="A19279" t="str">
        <f t="shared" si="301"/>
        <v/>
      </c>
      <c r="E19279" s="626"/>
      <c r="F19279" s="626"/>
    </row>
    <row r="19280" spans="1:6">
      <c r="A19280" t="str">
        <f t="shared" si="301"/>
        <v/>
      </c>
      <c r="E19280" s="626"/>
      <c r="F19280" s="626"/>
    </row>
    <row r="19281" spans="1:6">
      <c r="A19281" t="str">
        <f t="shared" si="301"/>
        <v/>
      </c>
      <c r="E19281" s="626"/>
      <c r="F19281" s="626"/>
    </row>
    <row r="19282" spans="1:6">
      <c r="A19282" t="str">
        <f t="shared" si="301"/>
        <v/>
      </c>
      <c r="E19282" s="626"/>
      <c r="F19282" s="626"/>
    </row>
    <row r="19283" spans="1:6">
      <c r="A19283" t="str">
        <f t="shared" si="301"/>
        <v/>
      </c>
      <c r="E19283" s="626"/>
      <c r="F19283" s="626"/>
    </row>
    <row r="19284" spans="1:6">
      <c r="A19284" t="str">
        <f t="shared" si="301"/>
        <v/>
      </c>
      <c r="E19284" s="626"/>
      <c r="F19284" s="626"/>
    </row>
    <row r="19285" spans="1:6">
      <c r="A19285" t="str">
        <f t="shared" si="301"/>
        <v/>
      </c>
      <c r="E19285" s="626"/>
      <c r="F19285" s="626"/>
    </row>
    <row r="19286" spans="1:6">
      <c r="A19286" t="str">
        <f t="shared" si="301"/>
        <v/>
      </c>
      <c r="E19286" s="626"/>
      <c r="F19286" s="626"/>
    </row>
    <row r="19287" spans="1:6">
      <c r="A19287" t="str">
        <f t="shared" si="301"/>
        <v/>
      </c>
      <c r="E19287" s="626"/>
      <c r="F19287" s="626"/>
    </row>
    <row r="19288" spans="1:6">
      <c r="A19288" t="str">
        <f t="shared" si="301"/>
        <v/>
      </c>
      <c r="E19288" s="626"/>
      <c r="F19288" s="626"/>
    </row>
    <row r="19289" spans="1:6">
      <c r="A19289" t="str">
        <f t="shared" si="301"/>
        <v/>
      </c>
      <c r="E19289" s="626"/>
      <c r="F19289" s="626"/>
    </row>
    <row r="19290" spans="1:6">
      <c r="A19290" t="str">
        <f t="shared" si="301"/>
        <v/>
      </c>
      <c r="E19290" s="626"/>
      <c r="F19290" s="626"/>
    </row>
    <row r="19291" spans="1:6">
      <c r="A19291" t="str">
        <f t="shared" si="301"/>
        <v/>
      </c>
      <c r="E19291" s="626"/>
      <c r="F19291" s="626"/>
    </row>
    <row r="19292" spans="1:6">
      <c r="A19292" t="str">
        <f t="shared" si="301"/>
        <v/>
      </c>
      <c r="E19292" s="626"/>
      <c r="F19292" s="626"/>
    </row>
    <row r="19293" spans="1:6">
      <c r="A19293" t="str">
        <f t="shared" si="301"/>
        <v/>
      </c>
      <c r="E19293" s="626"/>
      <c r="F19293" s="626"/>
    </row>
    <row r="19294" spans="1:6">
      <c r="A19294" t="str">
        <f t="shared" si="301"/>
        <v/>
      </c>
      <c r="E19294" s="626"/>
      <c r="F19294" s="626"/>
    </row>
    <row r="19295" spans="1:6">
      <c r="A19295" t="str">
        <f t="shared" si="301"/>
        <v/>
      </c>
      <c r="E19295" s="626"/>
      <c r="F19295" s="626"/>
    </row>
    <row r="19296" spans="1:6">
      <c r="A19296" t="str">
        <f t="shared" si="301"/>
        <v/>
      </c>
      <c r="E19296" s="626"/>
      <c r="F19296" s="626"/>
    </row>
    <row r="19297" spans="1:6">
      <c r="A19297" t="str">
        <f t="shared" si="301"/>
        <v/>
      </c>
      <c r="E19297" s="626"/>
      <c r="F19297" s="626"/>
    </row>
    <row r="19298" spans="1:6">
      <c r="A19298" t="str">
        <f t="shared" si="301"/>
        <v/>
      </c>
      <c r="E19298" s="626"/>
      <c r="F19298" s="626"/>
    </row>
    <row r="19299" spans="1:6">
      <c r="A19299" t="str">
        <f t="shared" si="301"/>
        <v/>
      </c>
      <c r="E19299" s="626"/>
      <c r="F19299" s="626"/>
    </row>
    <row r="19300" spans="1:6">
      <c r="A19300" t="str">
        <f t="shared" si="301"/>
        <v/>
      </c>
      <c r="E19300" s="626"/>
      <c r="F19300" s="626"/>
    </row>
    <row r="19301" spans="1:6">
      <c r="A19301" t="str">
        <f t="shared" si="301"/>
        <v/>
      </c>
      <c r="E19301" s="626"/>
      <c r="F19301" s="626"/>
    </row>
    <row r="19302" spans="1:6">
      <c r="A19302" t="str">
        <f t="shared" si="301"/>
        <v/>
      </c>
      <c r="E19302" s="626"/>
      <c r="F19302" s="626"/>
    </row>
    <row r="19303" spans="1:6">
      <c r="A19303" t="str">
        <f t="shared" si="301"/>
        <v/>
      </c>
      <c r="E19303" s="626"/>
      <c r="F19303" s="626"/>
    </row>
    <row r="19304" spans="1:6">
      <c r="A19304" t="str">
        <f t="shared" si="301"/>
        <v/>
      </c>
      <c r="E19304" s="626"/>
      <c r="F19304" s="626"/>
    </row>
    <row r="19305" spans="1:6">
      <c r="A19305" t="str">
        <f t="shared" si="301"/>
        <v/>
      </c>
      <c r="E19305" s="626"/>
      <c r="F19305" s="626"/>
    </row>
    <row r="19306" spans="1:6">
      <c r="A19306" t="str">
        <f t="shared" si="301"/>
        <v/>
      </c>
      <c r="E19306" s="626"/>
      <c r="F19306" s="626"/>
    </row>
    <row r="19307" spans="1:6">
      <c r="A19307" t="str">
        <f t="shared" si="301"/>
        <v/>
      </c>
      <c r="E19307" s="626"/>
      <c r="F19307" s="626"/>
    </row>
    <row r="19308" spans="1:6">
      <c r="A19308" t="str">
        <f t="shared" si="301"/>
        <v/>
      </c>
      <c r="E19308" s="626"/>
      <c r="F19308" s="626"/>
    </row>
    <row r="19309" spans="1:6">
      <c r="A19309" t="str">
        <f t="shared" si="301"/>
        <v/>
      </c>
      <c r="E19309" s="626"/>
      <c r="F19309" s="626"/>
    </row>
    <row r="19310" spans="1:6">
      <c r="A19310" t="str">
        <f t="shared" si="301"/>
        <v/>
      </c>
      <c r="E19310" s="626"/>
      <c r="F19310" s="626"/>
    </row>
    <row r="19311" spans="1:6">
      <c r="A19311" t="str">
        <f t="shared" si="301"/>
        <v/>
      </c>
      <c r="E19311" s="626"/>
      <c r="F19311" s="626"/>
    </row>
    <row r="19312" spans="1:6">
      <c r="A19312" t="str">
        <f t="shared" si="301"/>
        <v/>
      </c>
      <c r="E19312" s="626"/>
      <c r="F19312" s="626"/>
    </row>
    <row r="19313" spans="1:6">
      <c r="A19313" t="str">
        <f t="shared" si="301"/>
        <v/>
      </c>
      <c r="E19313" s="626"/>
      <c r="F19313" s="626"/>
    </row>
    <row r="19314" spans="1:6">
      <c r="A19314" t="str">
        <f t="shared" si="301"/>
        <v/>
      </c>
      <c r="E19314" s="626"/>
      <c r="F19314" s="626"/>
    </row>
    <row r="19315" spans="1:6">
      <c r="A19315" t="str">
        <f t="shared" si="301"/>
        <v/>
      </c>
      <c r="E19315" s="626"/>
      <c r="F19315" s="626"/>
    </row>
    <row r="19316" spans="1:6">
      <c r="A19316" t="str">
        <f t="shared" si="301"/>
        <v/>
      </c>
      <c r="E19316" s="626"/>
      <c r="F19316" s="626"/>
    </row>
    <row r="19317" spans="1:6">
      <c r="A19317" t="str">
        <f t="shared" si="301"/>
        <v/>
      </c>
      <c r="E19317" s="626"/>
      <c r="F19317" s="626"/>
    </row>
    <row r="19318" spans="1:6">
      <c r="A19318" t="str">
        <f t="shared" si="301"/>
        <v/>
      </c>
      <c r="E19318" s="626"/>
      <c r="F19318" s="626"/>
    </row>
    <row r="19319" spans="1:6">
      <c r="A19319" t="str">
        <f t="shared" si="301"/>
        <v/>
      </c>
      <c r="E19319" s="626"/>
      <c r="F19319" s="626"/>
    </row>
    <row r="19320" spans="1:6">
      <c r="A19320" t="str">
        <f t="shared" si="301"/>
        <v/>
      </c>
      <c r="E19320" s="626"/>
      <c r="F19320" s="626"/>
    </row>
    <row r="19321" spans="1:6">
      <c r="A19321" t="str">
        <f t="shared" si="301"/>
        <v/>
      </c>
      <c r="E19321" s="626"/>
      <c r="F19321" s="626"/>
    </row>
    <row r="19322" spans="1:6">
      <c r="A19322" t="str">
        <f t="shared" si="301"/>
        <v/>
      </c>
      <c r="E19322" s="626"/>
      <c r="F19322" s="626"/>
    </row>
    <row r="19323" spans="1:6">
      <c r="A19323" t="str">
        <f t="shared" si="301"/>
        <v/>
      </c>
      <c r="E19323" s="626"/>
      <c r="F19323" s="626"/>
    </row>
    <row r="19324" spans="1:6">
      <c r="A19324" t="str">
        <f t="shared" si="301"/>
        <v/>
      </c>
      <c r="E19324" s="626"/>
      <c r="F19324" s="626"/>
    </row>
    <row r="19325" spans="1:6">
      <c r="A19325" t="str">
        <f t="shared" si="301"/>
        <v/>
      </c>
      <c r="E19325" s="626"/>
      <c r="F19325" s="626"/>
    </row>
    <row r="19326" spans="1:6">
      <c r="A19326" t="str">
        <f t="shared" si="301"/>
        <v/>
      </c>
      <c r="E19326" s="626"/>
      <c r="F19326" s="626"/>
    </row>
    <row r="19327" spans="1:6">
      <c r="A19327" t="str">
        <f t="shared" si="301"/>
        <v/>
      </c>
      <c r="E19327" s="626"/>
      <c r="F19327" s="626"/>
    </row>
    <row r="19328" spans="1:6">
      <c r="A19328" t="str">
        <f t="shared" si="301"/>
        <v/>
      </c>
      <c r="E19328" s="626"/>
      <c r="F19328" s="626"/>
    </row>
    <row r="19329" spans="1:6">
      <c r="A19329" t="str">
        <f t="shared" si="301"/>
        <v/>
      </c>
      <c r="E19329" s="626"/>
      <c r="F19329" s="626"/>
    </row>
    <row r="19330" spans="1:6">
      <c r="A19330" t="str">
        <f t="shared" ref="A19330:A19393" si="302">B19330&amp;E19330&amp;J19330</f>
        <v/>
      </c>
      <c r="E19330" s="626"/>
      <c r="F19330" s="626"/>
    </row>
    <row r="19331" spans="1:6">
      <c r="A19331" t="str">
        <f t="shared" si="302"/>
        <v/>
      </c>
      <c r="E19331" s="626"/>
      <c r="F19331" s="626"/>
    </row>
    <row r="19332" spans="1:6">
      <c r="A19332" t="str">
        <f t="shared" si="302"/>
        <v/>
      </c>
      <c r="E19332" s="626"/>
      <c r="F19332" s="626"/>
    </row>
    <row r="19333" spans="1:6">
      <c r="A19333" t="str">
        <f t="shared" si="302"/>
        <v/>
      </c>
      <c r="E19333" s="626"/>
      <c r="F19333" s="626"/>
    </row>
    <row r="19334" spans="1:6">
      <c r="A19334" t="str">
        <f t="shared" si="302"/>
        <v/>
      </c>
      <c r="E19334" s="626"/>
      <c r="F19334" s="626"/>
    </row>
    <row r="19335" spans="1:6">
      <c r="A19335" t="str">
        <f t="shared" si="302"/>
        <v/>
      </c>
      <c r="E19335" s="626"/>
      <c r="F19335" s="626"/>
    </row>
    <row r="19336" spans="1:6">
      <c r="A19336" t="str">
        <f t="shared" si="302"/>
        <v/>
      </c>
      <c r="E19336" s="626"/>
      <c r="F19336" s="626"/>
    </row>
    <row r="19337" spans="1:6">
      <c r="A19337" t="str">
        <f t="shared" si="302"/>
        <v/>
      </c>
      <c r="E19337" s="626"/>
      <c r="F19337" s="626"/>
    </row>
    <row r="19338" spans="1:6">
      <c r="A19338" t="str">
        <f t="shared" si="302"/>
        <v/>
      </c>
      <c r="E19338" s="626"/>
      <c r="F19338" s="626"/>
    </row>
    <row r="19339" spans="1:6">
      <c r="A19339" t="str">
        <f t="shared" si="302"/>
        <v/>
      </c>
      <c r="E19339" s="626"/>
      <c r="F19339" s="626"/>
    </row>
    <row r="19340" spans="1:6">
      <c r="A19340" t="str">
        <f t="shared" si="302"/>
        <v/>
      </c>
      <c r="E19340" s="626"/>
      <c r="F19340" s="626"/>
    </row>
    <row r="19341" spans="1:6">
      <c r="A19341" t="str">
        <f t="shared" si="302"/>
        <v/>
      </c>
      <c r="E19341" s="626"/>
      <c r="F19341" s="626"/>
    </row>
    <row r="19342" spans="1:6">
      <c r="A19342" t="str">
        <f t="shared" si="302"/>
        <v/>
      </c>
      <c r="E19342" s="626"/>
      <c r="F19342" s="626"/>
    </row>
    <row r="19343" spans="1:6">
      <c r="A19343" t="str">
        <f t="shared" si="302"/>
        <v/>
      </c>
      <c r="E19343" s="626"/>
      <c r="F19343" s="626"/>
    </row>
    <row r="19344" spans="1:6">
      <c r="A19344" t="str">
        <f t="shared" si="302"/>
        <v/>
      </c>
      <c r="E19344" s="626"/>
      <c r="F19344" s="626"/>
    </row>
    <row r="19345" spans="1:6">
      <c r="A19345" t="str">
        <f t="shared" si="302"/>
        <v/>
      </c>
      <c r="E19345" s="626"/>
      <c r="F19345" s="626"/>
    </row>
    <row r="19346" spans="1:6">
      <c r="A19346" t="str">
        <f t="shared" si="302"/>
        <v/>
      </c>
      <c r="E19346" s="626"/>
      <c r="F19346" s="626"/>
    </row>
    <row r="19347" spans="1:6">
      <c r="A19347" t="str">
        <f t="shared" si="302"/>
        <v/>
      </c>
      <c r="E19347" s="626"/>
      <c r="F19347" s="626"/>
    </row>
    <row r="19348" spans="1:6">
      <c r="A19348" t="str">
        <f t="shared" si="302"/>
        <v/>
      </c>
      <c r="E19348" s="626"/>
      <c r="F19348" s="626"/>
    </row>
    <row r="19349" spans="1:6">
      <c r="A19349" t="str">
        <f t="shared" si="302"/>
        <v/>
      </c>
      <c r="E19349" s="626"/>
      <c r="F19349" s="626"/>
    </row>
    <row r="19350" spans="1:6">
      <c r="A19350" t="str">
        <f t="shared" si="302"/>
        <v/>
      </c>
      <c r="E19350" s="626"/>
      <c r="F19350" s="626"/>
    </row>
    <row r="19351" spans="1:6">
      <c r="A19351" t="str">
        <f t="shared" si="302"/>
        <v/>
      </c>
      <c r="E19351" s="626"/>
      <c r="F19351" s="626"/>
    </row>
    <row r="19352" spans="1:6">
      <c r="A19352" t="str">
        <f t="shared" si="302"/>
        <v/>
      </c>
      <c r="E19352" s="626"/>
      <c r="F19352" s="626"/>
    </row>
    <row r="19353" spans="1:6">
      <c r="A19353" t="str">
        <f t="shared" si="302"/>
        <v/>
      </c>
      <c r="E19353" s="626"/>
      <c r="F19353" s="626"/>
    </row>
    <row r="19354" spans="1:6">
      <c r="A19354" t="str">
        <f t="shared" si="302"/>
        <v/>
      </c>
      <c r="E19354" s="626"/>
      <c r="F19354" s="626"/>
    </row>
    <row r="19355" spans="1:6">
      <c r="A19355" t="str">
        <f t="shared" si="302"/>
        <v/>
      </c>
      <c r="E19355" s="626"/>
      <c r="F19355" s="626"/>
    </row>
    <row r="19356" spans="1:6">
      <c r="A19356" t="str">
        <f t="shared" si="302"/>
        <v/>
      </c>
      <c r="E19356" s="626"/>
      <c r="F19356" s="626"/>
    </row>
    <row r="19357" spans="1:6">
      <c r="A19357" t="str">
        <f t="shared" si="302"/>
        <v/>
      </c>
      <c r="E19357" s="626"/>
      <c r="F19357" s="626"/>
    </row>
    <row r="19358" spans="1:6">
      <c r="A19358" t="str">
        <f t="shared" si="302"/>
        <v/>
      </c>
      <c r="E19358" s="626"/>
      <c r="F19358" s="626"/>
    </row>
    <row r="19359" spans="1:6">
      <c r="A19359" t="str">
        <f t="shared" si="302"/>
        <v/>
      </c>
      <c r="E19359" s="626"/>
      <c r="F19359" s="626"/>
    </row>
    <row r="19360" spans="1:6">
      <c r="A19360" t="str">
        <f t="shared" si="302"/>
        <v/>
      </c>
      <c r="E19360" s="626"/>
      <c r="F19360" s="626"/>
    </row>
    <row r="19361" spans="1:6">
      <c r="A19361" t="str">
        <f t="shared" si="302"/>
        <v/>
      </c>
      <c r="E19361" s="626"/>
      <c r="F19361" s="626"/>
    </row>
    <row r="19362" spans="1:6">
      <c r="A19362" t="str">
        <f t="shared" si="302"/>
        <v/>
      </c>
      <c r="E19362" s="626"/>
      <c r="F19362" s="626"/>
    </row>
    <row r="19363" spans="1:6">
      <c r="A19363" t="str">
        <f t="shared" si="302"/>
        <v/>
      </c>
      <c r="E19363" s="626"/>
      <c r="F19363" s="626"/>
    </row>
    <row r="19364" spans="1:6">
      <c r="A19364" t="str">
        <f t="shared" si="302"/>
        <v/>
      </c>
      <c r="E19364" s="626"/>
      <c r="F19364" s="626"/>
    </row>
    <row r="19365" spans="1:6">
      <c r="A19365" t="str">
        <f t="shared" si="302"/>
        <v/>
      </c>
      <c r="E19365" s="626"/>
      <c r="F19365" s="626"/>
    </row>
    <row r="19366" spans="1:6">
      <c r="A19366" t="str">
        <f t="shared" si="302"/>
        <v/>
      </c>
      <c r="E19366" s="626"/>
      <c r="F19366" s="626"/>
    </row>
    <row r="19367" spans="1:6">
      <c r="A19367" t="str">
        <f t="shared" si="302"/>
        <v/>
      </c>
      <c r="E19367" s="626"/>
      <c r="F19367" s="626"/>
    </row>
    <row r="19368" spans="1:6">
      <c r="A19368" t="str">
        <f t="shared" si="302"/>
        <v/>
      </c>
      <c r="E19368" s="626"/>
      <c r="F19368" s="626"/>
    </row>
    <row r="19369" spans="1:6">
      <c r="A19369" t="str">
        <f t="shared" si="302"/>
        <v/>
      </c>
      <c r="E19369" s="626"/>
      <c r="F19369" s="626"/>
    </row>
    <row r="19370" spans="1:6">
      <c r="A19370" t="str">
        <f t="shared" si="302"/>
        <v/>
      </c>
      <c r="E19370" s="626"/>
      <c r="F19370" s="626"/>
    </row>
    <row r="19371" spans="1:6">
      <c r="A19371" t="str">
        <f t="shared" si="302"/>
        <v/>
      </c>
      <c r="E19371" s="626"/>
      <c r="F19371" s="626"/>
    </row>
    <row r="19372" spans="1:6">
      <c r="A19372" t="str">
        <f t="shared" si="302"/>
        <v/>
      </c>
      <c r="E19372" s="626"/>
      <c r="F19372" s="626"/>
    </row>
    <row r="19373" spans="1:6">
      <c r="A19373" t="str">
        <f t="shared" si="302"/>
        <v/>
      </c>
      <c r="E19373" s="626"/>
      <c r="F19373" s="626"/>
    </row>
    <row r="19374" spans="1:6">
      <c r="A19374" t="str">
        <f t="shared" si="302"/>
        <v/>
      </c>
      <c r="E19374" s="626"/>
      <c r="F19374" s="626"/>
    </row>
    <row r="19375" spans="1:6">
      <c r="A19375" t="str">
        <f t="shared" si="302"/>
        <v/>
      </c>
      <c r="E19375" s="626"/>
      <c r="F19375" s="626"/>
    </row>
    <row r="19376" spans="1:6">
      <c r="A19376" t="str">
        <f t="shared" si="302"/>
        <v/>
      </c>
      <c r="E19376" s="626"/>
      <c r="F19376" s="626"/>
    </row>
    <row r="19377" spans="1:6">
      <c r="A19377" t="str">
        <f t="shared" si="302"/>
        <v/>
      </c>
      <c r="E19377" s="626"/>
      <c r="F19377" s="626"/>
    </row>
    <row r="19378" spans="1:6">
      <c r="A19378" t="str">
        <f t="shared" si="302"/>
        <v/>
      </c>
      <c r="E19378" s="626"/>
      <c r="F19378" s="626"/>
    </row>
    <row r="19379" spans="1:6">
      <c r="A19379" t="str">
        <f t="shared" si="302"/>
        <v/>
      </c>
      <c r="E19379" s="626"/>
      <c r="F19379" s="626"/>
    </row>
    <row r="19380" spans="1:6">
      <c r="A19380" t="str">
        <f t="shared" si="302"/>
        <v/>
      </c>
      <c r="E19380" s="626"/>
      <c r="F19380" s="626"/>
    </row>
    <row r="19381" spans="1:6">
      <c r="A19381" t="str">
        <f t="shared" si="302"/>
        <v/>
      </c>
      <c r="E19381" s="626"/>
      <c r="F19381" s="626"/>
    </row>
    <row r="19382" spans="1:6">
      <c r="A19382" t="str">
        <f t="shared" si="302"/>
        <v/>
      </c>
      <c r="E19382" s="626"/>
      <c r="F19382" s="626"/>
    </row>
    <row r="19383" spans="1:6">
      <c r="A19383" t="str">
        <f t="shared" si="302"/>
        <v/>
      </c>
      <c r="E19383" s="626"/>
      <c r="F19383" s="626"/>
    </row>
    <row r="19384" spans="1:6">
      <c r="A19384" t="str">
        <f t="shared" si="302"/>
        <v/>
      </c>
      <c r="E19384" s="626"/>
      <c r="F19384" s="626"/>
    </row>
    <row r="19385" spans="1:6">
      <c r="A19385" t="str">
        <f t="shared" si="302"/>
        <v/>
      </c>
      <c r="E19385" s="626"/>
      <c r="F19385" s="626"/>
    </row>
    <row r="19386" spans="1:6">
      <c r="A19386" t="str">
        <f t="shared" si="302"/>
        <v/>
      </c>
      <c r="E19386" s="626"/>
      <c r="F19386" s="626"/>
    </row>
    <row r="19387" spans="1:6">
      <c r="A19387" t="str">
        <f t="shared" si="302"/>
        <v/>
      </c>
      <c r="E19387" s="626"/>
      <c r="F19387" s="626"/>
    </row>
    <row r="19388" spans="1:6">
      <c r="A19388" t="str">
        <f t="shared" si="302"/>
        <v/>
      </c>
      <c r="E19388" s="626"/>
      <c r="F19388" s="626"/>
    </row>
    <row r="19389" spans="1:6">
      <c r="A19389" t="str">
        <f t="shared" si="302"/>
        <v/>
      </c>
      <c r="E19389" s="626"/>
      <c r="F19389" s="626"/>
    </row>
    <row r="19390" spans="1:6">
      <c r="A19390" t="str">
        <f t="shared" si="302"/>
        <v/>
      </c>
      <c r="E19390" s="626"/>
      <c r="F19390" s="626"/>
    </row>
    <row r="19391" spans="1:6">
      <c r="A19391" t="str">
        <f t="shared" si="302"/>
        <v/>
      </c>
      <c r="E19391" s="626"/>
      <c r="F19391" s="626"/>
    </row>
    <row r="19392" spans="1:6">
      <c r="A19392" t="str">
        <f t="shared" si="302"/>
        <v/>
      </c>
      <c r="E19392" s="626"/>
      <c r="F19392" s="626"/>
    </row>
    <row r="19393" spans="1:6">
      <c r="A19393" t="str">
        <f t="shared" si="302"/>
        <v/>
      </c>
      <c r="E19393" s="626"/>
      <c r="F19393" s="626"/>
    </row>
    <row r="19394" spans="1:6">
      <c r="A19394" t="str">
        <f t="shared" ref="A19394:A19457" si="303">B19394&amp;E19394&amp;J19394</f>
        <v/>
      </c>
      <c r="E19394" s="626"/>
      <c r="F19394" s="626"/>
    </row>
    <row r="19395" spans="1:6">
      <c r="A19395" t="str">
        <f t="shared" si="303"/>
        <v/>
      </c>
      <c r="E19395" s="626"/>
      <c r="F19395" s="626"/>
    </row>
    <row r="19396" spans="1:6">
      <c r="A19396" t="str">
        <f t="shared" si="303"/>
        <v/>
      </c>
      <c r="E19396" s="626"/>
      <c r="F19396" s="626"/>
    </row>
    <row r="19397" spans="1:6">
      <c r="A19397" t="str">
        <f t="shared" si="303"/>
        <v/>
      </c>
      <c r="E19397" s="626"/>
      <c r="F19397" s="626"/>
    </row>
    <row r="19398" spans="1:6">
      <c r="A19398" t="str">
        <f t="shared" si="303"/>
        <v/>
      </c>
      <c r="E19398" s="626"/>
      <c r="F19398" s="626"/>
    </row>
    <row r="19399" spans="1:6">
      <c r="A19399" t="str">
        <f t="shared" si="303"/>
        <v/>
      </c>
      <c r="E19399" s="626"/>
      <c r="F19399" s="626"/>
    </row>
    <row r="19400" spans="1:6">
      <c r="A19400" t="str">
        <f t="shared" si="303"/>
        <v/>
      </c>
      <c r="E19400" s="626"/>
      <c r="F19400" s="626"/>
    </row>
    <row r="19401" spans="1:6">
      <c r="A19401" t="str">
        <f t="shared" si="303"/>
        <v/>
      </c>
      <c r="E19401" s="626"/>
      <c r="F19401" s="626"/>
    </row>
    <row r="19402" spans="1:6">
      <c r="A19402" t="str">
        <f t="shared" si="303"/>
        <v/>
      </c>
      <c r="E19402" s="626"/>
      <c r="F19402" s="626"/>
    </row>
    <row r="19403" spans="1:6">
      <c r="A19403" t="str">
        <f t="shared" si="303"/>
        <v/>
      </c>
      <c r="E19403" s="626"/>
      <c r="F19403" s="626"/>
    </row>
    <row r="19404" spans="1:6">
      <c r="A19404" t="str">
        <f t="shared" si="303"/>
        <v/>
      </c>
      <c r="E19404" s="626"/>
      <c r="F19404" s="626"/>
    </row>
    <row r="19405" spans="1:6">
      <c r="A19405" t="str">
        <f t="shared" si="303"/>
        <v/>
      </c>
      <c r="E19405" s="626"/>
      <c r="F19405" s="626"/>
    </row>
    <row r="19406" spans="1:6">
      <c r="A19406" t="str">
        <f t="shared" si="303"/>
        <v/>
      </c>
      <c r="E19406" s="626"/>
      <c r="F19406" s="626"/>
    </row>
    <row r="19407" spans="1:6">
      <c r="A19407" t="str">
        <f t="shared" si="303"/>
        <v/>
      </c>
      <c r="E19407" s="626"/>
      <c r="F19407" s="626"/>
    </row>
    <row r="19408" spans="1:6">
      <c r="A19408" t="str">
        <f t="shared" si="303"/>
        <v/>
      </c>
      <c r="E19408" s="626"/>
      <c r="F19408" s="626"/>
    </row>
    <row r="19409" spans="1:6">
      <c r="A19409" t="str">
        <f t="shared" si="303"/>
        <v/>
      </c>
      <c r="E19409" s="626"/>
      <c r="F19409" s="626"/>
    </row>
    <row r="19410" spans="1:6">
      <c r="A19410" t="str">
        <f t="shared" si="303"/>
        <v/>
      </c>
      <c r="E19410" s="626"/>
      <c r="F19410" s="626"/>
    </row>
    <row r="19411" spans="1:6">
      <c r="A19411" t="str">
        <f t="shared" si="303"/>
        <v/>
      </c>
      <c r="E19411" s="626"/>
      <c r="F19411" s="626"/>
    </row>
    <row r="19412" spans="1:6">
      <c r="A19412" t="str">
        <f t="shared" si="303"/>
        <v/>
      </c>
      <c r="E19412" s="626"/>
      <c r="F19412" s="626"/>
    </row>
    <row r="19413" spans="1:6">
      <c r="A19413" t="str">
        <f t="shared" si="303"/>
        <v/>
      </c>
      <c r="E19413" s="626"/>
      <c r="F19413" s="626"/>
    </row>
    <row r="19414" spans="1:6">
      <c r="A19414" t="str">
        <f t="shared" si="303"/>
        <v/>
      </c>
      <c r="E19414" s="626"/>
      <c r="F19414" s="626"/>
    </row>
    <row r="19415" spans="1:6">
      <c r="A19415" t="str">
        <f t="shared" si="303"/>
        <v/>
      </c>
      <c r="E19415" s="626"/>
      <c r="F19415" s="626"/>
    </row>
    <row r="19416" spans="1:6">
      <c r="A19416" t="str">
        <f t="shared" si="303"/>
        <v/>
      </c>
      <c r="E19416" s="626"/>
      <c r="F19416" s="626"/>
    </row>
    <row r="19417" spans="1:6">
      <c r="A19417" t="str">
        <f t="shared" si="303"/>
        <v/>
      </c>
      <c r="E19417" s="626"/>
      <c r="F19417" s="626"/>
    </row>
    <row r="19418" spans="1:6">
      <c r="A19418" t="str">
        <f t="shared" si="303"/>
        <v/>
      </c>
      <c r="E19418" s="626"/>
      <c r="F19418" s="626"/>
    </row>
    <row r="19419" spans="1:6">
      <c r="A19419" t="str">
        <f t="shared" si="303"/>
        <v/>
      </c>
      <c r="E19419" s="626"/>
      <c r="F19419" s="626"/>
    </row>
    <row r="19420" spans="1:6">
      <c r="A19420" t="str">
        <f t="shared" si="303"/>
        <v/>
      </c>
      <c r="E19420" s="626"/>
      <c r="F19420" s="626"/>
    </row>
    <row r="19421" spans="1:6">
      <c r="A19421" t="str">
        <f t="shared" si="303"/>
        <v/>
      </c>
      <c r="E19421" s="626"/>
      <c r="F19421" s="626"/>
    </row>
    <row r="19422" spans="1:6">
      <c r="A19422" t="str">
        <f t="shared" si="303"/>
        <v/>
      </c>
      <c r="E19422" s="626"/>
      <c r="F19422" s="626"/>
    </row>
    <row r="19423" spans="1:6">
      <c r="A19423" t="str">
        <f t="shared" si="303"/>
        <v/>
      </c>
      <c r="E19423" s="626"/>
      <c r="F19423" s="626"/>
    </row>
    <row r="19424" spans="1:6">
      <c r="A19424" t="str">
        <f t="shared" si="303"/>
        <v/>
      </c>
      <c r="E19424" s="626"/>
      <c r="F19424" s="626"/>
    </row>
    <row r="19425" spans="1:6">
      <c r="A19425" t="str">
        <f t="shared" si="303"/>
        <v/>
      </c>
      <c r="E19425" s="626"/>
      <c r="F19425" s="626"/>
    </row>
    <row r="19426" spans="1:6">
      <c r="A19426" t="str">
        <f t="shared" si="303"/>
        <v/>
      </c>
      <c r="E19426" s="626"/>
      <c r="F19426" s="626"/>
    </row>
    <row r="19427" spans="1:6">
      <c r="A19427" t="str">
        <f t="shared" si="303"/>
        <v/>
      </c>
      <c r="E19427" s="626"/>
      <c r="F19427" s="626"/>
    </row>
    <row r="19428" spans="1:6">
      <c r="A19428" t="str">
        <f t="shared" si="303"/>
        <v/>
      </c>
      <c r="E19428" s="626"/>
      <c r="F19428" s="626"/>
    </row>
    <row r="19429" spans="1:6">
      <c r="A19429" t="str">
        <f t="shared" si="303"/>
        <v/>
      </c>
      <c r="E19429" s="626"/>
      <c r="F19429" s="626"/>
    </row>
    <row r="19430" spans="1:6">
      <c r="A19430" t="str">
        <f t="shared" si="303"/>
        <v/>
      </c>
      <c r="E19430" s="626"/>
      <c r="F19430" s="626"/>
    </row>
    <row r="19431" spans="1:6">
      <c r="A19431" t="str">
        <f t="shared" si="303"/>
        <v/>
      </c>
      <c r="E19431" s="626"/>
      <c r="F19431" s="626"/>
    </row>
    <row r="19432" spans="1:6">
      <c r="A19432" t="str">
        <f t="shared" si="303"/>
        <v/>
      </c>
      <c r="E19432" s="626"/>
      <c r="F19432" s="626"/>
    </row>
    <row r="19433" spans="1:6">
      <c r="A19433" t="str">
        <f t="shared" si="303"/>
        <v/>
      </c>
      <c r="E19433" s="626"/>
      <c r="F19433" s="626"/>
    </row>
    <row r="19434" spans="1:6">
      <c r="A19434" t="str">
        <f t="shared" si="303"/>
        <v/>
      </c>
      <c r="E19434" s="626"/>
      <c r="F19434" s="626"/>
    </row>
    <row r="19435" spans="1:6">
      <c r="A19435" t="str">
        <f t="shared" si="303"/>
        <v/>
      </c>
      <c r="E19435" s="626"/>
      <c r="F19435" s="626"/>
    </row>
    <row r="19436" spans="1:6">
      <c r="A19436" t="str">
        <f t="shared" si="303"/>
        <v/>
      </c>
      <c r="E19436" s="626"/>
      <c r="F19436" s="626"/>
    </row>
    <row r="19437" spans="1:6">
      <c r="A19437" t="str">
        <f t="shared" si="303"/>
        <v/>
      </c>
      <c r="E19437" s="626"/>
      <c r="F19437" s="626"/>
    </row>
    <row r="19438" spans="1:6">
      <c r="A19438" t="str">
        <f t="shared" si="303"/>
        <v/>
      </c>
      <c r="E19438" s="626"/>
      <c r="F19438" s="626"/>
    </row>
    <row r="19439" spans="1:6">
      <c r="A19439" t="str">
        <f t="shared" si="303"/>
        <v/>
      </c>
      <c r="E19439" s="626"/>
      <c r="F19439" s="626"/>
    </row>
    <row r="19440" spans="1:6">
      <c r="A19440" t="str">
        <f t="shared" si="303"/>
        <v/>
      </c>
      <c r="E19440" s="626"/>
      <c r="F19440" s="626"/>
    </row>
    <row r="19441" spans="1:6">
      <c r="A19441" t="str">
        <f t="shared" si="303"/>
        <v/>
      </c>
      <c r="E19441" s="626"/>
      <c r="F19441" s="626"/>
    </row>
    <row r="19442" spans="1:6">
      <c r="A19442" t="str">
        <f t="shared" si="303"/>
        <v/>
      </c>
      <c r="E19442" s="626"/>
      <c r="F19442" s="626"/>
    </row>
    <row r="19443" spans="1:6">
      <c r="A19443" t="str">
        <f t="shared" si="303"/>
        <v/>
      </c>
      <c r="E19443" s="626"/>
      <c r="F19443" s="626"/>
    </row>
    <row r="19444" spans="1:6">
      <c r="A19444" t="str">
        <f t="shared" si="303"/>
        <v/>
      </c>
      <c r="E19444" s="626"/>
      <c r="F19444" s="626"/>
    </row>
    <row r="19445" spans="1:6">
      <c r="A19445" t="str">
        <f t="shared" si="303"/>
        <v/>
      </c>
      <c r="E19445" s="626"/>
      <c r="F19445" s="626"/>
    </row>
    <row r="19446" spans="1:6">
      <c r="A19446" t="str">
        <f t="shared" si="303"/>
        <v/>
      </c>
      <c r="E19446" s="626"/>
      <c r="F19446" s="626"/>
    </row>
    <row r="19447" spans="1:6">
      <c r="A19447" t="str">
        <f t="shared" si="303"/>
        <v/>
      </c>
      <c r="E19447" s="626"/>
      <c r="F19447" s="626"/>
    </row>
    <row r="19448" spans="1:6">
      <c r="A19448" t="str">
        <f t="shared" si="303"/>
        <v/>
      </c>
      <c r="E19448" s="626"/>
      <c r="F19448" s="626"/>
    </row>
    <row r="19449" spans="1:6">
      <c r="A19449" t="str">
        <f t="shared" si="303"/>
        <v/>
      </c>
      <c r="E19449" s="626"/>
      <c r="F19449" s="626"/>
    </row>
    <row r="19450" spans="1:6">
      <c r="A19450" t="str">
        <f t="shared" si="303"/>
        <v/>
      </c>
      <c r="E19450" s="626"/>
      <c r="F19450" s="626"/>
    </row>
    <row r="19451" spans="1:6">
      <c r="A19451" t="str">
        <f t="shared" si="303"/>
        <v/>
      </c>
      <c r="E19451" s="626"/>
      <c r="F19451" s="626"/>
    </row>
    <row r="19452" spans="1:6">
      <c r="A19452" t="str">
        <f t="shared" si="303"/>
        <v/>
      </c>
      <c r="E19452" s="626"/>
      <c r="F19452" s="626"/>
    </row>
    <row r="19453" spans="1:6">
      <c r="A19453" t="str">
        <f t="shared" si="303"/>
        <v/>
      </c>
      <c r="E19453" s="626"/>
      <c r="F19453" s="626"/>
    </row>
    <row r="19454" spans="1:6">
      <c r="A19454" t="str">
        <f t="shared" si="303"/>
        <v/>
      </c>
      <c r="E19454" s="626"/>
      <c r="F19454" s="626"/>
    </row>
    <row r="19455" spans="1:6">
      <c r="A19455" t="str">
        <f t="shared" si="303"/>
        <v/>
      </c>
      <c r="E19455" s="626"/>
      <c r="F19455" s="626"/>
    </row>
    <row r="19456" spans="1:6">
      <c r="A19456" t="str">
        <f t="shared" si="303"/>
        <v/>
      </c>
      <c r="E19456" s="626"/>
      <c r="F19456" s="626"/>
    </row>
    <row r="19457" spans="1:6">
      <c r="A19457" t="str">
        <f t="shared" si="303"/>
        <v/>
      </c>
      <c r="E19457" s="626"/>
      <c r="F19457" s="626"/>
    </row>
    <row r="19458" spans="1:6">
      <c r="A19458" t="str">
        <f t="shared" ref="A19458:A19521" si="304">B19458&amp;E19458&amp;J19458</f>
        <v/>
      </c>
      <c r="E19458" s="626"/>
      <c r="F19458" s="626"/>
    </row>
    <row r="19459" spans="1:6">
      <c r="A19459" t="str">
        <f t="shared" si="304"/>
        <v/>
      </c>
      <c r="E19459" s="626"/>
      <c r="F19459" s="626"/>
    </row>
    <row r="19460" spans="1:6">
      <c r="A19460" t="str">
        <f t="shared" si="304"/>
        <v/>
      </c>
      <c r="E19460" s="626"/>
      <c r="F19460" s="626"/>
    </row>
    <row r="19461" spans="1:6">
      <c r="A19461" t="str">
        <f t="shared" si="304"/>
        <v/>
      </c>
      <c r="E19461" s="626"/>
      <c r="F19461" s="626"/>
    </row>
    <row r="19462" spans="1:6">
      <c r="A19462" t="str">
        <f t="shared" si="304"/>
        <v/>
      </c>
      <c r="E19462" s="626"/>
      <c r="F19462" s="626"/>
    </row>
    <row r="19463" spans="1:6">
      <c r="A19463" t="str">
        <f t="shared" si="304"/>
        <v/>
      </c>
      <c r="E19463" s="626"/>
      <c r="F19463" s="626"/>
    </row>
    <row r="19464" spans="1:6">
      <c r="A19464" t="str">
        <f t="shared" si="304"/>
        <v/>
      </c>
      <c r="E19464" s="626"/>
      <c r="F19464" s="626"/>
    </row>
    <row r="19465" spans="1:6">
      <c r="A19465" t="str">
        <f t="shared" si="304"/>
        <v/>
      </c>
      <c r="E19465" s="626"/>
      <c r="F19465" s="626"/>
    </row>
    <row r="19466" spans="1:6">
      <c r="A19466" t="str">
        <f t="shared" si="304"/>
        <v/>
      </c>
      <c r="E19466" s="626"/>
      <c r="F19466" s="626"/>
    </row>
    <row r="19467" spans="1:6">
      <c r="A19467" t="str">
        <f t="shared" si="304"/>
        <v/>
      </c>
      <c r="E19467" s="626"/>
      <c r="F19467" s="626"/>
    </row>
    <row r="19468" spans="1:6">
      <c r="A19468" t="str">
        <f t="shared" si="304"/>
        <v/>
      </c>
      <c r="E19468" s="626"/>
      <c r="F19468" s="626"/>
    </row>
    <row r="19469" spans="1:6">
      <c r="A19469" t="str">
        <f t="shared" si="304"/>
        <v/>
      </c>
      <c r="E19469" s="626"/>
      <c r="F19469" s="626"/>
    </row>
    <row r="19470" spans="1:6">
      <c r="A19470" t="str">
        <f t="shared" si="304"/>
        <v/>
      </c>
      <c r="E19470" s="626"/>
      <c r="F19470" s="626"/>
    </row>
    <row r="19471" spans="1:6">
      <c r="A19471" t="str">
        <f t="shared" si="304"/>
        <v/>
      </c>
      <c r="E19471" s="626"/>
      <c r="F19471" s="626"/>
    </row>
    <row r="19472" spans="1:6">
      <c r="A19472" t="str">
        <f t="shared" si="304"/>
        <v/>
      </c>
      <c r="E19472" s="626"/>
      <c r="F19472" s="626"/>
    </row>
    <row r="19473" spans="1:6">
      <c r="A19473" t="str">
        <f t="shared" si="304"/>
        <v/>
      </c>
      <c r="E19473" s="626"/>
      <c r="F19473" s="626"/>
    </row>
    <row r="19474" spans="1:6">
      <c r="A19474" t="str">
        <f t="shared" si="304"/>
        <v/>
      </c>
      <c r="E19474" s="626"/>
      <c r="F19474" s="626"/>
    </row>
    <row r="19475" spans="1:6">
      <c r="A19475" t="str">
        <f t="shared" si="304"/>
        <v/>
      </c>
      <c r="E19475" s="626"/>
      <c r="F19475" s="626"/>
    </row>
    <row r="19476" spans="1:6">
      <c r="A19476" t="str">
        <f t="shared" si="304"/>
        <v/>
      </c>
      <c r="E19476" s="626"/>
      <c r="F19476" s="626"/>
    </row>
    <row r="19477" spans="1:6">
      <c r="A19477" t="str">
        <f t="shared" si="304"/>
        <v/>
      </c>
      <c r="E19477" s="626"/>
      <c r="F19477" s="626"/>
    </row>
    <row r="19478" spans="1:6">
      <c r="A19478" t="str">
        <f t="shared" si="304"/>
        <v/>
      </c>
      <c r="E19478" s="626"/>
      <c r="F19478" s="626"/>
    </row>
    <row r="19479" spans="1:6">
      <c r="A19479" t="str">
        <f t="shared" si="304"/>
        <v/>
      </c>
      <c r="E19479" s="626"/>
      <c r="F19479" s="626"/>
    </row>
    <row r="19480" spans="1:6">
      <c r="A19480" t="str">
        <f t="shared" si="304"/>
        <v/>
      </c>
      <c r="E19480" s="626"/>
      <c r="F19480" s="626"/>
    </row>
    <row r="19481" spans="1:6">
      <c r="A19481" t="str">
        <f t="shared" si="304"/>
        <v/>
      </c>
      <c r="E19481" s="626"/>
      <c r="F19481" s="626"/>
    </row>
    <row r="19482" spans="1:6">
      <c r="A19482" t="str">
        <f t="shared" si="304"/>
        <v/>
      </c>
      <c r="E19482" s="626"/>
      <c r="F19482" s="626"/>
    </row>
    <row r="19483" spans="1:6">
      <c r="A19483" t="str">
        <f t="shared" si="304"/>
        <v/>
      </c>
      <c r="E19483" s="626"/>
      <c r="F19483" s="626"/>
    </row>
    <row r="19484" spans="1:6">
      <c r="A19484" t="str">
        <f t="shared" si="304"/>
        <v/>
      </c>
      <c r="E19484" s="626"/>
      <c r="F19484" s="626"/>
    </row>
    <row r="19485" spans="1:6">
      <c r="A19485" t="str">
        <f t="shared" si="304"/>
        <v/>
      </c>
      <c r="E19485" s="626"/>
      <c r="F19485" s="626"/>
    </row>
    <row r="19486" spans="1:6">
      <c r="A19486" t="str">
        <f t="shared" si="304"/>
        <v/>
      </c>
      <c r="E19486" s="626"/>
      <c r="F19486" s="626"/>
    </row>
    <row r="19487" spans="1:6">
      <c r="A19487" t="str">
        <f t="shared" si="304"/>
        <v/>
      </c>
      <c r="E19487" s="626"/>
      <c r="F19487" s="626"/>
    </row>
    <row r="19488" spans="1:6">
      <c r="A19488" t="str">
        <f t="shared" si="304"/>
        <v/>
      </c>
      <c r="E19488" s="626"/>
      <c r="F19488" s="626"/>
    </row>
    <row r="19489" spans="1:6">
      <c r="A19489" t="str">
        <f t="shared" si="304"/>
        <v/>
      </c>
      <c r="E19489" s="626"/>
      <c r="F19489" s="626"/>
    </row>
    <row r="19490" spans="1:6">
      <c r="A19490" t="str">
        <f t="shared" si="304"/>
        <v/>
      </c>
      <c r="E19490" s="626"/>
      <c r="F19490" s="626"/>
    </row>
    <row r="19491" spans="1:6">
      <c r="A19491" t="str">
        <f t="shared" si="304"/>
        <v/>
      </c>
      <c r="E19491" s="626"/>
      <c r="F19491" s="626"/>
    </row>
    <row r="19492" spans="1:6">
      <c r="A19492" t="str">
        <f t="shared" si="304"/>
        <v/>
      </c>
      <c r="E19492" s="626"/>
      <c r="F19492" s="626"/>
    </row>
    <row r="19493" spans="1:6">
      <c r="A19493" t="str">
        <f t="shared" si="304"/>
        <v/>
      </c>
      <c r="E19493" s="626"/>
      <c r="F19493" s="626"/>
    </row>
    <row r="19494" spans="1:6">
      <c r="A19494" t="str">
        <f t="shared" si="304"/>
        <v/>
      </c>
      <c r="E19494" s="626"/>
      <c r="F19494" s="626"/>
    </row>
    <row r="19495" spans="1:6">
      <c r="A19495" t="str">
        <f t="shared" si="304"/>
        <v/>
      </c>
      <c r="E19495" s="626"/>
      <c r="F19495" s="626"/>
    </row>
    <row r="19496" spans="1:6">
      <c r="A19496" t="str">
        <f t="shared" si="304"/>
        <v/>
      </c>
      <c r="E19496" s="626"/>
      <c r="F19496" s="626"/>
    </row>
    <row r="19497" spans="1:6">
      <c r="A19497" t="str">
        <f t="shared" si="304"/>
        <v/>
      </c>
      <c r="E19497" s="626"/>
      <c r="F19497" s="626"/>
    </row>
    <row r="19498" spans="1:6">
      <c r="A19498" t="str">
        <f t="shared" si="304"/>
        <v/>
      </c>
      <c r="E19498" s="626"/>
      <c r="F19498" s="626"/>
    </row>
    <row r="19499" spans="1:6">
      <c r="A19499" t="str">
        <f t="shared" si="304"/>
        <v/>
      </c>
      <c r="E19499" s="626"/>
      <c r="F19499" s="626"/>
    </row>
    <row r="19500" spans="1:6">
      <c r="A19500" t="str">
        <f t="shared" si="304"/>
        <v/>
      </c>
      <c r="E19500" s="626"/>
      <c r="F19500" s="626"/>
    </row>
    <row r="19501" spans="1:6">
      <c r="A19501" t="str">
        <f t="shared" si="304"/>
        <v/>
      </c>
      <c r="E19501" s="626"/>
      <c r="F19501" s="626"/>
    </row>
    <row r="19502" spans="1:6">
      <c r="A19502" t="str">
        <f t="shared" si="304"/>
        <v/>
      </c>
      <c r="E19502" s="626"/>
      <c r="F19502" s="626"/>
    </row>
    <row r="19503" spans="1:6">
      <c r="A19503" t="str">
        <f t="shared" si="304"/>
        <v/>
      </c>
      <c r="E19503" s="626"/>
      <c r="F19503" s="626"/>
    </row>
    <row r="19504" spans="1:6">
      <c r="A19504" t="str">
        <f t="shared" si="304"/>
        <v/>
      </c>
      <c r="E19504" s="626"/>
      <c r="F19504" s="626"/>
    </row>
    <row r="19505" spans="1:6">
      <c r="A19505" t="str">
        <f t="shared" si="304"/>
        <v/>
      </c>
      <c r="E19505" s="626"/>
      <c r="F19505" s="626"/>
    </row>
    <row r="19506" spans="1:6">
      <c r="A19506" t="str">
        <f t="shared" si="304"/>
        <v/>
      </c>
      <c r="E19506" s="626"/>
      <c r="F19506" s="626"/>
    </row>
    <row r="19507" spans="1:6">
      <c r="A19507" t="str">
        <f t="shared" si="304"/>
        <v/>
      </c>
      <c r="E19507" s="626"/>
      <c r="F19507" s="626"/>
    </row>
    <row r="19508" spans="1:6">
      <c r="A19508" t="str">
        <f t="shared" si="304"/>
        <v/>
      </c>
      <c r="E19508" s="626"/>
      <c r="F19508" s="626"/>
    </row>
    <row r="19509" spans="1:6">
      <c r="A19509" t="str">
        <f t="shared" si="304"/>
        <v/>
      </c>
      <c r="E19509" s="626"/>
      <c r="F19509" s="626"/>
    </row>
    <row r="19510" spans="1:6">
      <c r="A19510" t="str">
        <f t="shared" si="304"/>
        <v/>
      </c>
      <c r="E19510" s="626"/>
      <c r="F19510" s="626"/>
    </row>
    <row r="19511" spans="1:6">
      <c r="A19511" t="str">
        <f t="shared" si="304"/>
        <v/>
      </c>
      <c r="E19511" s="626"/>
      <c r="F19511" s="626"/>
    </row>
    <row r="19512" spans="1:6">
      <c r="A19512" t="str">
        <f t="shared" si="304"/>
        <v/>
      </c>
      <c r="E19512" s="626"/>
      <c r="F19512" s="626"/>
    </row>
    <row r="19513" spans="1:6">
      <c r="A19513" t="str">
        <f t="shared" si="304"/>
        <v/>
      </c>
      <c r="E19513" s="626"/>
      <c r="F19513" s="626"/>
    </row>
    <row r="19514" spans="1:6">
      <c r="A19514" t="str">
        <f t="shared" si="304"/>
        <v/>
      </c>
      <c r="E19514" s="626"/>
      <c r="F19514" s="626"/>
    </row>
    <row r="19515" spans="1:6">
      <c r="A19515" t="str">
        <f t="shared" si="304"/>
        <v/>
      </c>
      <c r="E19515" s="626"/>
      <c r="F19515" s="626"/>
    </row>
    <row r="19516" spans="1:6">
      <c r="A19516" t="str">
        <f t="shared" si="304"/>
        <v/>
      </c>
      <c r="E19516" s="626"/>
      <c r="F19516" s="626"/>
    </row>
    <row r="19517" spans="1:6">
      <c r="A19517" t="str">
        <f t="shared" si="304"/>
        <v/>
      </c>
      <c r="E19517" s="626"/>
      <c r="F19517" s="626"/>
    </row>
    <row r="19518" spans="1:6">
      <c r="A19518" t="str">
        <f t="shared" si="304"/>
        <v/>
      </c>
      <c r="E19518" s="626"/>
      <c r="F19518" s="626"/>
    </row>
    <row r="19519" spans="1:6">
      <c r="A19519" t="str">
        <f t="shared" si="304"/>
        <v/>
      </c>
      <c r="E19519" s="626"/>
      <c r="F19519" s="626"/>
    </row>
    <row r="19520" spans="1:6">
      <c r="A19520" t="str">
        <f t="shared" si="304"/>
        <v/>
      </c>
      <c r="E19520" s="626"/>
      <c r="F19520" s="626"/>
    </row>
    <row r="19521" spans="1:6">
      <c r="A19521" t="str">
        <f t="shared" si="304"/>
        <v/>
      </c>
      <c r="E19521" s="626"/>
      <c r="F19521" s="626"/>
    </row>
    <row r="19522" spans="1:6">
      <c r="A19522" t="str">
        <f t="shared" ref="A19522:A19585" si="305">B19522&amp;E19522&amp;J19522</f>
        <v/>
      </c>
      <c r="E19522" s="626"/>
      <c r="F19522" s="626"/>
    </row>
    <row r="19523" spans="1:6">
      <c r="A19523" t="str">
        <f t="shared" si="305"/>
        <v/>
      </c>
      <c r="E19523" s="626"/>
      <c r="F19523" s="626"/>
    </row>
    <row r="19524" spans="1:6">
      <c r="A19524" t="str">
        <f t="shared" si="305"/>
        <v/>
      </c>
      <c r="E19524" s="626"/>
      <c r="F19524" s="626"/>
    </row>
    <row r="19525" spans="1:6">
      <c r="A19525" t="str">
        <f t="shared" si="305"/>
        <v/>
      </c>
      <c r="E19525" s="626"/>
      <c r="F19525" s="626"/>
    </row>
    <row r="19526" spans="1:6">
      <c r="A19526" t="str">
        <f t="shared" si="305"/>
        <v/>
      </c>
      <c r="E19526" s="626"/>
      <c r="F19526" s="626"/>
    </row>
    <row r="19527" spans="1:6">
      <c r="A19527" t="str">
        <f t="shared" si="305"/>
        <v/>
      </c>
      <c r="E19527" s="626"/>
      <c r="F19527" s="626"/>
    </row>
    <row r="19528" spans="1:6">
      <c r="A19528" t="str">
        <f t="shared" si="305"/>
        <v/>
      </c>
      <c r="E19528" s="626"/>
      <c r="F19528" s="626"/>
    </row>
    <row r="19529" spans="1:6">
      <c r="A19529" t="str">
        <f t="shared" si="305"/>
        <v/>
      </c>
      <c r="E19529" s="626"/>
      <c r="F19529" s="626"/>
    </row>
    <row r="19530" spans="1:6">
      <c r="A19530" t="str">
        <f t="shared" si="305"/>
        <v/>
      </c>
      <c r="E19530" s="626"/>
      <c r="F19530" s="626"/>
    </row>
    <row r="19531" spans="1:6">
      <c r="A19531" t="str">
        <f t="shared" si="305"/>
        <v/>
      </c>
      <c r="E19531" s="626"/>
      <c r="F19531" s="626"/>
    </row>
    <row r="19532" spans="1:6">
      <c r="A19532" t="str">
        <f t="shared" si="305"/>
        <v/>
      </c>
      <c r="E19532" s="626"/>
      <c r="F19532" s="626"/>
    </row>
    <row r="19533" spans="1:6">
      <c r="A19533" t="str">
        <f t="shared" si="305"/>
        <v/>
      </c>
      <c r="E19533" s="626"/>
      <c r="F19533" s="626"/>
    </row>
    <row r="19534" spans="1:6">
      <c r="A19534" t="str">
        <f t="shared" si="305"/>
        <v/>
      </c>
      <c r="E19534" s="626"/>
      <c r="F19534" s="626"/>
    </row>
    <row r="19535" spans="1:6">
      <c r="A19535" t="str">
        <f t="shared" si="305"/>
        <v/>
      </c>
      <c r="E19535" s="626"/>
      <c r="F19535" s="626"/>
    </row>
    <row r="19536" spans="1:6">
      <c r="A19536" t="str">
        <f t="shared" si="305"/>
        <v/>
      </c>
      <c r="E19536" s="626"/>
      <c r="F19536" s="626"/>
    </row>
    <row r="19537" spans="1:6">
      <c r="A19537" t="str">
        <f t="shared" si="305"/>
        <v/>
      </c>
      <c r="E19537" s="626"/>
      <c r="F19537" s="626"/>
    </row>
    <row r="19538" spans="1:6">
      <c r="A19538" t="str">
        <f t="shared" si="305"/>
        <v/>
      </c>
      <c r="E19538" s="626"/>
      <c r="F19538" s="626"/>
    </row>
    <row r="19539" spans="1:6">
      <c r="A19539" t="str">
        <f t="shared" si="305"/>
        <v/>
      </c>
      <c r="E19539" s="626"/>
      <c r="F19539" s="626"/>
    </row>
    <row r="19540" spans="1:6">
      <c r="A19540" t="str">
        <f t="shared" si="305"/>
        <v/>
      </c>
      <c r="E19540" s="626"/>
      <c r="F19540" s="626"/>
    </row>
    <row r="19541" spans="1:6">
      <c r="A19541" t="str">
        <f t="shared" si="305"/>
        <v/>
      </c>
      <c r="E19541" s="626"/>
      <c r="F19541" s="626"/>
    </row>
    <row r="19542" spans="1:6">
      <c r="A19542" t="str">
        <f t="shared" si="305"/>
        <v/>
      </c>
      <c r="E19542" s="626"/>
      <c r="F19542" s="626"/>
    </row>
    <row r="19543" spans="1:6">
      <c r="A19543" t="str">
        <f t="shared" si="305"/>
        <v/>
      </c>
      <c r="E19543" s="626"/>
      <c r="F19543" s="626"/>
    </row>
    <row r="19544" spans="1:6">
      <c r="A19544" t="str">
        <f t="shared" si="305"/>
        <v/>
      </c>
      <c r="E19544" s="626"/>
      <c r="F19544" s="626"/>
    </row>
    <row r="19545" spans="1:6">
      <c r="A19545" t="str">
        <f t="shared" si="305"/>
        <v/>
      </c>
      <c r="E19545" s="626"/>
      <c r="F19545" s="626"/>
    </row>
    <row r="19546" spans="1:6">
      <c r="A19546" t="str">
        <f t="shared" si="305"/>
        <v/>
      </c>
      <c r="E19546" s="626"/>
      <c r="F19546" s="626"/>
    </row>
    <row r="19547" spans="1:6">
      <c r="A19547" t="str">
        <f t="shared" si="305"/>
        <v/>
      </c>
      <c r="E19547" s="626"/>
      <c r="F19547" s="626"/>
    </row>
    <row r="19548" spans="1:6">
      <c r="A19548" t="str">
        <f t="shared" si="305"/>
        <v/>
      </c>
      <c r="E19548" s="626"/>
      <c r="F19548" s="626"/>
    </row>
    <row r="19549" spans="1:6">
      <c r="A19549" t="str">
        <f t="shared" si="305"/>
        <v/>
      </c>
      <c r="E19549" s="626"/>
      <c r="F19549" s="626"/>
    </row>
    <row r="19550" spans="1:6">
      <c r="A19550" t="str">
        <f t="shared" si="305"/>
        <v/>
      </c>
      <c r="E19550" s="626"/>
      <c r="F19550" s="626"/>
    </row>
    <row r="19551" spans="1:6">
      <c r="A19551" t="str">
        <f t="shared" si="305"/>
        <v/>
      </c>
      <c r="E19551" s="626"/>
      <c r="F19551" s="626"/>
    </row>
    <row r="19552" spans="1:6">
      <c r="A19552" t="str">
        <f t="shared" si="305"/>
        <v/>
      </c>
      <c r="E19552" s="626"/>
      <c r="F19552" s="626"/>
    </row>
    <row r="19553" spans="1:6">
      <c r="A19553" t="str">
        <f t="shared" si="305"/>
        <v/>
      </c>
      <c r="E19553" s="626"/>
      <c r="F19553" s="626"/>
    </row>
    <row r="19554" spans="1:6">
      <c r="A19554" t="str">
        <f t="shared" si="305"/>
        <v/>
      </c>
      <c r="E19554" s="626"/>
      <c r="F19554" s="626"/>
    </row>
    <row r="19555" spans="1:6">
      <c r="A19555" t="str">
        <f t="shared" si="305"/>
        <v/>
      </c>
      <c r="E19555" s="626"/>
      <c r="F19555" s="626"/>
    </row>
    <row r="19556" spans="1:6">
      <c r="A19556" t="str">
        <f t="shared" si="305"/>
        <v/>
      </c>
      <c r="E19556" s="626"/>
      <c r="F19556" s="626"/>
    </row>
    <row r="19557" spans="1:6">
      <c r="A19557" t="str">
        <f t="shared" si="305"/>
        <v/>
      </c>
      <c r="E19557" s="626"/>
      <c r="F19557" s="626"/>
    </row>
    <row r="19558" spans="1:6">
      <c r="A19558" t="str">
        <f t="shared" si="305"/>
        <v/>
      </c>
      <c r="E19558" s="626"/>
      <c r="F19558" s="626"/>
    </row>
    <row r="19559" spans="1:6">
      <c r="A19559" t="str">
        <f t="shared" si="305"/>
        <v/>
      </c>
      <c r="E19559" s="626"/>
      <c r="F19559" s="626"/>
    </row>
    <row r="19560" spans="1:6">
      <c r="A19560" t="str">
        <f t="shared" si="305"/>
        <v/>
      </c>
      <c r="E19560" s="626"/>
      <c r="F19560" s="626"/>
    </row>
    <row r="19561" spans="1:6">
      <c r="A19561" t="str">
        <f t="shared" si="305"/>
        <v/>
      </c>
      <c r="E19561" s="626"/>
      <c r="F19561" s="626"/>
    </row>
    <row r="19562" spans="1:6">
      <c r="A19562" t="str">
        <f t="shared" si="305"/>
        <v/>
      </c>
      <c r="E19562" s="626"/>
      <c r="F19562" s="626"/>
    </row>
    <row r="19563" spans="1:6">
      <c r="A19563" t="str">
        <f t="shared" si="305"/>
        <v/>
      </c>
      <c r="E19563" s="626"/>
      <c r="F19563" s="626"/>
    </row>
    <row r="19564" spans="1:6">
      <c r="A19564" t="str">
        <f t="shared" si="305"/>
        <v/>
      </c>
      <c r="E19564" s="626"/>
      <c r="F19564" s="626"/>
    </row>
    <row r="19565" spans="1:6">
      <c r="A19565" t="str">
        <f t="shared" si="305"/>
        <v/>
      </c>
      <c r="E19565" s="626"/>
      <c r="F19565" s="626"/>
    </row>
    <row r="19566" spans="1:6">
      <c r="A19566" t="str">
        <f t="shared" si="305"/>
        <v/>
      </c>
      <c r="E19566" s="626"/>
      <c r="F19566" s="626"/>
    </row>
    <row r="19567" spans="1:6">
      <c r="A19567" t="str">
        <f t="shared" si="305"/>
        <v/>
      </c>
      <c r="E19567" s="626"/>
      <c r="F19567" s="626"/>
    </row>
    <row r="19568" spans="1:6">
      <c r="A19568" t="str">
        <f t="shared" si="305"/>
        <v/>
      </c>
      <c r="E19568" s="626"/>
      <c r="F19568" s="626"/>
    </row>
    <row r="19569" spans="1:6">
      <c r="A19569" t="str">
        <f t="shared" si="305"/>
        <v/>
      </c>
      <c r="E19569" s="626"/>
      <c r="F19569" s="626"/>
    </row>
    <row r="19570" spans="1:6">
      <c r="A19570" t="str">
        <f t="shared" si="305"/>
        <v/>
      </c>
      <c r="E19570" s="626"/>
      <c r="F19570" s="626"/>
    </row>
    <row r="19571" spans="1:6">
      <c r="A19571" t="str">
        <f t="shared" si="305"/>
        <v/>
      </c>
      <c r="E19571" s="626"/>
      <c r="F19571" s="626"/>
    </row>
    <row r="19572" spans="1:6">
      <c r="A19572" t="str">
        <f t="shared" si="305"/>
        <v/>
      </c>
      <c r="E19572" s="626"/>
      <c r="F19572" s="626"/>
    </row>
    <row r="19573" spans="1:6">
      <c r="A19573" t="str">
        <f t="shared" si="305"/>
        <v/>
      </c>
      <c r="E19573" s="626"/>
      <c r="F19573" s="626"/>
    </row>
    <row r="19574" spans="1:6">
      <c r="A19574" t="str">
        <f t="shared" si="305"/>
        <v/>
      </c>
      <c r="E19574" s="626"/>
      <c r="F19574" s="626"/>
    </row>
    <row r="19575" spans="1:6">
      <c r="A19575" t="str">
        <f t="shared" si="305"/>
        <v/>
      </c>
      <c r="E19575" s="626"/>
      <c r="F19575" s="626"/>
    </row>
    <row r="19576" spans="1:6">
      <c r="A19576" t="str">
        <f t="shared" si="305"/>
        <v/>
      </c>
      <c r="E19576" s="626"/>
      <c r="F19576" s="626"/>
    </row>
    <row r="19577" spans="1:6">
      <c r="A19577" t="str">
        <f t="shared" si="305"/>
        <v/>
      </c>
      <c r="E19577" s="626"/>
      <c r="F19577" s="626"/>
    </row>
    <row r="19578" spans="1:6">
      <c r="A19578" t="str">
        <f t="shared" si="305"/>
        <v/>
      </c>
      <c r="E19578" s="626"/>
      <c r="F19578" s="626"/>
    </row>
    <row r="19579" spans="1:6">
      <c r="A19579" t="str">
        <f t="shared" si="305"/>
        <v/>
      </c>
      <c r="E19579" s="626"/>
      <c r="F19579" s="626"/>
    </row>
    <row r="19580" spans="1:6">
      <c r="A19580" t="str">
        <f t="shared" si="305"/>
        <v/>
      </c>
      <c r="E19580" s="626"/>
      <c r="F19580" s="626"/>
    </row>
    <row r="19581" spans="1:6">
      <c r="A19581" t="str">
        <f t="shared" si="305"/>
        <v/>
      </c>
      <c r="E19581" s="626"/>
      <c r="F19581" s="626"/>
    </row>
    <row r="19582" spans="1:6">
      <c r="A19582" t="str">
        <f t="shared" si="305"/>
        <v/>
      </c>
      <c r="E19582" s="626"/>
      <c r="F19582" s="626"/>
    </row>
    <row r="19583" spans="1:6">
      <c r="A19583" t="str">
        <f t="shared" si="305"/>
        <v/>
      </c>
      <c r="E19583" s="626"/>
      <c r="F19583" s="626"/>
    </row>
    <row r="19584" spans="1:6">
      <c r="A19584" t="str">
        <f t="shared" si="305"/>
        <v/>
      </c>
      <c r="E19584" s="626"/>
      <c r="F19584" s="626"/>
    </row>
    <row r="19585" spans="1:6">
      <c r="A19585" t="str">
        <f t="shared" si="305"/>
        <v/>
      </c>
      <c r="E19585" s="626"/>
      <c r="F19585" s="626"/>
    </row>
    <row r="19586" spans="1:6">
      <c r="A19586" t="str">
        <f t="shared" ref="A19586:A19649" si="306">B19586&amp;E19586&amp;J19586</f>
        <v/>
      </c>
      <c r="E19586" s="626"/>
      <c r="F19586" s="626"/>
    </row>
    <row r="19587" spans="1:6">
      <c r="A19587" t="str">
        <f t="shared" si="306"/>
        <v/>
      </c>
      <c r="E19587" s="626"/>
      <c r="F19587" s="626"/>
    </row>
    <row r="19588" spans="1:6">
      <c r="A19588" t="str">
        <f t="shared" si="306"/>
        <v/>
      </c>
      <c r="E19588" s="626"/>
      <c r="F19588" s="626"/>
    </row>
    <row r="19589" spans="1:6">
      <c r="A19589" t="str">
        <f t="shared" si="306"/>
        <v/>
      </c>
      <c r="E19589" s="626"/>
      <c r="F19589" s="626"/>
    </row>
    <row r="19590" spans="1:6">
      <c r="A19590" t="str">
        <f t="shared" si="306"/>
        <v/>
      </c>
      <c r="E19590" s="626"/>
      <c r="F19590" s="626"/>
    </row>
    <row r="19591" spans="1:6">
      <c r="A19591" t="str">
        <f t="shared" si="306"/>
        <v/>
      </c>
      <c r="E19591" s="626"/>
      <c r="F19591" s="626"/>
    </row>
    <row r="19592" spans="1:6">
      <c r="A19592" t="str">
        <f t="shared" si="306"/>
        <v/>
      </c>
      <c r="E19592" s="626"/>
      <c r="F19592" s="626"/>
    </row>
    <row r="19593" spans="1:6">
      <c r="A19593" t="str">
        <f t="shared" si="306"/>
        <v/>
      </c>
      <c r="E19593" s="626"/>
      <c r="F19593" s="626"/>
    </row>
    <row r="19594" spans="1:6">
      <c r="A19594" t="str">
        <f t="shared" si="306"/>
        <v/>
      </c>
      <c r="E19594" s="626"/>
      <c r="F19594" s="626"/>
    </row>
    <row r="19595" spans="1:6">
      <c r="A19595" t="str">
        <f t="shared" si="306"/>
        <v/>
      </c>
      <c r="E19595" s="626"/>
      <c r="F19595" s="626"/>
    </row>
    <row r="19596" spans="1:6">
      <c r="A19596" t="str">
        <f t="shared" si="306"/>
        <v/>
      </c>
      <c r="E19596" s="626"/>
      <c r="F19596" s="626"/>
    </row>
    <row r="19597" spans="1:6">
      <c r="A19597" t="str">
        <f t="shared" si="306"/>
        <v/>
      </c>
      <c r="E19597" s="626"/>
      <c r="F19597" s="626"/>
    </row>
    <row r="19598" spans="1:6">
      <c r="A19598" t="str">
        <f t="shared" si="306"/>
        <v/>
      </c>
      <c r="E19598" s="626"/>
      <c r="F19598" s="626"/>
    </row>
    <row r="19599" spans="1:6">
      <c r="A19599" t="str">
        <f t="shared" si="306"/>
        <v/>
      </c>
      <c r="E19599" s="626"/>
      <c r="F19599" s="626"/>
    </row>
    <row r="19600" spans="1:6">
      <c r="A19600" t="str">
        <f t="shared" si="306"/>
        <v/>
      </c>
      <c r="E19600" s="626"/>
      <c r="F19600" s="626"/>
    </row>
    <row r="19601" spans="1:6">
      <c r="A19601" t="str">
        <f t="shared" si="306"/>
        <v/>
      </c>
      <c r="E19601" s="626"/>
      <c r="F19601" s="626"/>
    </row>
    <row r="19602" spans="1:6">
      <c r="A19602" t="str">
        <f t="shared" si="306"/>
        <v/>
      </c>
      <c r="E19602" s="626"/>
      <c r="F19602" s="626"/>
    </row>
    <row r="19603" spans="1:6">
      <c r="A19603" t="str">
        <f t="shared" si="306"/>
        <v/>
      </c>
      <c r="E19603" s="626"/>
      <c r="F19603" s="626"/>
    </row>
    <row r="19604" spans="1:6">
      <c r="A19604" t="str">
        <f t="shared" si="306"/>
        <v/>
      </c>
      <c r="E19604" s="626"/>
      <c r="F19604" s="626"/>
    </row>
    <row r="19605" spans="1:6">
      <c r="A19605" t="str">
        <f t="shared" si="306"/>
        <v/>
      </c>
      <c r="E19605" s="626"/>
      <c r="F19605" s="626"/>
    </row>
    <row r="19606" spans="1:6">
      <c r="A19606" t="str">
        <f t="shared" si="306"/>
        <v/>
      </c>
      <c r="E19606" s="626"/>
      <c r="F19606" s="626"/>
    </row>
    <row r="19607" spans="1:6">
      <c r="A19607" t="str">
        <f t="shared" si="306"/>
        <v/>
      </c>
      <c r="E19607" s="626"/>
      <c r="F19607" s="626"/>
    </row>
    <row r="19608" spans="1:6">
      <c r="A19608" t="str">
        <f t="shared" si="306"/>
        <v/>
      </c>
      <c r="E19608" s="626"/>
      <c r="F19608" s="626"/>
    </row>
    <row r="19609" spans="1:6">
      <c r="A19609" t="str">
        <f t="shared" si="306"/>
        <v/>
      </c>
      <c r="E19609" s="626"/>
      <c r="F19609" s="626"/>
    </row>
    <row r="19610" spans="1:6">
      <c r="A19610" t="str">
        <f t="shared" si="306"/>
        <v/>
      </c>
      <c r="E19610" s="626"/>
      <c r="F19610" s="626"/>
    </row>
    <row r="19611" spans="1:6">
      <c r="A19611" t="str">
        <f t="shared" si="306"/>
        <v/>
      </c>
      <c r="E19611" s="626"/>
      <c r="F19611" s="626"/>
    </row>
    <row r="19612" spans="1:6">
      <c r="A19612" t="str">
        <f t="shared" si="306"/>
        <v/>
      </c>
      <c r="E19612" s="626"/>
      <c r="F19612" s="626"/>
    </row>
    <row r="19613" spans="1:6">
      <c r="A19613" t="str">
        <f t="shared" si="306"/>
        <v/>
      </c>
      <c r="E19613" s="626"/>
      <c r="F19613" s="626"/>
    </row>
    <row r="19614" spans="1:6">
      <c r="A19614" t="str">
        <f t="shared" si="306"/>
        <v/>
      </c>
      <c r="E19614" s="626"/>
      <c r="F19614" s="626"/>
    </row>
    <row r="19615" spans="1:6">
      <c r="A19615" t="str">
        <f t="shared" si="306"/>
        <v/>
      </c>
      <c r="E19615" s="626"/>
      <c r="F19615" s="626"/>
    </row>
    <row r="19616" spans="1:6">
      <c r="A19616" t="str">
        <f t="shared" si="306"/>
        <v/>
      </c>
      <c r="E19616" s="626"/>
      <c r="F19616" s="626"/>
    </row>
    <row r="19617" spans="1:6">
      <c r="A19617" t="str">
        <f t="shared" si="306"/>
        <v/>
      </c>
      <c r="E19617" s="626"/>
      <c r="F19617" s="626"/>
    </row>
    <row r="19618" spans="1:6">
      <c r="A19618" t="str">
        <f t="shared" si="306"/>
        <v/>
      </c>
      <c r="E19618" s="626"/>
      <c r="F19618" s="626"/>
    </row>
    <row r="19619" spans="1:6">
      <c r="A19619" t="str">
        <f t="shared" si="306"/>
        <v/>
      </c>
      <c r="E19619" s="626"/>
      <c r="F19619" s="626"/>
    </row>
    <row r="19620" spans="1:6">
      <c r="A19620" t="str">
        <f t="shared" si="306"/>
        <v/>
      </c>
      <c r="E19620" s="626"/>
      <c r="F19620" s="626"/>
    </row>
    <row r="19621" spans="1:6">
      <c r="A19621" t="str">
        <f t="shared" si="306"/>
        <v/>
      </c>
      <c r="E19621" s="626"/>
      <c r="F19621" s="626"/>
    </row>
    <row r="19622" spans="1:6">
      <c r="A19622" t="str">
        <f t="shared" si="306"/>
        <v/>
      </c>
      <c r="E19622" s="626"/>
      <c r="F19622" s="626"/>
    </row>
    <row r="19623" spans="1:6">
      <c r="A19623" t="str">
        <f t="shared" si="306"/>
        <v/>
      </c>
      <c r="E19623" s="626"/>
      <c r="F19623" s="626"/>
    </row>
    <row r="19624" spans="1:6">
      <c r="A19624" t="str">
        <f t="shared" si="306"/>
        <v/>
      </c>
      <c r="E19624" s="626"/>
      <c r="F19624" s="626"/>
    </row>
    <row r="19625" spans="1:6">
      <c r="A19625" t="str">
        <f t="shared" si="306"/>
        <v/>
      </c>
      <c r="E19625" s="626"/>
      <c r="F19625" s="626"/>
    </row>
    <row r="19626" spans="1:6">
      <c r="A19626" t="str">
        <f t="shared" si="306"/>
        <v/>
      </c>
      <c r="E19626" s="626"/>
      <c r="F19626" s="626"/>
    </row>
    <row r="19627" spans="1:6">
      <c r="A19627" t="str">
        <f t="shared" si="306"/>
        <v/>
      </c>
      <c r="E19627" s="626"/>
      <c r="F19627" s="626"/>
    </row>
    <row r="19628" spans="1:6">
      <c r="A19628" t="str">
        <f t="shared" si="306"/>
        <v/>
      </c>
      <c r="E19628" s="626"/>
      <c r="F19628" s="626"/>
    </row>
    <row r="19629" spans="1:6">
      <c r="A19629" t="str">
        <f t="shared" si="306"/>
        <v/>
      </c>
      <c r="E19629" s="626"/>
      <c r="F19629" s="626"/>
    </row>
    <row r="19630" spans="1:6">
      <c r="A19630" t="str">
        <f t="shared" si="306"/>
        <v/>
      </c>
      <c r="E19630" s="626"/>
      <c r="F19630" s="626"/>
    </row>
    <row r="19631" spans="1:6">
      <c r="A19631" t="str">
        <f t="shared" si="306"/>
        <v/>
      </c>
      <c r="E19631" s="626"/>
      <c r="F19631" s="626"/>
    </row>
    <row r="19632" spans="1:6">
      <c r="A19632" t="str">
        <f t="shared" si="306"/>
        <v/>
      </c>
      <c r="E19632" s="626"/>
      <c r="F19632" s="626"/>
    </row>
    <row r="19633" spans="1:6">
      <c r="A19633" t="str">
        <f t="shared" si="306"/>
        <v/>
      </c>
      <c r="E19633" s="626"/>
      <c r="F19633" s="626"/>
    </row>
    <row r="19634" spans="1:6">
      <c r="A19634" t="str">
        <f t="shared" si="306"/>
        <v/>
      </c>
      <c r="E19634" s="626"/>
      <c r="F19634" s="626"/>
    </row>
    <row r="19635" spans="1:6">
      <c r="A19635" t="str">
        <f t="shared" si="306"/>
        <v/>
      </c>
      <c r="E19635" s="626"/>
      <c r="F19635" s="626"/>
    </row>
    <row r="19636" spans="1:6">
      <c r="A19636" t="str">
        <f t="shared" si="306"/>
        <v/>
      </c>
      <c r="E19636" s="626"/>
      <c r="F19636" s="626"/>
    </row>
    <row r="19637" spans="1:6">
      <c r="A19637" t="str">
        <f t="shared" si="306"/>
        <v/>
      </c>
      <c r="E19637" s="626"/>
      <c r="F19637" s="626"/>
    </row>
    <row r="19638" spans="1:6">
      <c r="A19638" t="str">
        <f t="shared" si="306"/>
        <v/>
      </c>
      <c r="E19638" s="626"/>
      <c r="F19638" s="626"/>
    </row>
    <row r="19639" spans="1:6">
      <c r="A19639" t="str">
        <f t="shared" si="306"/>
        <v/>
      </c>
      <c r="E19639" s="626"/>
      <c r="F19639" s="626"/>
    </row>
    <row r="19640" spans="1:6">
      <c r="A19640" t="str">
        <f t="shared" si="306"/>
        <v/>
      </c>
      <c r="E19640" s="626"/>
      <c r="F19640" s="626"/>
    </row>
    <row r="19641" spans="1:6">
      <c r="A19641" t="str">
        <f t="shared" si="306"/>
        <v/>
      </c>
      <c r="E19641" s="626"/>
      <c r="F19641" s="626"/>
    </row>
    <row r="19642" spans="1:6">
      <c r="A19642" t="str">
        <f t="shared" si="306"/>
        <v/>
      </c>
      <c r="E19642" s="626"/>
      <c r="F19642" s="626"/>
    </row>
    <row r="19643" spans="1:6">
      <c r="A19643" t="str">
        <f t="shared" si="306"/>
        <v/>
      </c>
      <c r="E19643" s="626"/>
      <c r="F19643" s="626"/>
    </row>
    <row r="19644" spans="1:6">
      <c r="A19644" t="str">
        <f t="shared" si="306"/>
        <v/>
      </c>
      <c r="E19644" s="626"/>
      <c r="F19644" s="626"/>
    </row>
    <row r="19645" spans="1:6">
      <c r="A19645" t="str">
        <f t="shared" si="306"/>
        <v/>
      </c>
      <c r="E19645" s="626"/>
      <c r="F19645" s="626"/>
    </row>
    <row r="19646" spans="1:6">
      <c r="A19646" t="str">
        <f t="shared" si="306"/>
        <v/>
      </c>
      <c r="E19646" s="626"/>
      <c r="F19646" s="626"/>
    </row>
    <row r="19647" spans="1:6">
      <c r="A19647" t="str">
        <f t="shared" si="306"/>
        <v/>
      </c>
      <c r="E19647" s="626"/>
      <c r="F19647" s="626"/>
    </row>
    <row r="19648" spans="1:6">
      <c r="A19648" t="str">
        <f t="shared" si="306"/>
        <v/>
      </c>
      <c r="E19648" s="626"/>
      <c r="F19648" s="626"/>
    </row>
    <row r="19649" spans="1:6">
      <c r="A19649" t="str">
        <f t="shared" si="306"/>
        <v/>
      </c>
      <c r="E19649" s="626"/>
      <c r="F19649" s="626"/>
    </row>
    <row r="19650" spans="1:6">
      <c r="A19650" t="str">
        <f t="shared" ref="A19650:A19713" si="307">B19650&amp;E19650&amp;J19650</f>
        <v/>
      </c>
      <c r="E19650" s="626"/>
      <c r="F19650" s="626"/>
    </row>
    <row r="19651" spans="1:6">
      <c r="A19651" t="str">
        <f t="shared" si="307"/>
        <v/>
      </c>
      <c r="E19651" s="626"/>
      <c r="F19651" s="626"/>
    </row>
    <row r="19652" spans="1:6">
      <c r="A19652" t="str">
        <f t="shared" si="307"/>
        <v/>
      </c>
      <c r="E19652" s="626"/>
      <c r="F19652" s="626"/>
    </row>
    <row r="19653" spans="1:6">
      <c r="A19653" t="str">
        <f t="shared" si="307"/>
        <v/>
      </c>
      <c r="E19653" s="626"/>
      <c r="F19653" s="626"/>
    </row>
    <row r="19654" spans="1:6">
      <c r="A19654" t="str">
        <f t="shared" si="307"/>
        <v/>
      </c>
      <c r="E19654" s="626"/>
      <c r="F19654" s="626"/>
    </row>
    <row r="19655" spans="1:6">
      <c r="A19655" t="str">
        <f t="shared" si="307"/>
        <v/>
      </c>
      <c r="E19655" s="626"/>
      <c r="F19655" s="626"/>
    </row>
    <row r="19656" spans="1:6">
      <c r="A19656" t="str">
        <f t="shared" si="307"/>
        <v/>
      </c>
      <c r="E19656" s="626"/>
      <c r="F19656" s="626"/>
    </row>
    <row r="19657" spans="1:6">
      <c r="A19657" t="str">
        <f t="shared" si="307"/>
        <v/>
      </c>
      <c r="E19657" s="626"/>
      <c r="F19657" s="626"/>
    </row>
    <row r="19658" spans="1:6">
      <c r="A19658" t="str">
        <f t="shared" si="307"/>
        <v/>
      </c>
      <c r="E19658" s="626"/>
      <c r="F19658" s="626"/>
    </row>
    <row r="19659" spans="1:6">
      <c r="A19659" t="str">
        <f t="shared" si="307"/>
        <v/>
      </c>
      <c r="E19659" s="626"/>
      <c r="F19659" s="626"/>
    </row>
    <row r="19660" spans="1:6">
      <c r="A19660" t="str">
        <f t="shared" si="307"/>
        <v/>
      </c>
      <c r="E19660" s="626"/>
      <c r="F19660" s="626"/>
    </row>
    <row r="19661" spans="1:6">
      <c r="A19661" t="str">
        <f t="shared" si="307"/>
        <v/>
      </c>
      <c r="E19661" s="626"/>
      <c r="F19661" s="626"/>
    </row>
    <row r="19662" spans="1:6">
      <c r="A19662" t="str">
        <f t="shared" si="307"/>
        <v/>
      </c>
      <c r="E19662" s="626"/>
      <c r="F19662" s="626"/>
    </row>
    <row r="19663" spans="1:6">
      <c r="A19663" t="str">
        <f t="shared" si="307"/>
        <v/>
      </c>
      <c r="E19663" s="626"/>
      <c r="F19663" s="626"/>
    </row>
    <row r="19664" spans="1:6">
      <c r="A19664" t="str">
        <f t="shared" si="307"/>
        <v/>
      </c>
      <c r="E19664" s="626"/>
      <c r="F19664" s="626"/>
    </row>
    <row r="19665" spans="1:6">
      <c r="A19665" t="str">
        <f t="shared" si="307"/>
        <v/>
      </c>
      <c r="E19665" s="626"/>
      <c r="F19665" s="626"/>
    </row>
    <row r="19666" spans="1:6">
      <c r="A19666" t="str">
        <f t="shared" si="307"/>
        <v/>
      </c>
      <c r="E19666" s="626"/>
      <c r="F19666" s="626"/>
    </row>
    <row r="19667" spans="1:6">
      <c r="A19667" t="str">
        <f t="shared" si="307"/>
        <v/>
      </c>
      <c r="E19667" s="626"/>
      <c r="F19667" s="626"/>
    </row>
    <row r="19668" spans="1:6">
      <c r="A19668" t="str">
        <f t="shared" si="307"/>
        <v/>
      </c>
      <c r="E19668" s="626"/>
      <c r="F19668" s="626"/>
    </row>
    <row r="19669" spans="1:6">
      <c r="A19669" t="str">
        <f t="shared" si="307"/>
        <v/>
      </c>
      <c r="E19669" s="626"/>
      <c r="F19669" s="626"/>
    </row>
    <row r="19670" spans="1:6">
      <c r="A19670" t="str">
        <f t="shared" si="307"/>
        <v/>
      </c>
      <c r="E19670" s="626"/>
      <c r="F19670" s="626"/>
    </row>
    <row r="19671" spans="1:6">
      <c r="A19671" t="str">
        <f t="shared" si="307"/>
        <v/>
      </c>
      <c r="E19671" s="626"/>
      <c r="F19671" s="626"/>
    </row>
    <row r="19672" spans="1:6">
      <c r="A19672" t="str">
        <f t="shared" si="307"/>
        <v/>
      </c>
      <c r="E19672" s="626"/>
      <c r="F19672" s="626"/>
    </row>
    <row r="19673" spans="1:6">
      <c r="A19673" t="str">
        <f t="shared" si="307"/>
        <v/>
      </c>
      <c r="E19673" s="626"/>
      <c r="F19673" s="626"/>
    </row>
    <row r="19674" spans="1:6">
      <c r="A19674" t="str">
        <f t="shared" si="307"/>
        <v/>
      </c>
      <c r="E19674" s="626"/>
      <c r="F19674" s="626"/>
    </row>
    <row r="19675" spans="1:6">
      <c r="A19675" t="str">
        <f t="shared" si="307"/>
        <v/>
      </c>
      <c r="E19675" s="626"/>
      <c r="F19675" s="626"/>
    </row>
    <row r="19676" spans="1:6">
      <c r="A19676" t="str">
        <f t="shared" si="307"/>
        <v/>
      </c>
      <c r="E19676" s="626"/>
      <c r="F19676" s="626"/>
    </row>
    <row r="19677" spans="1:6">
      <c r="A19677" t="str">
        <f t="shared" si="307"/>
        <v/>
      </c>
      <c r="E19677" s="626"/>
      <c r="F19677" s="626"/>
    </row>
    <row r="19678" spans="1:6">
      <c r="A19678" t="str">
        <f t="shared" si="307"/>
        <v/>
      </c>
      <c r="E19678" s="626"/>
      <c r="F19678" s="626"/>
    </row>
    <row r="19679" spans="1:6">
      <c r="A19679" t="str">
        <f t="shared" si="307"/>
        <v/>
      </c>
      <c r="E19679" s="626"/>
      <c r="F19679" s="626"/>
    </row>
    <row r="19680" spans="1:6">
      <c r="A19680" t="str">
        <f t="shared" si="307"/>
        <v/>
      </c>
      <c r="E19680" s="626"/>
      <c r="F19680" s="626"/>
    </row>
    <row r="19681" spans="1:6">
      <c r="A19681" t="str">
        <f t="shared" si="307"/>
        <v/>
      </c>
      <c r="E19681" s="626"/>
      <c r="F19681" s="626"/>
    </row>
    <row r="19682" spans="1:6">
      <c r="A19682" t="str">
        <f t="shared" si="307"/>
        <v/>
      </c>
      <c r="E19682" s="626"/>
      <c r="F19682" s="626"/>
    </row>
    <row r="19683" spans="1:6">
      <c r="A19683" t="str">
        <f t="shared" si="307"/>
        <v/>
      </c>
      <c r="E19683" s="626"/>
      <c r="F19683" s="626"/>
    </row>
    <row r="19684" spans="1:6">
      <c r="A19684" t="str">
        <f t="shared" si="307"/>
        <v/>
      </c>
      <c r="E19684" s="626"/>
      <c r="F19684" s="626"/>
    </row>
    <row r="19685" spans="1:6">
      <c r="A19685" t="str">
        <f t="shared" si="307"/>
        <v/>
      </c>
      <c r="E19685" s="626"/>
      <c r="F19685" s="626"/>
    </row>
    <row r="19686" spans="1:6">
      <c r="A19686" t="str">
        <f t="shared" si="307"/>
        <v/>
      </c>
      <c r="E19686" s="626"/>
      <c r="F19686" s="626"/>
    </row>
    <row r="19687" spans="1:6">
      <c r="A19687" t="str">
        <f t="shared" si="307"/>
        <v/>
      </c>
      <c r="E19687" s="626"/>
      <c r="F19687" s="626"/>
    </row>
    <row r="19688" spans="1:6">
      <c r="A19688" t="str">
        <f t="shared" si="307"/>
        <v/>
      </c>
      <c r="E19688" s="626"/>
      <c r="F19688" s="626"/>
    </row>
    <row r="19689" spans="1:6">
      <c r="A19689" t="str">
        <f t="shared" si="307"/>
        <v/>
      </c>
      <c r="E19689" s="626"/>
      <c r="F19689" s="626"/>
    </row>
    <row r="19690" spans="1:6">
      <c r="A19690" t="str">
        <f t="shared" si="307"/>
        <v/>
      </c>
      <c r="E19690" s="626"/>
      <c r="F19690" s="626"/>
    </row>
    <row r="19691" spans="1:6">
      <c r="A19691" t="str">
        <f t="shared" si="307"/>
        <v/>
      </c>
      <c r="E19691" s="626"/>
      <c r="F19691" s="626"/>
    </row>
    <row r="19692" spans="1:6">
      <c r="A19692" t="str">
        <f t="shared" si="307"/>
        <v/>
      </c>
      <c r="E19692" s="626"/>
      <c r="F19692" s="626"/>
    </row>
    <row r="19693" spans="1:6">
      <c r="A19693" t="str">
        <f t="shared" si="307"/>
        <v/>
      </c>
      <c r="E19693" s="626"/>
      <c r="F19693" s="626"/>
    </row>
    <row r="19694" spans="1:6">
      <c r="A19694" t="str">
        <f t="shared" si="307"/>
        <v/>
      </c>
      <c r="E19694" s="626"/>
      <c r="F19694" s="626"/>
    </row>
    <row r="19695" spans="1:6">
      <c r="A19695" t="str">
        <f t="shared" si="307"/>
        <v/>
      </c>
      <c r="E19695" s="626"/>
      <c r="F19695" s="626"/>
    </row>
    <row r="19696" spans="1:6">
      <c r="A19696" t="str">
        <f t="shared" si="307"/>
        <v/>
      </c>
      <c r="E19696" s="626"/>
      <c r="F19696" s="626"/>
    </row>
    <row r="19697" spans="1:6">
      <c r="A19697" t="str">
        <f t="shared" si="307"/>
        <v/>
      </c>
      <c r="E19697" s="626"/>
      <c r="F19697" s="626"/>
    </row>
    <row r="19698" spans="1:6">
      <c r="A19698" t="str">
        <f t="shared" si="307"/>
        <v/>
      </c>
      <c r="E19698" s="626"/>
      <c r="F19698" s="626"/>
    </row>
    <row r="19699" spans="1:6">
      <c r="A19699" t="str">
        <f t="shared" si="307"/>
        <v/>
      </c>
      <c r="E19699" s="626"/>
      <c r="F19699" s="626"/>
    </row>
    <row r="19700" spans="1:6">
      <c r="A19700" t="str">
        <f t="shared" si="307"/>
        <v/>
      </c>
      <c r="E19700" s="626"/>
      <c r="F19700" s="626"/>
    </row>
    <row r="19701" spans="1:6">
      <c r="A19701" t="str">
        <f t="shared" si="307"/>
        <v/>
      </c>
      <c r="E19701" s="626"/>
      <c r="F19701" s="626"/>
    </row>
    <row r="19702" spans="1:6">
      <c r="A19702" t="str">
        <f t="shared" si="307"/>
        <v/>
      </c>
      <c r="E19702" s="626"/>
      <c r="F19702" s="626"/>
    </row>
    <row r="19703" spans="1:6">
      <c r="A19703" t="str">
        <f t="shared" si="307"/>
        <v/>
      </c>
      <c r="E19703" s="626"/>
      <c r="F19703" s="626"/>
    </row>
    <row r="19704" spans="1:6">
      <c r="A19704" t="str">
        <f t="shared" si="307"/>
        <v/>
      </c>
      <c r="E19704" s="626"/>
      <c r="F19704" s="626"/>
    </row>
    <row r="19705" spans="1:6">
      <c r="A19705" t="str">
        <f t="shared" si="307"/>
        <v/>
      </c>
      <c r="E19705" s="626"/>
      <c r="F19705" s="626"/>
    </row>
    <row r="19706" spans="1:6">
      <c r="A19706" t="str">
        <f t="shared" si="307"/>
        <v/>
      </c>
      <c r="E19706" s="626"/>
      <c r="F19706" s="626"/>
    </row>
    <row r="19707" spans="1:6">
      <c r="A19707" t="str">
        <f t="shared" si="307"/>
        <v/>
      </c>
      <c r="E19707" s="626"/>
      <c r="F19707" s="626"/>
    </row>
    <row r="19708" spans="1:6">
      <c r="A19708" t="str">
        <f t="shared" si="307"/>
        <v/>
      </c>
      <c r="E19708" s="626"/>
      <c r="F19708" s="626"/>
    </row>
    <row r="19709" spans="1:6">
      <c r="A19709" t="str">
        <f t="shared" si="307"/>
        <v/>
      </c>
      <c r="E19709" s="626"/>
      <c r="F19709" s="626"/>
    </row>
    <row r="19710" spans="1:6">
      <c r="A19710" t="str">
        <f t="shared" si="307"/>
        <v/>
      </c>
      <c r="E19710" s="626"/>
      <c r="F19710" s="626"/>
    </row>
    <row r="19711" spans="1:6">
      <c r="A19711" t="str">
        <f t="shared" si="307"/>
        <v/>
      </c>
      <c r="E19711" s="626"/>
      <c r="F19711" s="626"/>
    </row>
    <row r="19712" spans="1:6">
      <c r="A19712" t="str">
        <f t="shared" si="307"/>
        <v/>
      </c>
      <c r="E19712" s="626"/>
      <c r="F19712" s="626"/>
    </row>
    <row r="19713" spans="1:6">
      <c r="A19713" t="str">
        <f t="shared" si="307"/>
        <v/>
      </c>
      <c r="E19713" s="626"/>
      <c r="F19713" s="626"/>
    </row>
    <row r="19714" spans="1:6">
      <c r="A19714" t="str">
        <f t="shared" ref="A19714:A19777" si="308">B19714&amp;E19714&amp;J19714</f>
        <v/>
      </c>
      <c r="E19714" s="626"/>
      <c r="F19714" s="626"/>
    </row>
    <row r="19715" spans="1:6">
      <c r="A19715" t="str">
        <f t="shared" si="308"/>
        <v/>
      </c>
      <c r="E19715" s="626"/>
      <c r="F19715" s="626"/>
    </row>
    <row r="19716" spans="1:6">
      <c r="A19716" t="str">
        <f t="shared" si="308"/>
        <v/>
      </c>
      <c r="E19716" s="626"/>
      <c r="F19716" s="626"/>
    </row>
    <row r="19717" spans="1:6">
      <c r="A19717" t="str">
        <f t="shared" si="308"/>
        <v/>
      </c>
      <c r="E19717" s="626"/>
      <c r="F19717" s="626"/>
    </row>
    <row r="19718" spans="1:6">
      <c r="A19718" t="str">
        <f t="shared" si="308"/>
        <v/>
      </c>
      <c r="E19718" s="626"/>
      <c r="F19718" s="626"/>
    </row>
    <row r="19719" spans="1:6">
      <c r="A19719" t="str">
        <f t="shared" si="308"/>
        <v/>
      </c>
      <c r="E19719" s="626"/>
      <c r="F19719" s="626"/>
    </row>
    <row r="19720" spans="1:6">
      <c r="A19720" t="str">
        <f t="shared" si="308"/>
        <v/>
      </c>
      <c r="E19720" s="626"/>
      <c r="F19720" s="626"/>
    </row>
    <row r="19721" spans="1:6">
      <c r="A19721" t="str">
        <f t="shared" si="308"/>
        <v/>
      </c>
      <c r="E19721" s="626"/>
      <c r="F19721" s="626"/>
    </row>
    <row r="19722" spans="1:6">
      <c r="A19722" t="str">
        <f t="shared" si="308"/>
        <v/>
      </c>
      <c r="E19722" s="626"/>
      <c r="F19722" s="626"/>
    </row>
    <row r="19723" spans="1:6">
      <c r="A19723" t="str">
        <f t="shared" si="308"/>
        <v/>
      </c>
      <c r="E19723" s="626"/>
      <c r="F19723" s="626"/>
    </row>
    <row r="19724" spans="1:6">
      <c r="A19724" t="str">
        <f t="shared" si="308"/>
        <v/>
      </c>
      <c r="E19724" s="626"/>
      <c r="F19724" s="626"/>
    </row>
    <row r="19725" spans="1:6">
      <c r="A19725" t="str">
        <f t="shared" si="308"/>
        <v/>
      </c>
      <c r="E19725" s="626"/>
      <c r="F19725" s="626"/>
    </row>
    <row r="19726" spans="1:6">
      <c r="A19726" t="str">
        <f t="shared" si="308"/>
        <v/>
      </c>
      <c r="E19726" s="626"/>
      <c r="F19726" s="626"/>
    </row>
    <row r="19727" spans="1:6">
      <c r="A19727" t="str">
        <f t="shared" si="308"/>
        <v/>
      </c>
      <c r="E19727" s="626"/>
      <c r="F19727" s="626"/>
    </row>
    <row r="19728" spans="1:6">
      <c r="A19728" t="str">
        <f t="shared" si="308"/>
        <v/>
      </c>
      <c r="E19728" s="626"/>
      <c r="F19728" s="626"/>
    </row>
    <row r="19729" spans="1:6">
      <c r="A19729" t="str">
        <f t="shared" si="308"/>
        <v/>
      </c>
      <c r="E19729" s="626"/>
      <c r="F19729" s="626"/>
    </row>
    <row r="19730" spans="1:6">
      <c r="A19730" t="str">
        <f t="shared" si="308"/>
        <v/>
      </c>
      <c r="E19730" s="626"/>
      <c r="F19730" s="626"/>
    </row>
    <row r="19731" spans="1:6">
      <c r="A19731" t="str">
        <f t="shared" si="308"/>
        <v/>
      </c>
      <c r="E19731" s="626"/>
      <c r="F19731" s="626"/>
    </row>
    <row r="19732" spans="1:6">
      <c r="A19732" t="str">
        <f t="shared" si="308"/>
        <v/>
      </c>
      <c r="E19732" s="626"/>
      <c r="F19732" s="626"/>
    </row>
    <row r="19733" spans="1:6">
      <c r="A19733" t="str">
        <f t="shared" si="308"/>
        <v/>
      </c>
      <c r="E19733" s="626"/>
      <c r="F19733" s="626"/>
    </row>
    <row r="19734" spans="1:6">
      <c r="A19734" t="str">
        <f t="shared" si="308"/>
        <v/>
      </c>
      <c r="E19734" s="626"/>
      <c r="F19734" s="626"/>
    </row>
    <row r="19735" spans="1:6">
      <c r="A19735" t="str">
        <f t="shared" si="308"/>
        <v/>
      </c>
      <c r="E19735" s="626"/>
      <c r="F19735" s="626"/>
    </row>
    <row r="19736" spans="1:6">
      <c r="A19736" t="str">
        <f t="shared" si="308"/>
        <v/>
      </c>
      <c r="E19736" s="626"/>
      <c r="F19736" s="626"/>
    </row>
    <row r="19737" spans="1:6">
      <c r="A19737" t="str">
        <f t="shared" si="308"/>
        <v/>
      </c>
      <c r="E19737" s="626"/>
      <c r="F19737" s="626"/>
    </row>
    <row r="19738" spans="1:6">
      <c r="A19738" t="str">
        <f t="shared" si="308"/>
        <v/>
      </c>
      <c r="E19738" s="626"/>
      <c r="F19738" s="626"/>
    </row>
    <row r="19739" spans="1:6">
      <c r="A19739" t="str">
        <f t="shared" si="308"/>
        <v/>
      </c>
      <c r="E19739" s="626"/>
      <c r="F19739" s="626"/>
    </row>
    <row r="19740" spans="1:6">
      <c r="A19740" t="str">
        <f t="shared" si="308"/>
        <v/>
      </c>
      <c r="E19740" s="626"/>
      <c r="F19740" s="626"/>
    </row>
    <row r="19741" spans="1:6">
      <c r="A19741" t="str">
        <f t="shared" si="308"/>
        <v/>
      </c>
      <c r="E19741" s="626"/>
      <c r="F19741" s="626"/>
    </row>
    <row r="19742" spans="1:6">
      <c r="A19742" t="str">
        <f t="shared" si="308"/>
        <v/>
      </c>
      <c r="E19742" s="626"/>
      <c r="F19742" s="626"/>
    </row>
    <row r="19743" spans="1:6">
      <c r="A19743" t="str">
        <f t="shared" si="308"/>
        <v/>
      </c>
      <c r="E19743" s="626"/>
      <c r="F19743" s="626"/>
    </row>
    <row r="19744" spans="1:6">
      <c r="A19744" t="str">
        <f t="shared" si="308"/>
        <v/>
      </c>
      <c r="E19744" s="626"/>
      <c r="F19744" s="626"/>
    </row>
    <row r="19745" spans="1:6">
      <c r="A19745" t="str">
        <f t="shared" si="308"/>
        <v/>
      </c>
      <c r="E19745" s="626"/>
      <c r="F19745" s="626"/>
    </row>
    <row r="19746" spans="1:6">
      <c r="A19746" t="str">
        <f t="shared" si="308"/>
        <v/>
      </c>
      <c r="E19746" s="626"/>
      <c r="F19746" s="626"/>
    </row>
    <row r="19747" spans="1:6">
      <c r="A19747" t="str">
        <f t="shared" si="308"/>
        <v/>
      </c>
      <c r="E19747" s="626"/>
      <c r="F19747" s="626"/>
    </row>
    <row r="19748" spans="1:6">
      <c r="A19748" t="str">
        <f t="shared" si="308"/>
        <v/>
      </c>
      <c r="E19748" s="626"/>
      <c r="F19748" s="626"/>
    </row>
    <row r="19749" spans="1:6">
      <c r="A19749" t="str">
        <f t="shared" si="308"/>
        <v/>
      </c>
      <c r="E19749" s="626"/>
      <c r="F19749" s="626"/>
    </row>
    <row r="19750" spans="1:6">
      <c r="A19750" t="str">
        <f t="shared" si="308"/>
        <v/>
      </c>
      <c r="E19750" s="626"/>
      <c r="F19750" s="626"/>
    </row>
    <row r="19751" spans="1:6">
      <c r="A19751" t="str">
        <f t="shared" si="308"/>
        <v/>
      </c>
      <c r="E19751" s="626"/>
      <c r="F19751" s="626"/>
    </row>
    <row r="19752" spans="1:6">
      <c r="A19752" t="str">
        <f t="shared" si="308"/>
        <v/>
      </c>
      <c r="E19752" s="626"/>
      <c r="F19752" s="626"/>
    </row>
    <row r="19753" spans="1:6">
      <c r="A19753" t="str">
        <f t="shared" si="308"/>
        <v/>
      </c>
      <c r="E19753" s="626"/>
      <c r="F19753" s="626"/>
    </row>
    <row r="19754" spans="1:6">
      <c r="A19754" t="str">
        <f t="shared" si="308"/>
        <v/>
      </c>
      <c r="E19754" s="626"/>
      <c r="F19754" s="626"/>
    </row>
    <row r="19755" spans="1:6">
      <c r="A19755" t="str">
        <f t="shared" si="308"/>
        <v/>
      </c>
      <c r="E19755" s="626"/>
      <c r="F19755" s="626"/>
    </row>
    <row r="19756" spans="1:6">
      <c r="A19756" t="str">
        <f t="shared" si="308"/>
        <v/>
      </c>
      <c r="E19756" s="626"/>
      <c r="F19756" s="626"/>
    </row>
    <row r="19757" spans="1:6">
      <c r="A19757" t="str">
        <f t="shared" si="308"/>
        <v/>
      </c>
      <c r="E19757" s="626"/>
      <c r="F19757" s="626"/>
    </row>
    <row r="19758" spans="1:6">
      <c r="A19758" t="str">
        <f t="shared" si="308"/>
        <v/>
      </c>
      <c r="E19758" s="626"/>
      <c r="F19758" s="626"/>
    </row>
    <row r="19759" spans="1:6">
      <c r="A19759" t="str">
        <f t="shared" si="308"/>
        <v/>
      </c>
      <c r="E19759" s="626"/>
      <c r="F19759" s="626"/>
    </row>
    <row r="19760" spans="1:6">
      <c r="A19760" t="str">
        <f t="shared" si="308"/>
        <v/>
      </c>
      <c r="E19760" s="626"/>
      <c r="F19760" s="626"/>
    </row>
    <row r="19761" spans="1:6">
      <c r="A19761" t="str">
        <f t="shared" si="308"/>
        <v/>
      </c>
      <c r="E19761" s="626"/>
      <c r="F19761" s="626"/>
    </row>
    <row r="19762" spans="1:6">
      <c r="A19762" t="str">
        <f t="shared" si="308"/>
        <v/>
      </c>
      <c r="E19762" s="626"/>
      <c r="F19762" s="626"/>
    </row>
    <row r="19763" spans="1:6">
      <c r="A19763" t="str">
        <f t="shared" si="308"/>
        <v/>
      </c>
      <c r="E19763" s="626"/>
      <c r="F19763" s="626"/>
    </row>
    <row r="19764" spans="1:6">
      <c r="A19764" t="str">
        <f t="shared" si="308"/>
        <v/>
      </c>
      <c r="E19764" s="626"/>
      <c r="F19764" s="626"/>
    </row>
    <row r="19765" spans="1:6">
      <c r="A19765" t="str">
        <f t="shared" si="308"/>
        <v/>
      </c>
      <c r="E19765" s="626"/>
      <c r="F19765" s="626"/>
    </row>
    <row r="19766" spans="1:6">
      <c r="A19766" t="str">
        <f t="shared" si="308"/>
        <v/>
      </c>
      <c r="E19766" s="626"/>
      <c r="F19766" s="626"/>
    </row>
    <row r="19767" spans="1:6">
      <c r="A19767" t="str">
        <f t="shared" si="308"/>
        <v/>
      </c>
      <c r="E19767" s="626"/>
      <c r="F19767" s="626"/>
    </row>
    <row r="19768" spans="1:6">
      <c r="A19768" t="str">
        <f t="shared" si="308"/>
        <v/>
      </c>
      <c r="E19768" s="626"/>
      <c r="F19768" s="626"/>
    </row>
    <row r="19769" spans="1:6">
      <c r="A19769" t="str">
        <f t="shared" si="308"/>
        <v/>
      </c>
      <c r="E19769" s="626"/>
      <c r="F19769" s="626"/>
    </row>
    <row r="19770" spans="1:6">
      <c r="A19770" t="str">
        <f t="shared" si="308"/>
        <v/>
      </c>
      <c r="E19770" s="626"/>
      <c r="F19770" s="626"/>
    </row>
    <row r="19771" spans="1:6">
      <c r="A19771" t="str">
        <f t="shared" si="308"/>
        <v/>
      </c>
      <c r="E19771" s="626"/>
      <c r="F19771" s="626"/>
    </row>
    <row r="19772" spans="1:6">
      <c r="A19772" t="str">
        <f t="shared" si="308"/>
        <v/>
      </c>
      <c r="E19772" s="626"/>
      <c r="F19772" s="626"/>
    </row>
    <row r="19773" spans="1:6">
      <c r="A19773" t="str">
        <f t="shared" si="308"/>
        <v/>
      </c>
      <c r="E19773" s="626"/>
      <c r="F19773" s="626"/>
    </row>
    <row r="19774" spans="1:6">
      <c r="A19774" t="str">
        <f t="shared" si="308"/>
        <v/>
      </c>
      <c r="E19774" s="626"/>
      <c r="F19774" s="626"/>
    </row>
    <row r="19775" spans="1:6">
      <c r="A19775" t="str">
        <f t="shared" si="308"/>
        <v/>
      </c>
      <c r="E19775" s="626"/>
      <c r="F19775" s="626"/>
    </row>
    <row r="19776" spans="1:6">
      <c r="A19776" t="str">
        <f t="shared" si="308"/>
        <v/>
      </c>
      <c r="E19776" s="626"/>
      <c r="F19776" s="626"/>
    </row>
    <row r="19777" spans="1:6">
      <c r="A19777" t="str">
        <f t="shared" si="308"/>
        <v/>
      </c>
      <c r="E19777" s="626"/>
      <c r="F19777" s="626"/>
    </row>
    <row r="19778" spans="1:6">
      <c r="A19778" t="str">
        <f t="shared" ref="A19778:A19841" si="309">B19778&amp;E19778&amp;J19778</f>
        <v/>
      </c>
      <c r="E19778" s="626"/>
      <c r="F19778" s="626"/>
    </row>
    <row r="19779" spans="1:6">
      <c r="A19779" t="str">
        <f t="shared" si="309"/>
        <v/>
      </c>
      <c r="E19779" s="626"/>
      <c r="F19779" s="626"/>
    </row>
    <row r="19780" spans="1:6">
      <c r="A19780" t="str">
        <f t="shared" si="309"/>
        <v/>
      </c>
      <c r="E19780" s="626"/>
      <c r="F19780" s="626"/>
    </row>
    <row r="19781" spans="1:6">
      <c r="A19781" t="str">
        <f t="shared" si="309"/>
        <v/>
      </c>
      <c r="E19781" s="626"/>
      <c r="F19781" s="626"/>
    </row>
    <row r="19782" spans="1:6">
      <c r="A19782" t="str">
        <f t="shared" si="309"/>
        <v/>
      </c>
      <c r="E19782" s="626"/>
      <c r="F19782" s="626"/>
    </row>
    <row r="19783" spans="1:6">
      <c r="A19783" t="str">
        <f t="shared" si="309"/>
        <v/>
      </c>
      <c r="E19783" s="626"/>
      <c r="F19783" s="626"/>
    </row>
    <row r="19784" spans="1:6">
      <c r="A19784" t="str">
        <f t="shared" si="309"/>
        <v/>
      </c>
      <c r="E19784" s="626"/>
      <c r="F19784" s="626"/>
    </row>
    <row r="19785" spans="1:6">
      <c r="A19785" t="str">
        <f t="shared" si="309"/>
        <v/>
      </c>
      <c r="E19785" s="626"/>
      <c r="F19785" s="626"/>
    </row>
    <row r="19786" spans="1:6">
      <c r="A19786" t="str">
        <f t="shared" si="309"/>
        <v/>
      </c>
      <c r="E19786" s="626"/>
      <c r="F19786" s="626"/>
    </row>
    <row r="19787" spans="1:6">
      <c r="A19787" t="str">
        <f t="shared" si="309"/>
        <v/>
      </c>
      <c r="E19787" s="626"/>
      <c r="F19787" s="626"/>
    </row>
    <row r="19788" spans="1:6">
      <c r="A19788" t="str">
        <f t="shared" si="309"/>
        <v/>
      </c>
      <c r="E19788" s="626"/>
      <c r="F19788" s="626"/>
    </row>
    <row r="19789" spans="1:6">
      <c r="A19789" t="str">
        <f t="shared" si="309"/>
        <v/>
      </c>
      <c r="E19789" s="626"/>
      <c r="F19789" s="626"/>
    </row>
    <row r="19790" spans="1:6">
      <c r="A19790" t="str">
        <f t="shared" si="309"/>
        <v/>
      </c>
      <c r="E19790" s="626"/>
      <c r="F19790" s="626"/>
    </row>
    <row r="19791" spans="1:6">
      <c r="A19791" t="str">
        <f t="shared" si="309"/>
        <v/>
      </c>
      <c r="E19791" s="626"/>
      <c r="F19791" s="626"/>
    </row>
    <row r="19792" spans="1:6">
      <c r="A19792" t="str">
        <f t="shared" si="309"/>
        <v/>
      </c>
      <c r="E19792" s="626"/>
      <c r="F19792" s="626"/>
    </row>
    <row r="19793" spans="1:6">
      <c r="A19793" t="str">
        <f t="shared" si="309"/>
        <v/>
      </c>
      <c r="E19793" s="626"/>
      <c r="F19793" s="626"/>
    </row>
    <row r="19794" spans="1:6">
      <c r="A19794" t="str">
        <f t="shared" si="309"/>
        <v/>
      </c>
      <c r="E19794" s="626"/>
      <c r="F19794" s="626"/>
    </row>
    <row r="19795" spans="1:6">
      <c r="A19795" t="str">
        <f t="shared" si="309"/>
        <v/>
      </c>
      <c r="E19795" s="626"/>
      <c r="F19795" s="626"/>
    </row>
    <row r="19796" spans="1:6">
      <c r="A19796" t="str">
        <f t="shared" si="309"/>
        <v/>
      </c>
      <c r="E19796" s="626"/>
      <c r="F19796" s="626"/>
    </row>
    <row r="19797" spans="1:6">
      <c r="A19797" t="str">
        <f t="shared" si="309"/>
        <v/>
      </c>
      <c r="E19797" s="626"/>
      <c r="F19797" s="626"/>
    </row>
    <row r="19798" spans="1:6">
      <c r="A19798" t="str">
        <f t="shared" si="309"/>
        <v/>
      </c>
      <c r="E19798" s="626"/>
      <c r="F19798" s="626"/>
    </row>
    <row r="19799" spans="1:6">
      <c r="A19799" t="str">
        <f t="shared" si="309"/>
        <v/>
      </c>
      <c r="E19799" s="626"/>
      <c r="F19799" s="626"/>
    </row>
    <row r="19800" spans="1:6">
      <c r="A19800" t="str">
        <f t="shared" si="309"/>
        <v/>
      </c>
      <c r="E19800" s="626"/>
      <c r="F19800" s="626"/>
    </row>
    <row r="19801" spans="1:6">
      <c r="A19801" t="str">
        <f t="shared" si="309"/>
        <v/>
      </c>
      <c r="E19801" s="626"/>
      <c r="F19801" s="626"/>
    </row>
    <row r="19802" spans="1:6">
      <c r="A19802" t="str">
        <f t="shared" si="309"/>
        <v/>
      </c>
      <c r="E19802" s="626"/>
      <c r="F19802" s="626"/>
    </row>
    <row r="19803" spans="1:6">
      <c r="A19803" t="str">
        <f t="shared" si="309"/>
        <v/>
      </c>
      <c r="E19803" s="626"/>
      <c r="F19803" s="626"/>
    </row>
    <row r="19804" spans="1:6">
      <c r="A19804" t="str">
        <f t="shared" si="309"/>
        <v/>
      </c>
      <c r="E19804" s="626"/>
      <c r="F19804" s="626"/>
    </row>
    <row r="19805" spans="1:6">
      <c r="A19805" t="str">
        <f t="shared" si="309"/>
        <v/>
      </c>
      <c r="E19805" s="626"/>
      <c r="F19805" s="626"/>
    </row>
    <row r="19806" spans="1:6">
      <c r="A19806" t="str">
        <f t="shared" si="309"/>
        <v/>
      </c>
      <c r="E19806" s="626"/>
      <c r="F19806" s="626"/>
    </row>
    <row r="19807" spans="1:6">
      <c r="A19807" t="str">
        <f t="shared" si="309"/>
        <v/>
      </c>
      <c r="E19807" s="626"/>
      <c r="F19807" s="626"/>
    </row>
    <row r="19808" spans="1:6">
      <c r="A19808" t="str">
        <f t="shared" si="309"/>
        <v/>
      </c>
      <c r="E19808" s="626"/>
      <c r="F19808" s="626"/>
    </row>
    <row r="19809" spans="1:6">
      <c r="A19809" t="str">
        <f t="shared" si="309"/>
        <v/>
      </c>
      <c r="E19809" s="626"/>
      <c r="F19809" s="626"/>
    </row>
    <row r="19810" spans="1:6">
      <c r="A19810" t="str">
        <f t="shared" si="309"/>
        <v/>
      </c>
      <c r="E19810" s="626"/>
      <c r="F19810" s="626"/>
    </row>
    <row r="19811" spans="1:6">
      <c r="A19811" t="str">
        <f t="shared" si="309"/>
        <v/>
      </c>
      <c r="E19811" s="626"/>
      <c r="F19811" s="626"/>
    </row>
    <row r="19812" spans="1:6">
      <c r="A19812" t="str">
        <f t="shared" si="309"/>
        <v/>
      </c>
      <c r="E19812" s="626"/>
      <c r="F19812" s="626"/>
    </row>
    <row r="19813" spans="1:6">
      <c r="A19813" t="str">
        <f t="shared" si="309"/>
        <v/>
      </c>
      <c r="E19813" s="626"/>
      <c r="F19813" s="626"/>
    </row>
    <row r="19814" spans="1:6">
      <c r="A19814" t="str">
        <f t="shared" si="309"/>
        <v/>
      </c>
      <c r="E19814" s="626"/>
      <c r="F19814" s="626"/>
    </row>
    <row r="19815" spans="1:6">
      <c r="A19815" t="str">
        <f t="shared" si="309"/>
        <v/>
      </c>
      <c r="E19815" s="626"/>
      <c r="F19815" s="626"/>
    </row>
    <row r="19816" spans="1:6">
      <c r="A19816" t="str">
        <f t="shared" si="309"/>
        <v/>
      </c>
      <c r="E19816" s="626"/>
      <c r="F19816" s="626"/>
    </row>
    <row r="19817" spans="1:6">
      <c r="A19817" t="str">
        <f t="shared" si="309"/>
        <v/>
      </c>
      <c r="E19817" s="626"/>
      <c r="F19817" s="626"/>
    </row>
    <row r="19818" spans="1:6">
      <c r="A19818" t="str">
        <f t="shared" si="309"/>
        <v/>
      </c>
      <c r="E19818" s="626"/>
      <c r="F19818" s="626"/>
    </row>
    <row r="19819" spans="1:6">
      <c r="A19819" t="str">
        <f t="shared" si="309"/>
        <v/>
      </c>
      <c r="E19819" s="626"/>
      <c r="F19819" s="626"/>
    </row>
    <row r="19820" spans="1:6">
      <c r="A19820" t="str">
        <f t="shared" si="309"/>
        <v/>
      </c>
      <c r="E19820" s="626"/>
      <c r="F19820" s="626"/>
    </row>
    <row r="19821" spans="1:6">
      <c r="A19821" t="str">
        <f t="shared" si="309"/>
        <v/>
      </c>
      <c r="E19821" s="626"/>
      <c r="F19821" s="626"/>
    </row>
    <row r="19822" spans="1:6">
      <c r="A19822" t="str">
        <f t="shared" si="309"/>
        <v/>
      </c>
      <c r="E19822" s="626"/>
      <c r="F19822" s="626"/>
    </row>
    <row r="19823" spans="1:6">
      <c r="A19823" t="str">
        <f t="shared" si="309"/>
        <v/>
      </c>
      <c r="E19823" s="626"/>
      <c r="F19823" s="626"/>
    </row>
    <row r="19824" spans="1:6">
      <c r="A19824" t="str">
        <f t="shared" si="309"/>
        <v/>
      </c>
      <c r="E19824" s="626"/>
      <c r="F19824" s="626"/>
    </row>
    <row r="19825" spans="1:6">
      <c r="A19825" t="str">
        <f t="shared" si="309"/>
        <v/>
      </c>
      <c r="E19825" s="626"/>
      <c r="F19825" s="626"/>
    </row>
    <row r="19826" spans="1:6">
      <c r="A19826" t="str">
        <f t="shared" si="309"/>
        <v/>
      </c>
      <c r="E19826" s="626"/>
      <c r="F19826" s="626"/>
    </row>
    <row r="19827" spans="1:6">
      <c r="A19827" t="str">
        <f t="shared" si="309"/>
        <v/>
      </c>
      <c r="E19827" s="626"/>
      <c r="F19827" s="626"/>
    </row>
    <row r="19828" spans="1:6">
      <c r="A19828" t="str">
        <f t="shared" si="309"/>
        <v/>
      </c>
      <c r="E19828" s="626"/>
      <c r="F19828" s="626"/>
    </row>
    <row r="19829" spans="1:6">
      <c r="A19829" t="str">
        <f t="shared" si="309"/>
        <v/>
      </c>
      <c r="E19829" s="626"/>
      <c r="F19829" s="626"/>
    </row>
    <row r="19830" spans="1:6">
      <c r="A19830" t="str">
        <f t="shared" si="309"/>
        <v/>
      </c>
      <c r="E19830" s="626"/>
      <c r="F19830" s="626"/>
    </row>
    <row r="19831" spans="1:6">
      <c r="A19831" t="str">
        <f t="shared" si="309"/>
        <v/>
      </c>
      <c r="E19831" s="626"/>
      <c r="F19831" s="626"/>
    </row>
    <row r="19832" spans="1:6">
      <c r="A19832" t="str">
        <f t="shared" si="309"/>
        <v/>
      </c>
      <c r="E19832" s="626"/>
      <c r="F19832" s="626"/>
    </row>
    <row r="19833" spans="1:6">
      <c r="A19833" t="str">
        <f t="shared" si="309"/>
        <v/>
      </c>
      <c r="E19833" s="626"/>
      <c r="F19833" s="626"/>
    </row>
    <row r="19834" spans="1:6">
      <c r="A19834" t="str">
        <f t="shared" si="309"/>
        <v/>
      </c>
      <c r="E19834" s="626"/>
      <c r="F19834" s="626"/>
    </row>
    <row r="19835" spans="1:6">
      <c r="A19835" t="str">
        <f t="shared" si="309"/>
        <v/>
      </c>
      <c r="E19835" s="626"/>
      <c r="F19835" s="626"/>
    </row>
    <row r="19836" spans="1:6">
      <c r="A19836" t="str">
        <f t="shared" si="309"/>
        <v/>
      </c>
      <c r="E19836" s="626"/>
      <c r="F19836" s="626"/>
    </row>
    <row r="19837" spans="1:6">
      <c r="A19837" t="str">
        <f t="shared" si="309"/>
        <v/>
      </c>
      <c r="E19837" s="626"/>
      <c r="F19837" s="626"/>
    </row>
    <row r="19838" spans="1:6">
      <c r="A19838" t="str">
        <f t="shared" si="309"/>
        <v/>
      </c>
      <c r="E19838" s="626"/>
      <c r="F19838" s="626"/>
    </row>
    <row r="19839" spans="1:6">
      <c r="A19839" t="str">
        <f t="shared" si="309"/>
        <v/>
      </c>
      <c r="E19839" s="626"/>
      <c r="F19839" s="626"/>
    </row>
    <row r="19840" spans="1:6">
      <c r="A19840" t="str">
        <f t="shared" si="309"/>
        <v/>
      </c>
      <c r="E19840" s="626"/>
      <c r="F19840" s="626"/>
    </row>
    <row r="19841" spans="1:6">
      <c r="A19841" t="str">
        <f t="shared" si="309"/>
        <v/>
      </c>
      <c r="E19841" s="626"/>
      <c r="F19841" s="626"/>
    </row>
    <row r="19842" spans="1:6">
      <c r="A19842" t="str">
        <f t="shared" ref="A19842:A19905" si="310">B19842&amp;E19842&amp;J19842</f>
        <v/>
      </c>
      <c r="E19842" s="626"/>
      <c r="F19842" s="626"/>
    </row>
    <row r="19843" spans="1:6">
      <c r="A19843" t="str">
        <f t="shared" si="310"/>
        <v/>
      </c>
      <c r="E19843" s="626"/>
      <c r="F19843" s="626"/>
    </row>
    <row r="19844" spans="1:6">
      <c r="A19844" t="str">
        <f t="shared" si="310"/>
        <v/>
      </c>
      <c r="E19844" s="626"/>
      <c r="F19844" s="626"/>
    </row>
    <row r="19845" spans="1:6">
      <c r="A19845" t="str">
        <f t="shared" si="310"/>
        <v/>
      </c>
      <c r="E19845" s="626"/>
      <c r="F19845" s="626"/>
    </row>
    <row r="19846" spans="1:6">
      <c r="A19846" t="str">
        <f t="shared" si="310"/>
        <v/>
      </c>
      <c r="E19846" s="626"/>
      <c r="F19846" s="626"/>
    </row>
    <row r="19847" spans="1:6">
      <c r="A19847" t="str">
        <f t="shared" si="310"/>
        <v/>
      </c>
      <c r="E19847" s="626"/>
      <c r="F19847" s="626"/>
    </row>
    <row r="19848" spans="1:6">
      <c r="A19848" t="str">
        <f t="shared" si="310"/>
        <v/>
      </c>
      <c r="E19848" s="626"/>
      <c r="F19848" s="626"/>
    </row>
    <row r="19849" spans="1:6">
      <c r="A19849" t="str">
        <f t="shared" si="310"/>
        <v/>
      </c>
      <c r="E19849" s="626"/>
      <c r="F19849" s="626"/>
    </row>
    <row r="19850" spans="1:6">
      <c r="A19850" t="str">
        <f t="shared" si="310"/>
        <v/>
      </c>
      <c r="E19850" s="626"/>
      <c r="F19850" s="626"/>
    </row>
    <row r="19851" spans="1:6">
      <c r="A19851" t="str">
        <f t="shared" si="310"/>
        <v/>
      </c>
      <c r="E19851" s="626"/>
      <c r="F19851" s="626"/>
    </row>
    <row r="19852" spans="1:6">
      <c r="A19852" t="str">
        <f t="shared" si="310"/>
        <v/>
      </c>
      <c r="E19852" s="626"/>
      <c r="F19852" s="626"/>
    </row>
    <row r="19853" spans="1:6">
      <c r="A19853" t="str">
        <f t="shared" si="310"/>
        <v/>
      </c>
      <c r="E19853" s="626"/>
      <c r="F19853" s="626"/>
    </row>
    <row r="19854" spans="1:6">
      <c r="A19854" t="str">
        <f t="shared" si="310"/>
        <v/>
      </c>
      <c r="E19854" s="626"/>
      <c r="F19854" s="626"/>
    </row>
    <row r="19855" spans="1:6">
      <c r="A19855" t="str">
        <f t="shared" si="310"/>
        <v/>
      </c>
      <c r="E19855" s="626"/>
      <c r="F19855" s="626"/>
    </row>
    <row r="19856" spans="1:6">
      <c r="A19856" t="str">
        <f t="shared" si="310"/>
        <v/>
      </c>
      <c r="E19856" s="626"/>
      <c r="F19856" s="626"/>
    </row>
    <row r="19857" spans="1:6">
      <c r="A19857" t="str">
        <f t="shared" si="310"/>
        <v/>
      </c>
      <c r="E19857" s="626"/>
      <c r="F19857" s="626"/>
    </row>
    <row r="19858" spans="1:6">
      <c r="A19858" t="str">
        <f t="shared" si="310"/>
        <v/>
      </c>
      <c r="E19858" s="626"/>
      <c r="F19858" s="626"/>
    </row>
    <row r="19859" spans="1:6">
      <c r="A19859" t="str">
        <f t="shared" si="310"/>
        <v/>
      </c>
      <c r="E19859" s="626"/>
      <c r="F19859" s="626"/>
    </row>
    <row r="19860" spans="1:6">
      <c r="A19860" t="str">
        <f t="shared" si="310"/>
        <v/>
      </c>
      <c r="E19860" s="626"/>
      <c r="F19860" s="626"/>
    </row>
    <row r="19861" spans="1:6">
      <c r="A19861" t="str">
        <f t="shared" si="310"/>
        <v/>
      </c>
      <c r="E19861" s="626"/>
      <c r="F19861" s="626"/>
    </row>
    <row r="19862" spans="1:6">
      <c r="A19862" t="str">
        <f t="shared" si="310"/>
        <v/>
      </c>
      <c r="E19862" s="626"/>
      <c r="F19862" s="626"/>
    </row>
    <row r="19863" spans="1:6">
      <c r="A19863" t="str">
        <f t="shared" si="310"/>
        <v/>
      </c>
      <c r="E19863" s="626"/>
      <c r="F19863" s="626"/>
    </row>
    <row r="19864" spans="1:6">
      <c r="A19864" t="str">
        <f t="shared" si="310"/>
        <v/>
      </c>
      <c r="E19864" s="626"/>
      <c r="F19864" s="626"/>
    </row>
    <row r="19865" spans="1:6">
      <c r="A19865" t="str">
        <f t="shared" si="310"/>
        <v/>
      </c>
      <c r="E19865" s="626"/>
      <c r="F19865" s="626"/>
    </row>
    <row r="19866" spans="1:6">
      <c r="A19866" t="str">
        <f t="shared" si="310"/>
        <v/>
      </c>
      <c r="E19866" s="626"/>
      <c r="F19866" s="626"/>
    </row>
    <row r="19867" spans="1:6">
      <c r="A19867" t="str">
        <f t="shared" si="310"/>
        <v/>
      </c>
      <c r="E19867" s="626"/>
      <c r="F19867" s="626"/>
    </row>
    <row r="19868" spans="1:6">
      <c r="A19868" t="str">
        <f t="shared" si="310"/>
        <v/>
      </c>
      <c r="E19868" s="626"/>
      <c r="F19868" s="626"/>
    </row>
    <row r="19869" spans="1:6">
      <c r="A19869" t="str">
        <f t="shared" si="310"/>
        <v/>
      </c>
      <c r="E19869" s="626"/>
      <c r="F19869" s="626"/>
    </row>
    <row r="19870" spans="1:6">
      <c r="A19870" t="str">
        <f t="shared" si="310"/>
        <v/>
      </c>
      <c r="E19870" s="626"/>
      <c r="F19870" s="626"/>
    </row>
    <row r="19871" spans="1:6">
      <c r="A19871" t="str">
        <f t="shared" si="310"/>
        <v/>
      </c>
      <c r="E19871" s="626"/>
      <c r="F19871" s="626"/>
    </row>
    <row r="19872" spans="1:6">
      <c r="A19872" t="str">
        <f t="shared" si="310"/>
        <v/>
      </c>
      <c r="E19872" s="626"/>
      <c r="F19872" s="626"/>
    </row>
    <row r="19873" spans="1:6">
      <c r="A19873" t="str">
        <f t="shared" si="310"/>
        <v/>
      </c>
      <c r="E19873" s="626"/>
      <c r="F19873" s="626"/>
    </row>
    <row r="19874" spans="1:6">
      <c r="A19874" t="str">
        <f t="shared" si="310"/>
        <v/>
      </c>
      <c r="E19874" s="626"/>
      <c r="F19874" s="626"/>
    </row>
    <row r="19875" spans="1:6">
      <c r="A19875" t="str">
        <f t="shared" si="310"/>
        <v/>
      </c>
      <c r="E19875" s="626"/>
      <c r="F19875" s="626"/>
    </row>
    <row r="19876" spans="1:6">
      <c r="A19876" t="str">
        <f t="shared" si="310"/>
        <v/>
      </c>
      <c r="E19876" s="626"/>
      <c r="F19876" s="626"/>
    </row>
    <row r="19877" spans="1:6">
      <c r="A19877" t="str">
        <f t="shared" si="310"/>
        <v/>
      </c>
      <c r="E19877" s="626"/>
      <c r="F19877" s="626"/>
    </row>
    <row r="19878" spans="1:6">
      <c r="A19878" t="str">
        <f t="shared" si="310"/>
        <v/>
      </c>
      <c r="E19878" s="626"/>
      <c r="F19878" s="626"/>
    </row>
    <row r="19879" spans="1:6">
      <c r="A19879" t="str">
        <f t="shared" si="310"/>
        <v/>
      </c>
      <c r="E19879" s="626"/>
      <c r="F19879" s="626"/>
    </row>
    <row r="19880" spans="1:6">
      <c r="A19880" t="str">
        <f t="shared" si="310"/>
        <v/>
      </c>
      <c r="E19880" s="626"/>
      <c r="F19880" s="626"/>
    </row>
    <row r="19881" spans="1:6">
      <c r="A19881" t="str">
        <f t="shared" si="310"/>
        <v/>
      </c>
      <c r="E19881" s="626"/>
      <c r="F19881" s="626"/>
    </row>
    <row r="19882" spans="1:6">
      <c r="A19882" t="str">
        <f t="shared" si="310"/>
        <v/>
      </c>
      <c r="E19882" s="626"/>
      <c r="F19882" s="626"/>
    </row>
    <row r="19883" spans="1:6">
      <c r="A19883" t="str">
        <f t="shared" si="310"/>
        <v/>
      </c>
      <c r="E19883" s="626"/>
      <c r="F19883" s="626"/>
    </row>
    <row r="19884" spans="1:6">
      <c r="A19884" t="str">
        <f t="shared" si="310"/>
        <v/>
      </c>
      <c r="E19884" s="626"/>
      <c r="F19884" s="626"/>
    </row>
    <row r="19885" spans="1:6">
      <c r="A19885" t="str">
        <f t="shared" si="310"/>
        <v/>
      </c>
      <c r="E19885" s="626"/>
      <c r="F19885" s="626"/>
    </row>
    <row r="19886" spans="1:6">
      <c r="A19886" t="str">
        <f t="shared" si="310"/>
        <v/>
      </c>
      <c r="E19886" s="626"/>
      <c r="F19886" s="626"/>
    </row>
    <row r="19887" spans="1:6">
      <c r="A19887" t="str">
        <f t="shared" si="310"/>
        <v/>
      </c>
      <c r="E19887" s="626"/>
      <c r="F19887" s="626"/>
    </row>
    <row r="19888" spans="1:6">
      <c r="A19888" t="str">
        <f t="shared" si="310"/>
        <v/>
      </c>
      <c r="E19888" s="626"/>
      <c r="F19888" s="626"/>
    </row>
    <row r="19889" spans="1:6">
      <c r="A19889" t="str">
        <f t="shared" si="310"/>
        <v/>
      </c>
      <c r="E19889" s="626"/>
      <c r="F19889" s="626"/>
    </row>
    <row r="19890" spans="1:6">
      <c r="A19890" t="str">
        <f t="shared" si="310"/>
        <v/>
      </c>
      <c r="E19890" s="626"/>
      <c r="F19890" s="626"/>
    </row>
    <row r="19891" spans="1:6">
      <c r="A19891" t="str">
        <f t="shared" si="310"/>
        <v/>
      </c>
      <c r="E19891" s="626"/>
      <c r="F19891" s="626"/>
    </row>
    <row r="19892" spans="1:6">
      <c r="A19892" t="str">
        <f t="shared" si="310"/>
        <v/>
      </c>
      <c r="E19892" s="626"/>
      <c r="F19892" s="626"/>
    </row>
    <row r="19893" spans="1:6">
      <c r="A19893" t="str">
        <f t="shared" si="310"/>
        <v/>
      </c>
      <c r="E19893" s="626"/>
      <c r="F19893" s="626"/>
    </row>
    <row r="19894" spans="1:6">
      <c r="A19894" t="str">
        <f t="shared" si="310"/>
        <v/>
      </c>
      <c r="E19894" s="626"/>
      <c r="F19894" s="626"/>
    </row>
    <row r="19895" spans="1:6">
      <c r="A19895" t="str">
        <f t="shared" si="310"/>
        <v/>
      </c>
      <c r="E19895" s="626"/>
      <c r="F19895" s="626"/>
    </row>
    <row r="19896" spans="1:6">
      <c r="A19896" t="str">
        <f t="shared" si="310"/>
        <v/>
      </c>
      <c r="E19896" s="626"/>
      <c r="F19896" s="626"/>
    </row>
    <row r="19897" spans="1:6">
      <c r="A19897" t="str">
        <f t="shared" si="310"/>
        <v/>
      </c>
      <c r="E19897" s="626"/>
      <c r="F19897" s="626"/>
    </row>
    <row r="19898" spans="1:6">
      <c r="A19898" t="str">
        <f t="shared" si="310"/>
        <v/>
      </c>
      <c r="E19898" s="626"/>
      <c r="F19898" s="626"/>
    </row>
    <row r="19899" spans="1:6">
      <c r="A19899" t="str">
        <f t="shared" si="310"/>
        <v/>
      </c>
      <c r="E19899" s="626"/>
      <c r="F19899" s="626"/>
    </row>
    <row r="19900" spans="1:6">
      <c r="A19900" t="str">
        <f t="shared" si="310"/>
        <v/>
      </c>
      <c r="E19900" s="626"/>
      <c r="F19900" s="626"/>
    </row>
    <row r="19901" spans="1:6">
      <c r="A19901" t="str">
        <f t="shared" si="310"/>
        <v/>
      </c>
      <c r="E19901" s="626"/>
      <c r="F19901" s="626"/>
    </row>
    <row r="19902" spans="1:6">
      <c r="A19902" t="str">
        <f t="shared" si="310"/>
        <v/>
      </c>
      <c r="E19902" s="626"/>
      <c r="F19902" s="626"/>
    </row>
    <row r="19903" spans="1:6">
      <c r="A19903" t="str">
        <f t="shared" si="310"/>
        <v/>
      </c>
      <c r="E19903" s="626"/>
      <c r="F19903" s="626"/>
    </row>
    <row r="19904" spans="1:6">
      <c r="A19904" t="str">
        <f t="shared" si="310"/>
        <v/>
      </c>
      <c r="E19904" s="626"/>
      <c r="F19904" s="626"/>
    </row>
    <row r="19905" spans="1:6">
      <c r="A19905" t="str">
        <f t="shared" si="310"/>
        <v/>
      </c>
      <c r="E19905" s="626"/>
      <c r="F19905" s="626"/>
    </row>
    <row r="19906" spans="1:6">
      <c r="A19906" t="str">
        <f t="shared" ref="A19906:A19969" si="311">B19906&amp;E19906&amp;J19906</f>
        <v/>
      </c>
      <c r="E19906" s="626"/>
      <c r="F19906" s="626"/>
    </row>
    <row r="19907" spans="1:6">
      <c r="A19907" t="str">
        <f t="shared" si="311"/>
        <v/>
      </c>
      <c r="E19907" s="626"/>
      <c r="F19907" s="626"/>
    </row>
    <row r="19908" spans="1:6">
      <c r="A19908" t="str">
        <f t="shared" si="311"/>
        <v/>
      </c>
      <c r="E19908" s="626"/>
      <c r="F19908" s="626"/>
    </row>
    <row r="19909" spans="1:6">
      <c r="A19909" t="str">
        <f t="shared" si="311"/>
        <v/>
      </c>
      <c r="E19909" s="626"/>
      <c r="F19909" s="626"/>
    </row>
    <row r="19910" spans="1:6">
      <c r="A19910" t="str">
        <f t="shared" si="311"/>
        <v/>
      </c>
      <c r="E19910" s="626"/>
      <c r="F19910" s="626"/>
    </row>
    <row r="19911" spans="1:6">
      <c r="A19911" t="str">
        <f t="shared" si="311"/>
        <v/>
      </c>
      <c r="E19911" s="626"/>
      <c r="F19911" s="626"/>
    </row>
    <row r="19912" spans="1:6">
      <c r="A19912" t="str">
        <f t="shared" si="311"/>
        <v/>
      </c>
      <c r="E19912" s="626"/>
      <c r="F19912" s="626"/>
    </row>
    <row r="19913" spans="1:6">
      <c r="A19913" t="str">
        <f t="shared" si="311"/>
        <v/>
      </c>
      <c r="E19913" s="626"/>
      <c r="F19913" s="626"/>
    </row>
    <row r="19914" spans="1:6">
      <c r="A19914" t="str">
        <f t="shared" si="311"/>
        <v/>
      </c>
      <c r="E19914" s="626"/>
      <c r="F19914" s="626"/>
    </row>
    <row r="19915" spans="1:6">
      <c r="A19915" t="str">
        <f t="shared" si="311"/>
        <v/>
      </c>
      <c r="E19915" s="626"/>
      <c r="F19915" s="626"/>
    </row>
    <row r="19916" spans="1:6">
      <c r="A19916" t="str">
        <f t="shared" si="311"/>
        <v/>
      </c>
      <c r="E19916" s="626"/>
      <c r="F19916" s="626"/>
    </row>
    <row r="19917" spans="1:6">
      <c r="A19917" t="str">
        <f t="shared" si="311"/>
        <v/>
      </c>
      <c r="E19917" s="626"/>
      <c r="F19917" s="626"/>
    </row>
    <row r="19918" spans="1:6">
      <c r="A19918" t="str">
        <f t="shared" si="311"/>
        <v/>
      </c>
      <c r="E19918" s="626"/>
      <c r="F19918" s="626"/>
    </row>
    <row r="19919" spans="1:6">
      <c r="A19919" t="str">
        <f t="shared" si="311"/>
        <v/>
      </c>
      <c r="E19919" s="626"/>
      <c r="F19919" s="626"/>
    </row>
    <row r="19920" spans="1:6">
      <c r="A19920" t="str">
        <f t="shared" si="311"/>
        <v/>
      </c>
      <c r="E19920" s="626"/>
      <c r="F19920" s="626"/>
    </row>
    <row r="19921" spans="1:6">
      <c r="A19921" t="str">
        <f t="shared" si="311"/>
        <v/>
      </c>
      <c r="E19921" s="626"/>
      <c r="F19921" s="626"/>
    </row>
    <row r="19922" spans="1:6">
      <c r="A19922" t="str">
        <f t="shared" si="311"/>
        <v/>
      </c>
      <c r="E19922" s="626"/>
      <c r="F19922" s="626"/>
    </row>
    <row r="19923" spans="1:6">
      <c r="A19923" t="str">
        <f t="shared" si="311"/>
        <v/>
      </c>
      <c r="E19923" s="626"/>
      <c r="F19923" s="626"/>
    </row>
    <row r="19924" spans="1:6">
      <c r="A19924" t="str">
        <f t="shared" si="311"/>
        <v/>
      </c>
      <c r="E19924" s="626"/>
      <c r="F19924" s="626"/>
    </row>
    <row r="19925" spans="1:6">
      <c r="A19925" t="str">
        <f t="shared" si="311"/>
        <v/>
      </c>
      <c r="E19925" s="626"/>
      <c r="F19925" s="626"/>
    </row>
    <row r="19926" spans="1:6">
      <c r="A19926" t="str">
        <f t="shared" si="311"/>
        <v/>
      </c>
      <c r="E19926" s="626"/>
      <c r="F19926" s="626"/>
    </row>
    <row r="19927" spans="1:6">
      <c r="A19927" t="str">
        <f t="shared" si="311"/>
        <v/>
      </c>
      <c r="E19927" s="626"/>
      <c r="F19927" s="626"/>
    </row>
    <row r="19928" spans="1:6">
      <c r="A19928" t="str">
        <f t="shared" si="311"/>
        <v/>
      </c>
      <c r="E19928" s="626"/>
      <c r="F19928" s="626"/>
    </row>
    <row r="19929" spans="1:6">
      <c r="A19929" t="str">
        <f t="shared" si="311"/>
        <v/>
      </c>
      <c r="E19929" s="626"/>
      <c r="F19929" s="626"/>
    </row>
    <row r="19930" spans="1:6">
      <c r="A19930" t="str">
        <f t="shared" si="311"/>
        <v/>
      </c>
      <c r="E19930" s="626"/>
      <c r="F19930" s="626"/>
    </row>
    <row r="19931" spans="1:6">
      <c r="A19931" t="str">
        <f t="shared" si="311"/>
        <v/>
      </c>
      <c r="E19931" s="626"/>
      <c r="F19931" s="626"/>
    </row>
    <row r="19932" spans="1:6">
      <c r="A19932" t="str">
        <f t="shared" si="311"/>
        <v/>
      </c>
      <c r="E19932" s="626"/>
      <c r="F19932" s="626"/>
    </row>
    <row r="19933" spans="1:6">
      <c r="A19933" t="str">
        <f t="shared" si="311"/>
        <v/>
      </c>
      <c r="E19933" s="626"/>
      <c r="F19933" s="626"/>
    </row>
    <row r="19934" spans="1:6">
      <c r="A19934" t="str">
        <f t="shared" si="311"/>
        <v/>
      </c>
      <c r="E19934" s="626"/>
      <c r="F19934" s="626"/>
    </row>
    <row r="19935" spans="1:6">
      <c r="A19935" t="str">
        <f t="shared" si="311"/>
        <v/>
      </c>
      <c r="E19935" s="626"/>
      <c r="F19935" s="626"/>
    </row>
    <row r="19936" spans="1:6">
      <c r="A19936" t="str">
        <f t="shared" si="311"/>
        <v/>
      </c>
      <c r="E19936" s="626"/>
      <c r="F19936" s="626"/>
    </row>
    <row r="19937" spans="1:6">
      <c r="A19937" t="str">
        <f t="shared" si="311"/>
        <v/>
      </c>
      <c r="E19937" s="626"/>
      <c r="F19937" s="626"/>
    </row>
    <row r="19938" spans="1:6">
      <c r="A19938" t="str">
        <f t="shared" si="311"/>
        <v/>
      </c>
      <c r="E19938" s="626"/>
      <c r="F19938" s="626"/>
    </row>
    <row r="19939" spans="1:6">
      <c r="A19939" t="str">
        <f t="shared" si="311"/>
        <v/>
      </c>
      <c r="E19939" s="626"/>
      <c r="F19939" s="626"/>
    </row>
    <row r="19940" spans="1:6">
      <c r="A19940" t="str">
        <f t="shared" si="311"/>
        <v/>
      </c>
      <c r="E19940" s="626"/>
      <c r="F19940" s="626"/>
    </row>
    <row r="19941" spans="1:6">
      <c r="A19941" t="str">
        <f t="shared" si="311"/>
        <v/>
      </c>
      <c r="E19941" s="626"/>
      <c r="F19941" s="626"/>
    </row>
    <row r="19942" spans="1:6">
      <c r="A19942" t="str">
        <f t="shared" si="311"/>
        <v/>
      </c>
      <c r="E19942" s="626"/>
      <c r="F19942" s="626"/>
    </row>
    <row r="19943" spans="1:6">
      <c r="A19943" t="str">
        <f t="shared" si="311"/>
        <v/>
      </c>
      <c r="E19943" s="626"/>
      <c r="F19943" s="626"/>
    </row>
    <row r="19944" spans="1:6">
      <c r="A19944" t="str">
        <f t="shared" si="311"/>
        <v/>
      </c>
      <c r="E19944" s="626"/>
      <c r="F19944" s="626"/>
    </row>
    <row r="19945" spans="1:6">
      <c r="A19945" t="str">
        <f t="shared" si="311"/>
        <v/>
      </c>
      <c r="E19945" s="626"/>
      <c r="F19945" s="626"/>
    </row>
    <row r="19946" spans="1:6">
      <c r="A19946" t="str">
        <f t="shared" si="311"/>
        <v/>
      </c>
      <c r="E19946" s="626"/>
      <c r="F19946" s="626"/>
    </row>
    <row r="19947" spans="1:6">
      <c r="A19947" t="str">
        <f t="shared" si="311"/>
        <v/>
      </c>
      <c r="E19947" s="626"/>
      <c r="F19947" s="626"/>
    </row>
    <row r="19948" spans="1:6">
      <c r="A19948" t="str">
        <f t="shared" si="311"/>
        <v/>
      </c>
      <c r="E19948" s="626"/>
      <c r="F19948" s="626"/>
    </row>
    <row r="19949" spans="1:6">
      <c r="A19949" t="str">
        <f t="shared" si="311"/>
        <v/>
      </c>
      <c r="E19949" s="626"/>
      <c r="F19949" s="626"/>
    </row>
    <row r="19950" spans="1:6">
      <c r="A19950" t="str">
        <f t="shared" si="311"/>
        <v/>
      </c>
      <c r="E19950" s="626"/>
      <c r="F19950" s="626"/>
    </row>
    <row r="19951" spans="1:6">
      <c r="A19951" t="str">
        <f t="shared" si="311"/>
        <v/>
      </c>
      <c r="E19951" s="626"/>
      <c r="F19951" s="626"/>
    </row>
    <row r="19952" spans="1:6">
      <c r="A19952" t="str">
        <f t="shared" si="311"/>
        <v/>
      </c>
      <c r="E19952" s="626"/>
      <c r="F19952" s="626"/>
    </row>
    <row r="19953" spans="1:6">
      <c r="A19953" t="str">
        <f t="shared" si="311"/>
        <v/>
      </c>
      <c r="E19953" s="626"/>
      <c r="F19953" s="626"/>
    </row>
    <row r="19954" spans="1:6">
      <c r="A19954" t="str">
        <f t="shared" si="311"/>
        <v/>
      </c>
      <c r="E19954" s="626"/>
      <c r="F19954" s="626"/>
    </row>
    <row r="19955" spans="1:6">
      <c r="A19955" t="str">
        <f t="shared" si="311"/>
        <v/>
      </c>
      <c r="E19955" s="626"/>
      <c r="F19955" s="626"/>
    </row>
    <row r="19956" spans="1:6">
      <c r="A19956" t="str">
        <f t="shared" si="311"/>
        <v/>
      </c>
      <c r="E19956" s="626"/>
      <c r="F19956" s="626"/>
    </row>
    <row r="19957" spans="1:6">
      <c r="A19957" t="str">
        <f t="shared" si="311"/>
        <v/>
      </c>
      <c r="E19957" s="626"/>
      <c r="F19957" s="626"/>
    </row>
    <row r="19958" spans="1:6">
      <c r="A19958" t="str">
        <f t="shared" si="311"/>
        <v/>
      </c>
      <c r="E19958" s="626"/>
      <c r="F19958" s="626"/>
    </row>
    <row r="19959" spans="1:6">
      <c r="A19959" t="str">
        <f t="shared" si="311"/>
        <v/>
      </c>
      <c r="E19959" s="626"/>
      <c r="F19959" s="626"/>
    </row>
    <row r="19960" spans="1:6">
      <c r="A19960" t="str">
        <f t="shared" si="311"/>
        <v/>
      </c>
      <c r="E19960" s="626"/>
      <c r="F19960" s="626"/>
    </row>
    <row r="19961" spans="1:6">
      <c r="A19961" t="str">
        <f t="shared" si="311"/>
        <v/>
      </c>
      <c r="E19961" s="626"/>
      <c r="F19961" s="626"/>
    </row>
    <row r="19962" spans="1:6">
      <c r="A19962" t="str">
        <f t="shared" si="311"/>
        <v/>
      </c>
      <c r="E19962" s="626"/>
      <c r="F19962" s="626"/>
    </row>
    <row r="19963" spans="1:6">
      <c r="A19963" t="str">
        <f t="shared" si="311"/>
        <v/>
      </c>
      <c r="E19963" s="626"/>
      <c r="F19963" s="626"/>
    </row>
    <row r="19964" spans="1:6">
      <c r="A19964" t="str">
        <f t="shared" si="311"/>
        <v/>
      </c>
      <c r="E19964" s="626"/>
      <c r="F19964" s="626"/>
    </row>
    <row r="19965" spans="1:6">
      <c r="A19965" t="str">
        <f t="shared" si="311"/>
        <v/>
      </c>
      <c r="E19965" s="626"/>
      <c r="F19965" s="626"/>
    </row>
    <row r="19966" spans="1:6">
      <c r="A19966" t="str">
        <f t="shared" si="311"/>
        <v/>
      </c>
      <c r="E19966" s="626"/>
      <c r="F19966" s="626"/>
    </row>
    <row r="19967" spans="1:6">
      <c r="A19967" t="str">
        <f t="shared" si="311"/>
        <v/>
      </c>
      <c r="E19967" s="626"/>
      <c r="F19967" s="626"/>
    </row>
    <row r="19968" spans="1:6">
      <c r="A19968" t="str">
        <f t="shared" si="311"/>
        <v/>
      </c>
      <c r="E19968" s="626"/>
      <c r="F19968" s="626"/>
    </row>
    <row r="19969" spans="1:6">
      <c r="A19969" t="str">
        <f t="shared" si="311"/>
        <v/>
      </c>
      <c r="E19969" s="626"/>
      <c r="F19969" s="626"/>
    </row>
    <row r="19970" spans="1:6">
      <c r="A19970" t="str">
        <f t="shared" ref="A19970:A20033" si="312">B19970&amp;E19970&amp;J19970</f>
        <v/>
      </c>
      <c r="E19970" s="626"/>
      <c r="F19970" s="626"/>
    </row>
    <row r="19971" spans="1:6">
      <c r="A19971" t="str">
        <f t="shared" si="312"/>
        <v/>
      </c>
      <c r="E19971" s="626"/>
      <c r="F19971" s="626"/>
    </row>
    <row r="19972" spans="1:6">
      <c r="A19972" t="str">
        <f t="shared" si="312"/>
        <v/>
      </c>
      <c r="E19972" s="626"/>
      <c r="F19972" s="626"/>
    </row>
    <row r="19973" spans="1:6">
      <c r="A19973" t="str">
        <f t="shared" si="312"/>
        <v/>
      </c>
      <c r="E19973" s="626"/>
      <c r="F19973" s="626"/>
    </row>
    <row r="19974" spans="1:6">
      <c r="A19974" t="str">
        <f t="shared" si="312"/>
        <v/>
      </c>
      <c r="E19974" s="626"/>
      <c r="F19974" s="626"/>
    </row>
    <row r="19975" spans="1:6">
      <c r="A19975" t="str">
        <f t="shared" si="312"/>
        <v/>
      </c>
      <c r="E19975" s="626"/>
      <c r="F19975" s="626"/>
    </row>
    <row r="19976" spans="1:6">
      <c r="A19976" t="str">
        <f t="shared" si="312"/>
        <v/>
      </c>
      <c r="E19976" s="626"/>
      <c r="F19976" s="626"/>
    </row>
    <row r="19977" spans="1:6">
      <c r="A19977" t="str">
        <f t="shared" si="312"/>
        <v/>
      </c>
      <c r="E19977" s="626"/>
      <c r="F19977" s="626"/>
    </row>
    <row r="19978" spans="1:6">
      <c r="A19978" t="str">
        <f t="shared" si="312"/>
        <v/>
      </c>
      <c r="E19978" s="626"/>
      <c r="F19978" s="626"/>
    </row>
    <row r="19979" spans="1:6">
      <c r="A19979" t="str">
        <f t="shared" si="312"/>
        <v/>
      </c>
      <c r="E19979" s="626"/>
      <c r="F19979" s="626"/>
    </row>
    <row r="19980" spans="1:6">
      <c r="A19980" t="str">
        <f t="shared" si="312"/>
        <v/>
      </c>
      <c r="E19980" s="626"/>
      <c r="F19980" s="626"/>
    </row>
    <row r="19981" spans="1:6">
      <c r="A19981" t="str">
        <f t="shared" si="312"/>
        <v/>
      </c>
      <c r="E19981" s="626"/>
      <c r="F19981" s="626"/>
    </row>
    <row r="19982" spans="1:6">
      <c r="A19982" t="str">
        <f t="shared" si="312"/>
        <v/>
      </c>
      <c r="E19982" s="626"/>
      <c r="F19982" s="626"/>
    </row>
    <row r="19983" spans="1:6">
      <c r="A19983" t="str">
        <f t="shared" si="312"/>
        <v/>
      </c>
      <c r="E19983" s="626"/>
      <c r="F19983" s="626"/>
    </row>
    <row r="19984" spans="1:6">
      <c r="A19984" t="str">
        <f t="shared" si="312"/>
        <v/>
      </c>
      <c r="E19984" s="626"/>
      <c r="F19984" s="626"/>
    </row>
    <row r="19985" spans="1:6">
      <c r="A19985" t="str">
        <f t="shared" si="312"/>
        <v/>
      </c>
      <c r="E19985" s="626"/>
      <c r="F19985" s="626"/>
    </row>
    <row r="19986" spans="1:6">
      <c r="A19986" t="str">
        <f t="shared" si="312"/>
        <v/>
      </c>
      <c r="E19986" s="626"/>
      <c r="F19986" s="626"/>
    </row>
    <row r="19987" spans="1:6">
      <c r="A19987" t="str">
        <f t="shared" si="312"/>
        <v/>
      </c>
      <c r="E19987" s="626"/>
      <c r="F19987" s="626"/>
    </row>
    <row r="19988" spans="1:6">
      <c r="A19988" t="str">
        <f t="shared" si="312"/>
        <v/>
      </c>
      <c r="E19988" s="626"/>
      <c r="F19988" s="626"/>
    </row>
    <row r="19989" spans="1:6">
      <c r="A19989" t="str">
        <f t="shared" si="312"/>
        <v/>
      </c>
      <c r="E19989" s="626"/>
      <c r="F19989" s="626"/>
    </row>
    <row r="19990" spans="1:6">
      <c r="A19990" t="str">
        <f t="shared" si="312"/>
        <v/>
      </c>
      <c r="E19990" s="626"/>
      <c r="F19990" s="626"/>
    </row>
    <row r="19991" spans="1:6">
      <c r="A19991" t="str">
        <f t="shared" si="312"/>
        <v/>
      </c>
      <c r="E19991" s="626"/>
      <c r="F19991" s="626"/>
    </row>
    <row r="19992" spans="1:6">
      <c r="A19992" t="str">
        <f t="shared" si="312"/>
        <v/>
      </c>
      <c r="E19992" s="626"/>
      <c r="F19992" s="626"/>
    </row>
    <row r="19993" spans="1:6">
      <c r="A19993" t="str">
        <f t="shared" si="312"/>
        <v/>
      </c>
      <c r="E19993" s="626"/>
      <c r="F19993" s="626"/>
    </row>
    <row r="19994" spans="1:6">
      <c r="A19994" t="str">
        <f t="shared" si="312"/>
        <v/>
      </c>
      <c r="E19994" s="626"/>
      <c r="F19994" s="626"/>
    </row>
    <row r="19995" spans="1:6">
      <c r="A19995" t="str">
        <f t="shared" si="312"/>
        <v/>
      </c>
      <c r="E19995" s="626"/>
      <c r="F19995" s="626"/>
    </row>
    <row r="19996" spans="1:6">
      <c r="A19996" t="str">
        <f t="shared" si="312"/>
        <v/>
      </c>
      <c r="E19996" s="626"/>
      <c r="F19996" s="626"/>
    </row>
    <row r="19997" spans="1:6">
      <c r="A19997" t="str">
        <f t="shared" si="312"/>
        <v/>
      </c>
      <c r="E19997" s="626"/>
      <c r="F19997" s="626"/>
    </row>
    <row r="19998" spans="1:6">
      <c r="A19998" t="str">
        <f t="shared" si="312"/>
        <v/>
      </c>
      <c r="E19998" s="626"/>
      <c r="F19998" s="626"/>
    </row>
    <row r="19999" spans="1:6">
      <c r="A19999" t="str">
        <f t="shared" si="312"/>
        <v/>
      </c>
      <c r="E19999" s="626"/>
      <c r="F19999" s="626"/>
    </row>
    <row r="20000" spans="1:6">
      <c r="A20000" t="str">
        <f t="shared" si="312"/>
        <v/>
      </c>
      <c r="E20000" s="626"/>
      <c r="F20000" s="626"/>
    </row>
    <row r="20001" spans="1:6">
      <c r="A20001" t="str">
        <f t="shared" si="312"/>
        <v/>
      </c>
      <c r="E20001" s="626"/>
      <c r="F20001" s="626"/>
    </row>
    <row r="20002" spans="1:6">
      <c r="A20002" t="str">
        <f t="shared" si="312"/>
        <v/>
      </c>
      <c r="E20002" s="626"/>
      <c r="F20002" s="626"/>
    </row>
    <row r="20003" spans="1:6">
      <c r="A20003" t="str">
        <f t="shared" si="312"/>
        <v/>
      </c>
      <c r="E20003" s="626"/>
      <c r="F20003" s="626"/>
    </row>
    <row r="20004" spans="1:6">
      <c r="A20004" t="str">
        <f t="shared" si="312"/>
        <v/>
      </c>
      <c r="E20004" s="626"/>
      <c r="F20004" s="626"/>
    </row>
    <row r="20005" spans="1:6">
      <c r="A20005" t="str">
        <f t="shared" si="312"/>
        <v/>
      </c>
      <c r="E20005" s="626"/>
      <c r="F20005" s="626"/>
    </row>
    <row r="20006" spans="1:6">
      <c r="A20006" t="str">
        <f t="shared" si="312"/>
        <v/>
      </c>
      <c r="E20006" s="626"/>
      <c r="F20006" s="626"/>
    </row>
    <row r="20007" spans="1:6">
      <c r="A20007" t="str">
        <f t="shared" si="312"/>
        <v/>
      </c>
      <c r="E20007" s="626"/>
      <c r="F20007" s="626"/>
    </row>
    <row r="20008" spans="1:6">
      <c r="A20008" t="str">
        <f t="shared" si="312"/>
        <v/>
      </c>
      <c r="E20008" s="626"/>
      <c r="F20008" s="626"/>
    </row>
    <row r="20009" spans="1:6">
      <c r="A20009" t="str">
        <f t="shared" si="312"/>
        <v/>
      </c>
      <c r="E20009" s="626"/>
      <c r="F20009" s="626"/>
    </row>
    <row r="20010" spans="1:6">
      <c r="A20010" t="str">
        <f t="shared" si="312"/>
        <v/>
      </c>
      <c r="E20010" s="626"/>
      <c r="F20010" s="626"/>
    </row>
    <row r="20011" spans="1:6">
      <c r="A20011" t="str">
        <f t="shared" si="312"/>
        <v/>
      </c>
      <c r="E20011" s="626"/>
      <c r="F20011" s="626"/>
    </row>
    <row r="20012" spans="1:6">
      <c r="A20012" t="str">
        <f t="shared" si="312"/>
        <v/>
      </c>
      <c r="E20012" s="626"/>
      <c r="F20012" s="626"/>
    </row>
    <row r="20013" spans="1:6">
      <c r="A20013" t="str">
        <f t="shared" si="312"/>
        <v/>
      </c>
      <c r="E20013" s="626"/>
      <c r="F20013" s="626"/>
    </row>
    <row r="20014" spans="1:6">
      <c r="A20014" t="str">
        <f t="shared" si="312"/>
        <v/>
      </c>
      <c r="E20014" s="626"/>
      <c r="F20014" s="626"/>
    </row>
    <row r="20015" spans="1:6">
      <c r="A20015" t="str">
        <f t="shared" si="312"/>
        <v/>
      </c>
      <c r="E20015" s="626"/>
      <c r="F20015" s="626"/>
    </row>
    <row r="20016" spans="1:6">
      <c r="A20016" t="str">
        <f t="shared" si="312"/>
        <v/>
      </c>
      <c r="E20016" s="626"/>
      <c r="F20016" s="626"/>
    </row>
    <row r="20017" spans="1:6">
      <c r="A20017" t="str">
        <f t="shared" si="312"/>
        <v/>
      </c>
      <c r="E20017" s="626"/>
      <c r="F20017" s="626"/>
    </row>
    <row r="20018" spans="1:6">
      <c r="A20018" t="str">
        <f t="shared" si="312"/>
        <v/>
      </c>
      <c r="E20018" s="626"/>
      <c r="F20018" s="626"/>
    </row>
    <row r="20019" spans="1:6">
      <c r="A20019" t="str">
        <f t="shared" si="312"/>
        <v/>
      </c>
      <c r="E20019" s="626"/>
      <c r="F20019" s="626"/>
    </row>
    <row r="20020" spans="1:6">
      <c r="A20020" t="str">
        <f t="shared" si="312"/>
        <v/>
      </c>
      <c r="E20020" s="626"/>
      <c r="F20020" s="626"/>
    </row>
    <row r="20021" spans="1:6">
      <c r="A20021" t="str">
        <f t="shared" si="312"/>
        <v/>
      </c>
      <c r="E20021" s="626"/>
      <c r="F20021" s="626"/>
    </row>
    <row r="20022" spans="1:6">
      <c r="A20022" t="str">
        <f t="shared" si="312"/>
        <v/>
      </c>
      <c r="E20022" s="626"/>
      <c r="F20022" s="626"/>
    </row>
    <row r="20023" spans="1:6">
      <c r="A20023" t="str">
        <f t="shared" si="312"/>
        <v/>
      </c>
      <c r="E20023" s="626"/>
      <c r="F20023" s="626"/>
    </row>
    <row r="20024" spans="1:6">
      <c r="A20024" t="str">
        <f t="shared" si="312"/>
        <v/>
      </c>
      <c r="E20024" s="626"/>
      <c r="F20024" s="626"/>
    </row>
    <row r="20025" spans="1:6">
      <c r="A20025" t="str">
        <f t="shared" si="312"/>
        <v/>
      </c>
      <c r="E20025" s="626"/>
      <c r="F20025" s="626"/>
    </row>
    <row r="20026" spans="1:6">
      <c r="A20026" t="str">
        <f t="shared" si="312"/>
        <v/>
      </c>
      <c r="E20026" s="626"/>
      <c r="F20026" s="626"/>
    </row>
    <row r="20027" spans="1:6">
      <c r="A20027" t="str">
        <f t="shared" si="312"/>
        <v/>
      </c>
      <c r="E20027" s="626"/>
      <c r="F20027" s="626"/>
    </row>
    <row r="20028" spans="1:6">
      <c r="A20028" t="str">
        <f t="shared" si="312"/>
        <v/>
      </c>
      <c r="E20028" s="626"/>
      <c r="F20028" s="626"/>
    </row>
    <row r="20029" spans="1:6">
      <c r="A20029" t="str">
        <f t="shared" si="312"/>
        <v/>
      </c>
      <c r="E20029" s="626"/>
      <c r="F20029" s="626"/>
    </row>
    <row r="20030" spans="1:6">
      <c r="A20030" t="str">
        <f t="shared" si="312"/>
        <v/>
      </c>
      <c r="E20030" s="626"/>
      <c r="F20030" s="626"/>
    </row>
    <row r="20031" spans="1:6">
      <c r="A20031" t="str">
        <f t="shared" si="312"/>
        <v/>
      </c>
      <c r="E20031" s="626"/>
      <c r="F20031" s="626"/>
    </row>
    <row r="20032" spans="1:6">
      <c r="A20032" t="str">
        <f t="shared" si="312"/>
        <v/>
      </c>
      <c r="E20032" s="626"/>
      <c r="F20032" s="626"/>
    </row>
    <row r="20033" spans="1:6">
      <c r="A20033" t="str">
        <f t="shared" si="312"/>
        <v/>
      </c>
      <c r="E20033" s="626"/>
      <c r="F20033" s="626"/>
    </row>
    <row r="20034" spans="1:6">
      <c r="A20034" t="str">
        <f t="shared" ref="A20034:A20097" si="313">B20034&amp;E20034&amp;J20034</f>
        <v/>
      </c>
      <c r="E20034" s="626"/>
      <c r="F20034" s="626"/>
    </row>
    <row r="20035" spans="1:6">
      <c r="A20035" t="str">
        <f t="shared" si="313"/>
        <v/>
      </c>
      <c r="E20035" s="626"/>
      <c r="F20035" s="626"/>
    </row>
    <row r="20036" spans="1:6">
      <c r="A20036" t="str">
        <f t="shared" si="313"/>
        <v/>
      </c>
      <c r="E20036" s="626"/>
      <c r="F20036" s="626"/>
    </row>
    <row r="20037" spans="1:6">
      <c r="A20037" t="str">
        <f t="shared" si="313"/>
        <v/>
      </c>
      <c r="E20037" s="626"/>
      <c r="F20037" s="626"/>
    </row>
    <row r="20038" spans="1:6">
      <c r="A20038" t="str">
        <f t="shared" si="313"/>
        <v/>
      </c>
      <c r="E20038" s="626"/>
      <c r="F20038" s="626"/>
    </row>
    <row r="20039" spans="1:6">
      <c r="A20039" t="str">
        <f t="shared" si="313"/>
        <v/>
      </c>
      <c r="E20039" s="626"/>
      <c r="F20039" s="626"/>
    </row>
    <row r="20040" spans="1:6">
      <c r="A20040" t="str">
        <f t="shared" si="313"/>
        <v/>
      </c>
      <c r="E20040" s="626"/>
      <c r="F20040" s="626"/>
    </row>
    <row r="20041" spans="1:6">
      <c r="A20041" t="str">
        <f t="shared" si="313"/>
        <v/>
      </c>
      <c r="E20041" s="626"/>
      <c r="F20041" s="626"/>
    </row>
    <row r="20042" spans="1:6">
      <c r="A20042" t="str">
        <f t="shared" si="313"/>
        <v/>
      </c>
      <c r="E20042" s="626"/>
      <c r="F20042" s="626"/>
    </row>
    <row r="20043" spans="1:6">
      <c r="A20043" t="str">
        <f t="shared" si="313"/>
        <v/>
      </c>
      <c r="E20043" s="626"/>
      <c r="F20043" s="626"/>
    </row>
    <row r="20044" spans="1:6">
      <c r="A20044" t="str">
        <f t="shared" si="313"/>
        <v/>
      </c>
      <c r="E20044" s="626"/>
      <c r="F20044" s="626"/>
    </row>
    <row r="20045" spans="1:6">
      <c r="A20045" t="str">
        <f t="shared" si="313"/>
        <v/>
      </c>
      <c r="E20045" s="626"/>
      <c r="F20045" s="626"/>
    </row>
    <row r="20046" spans="1:6">
      <c r="A20046" t="str">
        <f t="shared" si="313"/>
        <v/>
      </c>
      <c r="E20046" s="626"/>
      <c r="F20046" s="626"/>
    </row>
    <row r="20047" spans="1:6">
      <c r="A20047" t="str">
        <f t="shared" si="313"/>
        <v/>
      </c>
      <c r="E20047" s="626"/>
      <c r="F20047" s="626"/>
    </row>
    <row r="20048" spans="1:6">
      <c r="A20048" t="str">
        <f t="shared" si="313"/>
        <v/>
      </c>
      <c r="E20048" s="626"/>
      <c r="F20048" s="626"/>
    </row>
    <row r="20049" spans="1:6">
      <c r="A20049" t="str">
        <f t="shared" si="313"/>
        <v/>
      </c>
      <c r="E20049" s="626"/>
      <c r="F20049" s="626"/>
    </row>
    <row r="20050" spans="1:6">
      <c r="A20050" t="str">
        <f t="shared" si="313"/>
        <v/>
      </c>
      <c r="E20050" s="626"/>
      <c r="F20050" s="626"/>
    </row>
    <row r="20051" spans="1:6">
      <c r="A20051" t="str">
        <f t="shared" si="313"/>
        <v/>
      </c>
      <c r="E20051" s="626"/>
      <c r="F20051" s="626"/>
    </row>
    <row r="20052" spans="1:6">
      <c r="A20052" t="str">
        <f t="shared" si="313"/>
        <v/>
      </c>
      <c r="E20052" s="626"/>
      <c r="F20052" s="626"/>
    </row>
    <row r="20053" spans="1:6">
      <c r="A20053" t="str">
        <f t="shared" si="313"/>
        <v/>
      </c>
      <c r="E20053" s="626"/>
      <c r="F20053" s="626"/>
    </row>
    <row r="20054" spans="1:6">
      <c r="A20054" t="str">
        <f t="shared" si="313"/>
        <v/>
      </c>
      <c r="E20054" s="626"/>
      <c r="F20054" s="626"/>
    </row>
    <row r="20055" spans="1:6">
      <c r="A20055" t="str">
        <f t="shared" si="313"/>
        <v/>
      </c>
      <c r="E20055" s="626"/>
      <c r="F20055" s="626"/>
    </row>
    <row r="20056" spans="1:6">
      <c r="A20056" t="str">
        <f t="shared" si="313"/>
        <v/>
      </c>
      <c r="E20056" s="626"/>
      <c r="F20056" s="626"/>
    </row>
    <row r="20057" spans="1:6">
      <c r="A20057" t="str">
        <f t="shared" si="313"/>
        <v/>
      </c>
      <c r="E20057" s="626"/>
      <c r="F20057" s="626"/>
    </row>
    <row r="20058" spans="1:6">
      <c r="A20058" t="str">
        <f t="shared" si="313"/>
        <v/>
      </c>
      <c r="E20058" s="626"/>
      <c r="F20058" s="626"/>
    </row>
    <row r="20059" spans="1:6">
      <c r="A20059" t="str">
        <f t="shared" si="313"/>
        <v/>
      </c>
      <c r="E20059" s="626"/>
      <c r="F20059" s="626"/>
    </row>
    <row r="20060" spans="1:6">
      <c r="A20060" t="str">
        <f t="shared" si="313"/>
        <v/>
      </c>
      <c r="E20060" s="626"/>
      <c r="F20060" s="626"/>
    </row>
    <row r="20061" spans="1:6">
      <c r="A20061" t="str">
        <f t="shared" si="313"/>
        <v/>
      </c>
      <c r="E20061" s="626"/>
      <c r="F20061" s="626"/>
    </row>
    <row r="20062" spans="1:6">
      <c r="A20062" t="str">
        <f t="shared" si="313"/>
        <v/>
      </c>
      <c r="E20062" s="626"/>
      <c r="F20062" s="626"/>
    </row>
    <row r="20063" spans="1:6">
      <c r="A20063" t="str">
        <f t="shared" si="313"/>
        <v/>
      </c>
      <c r="E20063" s="626"/>
      <c r="F20063" s="626"/>
    </row>
    <row r="20064" spans="1:6">
      <c r="A20064" t="str">
        <f t="shared" si="313"/>
        <v/>
      </c>
      <c r="E20064" s="626"/>
      <c r="F20064" s="626"/>
    </row>
    <row r="20065" spans="1:6">
      <c r="A20065" t="str">
        <f t="shared" si="313"/>
        <v/>
      </c>
      <c r="E20065" s="626"/>
      <c r="F20065" s="626"/>
    </row>
    <row r="20066" spans="1:6">
      <c r="A20066" t="str">
        <f t="shared" si="313"/>
        <v/>
      </c>
      <c r="E20066" s="626"/>
      <c r="F20066" s="626"/>
    </row>
    <row r="20067" spans="1:6">
      <c r="A20067" t="str">
        <f t="shared" si="313"/>
        <v/>
      </c>
      <c r="E20067" s="626"/>
      <c r="F20067" s="626"/>
    </row>
    <row r="20068" spans="1:6">
      <c r="A20068" t="str">
        <f t="shared" si="313"/>
        <v/>
      </c>
      <c r="E20068" s="626"/>
      <c r="F20068" s="626"/>
    </row>
    <row r="20069" spans="1:6">
      <c r="A20069" t="str">
        <f t="shared" si="313"/>
        <v/>
      </c>
      <c r="E20069" s="626"/>
      <c r="F20069" s="626"/>
    </row>
    <row r="20070" spans="1:6">
      <c r="A20070" t="str">
        <f t="shared" si="313"/>
        <v/>
      </c>
      <c r="E20070" s="626"/>
      <c r="F20070" s="626"/>
    </row>
    <row r="20071" spans="1:6">
      <c r="A20071" t="str">
        <f t="shared" si="313"/>
        <v/>
      </c>
      <c r="E20071" s="626"/>
      <c r="F20071" s="626"/>
    </row>
    <row r="20072" spans="1:6">
      <c r="A20072" t="str">
        <f t="shared" si="313"/>
        <v/>
      </c>
      <c r="E20072" s="626"/>
      <c r="F20072" s="626"/>
    </row>
    <row r="20073" spans="1:6">
      <c r="A20073" t="str">
        <f t="shared" si="313"/>
        <v/>
      </c>
      <c r="E20073" s="626"/>
      <c r="F20073" s="626"/>
    </row>
    <row r="20074" spans="1:6">
      <c r="A20074" t="str">
        <f t="shared" si="313"/>
        <v/>
      </c>
      <c r="E20074" s="626"/>
      <c r="F20074" s="626"/>
    </row>
    <row r="20075" spans="1:6">
      <c r="A20075" t="str">
        <f t="shared" si="313"/>
        <v/>
      </c>
      <c r="E20075" s="626"/>
      <c r="F20075" s="626"/>
    </row>
    <row r="20076" spans="1:6">
      <c r="A20076" t="str">
        <f t="shared" si="313"/>
        <v/>
      </c>
      <c r="E20076" s="626"/>
      <c r="F20076" s="626"/>
    </row>
    <row r="20077" spans="1:6">
      <c r="A20077" t="str">
        <f t="shared" si="313"/>
        <v/>
      </c>
      <c r="E20077" s="626"/>
      <c r="F20077" s="626"/>
    </row>
    <row r="20078" spans="1:6">
      <c r="A20078" t="str">
        <f t="shared" si="313"/>
        <v/>
      </c>
      <c r="E20078" s="626"/>
      <c r="F20078" s="626"/>
    </row>
    <row r="20079" spans="1:6">
      <c r="A20079" t="str">
        <f t="shared" si="313"/>
        <v/>
      </c>
      <c r="E20079" s="626"/>
      <c r="F20079" s="626"/>
    </row>
    <row r="20080" spans="1:6">
      <c r="A20080" t="str">
        <f t="shared" si="313"/>
        <v/>
      </c>
      <c r="E20080" s="626"/>
      <c r="F20080" s="626"/>
    </row>
    <row r="20081" spans="1:6">
      <c r="A20081" t="str">
        <f t="shared" si="313"/>
        <v/>
      </c>
      <c r="E20081" s="626"/>
      <c r="F20081" s="626"/>
    </row>
    <row r="20082" spans="1:6">
      <c r="A20082" t="str">
        <f t="shared" si="313"/>
        <v/>
      </c>
      <c r="E20082" s="626"/>
      <c r="F20082" s="626"/>
    </row>
    <row r="20083" spans="1:6">
      <c r="A20083" t="str">
        <f t="shared" si="313"/>
        <v/>
      </c>
      <c r="E20083" s="626"/>
      <c r="F20083" s="626"/>
    </row>
    <row r="20084" spans="1:6">
      <c r="A20084" t="str">
        <f t="shared" si="313"/>
        <v/>
      </c>
      <c r="E20084" s="626"/>
      <c r="F20084" s="626"/>
    </row>
    <row r="20085" spans="1:6">
      <c r="A20085" t="str">
        <f t="shared" si="313"/>
        <v/>
      </c>
      <c r="E20085" s="626"/>
      <c r="F20085" s="626"/>
    </row>
    <row r="20086" spans="1:6">
      <c r="A20086" t="str">
        <f t="shared" si="313"/>
        <v/>
      </c>
      <c r="E20086" s="626"/>
      <c r="F20086" s="626"/>
    </row>
    <row r="20087" spans="1:6">
      <c r="A20087" t="str">
        <f t="shared" si="313"/>
        <v/>
      </c>
      <c r="E20087" s="626"/>
      <c r="F20087" s="626"/>
    </row>
    <row r="20088" spans="1:6">
      <c r="A20088" t="str">
        <f t="shared" si="313"/>
        <v/>
      </c>
      <c r="E20088" s="626"/>
      <c r="F20088" s="626"/>
    </row>
    <row r="20089" spans="1:6">
      <c r="A20089" t="str">
        <f t="shared" si="313"/>
        <v/>
      </c>
      <c r="E20089" s="626"/>
      <c r="F20089" s="626"/>
    </row>
    <row r="20090" spans="1:6">
      <c r="A20090" t="str">
        <f t="shared" si="313"/>
        <v/>
      </c>
      <c r="E20090" s="626"/>
      <c r="F20090" s="626"/>
    </row>
    <row r="20091" spans="1:6">
      <c r="A20091" t="str">
        <f t="shared" si="313"/>
        <v/>
      </c>
      <c r="E20091" s="626"/>
      <c r="F20091" s="626"/>
    </row>
    <row r="20092" spans="1:6">
      <c r="A20092" t="str">
        <f t="shared" si="313"/>
        <v/>
      </c>
      <c r="E20092" s="626"/>
      <c r="F20092" s="626"/>
    </row>
    <row r="20093" spans="1:6">
      <c r="A20093" t="str">
        <f t="shared" si="313"/>
        <v/>
      </c>
      <c r="E20093" s="626"/>
      <c r="F20093" s="626"/>
    </row>
    <row r="20094" spans="1:6">
      <c r="A20094" t="str">
        <f t="shared" si="313"/>
        <v/>
      </c>
      <c r="E20094" s="626"/>
      <c r="F20094" s="626"/>
    </row>
    <row r="20095" spans="1:6">
      <c r="A20095" t="str">
        <f t="shared" si="313"/>
        <v/>
      </c>
      <c r="E20095" s="626"/>
      <c r="F20095" s="626"/>
    </row>
    <row r="20096" spans="1:6">
      <c r="A20096" t="str">
        <f t="shared" si="313"/>
        <v/>
      </c>
      <c r="E20096" s="626"/>
      <c r="F20096" s="626"/>
    </row>
    <row r="20097" spans="1:6">
      <c r="A20097" t="str">
        <f t="shared" si="313"/>
        <v/>
      </c>
      <c r="E20097" s="626"/>
      <c r="F20097" s="626"/>
    </row>
    <row r="20098" spans="1:6">
      <c r="A20098" t="str">
        <f t="shared" ref="A20098:A20161" si="314">B20098&amp;E20098&amp;J20098</f>
        <v/>
      </c>
      <c r="E20098" s="626"/>
      <c r="F20098" s="626"/>
    </row>
    <row r="20099" spans="1:6">
      <c r="A20099" t="str">
        <f t="shared" si="314"/>
        <v/>
      </c>
      <c r="E20099" s="626"/>
      <c r="F20099" s="626"/>
    </row>
    <row r="20100" spans="1:6">
      <c r="A20100" t="str">
        <f t="shared" si="314"/>
        <v/>
      </c>
      <c r="E20100" s="626"/>
      <c r="F20100" s="626"/>
    </row>
    <row r="20101" spans="1:6">
      <c r="A20101" t="str">
        <f t="shared" si="314"/>
        <v/>
      </c>
      <c r="E20101" s="626"/>
      <c r="F20101" s="626"/>
    </row>
    <row r="20102" spans="1:6">
      <c r="A20102" t="str">
        <f t="shared" si="314"/>
        <v/>
      </c>
      <c r="E20102" s="626"/>
      <c r="F20102" s="626"/>
    </row>
    <row r="20103" spans="1:6">
      <c r="A20103" t="str">
        <f t="shared" si="314"/>
        <v/>
      </c>
      <c r="E20103" s="626"/>
      <c r="F20103" s="626"/>
    </row>
    <row r="20104" spans="1:6">
      <c r="A20104" t="str">
        <f t="shared" si="314"/>
        <v/>
      </c>
      <c r="E20104" s="626"/>
      <c r="F20104" s="626"/>
    </row>
    <row r="20105" spans="1:6">
      <c r="A20105" t="str">
        <f t="shared" si="314"/>
        <v/>
      </c>
      <c r="E20105" s="626"/>
      <c r="F20105" s="626"/>
    </row>
    <row r="20106" spans="1:6">
      <c r="A20106" t="str">
        <f t="shared" si="314"/>
        <v/>
      </c>
      <c r="E20106" s="626"/>
      <c r="F20106" s="626"/>
    </row>
    <row r="20107" spans="1:6">
      <c r="A20107" t="str">
        <f t="shared" si="314"/>
        <v/>
      </c>
      <c r="E20107" s="626"/>
      <c r="F20107" s="626"/>
    </row>
    <row r="20108" spans="1:6">
      <c r="A20108" t="str">
        <f t="shared" si="314"/>
        <v/>
      </c>
      <c r="E20108" s="626"/>
      <c r="F20108" s="626"/>
    </row>
    <row r="20109" spans="1:6">
      <c r="A20109" t="str">
        <f t="shared" si="314"/>
        <v/>
      </c>
      <c r="E20109" s="626"/>
      <c r="F20109" s="626"/>
    </row>
    <row r="20110" spans="1:6">
      <c r="A20110" t="str">
        <f t="shared" si="314"/>
        <v/>
      </c>
      <c r="E20110" s="626"/>
      <c r="F20110" s="626"/>
    </row>
    <row r="20111" spans="1:6">
      <c r="A20111" t="str">
        <f t="shared" si="314"/>
        <v/>
      </c>
      <c r="E20111" s="626"/>
      <c r="F20111" s="626"/>
    </row>
    <row r="20112" spans="1:6">
      <c r="A20112" t="str">
        <f t="shared" si="314"/>
        <v/>
      </c>
      <c r="E20112" s="626"/>
      <c r="F20112" s="626"/>
    </row>
    <row r="20113" spans="1:6">
      <c r="A20113" t="str">
        <f t="shared" si="314"/>
        <v/>
      </c>
      <c r="E20113" s="626"/>
      <c r="F20113" s="626"/>
    </row>
    <row r="20114" spans="1:6">
      <c r="A20114" t="str">
        <f t="shared" si="314"/>
        <v/>
      </c>
      <c r="E20114" s="626"/>
      <c r="F20114" s="626"/>
    </row>
    <row r="20115" spans="1:6">
      <c r="A20115" t="str">
        <f t="shared" si="314"/>
        <v/>
      </c>
      <c r="E20115" s="626"/>
      <c r="F20115" s="626"/>
    </row>
    <row r="20116" spans="1:6">
      <c r="A20116" t="str">
        <f t="shared" si="314"/>
        <v/>
      </c>
      <c r="E20116" s="626"/>
      <c r="F20116" s="626"/>
    </row>
    <row r="20117" spans="1:6">
      <c r="A20117" t="str">
        <f t="shared" si="314"/>
        <v/>
      </c>
      <c r="E20117" s="626"/>
      <c r="F20117" s="626"/>
    </row>
    <row r="20118" spans="1:6">
      <c r="A20118" t="str">
        <f t="shared" si="314"/>
        <v/>
      </c>
      <c r="E20118" s="626"/>
      <c r="F20118" s="626"/>
    </row>
    <row r="20119" spans="1:6">
      <c r="A20119" t="str">
        <f t="shared" si="314"/>
        <v/>
      </c>
      <c r="E20119" s="626"/>
      <c r="F20119" s="626"/>
    </row>
    <row r="20120" spans="1:6">
      <c r="A20120" t="str">
        <f t="shared" si="314"/>
        <v/>
      </c>
      <c r="E20120" s="626"/>
      <c r="F20120" s="626"/>
    </row>
    <row r="20121" spans="1:6">
      <c r="A20121" t="str">
        <f t="shared" si="314"/>
        <v/>
      </c>
      <c r="E20121" s="626"/>
      <c r="F20121" s="626"/>
    </row>
    <row r="20122" spans="1:6">
      <c r="A20122" t="str">
        <f t="shared" si="314"/>
        <v/>
      </c>
      <c r="E20122" s="626"/>
      <c r="F20122" s="626"/>
    </row>
    <row r="20123" spans="1:6">
      <c r="A20123" t="str">
        <f t="shared" si="314"/>
        <v/>
      </c>
      <c r="E20123" s="626"/>
      <c r="F20123" s="626"/>
    </row>
    <row r="20124" spans="1:6">
      <c r="A20124" t="str">
        <f t="shared" si="314"/>
        <v/>
      </c>
      <c r="E20124" s="626"/>
      <c r="F20124" s="626"/>
    </row>
    <row r="20125" spans="1:6">
      <c r="A20125" t="str">
        <f t="shared" si="314"/>
        <v/>
      </c>
      <c r="E20125" s="626"/>
      <c r="F20125" s="626"/>
    </row>
    <row r="20126" spans="1:6">
      <c r="A20126" t="str">
        <f t="shared" si="314"/>
        <v/>
      </c>
      <c r="E20126" s="626"/>
      <c r="F20126" s="626"/>
    </row>
    <row r="20127" spans="1:6">
      <c r="A20127" t="str">
        <f t="shared" si="314"/>
        <v/>
      </c>
      <c r="E20127" s="626"/>
      <c r="F20127" s="626"/>
    </row>
    <row r="20128" spans="1:6">
      <c r="A20128" t="str">
        <f t="shared" si="314"/>
        <v/>
      </c>
      <c r="E20128" s="626"/>
      <c r="F20128" s="626"/>
    </row>
    <row r="20129" spans="1:6">
      <c r="A20129" t="str">
        <f t="shared" si="314"/>
        <v/>
      </c>
      <c r="E20129" s="626"/>
      <c r="F20129" s="626"/>
    </row>
    <row r="20130" spans="1:6">
      <c r="A20130" t="str">
        <f t="shared" si="314"/>
        <v/>
      </c>
      <c r="E20130" s="626"/>
      <c r="F20130" s="626"/>
    </row>
    <row r="20131" spans="1:6">
      <c r="A20131" t="str">
        <f t="shared" si="314"/>
        <v/>
      </c>
      <c r="E20131" s="626"/>
      <c r="F20131" s="626"/>
    </row>
    <row r="20132" spans="1:6">
      <c r="A20132" t="str">
        <f t="shared" si="314"/>
        <v/>
      </c>
      <c r="E20132" s="626"/>
      <c r="F20132" s="626"/>
    </row>
    <row r="20133" spans="1:6">
      <c r="A20133" t="str">
        <f t="shared" si="314"/>
        <v/>
      </c>
      <c r="E20133" s="626"/>
      <c r="F20133" s="626"/>
    </row>
    <row r="20134" spans="1:6">
      <c r="A20134" t="str">
        <f t="shared" si="314"/>
        <v/>
      </c>
      <c r="E20134" s="626"/>
      <c r="F20134" s="626"/>
    </row>
    <row r="20135" spans="1:6">
      <c r="A20135" t="str">
        <f t="shared" si="314"/>
        <v/>
      </c>
      <c r="E20135" s="626"/>
      <c r="F20135" s="626"/>
    </row>
    <row r="20136" spans="1:6">
      <c r="A20136" t="str">
        <f t="shared" si="314"/>
        <v/>
      </c>
      <c r="E20136" s="626"/>
      <c r="F20136" s="626"/>
    </row>
    <row r="20137" spans="1:6">
      <c r="A20137" t="str">
        <f t="shared" si="314"/>
        <v/>
      </c>
      <c r="E20137" s="626"/>
      <c r="F20137" s="626"/>
    </row>
    <row r="20138" spans="1:6">
      <c r="A20138" t="str">
        <f t="shared" si="314"/>
        <v/>
      </c>
      <c r="E20138" s="626"/>
      <c r="F20138" s="626"/>
    </row>
    <row r="20139" spans="1:6">
      <c r="A20139" t="str">
        <f t="shared" si="314"/>
        <v/>
      </c>
      <c r="E20139" s="626"/>
      <c r="F20139" s="626"/>
    </row>
    <row r="20140" spans="1:6">
      <c r="A20140" t="str">
        <f t="shared" si="314"/>
        <v/>
      </c>
      <c r="E20140" s="626"/>
      <c r="F20140" s="626"/>
    </row>
    <row r="20141" spans="1:6">
      <c r="A20141" t="str">
        <f t="shared" si="314"/>
        <v/>
      </c>
      <c r="E20141" s="626"/>
      <c r="F20141" s="626"/>
    </row>
    <row r="20142" spans="1:6">
      <c r="A20142" t="str">
        <f t="shared" si="314"/>
        <v/>
      </c>
      <c r="E20142" s="626"/>
      <c r="F20142" s="626"/>
    </row>
    <row r="20143" spans="1:6">
      <c r="A20143" t="str">
        <f t="shared" si="314"/>
        <v/>
      </c>
      <c r="E20143" s="626"/>
      <c r="F20143" s="626"/>
    </row>
    <row r="20144" spans="1:6">
      <c r="A20144" t="str">
        <f t="shared" si="314"/>
        <v/>
      </c>
      <c r="E20144" s="626"/>
      <c r="F20144" s="626"/>
    </row>
    <row r="20145" spans="1:6">
      <c r="A20145" t="str">
        <f t="shared" si="314"/>
        <v/>
      </c>
      <c r="E20145" s="626"/>
      <c r="F20145" s="626"/>
    </row>
    <row r="20146" spans="1:6">
      <c r="A20146" t="str">
        <f t="shared" si="314"/>
        <v/>
      </c>
      <c r="E20146" s="626"/>
      <c r="F20146" s="626"/>
    </row>
    <row r="20147" spans="1:6">
      <c r="A20147" t="str">
        <f t="shared" si="314"/>
        <v/>
      </c>
      <c r="E20147" s="626"/>
      <c r="F20147" s="626"/>
    </row>
    <row r="20148" spans="1:6">
      <c r="A20148" t="str">
        <f t="shared" si="314"/>
        <v/>
      </c>
      <c r="E20148" s="626"/>
      <c r="F20148" s="626"/>
    </row>
    <row r="20149" spans="1:6">
      <c r="A20149" t="str">
        <f t="shared" si="314"/>
        <v/>
      </c>
      <c r="E20149" s="626"/>
      <c r="F20149" s="626"/>
    </row>
    <row r="20150" spans="1:6">
      <c r="A20150" t="str">
        <f t="shared" si="314"/>
        <v/>
      </c>
      <c r="E20150" s="626"/>
      <c r="F20150" s="626"/>
    </row>
    <row r="20151" spans="1:6">
      <c r="A20151" t="str">
        <f t="shared" si="314"/>
        <v/>
      </c>
      <c r="E20151" s="626"/>
      <c r="F20151" s="626"/>
    </row>
    <row r="20152" spans="1:6">
      <c r="A20152" t="str">
        <f t="shared" si="314"/>
        <v/>
      </c>
      <c r="E20152" s="626"/>
      <c r="F20152" s="626"/>
    </row>
    <row r="20153" spans="1:6">
      <c r="A20153" t="str">
        <f t="shared" si="314"/>
        <v/>
      </c>
      <c r="E20153" s="626"/>
      <c r="F20153" s="626"/>
    </row>
    <row r="20154" spans="1:6">
      <c r="A20154" t="str">
        <f t="shared" si="314"/>
        <v/>
      </c>
      <c r="E20154" s="626"/>
      <c r="F20154" s="626"/>
    </row>
    <row r="20155" spans="1:6">
      <c r="A20155" t="str">
        <f t="shared" si="314"/>
        <v/>
      </c>
      <c r="E20155" s="626"/>
      <c r="F20155" s="626"/>
    </row>
    <row r="20156" spans="1:6">
      <c r="A20156" t="str">
        <f t="shared" si="314"/>
        <v/>
      </c>
      <c r="E20156" s="626"/>
      <c r="F20156" s="626"/>
    </row>
    <row r="20157" spans="1:6">
      <c r="A20157" t="str">
        <f t="shared" si="314"/>
        <v/>
      </c>
      <c r="E20157" s="626"/>
      <c r="F20157" s="626"/>
    </row>
    <row r="20158" spans="1:6">
      <c r="A20158" t="str">
        <f t="shared" si="314"/>
        <v/>
      </c>
      <c r="E20158" s="626"/>
      <c r="F20158" s="626"/>
    </row>
    <row r="20159" spans="1:6">
      <c r="A20159" t="str">
        <f t="shared" si="314"/>
        <v/>
      </c>
      <c r="E20159" s="626"/>
      <c r="F20159" s="626"/>
    </row>
    <row r="20160" spans="1:6">
      <c r="A20160" t="str">
        <f t="shared" si="314"/>
        <v/>
      </c>
      <c r="E20160" s="626"/>
      <c r="F20160" s="626"/>
    </row>
    <row r="20161" spans="1:6">
      <c r="A20161" t="str">
        <f t="shared" si="314"/>
        <v/>
      </c>
      <c r="E20161" s="626"/>
      <c r="F20161" s="626"/>
    </row>
    <row r="20162" spans="1:6">
      <c r="A20162" t="str">
        <f t="shared" ref="A20162:A20225" si="315">B20162&amp;E20162&amp;J20162</f>
        <v/>
      </c>
      <c r="E20162" s="626"/>
      <c r="F20162" s="626"/>
    </row>
    <row r="20163" spans="1:6">
      <c r="A20163" t="str">
        <f t="shared" si="315"/>
        <v/>
      </c>
      <c r="E20163" s="626"/>
      <c r="F20163" s="626"/>
    </row>
    <row r="20164" spans="1:6">
      <c r="A20164" t="str">
        <f t="shared" si="315"/>
        <v/>
      </c>
      <c r="E20164" s="626"/>
      <c r="F20164" s="626"/>
    </row>
    <row r="20165" spans="1:6">
      <c r="A20165" t="str">
        <f t="shared" si="315"/>
        <v/>
      </c>
      <c r="E20165" s="626"/>
      <c r="F20165" s="626"/>
    </row>
    <row r="20166" spans="1:6">
      <c r="A20166" t="str">
        <f t="shared" si="315"/>
        <v/>
      </c>
      <c r="E20166" s="626"/>
      <c r="F20166" s="626"/>
    </row>
    <row r="20167" spans="1:6">
      <c r="A20167" t="str">
        <f t="shared" si="315"/>
        <v/>
      </c>
      <c r="E20167" s="626"/>
      <c r="F20167" s="626"/>
    </row>
    <row r="20168" spans="1:6">
      <c r="A20168" t="str">
        <f t="shared" si="315"/>
        <v/>
      </c>
      <c r="E20168" s="626"/>
      <c r="F20168" s="626"/>
    </row>
    <row r="20169" spans="1:6">
      <c r="A20169" t="str">
        <f t="shared" si="315"/>
        <v/>
      </c>
      <c r="E20169" s="626"/>
      <c r="F20169" s="626"/>
    </row>
    <row r="20170" spans="1:6">
      <c r="A20170" t="str">
        <f t="shared" si="315"/>
        <v/>
      </c>
      <c r="E20170" s="626"/>
      <c r="F20170" s="626"/>
    </row>
    <row r="20171" spans="1:6">
      <c r="A20171" t="str">
        <f t="shared" si="315"/>
        <v/>
      </c>
      <c r="E20171" s="626"/>
      <c r="F20171" s="626"/>
    </row>
    <row r="20172" spans="1:6">
      <c r="A20172" t="str">
        <f t="shared" si="315"/>
        <v/>
      </c>
      <c r="E20172" s="626"/>
      <c r="F20172" s="626"/>
    </row>
    <row r="20173" spans="1:6">
      <c r="A20173" t="str">
        <f t="shared" si="315"/>
        <v/>
      </c>
      <c r="E20173" s="626"/>
      <c r="F20173" s="626"/>
    </row>
    <row r="20174" spans="1:6">
      <c r="A20174" t="str">
        <f t="shared" si="315"/>
        <v/>
      </c>
      <c r="E20174" s="626"/>
      <c r="F20174" s="626"/>
    </row>
    <row r="20175" spans="1:6">
      <c r="A20175" t="str">
        <f t="shared" si="315"/>
        <v/>
      </c>
      <c r="E20175" s="626"/>
      <c r="F20175" s="626"/>
    </row>
    <row r="20176" spans="1:6">
      <c r="A20176" t="str">
        <f t="shared" si="315"/>
        <v/>
      </c>
      <c r="E20176" s="626"/>
      <c r="F20176" s="626"/>
    </row>
    <row r="20177" spans="1:6">
      <c r="A20177" t="str">
        <f t="shared" si="315"/>
        <v/>
      </c>
      <c r="E20177" s="626"/>
      <c r="F20177" s="626"/>
    </row>
    <row r="20178" spans="1:6">
      <c r="A20178" t="str">
        <f t="shared" si="315"/>
        <v/>
      </c>
      <c r="E20178" s="626"/>
      <c r="F20178" s="626"/>
    </row>
    <row r="20179" spans="1:6">
      <c r="A20179" t="str">
        <f t="shared" si="315"/>
        <v/>
      </c>
      <c r="E20179" s="626"/>
      <c r="F20179" s="626"/>
    </row>
    <row r="20180" spans="1:6">
      <c r="A20180" t="str">
        <f t="shared" si="315"/>
        <v/>
      </c>
      <c r="E20180" s="626"/>
      <c r="F20180" s="626"/>
    </row>
    <row r="20181" spans="1:6">
      <c r="A20181" t="str">
        <f t="shared" si="315"/>
        <v/>
      </c>
      <c r="E20181" s="626"/>
      <c r="F20181" s="626"/>
    </row>
    <row r="20182" spans="1:6">
      <c r="A20182" t="str">
        <f t="shared" si="315"/>
        <v/>
      </c>
      <c r="E20182" s="626"/>
      <c r="F20182" s="626"/>
    </row>
    <row r="20183" spans="1:6">
      <c r="A20183" t="str">
        <f t="shared" si="315"/>
        <v/>
      </c>
      <c r="E20183" s="626"/>
      <c r="F20183" s="626"/>
    </row>
    <row r="20184" spans="1:6">
      <c r="A20184" t="str">
        <f t="shared" si="315"/>
        <v/>
      </c>
      <c r="E20184" s="626"/>
      <c r="F20184" s="626"/>
    </row>
    <row r="20185" spans="1:6">
      <c r="A20185" t="str">
        <f t="shared" si="315"/>
        <v/>
      </c>
      <c r="E20185" s="626"/>
      <c r="F20185" s="626"/>
    </row>
    <row r="20186" spans="1:6">
      <c r="A20186" t="str">
        <f t="shared" si="315"/>
        <v/>
      </c>
      <c r="E20186" s="626"/>
      <c r="F20186" s="626"/>
    </row>
    <row r="20187" spans="1:6">
      <c r="A20187" t="str">
        <f t="shared" si="315"/>
        <v/>
      </c>
      <c r="E20187" s="626"/>
      <c r="F20187" s="626"/>
    </row>
    <row r="20188" spans="1:6">
      <c r="A20188" t="str">
        <f t="shared" si="315"/>
        <v/>
      </c>
      <c r="E20188" s="626"/>
      <c r="F20188" s="626"/>
    </row>
    <row r="20189" spans="1:6">
      <c r="A20189" t="str">
        <f t="shared" si="315"/>
        <v/>
      </c>
      <c r="E20189" s="626"/>
      <c r="F20189" s="626"/>
    </row>
    <row r="20190" spans="1:6">
      <c r="A20190" t="str">
        <f t="shared" si="315"/>
        <v/>
      </c>
      <c r="E20190" s="626"/>
      <c r="F20190" s="626"/>
    </row>
    <row r="20191" spans="1:6">
      <c r="A20191" t="str">
        <f t="shared" si="315"/>
        <v/>
      </c>
      <c r="E20191" s="626"/>
      <c r="F20191" s="626"/>
    </row>
    <row r="20192" spans="1:6">
      <c r="A20192" t="str">
        <f t="shared" si="315"/>
        <v/>
      </c>
      <c r="E20192" s="626"/>
      <c r="F20192" s="626"/>
    </row>
    <row r="20193" spans="1:6">
      <c r="A20193" t="str">
        <f t="shared" si="315"/>
        <v/>
      </c>
      <c r="E20193" s="626"/>
      <c r="F20193" s="626"/>
    </row>
    <row r="20194" spans="1:6">
      <c r="A20194" t="str">
        <f t="shared" si="315"/>
        <v/>
      </c>
      <c r="E20194" s="626"/>
      <c r="F20194" s="626"/>
    </row>
    <row r="20195" spans="1:6">
      <c r="A20195" t="str">
        <f t="shared" si="315"/>
        <v/>
      </c>
      <c r="E20195" s="626"/>
      <c r="F20195" s="626"/>
    </row>
    <row r="20196" spans="1:6">
      <c r="A20196" t="str">
        <f t="shared" si="315"/>
        <v/>
      </c>
      <c r="E20196" s="626"/>
      <c r="F20196" s="626"/>
    </row>
    <row r="20197" spans="1:6">
      <c r="A20197" t="str">
        <f t="shared" si="315"/>
        <v/>
      </c>
      <c r="E20197" s="626"/>
      <c r="F20197" s="626"/>
    </row>
    <row r="20198" spans="1:6">
      <c r="A20198" t="str">
        <f t="shared" si="315"/>
        <v/>
      </c>
      <c r="E20198" s="626"/>
      <c r="F20198" s="626"/>
    </row>
    <row r="20199" spans="1:6">
      <c r="A20199" t="str">
        <f t="shared" si="315"/>
        <v/>
      </c>
      <c r="E20199" s="626"/>
      <c r="F20199" s="626"/>
    </row>
    <row r="20200" spans="1:6">
      <c r="A20200" t="str">
        <f t="shared" si="315"/>
        <v/>
      </c>
      <c r="E20200" s="626"/>
      <c r="F20200" s="626"/>
    </row>
    <row r="20201" spans="1:6">
      <c r="A20201" t="str">
        <f t="shared" si="315"/>
        <v/>
      </c>
      <c r="E20201" s="626"/>
      <c r="F20201" s="626"/>
    </row>
    <row r="20202" spans="1:6">
      <c r="A20202" t="str">
        <f t="shared" si="315"/>
        <v/>
      </c>
      <c r="E20202" s="626"/>
      <c r="F20202" s="626"/>
    </row>
    <row r="20203" spans="1:6">
      <c r="A20203" t="str">
        <f t="shared" si="315"/>
        <v/>
      </c>
      <c r="E20203" s="626"/>
      <c r="F20203" s="626"/>
    </row>
    <row r="20204" spans="1:6">
      <c r="A20204" t="str">
        <f t="shared" si="315"/>
        <v/>
      </c>
      <c r="E20204" s="626"/>
      <c r="F20204" s="626"/>
    </row>
    <row r="20205" spans="1:6">
      <c r="A20205" t="str">
        <f t="shared" si="315"/>
        <v/>
      </c>
      <c r="E20205" s="626"/>
      <c r="F20205" s="626"/>
    </row>
    <row r="20206" spans="1:6">
      <c r="A20206" t="str">
        <f t="shared" si="315"/>
        <v/>
      </c>
      <c r="E20206" s="626"/>
      <c r="F20206" s="626"/>
    </row>
    <row r="20207" spans="1:6">
      <c r="A20207" t="str">
        <f t="shared" si="315"/>
        <v/>
      </c>
      <c r="E20207" s="626"/>
      <c r="F20207" s="626"/>
    </row>
    <row r="20208" spans="1:6">
      <c r="A20208" t="str">
        <f t="shared" si="315"/>
        <v/>
      </c>
      <c r="E20208" s="626"/>
      <c r="F20208" s="626"/>
    </row>
    <row r="20209" spans="1:6">
      <c r="A20209" t="str">
        <f t="shared" si="315"/>
        <v/>
      </c>
      <c r="E20209" s="626"/>
      <c r="F20209" s="626"/>
    </row>
    <row r="20210" spans="1:6">
      <c r="A20210" t="str">
        <f t="shared" si="315"/>
        <v/>
      </c>
      <c r="E20210" s="626"/>
      <c r="F20210" s="626"/>
    </row>
    <row r="20211" spans="1:6">
      <c r="A20211" t="str">
        <f t="shared" si="315"/>
        <v/>
      </c>
      <c r="E20211" s="626"/>
      <c r="F20211" s="626"/>
    </row>
    <row r="20212" spans="1:6">
      <c r="A20212" t="str">
        <f t="shared" si="315"/>
        <v/>
      </c>
      <c r="E20212" s="626"/>
      <c r="F20212" s="626"/>
    </row>
    <row r="20213" spans="1:6">
      <c r="A20213" t="str">
        <f t="shared" si="315"/>
        <v/>
      </c>
      <c r="E20213" s="626"/>
      <c r="F20213" s="626"/>
    </row>
    <row r="20214" spans="1:6">
      <c r="A20214" t="str">
        <f t="shared" si="315"/>
        <v/>
      </c>
      <c r="E20214" s="626"/>
      <c r="F20214" s="626"/>
    </row>
    <row r="20215" spans="1:6">
      <c r="A20215" t="str">
        <f t="shared" si="315"/>
        <v/>
      </c>
      <c r="E20215" s="626"/>
      <c r="F20215" s="626"/>
    </row>
    <row r="20216" spans="1:6">
      <c r="A20216" t="str">
        <f t="shared" si="315"/>
        <v/>
      </c>
      <c r="E20216" s="626"/>
      <c r="F20216" s="626"/>
    </row>
    <row r="20217" spans="1:6">
      <c r="A20217" t="str">
        <f t="shared" si="315"/>
        <v/>
      </c>
      <c r="E20217" s="626"/>
      <c r="F20217" s="626"/>
    </row>
    <row r="20218" spans="1:6">
      <c r="A20218" t="str">
        <f t="shared" si="315"/>
        <v/>
      </c>
      <c r="E20218" s="626"/>
      <c r="F20218" s="626"/>
    </row>
    <row r="20219" spans="1:6">
      <c r="A20219" t="str">
        <f t="shared" si="315"/>
        <v/>
      </c>
      <c r="E20219" s="626"/>
      <c r="F20219" s="626"/>
    </row>
    <row r="20220" spans="1:6">
      <c r="A20220" t="str">
        <f t="shared" si="315"/>
        <v/>
      </c>
      <c r="E20220" s="626"/>
      <c r="F20220" s="626"/>
    </row>
    <row r="20221" spans="1:6">
      <c r="A20221" t="str">
        <f t="shared" si="315"/>
        <v/>
      </c>
      <c r="E20221" s="626"/>
      <c r="F20221" s="626"/>
    </row>
    <row r="20222" spans="1:6">
      <c r="A20222" t="str">
        <f t="shared" si="315"/>
        <v/>
      </c>
      <c r="E20222" s="626"/>
      <c r="F20222" s="626"/>
    </row>
    <row r="20223" spans="1:6">
      <c r="A20223" t="str">
        <f t="shared" si="315"/>
        <v/>
      </c>
      <c r="E20223" s="626"/>
      <c r="F20223" s="626"/>
    </row>
    <row r="20224" spans="1:6">
      <c r="A20224" t="str">
        <f t="shared" si="315"/>
        <v/>
      </c>
      <c r="E20224" s="626"/>
      <c r="F20224" s="626"/>
    </row>
    <row r="20225" spans="1:6">
      <c r="A20225" t="str">
        <f t="shared" si="315"/>
        <v/>
      </c>
      <c r="E20225" s="626"/>
      <c r="F20225" s="626"/>
    </row>
    <row r="20226" spans="1:6">
      <c r="A20226" t="str">
        <f t="shared" ref="A20226:A20289" si="316">B20226&amp;E20226&amp;J20226</f>
        <v/>
      </c>
      <c r="E20226" s="626"/>
      <c r="F20226" s="626"/>
    </row>
    <row r="20227" spans="1:6">
      <c r="A20227" t="str">
        <f t="shared" si="316"/>
        <v/>
      </c>
      <c r="E20227" s="626"/>
      <c r="F20227" s="626"/>
    </row>
    <row r="20228" spans="1:6">
      <c r="A20228" t="str">
        <f t="shared" si="316"/>
        <v/>
      </c>
      <c r="E20228" s="626"/>
      <c r="F20228" s="626"/>
    </row>
    <row r="20229" spans="1:6">
      <c r="A20229" t="str">
        <f t="shared" si="316"/>
        <v/>
      </c>
      <c r="E20229" s="626"/>
      <c r="F20229" s="626"/>
    </row>
    <row r="20230" spans="1:6">
      <c r="A20230" t="str">
        <f t="shared" si="316"/>
        <v/>
      </c>
      <c r="E20230" s="626"/>
      <c r="F20230" s="626"/>
    </row>
    <row r="20231" spans="1:6">
      <c r="A20231" t="str">
        <f t="shared" si="316"/>
        <v/>
      </c>
      <c r="E20231" s="626"/>
      <c r="F20231" s="626"/>
    </row>
    <row r="20232" spans="1:6">
      <c r="A20232" t="str">
        <f t="shared" si="316"/>
        <v/>
      </c>
      <c r="E20232" s="626"/>
      <c r="F20232" s="626"/>
    </row>
    <row r="20233" spans="1:6">
      <c r="A20233" t="str">
        <f t="shared" si="316"/>
        <v/>
      </c>
      <c r="E20233" s="626"/>
      <c r="F20233" s="626"/>
    </row>
    <row r="20234" spans="1:6">
      <c r="A20234" t="str">
        <f t="shared" si="316"/>
        <v/>
      </c>
      <c r="E20234" s="626"/>
      <c r="F20234" s="626"/>
    </row>
    <row r="20235" spans="1:6">
      <c r="A20235" t="str">
        <f t="shared" si="316"/>
        <v/>
      </c>
      <c r="E20235" s="626"/>
      <c r="F20235" s="626"/>
    </row>
    <row r="20236" spans="1:6">
      <c r="A20236" t="str">
        <f t="shared" si="316"/>
        <v/>
      </c>
      <c r="E20236" s="626"/>
      <c r="F20236" s="626"/>
    </row>
    <row r="20237" spans="1:6">
      <c r="A20237" t="str">
        <f t="shared" si="316"/>
        <v/>
      </c>
      <c r="E20237" s="626"/>
      <c r="F20237" s="626"/>
    </row>
    <row r="20238" spans="1:6">
      <c r="A20238" t="str">
        <f t="shared" si="316"/>
        <v/>
      </c>
      <c r="E20238" s="626"/>
      <c r="F20238" s="626"/>
    </row>
    <row r="20239" spans="1:6">
      <c r="A20239" t="str">
        <f t="shared" si="316"/>
        <v/>
      </c>
      <c r="E20239" s="626"/>
      <c r="F20239" s="626"/>
    </row>
    <row r="20240" spans="1:6">
      <c r="A20240" t="str">
        <f t="shared" si="316"/>
        <v/>
      </c>
      <c r="E20240" s="626"/>
      <c r="F20240" s="626"/>
    </row>
    <row r="20241" spans="1:6">
      <c r="A20241" t="str">
        <f t="shared" si="316"/>
        <v/>
      </c>
      <c r="E20241" s="626"/>
      <c r="F20241" s="626"/>
    </row>
    <row r="20242" spans="1:6">
      <c r="A20242" t="str">
        <f t="shared" si="316"/>
        <v/>
      </c>
      <c r="E20242" s="626"/>
      <c r="F20242" s="626"/>
    </row>
    <row r="20243" spans="1:6">
      <c r="A20243" t="str">
        <f t="shared" si="316"/>
        <v/>
      </c>
      <c r="E20243" s="626"/>
      <c r="F20243" s="626"/>
    </row>
    <row r="20244" spans="1:6">
      <c r="A20244" t="str">
        <f t="shared" si="316"/>
        <v/>
      </c>
      <c r="E20244" s="626"/>
      <c r="F20244" s="626"/>
    </row>
    <row r="20245" spans="1:6">
      <c r="A20245" t="str">
        <f t="shared" si="316"/>
        <v/>
      </c>
      <c r="E20245" s="626"/>
      <c r="F20245" s="626"/>
    </row>
    <row r="20246" spans="1:6">
      <c r="A20246" t="str">
        <f t="shared" si="316"/>
        <v/>
      </c>
      <c r="E20246" s="626"/>
      <c r="F20246" s="626"/>
    </row>
    <row r="20247" spans="1:6">
      <c r="A20247" t="str">
        <f t="shared" si="316"/>
        <v/>
      </c>
      <c r="E20247" s="626"/>
      <c r="F20247" s="626"/>
    </row>
    <row r="20248" spans="1:6">
      <c r="A20248" t="str">
        <f t="shared" si="316"/>
        <v/>
      </c>
      <c r="E20248" s="626"/>
      <c r="F20248" s="626"/>
    </row>
    <row r="20249" spans="1:6">
      <c r="A20249" t="str">
        <f t="shared" si="316"/>
        <v/>
      </c>
      <c r="E20249" s="626"/>
      <c r="F20249" s="626"/>
    </row>
    <row r="20250" spans="1:6">
      <c r="A20250" t="str">
        <f t="shared" si="316"/>
        <v/>
      </c>
      <c r="E20250" s="626"/>
      <c r="F20250" s="626"/>
    </row>
    <row r="20251" spans="1:6">
      <c r="A20251" t="str">
        <f t="shared" si="316"/>
        <v/>
      </c>
      <c r="E20251" s="626"/>
      <c r="F20251" s="626"/>
    </row>
    <row r="20252" spans="1:6">
      <c r="A20252" t="str">
        <f t="shared" si="316"/>
        <v/>
      </c>
      <c r="E20252" s="626"/>
      <c r="F20252" s="626"/>
    </row>
    <row r="20253" spans="1:6">
      <c r="A20253" t="str">
        <f t="shared" si="316"/>
        <v/>
      </c>
      <c r="E20253" s="626"/>
      <c r="F20253" s="626"/>
    </row>
    <row r="20254" spans="1:6">
      <c r="A20254" t="str">
        <f t="shared" si="316"/>
        <v/>
      </c>
      <c r="E20254" s="626"/>
      <c r="F20254" s="626"/>
    </row>
    <row r="20255" spans="1:6">
      <c r="A20255" t="str">
        <f t="shared" si="316"/>
        <v/>
      </c>
      <c r="E20255" s="626"/>
      <c r="F20255" s="626"/>
    </row>
    <row r="20256" spans="1:6">
      <c r="A20256" t="str">
        <f t="shared" si="316"/>
        <v/>
      </c>
      <c r="E20256" s="626"/>
      <c r="F20256" s="626"/>
    </row>
    <row r="20257" spans="1:6">
      <c r="A20257" t="str">
        <f t="shared" si="316"/>
        <v/>
      </c>
      <c r="E20257" s="626"/>
      <c r="F20257" s="626"/>
    </row>
    <row r="20258" spans="1:6">
      <c r="A20258" t="str">
        <f t="shared" si="316"/>
        <v/>
      </c>
      <c r="E20258" s="626"/>
      <c r="F20258" s="626"/>
    </row>
    <row r="20259" spans="1:6">
      <c r="A20259" t="str">
        <f t="shared" si="316"/>
        <v/>
      </c>
      <c r="E20259" s="626"/>
      <c r="F20259" s="626"/>
    </row>
    <row r="20260" spans="1:6">
      <c r="A20260" t="str">
        <f t="shared" si="316"/>
        <v/>
      </c>
      <c r="E20260" s="626"/>
      <c r="F20260" s="626"/>
    </row>
    <row r="20261" spans="1:6">
      <c r="A20261" t="str">
        <f t="shared" si="316"/>
        <v/>
      </c>
      <c r="E20261" s="626"/>
      <c r="F20261" s="626"/>
    </row>
    <row r="20262" spans="1:6">
      <c r="A20262" t="str">
        <f t="shared" si="316"/>
        <v/>
      </c>
      <c r="E20262" s="626"/>
      <c r="F20262" s="626"/>
    </row>
    <row r="20263" spans="1:6">
      <c r="A20263" t="str">
        <f t="shared" si="316"/>
        <v/>
      </c>
      <c r="E20263" s="626"/>
      <c r="F20263" s="626"/>
    </row>
    <row r="20264" spans="1:6">
      <c r="A20264" t="str">
        <f t="shared" si="316"/>
        <v/>
      </c>
      <c r="E20264" s="626"/>
      <c r="F20264" s="626"/>
    </row>
    <row r="20265" spans="1:6">
      <c r="A20265" t="str">
        <f t="shared" si="316"/>
        <v/>
      </c>
      <c r="E20265" s="626"/>
      <c r="F20265" s="626"/>
    </row>
    <row r="20266" spans="1:6">
      <c r="A20266" t="str">
        <f t="shared" si="316"/>
        <v/>
      </c>
      <c r="E20266" s="626"/>
      <c r="F20266" s="626"/>
    </row>
    <row r="20267" spans="1:6">
      <c r="A20267" t="str">
        <f t="shared" si="316"/>
        <v/>
      </c>
      <c r="E20267" s="626"/>
      <c r="F20267" s="626"/>
    </row>
    <row r="20268" spans="1:6">
      <c r="A20268" t="str">
        <f t="shared" si="316"/>
        <v/>
      </c>
      <c r="E20268" s="626"/>
      <c r="F20268" s="626"/>
    </row>
    <row r="20269" spans="1:6">
      <c r="A20269" t="str">
        <f t="shared" si="316"/>
        <v/>
      </c>
      <c r="E20269" s="626"/>
      <c r="F20269" s="626"/>
    </row>
    <row r="20270" spans="1:6">
      <c r="A20270" t="str">
        <f t="shared" si="316"/>
        <v/>
      </c>
      <c r="E20270" s="626"/>
      <c r="F20270" s="626"/>
    </row>
    <row r="20271" spans="1:6">
      <c r="A20271" t="str">
        <f t="shared" si="316"/>
        <v/>
      </c>
      <c r="E20271" s="626"/>
      <c r="F20271" s="626"/>
    </row>
    <row r="20272" spans="1:6">
      <c r="A20272" t="str">
        <f t="shared" si="316"/>
        <v/>
      </c>
      <c r="E20272" s="626"/>
      <c r="F20272" s="626"/>
    </row>
    <row r="20273" spans="1:6">
      <c r="A20273" t="str">
        <f t="shared" si="316"/>
        <v/>
      </c>
      <c r="E20273" s="626"/>
      <c r="F20273" s="626"/>
    </row>
    <row r="20274" spans="1:6">
      <c r="A20274" t="str">
        <f t="shared" si="316"/>
        <v/>
      </c>
      <c r="E20274" s="626"/>
      <c r="F20274" s="626"/>
    </row>
    <row r="20275" spans="1:6">
      <c r="A20275" t="str">
        <f t="shared" si="316"/>
        <v/>
      </c>
      <c r="E20275" s="626"/>
      <c r="F20275" s="626"/>
    </row>
    <row r="20276" spans="1:6">
      <c r="A20276" t="str">
        <f t="shared" si="316"/>
        <v/>
      </c>
      <c r="E20276" s="626"/>
      <c r="F20276" s="626"/>
    </row>
    <row r="20277" spans="1:6">
      <c r="A20277" t="str">
        <f t="shared" si="316"/>
        <v/>
      </c>
      <c r="E20277" s="626"/>
      <c r="F20277" s="626"/>
    </row>
    <row r="20278" spans="1:6">
      <c r="A20278" t="str">
        <f t="shared" si="316"/>
        <v/>
      </c>
      <c r="E20278" s="626"/>
      <c r="F20278" s="626"/>
    </row>
    <row r="20279" spans="1:6">
      <c r="A20279" t="str">
        <f t="shared" si="316"/>
        <v/>
      </c>
      <c r="E20279" s="626"/>
      <c r="F20279" s="626"/>
    </row>
    <row r="20280" spans="1:6">
      <c r="A20280" t="str">
        <f t="shared" si="316"/>
        <v/>
      </c>
      <c r="E20280" s="626"/>
      <c r="F20280" s="626"/>
    </row>
    <row r="20281" spans="1:6">
      <c r="A20281" t="str">
        <f t="shared" si="316"/>
        <v/>
      </c>
      <c r="E20281" s="626"/>
      <c r="F20281" s="626"/>
    </row>
    <row r="20282" spans="1:6">
      <c r="A20282" t="str">
        <f t="shared" si="316"/>
        <v/>
      </c>
      <c r="E20282" s="626"/>
      <c r="F20282" s="626"/>
    </row>
    <row r="20283" spans="1:6">
      <c r="A20283" t="str">
        <f t="shared" si="316"/>
        <v/>
      </c>
      <c r="E20283" s="626"/>
      <c r="F20283" s="626"/>
    </row>
    <row r="20284" spans="1:6">
      <c r="A20284" t="str">
        <f t="shared" si="316"/>
        <v/>
      </c>
      <c r="E20284" s="626"/>
      <c r="F20284" s="626"/>
    </row>
    <row r="20285" spans="1:6">
      <c r="A20285" t="str">
        <f t="shared" si="316"/>
        <v/>
      </c>
      <c r="E20285" s="626"/>
      <c r="F20285" s="626"/>
    </row>
    <row r="20286" spans="1:6">
      <c r="A20286" t="str">
        <f t="shared" si="316"/>
        <v/>
      </c>
      <c r="E20286" s="626"/>
      <c r="F20286" s="626"/>
    </row>
    <row r="20287" spans="1:6">
      <c r="A20287" t="str">
        <f t="shared" si="316"/>
        <v/>
      </c>
      <c r="E20287" s="626"/>
      <c r="F20287" s="626"/>
    </row>
    <row r="20288" spans="1:6">
      <c r="A20288" t="str">
        <f t="shared" si="316"/>
        <v/>
      </c>
      <c r="E20288" s="626"/>
      <c r="F20288" s="626"/>
    </row>
    <row r="20289" spans="1:6">
      <c r="A20289" t="str">
        <f t="shared" si="316"/>
        <v/>
      </c>
      <c r="E20289" s="626"/>
      <c r="F20289" s="626"/>
    </row>
    <row r="20290" spans="1:6">
      <c r="A20290" t="str">
        <f t="shared" ref="A20290:A20353" si="317">B20290&amp;E20290&amp;J20290</f>
        <v/>
      </c>
      <c r="E20290" s="626"/>
      <c r="F20290" s="626"/>
    </row>
    <row r="20291" spans="1:6">
      <c r="A20291" t="str">
        <f t="shared" si="317"/>
        <v/>
      </c>
      <c r="E20291" s="626"/>
      <c r="F20291" s="626"/>
    </row>
    <row r="20292" spans="1:6">
      <c r="A20292" t="str">
        <f t="shared" si="317"/>
        <v/>
      </c>
      <c r="E20292" s="626"/>
      <c r="F20292" s="626"/>
    </row>
    <row r="20293" spans="1:6">
      <c r="A20293" t="str">
        <f t="shared" si="317"/>
        <v/>
      </c>
      <c r="E20293" s="626"/>
      <c r="F20293" s="626"/>
    </row>
    <row r="20294" spans="1:6">
      <c r="A20294" t="str">
        <f t="shared" si="317"/>
        <v/>
      </c>
      <c r="E20294" s="626"/>
      <c r="F20294" s="626"/>
    </row>
    <row r="20295" spans="1:6">
      <c r="A20295" t="str">
        <f t="shared" si="317"/>
        <v/>
      </c>
      <c r="E20295" s="626"/>
      <c r="F20295" s="626"/>
    </row>
    <row r="20296" spans="1:6">
      <c r="A20296" t="str">
        <f t="shared" si="317"/>
        <v/>
      </c>
      <c r="E20296" s="626"/>
      <c r="F20296" s="626"/>
    </row>
    <row r="20297" spans="1:6">
      <c r="A20297" t="str">
        <f t="shared" si="317"/>
        <v/>
      </c>
      <c r="E20297" s="626"/>
      <c r="F20297" s="626"/>
    </row>
    <row r="20298" spans="1:6">
      <c r="A20298" t="str">
        <f t="shared" si="317"/>
        <v/>
      </c>
      <c r="E20298" s="626"/>
      <c r="F20298" s="626"/>
    </row>
    <row r="20299" spans="1:6">
      <c r="A20299" t="str">
        <f t="shared" si="317"/>
        <v/>
      </c>
      <c r="E20299" s="626"/>
      <c r="F20299" s="626"/>
    </row>
    <row r="20300" spans="1:6">
      <c r="A20300" t="str">
        <f t="shared" si="317"/>
        <v/>
      </c>
      <c r="E20300" s="626"/>
      <c r="F20300" s="626"/>
    </row>
    <row r="20301" spans="1:6">
      <c r="A20301" t="str">
        <f t="shared" si="317"/>
        <v/>
      </c>
      <c r="E20301" s="626"/>
      <c r="F20301" s="626"/>
    </row>
    <row r="20302" spans="1:6">
      <c r="A20302" t="str">
        <f t="shared" si="317"/>
        <v/>
      </c>
      <c r="E20302" s="626"/>
      <c r="F20302" s="626"/>
    </row>
    <row r="20303" spans="1:6">
      <c r="A20303" t="str">
        <f t="shared" si="317"/>
        <v/>
      </c>
      <c r="E20303" s="626"/>
      <c r="F20303" s="626"/>
    </row>
    <row r="20304" spans="1:6">
      <c r="A20304" t="str">
        <f t="shared" si="317"/>
        <v/>
      </c>
      <c r="E20304" s="626"/>
      <c r="F20304" s="626"/>
    </row>
    <row r="20305" spans="1:6">
      <c r="A20305" t="str">
        <f t="shared" si="317"/>
        <v/>
      </c>
      <c r="E20305" s="626"/>
      <c r="F20305" s="626"/>
    </row>
    <row r="20306" spans="1:6">
      <c r="A20306" t="str">
        <f t="shared" si="317"/>
        <v/>
      </c>
      <c r="E20306" s="626"/>
      <c r="F20306" s="626"/>
    </row>
    <row r="20307" spans="1:6">
      <c r="A20307" t="str">
        <f t="shared" si="317"/>
        <v/>
      </c>
      <c r="E20307" s="626"/>
      <c r="F20307" s="626"/>
    </row>
    <row r="20308" spans="1:6">
      <c r="A20308" t="str">
        <f t="shared" si="317"/>
        <v/>
      </c>
      <c r="E20308" s="626"/>
      <c r="F20308" s="626"/>
    </row>
    <row r="20309" spans="1:6">
      <c r="A20309" t="str">
        <f t="shared" si="317"/>
        <v/>
      </c>
      <c r="E20309" s="626"/>
      <c r="F20309" s="626"/>
    </row>
    <row r="20310" spans="1:6">
      <c r="A20310" t="str">
        <f t="shared" si="317"/>
        <v/>
      </c>
      <c r="E20310" s="626"/>
      <c r="F20310" s="626"/>
    </row>
    <row r="20311" spans="1:6">
      <c r="A20311" t="str">
        <f t="shared" si="317"/>
        <v/>
      </c>
      <c r="E20311" s="626"/>
      <c r="F20311" s="626"/>
    </row>
    <row r="20312" spans="1:6">
      <c r="A20312" t="str">
        <f t="shared" si="317"/>
        <v/>
      </c>
      <c r="E20312" s="626"/>
      <c r="F20312" s="626"/>
    </row>
    <row r="20313" spans="1:6">
      <c r="A20313" t="str">
        <f t="shared" si="317"/>
        <v/>
      </c>
      <c r="E20313" s="626"/>
      <c r="F20313" s="626"/>
    </row>
    <row r="20314" spans="1:6">
      <c r="A20314" t="str">
        <f t="shared" si="317"/>
        <v/>
      </c>
      <c r="E20314" s="626"/>
      <c r="F20314" s="626"/>
    </row>
    <row r="20315" spans="1:6">
      <c r="A20315" t="str">
        <f t="shared" si="317"/>
        <v/>
      </c>
      <c r="E20315" s="626"/>
      <c r="F20315" s="626"/>
    </row>
    <row r="20316" spans="1:6">
      <c r="A20316" t="str">
        <f t="shared" si="317"/>
        <v/>
      </c>
      <c r="E20316" s="626"/>
      <c r="F20316" s="626"/>
    </row>
    <row r="20317" spans="1:6">
      <c r="A20317" t="str">
        <f t="shared" si="317"/>
        <v/>
      </c>
      <c r="E20317" s="626"/>
      <c r="F20317" s="626"/>
    </row>
    <row r="20318" spans="1:6">
      <c r="A20318" t="str">
        <f t="shared" si="317"/>
        <v/>
      </c>
      <c r="E20318" s="626"/>
      <c r="F20318" s="626"/>
    </row>
    <row r="20319" spans="1:6">
      <c r="A20319" t="str">
        <f t="shared" si="317"/>
        <v/>
      </c>
      <c r="E20319" s="626"/>
      <c r="F20319" s="626"/>
    </row>
    <row r="20320" spans="1:6">
      <c r="A20320" t="str">
        <f t="shared" si="317"/>
        <v/>
      </c>
      <c r="E20320" s="626"/>
      <c r="F20320" s="626"/>
    </row>
    <row r="20321" spans="1:6">
      <c r="A20321" t="str">
        <f t="shared" si="317"/>
        <v/>
      </c>
      <c r="E20321" s="626"/>
      <c r="F20321" s="626"/>
    </row>
    <row r="20322" spans="1:6">
      <c r="A20322" t="str">
        <f t="shared" si="317"/>
        <v/>
      </c>
      <c r="E20322" s="626"/>
      <c r="F20322" s="626"/>
    </row>
    <row r="20323" spans="1:6">
      <c r="A20323" t="str">
        <f t="shared" si="317"/>
        <v/>
      </c>
      <c r="E20323" s="626"/>
      <c r="F20323" s="626"/>
    </row>
    <row r="20324" spans="1:6">
      <c r="A20324" t="str">
        <f t="shared" si="317"/>
        <v/>
      </c>
      <c r="E20324" s="626"/>
      <c r="F20324" s="626"/>
    </row>
    <row r="20325" spans="1:6">
      <c r="A20325" t="str">
        <f t="shared" si="317"/>
        <v/>
      </c>
      <c r="E20325" s="626"/>
      <c r="F20325" s="626"/>
    </row>
    <row r="20326" spans="1:6">
      <c r="A20326" t="str">
        <f t="shared" si="317"/>
        <v/>
      </c>
      <c r="E20326" s="626"/>
      <c r="F20326" s="626"/>
    </row>
    <row r="20327" spans="1:6">
      <c r="A20327" t="str">
        <f t="shared" si="317"/>
        <v/>
      </c>
      <c r="E20327" s="626"/>
      <c r="F20327" s="626"/>
    </row>
    <row r="20328" spans="1:6">
      <c r="A20328" t="str">
        <f t="shared" si="317"/>
        <v/>
      </c>
      <c r="E20328" s="626"/>
      <c r="F20328" s="626"/>
    </row>
    <row r="20329" spans="1:6">
      <c r="A20329" t="str">
        <f t="shared" si="317"/>
        <v/>
      </c>
      <c r="E20329" s="626"/>
      <c r="F20329" s="626"/>
    </row>
    <row r="20330" spans="1:6">
      <c r="A20330" t="str">
        <f t="shared" si="317"/>
        <v/>
      </c>
      <c r="E20330" s="626"/>
      <c r="F20330" s="626"/>
    </row>
    <row r="20331" spans="1:6">
      <c r="A20331" t="str">
        <f t="shared" si="317"/>
        <v/>
      </c>
      <c r="E20331" s="626"/>
      <c r="F20331" s="626"/>
    </row>
    <row r="20332" spans="1:6">
      <c r="A20332" t="str">
        <f t="shared" si="317"/>
        <v/>
      </c>
      <c r="E20332" s="626"/>
      <c r="F20332" s="626"/>
    </row>
    <row r="20333" spans="1:6">
      <c r="A20333" t="str">
        <f t="shared" si="317"/>
        <v/>
      </c>
      <c r="E20333" s="626"/>
      <c r="F20333" s="626"/>
    </row>
    <row r="20334" spans="1:6">
      <c r="A20334" t="str">
        <f t="shared" si="317"/>
        <v/>
      </c>
      <c r="E20334" s="626"/>
      <c r="F20334" s="626"/>
    </row>
    <row r="20335" spans="1:6">
      <c r="A20335" t="str">
        <f t="shared" si="317"/>
        <v/>
      </c>
      <c r="E20335" s="626"/>
      <c r="F20335" s="626"/>
    </row>
    <row r="20336" spans="1:6">
      <c r="A20336" t="str">
        <f t="shared" si="317"/>
        <v/>
      </c>
      <c r="E20336" s="626"/>
      <c r="F20336" s="626"/>
    </row>
    <row r="20337" spans="1:6">
      <c r="A20337" t="str">
        <f t="shared" si="317"/>
        <v/>
      </c>
      <c r="E20337" s="626"/>
      <c r="F20337" s="626"/>
    </row>
    <row r="20338" spans="1:6">
      <c r="A20338" t="str">
        <f t="shared" si="317"/>
        <v/>
      </c>
      <c r="E20338" s="626"/>
      <c r="F20338" s="626"/>
    </row>
    <row r="20339" spans="1:6">
      <c r="A20339" t="str">
        <f t="shared" si="317"/>
        <v/>
      </c>
      <c r="E20339" s="626"/>
      <c r="F20339" s="626"/>
    </row>
    <row r="20340" spans="1:6">
      <c r="A20340" t="str">
        <f t="shared" si="317"/>
        <v/>
      </c>
      <c r="E20340" s="626"/>
      <c r="F20340" s="626"/>
    </row>
    <row r="20341" spans="1:6">
      <c r="A20341" t="str">
        <f t="shared" si="317"/>
        <v/>
      </c>
      <c r="E20341" s="626"/>
      <c r="F20341" s="626"/>
    </row>
    <row r="20342" spans="1:6">
      <c r="A20342" t="str">
        <f t="shared" si="317"/>
        <v/>
      </c>
      <c r="E20342" s="626"/>
      <c r="F20342" s="626"/>
    </row>
    <row r="20343" spans="1:6">
      <c r="A20343" t="str">
        <f t="shared" si="317"/>
        <v/>
      </c>
      <c r="E20343" s="626"/>
      <c r="F20343" s="626"/>
    </row>
    <row r="20344" spans="1:6">
      <c r="A20344" t="str">
        <f t="shared" si="317"/>
        <v/>
      </c>
      <c r="E20344" s="626"/>
      <c r="F20344" s="626"/>
    </row>
    <row r="20345" spans="1:6">
      <c r="A20345" t="str">
        <f t="shared" si="317"/>
        <v/>
      </c>
      <c r="E20345" s="626"/>
      <c r="F20345" s="626"/>
    </row>
    <row r="20346" spans="1:6">
      <c r="A20346" t="str">
        <f t="shared" si="317"/>
        <v/>
      </c>
      <c r="E20346" s="626"/>
      <c r="F20346" s="626"/>
    </row>
    <row r="20347" spans="1:6">
      <c r="A20347" t="str">
        <f t="shared" si="317"/>
        <v/>
      </c>
      <c r="E20347" s="626"/>
      <c r="F20347" s="626"/>
    </row>
    <row r="20348" spans="1:6">
      <c r="A20348" t="str">
        <f t="shared" si="317"/>
        <v/>
      </c>
      <c r="E20348" s="626"/>
      <c r="F20348" s="626"/>
    </row>
    <row r="20349" spans="1:6">
      <c r="A20349" t="str">
        <f t="shared" si="317"/>
        <v/>
      </c>
      <c r="E20349" s="626"/>
      <c r="F20349" s="626"/>
    </row>
    <row r="20350" spans="1:6">
      <c r="A20350" t="str">
        <f t="shared" si="317"/>
        <v/>
      </c>
      <c r="E20350" s="626"/>
      <c r="F20350" s="626"/>
    </row>
    <row r="20351" spans="1:6">
      <c r="A20351" t="str">
        <f t="shared" si="317"/>
        <v/>
      </c>
      <c r="E20351" s="626"/>
      <c r="F20351" s="626"/>
    </row>
    <row r="20352" spans="1:6">
      <c r="A20352" t="str">
        <f t="shared" si="317"/>
        <v/>
      </c>
      <c r="E20352" s="626"/>
      <c r="F20352" s="626"/>
    </row>
    <row r="20353" spans="1:6">
      <c r="A20353" t="str">
        <f t="shared" si="317"/>
        <v/>
      </c>
      <c r="E20353" s="626"/>
      <c r="F20353" s="626"/>
    </row>
    <row r="20354" spans="1:6">
      <c r="A20354" t="str">
        <f t="shared" ref="A20354:A20417" si="318">B20354&amp;E20354&amp;J20354</f>
        <v/>
      </c>
      <c r="E20354" s="626"/>
      <c r="F20354" s="626"/>
    </row>
    <row r="20355" spans="1:6">
      <c r="A20355" t="str">
        <f t="shared" si="318"/>
        <v/>
      </c>
      <c r="E20355" s="626"/>
      <c r="F20355" s="626"/>
    </row>
    <row r="20356" spans="1:6">
      <c r="A20356" t="str">
        <f t="shared" si="318"/>
        <v/>
      </c>
      <c r="E20356" s="626"/>
      <c r="F20356" s="626"/>
    </row>
    <row r="20357" spans="1:6">
      <c r="A20357" t="str">
        <f t="shared" si="318"/>
        <v/>
      </c>
      <c r="E20357" s="626"/>
      <c r="F20357" s="626"/>
    </row>
    <row r="20358" spans="1:6">
      <c r="A20358" t="str">
        <f t="shared" si="318"/>
        <v/>
      </c>
      <c r="E20358" s="626"/>
      <c r="F20358" s="626"/>
    </row>
    <row r="20359" spans="1:6">
      <c r="A20359" t="str">
        <f t="shared" si="318"/>
        <v/>
      </c>
      <c r="E20359" s="626"/>
      <c r="F20359" s="626"/>
    </row>
    <row r="20360" spans="1:6">
      <c r="A20360" t="str">
        <f t="shared" si="318"/>
        <v/>
      </c>
      <c r="E20360" s="626"/>
      <c r="F20360" s="626"/>
    </row>
    <row r="20361" spans="1:6">
      <c r="A20361" t="str">
        <f t="shared" si="318"/>
        <v/>
      </c>
      <c r="E20361" s="626"/>
      <c r="F20361" s="626"/>
    </row>
    <row r="20362" spans="1:6">
      <c r="A20362" t="str">
        <f t="shared" si="318"/>
        <v/>
      </c>
      <c r="E20362" s="626"/>
      <c r="F20362" s="626"/>
    </row>
    <row r="20363" spans="1:6">
      <c r="A20363" t="str">
        <f t="shared" si="318"/>
        <v/>
      </c>
      <c r="E20363" s="626"/>
      <c r="F20363" s="626"/>
    </row>
    <row r="20364" spans="1:6">
      <c r="A20364" t="str">
        <f t="shared" si="318"/>
        <v/>
      </c>
      <c r="E20364" s="626"/>
      <c r="F20364" s="626"/>
    </row>
    <row r="20365" spans="1:6">
      <c r="A20365" t="str">
        <f t="shared" si="318"/>
        <v/>
      </c>
      <c r="E20365" s="626"/>
      <c r="F20365" s="626"/>
    </row>
    <row r="20366" spans="1:6">
      <c r="A20366" t="str">
        <f t="shared" si="318"/>
        <v/>
      </c>
      <c r="E20366" s="626"/>
      <c r="F20366" s="626"/>
    </row>
    <row r="20367" spans="1:6">
      <c r="A20367" t="str">
        <f t="shared" si="318"/>
        <v/>
      </c>
      <c r="E20367" s="626"/>
      <c r="F20367" s="626"/>
    </row>
    <row r="20368" spans="1:6">
      <c r="A20368" t="str">
        <f t="shared" si="318"/>
        <v/>
      </c>
      <c r="E20368" s="626"/>
      <c r="F20368" s="626"/>
    </row>
    <row r="20369" spans="1:6">
      <c r="A20369" t="str">
        <f t="shared" si="318"/>
        <v/>
      </c>
      <c r="E20369" s="626"/>
      <c r="F20369" s="626"/>
    </row>
    <row r="20370" spans="1:6">
      <c r="A20370" t="str">
        <f t="shared" si="318"/>
        <v/>
      </c>
      <c r="E20370" s="626"/>
      <c r="F20370" s="626"/>
    </row>
    <row r="20371" spans="1:6">
      <c r="A20371" t="str">
        <f t="shared" si="318"/>
        <v/>
      </c>
      <c r="E20371" s="626"/>
      <c r="F20371" s="626"/>
    </row>
    <row r="20372" spans="1:6">
      <c r="A20372" t="str">
        <f t="shared" si="318"/>
        <v/>
      </c>
      <c r="E20372" s="626"/>
      <c r="F20372" s="626"/>
    </row>
    <row r="20373" spans="1:6">
      <c r="A20373" t="str">
        <f t="shared" si="318"/>
        <v/>
      </c>
      <c r="E20373" s="626"/>
      <c r="F20373" s="626"/>
    </row>
    <row r="20374" spans="1:6">
      <c r="A20374" t="str">
        <f t="shared" si="318"/>
        <v/>
      </c>
      <c r="E20374" s="626"/>
      <c r="F20374" s="626"/>
    </row>
    <row r="20375" spans="1:6">
      <c r="A20375" t="str">
        <f t="shared" si="318"/>
        <v/>
      </c>
      <c r="E20375" s="626"/>
      <c r="F20375" s="626"/>
    </row>
    <row r="20376" spans="1:6">
      <c r="A20376" t="str">
        <f t="shared" si="318"/>
        <v/>
      </c>
      <c r="E20376" s="626"/>
      <c r="F20376" s="626"/>
    </row>
    <row r="20377" spans="1:6">
      <c r="A20377" t="str">
        <f t="shared" si="318"/>
        <v/>
      </c>
      <c r="E20377" s="626"/>
      <c r="F20377" s="626"/>
    </row>
    <row r="20378" spans="1:6">
      <c r="A20378" t="str">
        <f t="shared" si="318"/>
        <v/>
      </c>
      <c r="E20378" s="626"/>
      <c r="F20378" s="626"/>
    </row>
    <row r="20379" spans="1:6">
      <c r="A20379" t="str">
        <f t="shared" si="318"/>
        <v/>
      </c>
      <c r="E20379" s="626"/>
      <c r="F20379" s="626"/>
    </row>
    <row r="20380" spans="1:6">
      <c r="A20380" t="str">
        <f t="shared" si="318"/>
        <v/>
      </c>
      <c r="E20380" s="626"/>
      <c r="F20380" s="626"/>
    </row>
    <row r="20381" spans="1:6">
      <c r="A20381" t="str">
        <f t="shared" si="318"/>
        <v/>
      </c>
      <c r="E20381" s="626"/>
      <c r="F20381" s="626"/>
    </row>
    <row r="20382" spans="1:6">
      <c r="A20382" t="str">
        <f t="shared" si="318"/>
        <v/>
      </c>
      <c r="E20382" s="626"/>
      <c r="F20382" s="626"/>
    </row>
    <row r="20383" spans="1:6">
      <c r="A20383" t="str">
        <f t="shared" si="318"/>
        <v/>
      </c>
      <c r="E20383" s="626"/>
      <c r="F20383" s="626"/>
    </row>
    <row r="20384" spans="1:6">
      <c r="A20384" t="str">
        <f t="shared" si="318"/>
        <v/>
      </c>
      <c r="E20384" s="626"/>
      <c r="F20384" s="626"/>
    </row>
    <row r="20385" spans="1:6">
      <c r="A20385" t="str">
        <f t="shared" si="318"/>
        <v/>
      </c>
      <c r="E20385" s="626"/>
      <c r="F20385" s="626"/>
    </row>
    <row r="20386" spans="1:6">
      <c r="A20386" t="str">
        <f t="shared" si="318"/>
        <v/>
      </c>
      <c r="E20386" s="626"/>
      <c r="F20386" s="626"/>
    </row>
    <row r="20387" spans="1:6">
      <c r="A20387" t="str">
        <f t="shared" si="318"/>
        <v/>
      </c>
      <c r="E20387" s="626"/>
      <c r="F20387" s="626"/>
    </row>
    <row r="20388" spans="1:6">
      <c r="A20388" t="str">
        <f t="shared" si="318"/>
        <v/>
      </c>
      <c r="E20388" s="626"/>
      <c r="F20388" s="626"/>
    </row>
    <row r="20389" spans="1:6">
      <c r="A20389" t="str">
        <f t="shared" si="318"/>
        <v/>
      </c>
      <c r="E20389" s="626"/>
      <c r="F20389" s="626"/>
    </row>
    <row r="20390" spans="1:6">
      <c r="A20390" t="str">
        <f t="shared" si="318"/>
        <v/>
      </c>
      <c r="E20390" s="626"/>
      <c r="F20390" s="626"/>
    </row>
    <row r="20391" spans="1:6">
      <c r="A20391" t="str">
        <f t="shared" si="318"/>
        <v/>
      </c>
      <c r="E20391" s="626"/>
      <c r="F20391" s="626"/>
    </row>
    <row r="20392" spans="1:6">
      <c r="A20392" t="str">
        <f t="shared" si="318"/>
        <v/>
      </c>
      <c r="E20392" s="626"/>
      <c r="F20392" s="626"/>
    </row>
    <row r="20393" spans="1:6">
      <c r="A20393" t="str">
        <f t="shared" si="318"/>
        <v/>
      </c>
      <c r="E20393" s="626"/>
      <c r="F20393" s="626"/>
    </row>
    <row r="20394" spans="1:6">
      <c r="A20394" t="str">
        <f t="shared" si="318"/>
        <v/>
      </c>
      <c r="E20394" s="626"/>
      <c r="F20394" s="626"/>
    </row>
    <row r="20395" spans="1:6">
      <c r="A20395" t="str">
        <f t="shared" si="318"/>
        <v/>
      </c>
      <c r="E20395" s="626"/>
      <c r="F20395" s="626"/>
    </row>
    <row r="20396" spans="1:6">
      <c r="A20396" t="str">
        <f t="shared" si="318"/>
        <v/>
      </c>
      <c r="E20396" s="626"/>
      <c r="F20396" s="626"/>
    </row>
    <row r="20397" spans="1:6">
      <c r="A20397" t="str">
        <f t="shared" si="318"/>
        <v/>
      </c>
      <c r="E20397" s="626"/>
      <c r="F20397" s="626"/>
    </row>
    <row r="20398" spans="1:6">
      <c r="A20398" t="str">
        <f t="shared" si="318"/>
        <v/>
      </c>
      <c r="E20398" s="626"/>
      <c r="F20398" s="626"/>
    </row>
    <row r="20399" spans="1:6">
      <c r="A20399" t="str">
        <f t="shared" si="318"/>
        <v/>
      </c>
      <c r="E20399" s="626"/>
      <c r="F20399" s="626"/>
    </row>
    <row r="20400" spans="1:6">
      <c r="A20400" t="str">
        <f t="shared" si="318"/>
        <v/>
      </c>
      <c r="E20400" s="626"/>
      <c r="F20400" s="626"/>
    </row>
    <row r="20401" spans="1:6">
      <c r="A20401" t="str">
        <f t="shared" si="318"/>
        <v/>
      </c>
      <c r="E20401" s="626"/>
      <c r="F20401" s="626"/>
    </row>
    <row r="20402" spans="1:6">
      <c r="A20402" t="str">
        <f t="shared" si="318"/>
        <v/>
      </c>
      <c r="E20402" s="626"/>
      <c r="F20402" s="626"/>
    </row>
    <row r="20403" spans="1:6">
      <c r="A20403" t="str">
        <f t="shared" si="318"/>
        <v/>
      </c>
      <c r="E20403" s="626"/>
      <c r="F20403" s="626"/>
    </row>
    <row r="20404" spans="1:6">
      <c r="A20404" t="str">
        <f t="shared" si="318"/>
        <v/>
      </c>
      <c r="E20404" s="626"/>
      <c r="F20404" s="626"/>
    </row>
    <row r="20405" spans="1:6">
      <c r="A20405" t="str">
        <f t="shared" si="318"/>
        <v/>
      </c>
      <c r="E20405" s="626"/>
      <c r="F20405" s="626"/>
    </row>
    <row r="20406" spans="1:6">
      <c r="A20406" t="str">
        <f t="shared" si="318"/>
        <v/>
      </c>
      <c r="E20406" s="626"/>
      <c r="F20406" s="626"/>
    </row>
    <row r="20407" spans="1:6">
      <c r="A20407" t="str">
        <f t="shared" si="318"/>
        <v/>
      </c>
      <c r="E20407" s="626"/>
      <c r="F20407" s="626"/>
    </row>
    <row r="20408" spans="1:6">
      <c r="A20408" t="str">
        <f t="shared" si="318"/>
        <v/>
      </c>
      <c r="E20408" s="626"/>
      <c r="F20408" s="626"/>
    </row>
    <row r="20409" spans="1:6">
      <c r="A20409" t="str">
        <f t="shared" si="318"/>
        <v/>
      </c>
      <c r="E20409" s="626"/>
      <c r="F20409" s="626"/>
    </row>
    <row r="20410" spans="1:6">
      <c r="A20410" t="str">
        <f t="shared" si="318"/>
        <v/>
      </c>
      <c r="E20410" s="626"/>
      <c r="F20410" s="626"/>
    </row>
    <row r="20411" spans="1:6">
      <c r="A20411" t="str">
        <f t="shared" si="318"/>
        <v/>
      </c>
      <c r="E20411" s="626"/>
      <c r="F20411" s="626"/>
    </row>
    <row r="20412" spans="1:6">
      <c r="A20412" t="str">
        <f t="shared" si="318"/>
        <v/>
      </c>
      <c r="E20412" s="626"/>
      <c r="F20412" s="626"/>
    </row>
    <row r="20413" spans="1:6">
      <c r="A20413" t="str">
        <f t="shared" si="318"/>
        <v/>
      </c>
      <c r="E20413" s="626"/>
      <c r="F20413" s="626"/>
    </row>
    <row r="20414" spans="1:6">
      <c r="A20414" t="str">
        <f t="shared" si="318"/>
        <v/>
      </c>
      <c r="E20414" s="626"/>
      <c r="F20414" s="626"/>
    </row>
    <row r="20415" spans="1:6">
      <c r="A20415" t="str">
        <f t="shared" si="318"/>
        <v/>
      </c>
      <c r="E20415" s="626"/>
      <c r="F20415" s="626"/>
    </row>
    <row r="20416" spans="1:6">
      <c r="A20416" t="str">
        <f t="shared" si="318"/>
        <v/>
      </c>
      <c r="E20416" s="626"/>
      <c r="F20416" s="626"/>
    </row>
    <row r="20417" spans="1:6">
      <c r="A20417" t="str">
        <f t="shared" si="318"/>
        <v/>
      </c>
      <c r="E20417" s="626"/>
      <c r="F20417" s="626"/>
    </row>
    <row r="20418" spans="1:6">
      <c r="A20418" t="str">
        <f t="shared" ref="A20418:A20481" si="319">B20418&amp;E20418&amp;J20418</f>
        <v/>
      </c>
      <c r="E20418" s="626"/>
      <c r="F20418" s="626"/>
    </row>
    <row r="20419" spans="1:6">
      <c r="A20419" t="str">
        <f t="shared" si="319"/>
        <v/>
      </c>
      <c r="E20419" s="626"/>
      <c r="F20419" s="626"/>
    </row>
    <row r="20420" spans="1:6">
      <c r="A20420" t="str">
        <f t="shared" si="319"/>
        <v/>
      </c>
      <c r="E20420" s="626"/>
      <c r="F20420" s="626"/>
    </row>
    <row r="20421" spans="1:6">
      <c r="A20421" t="str">
        <f t="shared" si="319"/>
        <v/>
      </c>
      <c r="E20421" s="626"/>
      <c r="F20421" s="626"/>
    </row>
    <row r="20422" spans="1:6">
      <c r="A20422" t="str">
        <f t="shared" si="319"/>
        <v/>
      </c>
      <c r="E20422" s="626"/>
      <c r="F20422" s="626"/>
    </row>
    <row r="20423" spans="1:6">
      <c r="A20423" t="str">
        <f t="shared" si="319"/>
        <v/>
      </c>
      <c r="E20423" s="626"/>
      <c r="F20423" s="626"/>
    </row>
    <row r="20424" spans="1:6">
      <c r="A20424" t="str">
        <f t="shared" si="319"/>
        <v/>
      </c>
      <c r="E20424" s="626"/>
      <c r="F20424" s="626"/>
    </row>
    <row r="20425" spans="1:6">
      <c r="A20425" t="str">
        <f t="shared" si="319"/>
        <v/>
      </c>
      <c r="E20425" s="626"/>
      <c r="F20425" s="626"/>
    </row>
    <row r="20426" spans="1:6">
      <c r="A20426" t="str">
        <f t="shared" si="319"/>
        <v/>
      </c>
      <c r="E20426" s="626"/>
      <c r="F20426" s="626"/>
    </row>
    <row r="20427" spans="1:6">
      <c r="A20427" t="str">
        <f t="shared" si="319"/>
        <v/>
      </c>
      <c r="E20427" s="626"/>
      <c r="F20427" s="626"/>
    </row>
    <row r="20428" spans="1:6">
      <c r="A20428" t="str">
        <f t="shared" si="319"/>
        <v/>
      </c>
      <c r="E20428" s="626"/>
      <c r="F20428" s="626"/>
    </row>
    <row r="20429" spans="1:6">
      <c r="A20429" t="str">
        <f t="shared" si="319"/>
        <v/>
      </c>
      <c r="E20429" s="626"/>
      <c r="F20429" s="626"/>
    </row>
    <row r="20430" spans="1:6">
      <c r="A20430" t="str">
        <f t="shared" si="319"/>
        <v/>
      </c>
      <c r="E20430" s="626"/>
      <c r="F20430" s="626"/>
    </row>
    <row r="20431" spans="1:6">
      <c r="A20431" t="str">
        <f t="shared" si="319"/>
        <v/>
      </c>
      <c r="E20431" s="626"/>
      <c r="F20431" s="626"/>
    </row>
    <row r="20432" spans="1:6">
      <c r="A20432" t="str">
        <f t="shared" si="319"/>
        <v/>
      </c>
      <c r="E20432" s="626"/>
      <c r="F20432" s="626"/>
    </row>
    <row r="20433" spans="1:6">
      <c r="A20433" t="str">
        <f t="shared" si="319"/>
        <v/>
      </c>
      <c r="E20433" s="626"/>
      <c r="F20433" s="626"/>
    </row>
    <row r="20434" spans="1:6">
      <c r="A20434" t="str">
        <f t="shared" si="319"/>
        <v/>
      </c>
      <c r="E20434" s="626"/>
      <c r="F20434" s="626"/>
    </row>
    <row r="20435" spans="1:6">
      <c r="A20435" t="str">
        <f t="shared" si="319"/>
        <v/>
      </c>
      <c r="E20435" s="626"/>
      <c r="F20435" s="626"/>
    </row>
    <row r="20436" spans="1:6">
      <c r="A20436" t="str">
        <f t="shared" si="319"/>
        <v/>
      </c>
      <c r="E20436" s="626"/>
      <c r="F20436" s="626"/>
    </row>
    <row r="20437" spans="1:6">
      <c r="A20437" t="str">
        <f t="shared" si="319"/>
        <v/>
      </c>
      <c r="E20437" s="626"/>
      <c r="F20437" s="626"/>
    </row>
    <row r="20438" spans="1:6">
      <c r="A20438" t="str">
        <f t="shared" si="319"/>
        <v/>
      </c>
      <c r="E20438" s="626"/>
      <c r="F20438" s="626"/>
    </row>
    <row r="20439" spans="1:6">
      <c r="A20439" t="str">
        <f t="shared" si="319"/>
        <v/>
      </c>
      <c r="E20439" s="626"/>
      <c r="F20439" s="626"/>
    </row>
    <row r="20440" spans="1:6">
      <c r="A20440" t="str">
        <f t="shared" si="319"/>
        <v/>
      </c>
      <c r="E20440" s="626"/>
      <c r="F20440" s="626"/>
    </row>
    <row r="20441" spans="1:6">
      <c r="A20441" t="str">
        <f t="shared" si="319"/>
        <v/>
      </c>
      <c r="E20441" s="626"/>
      <c r="F20441" s="626"/>
    </row>
    <row r="20442" spans="1:6">
      <c r="A20442" t="str">
        <f t="shared" si="319"/>
        <v/>
      </c>
      <c r="E20442" s="626"/>
      <c r="F20442" s="626"/>
    </row>
    <row r="20443" spans="1:6">
      <c r="A20443" t="str">
        <f t="shared" si="319"/>
        <v/>
      </c>
      <c r="E20443" s="626"/>
      <c r="F20443" s="626"/>
    </row>
    <row r="20444" spans="1:6">
      <c r="A20444" t="str">
        <f t="shared" si="319"/>
        <v/>
      </c>
      <c r="E20444" s="626"/>
      <c r="F20444" s="626"/>
    </row>
    <row r="20445" spans="1:6">
      <c r="A20445" t="str">
        <f t="shared" si="319"/>
        <v/>
      </c>
      <c r="E20445" s="626"/>
      <c r="F20445" s="626"/>
    </row>
    <row r="20446" spans="1:6">
      <c r="A20446" t="str">
        <f t="shared" si="319"/>
        <v/>
      </c>
      <c r="E20446" s="626"/>
      <c r="F20446" s="626"/>
    </row>
    <row r="20447" spans="1:6">
      <c r="A20447" t="str">
        <f t="shared" si="319"/>
        <v/>
      </c>
      <c r="E20447" s="626"/>
      <c r="F20447" s="626"/>
    </row>
    <row r="20448" spans="1:6">
      <c r="A20448" t="str">
        <f t="shared" si="319"/>
        <v/>
      </c>
      <c r="E20448" s="626"/>
      <c r="F20448" s="626"/>
    </row>
    <row r="20449" spans="1:6">
      <c r="A20449" t="str">
        <f t="shared" si="319"/>
        <v/>
      </c>
      <c r="E20449" s="626"/>
      <c r="F20449" s="626"/>
    </row>
    <row r="20450" spans="1:6">
      <c r="A20450" t="str">
        <f t="shared" si="319"/>
        <v/>
      </c>
      <c r="E20450" s="626"/>
      <c r="F20450" s="626"/>
    </row>
    <row r="20451" spans="1:6">
      <c r="A20451" t="str">
        <f t="shared" si="319"/>
        <v/>
      </c>
      <c r="E20451" s="626"/>
      <c r="F20451" s="626"/>
    </row>
    <row r="20452" spans="1:6">
      <c r="A20452" t="str">
        <f t="shared" si="319"/>
        <v/>
      </c>
      <c r="E20452" s="626"/>
      <c r="F20452" s="626"/>
    </row>
    <row r="20453" spans="1:6">
      <c r="A20453" t="str">
        <f t="shared" si="319"/>
        <v/>
      </c>
      <c r="E20453" s="626"/>
      <c r="F20453" s="626"/>
    </row>
    <row r="20454" spans="1:6">
      <c r="A20454" t="str">
        <f t="shared" si="319"/>
        <v/>
      </c>
      <c r="E20454" s="626"/>
      <c r="F20454" s="626"/>
    </row>
    <row r="20455" spans="1:6">
      <c r="A20455" t="str">
        <f t="shared" si="319"/>
        <v/>
      </c>
      <c r="E20455" s="626"/>
      <c r="F20455" s="626"/>
    </row>
    <row r="20456" spans="1:6">
      <c r="A20456" t="str">
        <f t="shared" si="319"/>
        <v/>
      </c>
      <c r="E20456" s="626"/>
      <c r="F20456" s="626"/>
    </row>
    <row r="20457" spans="1:6">
      <c r="A20457" t="str">
        <f t="shared" si="319"/>
        <v/>
      </c>
      <c r="E20457" s="626"/>
      <c r="F20457" s="626"/>
    </row>
    <row r="20458" spans="1:6">
      <c r="A20458" t="str">
        <f t="shared" si="319"/>
        <v/>
      </c>
      <c r="E20458" s="626"/>
      <c r="F20458" s="626"/>
    </row>
    <row r="20459" spans="1:6">
      <c r="A20459" t="str">
        <f t="shared" si="319"/>
        <v/>
      </c>
      <c r="E20459" s="626"/>
      <c r="F20459" s="626"/>
    </row>
    <row r="20460" spans="1:6">
      <c r="A20460" t="str">
        <f t="shared" si="319"/>
        <v/>
      </c>
      <c r="E20460" s="626"/>
      <c r="F20460" s="626"/>
    </row>
    <row r="20461" spans="1:6">
      <c r="A20461" t="str">
        <f t="shared" si="319"/>
        <v/>
      </c>
      <c r="E20461" s="626"/>
      <c r="F20461" s="626"/>
    </row>
    <row r="20462" spans="1:6">
      <c r="A20462" t="str">
        <f t="shared" si="319"/>
        <v/>
      </c>
      <c r="E20462" s="626"/>
      <c r="F20462" s="626"/>
    </row>
    <row r="20463" spans="1:6">
      <c r="A20463" t="str">
        <f t="shared" si="319"/>
        <v/>
      </c>
      <c r="E20463" s="626"/>
      <c r="F20463" s="626"/>
    </row>
    <row r="20464" spans="1:6">
      <c r="A20464" t="str">
        <f t="shared" si="319"/>
        <v/>
      </c>
      <c r="E20464" s="626"/>
      <c r="F20464" s="626"/>
    </row>
    <row r="20465" spans="1:6">
      <c r="A20465" t="str">
        <f t="shared" si="319"/>
        <v/>
      </c>
      <c r="E20465" s="626"/>
      <c r="F20465" s="626"/>
    </row>
    <row r="20466" spans="1:6">
      <c r="A20466" t="str">
        <f t="shared" si="319"/>
        <v/>
      </c>
      <c r="E20466" s="626"/>
      <c r="F20466" s="626"/>
    </row>
    <row r="20467" spans="1:6">
      <c r="A20467" t="str">
        <f t="shared" si="319"/>
        <v/>
      </c>
      <c r="E20467" s="626"/>
      <c r="F20467" s="626"/>
    </row>
    <row r="20468" spans="1:6">
      <c r="A20468" t="str">
        <f t="shared" si="319"/>
        <v/>
      </c>
      <c r="E20468" s="626"/>
      <c r="F20468" s="626"/>
    </row>
    <row r="20469" spans="1:6">
      <c r="A20469" t="str">
        <f t="shared" si="319"/>
        <v/>
      </c>
      <c r="E20469" s="626"/>
      <c r="F20469" s="626"/>
    </row>
    <row r="20470" spans="1:6">
      <c r="A20470" t="str">
        <f t="shared" si="319"/>
        <v/>
      </c>
      <c r="E20470" s="626"/>
      <c r="F20470" s="626"/>
    </row>
    <row r="20471" spans="1:6">
      <c r="A20471" t="str">
        <f t="shared" si="319"/>
        <v/>
      </c>
      <c r="E20471" s="626"/>
      <c r="F20471" s="626"/>
    </row>
    <row r="20472" spans="1:6">
      <c r="A20472" t="str">
        <f t="shared" si="319"/>
        <v/>
      </c>
      <c r="E20472" s="626"/>
      <c r="F20472" s="626"/>
    </row>
    <row r="20473" spans="1:6">
      <c r="A20473" t="str">
        <f t="shared" si="319"/>
        <v/>
      </c>
      <c r="E20473" s="626"/>
      <c r="F20473" s="626"/>
    </row>
    <row r="20474" spans="1:6">
      <c r="A20474" t="str">
        <f t="shared" si="319"/>
        <v/>
      </c>
      <c r="E20474" s="626"/>
      <c r="F20474" s="626"/>
    </row>
    <row r="20475" spans="1:6">
      <c r="A20475" t="str">
        <f t="shared" si="319"/>
        <v/>
      </c>
      <c r="E20475" s="626"/>
      <c r="F20475" s="626"/>
    </row>
    <row r="20476" spans="1:6">
      <c r="A20476" t="str">
        <f t="shared" si="319"/>
        <v/>
      </c>
      <c r="E20476" s="626"/>
      <c r="F20476" s="626"/>
    </row>
    <row r="20477" spans="1:6">
      <c r="A20477" t="str">
        <f t="shared" si="319"/>
        <v/>
      </c>
      <c r="E20477" s="626"/>
      <c r="F20477" s="626"/>
    </row>
    <row r="20478" spans="1:6">
      <c r="A20478" t="str">
        <f t="shared" si="319"/>
        <v/>
      </c>
      <c r="E20478" s="626"/>
      <c r="F20478" s="626"/>
    </row>
    <row r="20479" spans="1:6">
      <c r="A20479" t="str">
        <f t="shared" si="319"/>
        <v/>
      </c>
      <c r="E20479" s="626"/>
      <c r="F20479" s="626"/>
    </row>
    <row r="20480" spans="1:6">
      <c r="A20480" t="str">
        <f t="shared" si="319"/>
        <v/>
      </c>
      <c r="E20480" s="626"/>
      <c r="F20480" s="626"/>
    </row>
    <row r="20481" spans="1:6">
      <c r="A20481" t="str">
        <f t="shared" si="319"/>
        <v/>
      </c>
      <c r="E20481" s="626"/>
      <c r="F20481" s="626"/>
    </row>
    <row r="20482" spans="1:6">
      <c r="A20482" t="str">
        <f t="shared" ref="A20482:A20545" si="320">B20482&amp;E20482&amp;J20482</f>
        <v/>
      </c>
      <c r="E20482" s="626"/>
      <c r="F20482" s="626"/>
    </row>
    <row r="20483" spans="1:6">
      <c r="A20483" t="str">
        <f t="shared" si="320"/>
        <v/>
      </c>
      <c r="E20483" s="626"/>
      <c r="F20483" s="626"/>
    </row>
    <row r="20484" spans="1:6">
      <c r="A20484" t="str">
        <f t="shared" si="320"/>
        <v/>
      </c>
      <c r="E20484" s="626"/>
      <c r="F20484" s="626"/>
    </row>
    <row r="20485" spans="1:6">
      <c r="A20485" t="str">
        <f t="shared" si="320"/>
        <v/>
      </c>
      <c r="E20485" s="626"/>
      <c r="F20485" s="626"/>
    </row>
    <row r="20486" spans="1:6">
      <c r="A20486" t="str">
        <f t="shared" si="320"/>
        <v/>
      </c>
      <c r="E20486" s="626"/>
      <c r="F20486" s="626"/>
    </row>
    <row r="20487" spans="1:6">
      <c r="A20487" t="str">
        <f t="shared" si="320"/>
        <v/>
      </c>
      <c r="E20487" s="626"/>
      <c r="F20487" s="626"/>
    </row>
    <row r="20488" spans="1:6">
      <c r="A20488" t="str">
        <f t="shared" si="320"/>
        <v/>
      </c>
      <c r="E20488" s="626"/>
      <c r="F20488" s="626"/>
    </row>
    <row r="20489" spans="1:6">
      <c r="A20489" t="str">
        <f t="shared" si="320"/>
        <v/>
      </c>
      <c r="E20489" s="626"/>
      <c r="F20489" s="626"/>
    </row>
    <row r="20490" spans="1:6">
      <c r="A20490" t="str">
        <f t="shared" si="320"/>
        <v/>
      </c>
      <c r="E20490" s="626"/>
      <c r="F20490" s="626"/>
    </row>
    <row r="20491" spans="1:6">
      <c r="A20491" t="str">
        <f t="shared" si="320"/>
        <v/>
      </c>
      <c r="E20491" s="626"/>
      <c r="F20491" s="626"/>
    </row>
    <row r="20492" spans="1:6">
      <c r="A20492" t="str">
        <f t="shared" si="320"/>
        <v/>
      </c>
      <c r="E20492" s="626"/>
      <c r="F20492" s="626"/>
    </row>
    <row r="20493" spans="1:6">
      <c r="A20493" t="str">
        <f t="shared" si="320"/>
        <v/>
      </c>
      <c r="E20493" s="626"/>
      <c r="F20493" s="626"/>
    </row>
    <row r="20494" spans="1:6">
      <c r="A20494" t="str">
        <f t="shared" si="320"/>
        <v/>
      </c>
      <c r="E20494" s="626"/>
      <c r="F20494" s="626"/>
    </row>
    <row r="20495" spans="1:6">
      <c r="A20495" t="str">
        <f t="shared" si="320"/>
        <v/>
      </c>
      <c r="E20495" s="626"/>
      <c r="F20495" s="626"/>
    </row>
    <row r="20496" spans="1:6">
      <c r="A20496" t="str">
        <f t="shared" si="320"/>
        <v/>
      </c>
      <c r="E20496" s="626"/>
      <c r="F20496" s="626"/>
    </row>
    <row r="20497" spans="1:6">
      <c r="A20497" t="str">
        <f t="shared" si="320"/>
        <v/>
      </c>
      <c r="E20497" s="626"/>
      <c r="F20497" s="626"/>
    </row>
    <row r="20498" spans="1:6">
      <c r="A20498" t="str">
        <f t="shared" si="320"/>
        <v/>
      </c>
      <c r="E20498" s="626"/>
      <c r="F20498" s="626"/>
    </row>
    <row r="20499" spans="1:6">
      <c r="A20499" t="str">
        <f t="shared" si="320"/>
        <v/>
      </c>
      <c r="E20499" s="626"/>
      <c r="F20499" s="626"/>
    </row>
    <row r="20500" spans="1:6">
      <c r="A20500" t="str">
        <f t="shared" si="320"/>
        <v/>
      </c>
      <c r="E20500" s="626"/>
      <c r="F20500" s="626"/>
    </row>
    <row r="20501" spans="1:6">
      <c r="A20501" t="str">
        <f t="shared" si="320"/>
        <v/>
      </c>
      <c r="E20501" s="626"/>
      <c r="F20501" s="626"/>
    </row>
    <row r="20502" spans="1:6">
      <c r="A20502" t="str">
        <f t="shared" si="320"/>
        <v/>
      </c>
      <c r="E20502" s="626"/>
      <c r="F20502" s="626"/>
    </row>
    <row r="20503" spans="1:6">
      <c r="A20503" t="str">
        <f t="shared" si="320"/>
        <v/>
      </c>
      <c r="E20503" s="626"/>
      <c r="F20503" s="626"/>
    </row>
    <row r="20504" spans="1:6">
      <c r="A20504" t="str">
        <f t="shared" si="320"/>
        <v/>
      </c>
      <c r="E20504" s="626"/>
      <c r="F20504" s="626"/>
    </row>
    <row r="20505" spans="1:6">
      <c r="A20505" t="str">
        <f t="shared" si="320"/>
        <v/>
      </c>
      <c r="E20505" s="626"/>
      <c r="F20505" s="626"/>
    </row>
    <row r="20506" spans="1:6">
      <c r="A20506" t="str">
        <f t="shared" si="320"/>
        <v/>
      </c>
      <c r="E20506" s="626"/>
      <c r="F20506" s="626"/>
    </row>
    <row r="20507" spans="1:6">
      <c r="A20507" t="str">
        <f t="shared" si="320"/>
        <v/>
      </c>
      <c r="E20507" s="626"/>
      <c r="F20507" s="626"/>
    </row>
    <row r="20508" spans="1:6">
      <c r="A20508" t="str">
        <f t="shared" si="320"/>
        <v/>
      </c>
      <c r="E20508" s="626"/>
      <c r="F20508" s="626"/>
    </row>
    <row r="20509" spans="1:6">
      <c r="A20509" t="str">
        <f t="shared" si="320"/>
        <v/>
      </c>
      <c r="E20509" s="626"/>
      <c r="F20509" s="626"/>
    </row>
    <row r="20510" spans="1:6">
      <c r="A20510" t="str">
        <f t="shared" si="320"/>
        <v/>
      </c>
      <c r="E20510" s="626"/>
      <c r="F20510" s="626"/>
    </row>
    <row r="20511" spans="1:6">
      <c r="A20511" t="str">
        <f t="shared" si="320"/>
        <v/>
      </c>
      <c r="E20511" s="626"/>
      <c r="F20511" s="626"/>
    </row>
    <row r="20512" spans="1:6">
      <c r="A20512" t="str">
        <f t="shared" si="320"/>
        <v/>
      </c>
      <c r="E20512" s="626"/>
      <c r="F20512" s="626"/>
    </row>
    <row r="20513" spans="1:6">
      <c r="A20513" t="str">
        <f t="shared" si="320"/>
        <v/>
      </c>
      <c r="E20513" s="626"/>
      <c r="F20513" s="626"/>
    </row>
    <row r="20514" spans="1:6">
      <c r="A20514" t="str">
        <f t="shared" si="320"/>
        <v/>
      </c>
      <c r="E20514" s="626"/>
      <c r="F20514" s="626"/>
    </row>
    <row r="20515" spans="1:6">
      <c r="A20515" t="str">
        <f t="shared" si="320"/>
        <v/>
      </c>
      <c r="E20515" s="626"/>
      <c r="F20515" s="626"/>
    </row>
    <row r="20516" spans="1:6">
      <c r="A20516" t="str">
        <f t="shared" si="320"/>
        <v/>
      </c>
      <c r="E20516" s="626"/>
      <c r="F20516" s="626"/>
    </row>
    <row r="20517" spans="1:6">
      <c r="A20517" t="str">
        <f t="shared" si="320"/>
        <v/>
      </c>
      <c r="E20517" s="626"/>
      <c r="F20517" s="626"/>
    </row>
    <row r="20518" spans="1:6">
      <c r="A20518" t="str">
        <f t="shared" si="320"/>
        <v/>
      </c>
      <c r="E20518" s="626"/>
      <c r="F20518" s="626"/>
    </row>
    <row r="20519" spans="1:6">
      <c r="A20519" t="str">
        <f t="shared" si="320"/>
        <v/>
      </c>
      <c r="E20519" s="626"/>
      <c r="F20519" s="626"/>
    </row>
    <row r="20520" spans="1:6">
      <c r="A20520" t="str">
        <f t="shared" si="320"/>
        <v/>
      </c>
      <c r="E20520" s="626"/>
      <c r="F20520" s="626"/>
    </row>
    <row r="20521" spans="1:6">
      <c r="A20521" t="str">
        <f t="shared" si="320"/>
        <v/>
      </c>
      <c r="E20521" s="626"/>
      <c r="F20521" s="626"/>
    </row>
    <row r="20522" spans="1:6">
      <c r="A20522" t="str">
        <f t="shared" si="320"/>
        <v/>
      </c>
      <c r="E20522" s="626"/>
      <c r="F20522" s="626"/>
    </row>
    <row r="20523" spans="1:6">
      <c r="A20523" t="str">
        <f t="shared" si="320"/>
        <v/>
      </c>
      <c r="E20523" s="626"/>
      <c r="F20523" s="626"/>
    </row>
    <row r="20524" spans="1:6">
      <c r="A20524" t="str">
        <f t="shared" si="320"/>
        <v/>
      </c>
      <c r="E20524" s="626"/>
      <c r="F20524" s="626"/>
    </row>
    <row r="20525" spans="1:6">
      <c r="A20525" t="str">
        <f t="shared" si="320"/>
        <v/>
      </c>
      <c r="E20525" s="626"/>
      <c r="F20525" s="626"/>
    </row>
    <row r="20526" spans="1:6">
      <c r="A20526" t="str">
        <f t="shared" si="320"/>
        <v/>
      </c>
      <c r="E20526" s="626"/>
      <c r="F20526" s="626"/>
    </row>
    <row r="20527" spans="1:6">
      <c r="A20527" t="str">
        <f t="shared" si="320"/>
        <v/>
      </c>
      <c r="E20527" s="626"/>
      <c r="F20527" s="626"/>
    </row>
    <row r="20528" spans="1:6">
      <c r="A20528" t="str">
        <f t="shared" si="320"/>
        <v/>
      </c>
      <c r="E20528" s="626"/>
      <c r="F20528" s="626"/>
    </row>
    <row r="20529" spans="1:6">
      <c r="A20529" t="str">
        <f t="shared" si="320"/>
        <v/>
      </c>
      <c r="E20529" s="626"/>
      <c r="F20529" s="626"/>
    </row>
    <row r="20530" spans="1:6">
      <c r="A20530" t="str">
        <f t="shared" si="320"/>
        <v/>
      </c>
      <c r="E20530" s="626"/>
      <c r="F20530" s="626"/>
    </row>
    <row r="20531" spans="1:6">
      <c r="A20531" t="str">
        <f t="shared" si="320"/>
        <v/>
      </c>
      <c r="E20531" s="626"/>
      <c r="F20531" s="626"/>
    </row>
    <row r="20532" spans="1:6">
      <c r="A20532" t="str">
        <f t="shared" si="320"/>
        <v/>
      </c>
      <c r="E20532" s="626"/>
      <c r="F20532" s="626"/>
    </row>
    <row r="20533" spans="1:6">
      <c r="A20533" t="str">
        <f t="shared" si="320"/>
        <v/>
      </c>
      <c r="E20533" s="626"/>
      <c r="F20533" s="626"/>
    </row>
    <row r="20534" spans="1:6">
      <c r="A20534" t="str">
        <f t="shared" si="320"/>
        <v/>
      </c>
      <c r="E20534" s="626"/>
      <c r="F20534" s="626"/>
    </row>
    <row r="20535" spans="1:6">
      <c r="A20535" t="str">
        <f t="shared" si="320"/>
        <v/>
      </c>
      <c r="E20535" s="626"/>
      <c r="F20535" s="626"/>
    </row>
    <row r="20536" spans="1:6">
      <c r="A20536" t="str">
        <f t="shared" si="320"/>
        <v/>
      </c>
      <c r="E20536" s="626"/>
      <c r="F20536" s="626"/>
    </row>
    <row r="20537" spans="1:6">
      <c r="A20537" t="str">
        <f t="shared" si="320"/>
        <v/>
      </c>
      <c r="E20537" s="626"/>
      <c r="F20537" s="626"/>
    </row>
    <row r="20538" spans="1:6">
      <c r="A20538" t="str">
        <f t="shared" si="320"/>
        <v/>
      </c>
      <c r="E20538" s="626"/>
      <c r="F20538" s="626"/>
    </row>
    <row r="20539" spans="1:6">
      <c r="A20539" t="str">
        <f t="shared" si="320"/>
        <v/>
      </c>
      <c r="E20539" s="626"/>
      <c r="F20539" s="626"/>
    </row>
    <row r="20540" spans="1:6">
      <c r="A20540" t="str">
        <f t="shared" si="320"/>
        <v/>
      </c>
      <c r="E20540" s="626"/>
      <c r="F20540" s="626"/>
    </row>
    <row r="20541" spans="1:6">
      <c r="A20541" t="str">
        <f t="shared" si="320"/>
        <v/>
      </c>
      <c r="E20541" s="626"/>
      <c r="F20541" s="626"/>
    </row>
    <row r="20542" spans="1:6">
      <c r="A20542" t="str">
        <f t="shared" si="320"/>
        <v/>
      </c>
      <c r="E20542" s="626"/>
      <c r="F20542" s="626"/>
    </row>
    <row r="20543" spans="1:6">
      <c r="A20543" t="str">
        <f t="shared" si="320"/>
        <v/>
      </c>
      <c r="E20543" s="626"/>
      <c r="F20543" s="626"/>
    </row>
    <row r="20544" spans="1:6">
      <c r="A20544" t="str">
        <f t="shared" si="320"/>
        <v/>
      </c>
      <c r="E20544" s="626"/>
      <c r="F20544" s="626"/>
    </row>
    <row r="20545" spans="1:6">
      <c r="A20545" t="str">
        <f t="shared" si="320"/>
        <v/>
      </c>
      <c r="E20545" s="626"/>
      <c r="F20545" s="626"/>
    </row>
    <row r="20546" spans="1:6">
      <c r="A20546" t="str">
        <f t="shared" ref="A20546:A20609" si="321">B20546&amp;E20546&amp;J20546</f>
        <v/>
      </c>
      <c r="E20546" s="626"/>
      <c r="F20546" s="626"/>
    </row>
    <row r="20547" spans="1:6">
      <c r="A20547" t="str">
        <f t="shared" si="321"/>
        <v/>
      </c>
      <c r="E20547" s="626"/>
      <c r="F20547" s="626"/>
    </row>
    <row r="20548" spans="1:6">
      <c r="A20548" t="str">
        <f t="shared" si="321"/>
        <v/>
      </c>
      <c r="E20548" s="626"/>
      <c r="F20548" s="626"/>
    </row>
    <row r="20549" spans="1:6">
      <c r="A20549" t="str">
        <f t="shared" si="321"/>
        <v/>
      </c>
      <c r="E20549" s="626"/>
      <c r="F20549" s="626"/>
    </row>
    <row r="20550" spans="1:6">
      <c r="A20550" t="str">
        <f t="shared" si="321"/>
        <v/>
      </c>
      <c r="E20550" s="626"/>
      <c r="F20550" s="626"/>
    </row>
    <row r="20551" spans="1:6">
      <c r="A20551" t="str">
        <f t="shared" si="321"/>
        <v/>
      </c>
      <c r="E20551" s="626"/>
      <c r="F20551" s="626"/>
    </row>
    <row r="20552" spans="1:6">
      <c r="A20552" t="str">
        <f t="shared" si="321"/>
        <v/>
      </c>
      <c r="E20552" s="626"/>
      <c r="F20552" s="626"/>
    </row>
    <row r="20553" spans="1:6">
      <c r="A20553" t="str">
        <f t="shared" si="321"/>
        <v/>
      </c>
      <c r="E20553" s="626"/>
      <c r="F20553" s="626"/>
    </row>
    <row r="20554" spans="1:6">
      <c r="A20554" t="str">
        <f t="shared" si="321"/>
        <v/>
      </c>
      <c r="E20554" s="626"/>
      <c r="F20554" s="626"/>
    </row>
    <row r="20555" spans="1:6">
      <c r="A20555" t="str">
        <f t="shared" si="321"/>
        <v/>
      </c>
      <c r="E20555" s="626"/>
      <c r="F20555" s="626"/>
    </row>
    <row r="20556" spans="1:6">
      <c r="A20556" t="str">
        <f t="shared" si="321"/>
        <v/>
      </c>
      <c r="E20556" s="626"/>
      <c r="F20556" s="626"/>
    </row>
    <row r="20557" spans="1:6">
      <c r="A20557" t="str">
        <f t="shared" si="321"/>
        <v/>
      </c>
      <c r="E20557" s="626"/>
      <c r="F20557" s="626"/>
    </row>
    <row r="20558" spans="1:6">
      <c r="A20558" t="str">
        <f t="shared" si="321"/>
        <v/>
      </c>
      <c r="E20558" s="626"/>
      <c r="F20558" s="626"/>
    </row>
    <row r="20559" spans="1:6">
      <c r="A20559" t="str">
        <f t="shared" si="321"/>
        <v/>
      </c>
      <c r="E20559" s="626"/>
      <c r="F20559" s="626"/>
    </row>
    <row r="20560" spans="1:6">
      <c r="A20560" t="str">
        <f t="shared" si="321"/>
        <v/>
      </c>
      <c r="E20560" s="626"/>
      <c r="F20560" s="626"/>
    </row>
    <row r="20561" spans="1:6">
      <c r="A20561" t="str">
        <f t="shared" si="321"/>
        <v/>
      </c>
      <c r="E20561" s="626"/>
      <c r="F20561" s="626"/>
    </row>
    <row r="20562" spans="1:6">
      <c r="A20562" t="str">
        <f t="shared" si="321"/>
        <v/>
      </c>
      <c r="E20562" s="626"/>
      <c r="F20562" s="626"/>
    </row>
    <row r="20563" spans="1:6">
      <c r="A20563" t="str">
        <f t="shared" si="321"/>
        <v/>
      </c>
      <c r="E20563" s="626"/>
      <c r="F20563" s="626"/>
    </row>
    <row r="20564" spans="1:6">
      <c r="A20564" t="str">
        <f t="shared" si="321"/>
        <v/>
      </c>
      <c r="E20564" s="626"/>
      <c r="F20564" s="626"/>
    </row>
    <row r="20565" spans="1:6">
      <c r="A20565" t="str">
        <f t="shared" si="321"/>
        <v/>
      </c>
      <c r="E20565" s="626"/>
      <c r="F20565" s="626"/>
    </row>
    <row r="20566" spans="1:6">
      <c r="A20566" t="str">
        <f t="shared" si="321"/>
        <v/>
      </c>
      <c r="E20566" s="626"/>
      <c r="F20566" s="626"/>
    </row>
    <row r="20567" spans="1:6">
      <c r="A20567" t="str">
        <f t="shared" si="321"/>
        <v/>
      </c>
      <c r="E20567" s="626"/>
      <c r="F20567" s="626"/>
    </row>
    <row r="20568" spans="1:6">
      <c r="A20568" t="str">
        <f t="shared" si="321"/>
        <v/>
      </c>
      <c r="E20568" s="626"/>
      <c r="F20568" s="626"/>
    </row>
    <row r="20569" spans="1:6">
      <c r="A20569" t="str">
        <f t="shared" si="321"/>
        <v/>
      </c>
      <c r="E20569" s="626"/>
      <c r="F20569" s="626"/>
    </row>
    <row r="20570" spans="1:6">
      <c r="A20570" t="str">
        <f t="shared" si="321"/>
        <v/>
      </c>
      <c r="E20570" s="626"/>
      <c r="F20570" s="626"/>
    </row>
    <row r="20571" spans="1:6">
      <c r="A20571" t="str">
        <f t="shared" si="321"/>
        <v/>
      </c>
      <c r="E20571" s="626"/>
      <c r="F20571" s="626"/>
    </row>
    <row r="20572" spans="1:6">
      <c r="A20572" t="str">
        <f t="shared" si="321"/>
        <v/>
      </c>
      <c r="E20572" s="626"/>
      <c r="F20572" s="626"/>
    </row>
    <row r="20573" spans="1:6">
      <c r="A20573" t="str">
        <f t="shared" si="321"/>
        <v/>
      </c>
      <c r="E20573" s="626"/>
      <c r="F20573" s="626"/>
    </row>
    <row r="20574" spans="1:6">
      <c r="A20574" t="str">
        <f t="shared" si="321"/>
        <v/>
      </c>
      <c r="E20574" s="626"/>
      <c r="F20574" s="626"/>
    </row>
    <row r="20575" spans="1:6">
      <c r="A20575" t="str">
        <f t="shared" si="321"/>
        <v/>
      </c>
      <c r="E20575" s="626"/>
      <c r="F20575" s="626"/>
    </row>
    <row r="20576" spans="1:6">
      <c r="A20576" t="str">
        <f t="shared" si="321"/>
        <v/>
      </c>
      <c r="E20576" s="626"/>
      <c r="F20576" s="626"/>
    </row>
    <row r="20577" spans="1:6">
      <c r="A20577" t="str">
        <f t="shared" si="321"/>
        <v/>
      </c>
      <c r="E20577" s="626"/>
      <c r="F20577" s="626"/>
    </row>
    <row r="20578" spans="1:6">
      <c r="A20578" t="str">
        <f t="shared" si="321"/>
        <v/>
      </c>
      <c r="E20578" s="626"/>
      <c r="F20578" s="626"/>
    </row>
    <row r="20579" spans="1:6">
      <c r="A20579" t="str">
        <f t="shared" si="321"/>
        <v/>
      </c>
      <c r="E20579" s="626"/>
      <c r="F20579" s="626"/>
    </row>
    <row r="20580" spans="1:6">
      <c r="A20580" t="str">
        <f t="shared" si="321"/>
        <v/>
      </c>
      <c r="E20580" s="626"/>
      <c r="F20580" s="626"/>
    </row>
    <row r="20581" spans="1:6">
      <c r="A20581" t="str">
        <f t="shared" si="321"/>
        <v/>
      </c>
      <c r="E20581" s="626"/>
      <c r="F20581" s="626"/>
    </row>
    <row r="20582" spans="1:6">
      <c r="A20582" t="str">
        <f t="shared" si="321"/>
        <v/>
      </c>
      <c r="E20582" s="626"/>
      <c r="F20582" s="626"/>
    </row>
    <row r="20583" spans="1:6">
      <c r="A20583" t="str">
        <f t="shared" si="321"/>
        <v/>
      </c>
      <c r="E20583" s="626"/>
      <c r="F20583" s="626"/>
    </row>
    <row r="20584" spans="1:6">
      <c r="A20584" t="str">
        <f t="shared" si="321"/>
        <v/>
      </c>
      <c r="E20584" s="626"/>
      <c r="F20584" s="626"/>
    </row>
    <row r="20585" spans="1:6">
      <c r="A20585" t="str">
        <f t="shared" si="321"/>
        <v/>
      </c>
      <c r="E20585" s="626"/>
      <c r="F20585" s="626"/>
    </row>
    <row r="20586" spans="1:6">
      <c r="A20586" t="str">
        <f t="shared" si="321"/>
        <v/>
      </c>
      <c r="E20586" s="626"/>
      <c r="F20586" s="626"/>
    </row>
    <row r="20587" spans="1:6">
      <c r="A20587" t="str">
        <f t="shared" si="321"/>
        <v/>
      </c>
      <c r="E20587" s="626"/>
      <c r="F20587" s="626"/>
    </row>
    <row r="20588" spans="1:6">
      <c r="A20588" t="str">
        <f t="shared" si="321"/>
        <v/>
      </c>
      <c r="E20588" s="626"/>
      <c r="F20588" s="626"/>
    </row>
    <row r="20589" spans="1:6">
      <c r="A20589" t="str">
        <f t="shared" si="321"/>
        <v/>
      </c>
      <c r="E20589" s="626"/>
      <c r="F20589" s="626"/>
    </row>
    <row r="20590" spans="1:6">
      <c r="A20590" t="str">
        <f t="shared" si="321"/>
        <v/>
      </c>
      <c r="E20590" s="626"/>
      <c r="F20590" s="626"/>
    </row>
    <row r="20591" spans="1:6">
      <c r="A20591" t="str">
        <f t="shared" si="321"/>
        <v/>
      </c>
      <c r="E20591" s="626"/>
      <c r="F20591" s="626"/>
    </row>
    <row r="20592" spans="1:6">
      <c r="A20592" t="str">
        <f t="shared" si="321"/>
        <v/>
      </c>
      <c r="E20592" s="626"/>
      <c r="F20592" s="626"/>
    </row>
    <row r="20593" spans="1:6">
      <c r="A20593" t="str">
        <f t="shared" si="321"/>
        <v/>
      </c>
      <c r="E20593" s="626"/>
      <c r="F20593" s="626"/>
    </row>
    <row r="20594" spans="1:6">
      <c r="A20594" t="str">
        <f t="shared" si="321"/>
        <v/>
      </c>
      <c r="E20594" s="626"/>
      <c r="F20594" s="626"/>
    </row>
    <row r="20595" spans="1:6">
      <c r="A20595" t="str">
        <f t="shared" si="321"/>
        <v/>
      </c>
      <c r="E20595" s="626"/>
      <c r="F20595" s="626"/>
    </row>
    <row r="20596" spans="1:6">
      <c r="A20596" t="str">
        <f t="shared" si="321"/>
        <v/>
      </c>
      <c r="E20596" s="626"/>
      <c r="F20596" s="626"/>
    </row>
    <row r="20597" spans="1:6">
      <c r="A20597" t="str">
        <f t="shared" si="321"/>
        <v/>
      </c>
      <c r="E20597" s="626"/>
      <c r="F20597" s="626"/>
    </row>
    <row r="20598" spans="1:6">
      <c r="A20598" t="str">
        <f t="shared" si="321"/>
        <v/>
      </c>
      <c r="E20598" s="626"/>
      <c r="F20598" s="626"/>
    </row>
    <row r="20599" spans="1:6">
      <c r="A20599" t="str">
        <f t="shared" si="321"/>
        <v/>
      </c>
      <c r="E20599" s="626"/>
      <c r="F20599" s="626"/>
    </row>
    <row r="20600" spans="1:6">
      <c r="A20600" t="str">
        <f t="shared" si="321"/>
        <v/>
      </c>
      <c r="E20600" s="626"/>
      <c r="F20600" s="626"/>
    </row>
    <row r="20601" spans="1:6">
      <c r="A20601" t="str">
        <f t="shared" si="321"/>
        <v/>
      </c>
      <c r="E20601" s="626"/>
      <c r="F20601" s="626"/>
    </row>
    <row r="20602" spans="1:6">
      <c r="A20602" t="str">
        <f t="shared" si="321"/>
        <v/>
      </c>
      <c r="E20602" s="626"/>
      <c r="F20602" s="626"/>
    </row>
    <row r="20603" spans="1:6">
      <c r="A20603" t="str">
        <f t="shared" si="321"/>
        <v/>
      </c>
      <c r="E20603" s="626"/>
      <c r="F20603" s="626"/>
    </row>
    <row r="20604" spans="1:6">
      <c r="A20604" t="str">
        <f t="shared" si="321"/>
        <v/>
      </c>
      <c r="E20604" s="626"/>
      <c r="F20604" s="626"/>
    </row>
    <row r="20605" spans="1:6">
      <c r="A20605" t="str">
        <f t="shared" si="321"/>
        <v/>
      </c>
      <c r="E20605" s="626"/>
      <c r="F20605" s="626"/>
    </row>
    <row r="20606" spans="1:6">
      <c r="A20606" t="str">
        <f t="shared" si="321"/>
        <v/>
      </c>
      <c r="E20606" s="626"/>
      <c r="F20606" s="626"/>
    </row>
    <row r="20607" spans="1:6">
      <c r="A20607" t="str">
        <f t="shared" si="321"/>
        <v/>
      </c>
      <c r="E20607" s="626"/>
      <c r="F20607" s="626"/>
    </row>
    <row r="20608" spans="1:6">
      <c r="A20608" t="str">
        <f t="shared" si="321"/>
        <v/>
      </c>
      <c r="E20608" s="626"/>
      <c r="F20608" s="626"/>
    </row>
    <row r="20609" spans="1:6">
      <c r="A20609" t="str">
        <f t="shared" si="321"/>
        <v/>
      </c>
      <c r="E20609" s="626"/>
      <c r="F20609" s="626"/>
    </row>
    <row r="20610" spans="1:6">
      <c r="A20610" t="str">
        <f t="shared" ref="A20610:A20673" si="322">B20610&amp;E20610&amp;J20610</f>
        <v/>
      </c>
      <c r="E20610" s="626"/>
      <c r="F20610" s="626"/>
    </row>
    <row r="20611" spans="1:6">
      <c r="A20611" t="str">
        <f t="shared" si="322"/>
        <v/>
      </c>
      <c r="E20611" s="626"/>
      <c r="F20611" s="626"/>
    </row>
    <row r="20612" spans="1:6">
      <c r="A20612" t="str">
        <f t="shared" si="322"/>
        <v/>
      </c>
      <c r="E20612" s="626"/>
      <c r="F20612" s="626"/>
    </row>
    <row r="20613" spans="1:6">
      <c r="A20613" t="str">
        <f t="shared" si="322"/>
        <v/>
      </c>
      <c r="E20613" s="626"/>
      <c r="F20613" s="626"/>
    </row>
    <row r="20614" spans="1:6">
      <c r="A20614" t="str">
        <f t="shared" si="322"/>
        <v/>
      </c>
      <c r="E20614" s="626"/>
      <c r="F20614" s="626"/>
    </row>
    <row r="20615" spans="1:6">
      <c r="A20615" t="str">
        <f t="shared" si="322"/>
        <v/>
      </c>
      <c r="E20615" s="626"/>
      <c r="F20615" s="626"/>
    </row>
    <row r="20616" spans="1:6">
      <c r="A20616" t="str">
        <f t="shared" si="322"/>
        <v/>
      </c>
      <c r="E20616" s="626"/>
      <c r="F20616" s="626"/>
    </row>
    <row r="20617" spans="1:6">
      <c r="A20617" t="str">
        <f t="shared" si="322"/>
        <v/>
      </c>
      <c r="E20617" s="626"/>
      <c r="F20617" s="626"/>
    </row>
    <row r="20618" spans="1:6">
      <c r="A20618" t="str">
        <f t="shared" si="322"/>
        <v/>
      </c>
      <c r="E20618" s="626"/>
      <c r="F20618" s="626"/>
    </row>
    <row r="20619" spans="1:6">
      <c r="A20619" t="str">
        <f t="shared" si="322"/>
        <v/>
      </c>
      <c r="E20619" s="626"/>
      <c r="F20619" s="626"/>
    </row>
    <row r="20620" spans="1:6">
      <c r="A20620" t="str">
        <f t="shared" si="322"/>
        <v/>
      </c>
      <c r="E20620" s="626"/>
      <c r="F20620" s="626"/>
    </row>
    <row r="20621" spans="1:6">
      <c r="A20621" t="str">
        <f t="shared" si="322"/>
        <v/>
      </c>
      <c r="E20621" s="626"/>
      <c r="F20621" s="626"/>
    </row>
    <row r="20622" spans="1:6">
      <c r="A20622" t="str">
        <f t="shared" si="322"/>
        <v/>
      </c>
      <c r="E20622" s="626"/>
      <c r="F20622" s="626"/>
    </row>
    <row r="20623" spans="1:6">
      <c r="A20623" t="str">
        <f t="shared" si="322"/>
        <v/>
      </c>
      <c r="E20623" s="626"/>
      <c r="F20623" s="626"/>
    </row>
    <row r="20624" spans="1:6">
      <c r="A20624" t="str">
        <f t="shared" si="322"/>
        <v/>
      </c>
      <c r="E20624" s="626"/>
      <c r="F20624" s="626"/>
    </row>
    <row r="20625" spans="1:6">
      <c r="A20625" t="str">
        <f t="shared" si="322"/>
        <v/>
      </c>
      <c r="E20625" s="626"/>
      <c r="F20625" s="626"/>
    </row>
    <row r="20626" spans="1:6">
      <c r="A20626" t="str">
        <f t="shared" si="322"/>
        <v/>
      </c>
      <c r="E20626" s="626"/>
      <c r="F20626" s="626"/>
    </row>
    <row r="20627" spans="1:6">
      <c r="A20627" t="str">
        <f t="shared" si="322"/>
        <v/>
      </c>
      <c r="E20627" s="626"/>
      <c r="F20627" s="626"/>
    </row>
    <row r="20628" spans="1:6">
      <c r="A20628" t="str">
        <f t="shared" si="322"/>
        <v/>
      </c>
      <c r="E20628" s="626"/>
      <c r="F20628" s="626"/>
    </row>
    <row r="20629" spans="1:6">
      <c r="A20629" t="str">
        <f t="shared" si="322"/>
        <v/>
      </c>
      <c r="E20629" s="626"/>
      <c r="F20629" s="626"/>
    </row>
    <row r="20630" spans="1:6">
      <c r="A20630" t="str">
        <f t="shared" si="322"/>
        <v/>
      </c>
      <c r="E20630" s="626"/>
      <c r="F20630" s="626"/>
    </row>
    <row r="20631" spans="1:6">
      <c r="A20631" t="str">
        <f t="shared" si="322"/>
        <v/>
      </c>
      <c r="E20631" s="626"/>
      <c r="F20631" s="626"/>
    </row>
    <row r="20632" spans="1:6">
      <c r="A20632" t="str">
        <f t="shared" si="322"/>
        <v/>
      </c>
      <c r="E20632" s="626"/>
      <c r="F20632" s="626"/>
    </row>
    <row r="20633" spans="1:6">
      <c r="A20633" t="str">
        <f t="shared" si="322"/>
        <v/>
      </c>
      <c r="E20633" s="626"/>
      <c r="F20633" s="626"/>
    </row>
    <row r="20634" spans="1:6">
      <c r="A20634" t="str">
        <f t="shared" si="322"/>
        <v/>
      </c>
      <c r="E20634" s="626"/>
      <c r="F20634" s="626"/>
    </row>
    <row r="20635" spans="1:6">
      <c r="A20635" t="str">
        <f t="shared" si="322"/>
        <v/>
      </c>
      <c r="E20635" s="626"/>
      <c r="F20635" s="626"/>
    </row>
    <row r="20636" spans="1:6">
      <c r="A20636" t="str">
        <f t="shared" si="322"/>
        <v/>
      </c>
      <c r="E20636" s="626"/>
      <c r="F20636" s="626"/>
    </row>
    <row r="20637" spans="1:6">
      <c r="A20637" t="str">
        <f t="shared" si="322"/>
        <v/>
      </c>
      <c r="E20637" s="626"/>
      <c r="F20637" s="626"/>
    </row>
    <row r="20638" spans="1:6">
      <c r="A20638" t="str">
        <f t="shared" si="322"/>
        <v/>
      </c>
      <c r="E20638" s="626"/>
      <c r="F20638" s="626"/>
    </row>
    <row r="20639" spans="1:6">
      <c r="A20639" t="str">
        <f t="shared" si="322"/>
        <v/>
      </c>
      <c r="E20639" s="626"/>
      <c r="F20639" s="626"/>
    </row>
    <row r="20640" spans="1:6">
      <c r="A20640" t="str">
        <f t="shared" si="322"/>
        <v/>
      </c>
      <c r="E20640" s="626"/>
      <c r="F20640" s="626"/>
    </row>
    <row r="20641" spans="1:6">
      <c r="A20641" t="str">
        <f t="shared" si="322"/>
        <v/>
      </c>
      <c r="E20641" s="626"/>
      <c r="F20641" s="626"/>
    </row>
    <row r="20642" spans="1:6">
      <c r="A20642" t="str">
        <f t="shared" si="322"/>
        <v/>
      </c>
      <c r="E20642" s="626"/>
      <c r="F20642" s="626"/>
    </row>
    <row r="20643" spans="1:6">
      <c r="A20643" t="str">
        <f t="shared" si="322"/>
        <v/>
      </c>
      <c r="E20643" s="626"/>
      <c r="F20643" s="626"/>
    </row>
    <row r="20644" spans="1:6">
      <c r="A20644" t="str">
        <f t="shared" si="322"/>
        <v/>
      </c>
      <c r="E20644" s="626"/>
      <c r="F20644" s="626"/>
    </row>
    <row r="20645" spans="1:6">
      <c r="A20645" t="str">
        <f t="shared" si="322"/>
        <v/>
      </c>
      <c r="E20645" s="626"/>
      <c r="F20645" s="626"/>
    </row>
    <row r="20646" spans="1:6">
      <c r="A20646" t="str">
        <f t="shared" si="322"/>
        <v/>
      </c>
      <c r="E20646" s="626"/>
      <c r="F20646" s="626"/>
    </row>
    <row r="20647" spans="1:6">
      <c r="A20647" t="str">
        <f t="shared" si="322"/>
        <v/>
      </c>
      <c r="E20647" s="626"/>
      <c r="F20647" s="626"/>
    </row>
    <row r="20648" spans="1:6">
      <c r="A20648" t="str">
        <f t="shared" si="322"/>
        <v/>
      </c>
      <c r="E20648" s="626"/>
      <c r="F20648" s="626"/>
    </row>
    <row r="20649" spans="1:6">
      <c r="A20649" t="str">
        <f t="shared" si="322"/>
        <v/>
      </c>
      <c r="E20649" s="626"/>
      <c r="F20649" s="626"/>
    </row>
    <row r="20650" spans="1:6">
      <c r="A20650" t="str">
        <f t="shared" si="322"/>
        <v/>
      </c>
      <c r="E20650" s="626"/>
      <c r="F20650" s="626"/>
    </row>
    <row r="20651" spans="1:6">
      <c r="A20651" t="str">
        <f t="shared" si="322"/>
        <v/>
      </c>
      <c r="E20651" s="626"/>
      <c r="F20651" s="626"/>
    </row>
    <row r="20652" spans="1:6">
      <c r="A20652" t="str">
        <f t="shared" si="322"/>
        <v/>
      </c>
      <c r="E20652" s="626"/>
      <c r="F20652" s="626"/>
    </row>
    <row r="20653" spans="1:6">
      <c r="A20653" t="str">
        <f t="shared" si="322"/>
        <v/>
      </c>
      <c r="E20653" s="626"/>
      <c r="F20653" s="626"/>
    </row>
    <row r="20654" spans="1:6">
      <c r="A20654" t="str">
        <f t="shared" si="322"/>
        <v/>
      </c>
      <c r="E20654" s="626"/>
      <c r="F20654" s="626"/>
    </row>
    <row r="20655" spans="1:6">
      <c r="A20655" t="str">
        <f t="shared" si="322"/>
        <v/>
      </c>
      <c r="E20655" s="626"/>
      <c r="F20655" s="626"/>
    </row>
    <row r="20656" spans="1:6">
      <c r="A20656" t="str">
        <f t="shared" si="322"/>
        <v/>
      </c>
      <c r="E20656" s="626"/>
      <c r="F20656" s="626"/>
    </row>
    <row r="20657" spans="1:6">
      <c r="A20657" t="str">
        <f t="shared" si="322"/>
        <v/>
      </c>
      <c r="E20657" s="626"/>
      <c r="F20657" s="626"/>
    </row>
    <row r="20658" spans="1:6">
      <c r="A20658" t="str">
        <f t="shared" si="322"/>
        <v/>
      </c>
      <c r="E20658" s="626"/>
      <c r="F20658" s="626"/>
    </row>
    <row r="20659" spans="1:6">
      <c r="A20659" t="str">
        <f t="shared" si="322"/>
        <v/>
      </c>
      <c r="E20659" s="626"/>
      <c r="F20659" s="626"/>
    </row>
    <row r="20660" spans="1:6">
      <c r="A20660" t="str">
        <f t="shared" si="322"/>
        <v/>
      </c>
      <c r="E20660" s="626"/>
      <c r="F20660" s="626"/>
    </row>
    <row r="20661" spans="1:6">
      <c r="A20661" t="str">
        <f t="shared" si="322"/>
        <v/>
      </c>
      <c r="E20661" s="626"/>
      <c r="F20661" s="626"/>
    </row>
    <row r="20662" spans="1:6">
      <c r="A20662" t="str">
        <f t="shared" si="322"/>
        <v/>
      </c>
      <c r="E20662" s="626"/>
      <c r="F20662" s="626"/>
    </row>
    <row r="20663" spans="1:6">
      <c r="A20663" t="str">
        <f t="shared" si="322"/>
        <v/>
      </c>
      <c r="E20663" s="626"/>
      <c r="F20663" s="626"/>
    </row>
    <row r="20664" spans="1:6">
      <c r="A20664" t="str">
        <f t="shared" si="322"/>
        <v/>
      </c>
      <c r="E20664" s="626"/>
      <c r="F20664" s="626"/>
    </row>
    <row r="20665" spans="1:6">
      <c r="A20665" t="str">
        <f t="shared" si="322"/>
        <v/>
      </c>
      <c r="E20665" s="626"/>
      <c r="F20665" s="626"/>
    </row>
    <row r="20666" spans="1:6">
      <c r="A20666" t="str">
        <f t="shared" si="322"/>
        <v/>
      </c>
      <c r="E20666" s="626"/>
      <c r="F20666" s="626"/>
    </row>
    <row r="20667" spans="1:6">
      <c r="A20667" t="str">
        <f t="shared" si="322"/>
        <v/>
      </c>
      <c r="E20667" s="626"/>
      <c r="F20667" s="626"/>
    </row>
    <row r="20668" spans="1:6">
      <c r="A20668" t="str">
        <f t="shared" si="322"/>
        <v/>
      </c>
      <c r="E20668" s="626"/>
      <c r="F20668" s="626"/>
    </row>
    <row r="20669" spans="1:6">
      <c r="A20669" t="str">
        <f t="shared" si="322"/>
        <v/>
      </c>
      <c r="E20669" s="626"/>
      <c r="F20669" s="626"/>
    </row>
    <row r="20670" spans="1:6">
      <c r="A20670" t="str">
        <f t="shared" si="322"/>
        <v/>
      </c>
      <c r="E20670" s="626"/>
      <c r="F20670" s="626"/>
    </row>
    <row r="20671" spans="1:6">
      <c r="A20671" t="str">
        <f t="shared" si="322"/>
        <v/>
      </c>
      <c r="E20671" s="626"/>
      <c r="F20671" s="626"/>
    </row>
    <row r="20672" spans="1:6">
      <c r="A20672" t="str">
        <f t="shared" si="322"/>
        <v/>
      </c>
      <c r="E20672" s="626"/>
      <c r="F20672" s="626"/>
    </row>
    <row r="20673" spans="1:6">
      <c r="A20673" t="str">
        <f t="shared" si="322"/>
        <v/>
      </c>
      <c r="E20673" s="626"/>
      <c r="F20673" s="626"/>
    </row>
    <row r="20674" spans="1:6">
      <c r="A20674" t="str">
        <f t="shared" ref="A20674:A20737" si="323">B20674&amp;E20674&amp;J20674</f>
        <v/>
      </c>
      <c r="E20674" s="626"/>
      <c r="F20674" s="626"/>
    </row>
    <row r="20675" spans="1:6">
      <c r="A20675" t="str">
        <f t="shared" si="323"/>
        <v/>
      </c>
      <c r="E20675" s="626"/>
      <c r="F20675" s="626"/>
    </row>
    <row r="20676" spans="1:6">
      <c r="A20676" t="str">
        <f t="shared" si="323"/>
        <v/>
      </c>
      <c r="E20676" s="626"/>
      <c r="F20676" s="626"/>
    </row>
    <row r="20677" spans="1:6">
      <c r="A20677" t="str">
        <f t="shared" si="323"/>
        <v/>
      </c>
      <c r="E20677" s="626"/>
      <c r="F20677" s="626"/>
    </row>
    <row r="20678" spans="1:6">
      <c r="A20678" t="str">
        <f t="shared" si="323"/>
        <v/>
      </c>
      <c r="E20678" s="626"/>
      <c r="F20678" s="626"/>
    </row>
    <row r="20679" spans="1:6">
      <c r="A20679" t="str">
        <f t="shared" si="323"/>
        <v/>
      </c>
      <c r="E20679" s="626"/>
      <c r="F20679" s="626"/>
    </row>
    <row r="20680" spans="1:6">
      <c r="A20680" t="str">
        <f t="shared" si="323"/>
        <v/>
      </c>
      <c r="E20680" s="626"/>
      <c r="F20680" s="626"/>
    </row>
    <row r="20681" spans="1:6">
      <c r="A20681" t="str">
        <f t="shared" si="323"/>
        <v/>
      </c>
      <c r="E20681" s="626"/>
      <c r="F20681" s="626"/>
    </row>
    <row r="20682" spans="1:6">
      <c r="A20682" t="str">
        <f t="shared" si="323"/>
        <v/>
      </c>
      <c r="E20682" s="626"/>
      <c r="F20682" s="626"/>
    </row>
    <row r="20683" spans="1:6">
      <c r="A20683" t="str">
        <f t="shared" si="323"/>
        <v/>
      </c>
      <c r="E20683" s="626"/>
      <c r="F20683" s="626"/>
    </row>
    <row r="20684" spans="1:6">
      <c r="A20684" t="str">
        <f t="shared" si="323"/>
        <v/>
      </c>
      <c r="E20684" s="626"/>
      <c r="F20684" s="626"/>
    </row>
    <row r="20685" spans="1:6">
      <c r="A20685" t="str">
        <f t="shared" si="323"/>
        <v/>
      </c>
      <c r="E20685" s="626"/>
      <c r="F20685" s="626"/>
    </row>
    <row r="20686" spans="1:6">
      <c r="A20686" t="str">
        <f t="shared" si="323"/>
        <v/>
      </c>
      <c r="E20686" s="626"/>
      <c r="F20686" s="626"/>
    </row>
    <row r="20687" spans="1:6">
      <c r="A20687" t="str">
        <f t="shared" si="323"/>
        <v/>
      </c>
      <c r="E20687" s="626"/>
      <c r="F20687" s="626"/>
    </row>
    <row r="20688" spans="1:6">
      <c r="A20688" t="str">
        <f t="shared" si="323"/>
        <v/>
      </c>
      <c r="E20688" s="626"/>
      <c r="F20688" s="626"/>
    </row>
    <row r="20689" spans="1:6">
      <c r="A20689" t="str">
        <f t="shared" si="323"/>
        <v/>
      </c>
      <c r="E20689" s="626"/>
      <c r="F20689" s="626"/>
    </row>
    <row r="20690" spans="1:6">
      <c r="A20690" t="str">
        <f t="shared" si="323"/>
        <v/>
      </c>
      <c r="E20690" s="626"/>
      <c r="F20690" s="626"/>
    </row>
    <row r="20691" spans="1:6">
      <c r="A20691" t="str">
        <f t="shared" si="323"/>
        <v/>
      </c>
      <c r="E20691" s="626"/>
      <c r="F20691" s="626"/>
    </row>
    <row r="20692" spans="1:6">
      <c r="A20692" t="str">
        <f t="shared" si="323"/>
        <v/>
      </c>
      <c r="E20692" s="626"/>
      <c r="F20692" s="626"/>
    </row>
    <row r="20693" spans="1:6">
      <c r="A20693" t="str">
        <f t="shared" si="323"/>
        <v/>
      </c>
      <c r="E20693" s="626"/>
      <c r="F20693" s="626"/>
    </row>
    <row r="20694" spans="1:6">
      <c r="A20694" t="str">
        <f t="shared" si="323"/>
        <v/>
      </c>
      <c r="E20694" s="626"/>
      <c r="F20694" s="626"/>
    </row>
    <row r="20695" spans="1:6">
      <c r="A20695" t="str">
        <f t="shared" si="323"/>
        <v/>
      </c>
      <c r="E20695" s="626"/>
      <c r="F20695" s="626"/>
    </row>
    <row r="20696" spans="1:6">
      <c r="A20696" t="str">
        <f t="shared" si="323"/>
        <v/>
      </c>
      <c r="E20696" s="626"/>
      <c r="F20696" s="626"/>
    </row>
    <row r="20697" spans="1:6">
      <c r="A20697" t="str">
        <f t="shared" si="323"/>
        <v/>
      </c>
      <c r="E20697" s="626"/>
      <c r="F20697" s="626"/>
    </row>
    <row r="20698" spans="1:6">
      <c r="A20698" t="str">
        <f t="shared" si="323"/>
        <v/>
      </c>
      <c r="E20698" s="626"/>
      <c r="F20698" s="626"/>
    </row>
    <row r="20699" spans="1:6">
      <c r="A20699" t="str">
        <f t="shared" si="323"/>
        <v/>
      </c>
      <c r="E20699" s="626"/>
      <c r="F20699" s="626"/>
    </row>
    <row r="20700" spans="1:6">
      <c r="A20700" t="str">
        <f t="shared" si="323"/>
        <v/>
      </c>
      <c r="E20700" s="626"/>
      <c r="F20700" s="626"/>
    </row>
    <row r="20701" spans="1:6">
      <c r="A20701" t="str">
        <f t="shared" si="323"/>
        <v/>
      </c>
      <c r="E20701" s="626"/>
      <c r="F20701" s="626"/>
    </row>
    <row r="20702" spans="1:6">
      <c r="A20702" t="str">
        <f t="shared" si="323"/>
        <v/>
      </c>
      <c r="E20702" s="626"/>
      <c r="F20702" s="626"/>
    </row>
    <row r="20703" spans="1:6">
      <c r="A20703" t="str">
        <f t="shared" si="323"/>
        <v/>
      </c>
      <c r="E20703" s="626"/>
      <c r="F20703" s="626"/>
    </row>
    <row r="20704" spans="1:6">
      <c r="A20704" t="str">
        <f t="shared" si="323"/>
        <v/>
      </c>
      <c r="E20704" s="626"/>
      <c r="F20704" s="626"/>
    </row>
    <row r="20705" spans="1:6">
      <c r="A20705" t="str">
        <f t="shared" si="323"/>
        <v/>
      </c>
      <c r="E20705" s="626"/>
      <c r="F20705" s="626"/>
    </row>
    <row r="20706" spans="1:6">
      <c r="A20706" t="str">
        <f t="shared" si="323"/>
        <v/>
      </c>
      <c r="E20706" s="626"/>
      <c r="F20706" s="626"/>
    </row>
    <row r="20707" spans="1:6">
      <c r="A20707" t="str">
        <f t="shared" si="323"/>
        <v/>
      </c>
      <c r="E20707" s="626"/>
      <c r="F20707" s="626"/>
    </row>
    <row r="20708" spans="1:6">
      <c r="A20708" t="str">
        <f t="shared" si="323"/>
        <v/>
      </c>
      <c r="E20708" s="626"/>
      <c r="F20708" s="626"/>
    </row>
    <row r="20709" spans="1:6">
      <c r="A20709" t="str">
        <f t="shared" si="323"/>
        <v/>
      </c>
      <c r="E20709" s="626"/>
      <c r="F20709" s="626"/>
    </row>
    <row r="20710" spans="1:6">
      <c r="A20710" t="str">
        <f t="shared" si="323"/>
        <v/>
      </c>
      <c r="E20710" s="626"/>
      <c r="F20710" s="626"/>
    </row>
    <row r="20711" spans="1:6">
      <c r="A20711" t="str">
        <f t="shared" si="323"/>
        <v/>
      </c>
      <c r="E20711" s="626"/>
      <c r="F20711" s="626"/>
    </row>
    <row r="20712" spans="1:6">
      <c r="A20712" t="str">
        <f t="shared" si="323"/>
        <v/>
      </c>
      <c r="E20712" s="626"/>
      <c r="F20712" s="626"/>
    </row>
    <row r="20713" spans="1:6">
      <c r="A20713" t="str">
        <f t="shared" si="323"/>
        <v/>
      </c>
      <c r="E20713" s="626"/>
      <c r="F20713" s="626"/>
    </row>
    <row r="20714" spans="1:6">
      <c r="A20714" t="str">
        <f t="shared" si="323"/>
        <v/>
      </c>
      <c r="E20714" s="626"/>
      <c r="F20714" s="626"/>
    </row>
    <row r="20715" spans="1:6">
      <c r="A20715" t="str">
        <f t="shared" si="323"/>
        <v/>
      </c>
      <c r="E20715" s="626"/>
      <c r="F20715" s="626"/>
    </row>
    <row r="20716" spans="1:6">
      <c r="A20716" t="str">
        <f t="shared" si="323"/>
        <v/>
      </c>
      <c r="E20716" s="626"/>
      <c r="F20716" s="626"/>
    </row>
    <row r="20717" spans="1:6">
      <c r="A20717" t="str">
        <f t="shared" si="323"/>
        <v/>
      </c>
      <c r="E20717" s="626"/>
      <c r="F20717" s="626"/>
    </row>
    <row r="20718" spans="1:6">
      <c r="A20718" t="str">
        <f t="shared" si="323"/>
        <v/>
      </c>
      <c r="E20718" s="626"/>
      <c r="F20718" s="626"/>
    </row>
    <row r="20719" spans="1:6">
      <c r="A20719" t="str">
        <f t="shared" si="323"/>
        <v/>
      </c>
      <c r="E20719" s="626"/>
      <c r="F20719" s="626"/>
    </row>
    <row r="20720" spans="1:6">
      <c r="A20720" t="str">
        <f t="shared" si="323"/>
        <v/>
      </c>
      <c r="E20720" s="626"/>
      <c r="F20720" s="626"/>
    </row>
    <row r="20721" spans="1:6">
      <c r="A20721" t="str">
        <f t="shared" si="323"/>
        <v/>
      </c>
      <c r="E20721" s="626"/>
      <c r="F20721" s="626"/>
    </row>
    <row r="20722" spans="1:6">
      <c r="A20722" t="str">
        <f t="shared" si="323"/>
        <v/>
      </c>
      <c r="E20722" s="626"/>
      <c r="F20722" s="626"/>
    </row>
    <row r="20723" spans="1:6">
      <c r="A20723" t="str">
        <f t="shared" si="323"/>
        <v/>
      </c>
      <c r="E20723" s="626"/>
      <c r="F20723" s="626"/>
    </row>
    <row r="20724" spans="1:6">
      <c r="A20724" t="str">
        <f t="shared" si="323"/>
        <v/>
      </c>
      <c r="E20724" s="626"/>
      <c r="F20724" s="626"/>
    </row>
    <row r="20725" spans="1:6">
      <c r="A20725" t="str">
        <f t="shared" si="323"/>
        <v/>
      </c>
      <c r="E20725" s="626"/>
      <c r="F20725" s="626"/>
    </row>
    <row r="20726" spans="1:6">
      <c r="A20726" t="str">
        <f t="shared" si="323"/>
        <v/>
      </c>
      <c r="E20726" s="626"/>
      <c r="F20726" s="626"/>
    </row>
    <row r="20727" spans="1:6">
      <c r="A20727" t="str">
        <f t="shared" si="323"/>
        <v/>
      </c>
      <c r="E20727" s="626"/>
      <c r="F20727" s="626"/>
    </row>
    <row r="20728" spans="1:6">
      <c r="A20728" t="str">
        <f t="shared" si="323"/>
        <v/>
      </c>
      <c r="E20728" s="626"/>
      <c r="F20728" s="626"/>
    </row>
    <row r="20729" spans="1:6">
      <c r="A20729" t="str">
        <f t="shared" si="323"/>
        <v/>
      </c>
      <c r="E20729" s="626"/>
      <c r="F20729" s="626"/>
    </row>
    <row r="20730" spans="1:6">
      <c r="A20730" t="str">
        <f t="shared" si="323"/>
        <v/>
      </c>
      <c r="E20730" s="626"/>
      <c r="F20730" s="626"/>
    </row>
    <row r="20731" spans="1:6">
      <c r="A20731" t="str">
        <f t="shared" si="323"/>
        <v/>
      </c>
      <c r="E20731" s="626"/>
      <c r="F20731" s="626"/>
    </row>
    <row r="20732" spans="1:6">
      <c r="A20732" t="str">
        <f t="shared" si="323"/>
        <v/>
      </c>
      <c r="E20732" s="626"/>
      <c r="F20732" s="626"/>
    </row>
    <row r="20733" spans="1:6">
      <c r="A20733" t="str">
        <f t="shared" si="323"/>
        <v/>
      </c>
      <c r="E20733" s="626"/>
      <c r="F20733" s="626"/>
    </row>
    <row r="20734" spans="1:6">
      <c r="A20734" t="str">
        <f t="shared" si="323"/>
        <v/>
      </c>
      <c r="E20734" s="626"/>
      <c r="F20734" s="626"/>
    </row>
    <row r="20735" spans="1:6">
      <c r="A20735" t="str">
        <f t="shared" si="323"/>
        <v/>
      </c>
      <c r="E20735" s="626"/>
      <c r="F20735" s="626"/>
    </row>
    <row r="20736" spans="1:6">
      <c r="A20736" t="str">
        <f t="shared" si="323"/>
        <v/>
      </c>
      <c r="E20736" s="626"/>
      <c r="F20736" s="626"/>
    </row>
    <row r="20737" spans="1:6">
      <c r="A20737" t="str">
        <f t="shared" si="323"/>
        <v/>
      </c>
      <c r="E20737" s="626"/>
      <c r="F20737" s="626"/>
    </row>
    <row r="20738" spans="1:6">
      <c r="A20738" t="str">
        <f t="shared" ref="A20738:A20801" si="324">B20738&amp;E20738&amp;J20738</f>
        <v/>
      </c>
      <c r="E20738" s="626"/>
      <c r="F20738" s="626"/>
    </row>
    <row r="20739" spans="1:6">
      <c r="A20739" t="str">
        <f t="shared" si="324"/>
        <v/>
      </c>
      <c r="E20739" s="626"/>
      <c r="F20739" s="626"/>
    </row>
    <row r="20740" spans="1:6">
      <c r="A20740" t="str">
        <f t="shared" si="324"/>
        <v/>
      </c>
      <c r="E20740" s="626"/>
      <c r="F20740" s="626"/>
    </row>
    <row r="20741" spans="1:6">
      <c r="A20741" t="str">
        <f t="shared" si="324"/>
        <v/>
      </c>
      <c r="E20741" s="626"/>
      <c r="F20741" s="626"/>
    </row>
    <row r="20742" spans="1:6">
      <c r="A20742" t="str">
        <f t="shared" si="324"/>
        <v/>
      </c>
      <c r="E20742" s="626"/>
      <c r="F20742" s="626"/>
    </row>
    <row r="20743" spans="1:6">
      <c r="A20743" t="str">
        <f t="shared" si="324"/>
        <v/>
      </c>
      <c r="E20743" s="626"/>
      <c r="F20743" s="626"/>
    </row>
    <row r="20744" spans="1:6">
      <c r="A20744" t="str">
        <f t="shared" si="324"/>
        <v/>
      </c>
      <c r="E20744" s="626"/>
      <c r="F20744" s="626"/>
    </row>
    <row r="20745" spans="1:6">
      <c r="A20745" t="str">
        <f t="shared" si="324"/>
        <v/>
      </c>
      <c r="E20745" s="626"/>
      <c r="F20745" s="626"/>
    </row>
    <row r="20746" spans="1:6">
      <c r="A20746" t="str">
        <f t="shared" si="324"/>
        <v/>
      </c>
      <c r="E20746" s="626"/>
      <c r="F20746" s="626"/>
    </row>
    <row r="20747" spans="1:6">
      <c r="A20747" t="str">
        <f t="shared" si="324"/>
        <v/>
      </c>
      <c r="E20747" s="626"/>
      <c r="F20747" s="626"/>
    </row>
    <row r="20748" spans="1:6">
      <c r="A20748" t="str">
        <f t="shared" si="324"/>
        <v/>
      </c>
      <c r="E20748" s="626"/>
      <c r="F20748" s="626"/>
    </row>
    <row r="20749" spans="1:6">
      <c r="A20749" t="str">
        <f t="shared" si="324"/>
        <v/>
      </c>
      <c r="E20749" s="626"/>
      <c r="F20749" s="626"/>
    </row>
    <row r="20750" spans="1:6">
      <c r="A20750" t="str">
        <f t="shared" si="324"/>
        <v/>
      </c>
      <c r="E20750" s="626"/>
      <c r="F20750" s="626"/>
    </row>
    <row r="20751" spans="1:6">
      <c r="A20751" t="str">
        <f t="shared" si="324"/>
        <v/>
      </c>
      <c r="E20751" s="626"/>
      <c r="F20751" s="626"/>
    </row>
    <row r="20752" spans="1:6">
      <c r="A20752" t="str">
        <f t="shared" si="324"/>
        <v/>
      </c>
      <c r="E20752" s="626"/>
      <c r="F20752" s="626"/>
    </row>
    <row r="20753" spans="1:6">
      <c r="A20753" t="str">
        <f t="shared" si="324"/>
        <v/>
      </c>
      <c r="E20753" s="626"/>
      <c r="F20753" s="626"/>
    </row>
    <row r="20754" spans="1:6">
      <c r="A20754" t="str">
        <f t="shared" si="324"/>
        <v/>
      </c>
      <c r="E20754" s="626"/>
      <c r="F20754" s="626"/>
    </row>
    <row r="20755" spans="1:6">
      <c r="A20755" t="str">
        <f t="shared" si="324"/>
        <v/>
      </c>
      <c r="E20755" s="626"/>
      <c r="F20755" s="626"/>
    </row>
    <row r="20756" spans="1:6">
      <c r="A20756" t="str">
        <f t="shared" si="324"/>
        <v/>
      </c>
      <c r="E20756" s="626"/>
      <c r="F20756" s="626"/>
    </row>
    <row r="20757" spans="1:6">
      <c r="A20757" t="str">
        <f t="shared" si="324"/>
        <v/>
      </c>
      <c r="E20757" s="626"/>
      <c r="F20757" s="626"/>
    </row>
    <row r="20758" spans="1:6">
      <c r="A20758" t="str">
        <f t="shared" si="324"/>
        <v/>
      </c>
      <c r="E20758" s="626"/>
      <c r="F20758" s="626"/>
    </row>
    <row r="20759" spans="1:6">
      <c r="A20759" t="str">
        <f t="shared" si="324"/>
        <v/>
      </c>
      <c r="E20759" s="626"/>
      <c r="F20759" s="626"/>
    </row>
    <row r="20760" spans="1:6">
      <c r="A20760" t="str">
        <f t="shared" si="324"/>
        <v/>
      </c>
      <c r="E20760" s="626"/>
      <c r="F20760" s="626"/>
    </row>
    <row r="20761" spans="1:6">
      <c r="A20761" t="str">
        <f t="shared" si="324"/>
        <v/>
      </c>
      <c r="E20761" s="626"/>
      <c r="F20761" s="626"/>
    </row>
    <row r="20762" spans="1:6">
      <c r="A20762" t="str">
        <f t="shared" si="324"/>
        <v/>
      </c>
      <c r="E20762" s="626"/>
      <c r="F20762" s="626"/>
    </row>
    <row r="20763" spans="1:6">
      <c r="A20763" t="str">
        <f t="shared" si="324"/>
        <v/>
      </c>
      <c r="E20763" s="626"/>
      <c r="F20763" s="626"/>
    </row>
    <row r="20764" spans="1:6">
      <c r="A20764" t="str">
        <f t="shared" si="324"/>
        <v/>
      </c>
      <c r="E20764" s="626"/>
      <c r="F20764" s="626"/>
    </row>
    <row r="20765" spans="1:6">
      <c r="A20765" t="str">
        <f t="shared" si="324"/>
        <v/>
      </c>
      <c r="E20765" s="626"/>
      <c r="F20765" s="626"/>
    </row>
    <row r="20766" spans="1:6">
      <c r="A20766" t="str">
        <f t="shared" si="324"/>
        <v/>
      </c>
      <c r="E20766" s="626"/>
      <c r="F20766" s="626"/>
    </row>
    <row r="20767" spans="1:6">
      <c r="A20767" t="str">
        <f t="shared" si="324"/>
        <v/>
      </c>
      <c r="E20767" s="626"/>
      <c r="F20767" s="626"/>
    </row>
    <row r="20768" spans="1:6">
      <c r="A20768" t="str">
        <f t="shared" si="324"/>
        <v/>
      </c>
      <c r="E20768" s="626"/>
      <c r="F20768" s="626"/>
    </row>
    <row r="20769" spans="1:6">
      <c r="A20769" t="str">
        <f t="shared" si="324"/>
        <v/>
      </c>
      <c r="E20769" s="626"/>
      <c r="F20769" s="626"/>
    </row>
    <row r="20770" spans="1:6">
      <c r="A20770" t="str">
        <f t="shared" si="324"/>
        <v/>
      </c>
      <c r="E20770" s="626"/>
      <c r="F20770" s="626"/>
    </row>
    <row r="20771" spans="1:6">
      <c r="A20771" t="str">
        <f t="shared" si="324"/>
        <v/>
      </c>
      <c r="E20771" s="626"/>
      <c r="F20771" s="626"/>
    </row>
    <row r="20772" spans="1:6">
      <c r="A20772" t="str">
        <f t="shared" si="324"/>
        <v/>
      </c>
      <c r="E20772" s="626"/>
      <c r="F20772" s="626"/>
    </row>
    <row r="20773" spans="1:6">
      <c r="A20773" t="str">
        <f t="shared" si="324"/>
        <v/>
      </c>
      <c r="E20773" s="626"/>
      <c r="F20773" s="626"/>
    </row>
    <row r="20774" spans="1:6">
      <c r="A20774" t="str">
        <f t="shared" si="324"/>
        <v/>
      </c>
      <c r="E20774" s="626"/>
      <c r="F20774" s="626"/>
    </row>
    <row r="20775" spans="1:6">
      <c r="A20775" t="str">
        <f t="shared" si="324"/>
        <v/>
      </c>
      <c r="E20775" s="626"/>
      <c r="F20775" s="626"/>
    </row>
    <row r="20776" spans="1:6">
      <c r="A20776" t="str">
        <f t="shared" si="324"/>
        <v/>
      </c>
      <c r="E20776" s="626"/>
      <c r="F20776" s="626"/>
    </row>
    <row r="20777" spans="1:6">
      <c r="A20777" t="str">
        <f t="shared" si="324"/>
        <v/>
      </c>
      <c r="E20777" s="626"/>
      <c r="F20777" s="626"/>
    </row>
    <row r="20778" spans="1:6">
      <c r="A20778" t="str">
        <f t="shared" si="324"/>
        <v/>
      </c>
      <c r="E20778" s="626"/>
      <c r="F20778" s="626"/>
    </row>
    <row r="20779" spans="1:6">
      <c r="A20779" t="str">
        <f t="shared" si="324"/>
        <v/>
      </c>
      <c r="E20779" s="626"/>
      <c r="F20779" s="626"/>
    </row>
    <row r="20780" spans="1:6">
      <c r="A20780" t="str">
        <f t="shared" si="324"/>
        <v/>
      </c>
      <c r="E20780" s="626"/>
      <c r="F20780" s="626"/>
    </row>
    <row r="20781" spans="1:6">
      <c r="A20781" t="str">
        <f t="shared" si="324"/>
        <v/>
      </c>
      <c r="E20781" s="626"/>
      <c r="F20781" s="626"/>
    </row>
    <row r="20782" spans="1:6">
      <c r="A20782" t="str">
        <f t="shared" si="324"/>
        <v/>
      </c>
      <c r="E20782" s="626"/>
      <c r="F20782" s="626"/>
    </row>
    <row r="20783" spans="1:6">
      <c r="A20783" t="str">
        <f t="shared" si="324"/>
        <v/>
      </c>
      <c r="E20783" s="626"/>
      <c r="F20783" s="626"/>
    </row>
    <row r="20784" spans="1:6">
      <c r="A20784" t="str">
        <f t="shared" si="324"/>
        <v/>
      </c>
      <c r="E20784" s="626"/>
      <c r="F20784" s="626"/>
    </row>
    <row r="20785" spans="1:6">
      <c r="A20785" t="str">
        <f t="shared" si="324"/>
        <v/>
      </c>
      <c r="E20785" s="626"/>
      <c r="F20785" s="626"/>
    </row>
    <row r="20786" spans="1:6">
      <c r="A20786" t="str">
        <f t="shared" si="324"/>
        <v/>
      </c>
      <c r="E20786" s="626"/>
      <c r="F20786" s="626"/>
    </row>
    <row r="20787" spans="1:6">
      <c r="A20787" t="str">
        <f t="shared" si="324"/>
        <v/>
      </c>
      <c r="E20787" s="626"/>
      <c r="F20787" s="626"/>
    </row>
    <row r="20788" spans="1:6">
      <c r="A20788" t="str">
        <f t="shared" si="324"/>
        <v/>
      </c>
      <c r="E20788" s="626"/>
      <c r="F20788" s="626"/>
    </row>
    <row r="20789" spans="1:6">
      <c r="A20789" t="str">
        <f t="shared" si="324"/>
        <v/>
      </c>
      <c r="E20789" s="626"/>
      <c r="F20789" s="626"/>
    </row>
    <row r="20790" spans="1:6">
      <c r="A20790" t="str">
        <f t="shared" si="324"/>
        <v/>
      </c>
      <c r="E20790" s="626"/>
      <c r="F20790" s="626"/>
    </row>
    <row r="20791" spans="1:6">
      <c r="A20791" t="str">
        <f t="shared" si="324"/>
        <v/>
      </c>
      <c r="E20791" s="626"/>
      <c r="F20791" s="626"/>
    </row>
    <row r="20792" spans="1:6">
      <c r="A20792" t="str">
        <f t="shared" si="324"/>
        <v/>
      </c>
      <c r="E20792" s="626"/>
      <c r="F20792" s="626"/>
    </row>
    <row r="20793" spans="1:6">
      <c r="A20793" t="str">
        <f t="shared" si="324"/>
        <v/>
      </c>
      <c r="E20793" s="626"/>
      <c r="F20793" s="626"/>
    </row>
    <row r="20794" spans="1:6">
      <c r="A20794" t="str">
        <f t="shared" si="324"/>
        <v/>
      </c>
      <c r="E20794" s="626"/>
      <c r="F20794" s="626"/>
    </row>
    <row r="20795" spans="1:6">
      <c r="A20795" t="str">
        <f t="shared" si="324"/>
        <v/>
      </c>
      <c r="E20795" s="626"/>
      <c r="F20795" s="626"/>
    </row>
    <row r="20796" spans="1:6">
      <c r="A20796" t="str">
        <f t="shared" si="324"/>
        <v/>
      </c>
      <c r="E20796" s="626"/>
      <c r="F20796" s="626"/>
    </row>
    <row r="20797" spans="1:6">
      <c r="A20797" t="str">
        <f t="shared" si="324"/>
        <v/>
      </c>
      <c r="E20797" s="626"/>
      <c r="F20797" s="626"/>
    </row>
    <row r="20798" spans="1:6">
      <c r="A20798" t="str">
        <f t="shared" si="324"/>
        <v/>
      </c>
      <c r="E20798" s="626"/>
      <c r="F20798" s="626"/>
    </row>
    <row r="20799" spans="1:6">
      <c r="A20799" t="str">
        <f t="shared" si="324"/>
        <v/>
      </c>
      <c r="E20799" s="626"/>
      <c r="F20799" s="626"/>
    </row>
    <row r="20800" spans="1:6">
      <c r="A20800" t="str">
        <f t="shared" si="324"/>
        <v/>
      </c>
      <c r="E20800" s="626"/>
      <c r="F20800" s="626"/>
    </row>
    <row r="20801" spans="1:6">
      <c r="A20801" t="str">
        <f t="shared" si="324"/>
        <v/>
      </c>
      <c r="E20801" s="626"/>
      <c r="F20801" s="626"/>
    </row>
    <row r="20802" spans="1:6">
      <c r="A20802" t="str">
        <f t="shared" ref="A20802:A20865" si="325">B20802&amp;E20802&amp;J20802</f>
        <v/>
      </c>
      <c r="E20802" s="626"/>
      <c r="F20802" s="626"/>
    </row>
    <row r="20803" spans="1:6">
      <c r="A20803" t="str">
        <f t="shared" si="325"/>
        <v/>
      </c>
      <c r="E20803" s="626"/>
      <c r="F20803" s="626"/>
    </row>
    <row r="20804" spans="1:6">
      <c r="A20804" t="str">
        <f t="shared" si="325"/>
        <v/>
      </c>
      <c r="E20804" s="626"/>
      <c r="F20804" s="626"/>
    </row>
    <row r="20805" spans="1:6">
      <c r="A20805" t="str">
        <f t="shared" si="325"/>
        <v/>
      </c>
      <c r="E20805" s="626"/>
      <c r="F20805" s="626"/>
    </row>
    <row r="20806" spans="1:6">
      <c r="A20806" t="str">
        <f t="shared" si="325"/>
        <v/>
      </c>
      <c r="E20806" s="626"/>
      <c r="F20806" s="626"/>
    </row>
    <row r="20807" spans="1:6">
      <c r="A20807" t="str">
        <f t="shared" si="325"/>
        <v/>
      </c>
      <c r="E20807" s="626"/>
      <c r="F20807" s="626"/>
    </row>
    <row r="20808" spans="1:6">
      <c r="A20808" t="str">
        <f t="shared" si="325"/>
        <v/>
      </c>
      <c r="E20808" s="626"/>
      <c r="F20808" s="626"/>
    </row>
    <row r="20809" spans="1:6">
      <c r="A20809" t="str">
        <f t="shared" si="325"/>
        <v/>
      </c>
      <c r="E20809" s="626"/>
      <c r="F20809" s="626"/>
    </row>
    <row r="20810" spans="1:6">
      <c r="A20810" t="str">
        <f t="shared" si="325"/>
        <v/>
      </c>
      <c r="E20810" s="626"/>
      <c r="F20810" s="626"/>
    </row>
    <row r="20811" spans="1:6">
      <c r="A20811" t="str">
        <f t="shared" si="325"/>
        <v/>
      </c>
      <c r="E20811" s="626"/>
      <c r="F20811" s="626"/>
    </row>
    <row r="20812" spans="1:6">
      <c r="A20812" t="str">
        <f t="shared" si="325"/>
        <v/>
      </c>
      <c r="E20812" s="626"/>
      <c r="F20812" s="626"/>
    </row>
    <row r="20813" spans="1:6">
      <c r="A20813" t="str">
        <f t="shared" si="325"/>
        <v/>
      </c>
      <c r="E20813" s="626"/>
      <c r="F20813" s="626"/>
    </row>
    <row r="20814" spans="1:6">
      <c r="A20814" t="str">
        <f t="shared" si="325"/>
        <v/>
      </c>
      <c r="E20814" s="626"/>
      <c r="F20814" s="626"/>
    </row>
    <row r="20815" spans="1:6">
      <c r="A20815" t="str">
        <f t="shared" si="325"/>
        <v/>
      </c>
      <c r="E20815" s="626"/>
      <c r="F20815" s="626"/>
    </row>
    <row r="20816" spans="1:6">
      <c r="A20816" t="str">
        <f t="shared" si="325"/>
        <v/>
      </c>
      <c r="E20816" s="626"/>
      <c r="F20816" s="626"/>
    </row>
    <row r="20817" spans="1:6">
      <c r="A20817" t="str">
        <f t="shared" si="325"/>
        <v/>
      </c>
      <c r="E20817" s="626"/>
      <c r="F20817" s="626"/>
    </row>
    <row r="20818" spans="1:6">
      <c r="A20818" t="str">
        <f t="shared" si="325"/>
        <v/>
      </c>
      <c r="E20818" s="626"/>
      <c r="F20818" s="626"/>
    </row>
    <row r="20819" spans="1:6">
      <c r="A20819" t="str">
        <f t="shared" si="325"/>
        <v/>
      </c>
      <c r="E20819" s="626"/>
      <c r="F20819" s="626"/>
    </row>
    <row r="20820" spans="1:6">
      <c r="A20820" t="str">
        <f t="shared" si="325"/>
        <v/>
      </c>
      <c r="E20820" s="626"/>
      <c r="F20820" s="626"/>
    </row>
    <row r="20821" spans="1:6">
      <c r="A20821" t="str">
        <f t="shared" si="325"/>
        <v/>
      </c>
      <c r="E20821" s="626"/>
      <c r="F20821" s="626"/>
    </row>
    <row r="20822" spans="1:6">
      <c r="A20822" t="str">
        <f t="shared" si="325"/>
        <v/>
      </c>
      <c r="E20822" s="626"/>
      <c r="F20822" s="626"/>
    </row>
    <row r="20823" spans="1:6">
      <c r="A20823" t="str">
        <f t="shared" si="325"/>
        <v/>
      </c>
      <c r="E20823" s="626"/>
      <c r="F20823" s="626"/>
    </row>
    <row r="20824" spans="1:6">
      <c r="A20824" t="str">
        <f t="shared" si="325"/>
        <v/>
      </c>
      <c r="E20824" s="626"/>
      <c r="F20824" s="626"/>
    </row>
    <row r="20825" spans="1:6">
      <c r="A20825" t="str">
        <f t="shared" si="325"/>
        <v/>
      </c>
      <c r="E20825" s="626"/>
      <c r="F20825" s="626"/>
    </row>
    <row r="20826" spans="1:6">
      <c r="A20826" t="str">
        <f t="shared" si="325"/>
        <v/>
      </c>
      <c r="E20826" s="626"/>
      <c r="F20826" s="626"/>
    </row>
    <row r="20827" spans="1:6">
      <c r="A20827" t="str">
        <f t="shared" si="325"/>
        <v/>
      </c>
      <c r="E20827" s="626"/>
      <c r="F20827" s="626"/>
    </row>
    <row r="20828" spans="1:6">
      <c r="A20828" t="str">
        <f t="shared" si="325"/>
        <v/>
      </c>
      <c r="E20828" s="626"/>
      <c r="F20828" s="626"/>
    </row>
    <row r="20829" spans="1:6">
      <c r="A20829" t="str">
        <f t="shared" si="325"/>
        <v/>
      </c>
      <c r="E20829" s="626"/>
      <c r="F20829" s="626"/>
    </row>
    <row r="20830" spans="1:6">
      <c r="A20830" t="str">
        <f t="shared" si="325"/>
        <v/>
      </c>
      <c r="E20830" s="626"/>
      <c r="F20830" s="626"/>
    </row>
    <row r="20831" spans="1:6">
      <c r="A20831" t="str">
        <f t="shared" si="325"/>
        <v/>
      </c>
      <c r="E20831" s="626"/>
      <c r="F20831" s="626"/>
    </row>
    <row r="20832" spans="1:6">
      <c r="A20832" t="str">
        <f t="shared" si="325"/>
        <v/>
      </c>
      <c r="E20832" s="626"/>
      <c r="F20832" s="626"/>
    </row>
    <row r="20833" spans="1:6">
      <c r="A20833" t="str">
        <f t="shared" si="325"/>
        <v/>
      </c>
      <c r="E20833" s="626"/>
      <c r="F20833" s="626"/>
    </row>
    <row r="20834" spans="1:6">
      <c r="A20834" t="str">
        <f t="shared" si="325"/>
        <v/>
      </c>
      <c r="E20834" s="626"/>
      <c r="F20834" s="626"/>
    </row>
    <row r="20835" spans="1:6">
      <c r="A20835" t="str">
        <f t="shared" si="325"/>
        <v/>
      </c>
      <c r="E20835" s="626"/>
      <c r="F20835" s="626"/>
    </row>
    <row r="20836" spans="1:6">
      <c r="A20836" t="str">
        <f t="shared" si="325"/>
        <v/>
      </c>
      <c r="E20836" s="626"/>
      <c r="F20836" s="626"/>
    </row>
    <row r="20837" spans="1:6">
      <c r="A20837" t="str">
        <f t="shared" si="325"/>
        <v/>
      </c>
      <c r="E20837" s="626"/>
      <c r="F20837" s="626"/>
    </row>
    <row r="20838" spans="1:6">
      <c r="A20838" t="str">
        <f t="shared" si="325"/>
        <v/>
      </c>
      <c r="E20838" s="626"/>
      <c r="F20838" s="626"/>
    </row>
    <row r="20839" spans="1:6">
      <c r="A20839" t="str">
        <f t="shared" si="325"/>
        <v/>
      </c>
      <c r="E20839" s="626"/>
      <c r="F20839" s="626"/>
    </row>
    <row r="20840" spans="1:6">
      <c r="A20840" t="str">
        <f t="shared" si="325"/>
        <v/>
      </c>
      <c r="E20840" s="626"/>
      <c r="F20840" s="626"/>
    </row>
    <row r="20841" spans="1:6">
      <c r="A20841" t="str">
        <f t="shared" si="325"/>
        <v/>
      </c>
      <c r="E20841" s="626"/>
      <c r="F20841" s="626"/>
    </row>
    <row r="20842" spans="1:6">
      <c r="A20842" t="str">
        <f t="shared" si="325"/>
        <v/>
      </c>
      <c r="E20842" s="626"/>
      <c r="F20842" s="626"/>
    </row>
    <row r="20843" spans="1:6">
      <c r="A20843" t="str">
        <f t="shared" si="325"/>
        <v/>
      </c>
      <c r="E20843" s="626"/>
      <c r="F20843" s="626"/>
    </row>
    <row r="20844" spans="1:6">
      <c r="A20844" t="str">
        <f t="shared" si="325"/>
        <v/>
      </c>
      <c r="E20844" s="626"/>
      <c r="F20844" s="626"/>
    </row>
    <row r="20845" spans="1:6">
      <c r="A20845" t="str">
        <f t="shared" si="325"/>
        <v/>
      </c>
      <c r="E20845" s="626"/>
      <c r="F20845" s="626"/>
    </row>
    <row r="20846" spans="1:6">
      <c r="A20846" t="str">
        <f t="shared" si="325"/>
        <v/>
      </c>
      <c r="E20846" s="626"/>
      <c r="F20846" s="626"/>
    </row>
    <row r="20847" spans="1:6">
      <c r="A20847" t="str">
        <f t="shared" si="325"/>
        <v/>
      </c>
      <c r="E20847" s="626"/>
      <c r="F20847" s="626"/>
    </row>
    <row r="20848" spans="1:6">
      <c r="A20848" t="str">
        <f t="shared" si="325"/>
        <v/>
      </c>
      <c r="E20848" s="626"/>
      <c r="F20848" s="626"/>
    </row>
    <row r="20849" spans="1:6">
      <c r="A20849" t="str">
        <f t="shared" si="325"/>
        <v/>
      </c>
      <c r="E20849" s="626"/>
      <c r="F20849" s="626"/>
    </row>
    <row r="20850" spans="1:6">
      <c r="A20850" t="str">
        <f t="shared" si="325"/>
        <v/>
      </c>
      <c r="E20850" s="626"/>
      <c r="F20850" s="626"/>
    </row>
    <row r="20851" spans="1:6">
      <c r="A20851" t="str">
        <f t="shared" si="325"/>
        <v/>
      </c>
      <c r="E20851" s="626"/>
      <c r="F20851" s="626"/>
    </row>
    <row r="20852" spans="1:6">
      <c r="A20852" t="str">
        <f t="shared" si="325"/>
        <v/>
      </c>
      <c r="E20852" s="626"/>
      <c r="F20852" s="626"/>
    </row>
    <row r="20853" spans="1:6">
      <c r="A20853" t="str">
        <f t="shared" si="325"/>
        <v/>
      </c>
      <c r="E20853" s="626"/>
      <c r="F20853" s="626"/>
    </row>
    <row r="20854" spans="1:6">
      <c r="A20854" t="str">
        <f t="shared" si="325"/>
        <v/>
      </c>
      <c r="E20854" s="626"/>
      <c r="F20854" s="626"/>
    </row>
    <row r="20855" spans="1:6">
      <c r="A20855" t="str">
        <f t="shared" si="325"/>
        <v/>
      </c>
      <c r="E20855" s="626"/>
      <c r="F20855" s="626"/>
    </row>
    <row r="20856" spans="1:6">
      <c r="A20856" t="str">
        <f t="shared" si="325"/>
        <v/>
      </c>
      <c r="E20856" s="626"/>
      <c r="F20856" s="626"/>
    </row>
    <row r="20857" spans="1:6">
      <c r="A20857" t="str">
        <f t="shared" si="325"/>
        <v/>
      </c>
      <c r="E20857" s="626"/>
      <c r="F20857" s="626"/>
    </row>
    <row r="20858" spans="1:6">
      <c r="A20858" t="str">
        <f t="shared" si="325"/>
        <v/>
      </c>
      <c r="E20858" s="626"/>
      <c r="F20858" s="626"/>
    </row>
    <row r="20859" spans="1:6">
      <c r="A20859" t="str">
        <f t="shared" si="325"/>
        <v/>
      </c>
      <c r="E20859" s="626"/>
      <c r="F20859" s="626"/>
    </row>
    <row r="20860" spans="1:6">
      <c r="A20860" t="str">
        <f t="shared" si="325"/>
        <v/>
      </c>
      <c r="E20860" s="626"/>
      <c r="F20860" s="626"/>
    </row>
    <row r="20861" spans="1:6">
      <c r="A20861" t="str">
        <f t="shared" si="325"/>
        <v/>
      </c>
      <c r="E20861" s="626"/>
      <c r="F20861" s="626"/>
    </row>
    <row r="20862" spans="1:6">
      <c r="A20862" t="str">
        <f t="shared" si="325"/>
        <v/>
      </c>
      <c r="E20862" s="626"/>
      <c r="F20862" s="626"/>
    </row>
    <row r="20863" spans="1:6">
      <c r="A20863" t="str">
        <f t="shared" si="325"/>
        <v/>
      </c>
      <c r="E20863" s="626"/>
      <c r="F20863" s="626"/>
    </row>
    <row r="20864" spans="1:6">
      <c r="A20864" t="str">
        <f t="shared" si="325"/>
        <v/>
      </c>
      <c r="E20864" s="626"/>
      <c r="F20864" s="626"/>
    </row>
    <row r="20865" spans="1:6">
      <c r="A20865" t="str">
        <f t="shared" si="325"/>
        <v/>
      </c>
      <c r="E20865" s="626"/>
      <c r="F20865" s="626"/>
    </row>
    <row r="20866" spans="1:6">
      <c r="A20866" t="str">
        <f t="shared" ref="A20866:A20929" si="326">B20866&amp;E20866&amp;J20866</f>
        <v/>
      </c>
      <c r="E20866" s="626"/>
      <c r="F20866" s="626"/>
    </row>
    <row r="20867" spans="1:6">
      <c r="A20867" t="str">
        <f t="shared" si="326"/>
        <v/>
      </c>
      <c r="E20867" s="626"/>
      <c r="F20867" s="626"/>
    </row>
    <row r="20868" spans="1:6">
      <c r="A20868" t="str">
        <f t="shared" si="326"/>
        <v/>
      </c>
      <c r="E20868" s="626"/>
      <c r="F20868" s="626"/>
    </row>
    <row r="20869" spans="1:6">
      <c r="A20869" t="str">
        <f t="shared" si="326"/>
        <v/>
      </c>
      <c r="E20869" s="626"/>
      <c r="F20869" s="626"/>
    </row>
    <row r="20870" spans="1:6">
      <c r="A20870" t="str">
        <f t="shared" si="326"/>
        <v/>
      </c>
      <c r="E20870" s="626"/>
      <c r="F20870" s="626"/>
    </row>
    <row r="20871" spans="1:6">
      <c r="A20871" t="str">
        <f t="shared" si="326"/>
        <v/>
      </c>
      <c r="E20871" s="626"/>
      <c r="F20871" s="626"/>
    </row>
    <row r="20872" spans="1:6">
      <c r="A20872" t="str">
        <f t="shared" si="326"/>
        <v/>
      </c>
      <c r="E20872" s="626"/>
      <c r="F20872" s="626"/>
    </row>
    <row r="20873" spans="1:6">
      <c r="A20873" t="str">
        <f t="shared" si="326"/>
        <v/>
      </c>
      <c r="E20873" s="626"/>
      <c r="F20873" s="626"/>
    </row>
    <row r="20874" spans="1:6">
      <c r="A20874" t="str">
        <f t="shared" si="326"/>
        <v/>
      </c>
      <c r="E20874" s="626"/>
      <c r="F20874" s="626"/>
    </row>
    <row r="20875" spans="1:6">
      <c r="A20875" t="str">
        <f t="shared" si="326"/>
        <v/>
      </c>
      <c r="E20875" s="626"/>
      <c r="F20875" s="626"/>
    </row>
    <row r="20876" spans="1:6">
      <c r="A20876" t="str">
        <f t="shared" si="326"/>
        <v/>
      </c>
      <c r="E20876" s="626"/>
      <c r="F20876" s="626"/>
    </row>
    <row r="20877" spans="1:6">
      <c r="A20877" t="str">
        <f t="shared" si="326"/>
        <v/>
      </c>
      <c r="E20877" s="626"/>
      <c r="F20877" s="626"/>
    </row>
    <row r="20878" spans="1:6">
      <c r="A20878" t="str">
        <f t="shared" si="326"/>
        <v/>
      </c>
      <c r="E20878" s="626"/>
      <c r="F20878" s="626"/>
    </row>
    <row r="20879" spans="1:6">
      <c r="A20879" t="str">
        <f t="shared" si="326"/>
        <v/>
      </c>
      <c r="E20879" s="626"/>
      <c r="F20879" s="626"/>
    </row>
    <row r="20880" spans="1:6">
      <c r="A20880" t="str">
        <f t="shared" si="326"/>
        <v/>
      </c>
      <c r="E20880" s="626"/>
      <c r="F20880" s="626"/>
    </row>
    <row r="20881" spans="1:6">
      <c r="A20881" t="str">
        <f t="shared" si="326"/>
        <v/>
      </c>
      <c r="E20881" s="626"/>
      <c r="F20881" s="626"/>
    </row>
    <row r="20882" spans="1:6">
      <c r="A20882" t="str">
        <f t="shared" si="326"/>
        <v/>
      </c>
      <c r="E20882" s="626"/>
      <c r="F20882" s="626"/>
    </row>
    <row r="20883" spans="1:6">
      <c r="A20883" t="str">
        <f t="shared" si="326"/>
        <v/>
      </c>
      <c r="E20883" s="626"/>
      <c r="F20883" s="626"/>
    </row>
    <row r="20884" spans="1:6">
      <c r="A20884" t="str">
        <f t="shared" si="326"/>
        <v/>
      </c>
      <c r="E20884" s="626"/>
      <c r="F20884" s="626"/>
    </row>
    <row r="20885" spans="1:6">
      <c r="A20885" t="str">
        <f t="shared" si="326"/>
        <v/>
      </c>
      <c r="E20885" s="626"/>
      <c r="F20885" s="626"/>
    </row>
    <row r="20886" spans="1:6">
      <c r="A20886" t="str">
        <f t="shared" si="326"/>
        <v/>
      </c>
      <c r="E20886" s="626"/>
      <c r="F20886" s="626"/>
    </row>
    <row r="20887" spans="1:6">
      <c r="A20887" t="str">
        <f t="shared" si="326"/>
        <v/>
      </c>
      <c r="E20887" s="626"/>
      <c r="F20887" s="626"/>
    </row>
    <row r="20888" spans="1:6">
      <c r="A20888" t="str">
        <f t="shared" si="326"/>
        <v/>
      </c>
      <c r="E20888" s="626"/>
      <c r="F20888" s="626"/>
    </row>
    <row r="20889" spans="1:6">
      <c r="A20889" t="str">
        <f t="shared" si="326"/>
        <v/>
      </c>
      <c r="E20889" s="626"/>
      <c r="F20889" s="626"/>
    </row>
    <row r="20890" spans="1:6">
      <c r="A20890" t="str">
        <f t="shared" si="326"/>
        <v/>
      </c>
      <c r="E20890" s="626"/>
      <c r="F20890" s="626"/>
    </row>
    <row r="20891" spans="1:6">
      <c r="A20891" t="str">
        <f t="shared" si="326"/>
        <v/>
      </c>
      <c r="E20891" s="626"/>
      <c r="F20891" s="626"/>
    </row>
    <row r="20892" spans="1:6">
      <c r="A20892" t="str">
        <f t="shared" si="326"/>
        <v/>
      </c>
      <c r="E20892" s="626"/>
      <c r="F20892" s="626"/>
    </row>
    <row r="20893" spans="1:6">
      <c r="A20893" t="str">
        <f t="shared" si="326"/>
        <v/>
      </c>
      <c r="E20893" s="626"/>
      <c r="F20893" s="626"/>
    </row>
    <row r="20894" spans="1:6">
      <c r="A20894" t="str">
        <f t="shared" si="326"/>
        <v/>
      </c>
      <c r="E20894" s="626"/>
      <c r="F20894" s="626"/>
    </row>
    <row r="20895" spans="1:6">
      <c r="A20895" t="str">
        <f t="shared" si="326"/>
        <v/>
      </c>
      <c r="E20895" s="626"/>
      <c r="F20895" s="626"/>
    </row>
    <row r="20896" spans="1:6">
      <c r="A20896" t="str">
        <f t="shared" si="326"/>
        <v/>
      </c>
      <c r="E20896" s="626"/>
      <c r="F20896" s="626"/>
    </row>
    <row r="20897" spans="1:6">
      <c r="A20897" t="str">
        <f t="shared" si="326"/>
        <v/>
      </c>
      <c r="E20897" s="626"/>
      <c r="F20897" s="626"/>
    </row>
    <row r="20898" spans="1:6">
      <c r="A20898" t="str">
        <f t="shared" si="326"/>
        <v/>
      </c>
      <c r="E20898" s="626"/>
      <c r="F20898" s="626"/>
    </row>
    <row r="20899" spans="1:6">
      <c r="A20899" t="str">
        <f t="shared" si="326"/>
        <v/>
      </c>
      <c r="E20899" s="626"/>
      <c r="F20899" s="626"/>
    </row>
    <row r="20900" spans="1:6">
      <c r="A20900" t="str">
        <f t="shared" si="326"/>
        <v/>
      </c>
      <c r="E20900" s="626"/>
      <c r="F20900" s="626"/>
    </row>
    <row r="20901" spans="1:6">
      <c r="A20901" t="str">
        <f t="shared" si="326"/>
        <v/>
      </c>
      <c r="E20901" s="626"/>
      <c r="F20901" s="626"/>
    </row>
    <row r="20902" spans="1:6">
      <c r="A20902" t="str">
        <f t="shared" si="326"/>
        <v/>
      </c>
      <c r="E20902" s="626"/>
      <c r="F20902" s="626"/>
    </row>
    <row r="20903" spans="1:6">
      <c r="A20903" t="str">
        <f t="shared" si="326"/>
        <v/>
      </c>
      <c r="E20903" s="626"/>
      <c r="F20903" s="626"/>
    </row>
    <row r="20904" spans="1:6">
      <c r="A20904" t="str">
        <f t="shared" si="326"/>
        <v/>
      </c>
      <c r="E20904" s="626"/>
      <c r="F20904" s="626"/>
    </row>
    <row r="20905" spans="1:6">
      <c r="A20905" t="str">
        <f t="shared" si="326"/>
        <v/>
      </c>
      <c r="E20905" s="626"/>
      <c r="F20905" s="626"/>
    </row>
    <row r="20906" spans="1:6">
      <c r="A20906" t="str">
        <f t="shared" si="326"/>
        <v/>
      </c>
      <c r="E20906" s="626"/>
      <c r="F20906" s="626"/>
    </row>
    <row r="20907" spans="1:6">
      <c r="A20907" t="str">
        <f t="shared" si="326"/>
        <v/>
      </c>
      <c r="E20907" s="626"/>
      <c r="F20907" s="626"/>
    </row>
    <row r="20908" spans="1:6">
      <c r="A20908" t="str">
        <f t="shared" si="326"/>
        <v/>
      </c>
      <c r="E20908" s="626"/>
      <c r="F20908" s="626"/>
    </row>
    <row r="20909" spans="1:6">
      <c r="A20909" t="str">
        <f t="shared" si="326"/>
        <v/>
      </c>
      <c r="E20909" s="626"/>
      <c r="F20909" s="626"/>
    </row>
    <row r="20910" spans="1:6">
      <c r="A20910" t="str">
        <f t="shared" si="326"/>
        <v/>
      </c>
      <c r="E20910" s="626"/>
      <c r="F20910" s="626"/>
    </row>
    <row r="20911" spans="1:6">
      <c r="A20911" t="str">
        <f t="shared" si="326"/>
        <v/>
      </c>
      <c r="E20911" s="626"/>
      <c r="F20911" s="626"/>
    </row>
    <row r="20912" spans="1:6">
      <c r="A20912" t="str">
        <f t="shared" si="326"/>
        <v/>
      </c>
      <c r="E20912" s="626"/>
      <c r="F20912" s="626"/>
    </row>
    <row r="20913" spans="1:6">
      <c r="A20913" t="str">
        <f t="shared" si="326"/>
        <v/>
      </c>
      <c r="E20913" s="626"/>
      <c r="F20913" s="626"/>
    </row>
    <row r="20914" spans="1:6">
      <c r="A20914" t="str">
        <f t="shared" si="326"/>
        <v/>
      </c>
      <c r="E20914" s="626"/>
      <c r="F20914" s="626"/>
    </row>
    <row r="20915" spans="1:6">
      <c r="A20915" t="str">
        <f t="shared" si="326"/>
        <v/>
      </c>
      <c r="E20915" s="626"/>
      <c r="F20915" s="626"/>
    </row>
    <row r="20916" spans="1:6">
      <c r="A20916" t="str">
        <f t="shared" si="326"/>
        <v/>
      </c>
      <c r="E20916" s="626"/>
      <c r="F20916" s="626"/>
    </row>
    <row r="20917" spans="1:6">
      <c r="A20917" t="str">
        <f t="shared" si="326"/>
        <v/>
      </c>
      <c r="E20917" s="626"/>
      <c r="F20917" s="626"/>
    </row>
    <row r="20918" spans="1:6">
      <c r="A20918" t="str">
        <f t="shared" si="326"/>
        <v/>
      </c>
      <c r="E20918" s="626"/>
      <c r="F20918" s="626"/>
    </row>
    <row r="20919" spans="1:6">
      <c r="A20919" t="str">
        <f t="shared" si="326"/>
        <v/>
      </c>
      <c r="E20919" s="626"/>
      <c r="F20919" s="626"/>
    </row>
    <row r="20920" spans="1:6">
      <c r="A20920" t="str">
        <f t="shared" si="326"/>
        <v/>
      </c>
      <c r="E20920" s="626"/>
      <c r="F20920" s="626"/>
    </row>
    <row r="20921" spans="1:6">
      <c r="A20921" t="str">
        <f t="shared" si="326"/>
        <v/>
      </c>
      <c r="E20921" s="626"/>
      <c r="F20921" s="626"/>
    </row>
    <row r="20922" spans="1:6">
      <c r="A20922" t="str">
        <f t="shared" si="326"/>
        <v/>
      </c>
      <c r="E20922" s="626"/>
      <c r="F20922" s="626"/>
    </row>
    <row r="20923" spans="1:6">
      <c r="A20923" t="str">
        <f t="shared" si="326"/>
        <v/>
      </c>
      <c r="E20923" s="626"/>
      <c r="F20923" s="626"/>
    </row>
    <row r="20924" spans="1:6">
      <c r="A20924" t="str">
        <f t="shared" si="326"/>
        <v/>
      </c>
      <c r="E20924" s="626"/>
      <c r="F20924" s="626"/>
    </row>
    <row r="20925" spans="1:6">
      <c r="A20925" t="str">
        <f t="shared" si="326"/>
        <v/>
      </c>
      <c r="E20925" s="626"/>
      <c r="F20925" s="626"/>
    </row>
    <row r="20926" spans="1:6">
      <c r="A20926" t="str">
        <f t="shared" si="326"/>
        <v/>
      </c>
      <c r="E20926" s="626"/>
      <c r="F20926" s="626"/>
    </row>
    <row r="20927" spans="1:6">
      <c r="A20927" t="str">
        <f t="shared" si="326"/>
        <v/>
      </c>
      <c r="E20927" s="626"/>
      <c r="F20927" s="626"/>
    </row>
    <row r="20928" spans="1:6">
      <c r="A20928" t="str">
        <f t="shared" si="326"/>
        <v/>
      </c>
      <c r="E20928" s="626"/>
      <c r="F20928" s="626"/>
    </row>
    <row r="20929" spans="1:6">
      <c r="A20929" t="str">
        <f t="shared" si="326"/>
        <v/>
      </c>
      <c r="E20929" s="626"/>
      <c r="F20929" s="626"/>
    </row>
    <row r="20930" spans="1:6">
      <c r="A20930" t="str">
        <f t="shared" ref="A20930:A20993" si="327">B20930&amp;E20930&amp;J20930</f>
        <v/>
      </c>
      <c r="E20930" s="626"/>
      <c r="F20930" s="626"/>
    </row>
    <row r="20931" spans="1:6">
      <c r="A20931" t="str">
        <f t="shared" si="327"/>
        <v/>
      </c>
      <c r="E20931" s="626"/>
      <c r="F20931" s="626"/>
    </row>
    <row r="20932" spans="1:6">
      <c r="A20932" t="str">
        <f t="shared" si="327"/>
        <v/>
      </c>
      <c r="E20932" s="626"/>
      <c r="F20932" s="626"/>
    </row>
    <row r="20933" spans="1:6">
      <c r="A20933" t="str">
        <f t="shared" si="327"/>
        <v/>
      </c>
      <c r="E20933" s="626"/>
      <c r="F20933" s="626"/>
    </row>
    <row r="20934" spans="1:6">
      <c r="A20934" t="str">
        <f t="shared" si="327"/>
        <v/>
      </c>
      <c r="E20934" s="626"/>
      <c r="F20934" s="626"/>
    </row>
    <row r="20935" spans="1:6">
      <c r="A20935" t="str">
        <f t="shared" si="327"/>
        <v/>
      </c>
      <c r="E20935" s="626"/>
      <c r="F20935" s="626"/>
    </row>
    <row r="20936" spans="1:6">
      <c r="A20936" t="str">
        <f t="shared" si="327"/>
        <v/>
      </c>
      <c r="E20936" s="626"/>
      <c r="F20936" s="626"/>
    </row>
    <row r="20937" spans="1:6">
      <c r="A20937" t="str">
        <f t="shared" si="327"/>
        <v/>
      </c>
      <c r="E20937" s="626"/>
      <c r="F20937" s="626"/>
    </row>
    <row r="20938" spans="1:6">
      <c r="A20938" t="str">
        <f t="shared" si="327"/>
        <v/>
      </c>
      <c r="E20938" s="626"/>
      <c r="F20938" s="626"/>
    </row>
    <row r="20939" spans="1:6">
      <c r="A20939" t="str">
        <f t="shared" si="327"/>
        <v/>
      </c>
      <c r="E20939" s="626"/>
      <c r="F20939" s="626"/>
    </row>
    <row r="20940" spans="1:6">
      <c r="A20940" t="str">
        <f t="shared" si="327"/>
        <v/>
      </c>
      <c r="E20940" s="626"/>
      <c r="F20940" s="626"/>
    </row>
    <row r="20941" spans="1:6">
      <c r="A20941" t="str">
        <f t="shared" si="327"/>
        <v/>
      </c>
      <c r="E20941" s="626"/>
      <c r="F20941" s="626"/>
    </row>
    <row r="20942" spans="1:6">
      <c r="A20942" t="str">
        <f t="shared" si="327"/>
        <v/>
      </c>
      <c r="E20942" s="626"/>
      <c r="F20942" s="626"/>
    </row>
    <row r="20943" spans="1:6">
      <c r="A20943" t="str">
        <f t="shared" si="327"/>
        <v/>
      </c>
      <c r="E20943" s="626"/>
      <c r="F20943" s="626"/>
    </row>
    <row r="20944" spans="1:6">
      <c r="A20944" t="str">
        <f t="shared" si="327"/>
        <v/>
      </c>
      <c r="E20944" s="626"/>
      <c r="F20944" s="626"/>
    </row>
    <row r="20945" spans="1:6">
      <c r="A20945" t="str">
        <f t="shared" si="327"/>
        <v/>
      </c>
      <c r="E20945" s="626"/>
      <c r="F20945" s="626"/>
    </row>
    <row r="20946" spans="1:6">
      <c r="A20946" t="str">
        <f t="shared" si="327"/>
        <v/>
      </c>
      <c r="E20946" s="626"/>
      <c r="F20946" s="626"/>
    </row>
    <row r="20947" spans="1:6">
      <c r="A20947" t="str">
        <f t="shared" si="327"/>
        <v/>
      </c>
      <c r="E20947" s="626"/>
      <c r="F20947" s="626"/>
    </row>
    <row r="20948" spans="1:6">
      <c r="A20948" t="str">
        <f t="shared" si="327"/>
        <v/>
      </c>
      <c r="E20948" s="626"/>
      <c r="F20948" s="626"/>
    </row>
    <row r="20949" spans="1:6">
      <c r="A20949" t="str">
        <f t="shared" si="327"/>
        <v/>
      </c>
      <c r="E20949" s="626"/>
      <c r="F20949" s="626"/>
    </row>
    <row r="20950" spans="1:6">
      <c r="A20950" t="str">
        <f t="shared" si="327"/>
        <v/>
      </c>
      <c r="E20950" s="626"/>
      <c r="F20950" s="626"/>
    </row>
    <row r="20951" spans="1:6">
      <c r="A20951" t="str">
        <f t="shared" si="327"/>
        <v/>
      </c>
      <c r="E20951" s="626"/>
      <c r="F20951" s="626"/>
    </row>
    <row r="20952" spans="1:6">
      <c r="A20952" t="str">
        <f t="shared" si="327"/>
        <v/>
      </c>
      <c r="E20952" s="626"/>
      <c r="F20952" s="626"/>
    </row>
    <row r="20953" spans="1:6">
      <c r="A20953" t="str">
        <f t="shared" si="327"/>
        <v/>
      </c>
      <c r="E20953" s="626"/>
      <c r="F20953" s="626"/>
    </row>
    <row r="20954" spans="1:6">
      <c r="A20954" t="str">
        <f t="shared" si="327"/>
        <v/>
      </c>
      <c r="E20954" s="626"/>
      <c r="F20954" s="626"/>
    </row>
    <row r="20955" spans="1:6">
      <c r="A20955" t="str">
        <f t="shared" si="327"/>
        <v/>
      </c>
      <c r="E20955" s="626"/>
      <c r="F20955" s="626"/>
    </row>
    <row r="20956" spans="1:6">
      <c r="A20956" t="str">
        <f t="shared" si="327"/>
        <v/>
      </c>
      <c r="E20956" s="626"/>
      <c r="F20956" s="626"/>
    </row>
    <row r="20957" spans="1:6">
      <c r="A20957" t="str">
        <f t="shared" si="327"/>
        <v/>
      </c>
      <c r="E20957" s="626"/>
      <c r="F20957" s="626"/>
    </row>
    <row r="20958" spans="1:6">
      <c r="A20958" t="str">
        <f t="shared" si="327"/>
        <v/>
      </c>
      <c r="E20958" s="626"/>
      <c r="F20958" s="626"/>
    </row>
    <row r="20959" spans="1:6">
      <c r="A20959" t="str">
        <f t="shared" si="327"/>
        <v/>
      </c>
      <c r="E20959" s="626"/>
      <c r="F20959" s="626"/>
    </row>
    <row r="20960" spans="1:6">
      <c r="A20960" t="str">
        <f t="shared" si="327"/>
        <v/>
      </c>
      <c r="E20960" s="626"/>
      <c r="F20960" s="626"/>
    </row>
    <row r="20961" spans="1:6">
      <c r="A20961" t="str">
        <f t="shared" si="327"/>
        <v/>
      </c>
      <c r="E20961" s="626"/>
      <c r="F20961" s="626"/>
    </row>
    <row r="20962" spans="1:6">
      <c r="A20962" t="str">
        <f t="shared" si="327"/>
        <v/>
      </c>
      <c r="E20962" s="626"/>
      <c r="F20962" s="626"/>
    </row>
    <row r="20963" spans="1:6">
      <c r="A20963" t="str">
        <f t="shared" si="327"/>
        <v/>
      </c>
      <c r="E20963" s="626"/>
      <c r="F20963" s="626"/>
    </row>
    <row r="20964" spans="1:6">
      <c r="A20964" t="str">
        <f t="shared" si="327"/>
        <v/>
      </c>
      <c r="E20964" s="626"/>
      <c r="F20964" s="626"/>
    </row>
    <row r="20965" spans="1:6">
      <c r="A20965" t="str">
        <f t="shared" si="327"/>
        <v/>
      </c>
      <c r="E20965" s="626"/>
      <c r="F20965" s="626"/>
    </row>
    <row r="20966" spans="1:6">
      <c r="A20966" t="str">
        <f t="shared" si="327"/>
        <v/>
      </c>
      <c r="E20966" s="626"/>
      <c r="F20966" s="626"/>
    </row>
    <row r="20967" spans="1:6">
      <c r="A20967" t="str">
        <f t="shared" si="327"/>
        <v/>
      </c>
      <c r="E20967" s="626"/>
      <c r="F20967" s="626"/>
    </row>
    <row r="20968" spans="1:6">
      <c r="A20968" t="str">
        <f t="shared" si="327"/>
        <v/>
      </c>
      <c r="E20968" s="626"/>
      <c r="F20968" s="626"/>
    </row>
    <row r="20969" spans="1:6">
      <c r="A20969" t="str">
        <f t="shared" si="327"/>
        <v/>
      </c>
      <c r="E20969" s="626"/>
      <c r="F20969" s="626"/>
    </row>
    <row r="20970" spans="1:6">
      <c r="A20970" t="str">
        <f t="shared" si="327"/>
        <v/>
      </c>
      <c r="E20970" s="626"/>
      <c r="F20970" s="626"/>
    </row>
    <row r="20971" spans="1:6">
      <c r="A20971" t="str">
        <f t="shared" si="327"/>
        <v/>
      </c>
      <c r="E20971" s="626"/>
      <c r="F20971" s="626"/>
    </row>
    <row r="20972" spans="1:6">
      <c r="A20972" t="str">
        <f t="shared" si="327"/>
        <v/>
      </c>
      <c r="E20972" s="626"/>
      <c r="F20972" s="626"/>
    </row>
    <row r="20973" spans="1:6">
      <c r="A20973" t="str">
        <f t="shared" si="327"/>
        <v/>
      </c>
      <c r="E20973" s="626"/>
      <c r="F20973" s="626"/>
    </row>
    <row r="20974" spans="1:6">
      <c r="A20974" t="str">
        <f t="shared" si="327"/>
        <v/>
      </c>
      <c r="E20974" s="626"/>
      <c r="F20974" s="626"/>
    </row>
    <row r="20975" spans="1:6">
      <c r="A20975" t="str">
        <f t="shared" si="327"/>
        <v/>
      </c>
      <c r="E20975" s="626"/>
      <c r="F20975" s="626"/>
    </row>
    <row r="20976" spans="1:6">
      <c r="A20976" t="str">
        <f t="shared" si="327"/>
        <v/>
      </c>
      <c r="E20976" s="626"/>
      <c r="F20976" s="626"/>
    </row>
    <row r="20977" spans="1:6">
      <c r="A20977" t="str">
        <f t="shared" si="327"/>
        <v/>
      </c>
      <c r="E20977" s="626"/>
      <c r="F20977" s="626"/>
    </row>
    <row r="20978" spans="1:6">
      <c r="A20978" t="str">
        <f t="shared" si="327"/>
        <v/>
      </c>
      <c r="E20978" s="626"/>
      <c r="F20978" s="626"/>
    </row>
    <row r="20979" spans="1:6">
      <c r="A20979" t="str">
        <f t="shared" si="327"/>
        <v/>
      </c>
      <c r="E20979" s="626"/>
      <c r="F20979" s="626"/>
    </row>
    <row r="20980" spans="1:6">
      <c r="A20980" t="str">
        <f t="shared" si="327"/>
        <v/>
      </c>
      <c r="E20980" s="626"/>
      <c r="F20980" s="626"/>
    </row>
    <row r="20981" spans="1:6">
      <c r="A20981" t="str">
        <f t="shared" si="327"/>
        <v/>
      </c>
      <c r="E20981" s="626"/>
      <c r="F20981" s="626"/>
    </row>
    <row r="20982" spans="1:6">
      <c r="A20982" t="str">
        <f t="shared" si="327"/>
        <v/>
      </c>
      <c r="E20982" s="626"/>
      <c r="F20982" s="626"/>
    </row>
    <row r="20983" spans="1:6">
      <c r="A20983" t="str">
        <f t="shared" si="327"/>
        <v/>
      </c>
      <c r="E20983" s="626"/>
      <c r="F20983" s="626"/>
    </row>
    <row r="20984" spans="1:6">
      <c r="A20984" t="str">
        <f t="shared" si="327"/>
        <v/>
      </c>
      <c r="E20984" s="626"/>
      <c r="F20984" s="626"/>
    </row>
    <row r="20985" spans="1:6">
      <c r="A20985" t="str">
        <f t="shared" si="327"/>
        <v/>
      </c>
      <c r="E20985" s="626"/>
      <c r="F20985" s="626"/>
    </row>
    <row r="20986" spans="1:6">
      <c r="A20986" t="str">
        <f t="shared" si="327"/>
        <v/>
      </c>
      <c r="E20986" s="626"/>
      <c r="F20986" s="626"/>
    </row>
    <row r="20987" spans="1:6">
      <c r="A20987" t="str">
        <f t="shared" si="327"/>
        <v/>
      </c>
      <c r="E20987" s="626"/>
      <c r="F20987" s="626"/>
    </row>
    <row r="20988" spans="1:6">
      <c r="A20988" t="str">
        <f t="shared" si="327"/>
        <v/>
      </c>
      <c r="E20988" s="626"/>
      <c r="F20988" s="626"/>
    </row>
    <row r="20989" spans="1:6">
      <c r="A20989" t="str">
        <f t="shared" si="327"/>
        <v/>
      </c>
      <c r="E20989" s="626"/>
      <c r="F20989" s="626"/>
    </row>
    <row r="20990" spans="1:6">
      <c r="A20990" t="str">
        <f t="shared" si="327"/>
        <v/>
      </c>
      <c r="E20990" s="626"/>
      <c r="F20990" s="626"/>
    </row>
    <row r="20991" spans="1:6">
      <c r="A20991" t="str">
        <f t="shared" si="327"/>
        <v/>
      </c>
      <c r="E20991" s="626"/>
      <c r="F20991" s="626"/>
    </row>
    <row r="20992" spans="1:6">
      <c r="A20992" t="str">
        <f t="shared" si="327"/>
        <v/>
      </c>
      <c r="E20992" s="626"/>
      <c r="F20992" s="626"/>
    </row>
    <row r="20993" spans="1:6">
      <c r="A20993" t="str">
        <f t="shared" si="327"/>
        <v/>
      </c>
      <c r="E20993" s="626"/>
      <c r="F20993" s="626"/>
    </row>
    <row r="20994" spans="1:6">
      <c r="A20994" t="str">
        <f t="shared" ref="A20994:A21057" si="328">B20994&amp;E20994&amp;J20994</f>
        <v/>
      </c>
      <c r="E20994" s="626"/>
      <c r="F20994" s="626"/>
    </row>
    <row r="20995" spans="1:6">
      <c r="A20995" t="str">
        <f t="shared" si="328"/>
        <v/>
      </c>
      <c r="E20995" s="626"/>
      <c r="F20995" s="626"/>
    </row>
    <row r="20996" spans="1:6">
      <c r="A20996" t="str">
        <f t="shared" si="328"/>
        <v/>
      </c>
      <c r="E20996" s="626"/>
      <c r="F20996" s="626"/>
    </row>
    <row r="20997" spans="1:6">
      <c r="A20997" t="str">
        <f t="shared" si="328"/>
        <v/>
      </c>
      <c r="E20997" s="626"/>
      <c r="F20997" s="626"/>
    </row>
    <row r="20998" spans="1:6">
      <c r="A20998" t="str">
        <f t="shared" si="328"/>
        <v/>
      </c>
      <c r="E20998" s="626"/>
      <c r="F20998" s="626"/>
    </row>
    <row r="20999" spans="1:6">
      <c r="A20999" t="str">
        <f t="shared" si="328"/>
        <v/>
      </c>
      <c r="E20999" s="626"/>
      <c r="F20999" s="626"/>
    </row>
    <row r="21000" spans="1:6">
      <c r="A21000" t="str">
        <f t="shared" si="328"/>
        <v/>
      </c>
      <c r="E21000" s="626"/>
      <c r="F21000" s="626"/>
    </row>
    <row r="21001" spans="1:6">
      <c r="A21001" t="str">
        <f t="shared" si="328"/>
        <v/>
      </c>
      <c r="E21001" s="626"/>
      <c r="F21001" s="626"/>
    </row>
    <row r="21002" spans="1:6">
      <c r="A21002" t="str">
        <f t="shared" si="328"/>
        <v/>
      </c>
      <c r="E21002" s="626"/>
      <c r="F21002" s="626"/>
    </row>
    <row r="21003" spans="1:6">
      <c r="A21003" t="str">
        <f t="shared" si="328"/>
        <v/>
      </c>
      <c r="E21003" s="626"/>
      <c r="F21003" s="626"/>
    </row>
    <row r="21004" spans="1:6">
      <c r="A21004" t="str">
        <f t="shared" si="328"/>
        <v/>
      </c>
      <c r="E21004" s="626"/>
      <c r="F21004" s="626"/>
    </row>
    <row r="21005" spans="1:6">
      <c r="A21005" t="str">
        <f t="shared" si="328"/>
        <v/>
      </c>
      <c r="E21005" s="626"/>
      <c r="F21005" s="626"/>
    </row>
    <row r="21006" spans="1:6">
      <c r="A21006" t="str">
        <f t="shared" si="328"/>
        <v/>
      </c>
      <c r="E21006" s="626"/>
      <c r="F21006" s="626"/>
    </row>
    <row r="21007" spans="1:6">
      <c r="A21007" t="str">
        <f t="shared" si="328"/>
        <v/>
      </c>
      <c r="E21007" s="626"/>
      <c r="F21007" s="626"/>
    </row>
    <row r="21008" spans="1:6">
      <c r="A21008" t="str">
        <f t="shared" si="328"/>
        <v/>
      </c>
      <c r="E21008" s="626"/>
      <c r="F21008" s="626"/>
    </row>
    <row r="21009" spans="1:6">
      <c r="A21009" t="str">
        <f t="shared" si="328"/>
        <v/>
      </c>
      <c r="E21009" s="626"/>
      <c r="F21009" s="626"/>
    </row>
    <row r="21010" spans="1:6">
      <c r="A21010" t="str">
        <f t="shared" si="328"/>
        <v/>
      </c>
      <c r="E21010" s="626"/>
      <c r="F21010" s="626"/>
    </row>
    <row r="21011" spans="1:6">
      <c r="A21011" t="str">
        <f t="shared" si="328"/>
        <v/>
      </c>
      <c r="E21011" s="626"/>
      <c r="F21011" s="626"/>
    </row>
    <row r="21012" spans="1:6">
      <c r="A21012" t="str">
        <f t="shared" si="328"/>
        <v/>
      </c>
      <c r="E21012" s="626"/>
      <c r="F21012" s="626"/>
    </row>
    <row r="21013" spans="1:6">
      <c r="A21013" t="str">
        <f t="shared" si="328"/>
        <v/>
      </c>
      <c r="E21013" s="626"/>
      <c r="F21013" s="626"/>
    </row>
    <row r="21014" spans="1:6">
      <c r="A21014" t="str">
        <f t="shared" si="328"/>
        <v/>
      </c>
      <c r="E21014" s="626"/>
      <c r="F21014" s="626"/>
    </row>
    <row r="21015" spans="1:6">
      <c r="A21015" t="str">
        <f t="shared" si="328"/>
        <v/>
      </c>
      <c r="E21015" s="626"/>
      <c r="F21015" s="626"/>
    </row>
    <row r="21016" spans="1:6">
      <c r="A21016" t="str">
        <f t="shared" si="328"/>
        <v/>
      </c>
      <c r="E21016" s="626"/>
      <c r="F21016" s="626"/>
    </row>
    <row r="21017" spans="1:6">
      <c r="A21017" t="str">
        <f t="shared" si="328"/>
        <v/>
      </c>
      <c r="E21017" s="626"/>
      <c r="F21017" s="626"/>
    </row>
    <row r="21018" spans="1:6">
      <c r="A21018" t="str">
        <f t="shared" si="328"/>
        <v/>
      </c>
      <c r="E21018" s="626"/>
      <c r="F21018" s="626"/>
    </row>
    <row r="21019" spans="1:6">
      <c r="A21019" t="str">
        <f t="shared" si="328"/>
        <v/>
      </c>
      <c r="E21019" s="626"/>
      <c r="F21019" s="626"/>
    </row>
    <row r="21020" spans="1:6">
      <c r="A21020" t="str">
        <f t="shared" si="328"/>
        <v/>
      </c>
      <c r="E21020" s="626"/>
      <c r="F21020" s="626"/>
    </row>
    <row r="21021" spans="1:6">
      <c r="A21021" t="str">
        <f t="shared" si="328"/>
        <v/>
      </c>
      <c r="E21021" s="626"/>
      <c r="F21021" s="626"/>
    </row>
    <row r="21022" spans="1:6">
      <c r="A21022" t="str">
        <f t="shared" si="328"/>
        <v/>
      </c>
      <c r="E21022" s="626"/>
      <c r="F21022" s="626"/>
    </row>
    <row r="21023" spans="1:6">
      <c r="A21023" t="str">
        <f t="shared" si="328"/>
        <v/>
      </c>
      <c r="E21023" s="626"/>
      <c r="F21023" s="626"/>
    </row>
    <row r="21024" spans="1:6">
      <c r="A21024" t="str">
        <f t="shared" si="328"/>
        <v/>
      </c>
      <c r="E21024" s="626"/>
      <c r="F21024" s="626"/>
    </row>
    <row r="21025" spans="1:6">
      <c r="A21025" t="str">
        <f t="shared" si="328"/>
        <v/>
      </c>
      <c r="E21025" s="626"/>
      <c r="F21025" s="626"/>
    </row>
    <row r="21026" spans="1:6">
      <c r="A21026" t="str">
        <f t="shared" si="328"/>
        <v/>
      </c>
      <c r="E21026" s="626"/>
      <c r="F21026" s="626"/>
    </row>
    <row r="21027" spans="1:6">
      <c r="A21027" t="str">
        <f t="shared" si="328"/>
        <v/>
      </c>
      <c r="E21027" s="626"/>
      <c r="F21027" s="626"/>
    </row>
    <row r="21028" spans="1:6">
      <c r="A21028" t="str">
        <f t="shared" si="328"/>
        <v/>
      </c>
      <c r="E21028" s="626"/>
      <c r="F21028" s="626"/>
    </row>
    <row r="21029" spans="1:6">
      <c r="A21029" t="str">
        <f t="shared" si="328"/>
        <v/>
      </c>
      <c r="E21029" s="626"/>
      <c r="F21029" s="626"/>
    </row>
    <row r="21030" spans="1:6">
      <c r="A21030" t="str">
        <f t="shared" si="328"/>
        <v/>
      </c>
      <c r="E21030" s="626"/>
      <c r="F21030" s="626"/>
    </row>
    <row r="21031" spans="1:6">
      <c r="A21031" t="str">
        <f t="shared" si="328"/>
        <v/>
      </c>
      <c r="E21031" s="626"/>
      <c r="F21031" s="626"/>
    </row>
    <row r="21032" spans="1:6">
      <c r="A21032" t="str">
        <f t="shared" si="328"/>
        <v/>
      </c>
      <c r="E21032" s="626"/>
      <c r="F21032" s="626"/>
    </row>
    <row r="21033" spans="1:6">
      <c r="A21033" t="str">
        <f t="shared" si="328"/>
        <v/>
      </c>
      <c r="E21033" s="626"/>
      <c r="F21033" s="626"/>
    </row>
    <row r="21034" spans="1:6">
      <c r="A21034" t="str">
        <f t="shared" si="328"/>
        <v/>
      </c>
      <c r="E21034" s="626"/>
      <c r="F21034" s="626"/>
    </row>
    <row r="21035" spans="1:6">
      <c r="A21035" t="str">
        <f t="shared" si="328"/>
        <v/>
      </c>
      <c r="E21035" s="626"/>
      <c r="F21035" s="626"/>
    </row>
    <row r="21036" spans="1:6">
      <c r="A21036" t="str">
        <f t="shared" si="328"/>
        <v/>
      </c>
      <c r="E21036" s="626"/>
      <c r="F21036" s="626"/>
    </row>
    <row r="21037" spans="1:6">
      <c r="A21037" t="str">
        <f t="shared" si="328"/>
        <v/>
      </c>
      <c r="E21037" s="626"/>
      <c r="F21037" s="626"/>
    </row>
    <row r="21038" spans="1:6">
      <c r="A21038" t="str">
        <f t="shared" si="328"/>
        <v/>
      </c>
      <c r="E21038" s="626"/>
      <c r="F21038" s="626"/>
    </row>
    <row r="21039" spans="1:6">
      <c r="A21039" t="str">
        <f t="shared" si="328"/>
        <v/>
      </c>
      <c r="E21039" s="626"/>
      <c r="F21039" s="626"/>
    </row>
    <row r="21040" spans="1:6">
      <c r="A21040" t="str">
        <f t="shared" si="328"/>
        <v/>
      </c>
      <c r="E21040" s="626"/>
      <c r="F21040" s="626"/>
    </row>
    <row r="21041" spans="1:6">
      <c r="A21041" t="str">
        <f t="shared" si="328"/>
        <v/>
      </c>
      <c r="E21041" s="626"/>
      <c r="F21041" s="626"/>
    </row>
    <row r="21042" spans="1:6">
      <c r="A21042" t="str">
        <f t="shared" si="328"/>
        <v/>
      </c>
      <c r="E21042" s="626"/>
      <c r="F21042" s="626"/>
    </row>
    <row r="21043" spans="1:6">
      <c r="A21043" t="str">
        <f t="shared" si="328"/>
        <v/>
      </c>
      <c r="E21043" s="626"/>
      <c r="F21043" s="626"/>
    </row>
    <row r="21044" spans="1:6">
      <c r="A21044" t="str">
        <f t="shared" si="328"/>
        <v/>
      </c>
      <c r="E21044" s="626"/>
      <c r="F21044" s="626"/>
    </row>
    <row r="21045" spans="1:6">
      <c r="A21045" t="str">
        <f t="shared" si="328"/>
        <v/>
      </c>
      <c r="E21045" s="626"/>
      <c r="F21045" s="626"/>
    </row>
    <row r="21046" spans="1:6">
      <c r="A21046" t="str">
        <f t="shared" si="328"/>
        <v/>
      </c>
      <c r="E21046" s="626"/>
      <c r="F21046" s="626"/>
    </row>
    <row r="21047" spans="1:6">
      <c r="A21047" t="str">
        <f t="shared" si="328"/>
        <v/>
      </c>
      <c r="E21047" s="626"/>
      <c r="F21047" s="626"/>
    </row>
    <row r="21048" spans="1:6">
      <c r="A21048" t="str">
        <f t="shared" si="328"/>
        <v/>
      </c>
      <c r="E21048" s="626"/>
      <c r="F21048" s="626"/>
    </row>
    <row r="21049" spans="1:6">
      <c r="A21049" t="str">
        <f t="shared" si="328"/>
        <v/>
      </c>
      <c r="E21049" s="626"/>
      <c r="F21049" s="626"/>
    </row>
    <row r="21050" spans="1:6">
      <c r="A21050" t="str">
        <f t="shared" si="328"/>
        <v/>
      </c>
      <c r="E21050" s="626"/>
      <c r="F21050" s="626"/>
    </row>
    <row r="21051" spans="1:6">
      <c r="A21051" t="str">
        <f t="shared" si="328"/>
        <v/>
      </c>
      <c r="E21051" s="626"/>
      <c r="F21051" s="626"/>
    </row>
    <row r="21052" spans="1:6">
      <c r="A21052" t="str">
        <f t="shared" si="328"/>
        <v/>
      </c>
      <c r="E21052" s="626"/>
      <c r="F21052" s="626"/>
    </row>
    <row r="21053" spans="1:6">
      <c r="A21053" t="str">
        <f t="shared" si="328"/>
        <v/>
      </c>
      <c r="E21053" s="626"/>
      <c r="F21053" s="626"/>
    </row>
    <row r="21054" spans="1:6">
      <c r="A21054" t="str">
        <f t="shared" si="328"/>
        <v/>
      </c>
      <c r="E21054" s="626"/>
      <c r="F21054" s="626"/>
    </row>
    <row r="21055" spans="1:6">
      <c r="A21055" t="str">
        <f t="shared" si="328"/>
        <v/>
      </c>
      <c r="E21055" s="626"/>
      <c r="F21055" s="626"/>
    </row>
    <row r="21056" spans="1:6">
      <c r="A21056" t="str">
        <f t="shared" si="328"/>
        <v/>
      </c>
      <c r="E21056" s="626"/>
      <c r="F21056" s="626"/>
    </row>
    <row r="21057" spans="1:6">
      <c r="A21057" t="str">
        <f t="shared" si="328"/>
        <v/>
      </c>
      <c r="E21057" s="626"/>
      <c r="F21057" s="626"/>
    </row>
    <row r="21058" spans="1:6">
      <c r="A21058" t="str">
        <f t="shared" ref="A21058:A21121" si="329">B21058&amp;E21058&amp;J21058</f>
        <v/>
      </c>
      <c r="E21058" s="626"/>
      <c r="F21058" s="626"/>
    </row>
    <row r="21059" spans="1:6">
      <c r="A21059" t="str">
        <f t="shared" si="329"/>
        <v/>
      </c>
      <c r="E21059" s="626"/>
      <c r="F21059" s="626"/>
    </row>
    <row r="21060" spans="1:6">
      <c r="A21060" t="str">
        <f t="shared" si="329"/>
        <v/>
      </c>
      <c r="E21060" s="626"/>
      <c r="F21060" s="626"/>
    </row>
    <row r="21061" spans="1:6">
      <c r="A21061" t="str">
        <f t="shared" si="329"/>
        <v/>
      </c>
      <c r="E21061" s="626"/>
      <c r="F21061" s="626"/>
    </row>
    <row r="21062" spans="1:6">
      <c r="A21062" t="str">
        <f t="shared" si="329"/>
        <v/>
      </c>
      <c r="E21062" s="626"/>
      <c r="F21062" s="626"/>
    </row>
    <row r="21063" spans="1:6">
      <c r="A21063" t="str">
        <f t="shared" si="329"/>
        <v/>
      </c>
      <c r="E21063" s="626"/>
      <c r="F21063" s="626"/>
    </row>
    <row r="21064" spans="1:6">
      <c r="A21064" t="str">
        <f t="shared" si="329"/>
        <v/>
      </c>
      <c r="E21064" s="626"/>
      <c r="F21064" s="626"/>
    </row>
    <row r="21065" spans="1:6">
      <c r="A21065" t="str">
        <f t="shared" si="329"/>
        <v/>
      </c>
      <c r="E21065" s="626"/>
      <c r="F21065" s="626"/>
    </row>
    <row r="21066" spans="1:6">
      <c r="A21066" t="str">
        <f t="shared" si="329"/>
        <v/>
      </c>
      <c r="E21066" s="626"/>
      <c r="F21066" s="626"/>
    </row>
    <row r="21067" spans="1:6">
      <c r="A21067" t="str">
        <f t="shared" si="329"/>
        <v/>
      </c>
      <c r="E21067" s="626"/>
      <c r="F21067" s="626"/>
    </row>
    <row r="21068" spans="1:6">
      <c r="A21068" t="str">
        <f t="shared" si="329"/>
        <v/>
      </c>
      <c r="E21068" s="626"/>
      <c r="F21068" s="626"/>
    </row>
    <row r="21069" spans="1:6">
      <c r="A21069" t="str">
        <f t="shared" si="329"/>
        <v/>
      </c>
      <c r="E21069" s="626"/>
      <c r="F21069" s="626"/>
    </row>
    <row r="21070" spans="1:6">
      <c r="A21070" t="str">
        <f t="shared" si="329"/>
        <v/>
      </c>
      <c r="E21070" s="626"/>
      <c r="F21070" s="626"/>
    </row>
    <row r="21071" spans="1:6">
      <c r="A21071" t="str">
        <f t="shared" si="329"/>
        <v/>
      </c>
      <c r="E21071" s="626"/>
      <c r="F21071" s="626"/>
    </row>
    <row r="21072" spans="1:6">
      <c r="A21072" t="str">
        <f t="shared" si="329"/>
        <v/>
      </c>
      <c r="E21072" s="626"/>
      <c r="F21072" s="626"/>
    </row>
    <row r="21073" spans="1:6">
      <c r="A21073" t="str">
        <f t="shared" si="329"/>
        <v/>
      </c>
      <c r="E21073" s="626"/>
      <c r="F21073" s="626"/>
    </row>
    <row r="21074" spans="1:6">
      <c r="A21074" t="str">
        <f t="shared" si="329"/>
        <v/>
      </c>
      <c r="E21074" s="626"/>
      <c r="F21074" s="626"/>
    </row>
    <row r="21075" spans="1:6">
      <c r="A21075" t="str">
        <f t="shared" si="329"/>
        <v/>
      </c>
      <c r="E21075" s="626"/>
      <c r="F21075" s="626"/>
    </row>
    <row r="21076" spans="1:6">
      <c r="A21076" t="str">
        <f t="shared" si="329"/>
        <v/>
      </c>
      <c r="E21076" s="626"/>
      <c r="F21076" s="626"/>
    </row>
    <row r="21077" spans="1:6">
      <c r="A21077" t="str">
        <f t="shared" si="329"/>
        <v/>
      </c>
      <c r="E21077" s="626"/>
      <c r="F21077" s="626"/>
    </row>
    <row r="21078" spans="1:6">
      <c r="A21078" t="str">
        <f t="shared" si="329"/>
        <v/>
      </c>
      <c r="E21078" s="626"/>
      <c r="F21078" s="626"/>
    </row>
    <row r="21079" spans="1:6">
      <c r="A21079" t="str">
        <f t="shared" si="329"/>
        <v/>
      </c>
      <c r="E21079" s="626"/>
      <c r="F21079" s="626"/>
    </row>
    <row r="21080" spans="1:6">
      <c r="A21080" t="str">
        <f t="shared" si="329"/>
        <v/>
      </c>
      <c r="E21080" s="626"/>
      <c r="F21080" s="626"/>
    </row>
    <row r="21081" spans="1:6">
      <c r="A21081" t="str">
        <f t="shared" si="329"/>
        <v/>
      </c>
      <c r="E21081" s="626"/>
      <c r="F21081" s="626"/>
    </row>
    <row r="21082" spans="1:6">
      <c r="A21082" t="str">
        <f t="shared" si="329"/>
        <v/>
      </c>
      <c r="E21082" s="626"/>
      <c r="F21082" s="626"/>
    </row>
    <row r="21083" spans="1:6">
      <c r="A21083" t="str">
        <f t="shared" si="329"/>
        <v/>
      </c>
      <c r="E21083" s="626"/>
      <c r="F21083" s="626"/>
    </row>
    <row r="21084" spans="1:6">
      <c r="A21084" t="str">
        <f t="shared" si="329"/>
        <v/>
      </c>
      <c r="E21084" s="626"/>
      <c r="F21084" s="626"/>
    </row>
    <row r="21085" spans="1:6">
      <c r="A21085" t="str">
        <f t="shared" si="329"/>
        <v/>
      </c>
      <c r="E21085" s="626"/>
      <c r="F21085" s="626"/>
    </row>
    <row r="21086" spans="1:6">
      <c r="A21086" t="str">
        <f t="shared" si="329"/>
        <v/>
      </c>
      <c r="E21086" s="626"/>
      <c r="F21086" s="626"/>
    </row>
    <row r="21087" spans="1:6">
      <c r="A21087" t="str">
        <f t="shared" si="329"/>
        <v/>
      </c>
      <c r="E21087" s="626"/>
      <c r="F21087" s="626"/>
    </row>
    <row r="21088" spans="1:6">
      <c r="A21088" t="str">
        <f t="shared" si="329"/>
        <v/>
      </c>
      <c r="E21088" s="626"/>
      <c r="F21088" s="626"/>
    </row>
    <row r="21089" spans="1:6">
      <c r="A21089" t="str">
        <f t="shared" si="329"/>
        <v/>
      </c>
      <c r="E21089" s="626"/>
      <c r="F21089" s="626"/>
    </row>
    <row r="21090" spans="1:6">
      <c r="A21090" t="str">
        <f t="shared" si="329"/>
        <v/>
      </c>
      <c r="E21090" s="626"/>
      <c r="F21090" s="626"/>
    </row>
    <row r="21091" spans="1:6">
      <c r="A21091" t="str">
        <f t="shared" si="329"/>
        <v/>
      </c>
      <c r="E21091" s="626"/>
      <c r="F21091" s="626"/>
    </row>
    <row r="21092" spans="1:6">
      <c r="A21092" t="str">
        <f t="shared" si="329"/>
        <v/>
      </c>
      <c r="E21092" s="626"/>
      <c r="F21092" s="626"/>
    </row>
    <row r="21093" spans="1:6">
      <c r="A21093" t="str">
        <f t="shared" si="329"/>
        <v/>
      </c>
      <c r="E21093" s="626"/>
      <c r="F21093" s="626"/>
    </row>
    <row r="21094" spans="1:6">
      <c r="A21094" t="str">
        <f t="shared" si="329"/>
        <v/>
      </c>
      <c r="E21094" s="626"/>
      <c r="F21094" s="626"/>
    </row>
    <row r="21095" spans="1:6">
      <c r="A21095" t="str">
        <f t="shared" si="329"/>
        <v/>
      </c>
      <c r="E21095" s="626"/>
      <c r="F21095" s="626"/>
    </row>
    <row r="21096" spans="1:6">
      <c r="A21096" t="str">
        <f t="shared" si="329"/>
        <v/>
      </c>
      <c r="E21096" s="626"/>
      <c r="F21096" s="626"/>
    </row>
    <row r="21097" spans="1:6">
      <c r="A21097" t="str">
        <f t="shared" si="329"/>
        <v/>
      </c>
      <c r="E21097" s="626"/>
      <c r="F21097" s="626"/>
    </row>
    <row r="21098" spans="1:6">
      <c r="A21098" t="str">
        <f t="shared" si="329"/>
        <v/>
      </c>
      <c r="E21098" s="626"/>
      <c r="F21098" s="626"/>
    </row>
    <row r="21099" spans="1:6">
      <c r="A21099" t="str">
        <f t="shared" si="329"/>
        <v/>
      </c>
      <c r="E21099" s="626"/>
      <c r="F21099" s="626"/>
    </row>
    <row r="21100" spans="1:6">
      <c r="A21100" t="str">
        <f t="shared" si="329"/>
        <v/>
      </c>
      <c r="E21100" s="626"/>
      <c r="F21100" s="626"/>
    </row>
    <row r="21101" spans="1:6">
      <c r="A21101" t="str">
        <f t="shared" si="329"/>
        <v/>
      </c>
      <c r="E21101" s="626"/>
      <c r="F21101" s="626"/>
    </row>
    <row r="21102" spans="1:6">
      <c r="A21102" t="str">
        <f t="shared" si="329"/>
        <v/>
      </c>
      <c r="E21102" s="626"/>
      <c r="F21102" s="626"/>
    </row>
    <row r="21103" spans="1:6">
      <c r="A21103" t="str">
        <f t="shared" si="329"/>
        <v/>
      </c>
      <c r="E21103" s="626"/>
      <c r="F21103" s="626"/>
    </row>
    <row r="21104" spans="1:6">
      <c r="A21104" t="str">
        <f t="shared" si="329"/>
        <v/>
      </c>
      <c r="E21104" s="626"/>
      <c r="F21104" s="626"/>
    </row>
    <row r="21105" spans="1:6">
      <c r="A21105" t="str">
        <f t="shared" si="329"/>
        <v/>
      </c>
      <c r="E21105" s="626"/>
      <c r="F21105" s="626"/>
    </row>
    <row r="21106" spans="1:6">
      <c r="A21106" t="str">
        <f t="shared" si="329"/>
        <v/>
      </c>
      <c r="E21106" s="626"/>
      <c r="F21106" s="626"/>
    </row>
    <row r="21107" spans="1:6">
      <c r="A21107" t="str">
        <f t="shared" si="329"/>
        <v/>
      </c>
      <c r="E21107" s="626"/>
      <c r="F21107" s="626"/>
    </row>
    <row r="21108" spans="1:6">
      <c r="A21108" t="str">
        <f t="shared" si="329"/>
        <v/>
      </c>
      <c r="E21108" s="626"/>
      <c r="F21108" s="626"/>
    </row>
    <row r="21109" spans="1:6">
      <c r="A21109" t="str">
        <f t="shared" si="329"/>
        <v/>
      </c>
      <c r="E21109" s="626"/>
      <c r="F21109" s="626"/>
    </row>
    <row r="21110" spans="1:6">
      <c r="A21110" t="str">
        <f t="shared" si="329"/>
        <v/>
      </c>
      <c r="E21110" s="626"/>
      <c r="F21110" s="626"/>
    </row>
    <row r="21111" spans="1:6">
      <c r="A21111" t="str">
        <f t="shared" si="329"/>
        <v/>
      </c>
      <c r="E21111" s="626"/>
      <c r="F21111" s="626"/>
    </row>
    <row r="21112" spans="1:6">
      <c r="A21112" t="str">
        <f t="shared" si="329"/>
        <v/>
      </c>
      <c r="E21112" s="626"/>
      <c r="F21112" s="626"/>
    </row>
    <row r="21113" spans="1:6">
      <c r="A21113" t="str">
        <f t="shared" si="329"/>
        <v/>
      </c>
      <c r="E21113" s="626"/>
      <c r="F21113" s="626"/>
    </row>
    <row r="21114" spans="1:6">
      <c r="A21114" t="str">
        <f t="shared" si="329"/>
        <v/>
      </c>
      <c r="E21114" s="626"/>
      <c r="F21114" s="626"/>
    </row>
    <row r="21115" spans="1:6">
      <c r="A21115" t="str">
        <f t="shared" si="329"/>
        <v/>
      </c>
      <c r="E21115" s="626"/>
      <c r="F21115" s="626"/>
    </row>
    <row r="21116" spans="1:6">
      <c r="A21116" t="str">
        <f t="shared" si="329"/>
        <v/>
      </c>
      <c r="E21116" s="626"/>
      <c r="F21116" s="626"/>
    </row>
    <row r="21117" spans="1:6">
      <c r="A21117" t="str">
        <f t="shared" si="329"/>
        <v/>
      </c>
      <c r="E21117" s="626"/>
      <c r="F21117" s="626"/>
    </row>
    <row r="21118" spans="1:6">
      <c r="A21118" t="str">
        <f t="shared" si="329"/>
        <v/>
      </c>
      <c r="E21118" s="626"/>
      <c r="F21118" s="626"/>
    </row>
    <row r="21119" spans="1:6">
      <c r="A21119" t="str">
        <f t="shared" si="329"/>
        <v/>
      </c>
      <c r="E21119" s="626"/>
      <c r="F21119" s="626"/>
    </row>
    <row r="21120" spans="1:6">
      <c r="A21120" t="str">
        <f t="shared" si="329"/>
        <v/>
      </c>
      <c r="E21120" s="626"/>
      <c r="F21120" s="626"/>
    </row>
    <row r="21121" spans="1:6">
      <c r="A21121" t="str">
        <f t="shared" si="329"/>
        <v/>
      </c>
      <c r="E21121" s="626"/>
      <c r="F21121" s="626"/>
    </row>
    <row r="21122" spans="1:6">
      <c r="A21122" t="str">
        <f t="shared" ref="A21122:A21185" si="330">B21122&amp;E21122&amp;J21122</f>
        <v/>
      </c>
      <c r="E21122" s="626"/>
      <c r="F21122" s="626"/>
    </row>
    <row r="21123" spans="1:6">
      <c r="A21123" t="str">
        <f t="shared" si="330"/>
        <v/>
      </c>
      <c r="E21123" s="626"/>
      <c r="F21123" s="626"/>
    </row>
    <row r="21124" spans="1:6">
      <c r="A21124" t="str">
        <f t="shared" si="330"/>
        <v/>
      </c>
      <c r="E21124" s="626"/>
      <c r="F21124" s="626"/>
    </row>
    <row r="21125" spans="1:6">
      <c r="A21125" t="str">
        <f t="shared" si="330"/>
        <v/>
      </c>
      <c r="E21125" s="626"/>
      <c r="F21125" s="626"/>
    </row>
    <row r="21126" spans="1:6">
      <c r="A21126" t="str">
        <f t="shared" si="330"/>
        <v/>
      </c>
      <c r="E21126" s="626"/>
      <c r="F21126" s="626"/>
    </row>
    <row r="21127" spans="1:6">
      <c r="A21127" t="str">
        <f t="shared" si="330"/>
        <v/>
      </c>
      <c r="E21127" s="626"/>
      <c r="F21127" s="626"/>
    </row>
    <row r="21128" spans="1:6">
      <c r="A21128" t="str">
        <f t="shared" si="330"/>
        <v/>
      </c>
      <c r="E21128" s="626"/>
      <c r="F21128" s="626"/>
    </row>
    <row r="21129" spans="1:6">
      <c r="A21129" t="str">
        <f t="shared" si="330"/>
        <v/>
      </c>
      <c r="E21129" s="626"/>
      <c r="F21129" s="626"/>
    </row>
    <row r="21130" spans="1:6">
      <c r="A21130" t="str">
        <f t="shared" si="330"/>
        <v/>
      </c>
      <c r="E21130" s="626"/>
      <c r="F21130" s="626"/>
    </row>
    <row r="21131" spans="1:6">
      <c r="A21131" t="str">
        <f t="shared" si="330"/>
        <v/>
      </c>
      <c r="E21131" s="626"/>
      <c r="F21131" s="626"/>
    </row>
    <row r="21132" spans="1:6">
      <c r="A21132" t="str">
        <f t="shared" si="330"/>
        <v/>
      </c>
      <c r="E21132" s="626"/>
      <c r="F21132" s="626"/>
    </row>
    <row r="21133" spans="1:6">
      <c r="A21133" t="str">
        <f t="shared" si="330"/>
        <v/>
      </c>
      <c r="E21133" s="626"/>
      <c r="F21133" s="626"/>
    </row>
    <row r="21134" spans="1:6">
      <c r="A21134" t="str">
        <f t="shared" si="330"/>
        <v/>
      </c>
      <c r="E21134" s="626"/>
      <c r="F21134" s="626"/>
    </row>
    <row r="21135" spans="1:6">
      <c r="A21135" t="str">
        <f t="shared" si="330"/>
        <v/>
      </c>
      <c r="E21135" s="626"/>
      <c r="F21135" s="626"/>
    </row>
    <row r="21136" spans="1:6">
      <c r="A21136" t="str">
        <f t="shared" si="330"/>
        <v/>
      </c>
      <c r="E21136" s="626"/>
      <c r="F21136" s="626"/>
    </row>
    <row r="21137" spans="1:6">
      <c r="A21137" t="str">
        <f t="shared" si="330"/>
        <v/>
      </c>
      <c r="E21137" s="626"/>
      <c r="F21137" s="626"/>
    </row>
    <row r="21138" spans="1:6">
      <c r="A21138" t="str">
        <f t="shared" si="330"/>
        <v/>
      </c>
      <c r="E21138" s="626"/>
      <c r="F21138" s="626"/>
    </row>
    <row r="21139" spans="1:6">
      <c r="A21139" t="str">
        <f t="shared" si="330"/>
        <v/>
      </c>
      <c r="E21139" s="626"/>
      <c r="F21139" s="626"/>
    </row>
    <row r="21140" spans="1:6">
      <c r="A21140" t="str">
        <f t="shared" si="330"/>
        <v/>
      </c>
      <c r="E21140" s="626"/>
      <c r="F21140" s="626"/>
    </row>
    <row r="21141" spans="1:6">
      <c r="A21141" t="str">
        <f t="shared" si="330"/>
        <v/>
      </c>
      <c r="E21141" s="626"/>
      <c r="F21141" s="626"/>
    </row>
    <row r="21142" spans="1:6">
      <c r="A21142" t="str">
        <f t="shared" si="330"/>
        <v/>
      </c>
      <c r="E21142" s="626"/>
      <c r="F21142" s="626"/>
    </row>
    <row r="21143" spans="1:6">
      <c r="A21143" t="str">
        <f t="shared" si="330"/>
        <v/>
      </c>
      <c r="E21143" s="626"/>
      <c r="F21143" s="626"/>
    </row>
    <row r="21144" spans="1:6">
      <c r="A21144" t="str">
        <f t="shared" si="330"/>
        <v/>
      </c>
      <c r="E21144" s="626"/>
      <c r="F21144" s="626"/>
    </row>
    <row r="21145" spans="1:6">
      <c r="A21145" t="str">
        <f t="shared" si="330"/>
        <v/>
      </c>
      <c r="E21145" s="626"/>
      <c r="F21145" s="626"/>
    </row>
    <row r="21146" spans="1:6">
      <c r="A21146" t="str">
        <f t="shared" si="330"/>
        <v/>
      </c>
      <c r="E21146" s="626"/>
      <c r="F21146" s="626"/>
    </row>
    <row r="21147" spans="1:6">
      <c r="A21147" t="str">
        <f t="shared" si="330"/>
        <v/>
      </c>
      <c r="E21147" s="626"/>
      <c r="F21147" s="626"/>
    </row>
    <row r="21148" spans="1:6">
      <c r="A21148" t="str">
        <f t="shared" si="330"/>
        <v/>
      </c>
      <c r="E21148" s="626"/>
      <c r="F21148" s="626"/>
    </row>
    <row r="21149" spans="1:6">
      <c r="A21149" t="str">
        <f t="shared" si="330"/>
        <v/>
      </c>
      <c r="E21149" s="626"/>
      <c r="F21149" s="626"/>
    </row>
    <row r="21150" spans="1:6">
      <c r="A21150" t="str">
        <f t="shared" si="330"/>
        <v/>
      </c>
      <c r="E21150" s="626"/>
      <c r="F21150" s="626"/>
    </row>
    <row r="21151" spans="1:6">
      <c r="A21151" t="str">
        <f t="shared" si="330"/>
        <v/>
      </c>
      <c r="E21151" s="626"/>
      <c r="F21151" s="626"/>
    </row>
    <row r="21152" spans="1:6">
      <c r="A21152" t="str">
        <f t="shared" si="330"/>
        <v/>
      </c>
      <c r="E21152" s="626"/>
      <c r="F21152" s="626"/>
    </row>
    <row r="21153" spans="1:6">
      <c r="A21153" t="str">
        <f t="shared" si="330"/>
        <v/>
      </c>
      <c r="E21153" s="626"/>
      <c r="F21153" s="626"/>
    </row>
    <row r="21154" spans="1:6">
      <c r="A21154" t="str">
        <f t="shared" si="330"/>
        <v/>
      </c>
      <c r="E21154" s="626"/>
      <c r="F21154" s="626"/>
    </row>
    <row r="21155" spans="1:6">
      <c r="A21155" t="str">
        <f t="shared" si="330"/>
        <v/>
      </c>
      <c r="E21155" s="626"/>
      <c r="F21155" s="626"/>
    </row>
    <row r="21156" spans="1:6">
      <c r="A21156" t="str">
        <f t="shared" si="330"/>
        <v/>
      </c>
      <c r="E21156" s="626"/>
      <c r="F21156" s="626"/>
    </row>
    <row r="21157" spans="1:6">
      <c r="A21157" t="str">
        <f t="shared" si="330"/>
        <v/>
      </c>
      <c r="E21157" s="626"/>
      <c r="F21157" s="626"/>
    </row>
    <row r="21158" spans="1:6">
      <c r="A21158" t="str">
        <f t="shared" si="330"/>
        <v/>
      </c>
      <c r="E21158" s="626"/>
      <c r="F21158" s="626"/>
    </row>
    <row r="21159" spans="1:6">
      <c r="A21159" t="str">
        <f t="shared" si="330"/>
        <v/>
      </c>
      <c r="E21159" s="626"/>
      <c r="F21159" s="626"/>
    </row>
    <row r="21160" spans="1:6">
      <c r="A21160" t="str">
        <f t="shared" si="330"/>
        <v/>
      </c>
      <c r="E21160" s="626"/>
      <c r="F21160" s="626"/>
    </row>
    <row r="21161" spans="1:6">
      <c r="A21161" t="str">
        <f t="shared" si="330"/>
        <v/>
      </c>
      <c r="E21161" s="626"/>
      <c r="F21161" s="626"/>
    </row>
    <row r="21162" spans="1:6">
      <c r="A21162" t="str">
        <f t="shared" si="330"/>
        <v/>
      </c>
      <c r="E21162" s="626"/>
      <c r="F21162" s="626"/>
    </row>
    <row r="21163" spans="1:6">
      <c r="A21163" t="str">
        <f t="shared" si="330"/>
        <v/>
      </c>
      <c r="E21163" s="626"/>
      <c r="F21163" s="626"/>
    </row>
    <row r="21164" spans="1:6">
      <c r="A21164" t="str">
        <f t="shared" si="330"/>
        <v/>
      </c>
      <c r="E21164" s="626"/>
      <c r="F21164" s="626"/>
    </row>
    <row r="21165" spans="1:6">
      <c r="A21165" t="str">
        <f t="shared" si="330"/>
        <v/>
      </c>
      <c r="E21165" s="626"/>
      <c r="F21165" s="626"/>
    </row>
    <row r="21166" spans="1:6">
      <c r="A21166" t="str">
        <f t="shared" si="330"/>
        <v/>
      </c>
      <c r="E21166" s="626"/>
      <c r="F21166" s="626"/>
    </row>
    <row r="21167" spans="1:6">
      <c r="A21167" t="str">
        <f t="shared" si="330"/>
        <v/>
      </c>
      <c r="E21167" s="626"/>
      <c r="F21167" s="626"/>
    </row>
    <row r="21168" spans="1:6">
      <c r="A21168" t="str">
        <f t="shared" si="330"/>
        <v/>
      </c>
      <c r="E21168" s="626"/>
      <c r="F21168" s="626"/>
    </row>
    <row r="21169" spans="1:6">
      <c r="A21169" t="str">
        <f t="shared" si="330"/>
        <v/>
      </c>
      <c r="E21169" s="626"/>
      <c r="F21169" s="626"/>
    </row>
    <row r="21170" spans="1:6">
      <c r="A21170" t="str">
        <f t="shared" si="330"/>
        <v/>
      </c>
      <c r="E21170" s="626"/>
      <c r="F21170" s="626"/>
    </row>
    <row r="21171" spans="1:6">
      <c r="A21171" t="str">
        <f t="shared" si="330"/>
        <v/>
      </c>
      <c r="E21171" s="626"/>
      <c r="F21171" s="626"/>
    </row>
    <row r="21172" spans="1:6">
      <c r="A21172" t="str">
        <f t="shared" si="330"/>
        <v/>
      </c>
      <c r="E21172" s="626"/>
      <c r="F21172" s="626"/>
    </row>
    <row r="21173" spans="1:6">
      <c r="A21173" t="str">
        <f t="shared" si="330"/>
        <v/>
      </c>
      <c r="E21173" s="626"/>
      <c r="F21173" s="626"/>
    </row>
    <row r="21174" spans="1:6">
      <c r="A21174" t="str">
        <f t="shared" si="330"/>
        <v/>
      </c>
      <c r="E21174" s="626"/>
      <c r="F21174" s="626"/>
    </row>
    <row r="21175" spans="1:6">
      <c r="A21175" t="str">
        <f t="shared" si="330"/>
        <v/>
      </c>
      <c r="E21175" s="626"/>
      <c r="F21175" s="626"/>
    </row>
    <row r="21176" spans="1:6">
      <c r="A21176" t="str">
        <f t="shared" si="330"/>
        <v/>
      </c>
      <c r="E21176" s="626"/>
      <c r="F21176" s="626"/>
    </row>
    <row r="21177" spans="1:6">
      <c r="A21177" t="str">
        <f t="shared" si="330"/>
        <v/>
      </c>
      <c r="E21177" s="626"/>
      <c r="F21177" s="626"/>
    </row>
    <row r="21178" spans="1:6">
      <c r="A21178" t="str">
        <f t="shared" si="330"/>
        <v/>
      </c>
      <c r="E21178" s="626"/>
      <c r="F21178" s="626"/>
    </row>
    <row r="21179" spans="1:6">
      <c r="A21179" t="str">
        <f t="shared" si="330"/>
        <v/>
      </c>
      <c r="E21179" s="626"/>
      <c r="F21179" s="626"/>
    </row>
    <row r="21180" spans="1:6">
      <c r="A21180" t="str">
        <f t="shared" si="330"/>
        <v/>
      </c>
      <c r="E21180" s="626"/>
      <c r="F21180" s="626"/>
    </row>
    <row r="21181" spans="1:6">
      <c r="A21181" t="str">
        <f t="shared" si="330"/>
        <v/>
      </c>
      <c r="E21181" s="626"/>
      <c r="F21181" s="626"/>
    </row>
    <row r="21182" spans="1:6">
      <c r="A21182" t="str">
        <f t="shared" si="330"/>
        <v/>
      </c>
      <c r="E21182" s="626"/>
      <c r="F21182" s="626"/>
    </row>
    <row r="21183" spans="1:6">
      <c r="A21183" t="str">
        <f t="shared" si="330"/>
        <v/>
      </c>
      <c r="E21183" s="626"/>
      <c r="F21183" s="626"/>
    </row>
    <row r="21184" spans="1:6">
      <c r="A21184" t="str">
        <f t="shared" si="330"/>
        <v/>
      </c>
      <c r="E21184" s="626"/>
      <c r="F21184" s="626"/>
    </row>
    <row r="21185" spans="1:6">
      <c r="A21185" t="str">
        <f t="shared" si="330"/>
        <v/>
      </c>
      <c r="E21185" s="626"/>
      <c r="F21185" s="626"/>
    </row>
    <row r="21186" spans="1:6">
      <c r="A21186" t="str">
        <f t="shared" ref="A21186:A21249" si="331">B21186&amp;E21186&amp;J21186</f>
        <v/>
      </c>
      <c r="E21186" s="626"/>
      <c r="F21186" s="626"/>
    </row>
    <row r="21187" spans="1:6">
      <c r="A21187" t="str">
        <f t="shared" si="331"/>
        <v/>
      </c>
      <c r="E21187" s="626"/>
      <c r="F21187" s="626"/>
    </row>
    <row r="21188" spans="1:6">
      <c r="A21188" t="str">
        <f t="shared" si="331"/>
        <v/>
      </c>
      <c r="E21188" s="626"/>
      <c r="F21188" s="626"/>
    </row>
    <row r="21189" spans="1:6">
      <c r="A21189" t="str">
        <f t="shared" si="331"/>
        <v/>
      </c>
      <c r="E21189" s="626"/>
      <c r="F21189" s="626"/>
    </row>
    <row r="21190" spans="1:6">
      <c r="A21190" t="str">
        <f t="shared" si="331"/>
        <v/>
      </c>
      <c r="E21190" s="626"/>
      <c r="F21190" s="626"/>
    </row>
    <row r="21191" spans="1:6">
      <c r="A21191" t="str">
        <f t="shared" si="331"/>
        <v/>
      </c>
      <c r="E21191" s="626"/>
      <c r="F21191" s="626"/>
    </row>
    <row r="21192" spans="1:6">
      <c r="A21192" t="str">
        <f t="shared" si="331"/>
        <v/>
      </c>
      <c r="E21192" s="626"/>
      <c r="F21192" s="626"/>
    </row>
    <row r="21193" spans="1:6">
      <c r="A21193" t="str">
        <f t="shared" si="331"/>
        <v/>
      </c>
      <c r="E21193" s="626"/>
      <c r="F21193" s="626"/>
    </row>
    <row r="21194" spans="1:6">
      <c r="A21194" t="str">
        <f t="shared" si="331"/>
        <v/>
      </c>
      <c r="E21194" s="626"/>
      <c r="F21194" s="626"/>
    </row>
    <row r="21195" spans="1:6">
      <c r="A21195" t="str">
        <f t="shared" si="331"/>
        <v/>
      </c>
      <c r="E21195" s="626"/>
      <c r="F21195" s="626"/>
    </row>
    <row r="21196" spans="1:6">
      <c r="A21196" t="str">
        <f t="shared" si="331"/>
        <v/>
      </c>
      <c r="E21196" s="626"/>
      <c r="F21196" s="626"/>
    </row>
    <row r="21197" spans="1:6">
      <c r="A21197" t="str">
        <f t="shared" si="331"/>
        <v/>
      </c>
      <c r="E21197" s="626"/>
      <c r="F21197" s="626"/>
    </row>
    <row r="21198" spans="1:6">
      <c r="A21198" t="str">
        <f t="shared" si="331"/>
        <v/>
      </c>
      <c r="E21198" s="626"/>
      <c r="F21198" s="626"/>
    </row>
    <row r="21199" spans="1:6">
      <c r="A21199" t="str">
        <f t="shared" si="331"/>
        <v/>
      </c>
      <c r="E21199" s="626"/>
      <c r="F21199" s="626"/>
    </row>
    <row r="21200" spans="1:6">
      <c r="A21200" t="str">
        <f t="shared" si="331"/>
        <v/>
      </c>
      <c r="E21200" s="626"/>
      <c r="F21200" s="626"/>
    </row>
    <row r="21201" spans="1:6">
      <c r="A21201" t="str">
        <f t="shared" si="331"/>
        <v/>
      </c>
      <c r="E21201" s="626"/>
      <c r="F21201" s="626"/>
    </row>
    <row r="21202" spans="1:6">
      <c r="A21202" t="str">
        <f t="shared" si="331"/>
        <v/>
      </c>
      <c r="E21202" s="626"/>
      <c r="F21202" s="626"/>
    </row>
    <row r="21203" spans="1:6">
      <c r="A21203" t="str">
        <f t="shared" si="331"/>
        <v/>
      </c>
      <c r="E21203" s="626"/>
      <c r="F21203" s="626"/>
    </row>
    <row r="21204" spans="1:6">
      <c r="A21204" t="str">
        <f t="shared" si="331"/>
        <v/>
      </c>
      <c r="E21204" s="626"/>
      <c r="F21204" s="626"/>
    </row>
    <row r="21205" spans="1:6">
      <c r="A21205" t="str">
        <f t="shared" si="331"/>
        <v/>
      </c>
      <c r="E21205" s="626"/>
      <c r="F21205" s="626"/>
    </row>
    <row r="21206" spans="1:6">
      <c r="A21206" t="str">
        <f t="shared" si="331"/>
        <v/>
      </c>
      <c r="E21206" s="626"/>
      <c r="F21206" s="626"/>
    </row>
    <row r="21207" spans="1:6">
      <c r="A21207" t="str">
        <f t="shared" si="331"/>
        <v/>
      </c>
      <c r="E21207" s="626"/>
      <c r="F21207" s="626"/>
    </row>
    <row r="21208" spans="1:6">
      <c r="A21208" t="str">
        <f t="shared" si="331"/>
        <v/>
      </c>
      <c r="E21208" s="626"/>
      <c r="F21208" s="626"/>
    </row>
    <row r="21209" spans="1:6">
      <c r="A21209" t="str">
        <f t="shared" si="331"/>
        <v/>
      </c>
      <c r="E21209" s="626"/>
      <c r="F21209" s="626"/>
    </row>
    <row r="21210" spans="1:6">
      <c r="A21210" t="str">
        <f t="shared" si="331"/>
        <v/>
      </c>
      <c r="E21210" s="626"/>
      <c r="F21210" s="626"/>
    </row>
    <row r="21211" spans="1:6">
      <c r="A21211" t="str">
        <f t="shared" si="331"/>
        <v/>
      </c>
      <c r="E21211" s="626"/>
      <c r="F21211" s="626"/>
    </row>
    <row r="21212" spans="1:6">
      <c r="A21212" t="str">
        <f t="shared" si="331"/>
        <v/>
      </c>
      <c r="E21212" s="626"/>
      <c r="F21212" s="626"/>
    </row>
    <row r="21213" spans="1:6">
      <c r="A21213" t="str">
        <f t="shared" si="331"/>
        <v/>
      </c>
      <c r="E21213" s="626"/>
      <c r="F21213" s="626"/>
    </row>
    <row r="21214" spans="1:6">
      <c r="A21214" t="str">
        <f t="shared" si="331"/>
        <v/>
      </c>
      <c r="E21214" s="626"/>
      <c r="F21214" s="626"/>
    </row>
    <row r="21215" spans="1:6">
      <c r="A21215" t="str">
        <f t="shared" si="331"/>
        <v/>
      </c>
      <c r="E21215" s="626"/>
      <c r="F21215" s="626"/>
    </row>
    <row r="21216" spans="1:6">
      <c r="A21216" t="str">
        <f t="shared" si="331"/>
        <v/>
      </c>
      <c r="E21216" s="626"/>
      <c r="F21216" s="626"/>
    </row>
    <row r="21217" spans="1:6">
      <c r="A21217" t="str">
        <f t="shared" si="331"/>
        <v/>
      </c>
      <c r="E21217" s="626"/>
      <c r="F21217" s="626"/>
    </row>
    <row r="21218" spans="1:6">
      <c r="A21218" t="str">
        <f t="shared" si="331"/>
        <v/>
      </c>
      <c r="E21218" s="626"/>
      <c r="F21218" s="626"/>
    </row>
    <row r="21219" spans="1:6">
      <c r="A21219" t="str">
        <f t="shared" si="331"/>
        <v/>
      </c>
      <c r="E21219" s="626"/>
      <c r="F21219" s="626"/>
    </row>
    <row r="21220" spans="1:6">
      <c r="A21220" t="str">
        <f t="shared" si="331"/>
        <v/>
      </c>
      <c r="E21220" s="626"/>
      <c r="F21220" s="626"/>
    </row>
    <row r="21221" spans="1:6">
      <c r="A21221" t="str">
        <f t="shared" si="331"/>
        <v/>
      </c>
      <c r="E21221" s="626"/>
      <c r="F21221" s="626"/>
    </row>
    <row r="21222" spans="1:6">
      <c r="A21222" t="str">
        <f t="shared" si="331"/>
        <v/>
      </c>
      <c r="E21222" s="626"/>
      <c r="F21222" s="626"/>
    </row>
    <row r="21223" spans="1:6">
      <c r="A21223" t="str">
        <f t="shared" si="331"/>
        <v/>
      </c>
      <c r="E21223" s="626"/>
      <c r="F21223" s="626"/>
    </row>
    <row r="21224" spans="1:6">
      <c r="A21224" t="str">
        <f t="shared" si="331"/>
        <v/>
      </c>
      <c r="E21224" s="626"/>
      <c r="F21224" s="626"/>
    </row>
    <row r="21225" spans="1:6">
      <c r="A21225" t="str">
        <f t="shared" si="331"/>
        <v/>
      </c>
      <c r="E21225" s="626"/>
      <c r="F21225" s="626"/>
    </row>
    <row r="21226" spans="1:6">
      <c r="A21226" t="str">
        <f t="shared" si="331"/>
        <v/>
      </c>
      <c r="E21226" s="626"/>
      <c r="F21226" s="626"/>
    </row>
    <row r="21227" spans="1:6">
      <c r="A21227" t="str">
        <f t="shared" si="331"/>
        <v/>
      </c>
      <c r="E21227" s="626"/>
      <c r="F21227" s="626"/>
    </row>
    <row r="21228" spans="1:6">
      <c r="A21228" t="str">
        <f t="shared" si="331"/>
        <v/>
      </c>
      <c r="E21228" s="626"/>
      <c r="F21228" s="626"/>
    </row>
    <row r="21229" spans="1:6">
      <c r="A21229" t="str">
        <f t="shared" si="331"/>
        <v/>
      </c>
      <c r="E21229" s="626"/>
      <c r="F21229" s="626"/>
    </row>
    <row r="21230" spans="1:6">
      <c r="A21230" t="str">
        <f t="shared" si="331"/>
        <v/>
      </c>
      <c r="E21230" s="626"/>
      <c r="F21230" s="626"/>
    </row>
    <row r="21231" spans="1:6">
      <c r="A21231" t="str">
        <f t="shared" si="331"/>
        <v/>
      </c>
      <c r="E21231" s="626"/>
      <c r="F21231" s="626"/>
    </row>
    <row r="21232" spans="1:6">
      <c r="A21232" t="str">
        <f t="shared" si="331"/>
        <v/>
      </c>
      <c r="E21232" s="626"/>
      <c r="F21232" s="626"/>
    </row>
    <row r="21233" spans="1:6">
      <c r="A21233" t="str">
        <f t="shared" si="331"/>
        <v/>
      </c>
      <c r="E21233" s="626"/>
      <c r="F21233" s="626"/>
    </row>
    <row r="21234" spans="1:6">
      <c r="A21234" t="str">
        <f t="shared" si="331"/>
        <v/>
      </c>
      <c r="E21234" s="626"/>
      <c r="F21234" s="626"/>
    </row>
    <row r="21235" spans="1:6">
      <c r="A21235" t="str">
        <f t="shared" si="331"/>
        <v/>
      </c>
      <c r="E21235" s="626"/>
      <c r="F21235" s="626"/>
    </row>
    <row r="21236" spans="1:6">
      <c r="A21236" t="str">
        <f t="shared" si="331"/>
        <v/>
      </c>
      <c r="E21236" s="626"/>
      <c r="F21236" s="626"/>
    </row>
    <row r="21237" spans="1:6">
      <c r="A21237" t="str">
        <f t="shared" si="331"/>
        <v/>
      </c>
      <c r="E21237" s="626"/>
      <c r="F21237" s="626"/>
    </row>
    <row r="21238" spans="1:6">
      <c r="A21238" t="str">
        <f t="shared" si="331"/>
        <v/>
      </c>
      <c r="E21238" s="626"/>
      <c r="F21238" s="626"/>
    </row>
    <row r="21239" spans="1:6">
      <c r="A21239" t="str">
        <f t="shared" si="331"/>
        <v/>
      </c>
      <c r="E21239" s="626"/>
      <c r="F21239" s="626"/>
    </row>
    <row r="21240" spans="1:6">
      <c r="A21240" t="str">
        <f t="shared" si="331"/>
        <v/>
      </c>
      <c r="E21240" s="626"/>
      <c r="F21240" s="626"/>
    </row>
    <row r="21241" spans="1:6">
      <c r="A21241" t="str">
        <f t="shared" si="331"/>
        <v/>
      </c>
      <c r="E21241" s="626"/>
      <c r="F21241" s="626"/>
    </row>
    <row r="21242" spans="1:6">
      <c r="A21242" t="str">
        <f t="shared" si="331"/>
        <v/>
      </c>
      <c r="E21242" s="626"/>
      <c r="F21242" s="626"/>
    </row>
    <row r="21243" spans="1:6">
      <c r="A21243" t="str">
        <f t="shared" si="331"/>
        <v/>
      </c>
      <c r="E21243" s="626"/>
      <c r="F21243" s="626"/>
    </row>
    <row r="21244" spans="1:6">
      <c r="A21244" t="str">
        <f t="shared" si="331"/>
        <v/>
      </c>
      <c r="E21244" s="626"/>
      <c r="F21244" s="626"/>
    </row>
    <row r="21245" spans="1:6">
      <c r="A21245" t="str">
        <f t="shared" si="331"/>
        <v/>
      </c>
      <c r="E21245" s="626"/>
      <c r="F21245" s="626"/>
    </row>
    <row r="21246" spans="1:6">
      <c r="A21246" t="str">
        <f t="shared" si="331"/>
        <v/>
      </c>
      <c r="E21246" s="626"/>
      <c r="F21246" s="626"/>
    </row>
    <row r="21247" spans="1:6">
      <c r="A21247" t="str">
        <f t="shared" si="331"/>
        <v/>
      </c>
      <c r="E21247" s="626"/>
      <c r="F21247" s="626"/>
    </row>
    <row r="21248" spans="1:6">
      <c r="A21248" t="str">
        <f t="shared" si="331"/>
        <v/>
      </c>
      <c r="E21248" s="626"/>
      <c r="F21248" s="626"/>
    </row>
    <row r="21249" spans="1:6">
      <c r="A21249" t="str">
        <f t="shared" si="331"/>
        <v/>
      </c>
      <c r="E21249" s="626"/>
      <c r="F21249" s="626"/>
    </row>
    <row r="21250" spans="1:6">
      <c r="A21250" t="str">
        <f t="shared" ref="A21250:A21313" si="332">B21250&amp;E21250&amp;J21250</f>
        <v/>
      </c>
      <c r="E21250" s="626"/>
      <c r="F21250" s="626"/>
    </row>
    <row r="21251" spans="1:6">
      <c r="A21251" t="str">
        <f t="shared" si="332"/>
        <v/>
      </c>
      <c r="E21251" s="626"/>
      <c r="F21251" s="626"/>
    </row>
    <row r="21252" spans="1:6">
      <c r="A21252" t="str">
        <f t="shared" si="332"/>
        <v/>
      </c>
      <c r="E21252" s="626"/>
      <c r="F21252" s="626"/>
    </row>
    <row r="21253" spans="1:6">
      <c r="A21253" t="str">
        <f t="shared" si="332"/>
        <v/>
      </c>
      <c r="E21253" s="626"/>
      <c r="F21253" s="626"/>
    </row>
    <row r="21254" spans="1:6">
      <c r="A21254" t="str">
        <f t="shared" si="332"/>
        <v/>
      </c>
      <c r="E21254" s="626"/>
      <c r="F21254" s="626"/>
    </row>
    <row r="21255" spans="1:6">
      <c r="A21255" t="str">
        <f t="shared" si="332"/>
        <v/>
      </c>
      <c r="E21255" s="626"/>
      <c r="F21255" s="626"/>
    </row>
    <row r="21256" spans="1:6">
      <c r="A21256" t="str">
        <f t="shared" si="332"/>
        <v/>
      </c>
      <c r="E21256" s="626"/>
      <c r="F21256" s="626"/>
    </row>
    <row r="21257" spans="1:6">
      <c r="A21257" t="str">
        <f t="shared" si="332"/>
        <v/>
      </c>
      <c r="E21257" s="626"/>
      <c r="F21257" s="626"/>
    </row>
    <row r="21258" spans="1:6">
      <c r="A21258" t="str">
        <f t="shared" si="332"/>
        <v/>
      </c>
      <c r="E21258" s="626"/>
      <c r="F21258" s="626"/>
    </row>
    <row r="21259" spans="1:6">
      <c r="A21259" t="str">
        <f t="shared" si="332"/>
        <v/>
      </c>
      <c r="E21259" s="626"/>
      <c r="F21259" s="626"/>
    </row>
    <row r="21260" spans="1:6">
      <c r="A21260" t="str">
        <f t="shared" si="332"/>
        <v/>
      </c>
      <c r="E21260" s="626"/>
      <c r="F21260" s="626"/>
    </row>
    <row r="21261" spans="1:6">
      <c r="A21261" t="str">
        <f t="shared" si="332"/>
        <v/>
      </c>
      <c r="E21261" s="626"/>
      <c r="F21261" s="626"/>
    </row>
    <row r="21262" spans="1:6">
      <c r="A21262" t="str">
        <f t="shared" si="332"/>
        <v/>
      </c>
      <c r="E21262" s="626"/>
      <c r="F21262" s="626"/>
    </row>
    <row r="21263" spans="1:6">
      <c r="A21263" t="str">
        <f t="shared" si="332"/>
        <v/>
      </c>
      <c r="E21263" s="626"/>
      <c r="F21263" s="626"/>
    </row>
    <row r="21264" spans="1:6">
      <c r="A21264" t="str">
        <f t="shared" si="332"/>
        <v/>
      </c>
      <c r="E21264" s="626"/>
      <c r="F21264" s="626"/>
    </row>
    <row r="21265" spans="1:6">
      <c r="A21265" t="str">
        <f t="shared" si="332"/>
        <v/>
      </c>
      <c r="E21265" s="626"/>
      <c r="F21265" s="626"/>
    </row>
    <row r="21266" spans="1:6">
      <c r="A21266" t="str">
        <f t="shared" si="332"/>
        <v/>
      </c>
      <c r="E21266" s="626"/>
      <c r="F21266" s="626"/>
    </row>
    <row r="21267" spans="1:6">
      <c r="A21267" t="str">
        <f t="shared" si="332"/>
        <v/>
      </c>
      <c r="E21267" s="626"/>
      <c r="F21267" s="626"/>
    </row>
    <row r="21268" spans="1:6">
      <c r="A21268" t="str">
        <f t="shared" si="332"/>
        <v/>
      </c>
      <c r="E21268" s="626"/>
      <c r="F21268" s="626"/>
    </row>
    <row r="21269" spans="1:6">
      <c r="A21269" t="str">
        <f t="shared" si="332"/>
        <v/>
      </c>
      <c r="E21269" s="626"/>
      <c r="F21269" s="626"/>
    </row>
    <row r="21270" spans="1:6">
      <c r="A21270" t="str">
        <f t="shared" si="332"/>
        <v/>
      </c>
      <c r="E21270" s="626"/>
      <c r="F21270" s="626"/>
    </row>
    <row r="21271" spans="1:6">
      <c r="A21271" t="str">
        <f t="shared" si="332"/>
        <v/>
      </c>
      <c r="E21271" s="626"/>
      <c r="F21271" s="626"/>
    </row>
    <row r="21272" spans="1:6">
      <c r="A21272" t="str">
        <f t="shared" si="332"/>
        <v/>
      </c>
      <c r="E21272" s="626"/>
      <c r="F21272" s="626"/>
    </row>
    <row r="21273" spans="1:6">
      <c r="A21273" t="str">
        <f t="shared" si="332"/>
        <v/>
      </c>
      <c r="E21273" s="626"/>
      <c r="F21273" s="626"/>
    </row>
    <row r="21274" spans="1:6">
      <c r="A21274" t="str">
        <f t="shared" si="332"/>
        <v/>
      </c>
      <c r="E21274" s="626"/>
      <c r="F21274" s="626"/>
    </row>
    <row r="21275" spans="1:6">
      <c r="A21275" t="str">
        <f t="shared" si="332"/>
        <v/>
      </c>
      <c r="E21275" s="626"/>
      <c r="F21275" s="626"/>
    </row>
    <row r="21276" spans="1:6">
      <c r="A21276" t="str">
        <f t="shared" si="332"/>
        <v/>
      </c>
      <c r="E21276" s="626"/>
      <c r="F21276" s="626"/>
    </row>
    <row r="21277" spans="1:6">
      <c r="A21277" t="str">
        <f t="shared" si="332"/>
        <v/>
      </c>
      <c r="E21277" s="626"/>
      <c r="F21277" s="626"/>
    </row>
    <row r="21278" spans="1:6">
      <c r="A21278" t="str">
        <f t="shared" si="332"/>
        <v/>
      </c>
      <c r="E21278" s="626"/>
      <c r="F21278" s="626"/>
    </row>
    <row r="21279" spans="1:6">
      <c r="A21279" t="str">
        <f t="shared" si="332"/>
        <v/>
      </c>
      <c r="E21279" s="626"/>
      <c r="F21279" s="626"/>
    </row>
    <row r="21280" spans="1:6">
      <c r="A21280" t="str">
        <f t="shared" si="332"/>
        <v/>
      </c>
      <c r="E21280" s="626"/>
      <c r="F21280" s="626"/>
    </row>
    <row r="21281" spans="1:6">
      <c r="A21281" t="str">
        <f t="shared" si="332"/>
        <v/>
      </c>
      <c r="E21281" s="626"/>
      <c r="F21281" s="626"/>
    </row>
    <row r="21282" spans="1:6">
      <c r="A21282" t="str">
        <f t="shared" si="332"/>
        <v/>
      </c>
      <c r="E21282" s="626"/>
      <c r="F21282" s="626"/>
    </row>
    <row r="21283" spans="1:6">
      <c r="A21283" t="str">
        <f t="shared" si="332"/>
        <v/>
      </c>
      <c r="E21283" s="626"/>
      <c r="F21283" s="626"/>
    </row>
    <row r="21284" spans="1:6">
      <c r="A21284" t="str">
        <f t="shared" si="332"/>
        <v/>
      </c>
      <c r="E21284" s="626"/>
      <c r="F21284" s="626"/>
    </row>
    <row r="21285" spans="1:6">
      <c r="A21285" t="str">
        <f t="shared" si="332"/>
        <v/>
      </c>
      <c r="E21285" s="626"/>
      <c r="F21285" s="626"/>
    </row>
    <row r="21286" spans="1:6">
      <c r="A21286" t="str">
        <f t="shared" si="332"/>
        <v/>
      </c>
      <c r="E21286" s="626"/>
      <c r="F21286" s="626"/>
    </row>
    <row r="21287" spans="1:6">
      <c r="A21287" t="str">
        <f t="shared" si="332"/>
        <v/>
      </c>
      <c r="E21287" s="626"/>
      <c r="F21287" s="626"/>
    </row>
    <row r="21288" spans="1:6">
      <c r="A21288" t="str">
        <f t="shared" si="332"/>
        <v/>
      </c>
      <c r="E21288" s="626"/>
      <c r="F21288" s="626"/>
    </row>
    <row r="21289" spans="1:6">
      <c r="A21289" t="str">
        <f t="shared" si="332"/>
        <v/>
      </c>
      <c r="E21289" s="626"/>
      <c r="F21289" s="626"/>
    </row>
    <row r="21290" spans="1:6">
      <c r="A21290" t="str">
        <f t="shared" si="332"/>
        <v/>
      </c>
      <c r="E21290" s="626"/>
      <c r="F21290" s="626"/>
    </row>
    <row r="21291" spans="1:6">
      <c r="A21291" t="str">
        <f t="shared" si="332"/>
        <v/>
      </c>
      <c r="E21291" s="626"/>
      <c r="F21291" s="626"/>
    </row>
    <row r="21292" spans="1:6">
      <c r="A21292" t="str">
        <f t="shared" si="332"/>
        <v/>
      </c>
      <c r="E21292" s="626"/>
      <c r="F21292" s="626"/>
    </row>
    <row r="21293" spans="1:6">
      <c r="A21293" t="str">
        <f t="shared" si="332"/>
        <v/>
      </c>
      <c r="E21293" s="626"/>
      <c r="F21293" s="626"/>
    </row>
    <row r="21294" spans="1:6">
      <c r="A21294" t="str">
        <f t="shared" si="332"/>
        <v/>
      </c>
      <c r="E21294" s="626"/>
      <c r="F21294" s="626"/>
    </row>
    <row r="21295" spans="1:6">
      <c r="A21295" t="str">
        <f t="shared" si="332"/>
        <v/>
      </c>
      <c r="E21295" s="626"/>
      <c r="F21295" s="626"/>
    </row>
    <row r="21296" spans="1:6">
      <c r="A21296" t="str">
        <f t="shared" si="332"/>
        <v/>
      </c>
      <c r="E21296" s="626"/>
      <c r="F21296" s="626"/>
    </row>
    <row r="21297" spans="1:6">
      <c r="A21297" t="str">
        <f t="shared" si="332"/>
        <v/>
      </c>
      <c r="E21297" s="626"/>
      <c r="F21297" s="626"/>
    </row>
    <row r="21298" spans="1:6">
      <c r="A21298" t="str">
        <f t="shared" si="332"/>
        <v/>
      </c>
      <c r="E21298" s="626"/>
      <c r="F21298" s="626"/>
    </row>
    <row r="21299" spans="1:6">
      <c r="A21299" t="str">
        <f t="shared" si="332"/>
        <v/>
      </c>
      <c r="E21299" s="626"/>
      <c r="F21299" s="626"/>
    </row>
    <row r="21300" spans="1:6">
      <c r="A21300" t="str">
        <f t="shared" si="332"/>
        <v/>
      </c>
      <c r="E21300" s="626"/>
      <c r="F21300" s="626"/>
    </row>
    <row r="21301" spans="1:6">
      <c r="A21301" t="str">
        <f t="shared" si="332"/>
        <v/>
      </c>
      <c r="E21301" s="626"/>
      <c r="F21301" s="626"/>
    </row>
    <row r="21302" spans="1:6">
      <c r="A21302" t="str">
        <f t="shared" si="332"/>
        <v/>
      </c>
      <c r="E21302" s="626"/>
      <c r="F21302" s="626"/>
    </row>
    <row r="21303" spans="1:6">
      <c r="A21303" t="str">
        <f t="shared" si="332"/>
        <v/>
      </c>
      <c r="E21303" s="626"/>
      <c r="F21303" s="626"/>
    </row>
    <row r="21304" spans="1:6">
      <c r="A21304" t="str">
        <f t="shared" si="332"/>
        <v/>
      </c>
      <c r="E21304" s="626"/>
      <c r="F21304" s="626"/>
    </row>
    <row r="21305" spans="1:6">
      <c r="A21305" t="str">
        <f t="shared" si="332"/>
        <v/>
      </c>
      <c r="E21305" s="626"/>
      <c r="F21305" s="626"/>
    </row>
    <row r="21306" spans="1:6">
      <c r="A21306" t="str">
        <f t="shared" si="332"/>
        <v/>
      </c>
      <c r="E21306" s="626"/>
      <c r="F21306" s="626"/>
    </row>
    <row r="21307" spans="1:6">
      <c r="A21307" t="str">
        <f t="shared" si="332"/>
        <v/>
      </c>
      <c r="E21307" s="626"/>
      <c r="F21307" s="626"/>
    </row>
    <row r="21308" spans="1:6">
      <c r="A21308" t="str">
        <f t="shared" si="332"/>
        <v/>
      </c>
      <c r="E21308" s="626"/>
      <c r="F21308" s="626"/>
    </row>
    <row r="21309" spans="1:6">
      <c r="A21309" t="str">
        <f t="shared" si="332"/>
        <v/>
      </c>
      <c r="E21309" s="626"/>
      <c r="F21309" s="626"/>
    </row>
    <row r="21310" spans="1:6">
      <c r="A21310" t="str">
        <f t="shared" si="332"/>
        <v/>
      </c>
      <c r="E21310" s="626"/>
      <c r="F21310" s="626"/>
    </row>
    <row r="21311" spans="1:6">
      <c r="A21311" t="str">
        <f t="shared" si="332"/>
        <v/>
      </c>
      <c r="E21311" s="626"/>
      <c r="F21311" s="626"/>
    </row>
    <row r="21312" spans="1:6">
      <c r="A21312" t="str">
        <f t="shared" si="332"/>
        <v/>
      </c>
      <c r="E21312" s="626"/>
      <c r="F21312" s="626"/>
    </row>
    <row r="21313" spans="1:6">
      <c r="A21313" t="str">
        <f t="shared" si="332"/>
        <v/>
      </c>
      <c r="E21313" s="626"/>
      <c r="F21313" s="626"/>
    </row>
    <row r="21314" spans="1:6">
      <c r="A21314" t="str">
        <f t="shared" ref="A21314:A21377" si="333">B21314&amp;E21314&amp;J21314</f>
        <v/>
      </c>
      <c r="E21314" s="626"/>
      <c r="F21314" s="626"/>
    </row>
    <row r="21315" spans="1:6">
      <c r="A21315" t="str">
        <f t="shared" si="333"/>
        <v/>
      </c>
      <c r="E21315" s="626"/>
      <c r="F21315" s="626"/>
    </row>
    <row r="21316" spans="1:6">
      <c r="A21316" t="str">
        <f t="shared" si="333"/>
        <v/>
      </c>
      <c r="E21316" s="626"/>
      <c r="F21316" s="626"/>
    </row>
    <row r="21317" spans="1:6">
      <c r="A21317" t="str">
        <f t="shared" si="333"/>
        <v/>
      </c>
      <c r="E21317" s="626"/>
      <c r="F21317" s="626"/>
    </row>
    <row r="21318" spans="1:6">
      <c r="A21318" t="str">
        <f t="shared" si="333"/>
        <v/>
      </c>
      <c r="E21318" s="626"/>
      <c r="F21318" s="626"/>
    </row>
    <row r="21319" spans="1:6">
      <c r="A21319" t="str">
        <f t="shared" si="333"/>
        <v/>
      </c>
      <c r="E21319" s="626"/>
      <c r="F21319" s="626"/>
    </row>
    <row r="21320" spans="1:6">
      <c r="A21320" t="str">
        <f t="shared" si="333"/>
        <v/>
      </c>
      <c r="E21320" s="626"/>
      <c r="F21320" s="626"/>
    </row>
    <row r="21321" spans="1:6">
      <c r="A21321" t="str">
        <f t="shared" si="333"/>
        <v/>
      </c>
      <c r="E21321" s="626"/>
      <c r="F21321" s="626"/>
    </row>
    <row r="21322" spans="1:6">
      <c r="A21322" t="str">
        <f t="shared" si="333"/>
        <v/>
      </c>
      <c r="E21322" s="626"/>
      <c r="F21322" s="626"/>
    </row>
    <row r="21323" spans="1:6">
      <c r="A21323" t="str">
        <f t="shared" si="333"/>
        <v/>
      </c>
      <c r="E21323" s="626"/>
      <c r="F21323" s="626"/>
    </row>
    <row r="21324" spans="1:6">
      <c r="A21324" t="str">
        <f t="shared" si="333"/>
        <v/>
      </c>
      <c r="E21324" s="626"/>
      <c r="F21324" s="626"/>
    </row>
    <row r="21325" spans="1:6">
      <c r="A21325" t="str">
        <f t="shared" si="333"/>
        <v/>
      </c>
      <c r="E21325" s="626"/>
      <c r="F21325" s="626"/>
    </row>
    <row r="21326" spans="1:6">
      <c r="A21326" t="str">
        <f t="shared" si="333"/>
        <v/>
      </c>
      <c r="E21326" s="626"/>
      <c r="F21326" s="626"/>
    </row>
    <row r="21327" spans="1:6">
      <c r="A21327" t="str">
        <f t="shared" si="333"/>
        <v/>
      </c>
      <c r="E21327" s="626"/>
      <c r="F21327" s="626"/>
    </row>
    <row r="21328" spans="1:6">
      <c r="A21328" t="str">
        <f t="shared" si="333"/>
        <v/>
      </c>
      <c r="E21328" s="626"/>
      <c r="F21328" s="626"/>
    </row>
    <row r="21329" spans="1:6">
      <c r="A21329" t="str">
        <f t="shared" si="333"/>
        <v/>
      </c>
      <c r="E21329" s="626"/>
      <c r="F21329" s="626"/>
    </row>
    <row r="21330" spans="1:6">
      <c r="A21330" t="str">
        <f t="shared" si="333"/>
        <v/>
      </c>
      <c r="E21330" s="626"/>
      <c r="F21330" s="626"/>
    </row>
    <row r="21331" spans="1:6">
      <c r="A21331" t="str">
        <f t="shared" si="333"/>
        <v/>
      </c>
      <c r="E21331" s="626"/>
      <c r="F21331" s="626"/>
    </row>
    <row r="21332" spans="1:6">
      <c r="A21332" t="str">
        <f t="shared" si="333"/>
        <v/>
      </c>
      <c r="E21332" s="626"/>
      <c r="F21332" s="626"/>
    </row>
    <row r="21333" spans="1:6">
      <c r="A21333" t="str">
        <f t="shared" si="333"/>
        <v/>
      </c>
      <c r="E21333" s="626"/>
      <c r="F21333" s="626"/>
    </row>
    <row r="21334" spans="1:6">
      <c r="A21334" t="str">
        <f t="shared" si="333"/>
        <v/>
      </c>
      <c r="E21334" s="626"/>
      <c r="F21334" s="626"/>
    </row>
    <row r="21335" spans="1:6">
      <c r="A21335" t="str">
        <f t="shared" si="333"/>
        <v/>
      </c>
      <c r="E21335" s="626"/>
      <c r="F21335" s="626"/>
    </row>
    <row r="21336" spans="1:6">
      <c r="A21336" t="str">
        <f t="shared" si="333"/>
        <v/>
      </c>
      <c r="E21336" s="626"/>
      <c r="F21336" s="626"/>
    </row>
    <row r="21337" spans="1:6">
      <c r="A21337" t="str">
        <f t="shared" si="333"/>
        <v/>
      </c>
      <c r="E21337" s="626"/>
      <c r="F21337" s="626"/>
    </row>
    <row r="21338" spans="1:6">
      <c r="A21338" t="str">
        <f t="shared" si="333"/>
        <v/>
      </c>
      <c r="E21338" s="626"/>
      <c r="F21338" s="626"/>
    </row>
    <row r="21339" spans="1:6">
      <c r="A21339" t="str">
        <f t="shared" si="333"/>
        <v/>
      </c>
      <c r="E21339" s="626"/>
      <c r="F21339" s="626"/>
    </row>
    <row r="21340" spans="1:6">
      <c r="A21340" t="str">
        <f t="shared" si="333"/>
        <v/>
      </c>
      <c r="E21340" s="626"/>
      <c r="F21340" s="626"/>
    </row>
    <row r="21341" spans="1:6">
      <c r="A21341" t="str">
        <f t="shared" si="333"/>
        <v/>
      </c>
      <c r="E21341" s="626"/>
      <c r="F21341" s="626"/>
    </row>
    <row r="21342" spans="1:6">
      <c r="A21342" t="str">
        <f t="shared" si="333"/>
        <v/>
      </c>
      <c r="E21342" s="626"/>
      <c r="F21342" s="626"/>
    </row>
    <row r="21343" spans="1:6">
      <c r="A21343" t="str">
        <f t="shared" si="333"/>
        <v/>
      </c>
      <c r="E21343" s="626"/>
      <c r="F21343" s="626"/>
    </row>
    <row r="21344" spans="1:6">
      <c r="A21344" t="str">
        <f t="shared" si="333"/>
        <v/>
      </c>
      <c r="E21344" s="626"/>
      <c r="F21344" s="626"/>
    </row>
    <row r="21345" spans="1:6">
      <c r="A21345" t="str">
        <f t="shared" si="333"/>
        <v/>
      </c>
      <c r="E21345" s="626"/>
      <c r="F21345" s="626"/>
    </row>
    <row r="21346" spans="1:6">
      <c r="A21346" t="str">
        <f t="shared" si="333"/>
        <v/>
      </c>
      <c r="E21346" s="626"/>
      <c r="F21346" s="626"/>
    </row>
    <row r="21347" spans="1:6">
      <c r="A21347" t="str">
        <f t="shared" si="333"/>
        <v/>
      </c>
      <c r="E21347" s="626"/>
      <c r="F21347" s="626"/>
    </row>
    <row r="21348" spans="1:6">
      <c r="A21348" t="str">
        <f t="shared" si="333"/>
        <v/>
      </c>
      <c r="E21348" s="626"/>
      <c r="F21348" s="626"/>
    </row>
    <row r="21349" spans="1:6">
      <c r="A21349" t="str">
        <f t="shared" si="333"/>
        <v/>
      </c>
      <c r="E21349" s="626"/>
      <c r="F21349" s="626"/>
    </row>
    <row r="21350" spans="1:6">
      <c r="A21350" t="str">
        <f t="shared" si="333"/>
        <v/>
      </c>
      <c r="E21350" s="626"/>
      <c r="F21350" s="626"/>
    </row>
    <row r="21351" spans="1:6">
      <c r="A21351" t="str">
        <f t="shared" si="333"/>
        <v/>
      </c>
      <c r="E21351" s="626"/>
      <c r="F21351" s="626"/>
    </row>
    <row r="21352" spans="1:6">
      <c r="A21352" t="str">
        <f t="shared" si="333"/>
        <v/>
      </c>
      <c r="E21352" s="626"/>
      <c r="F21352" s="626"/>
    </row>
    <row r="21353" spans="1:6">
      <c r="A21353" t="str">
        <f t="shared" si="333"/>
        <v/>
      </c>
      <c r="E21353" s="626"/>
      <c r="F21353" s="626"/>
    </row>
    <row r="21354" spans="1:6">
      <c r="A21354" t="str">
        <f t="shared" si="333"/>
        <v/>
      </c>
      <c r="E21354" s="626"/>
      <c r="F21354" s="626"/>
    </row>
    <row r="21355" spans="1:6">
      <c r="A21355" t="str">
        <f t="shared" si="333"/>
        <v/>
      </c>
      <c r="E21355" s="626"/>
      <c r="F21355" s="626"/>
    </row>
    <row r="21356" spans="1:6">
      <c r="A21356" t="str">
        <f t="shared" si="333"/>
        <v/>
      </c>
      <c r="E21356" s="626"/>
      <c r="F21356" s="626"/>
    </row>
    <row r="21357" spans="1:6">
      <c r="A21357" t="str">
        <f t="shared" si="333"/>
        <v/>
      </c>
      <c r="E21357" s="626"/>
      <c r="F21357" s="626"/>
    </row>
    <row r="21358" spans="1:6">
      <c r="A21358" t="str">
        <f t="shared" si="333"/>
        <v/>
      </c>
      <c r="E21358" s="626"/>
      <c r="F21358" s="626"/>
    </row>
    <row r="21359" spans="1:6">
      <c r="A21359" t="str">
        <f t="shared" si="333"/>
        <v/>
      </c>
      <c r="E21359" s="626"/>
      <c r="F21359" s="626"/>
    </row>
    <row r="21360" spans="1:6">
      <c r="A21360" t="str">
        <f t="shared" si="333"/>
        <v/>
      </c>
      <c r="E21360" s="626"/>
      <c r="F21360" s="626"/>
    </row>
    <row r="21361" spans="1:6">
      <c r="A21361" t="str">
        <f t="shared" si="333"/>
        <v/>
      </c>
      <c r="E21361" s="626"/>
      <c r="F21361" s="626"/>
    </row>
    <row r="21362" spans="1:6">
      <c r="A21362" t="str">
        <f t="shared" si="333"/>
        <v/>
      </c>
      <c r="E21362" s="626"/>
      <c r="F21362" s="626"/>
    </row>
    <row r="21363" spans="1:6">
      <c r="A21363" t="str">
        <f t="shared" si="333"/>
        <v/>
      </c>
      <c r="E21363" s="626"/>
      <c r="F21363" s="626"/>
    </row>
    <row r="21364" spans="1:6">
      <c r="A21364" t="str">
        <f t="shared" si="333"/>
        <v/>
      </c>
      <c r="E21364" s="626"/>
      <c r="F21364" s="626"/>
    </row>
    <row r="21365" spans="1:6">
      <c r="A21365" t="str">
        <f t="shared" si="333"/>
        <v/>
      </c>
      <c r="E21365" s="626"/>
      <c r="F21365" s="626"/>
    </row>
    <row r="21366" spans="1:6">
      <c r="A21366" t="str">
        <f t="shared" si="333"/>
        <v/>
      </c>
      <c r="E21366" s="626"/>
      <c r="F21366" s="626"/>
    </row>
    <row r="21367" spans="1:6">
      <c r="A21367" t="str">
        <f t="shared" si="333"/>
        <v/>
      </c>
      <c r="E21367" s="626"/>
      <c r="F21367" s="626"/>
    </row>
    <row r="21368" spans="1:6">
      <c r="A21368" t="str">
        <f t="shared" si="333"/>
        <v/>
      </c>
      <c r="E21368" s="626"/>
      <c r="F21368" s="626"/>
    </row>
    <row r="21369" spans="1:6">
      <c r="A21369" t="str">
        <f t="shared" si="333"/>
        <v/>
      </c>
      <c r="E21369" s="626"/>
      <c r="F21369" s="626"/>
    </row>
    <row r="21370" spans="1:6">
      <c r="A21370" t="str">
        <f t="shared" si="333"/>
        <v/>
      </c>
      <c r="E21370" s="626"/>
      <c r="F21370" s="626"/>
    </row>
    <row r="21371" spans="1:6">
      <c r="A21371" t="str">
        <f t="shared" si="333"/>
        <v/>
      </c>
      <c r="E21371" s="626"/>
      <c r="F21371" s="626"/>
    </row>
    <row r="21372" spans="1:6">
      <c r="A21372" t="str">
        <f t="shared" si="333"/>
        <v/>
      </c>
      <c r="E21372" s="626"/>
      <c r="F21372" s="626"/>
    </row>
    <row r="21373" spans="1:6">
      <c r="A21373" t="str">
        <f t="shared" si="333"/>
        <v/>
      </c>
      <c r="E21373" s="626"/>
      <c r="F21373" s="626"/>
    </row>
    <row r="21374" spans="1:6">
      <c r="A21374" t="str">
        <f t="shared" si="333"/>
        <v/>
      </c>
      <c r="E21374" s="626"/>
      <c r="F21374" s="626"/>
    </row>
    <row r="21375" spans="1:6">
      <c r="A21375" t="str">
        <f t="shared" si="333"/>
        <v/>
      </c>
      <c r="E21375" s="626"/>
      <c r="F21375" s="626"/>
    </row>
    <row r="21376" spans="1:6">
      <c r="A21376" t="str">
        <f t="shared" si="333"/>
        <v/>
      </c>
      <c r="E21376" s="626"/>
      <c r="F21376" s="626"/>
    </row>
    <row r="21377" spans="1:6">
      <c r="A21377" t="str">
        <f t="shared" si="333"/>
        <v/>
      </c>
      <c r="E21377" s="626"/>
      <c r="F21377" s="626"/>
    </row>
    <row r="21378" spans="1:6">
      <c r="A21378" t="str">
        <f t="shared" ref="A21378:A21441" si="334">B21378&amp;E21378&amp;J21378</f>
        <v/>
      </c>
      <c r="E21378" s="626"/>
      <c r="F21378" s="626"/>
    </row>
    <row r="21379" spans="1:6">
      <c r="A21379" t="str">
        <f t="shared" si="334"/>
        <v/>
      </c>
      <c r="E21379" s="626"/>
      <c r="F21379" s="626"/>
    </row>
    <row r="21380" spans="1:6">
      <c r="A21380" t="str">
        <f t="shared" si="334"/>
        <v/>
      </c>
      <c r="E21380" s="626"/>
      <c r="F21380" s="626"/>
    </row>
    <row r="21381" spans="1:6">
      <c r="A21381" t="str">
        <f t="shared" si="334"/>
        <v/>
      </c>
      <c r="E21381" s="626"/>
      <c r="F21381" s="626"/>
    </row>
    <row r="21382" spans="1:6">
      <c r="A21382" t="str">
        <f t="shared" si="334"/>
        <v/>
      </c>
      <c r="E21382" s="626"/>
      <c r="F21382" s="626"/>
    </row>
    <row r="21383" spans="1:6">
      <c r="A21383" t="str">
        <f t="shared" si="334"/>
        <v/>
      </c>
      <c r="E21383" s="626"/>
      <c r="F21383" s="626"/>
    </row>
    <row r="21384" spans="1:6">
      <c r="A21384" t="str">
        <f t="shared" si="334"/>
        <v/>
      </c>
      <c r="E21384" s="626"/>
      <c r="F21384" s="626"/>
    </row>
    <row r="21385" spans="1:6">
      <c r="A21385" t="str">
        <f t="shared" si="334"/>
        <v/>
      </c>
      <c r="E21385" s="626"/>
      <c r="F21385" s="626"/>
    </row>
    <row r="21386" spans="1:6">
      <c r="A21386" t="str">
        <f t="shared" si="334"/>
        <v/>
      </c>
      <c r="E21386" s="626"/>
      <c r="F21386" s="626"/>
    </row>
    <row r="21387" spans="1:6">
      <c r="A21387" t="str">
        <f t="shared" si="334"/>
        <v/>
      </c>
      <c r="E21387" s="626"/>
      <c r="F21387" s="626"/>
    </row>
    <row r="21388" spans="1:6">
      <c r="A21388" t="str">
        <f t="shared" si="334"/>
        <v/>
      </c>
      <c r="E21388" s="626"/>
      <c r="F21388" s="626"/>
    </row>
    <row r="21389" spans="1:6">
      <c r="A21389" t="str">
        <f t="shared" si="334"/>
        <v/>
      </c>
      <c r="E21389" s="626"/>
      <c r="F21389" s="626"/>
    </row>
    <row r="21390" spans="1:6">
      <c r="A21390" t="str">
        <f t="shared" si="334"/>
        <v/>
      </c>
      <c r="E21390" s="626"/>
      <c r="F21390" s="626"/>
    </row>
    <row r="21391" spans="1:6">
      <c r="A21391" t="str">
        <f t="shared" si="334"/>
        <v/>
      </c>
      <c r="E21391" s="626"/>
      <c r="F21391" s="626"/>
    </row>
    <row r="21392" spans="1:6">
      <c r="A21392" t="str">
        <f t="shared" si="334"/>
        <v/>
      </c>
      <c r="E21392" s="626"/>
      <c r="F21392" s="626"/>
    </row>
    <row r="21393" spans="1:6">
      <c r="A21393" t="str">
        <f t="shared" si="334"/>
        <v/>
      </c>
      <c r="E21393" s="626"/>
      <c r="F21393" s="626"/>
    </row>
    <row r="21394" spans="1:6">
      <c r="A21394" t="str">
        <f t="shared" si="334"/>
        <v/>
      </c>
      <c r="E21394" s="626"/>
      <c r="F21394" s="626"/>
    </row>
    <row r="21395" spans="1:6">
      <c r="A21395" t="str">
        <f t="shared" si="334"/>
        <v/>
      </c>
      <c r="E21395" s="626"/>
      <c r="F21395" s="626"/>
    </row>
    <row r="21396" spans="1:6">
      <c r="A21396" t="str">
        <f t="shared" si="334"/>
        <v/>
      </c>
      <c r="E21396" s="626"/>
      <c r="F21396" s="626"/>
    </row>
    <row r="21397" spans="1:6">
      <c r="A21397" t="str">
        <f t="shared" si="334"/>
        <v/>
      </c>
      <c r="E21397" s="626"/>
      <c r="F21397" s="626"/>
    </row>
    <row r="21398" spans="1:6">
      <c r="A21398" t="str">
        <f t="shared" si="334"/>
        <v/>
      </c>
      <c r="E21398" s="626"/>
      <c r="F21398" s="626"/>
    </row>
    <row r="21399" spans="1:6">
      <c r="A21399" t="str">
        <f t="shared" si="334"/>
        <v/>
      </c>
      <c r="E21399" s="626"/>
      <c r="F21399" s="626"/>
    </row>
    <row r="21400" spans="1:6">
      <c r="A21400" t="str">
        <f t="shared" si="334"/>
        <v/>
      </c>
      <c r="E21400" s="626"/>
      <c r="F21400" s="626"/>
    </row>
    <row r="21401" spans="1:6">
      <c r="A21401" t="str">
        <f t="shared" si="334"/>
        <v/>
      </c>
      <c r="E21401" s="626"/>
      <c r="F21401" s="626"/>
    </row>
    <row r="21402" spans="1:6">
      <c r="A21402" t="str">
        <f t="shared" si="334"/>
        <v/>
      </c>
      <c r="E21402" s="626"/>
      <c r="F21402" s="626"/>
    </row>
    <row r="21403" spans="1:6">
      <c r="A21403" t="str">
        <f t="shared" si="334"/>
        <v/>
      </c>
      <c r="E21403" s="626"/>
      <c r="F21403" s="626"/>
    </row>
    <row r="21404" spans="1:6">
      <c r="A21404" t="str">
        <f t="shared" si="334"/>
        <v/>
      </c>
      <c r="E21404" s="626"/>
      <c r="F21404" s="626"/>
    </row>
    <row r="21405" spans="1:6">
      <c r="A21405" t="str">
        <f t="shared" si="334"/>
        <v/>
      </c>
      <c r="E21405" s="626"/>
      <c r="F21405" s="626"/>
    </row>
    <row r="21406" spans="1:6">
      <c r="A21406" t="str">
        <f t="shared" si="334"/>
        <v/>
      </c>
      <c r="E21406" s="626"/>
      <c r="F21406" s="626"/>
    </row>
    <row r="21407" spans="1:6">
      <c r="A21407" t="str">
        <f t="shared" si="334"/>
        <v/>
      </c>
      <c r="E21407" s="626"/>
      <c r="F21407" s="626"/>
    </row>
    <row r="21408" spans="1:6">
      <c r="A21408" t="str">
        <f t="shared" si="334"/>
        <v/>
      </c>
      <c r="E21408" s="626"/>
      <c r="F21408" s="626"/>
    </row>
    <row r="21409" spans="1:6">
      <c r="A21409" t="str">
        <f t="shared" si="334"/>
        <v/>
      </c>
      <c r="E21409" s="626"/>
      <c r="F21409" s="626"/>
    </row>
    <row r="21410" spans="1:6">
      <c r="A21410" t="str">
        <f t="shared" si="334"/>
        <v/>
      </c>
      <c r="E21410" s="626"/>
      <c r="F21410" s="626"/>
    </row>
    <row r="21411" spans="1:6">
      <c r="A21411" t="str">
        <f t="shared" si="334"/>
        <v/>
      </c>
      <c r="E21411" s="626"/>
      <c r="F21411" s="626"/>
    </row>
    <row r="21412" spans="1:6">
      <c r="A21412" t="str">
        <f t="shared" si="334"/>
        <v/>
      </c>
      <c r="E21412" s="626"/>
      <c r="F21412" s="626"/>
    </row>
    <row r="21413" spans="1:6">
      <c r="A21413" t="str">
        <f t="shared" si="334"/>
        <v/>
      </c>
      <c r="E21413" s="626"/>
      <c r="F21413" s="626"/>
    </row>
    <row r="21414" spans="1:6">
      <c r="A21414" t="str">
        <f t="shared" si="334"/>
        <v/>
      </c>
      <c r="E21414" s="626"/>
      <c r="F21414" s="626"/>
    </row>
    <row r="21415" spans="1:6">
      <c r="A21415" t="str">
        <f t="shared" si="334"/>
        <v/>
      </c>
      <c r="E21415" s="626"/>
      <c r="F21415" s="626"/>
    </row>
    <row r="21416" spans="1:6">
      <c r="A21416" t="str">
        <f t="shared" si="334"/>
        <v/>
      </c>
      <c r="E21416" s="626"/>
      <c r="F21416" s="626"/>
    </row>
    <row r="21417" spans="1:6">
      <c r="A21417" t="str">
        <f t="shared" si="334"/>
        <v/>
      </c>
      <c r="E21417" s="626"/>
      <c r="F21417" s="626"/>
    </row>
    <row r="21418" spans="1:6">
      <c r="A21418" t="str">
        <f t="shared" si="334"/>
        <v/>
      </c>
      <c r="E21418" s="626"/>
      <c r="F21418" s="626"/>
    </row>
    <row r="21419" spans="1:6">
      <c r="A21419" t="str">
        <f t="shared" si="334"/>
        <v/>
      </c>
      <c r="E21419" s="626"/>
      <c r="F21419" s="626"/>
    </row>
    <row r="21420" spans="1:6">
      <c r="A21420" t="str">
        <f t="shared" si="334"/>
        <v/>
      </c>
      <c r="E21420" s="626"/>
      <c r="F21420" s="626"/>
    </row>
    <row r="21421" spans="1:6">
      <c r="A21421" t="str">
        <f t="shared" si="334"/>
        <v/>
      </c>
      <c r="E21421" s="626"/>
      <c r="F21421" s="626"/>
    </row>
    <row r="21422" spans="1:6">
      <c r="A21422" t="str">
        <f t="shared" si="334"/>
        <v/>
      </c>
      <c r="E21422" s="626"/>
      <c r="F21422" s="626"/>
    </row>
    <row r="21423" spans="1:6">
      <c r="A21423" t="str">
        <f t="shared" si="334"/>
        <v/>
      </c>
      <c r="E21423" s="626"/>
      <c r="F21423" s="626"/>
    </row>
    <row r="21424" spans="1:6">
      <c r="A21424" t="str">
        <f t="shared" si="334"/>
        <v/>
      </c>
      <c r="E21424" s="626"/>
      <c r="F21424" s="626"/>
    </row>
    <row r="21425" spans="1:6">
      <c r="A21425" t="str">
        <f t="shared" si="334"/>
        <v/>
      </c>
      <c r="E21425" s="626"/>
      <c r="F21425" s="626"/>
    </row>
    <row r="21426" spans="1:6">
      <c r="A21426" t="str">
        <f t="shared" si="334"/>
        <v/>
      </c>
      <c r="E21426" s="626"/>
      <c r="F21426" s="626"/>
    </row>
    <row r="21427" spans="1:6">
      <c r="A21427" t="str">
        <f t="shared" si="334"/>
        <v/>
      </c>
      <c r="E21427" s="626"/>
      <c r="F21427" s="626"/>
    </row>
    <row r="21428" spans="1:6">
      <c r="A21428" t="str">
        <f t="shared" si="334"/>
        <v/>
      </c>
      <c r="E21428" s="626"/>
      <c r="F21428" s="626"/>
    </row>
    <row r="21429" spans="1:6">
      <c r="A21429" t="str">
        <f t="shared" si="334"/>
        <v/>
      </c>
      <c r="E21429" s="626"/>
      <c r="F21429" s="626"/>
    </row>
    <row r="21430" spans="1:6">
      <c r="A21430" t="str">
        <f t="shared" si="334"/>
        <v/>
      </c>
      <c r="E21430" s="626"/>
      <c r="F21430" s="626"/>
    </row>
    <row r="21431" spans="1:6">
      <c r="A21431" t="str">
        <f t="shared" si="334"/>
        <v/>
      </c>
      <c r="E21431" s="626"/>
      <c r="F21431" s="626"/>
    </row>
    <row r="21432" spans="1:6">
      <c r="A21432" t="str">
        <f t="shared" si="334"/>
        <v/>
      </c>
      <c r="E21432" s="626"/>
      <c r="F21432" s="626"/>
    </row>
    <row r="21433" spans="1:6">
      <c r="A21433" t="str">
        <f t="shared" si="334"/>
        <v/>
      </c>
      <c r="E21433" s="626"/>
      <c r="F21433" s="626"/>
    </row>
    <row r="21434" spans="1:6">
      <c r="A21434" t="str">
        <f t="shared" si="334"/>
        <v/>
      </c>
      <c r="E21434" s="626"/>
      <c r="F21434" s="626"/>
    </row>
    <row r="21435" spans="1:6">
      <c r="A21435" t="str">
        <f t="shared" si="334"/>
        <v/>
      </c>
      <c r="E21435" s="626"/>
      <c r="F21435" s="626"/>
    </row>
    <row r="21436" spans="1:6">
      <c r="A21436" t="str">
        <f t="shared" si="334"/>
        <v/>
      </c>
      <c r="E21436" s="626"/>
      <c r="F21436" s="626"/>
    </row>
    <row r="21437" spans="1:6">
      <c r="A21437" t="str">
        <f t="shared" si="334"/>
        <v/>
      </c>
      <c r="E21437" s="626"/>
      <c r="F21437" s="626"/>
    </row>
    <row r="21438" spans="1:6">
      <c r="A21438" t="str">
        <f t="shared" si="334"/>
        <v/>
      </c>
      <c r="E21438" s="626"/>
      <c r="F21438" s="626"/>
    </row>
    <row r="21439" spans="1:6">
      <c r="A21439" t="str">
        <f t="shared" si="334"/>
        <v/>
      </c>
      <c r="E21439" s="626"/>
      <c r="F21439" s="626"/>
    </row>
    <row r="21440" spans="1:6">
      <c r="A21440" t="str">
        <f t="shared" si="334"/>
        <v/>
      </c>
      <c r="E21440" s="626"/>
      <c r="F21440" s="626"/>
    </row>
    <row r="21441" spans="1:6">
      <c r="A21441" t="str">
        <f t="shared" si="334"/>
        <v/>
      </c>
      <c r="E21441" s="626"/>
      <c r="F21441" s="626"/>
    </row>
    <row r="21442" spans="1:6">
      <c r="A21442" t="str">
        <f t="shared" ref="A21442:A21505" si="335">B21442&amp;E21442&amp;J21442</f>
        <v/>
      </c>
      <c r="E21442" s="626"/>
      <c r="F21442" s="626"/>
    </row>
    <row r="21443" spans="1:6">
      <c r="A21443" t="str">
        <f t="shared" si="335"/>
        <v/>
      </c>
      <c r="E21443" s="626"/>
      <c r="F21443" s="626"/>
    </row>
    <row r="21444" spans="1:6">
      <c r="A21444" t="str">
        <f t="shared" si="335"/>
        <v/>
      </c>
      <c r="E21444" s="626"/>
      <c r="F21444" s="626"/>
    </row>
    <row r="21445" spans="1:6">
      <c r="A21445" t="str">
        <f t="shared" si="335"/>
        <v/>
      </c>
      <c r="E21445" s="626"/>
      <c r="F21445" s="626"/>
    </row>
    <row r="21446" spans="1:6">
      <c r="A21446" t="str">
        <f t="shared" si="335"/>
        <v/>
      </c>
      <c r="E21446" s="626"/>
      <c r="F21446" s="626"/>
    </row>
    <row r="21447" spans="1:6">
      <c r="A21447" t="str">
        <f t="shared" si="335"/>
        <v/>
      </c>
      <c r="E21447" s="626"/>
      <c r="F21447" s="626"/>
    </row>
    <row r="21448" spans="1:6">
      <c r="A21448" t="str">
        <f t="shared" si="335"/>
        <v/>
      </c>
      <c r="E21448" s="626"/>
      <c r="F21448" s="626"/>
    </row>
    <row r="21449" spans="1:6">
      <c r="A21449" t="str">
        <f t="shared" si="335"/>
        <v/>
      </c>
      <c r="E21449" s="626"/>
      <c r="F21449" s="626"/>
    </row>
    <row r="21450" spans="1:6">
      <c r="A21450" t="str">
        <f t="shared" si="335"/>
        <v/>
      </c>
      <c r="E21450" s="626"/>
      <c r="F21450" s="626"/>
    </row>
    <row r="21451" spans="1:6">
      <c r="A21451" t="str">
        <f t="shared" si="335"/>
        <v/>
      </c>
      <c r="E21451" s="626"/>
      <c r="F21451" s="626"/>
    </row>
    <row r="21452" spans="1:6">
      <c r="A21452" t="str">
        <f t="shared" si="335"/>
        <v/>
      </c>
      <c r="E21452" s="626"/>
      <c r="F21452" s="626"/>
    </row>
    <row r="21453" spans="1:6">
      <c r="A21453" t="str">
        <f t="shared" si="335"/>
        <v/>
      </c>
      <c r="E21453" s="626"/>
      <c r="F21453" s="626"/>
    </row>
    <row r="21454" spans="1:6">
      <c r="A21454" t="str">
        <f t="shared" si="335"/>
        <v/>
      </c>
      <c r="E21454" s="626"/>
      <c r="F21454" s="626"/>
    </row>
    <row r="21455" spans="1:6">
      <c r="A21455" t="str">
        <f t="shared" si="335"/>
        <v/>
      </c>
      <c r="E21455" s="626"/>
      <c r="F21455" s="626"/>
    </row>
    <row r="21456" spans="1:6">
      <c r="A21456" t="str">
        <f t="shared" si="335"/>
        <v/>
      </c>
      <c r="E21456" s="626"/>
      <c r="F21456" s="626"/>
    </row>
    <row r="21457" spans="1:6">
      <c r="A21457" t="str">
        <f t="shared" si="335"/>
        <v/>
      </c>
      <c r="E21457" s="626"/>
      <c r="F21457" s="626"/>
    </row>
    <row r="21458" spans="1:6">
      <c r="A21458" t="str">
        <f t="shared" si="335"/>
        <v/>
      </c>
      <c r="E21458" s="626"/>
      <c r="F21458" s="626"/>
    </row>
    <row r="21459" spans="1:6">
      <c r="A21459" t="str">
        <f t="shared" si="335"/>
        <v/>
      </c>
      <c r="E21459" s="626"/>
      <c r="F21459" s="626"/>
    </row>
    <row r="21460" spans="1:6">
      <c r="A21460" t="str">
        <f t="shared" si="335"/>
        <v/>
      </c>
      <c r="E21460" s="626"/>
      <c r="F21460" s="626"/>
    </row>
    <row r="21461" spans="1:6">
      <c r="A21461" t="str">
        <f t="shared" si="335"/>
        <v/>
      </c>
      <c r="E21461" s="626"/>
      <c r="F21461" s="626"/>
    </row>
    <row r="21462" spans="1:6">
      <c r="A21462" t="str">
        <f t="shared" si="335"/>
        <v/>
      </c>
      <c r="E21462" s="626"/>
      <c r="F21462" s="626"/>
    </row>
    <row r="21463" spans="1:6">
      <c r="A21463" t="str">
        <f t="shared" si="335"/>
        <v/>
      </c>
      <c r="E21463" s="626"/>
      <c r="F21463" s="626"/>
    </row>
    <row r="21464" spans="1:6">
      <c r="A21464" t="str">
        <f t="shared" si="335"/>
        <v/>
      </c>
      <c r="E21464" s="626"/>
      <c r="F21464" s="626"/>
    </row>
    <row r="21465" spans="1:6">
      <c r="A21465" t="str">
        <f t="shared" si="335"/>
        <v/>
      </c>
      <c r="E21465" s="626"/>
      <c r="F21465" s="626"/>
    </row>
    <row r="21466" spans="1:6">
      <c r="A21466" t="str">
        <f t="shared" si="335"/>
        <v/>
      </c>
      <c r="E21466" s="626"/>
      <c r="F21466" s="626"/>
    </row>
    <row r="21467" spans="1:6">
      <c r="A21467" t="str">
        <f t="shared" si="335"/>
        <v/>
      </c>
      <c r="E21467" s="626"/>
      <c r="F21467" s="626"/>
    </row>
    <row r="21468" spans="1:6">
      <c r="A21468" t="str">
        <f t="shared" si="335"/>
        <v/>
      </c>
      <c r="E21468" s="626"/>
      <c r="F21468" s="626"/>
    </row>
    <row r="21469" spans="1:6">
      <c r="A21469" t="str">
        <f t="shared" si="335"/>
        <v/>
      </c>
      <c r="E21469" s="626"/>
      <c r="F21469" s="626"/>
    </row>
    <row r="21470" spans="1:6">
      <c r="A21470" t="str">
        <f t="shared" si="335"/>
        <v/>
      </c>
      <c r="E21470" s="626"/>
      <c r="F21470" s="626"/>
    </row>
    <row r="21471" spans="1:6">
      <c r="A21471" t="str">
        <f t="shared" si="335"/>
        <v/>
      </c>
      <c r="E21471" s="626"/>
      <c r="F21471" s="626"/>
    </row>
    <row r="21472" spans="1:6">
      <c r="A21472" t="str">
        <f t="shared" si="335"/>
        <v/>
      </c>
      <c r="E21472" s="626"/>
      <c r="F21472" s="626"/>
    </row>
    <row r="21473" spans="1:6">
      <c r="A21473" t="str">
        <f t="shared" si="335"/>
        <v/>
      </c>
      <c r="E21473" s="626"/>
      <c r="F21473" s="626"/>
    </row>
    <row r="21474" spans="1:6">
      <c r="A21474" t="str">
        <f t="shared" si="335"/>
        <v/>
      </c>
      <c r="E21474" s="626"/>
      <c r="F21474" s="626"/>
    </row>
    <row r="21475" spans="1:6">
      <c r="A21475" t="str">
        <f t="shared" si="335"/>
        <v/>
      </c>
      <c r="E21475" s="626"/>
      <c r="F21475" s="626"/>
    </row>
    <row r="21476" spans="1:6">
      <c r="A21476" t="str">
        <f t="shared" si="335"/>
        <v/>
      </c>
      <c r="E21476" s="626"/>
      <c r="F21476" s="626"/>
    </row>
    <row r="21477" spans="1:6">
      <c r="A21477" t="str">
        <f t="shared" si="335"/>
        <v/>
      </c>
      <c r="E21477" s="626"/>
      <c r="F21477" s="626"/>
    </row>
    <row r="21478" spans="1:6">
      <c r="A21478" t="str">
        <f t="shared" si="335"/>
        <v/>
      </c>
      <c r="E21478" s="626"/>
      <c r="F21478" s="626"/>
    </row>
    <row r="21479" spans="1:6">
      <c r="A21479" t="str">
        <f t="shared" si="335"/>
        <v/>
      </c>
      <c r="E21479" s="626"/>
      <c r="F21479" s="626"/>
    </row>
    <row r="21480" spans="1:6">
      <c r="A21480" t="str">
        <f t="shared" si="335"/>
        <v/>
      </c>
      <c r="E21480" s="626"/>
      <c r="F21480" s="626"/>
    </row>
    <row r="21481" spans="1:6">
      <c r="A21481" t="str">
        <f t="shared" si="335"/>
        <v/>
      </c>
      <c r="E21481" s="626"/>
      <c r="F21481" s="626"/>
    </row>
    <row r="21482" spans="1:6">
      <c r="A21482" t="str">
        <f t="shared" si="335"/>
        <v/>
      </c>
      <c r="E21482" s="626"/>
      <c r="F21482" s="626"/>
    </row>
    <row r="21483" spans="1:6">
      <c r="A21483" t="str">
        <f t="shared" si="335"/>
        <v/>
      </c>
      <c r="E21483" s="626"/>
      <c r="F21483" s="626"/>
    </row>
    <row r="21484" spans="1:6">
      <c r="A21484" t="str">
        <f t="shared" si="335"/>
        <v/>
      </c>
      <c r="E21484" s="626"/>
      <c r="F21484" s="626"/>
    </row>
    <row r="21485" spans="1:6">
      <c r="A21485" t="str">
        <f t="shared" si="335"/>
        <v/>
      </c>
      <c r="E21485" s="626"/>
      <c r="F21485" s="626"/>
    </row>
    <row r="21486" spans="1:6">
      <c r="A21486" t="str">
        <f t="shared" si="335"/>
        <v/>
      </c>
      <c r="E21486" s="626"/>
      <c r="F21486" s="626"/>
    </row>
    <row r="21487" spans="1:6">
      <c r="A21487" t="str">
        <f t="shared" si="335"/>
        <v/>
      </c>
      <c r="E21487" s="626"/>
      <c r="F21487" s="626"/>
    </row>
    <row r="21488" spans="1:6">
      <c r="A21488" t="str">
        <f t="shared" si="335"/>
        <v/>
      </c>
      <c r="E21488" s="626"/>
      <c r="F21488" s="626"/>
    </row>
    <row r="21489" spans="1:6">
      <c r="A21489" t="str">
        <f t="shared" si="335"/>
        <v/>
      </c>
      <c r="E21489" s="626"/>
      <c r="F21489" s="626"/>
    </row>
    <row r="21490" spans="1:6">
      <c r="A21490" t="str">
        <f t="shared" si="335"/>
        <v/>
      </c>
      <c r="E21490" s="626"/>
      <c r="F21490" s="626"/>
    </row>
    <row r="21491" spans="1:6">
      <c r="A21491" t="str">
        <f t="shared" si="335"/>
        <v/>
      </c>
      <c r="E21491" s="626"/>
      <c r="F21491" s="626"/>
    </row>
    <row r="21492" spans="1:6">
      <c r="A21492" t="str">
        <f t="shared" si="335"/>
        <v/>
      </c>
      <c r="E21492" s="626"/>
      <c r="F21492" s="626"/>
    </row>
    <row r="21493" spans="1:6">
      <c r="A21493" t="str">
        <f t="shared" si="335"/>
        <v/>
      </c>
      <c r="E21493" s="626"/>
      <c r="F21493" s="626"/>
    </row>
    <row r="21494" spans="1:6">
      <c r="A21494" t="str">
        <f t="shared" si="335"/>
        <v/>
      </c>
      <c r="E21494" s="626"/>
      <c r="F21494" s="626"/>
    </row>
    <row r="21495" spans="1:6">
      <c r="A21495" t="str">
        <f t="shared" si="335"/>
        <v/>
      </c>
      <c r="E21495" s="626"/>
      <c r="F21495" s="626"/>
    </row>
    <row r="21496" spans="1:6">
      <c r="A21496" t="str">
        <f t="shared" si="335"/>
        <v/>
      </c>
      <c r="E21496" s="626"/>
      <c r="F21496" s="626"/>
    </row>
    <row r="21497" spans="1:6">
      <c r="A21497" t="str">
        <f t="shared" si="335"/>
        <v/>
      </c>
      <c r="E21497" s="626"/>
      <c r="F21497" s="626"/>
    </row>
    <row r="21498" spans="1:6">
      <c r="A21498" t="str">
        <f t="shared" si="335"/>
        <v/>
      </c>
      <c r="E21498" s="626"/>
      <c r="F21498" s="626"/>
    </row>
    <row r="21499" spans="1:6">
      <c r="A21499" t="str">
        <f t="shared" si="335"/>
        <v/>
      </c>
      <c r="E21499" s="626"/>
      <c r="F21499" s="626"/>
    </row>
    <row r="21500" spans="1:6">
      <c r="A21500" t="str">
        <f t="shared" si="335"/>
        <v/>
      </c>
      <c r="E21500" s="626"/>
      <c r="F21500" s="626"/>
    </row>
    <row r="21501" spans="1:6">
      <c r="A21501" t="str">
        <f t="shared" si="335"/>
        <v/>
      </c>
      <c r="E21501" s="626"/>
      <c r="F21501" s="626"/>
    </row>
    <row r="21502" spans="1:6">
      <c r="A21502" t="str">
        <f t="shared" si="335"/>
        <v/>
      </c>
      <c r="E21502" s="626"/>
      <c r="F21502" s="626"/>
    </row>
    <row r="21503" spans="1:6">
      <c r="A21503" t="str">
        <f t="shared" si="335"/>
        <v/>
      </c>
      <c r="E21503" s="626"/>
      <c r="F21503" s="626"/>
    </row>
    <row r="21504" spans="1:6">
      <c r="A21504" t="str">
        <f t="shared" si="335"/>
        <v/>
      </c>
      <c r="E21504" s="626"/>
      <c r="F21504" s="626"/>
    </row>
    <row r="21505" spans="1:6">
      <c r="A21505" t="str">
        <f t="shared" si="335"/>
        <v/>
      </c>
      <c r="E21505" s="626"/>
      <c r="F21505" s="626"/>
    </row>
    <row r="21506" spans="1:6">
      <c r="A21506" t="str">
        <f t="shared" ref="A21506:A21569" si="336">B21506&amp;E21506&amp;J21506</f>
        <v/>
      </c>
      <c r="E21506" s="626"/>
      <c r="F21506" s="626"/>
    </row>
    <row r="21507" spans="1:6">
      <c r="A21507" t="str">
        <f t="shared" si="336"/>
        <v/>
      </c>
      <c r="E21507" s="626"/>
      <c r="F21507" s="626"/>
    </row>
    <row r="21508" spans="1:6">
      <c r="A21508" t="str">
        <f t="shared" si="336"/>
        <v/>
      </c>
      <c r="E21508" s="626"/>
      <c r="F21508" s="626"/>
    </row>
    <row r="21509" spans="1:6">
      <c r="A21509" t="str">
        <f t="shared" si="336"/>
        <v/>
      </c>
      <c r="E21509" s="626"/>
      <c r="F21509" s="626"/>
    </row>
    <row r="21510" spans="1:6">
      <c r="A21510" t="str">
        <f t="shared" si="336"/>
        <v/>
      </c>
      <c r="E21510" s="626"/>
      <c r="F21510" s="626"/>
    </row>
    <row r="21511" spans="1:6">
      <c r="A21511" t="str">
        <f t="shared" si="336"/>
        <v/>
      </c>
      <c r="E21511" s="626"/>
      <c r="F21511" s="626"/>
    </row>
    <row r="21512" spans="1:6">
      <c r="A21512" t="str">
        <f t="shared" si="336"/>
        <v/>
      </c>
      <c r="E21512" s="626"/>
      <c r="F21512" s="626"/>
    </row>
    <row r="21513" spans="1:6">
      <c r="A21513" t="str">
        <f t="shared" si="336"/>
        <v/>
      </c>
      <c r="E21513" s="626"/>
      <c r="F21513" s="626"/>
    </row>
    <row r="21514" spans="1:6">
      <c r="A21514" t="str">
        <f t="shared" si="336"/>
        <v/>
      </c>
      <c r="E21514" s="626"/>
      <c r="F21514" s="626"/>
    </row>
    <row r="21515" spans="1:6">
      <c r="A21515" t="str">
        <f t="shared" si="336"/>
        <v/>
      </c>
      <c r="E21515" s="626"/>
      <c r="F21515" s="626"/>
    </row>
    <row r="21516" spans="1:6">
      <c r="A21516" t="str">
        <f t="shared" si="336"/>
        <v/>
      </c>
      <c r="E21516" s="626"/>
      <c r="F21516" s="626"/>
    </row>
    <row r="21517" spans="1:6">
      <c r="A21517" t="str">
        <f t="shared" si="336"/>
        <v/>
      </c>
      <c r="E21517" s="626"/>
      <c r="F21517" s="626"/>
    </row>
    <row r="21518" spans="1:6">
      <c r="A21518" t="str">
        <f t="shared" si="336"/>
        <v/>
      </c>
      <c r="E21518" s="626"/>
      <c r="F21518" s="626"/>
    </row>
    <row r="21519" spans="1:6">
      <c r="A21519" t="str">
        <f t="shared" si="336"/>
        <v/>
      </c>
      <c r="E21519" s="626"/>
      <c r="F21519" s="626"/>
    </row>
    <row r="21520" spans="1:6">
      <c r="A21520" t="str">
        <f t="shared" si="336"/>
        <v/>
      </c>
      <c r="E21520" s="626"/>
      <c r="F21520" s="626"/>
    </row>
    <row r="21521" spans="1:6">
      <c r="A21521" t="str">
        <f t="shared" si="336"/>
        <v/>
      </c>
      <c r="E21521" s="626"/>
      <c r="F21521" s="626"/>
    </row>
    <row r="21522" spans="1:6">
      <c r="A21522" t="str">
        <f t="shared" si="336"/>
        <v/>
      </c>
      <c r="E21522" s="626"/>
      <c r="F21522" s="626"/>
    </row>
    <row r="21523" spans="1:6">
      <c r="A21523" t="str">
        <f t="shared" si="336"/>
        <v/>
      </c>
      <c r="E21523" s="626"/>
      <c r="F21523" s="626"/>
    </row>
    <row r="21524" spans="1:6">
      <c r="A21524" t="str">
        <f t="shared" si="336"/>
        <v/>
      </c>
      <c r="E21524" s="626"/>
      <c r="F21524" s="626"/>
    </row>
    <row r="21525" spans="1:6">
      <c r="A21525" t="str">
        <f t="shared" si="336"/>
        <v/>
      </c>
      <c r="E21525" s="626"/>
      <c r="F21525" s="626"/>
    </row>
    <row r="21526" spans="1:6">
      <c r="A21526" t="str">
        <f t="shared" si="336"/>
        <v/>
      </c>
      <c r="E21526" s="626"/>
      <c r="F21526" s="626"/>
    </row>
    <row r="21527" spans="1:6">
      <c r="A21527" t="str">
        <f t="shared" si="336"/>
        <v/>
      </c>
      <c r="E21527" s="626"/>
      <c r="F21527" s="626"/>
    </row>
    <row r="21528" spans="1:6">
      <c r="A21528" t="str">
        <f t="shared" si="336"/>
        <v/>
      </c>
      <c r="E21528" s="626"/>
      <c r="F21528" s="626"/>
    </row>
    <row r="21529" spans="1:6">
      <c r="A21529" t="str">
        <f t="shared" si="336"/>
        <v/>
      </c>
      <c r="E21529" s="626"/>
      <c r="F21529" s="626"/>
    </row>
    <row r="21530" spans="1:6">
      <c r="A21530" t="str">
        <f t="shared" si="336"/>
        <v/>
      </c>
      <c r="E21530" s="626"/>
      <c r="F21530" s="626"/>
    </row>
    <row r="21531" spans="1:6">
      <c r="A21531" t="str">
        <f t="shared" si="336"/>
        <v/>
      </c>
      <c r="E21531" s="626"/>
      <c r="F21531" s="626"/>
    </row>
    <row r="21532" spans="1:6">
      <c r="A21532" t="str">
        <f t="shared" si="336"/>
        <v/>
      </c>
      <c r="E21532" s="626"/>
      <c r="F21532" s="626"/>
    </row>
    <row r="21533" spans="1:6">
      <c r="A21533" t="str">
        <f t="shared" si="336"/>
        <v/>
      </c>
      <c r="E21533" s="626"/>
      <c r="F21533" s="626"/>
    </row>
    <row r="21534" spans="1:6">
      <c r="A21534" t="str">
        <f t="shared" si="336"/>
        <v/>
      </c>
      <c r="E21534" s="626"/>
      <c r="F21534" s="626"/>
    </row>
    <row r="21535" spans="1:6">
      <c r="A21535" t="str">
        <f t="shared" si="336"/>
        <v/>
      </c>
      <c r="E21535" s="626"/>
      <c r="F21535" s="626"/>
    </row>
    <row r="21536" spans="1:6">
      <c r="A21536" t="str">
        <f t="shared" si="336"/>
        <v/>
      </c>
      <c r="E21536" s="626"/>
      <c r="F21536" s="626"/>
    </row>
    <row r="21537" spans="1:6">
      <c r="A21537" t="str">
        <f t="shared" si="336"/>
        <v/>
      </c>
      <c r="E21537" s="626"/>
      <c r="F21537" s="626"/>
    </row>
    <row r="21538" spans="1:6">
      <c r="A21538" t="str">
        <f t="shared" si="336"/>
        <v/>
      </c>
      <c r="E21538" s="626"/>
      <c r="F21538" s="626"/>
    </row>
    <row r="21539" spans="1:6">
      <c r="A21539" t="str">
        <f t="shared" si="336"/>
        <v/>
      </c>
      <c r="E21539" s="626"/>
      <c r="F21539" s="626"/>
    </row>
    <row r="21540" spans="1:6">
      <c r="A21540" t="str">
        <f t="shared" si="336"/>
        <v/>
      </c>
      <c r="E21540" s="626"/>
      <c r="F21540" s="626"/>
    </row>
    <row r="21541" spans="1:6">
      <c r="A21541" t="str">
        <f t="shared" si="336"/>
        <v/>
      </c>
      <c r="E21541" s="626"/>
      <c r="F21541" s="626"/>
    </row>
    <row r="21542" spans="1:6">
      <c r="A21542" t="str">
        <f t="shared" si="336"/>
        <v/>
      </c>
      <c r="E21542" s="626"/>
      <c r="F21542" s="626"/>
    </row>
    <row r="21543" spans="1:6">
      <c r="A21543" t="str">
        <f t="shared" si="336"/>
        <v/>
      </c>
      <c r="E21543" s="626"/>
      <c r="F21543" s="626"/>
    </row>
    <row r="21544" spans="1:6">
      <c r="A21544" t="str">
        <f t="shared" si="336"/>
        <v/>
      </c>
      <c r="E21544" s="626"/>
      <c r="F21544" s="626"/>
    </row>
    <row r="21545" spans="1:6">
      <c r="A21545" t="str">
        <f t="shared" si="336"/>
        <v/>
      </c>
      <c r="E21545" s="626"/>
      <c r="F21545" s="626"/>
    </row>
    <row r="21546" spans="1:6">
      <c r="A21546" t="str">
        <f t="shared" si="336"/>
        <v/>
      </c>
      <c r="E21546" s="626"/>
      <c r="F21546" s="626"/>
    </row>
    <row r="21547" spans="1:6">
      <c r="A21547" t="str">
        <f t="shared" si="336"/>
        <v/>
      </c>
      <c r="E21547" s="626"/>
      <c r="F21547" s="626"/>
    </row>
    <row r="21548" spans="1:6">
      <c r="A21548" t="str">
        <f t="shared" si="336"/>
        <v/>
      </c>
      <c r="E21548" s="626"/>
      <c r="F21548" s="626"/>
    </row>
    <row r="21549" spans="1:6">
      <c r="A21549" t="str">
        <f t="shared" si="336"/>
        <v/>
      </c>
      <c r="E21549" s="626"/>
      <c r="F21549" s="626"/>
    </row>
    <row r="21550" spans="1:6">
      <c r="A21550" t="str">
        <f t="shared" si="336"/>
        <v/>
      </c>
      <c r="E21550" s="626"/>
      <c r="F21550" s="626"/>
    </row>
    <row r="21551" spans="1:6">
      <c r="A21551" t="str">
        <f t="shared" si="336"/>
        <v/>
      </c>
      <c r="E21551" s="626"/>
      <c r="F21551" s="626"/>
    </row>
    <row r="21552" spans="1:6">
      <c r="A21552" t="str">
        <f t="shared" si="336"/>
        <v/>
      </c>
      <c r="E21552" s="626"/>
      <c r="F21552" s="626"/>
    </row>
    <row r="21553" spans="1:6">
      <c r="A21553" t="str">
        <f t="shared" si="336"/>
        <v/>
      </c>
      <c r="E21553" s="626"/>
      <c r="F21553" s="626"/>
    </row>
    <row r="21554" spans="1:6">
      <c r="A21554" t="str">
        <f t="shared" si="336"/>
        <v/>
      </c>
      <c r="E21554" s="626"/>
      <c r="F21554" s="626"/>
    </row>
    <row r="21555" spans="1:6">
      <c r="A21555" t="str">
        <f t="shared" si="336"/>
        <v/>
      </c>
      <c r="E21555" s="626"/>
      <c r="F21555" s="626"/>
    </row>
    <row r="21556" spans="1:6">
      <c r="A21556" t="str">
        <f t="shared" si="336"/>
        <v/>
      </c>
      <c r="E21556" s="626"/>
      <c r="F21556" s="626"/>
    </row>
    <row r="21557" spans="1:6">
      <c r="A21557" t="str">
        <f t="shared" si="336"/>
        <v/>
      </c>
      <c r="E21557" s="626"/>
      <c r="F21557" s="626"/>
    </row>
    <row r="21558" spans="1:6">
      <c r="A21558" t="str">
        <f t="shared" si="336"/>
        <v/>
      </c>
      <c r="E21558" s="626"/>
      <c r="F21558" s="626"/>
    </row>
    <row r="21559" spans="1:6">
      <c r="A21559" t="str">
        <f t="shared" si="336"/>
        <v/>
      </c>
      <c r="E21559" s="626"/>
      <c r="F21559" s="626"/>
    </row>
    <row r="21560" spans="1:6">
      <c r="A21560" t="str">
        <f t="shared" si="336"/>
        <v/>
      </c>
      <c r="E21560" s="626"/>
      <c r="F21560" s="626"/>
    </row>
    <row r="21561" spans="1:6">
      <c r="A21561" t="str">
        <f t="shared" si="336"/>
        <v/>
      </c>
      <c r="E21561" s="626"/>
      <c r="F21561" s="626"/>
    </row>
    <row r="21562" spans="1:6">
      <c r="A21562" t="str">
        <f t="shared" si="336"/>
        <v/>
      </c>
      <c r="E21562" s="626"/>
      <c r="F21562" s="626"/>
    </row>
    <row r="21563" spans="1:6">
      <c r="A21563" t="str">
        <f t="shared" si="336"/>
        <v/>
      </c>
      <c r="E21563" s="626"/>
      <c r="F21563" s="626"/>
    </row>
    <row r="21564" spans="1:6">
      <c r="A21564" t="str">
        <f t="shared" si="336"/>
        <v/>
      </c>
      <c r="E21564" s="626"/>
      <c r="F21564" s="626"/>
    </row>
    <row r="21565" spans="1:6">
      <c r="A21565" t="str">
        <f t="shared" si="336"/>
        <v/>
      </c>
      <c r="E21565" s="626"/>
      <c r="F21565" s="626"/>
    </row>
    <row r="21566" spans="1:6">
      <c r="A21566" t="str">
        <f t="shared" si="336"/>
        <v/>
      </c>
      <c r="E21566" s="626"/>
      <c r="F21566" s="626"/>
    </row>
    <row r="21567" spans="1:6">
      <c r="A21567" t="str">
        <f t="shared" si="336"/>
        <v/>
      </c>
      <c r="E21567" s="626"/>
      <c r="F21567" s="626"/>
    </row>
    <row r="21568" spans="1:6">
      <c r="A21568" t="str">
        <f t="shared" si="336"/>
        <v/>
      </c>
      <c r="E21568" s="626"/>
      <c r="F21568" s="626"/>
    </row>
    <row r="21569" spans="1:6">
      <c r="A21569" t="str">
        <f t="shared" si="336"/>
        <v/>
      </c>
      <c r="E21569" s="626"/>
      <c r="F21569" s="626"/>
    </row>
    <row r="21570" spans="1:6">
      <c r="A21570" t="str">
        <f t="shared" ref="A21570:A21633" si="337">B21570&amp;E21570&amp;J21570</f>
        <v/>
      </c>
      <c r="E21570" s="626"/>
      <c r="F21570" s="626"/>
    </row>
    <row r="21571" spans="1:6">
      <c r="A21571" t="str">
        <f t="shared" si="337"/>
        <v/>
      </c>
      <c r="E21571" s="626"/>
      <c r="F21571" s="626"/>
    </row>
    <row r="21572" spans="1:6">
      <c r="A21572" t="str">
        <f t="shared" si="337"/>
        <v/>
      </c>
      <c r="E21572" s="626"/>
      <c r="F21572" s="626"/>
    </row>
    <row r="21573" spans="1:6">
      <c r="A21573" t="str">
        <f t="shared" si="337"/>
        <v/>
      </c>
      <c r="E21573" s="626"/>
      <c r="F21573" s="626"/>
    </row>
    <row r="21574" spans="1:6">
      <c r="A21574" t="str">
        <f t="shared" si="337"/>
        <v/>
      </c>
      <c r="E21574" s="626"/>
      <c r="F21574" s="626"/>
    </row>
    <row r="21575" spans="1:6">
      <c r="A21575" t="str">
        <f t="shared" si="337"/>
        <v/>
      </c>
      <c r="E21575" s="626"/>
      <c r="F21575" s="626"/>
    </row>
    <row r="21576" spans="1:6">
      <c r="A21576" t="str">
        <f t="shared" si="337"/>
        <v/>
      </c>
      <c r="E21576" s="626"/>
      <c r="F21576" s="626"/>
    </row>
    <row r="21577" spans="1:6">
      <c r="A21577" t="str">
        <f t="shared" si="337"/>
        <v/>
      </c>
      <c r="E21577" s="626"/>
      <c r="F21577" s="626"/>
    </row>
    <row r="21578" spans="1:6">
      <c r="A21578" t="str">
        <f t="shared" si="337"/>
        <v/>
      </c>
      <c r="E21578" s="626"/>
      <c r="F21578" s="626"/>
    </row>
    <row r="21579" spans="1:6">
      <c r="A21579" t="str">
        <f t="shared" si="337"/>
        <v/>
      </c>
      <c r="E21579" s="626"/>
      <c r="F21579" s="626"/>
    </row>
    <row r="21580" spans="1:6">
      <c r="A21580" t="str">
        <f t="shared" si="337"/>
        <v/>
      </c>
      <c r="E21580" s="626"/>
      <c r="F21580" s="626"/>
    </row>
    <row r="21581" spans="1:6">
      <c r="A21581" t="str">
        <f t="shared" si="337"/>
        <v/>
      </c>
      <c r="E21581" s="626"/>
      <c r="F21581" s="626"/>
    </row>
    <row r="21582" spans="1:6">
      <c r="A21582" t="str">
        <f t="shared" si="337"/>
        <v/>
      </c>
      <c r="E21582" s="626"/>
      <c r="F21582" s="626"/>
    </row>
    <row r="21583" spans="1:6">
      <c r="A21583" t="str">
        <f t="shared" si="337"/>
        <v/>
      </c>
      <c r="E21583" s="626"/>
      <c r="F21583" s="626"/>
    </row>
    <row r="21584" spans="1:6">
      <c r="A21584" t="str">
        <f t="shared" si="337"/>
        <v/>
      </c>
      <c r="E21584" s="626"/>
      <c r="F21584" s="626"/>
    </row>
    <row r="21585" spans="1:6">
      <c r="A21585" t="str">
        <f t="shared" si="337"/>
        <v/>
      </c>
      <c r="E21585" s="626"/>
      <c r="F21585" s="626"/>
    </row>
    <row r="21586" spans="1:6">
      <c r="A21586" t="str">
        <f t="shared" si="337"/>
        <v/>
      </c>
      <c r="E21586" s="626"/>
      <c r="F21586" s="626"/>
    </row>
    <row r="21587" spans="1:6">
      <c r="A21587" t="str">
        <f t="shared" si="337"/>
        <v/>
      </c>
      <c r="E21587" s="626"/>
      <c r="F21587" s="626"/>
    </row>
    <row r="21588" spans="1:6">
      <c r="A21588" t="str">
        <f t="shared" si="337"/>
        <v/>
      </c>
      <c r="E21588" s="626"/>
      <c r="F21588" s="626"/>
    </row>
    <row r="21589" spans="1:6">
      <c r="A21589" t="str">
        <f t="shared" si="337"/>
        <v/>
      </c>
      <c r="E21589" s="626"/>
      <c r="F21589" s="626"/>
    </row>
    <row r="21590" spans="1:6">
      <c r="A21590" t="str">
        <f t="shared" si="337"/>
        <v/>
      </c>
      <c r="E21590" s="626"/>
      <c r="F21590" s="626"/>
    </row>
    <row r="21591" spans="1:6">
      <c r="A21591" t="str">
        <f t="shared" si="337"/>
        <v/>
      </c>
      <c r="E21591" s="626"/>
      <c r="F21591" s="626"/>
    </row>
    <row r="21592" spans="1:6">
      <c r="A21592" t="str">
        <f t="shared" si="337"/>
        <v/>
      </c>
      <c r="E21592" s="626"/>
      <c r="F21592" s="626"/>
    </row>
    <row r="21593" spans="1:6">
      <c r="A21593" t="str">
        <f t="shared" si="337"/>
        <v/>
      </c>
      <c r="E21593" s="626"/>
      <c r="F21593" s="626"/>
    </row>
    <row r="21594" spans="1:6">
      <c r="A21594" t="str">
        <f t="shared" si="337"/>
        <v/>
      </c>
      <c r="E21594" s="626"/>
      <c r="F21594" s="626"/>
    </row>
    <row r="21595" spans="1:6">
      <c r="A21595" t="str">
        <f t="shared" si="337"/>
        <v/>
      </c>
      <c r="E21595" s="626"/>
      <c r="F21595" s="626"/>
    </row>
    <row r="21596" spans="1:6">
      <c r="A21596" t="str">
        <f t="shared" si="337"/>
        <v/>
      </c>
      <c r="E21596" s="626"/>
      <c r="F21596" s="626"/>
    </row>
    <row r="21597" spans="1:6">
      <c r="A21597" t="str">
        <f t="shared" si="337"/>
        <v/>
      </c>
      <c r="E21597" s="626"/>
      <c r="F21597" s="626"/>
    </row>
    <row r="21598" spans="1:6">
      <c r="A21598" t="str">
        <f t="shared" si="337"/>
        <v/>
      </c>
      <c r="E21598" s="626"/>
      <c r="F21598" s="626"/>
    </row>
    <row r="21599" spans="1:6">
      <c r="A21599" t="str">
        <f t="shared" si="337"/>
        <v/>
      </c>
      <c r="E21599" s="626"/>
      <c r="F21599" s="626"/>
    </row>
    <row r="21600" spans="1:6">
      <c r="A21600" t="str">
        <f t="shared" si="337"/>
        <v/>
      </c>
      <c r="E21600" s="626"/>
      <c r="F21600" s="626"/>
    </row>
    <row r="21601" spans="1:6">
      <c r="A21601" t="str">
        <f t="shared" si="337"/>
        <v/>
      </c>
      <c r="E21601" s="626"/>
      <c r="F21601" s="626"/>
    </row>
    <row r="21602" spans="1:6">
      <c r="A21602" t="str">
        <f t="shared" si="337"/>
        <v/>
      </c>
      <c r="E21602" s="626"/>
      <c r="F21602" s="626"/>
    </row>
    <row r="21603" spans="1:6">
      <c r="A21603" t="str">
        <f t="shared" si="337"/>
        <v/>
      </c>
      <c r="E21603" s="626"/>
      <c r="F21603" s="626"/>
    </row>
    <row r="21604" spans="1:6">
      <c r="A21604" t="str">
        <f t="shared" si="337"/>
        <v/>
      </c>
      <c r="E21604" s="626"/>
      <c r="F21604" s="626"/>
    </row>
    <row r="21605" spans="1:6">
      <c r="A21605" t="str">
        <f t="shared" si="337"/>
        <v/>
      </c>
      <c r="E21605" s="626"/>
      <c r="F21605" s="626"/>
    </row>
    <row r="21606" spans="1:6">
      <c r="A21606" t="str">
        <f t="shared" si="337"/>
        <v/>
      </c>
      <c r="E21606" s="626"/>
      <c r="F21606" s="626"/>
    </row>
    <row r="21607" spans="1:6">
      <c r="A21607" t="str">
        <f t="shared" si="337"/>
        <v/>
      </c>
      <c r="E21607" s="626"/>
      <c r="F21607" s="626"/>
    </row>
    <row r="21608" spans="1:6">
      <c r="A21608" t="str">
        <f t="shared" si="337"/>
        <v/>
      </c>
      <c r="E21608" s="626"/>
      <c r="F21608" s="626"/>
    </row>
    <row r="21609" spans="1:6">
      <c r="A21609" t="str">
        <f t="shared" si="337"/>
        <v/>
      </c>
      <c r="E21609" s="626"/>
      <c r="F21609" s="626"/>
    </row>
    <row r="21610" spans="1:6">
      <c r="A21610" t="str">
        <f t="shared" si="337"/>
        <v/>
      </c>
      <c r="E21610" s="626"/>
      <c r="F21610" s="626"/>
    </row>
    <row r="21611" spans="1:6">
      <c r="A21611" t="str">
        <f t="shared" si="337"/>
        <v/>
      </c>
      <c r="E21611" s="626"/>
      <c r="F21611" s="626"/>
    </row>
    <row r="21612" spans="1:6">
      <c r="A21612" t="str">
        <f t="shared" si="337"/>
        <v/>
      </c>
      <c r="E21612" s="626"/>
      <c r="F21612" s="626"/>
    </row>
    <row r="21613" spans="1:6">
      <c r="A21613" t="str">
        <f t="shared" si="337"/>
        <v/>
      </c>
      <c r="E21613" s="626"/>
      <c r="F21613" s="626"/>
    </row>
    <row r="21614" spans="1:6">
      <c r="A21614" t="str">
        <f t="shared" si="337"/>
        <v/>
      </c>
      <c r="E21614" s="626"/>
      <c r="F21614" s="626"/>
    </row>
    <row r="21615" spans="1:6">
      <c r="A21615" t="str">
        <f t="shared" si="337"/>
        <v/>
      </c>
      <c r="E21615" s="626"/>
      <c r="F21615" s="626"/>
    </row>
    <row r="21616" spans="1:6">
      <c r="A21616" t="str">
        <f t="shared" si="337"/>
        <v/>
      </c>
      <c r="E21616" s="626"/>
      <c r="F21616" s="626"/>
    </row>
    <row r="21617" spans="1:6">
      <c r="A21617" t="str">
        <f t="shared" si="337"/>
        <v/>
      </c>
      <c r="E21617" s="626"/>
      <c r="F21617" s="626"/>
    </row>
    <row r="21618" spans="1:6">
      <c r="A21618" t="str">
        <f t="shared" si="337"/>
        <v/>
      </c>
      <c r="E21618" s="626"/>
      <c r="F21618" s="626"/>
    </row>
    <row r="21619" spans="1:6">
      <c r="A21619" t="str">
        <f t="shared" si="337"/>
        <v/>
      </c>
      <c r="E21619" s="626"/>
      <c r="F21619" s="626"/>
    </row>
    <row r="21620" spans="1:6">
      <c r="A21620" t="str">
        <f t="shared" si="337"/>
        <v/>
      </c>
      <c r="E21620" s="626"/>
      <c r="F21620" s="626"/>
    </row>
    <row r="21621" spans="1:6">
      <c r="A21621" t="str">
        <f t="shared" si="337"/>
        <v/>
      </c>
      <c r="E21621" s="626"/>
      <c r="F21621" s="626"/>
    </row>
    <row r="21622" spans="1:6">
      <c r="A21622" t="str">
        <f t="shared" si="337"/>
        <v/>
      </c>
      <c r="E21622" s="626"/>
      <c r="F21622" s="626"/>
    </row>
    <row r="21623" spans="1:6">
      <c r="A21623" t="str">
        <f t="shared" si="337"/>
        <v/>
      </c>
      <c r="E21623" s="626"/>
      <c r="F21623" s="626"/>
    </row>
    <row r="21624" spans="1:6">
      <c r="A21624" t="str">
        <f t="shared" si="337"/>
        <v/>
      </c>
      <c r="E21624" s="626"/>
      <c r="F21624" s="626"/>
    </row>
    <row r="21625" spans="1:6">
      <c r="A21625" t="str">
        <f t="shared" si="337"/>
        <v/>
      </c>
      <c r="E21625" s="626"/>
      <c r="F21625" s="626"/>
    </row>
    <row r="21626" spans="1:6">
      <c r="A21626" t="str">
        <f t="shared" si="337"/>
        <v/>
      </c>
      <c r="E21626" s="626"/>
      <c r="F21626" s="626"/>
    </row>
    <row r="21627" spans="1:6">
      <c r="A21627" t="str">
        <f t="shared" si="337"/>
        <v/>
      </c>
      <c r="E21627" s="626"/>
      <c r="F21627" s="626"/>
    </row>
    <row r="21628" spans="1:6">
      <c r="A21628" t="str">
        <f t="shared" si="337"/>
        <v/>
      </c>
      <c r="E21628" s="626"/>
      <c r="F21628" s="626"/>
    </row>
    <row r="21629" spans="1:6">
      <c r="A21629" t="str">
        <f t="shared" si="337"/>
        <v/>
      </c>
      <c r="E21629" s="626"/>
      <c r="F21629" s="626"/>
    </row>
    <row r="21630" spans="1:6">
      <c r="A21630" t="str">
        <f t="shared" si="337"/>
        <v/>
      </c>
      <c r="E21630" s="626"/>
      <c r="F21630" s="626"/>
    </row>
    <row r="21631" spans="1:6">
      <c r="A21631" t="str">
        <f t="shared" si="337"/>
        <v/>
      </c>
      <c r="E21631" s="626"/>
      <c r="F21631" s="626"/>
    </row>
    <row r="21632" spans="1:6">
      <c r="A21632" t="str">
        <f t="shared" si="337"/>
        <v/>
      </c>
      <c r="E21632" s="626"/>
      <c r="F21632" s="626"/>
    </row>
    <row r="21633" spans="1:6">
      <c r="A21633" t="str">
        <f t="shared" si="337"/>
        <v/>
      </c>
      <c r="E21633" s="626"/>
      <c r="F21633" s="626"/>
    </row>
    <row r="21634" spans="1:6">
      <c r="A21634" t="str">
        <f t="shared" ref="A21634:A21697" si="338">B21634&amp;E21634&amp;J21634</f>
        <v/>
      </c>
      <c r="E21634" s="626"/>
      <c r="F21634" s="626"/>
    </row>
    <row r="21635" spans="1:6">
      <c r="A21635" t="str">
        <f t="shared" si="338"/>
        <v/>
      </c>
      <c r="E21635" s="626"/>
      <c r="F21635" s="626"/>
    </row>
    <row r="21636" spans="1:6">
      <c r="A21636" t="str">
        <f t="shared" si="338"/>
        <v/>
      </c>
      <c r="E21636" s="626"/>
      <c r="F21636" s="626"/>
    </row>
    <row r="21637" spans="1:6">
      <c r="A21637" t="str">
        <f t="shared" si="338"/>
        <v/>
      </c>
      <c r="E21637" s="626"/>
      <c r="F21637" s="626"/>
    </row>
    <row r="21638" spans="1:6">
      <c r="A21638" t="str">
        <f t="shared" si="338"/>
        <v/>
      </c>
      <c r="E21638" s="626"/>
      <c r="F21638" s="626"/>
    </row>
    <row r="21639" spans="1:6">
      <c r="A21639" t="str">
        <f t="shared" si="338"/>
        <v/>
      </c>
      <c r="E21639" s="626"/>
      <c r="F21639" s="626"/>
    </row>
    <row r="21640" spans="1:6">
      <c r="A21640" t="str">
        <f t="shared" si="338"/>
        <v/>
      </c>
      <c r="E21640" s="626"/>
      <c r="F21640" s="626"/>
    </row>
    <row r="21641" spans="1:6">
      <c r="A21641" t="str">
        <f t="shared" si="338"/>
        <v/>
      </c>
      <c r="E21641" s="626"/>
      <c r="F21641" s="626"/>
    </row>
    <row r="21642" spans="1:6">
      <c r="A21642" t="str">
        <f t="shared" si="338"/>
        <v/>
      </c>
      <c r="E21642" s="626"/>
      <c r="F21642" s="626"/>
    </row>
    <row r="21643" spans="1:6">
      <c r="A21643" t="str">
        <f t="shared" si="338"/>
        <v/>
      </c>
      <c r="E21643" s="626"/>
      <c r="F21643" s="626"/>
    </row>
    <row r="21644" spans="1:6">
      <c r="A21644" t="str">
        <f t="shared" si="338"/>
        <v/>
      </c>
      <c r="E21644" s="626"/>
      <c r="F21644" s="626"/>
    </row>
    <row r="21645" spans="1:6">
      <c r="A21645" t="str">
        <f t="shared" si="338"/>
        <v/>
      </c>
      <c r="E21645" s="626"/>
      <c r="F21645" s="626"/>
    </row>
    <row r="21646" spans="1:6">
      <c r="A21646" t="str">
        <f t="shared" si="338"/>
        <v/>
      </c>
      <c r="E21646" s="626"/>
      <c r="F21646" s="626"/>
    </row>
    <row r="21647" spans="1:6">
      <c r="A21647" t="str">
        <f t="shared" si="338"/>
        <v/>
      </c>
      <c r="E21647" s="626"/>
      <c r="F21647" s="626"/>
    </row>
    <row r="21648" spans="1:6">
      <c r="A21648" t="str">
        <f t="shared" si="338"/>
        <v/>
      </c>
      <c r="E21648" s="626"/>
      <c r="F21648" s="626"/>
    </row>
    <row r="21649" spans="1:6">
      <c r="A21649" t="str">
        <f t="shared" si="338"/>
        <v/>
      </c>
      <c r="E21649" s="626"/>
      <c r="F21649" s="626"/>
    </row>
    <row r="21650" spans="1:6">
      <c r="A21650" t="str">
        <f t="shared" si="338"/>
        <v/>
      </c>
      <c r="E21650" s="626"/>
      <c r="F21650" s="626"/>
    </row>
    <row r="21651" spans="1:6">
      <c r="A21651" t="str">
        <f t="shared" si="338"/>
        <v/>
      </c>
      <c r="E21651" s="626"/>
      <c r="F21651" s="626"/>
    </row>
    <row r="21652" spans="1:6">
      <c r="A21652" t="str">
        <f t="shared" si="338"/>
        <v/>
      </c>
      <c r="E21652" s="626"/>
      <c r="F21652" s="626"/>
    </row>
    <row r="21653" spans="1:6">
      <c r="A21653" t="str">
        <f t="shared" si="338"/>
        <v/>
      </c>
      <c r="E21653" s="626"/>
      <c r="F21653" s="626"/>
    </row>
    <row r="21654" spans="1:6">
      <c r="A21654" t="str">
        <f t="shared" si="338"/>
        <v/>
      </c>
      <c r="E21654" s="626"/>
      <c r="F21654" s="626"/>
    </row>
    <row r="21655" spans="1:6">
      <c r="A21655" t="str">
        <f t="shared" si="338"/>
        <v/>
      </c>
      <c r="E21655" s="626"/>
      <c r="F21655" s="626"/>
    </row>
    <row r="21656" spans="1:6">
      <c r="A21656" t="str">
        <f t="shared" si="338"/>
        <v/>
      </c>
      <c r="E21656" s="626"/>
      <c r="F21656" s="626"/>
    </row>
    <row r="21657" spans="1:6">
      <c r="A21657" t="str">
        <f t="shared" si="338"/>
        <v/>
      </c>
      <c r="E21657" s="626"/>
      <c r="F21657" s="626"/>
    </row>
    <row r="21658" spans="1:6">
      <c r="A21658" t="str">
        <f t="shared" si="338"/>
        <v/>
      </c>
      <c r="E21658" s="626"/>
      <c r="F21658" s="626"/>
    </row>
    <row r="21659" spans="1:6">
      <c r="A21659" t="str">
        <f t="shared" si="338"/>
        <v/>
      </c>
      <c r="E21659" s="626"/>
      <c r="F21659" s="626"/>
    </row>
    <row r="21660" spans="1:6">
      <c r="A21660" t="str">
        <f t="shared" si="338"/>
        <v/>
      </c>
      <c r="E21660" s="626"/>
      <c r="F21660" s="626"/>
    </row>
    <row r="21661" spans="1:6">
      <c r="A21661" t="str">
        <f t="shared" si="338"/>
        <v/>
      </c>
      <c r="E21661" s="626"/>
      <c r="F21661" s="626"/>
    </row>
    <row r="21662" spans="1:6">
      <c r="A21662" t="str">
        <f t="shared" si="338"/>
        <v/>
      </c>
      <c r="E21662" s="626"/>
      <c r="F21662" s="626"/>
    </row>
    <row r="21663" spans="1:6">
      <c r="A21663" t="str">
        <f t="shared" si="338"/>
        <v/>
      </c>
      <c r="E21663" s="626"/>
      <c r="F21663" s="626"/>
    </row>
    <row r="21664" spans="1:6">
      <c r="A21664" t="str">
        <f t="shared" si="338"/>
        <v/>
      </c>
      <c r="E21664" s="626"/>
      <c r="F21664" s="626"/>
    </row>
    <row r="21665" spans="1:6">
      <c r="A21665" t="str">
        <f t="shared" si="338"/>
        <v/>
      </c>
      <c r="E21665" s="626"/>
      <c r="F21665" s="626"/>
    </row>
    <row r="21666" spans="1:6">
      <c r="A21666" t="str">
        <f t="shared" si="338"/>
        <v/>
      </c>
      <c r="E21666" s="626"/>
      <c r="F21666" s="626"/>
    </row>
    <row r="21667" spans="1:6">
      <c r="A21667" t="str">
        <f t="shared" si="338"/>
        <v/>
      </c>
      <c r="E21667" s="626"/>
      <c r="F21667" s="626"/>
    </row>
    <row r="21668" spans="1:6">
      <c r="A21668" t="str">
        <f t="shared" si="338"/>
        <v/>
      </c>
      <c r="E21668" s="626"/>
      <c r="F21668" s="626"/>
    </row>
    <row r="21669" spans="1:6">
      <c r="A21669" t="str">
        <f t="shared" si="338"/>
        <v/>
      </c>
      <c r="E21669" s="626"/>
      <c r="F21669" s="626"/>
    </row>
    <row r="21670" spans="1:6">
      <c r="A21670" t="str">
        <f t="shared" si="338"/>
        <v/>
      </c>
      <c r="E21670" s="626"/>
      <c r="F21670" s="626"/>
    </row>
    <row r="21671" spans="1:6">
      <c r="A21671" t="str">
        <f t="shared" si="338"/>
        <v/>
      </c>
      <c r="E21671" s="626"/>
      <c r="F21671" s="626"/>
    </row>
    <row r="21672" spans="1:6">
      <c r="A21672" t="str">
        <f t="shared" si="338"/>
        <v/>
      </c>
      <c r="E21672" s="626"/>
      <c r="F21672" s="626"/>
    </row>
    <row r="21673" spans="1:6">
      <c r="A21673" t="str">
        <f t="shared" si="338"/>
        <v/>
      </c>
      <c r="E21673" s="626"/>
      <c r="F21673" s="626"/>
    </row>
    <row r="21674" spans="1:6">
      <c r="A21674" t="str">
        <f t="shared" si="338"/>
        <v/>
      </c>
      <c r="E21674" s="626"/>
      <c r="F21674" s="626"/>
    </row>
    <row r="21675" spans="1:6">
      <c r="A21675" t="str">
        <f t="shared" si="338"/>
        <v/>
      </c>
      <c r="E21675" s="626"/>
      <c r="F21675" s="626"/>
    </row>
    <row r="21676" spans="1:6">
      <c r="A21676" t="str">
        <f t="shared" si="338"/>
        <v/>
      </c>
      <c r="E21676" s="626"/>
      <c r="F21676" s="626"/>
    </row>
    <row r="21677" spans="1:6">
      <c r="A21677" t="str">
        <f t="shared" si="338"/>
        <v/>
      </c>
      <c r="E21677" s="626"/>
      <c r="F21677" s="626"/>
    </row>
    <row r="21678" spans="1:6">
      <c r="A21678" t="str">
        <f t="shared" si="338"/>
        <v/>
      </c>
      <c r="E21678" s="626"/>
      <c r="F21678" s="626"/>
    </row>
    <row r="21679" spans="1:6">
      <c r="A21679" t="str">
        <f t="shared" si="338"/>
        <v/>
      </c>
      <c r="E21679" s="626"/>
      <c r="F21679" s="626"/>
    </row>
    <row r="21680" spans="1:6">
      <c r="A21680" t="str">
        <f t="shared" si="338"/>
        <v/>
      </c>
      <c r="E21680" s="626"/>
      <c r="F21680" s="626"/>
    </row>
    <row r="21681" spans="1:6">
      <c r="A21681" t="str">
        <f t="shared" si="338"/>
        <v/>
      </c>
      <c r="E21681" s="626"/>
      <c r="F21681" s="626"/>
    </row>
    <row r="21682" spans="1:6">
      <c r="A21682" t="str">
        <f t="shared" si="338"/>
        <v/>
      </c>
      <c r="E21682" s="626"/>
      <c r="F21682" s="626"/>
    </row>
    <row r="21683" spans="1:6">
      <c r="A21683" t="str">
        <f t="shared" si="338"/>
        <v/>
      </c>
      <c r="E21683" s="626"/>
      <c r="F21683" s="626"/>
    </row>
    <row r="21684" spans="1:6">
      <c r="A21684" t="str">
        <f t="shared" si="338"/>
        <v/>
      </c>
      <c r="E21684" s="626"/>
      <c r="F21684" s="626"/>
    </row>
    <row r="21685" spans="1:6">
      <c r="A21685" t="str">
        <f t="shared" si="338"/>
        <v/>
      </c>
      <c r="E21685" s="626"/>
      <c r="F21685" s="626"/>
    </row>
    <row r="21686" spans="1:6">
      <c r="A21686" t="str">
        <f t="shared" si="338"/>
        <v/>
      </c>
      <c r="E21686" s="626"/>
      <c r="F21686" s="626"/>
    </row>
    <row r="21687" spans="1:6">
      <c r="A21687" t="str">
        <f t="shared" si="338"/>
        <v/>
      </c>
      <c r="E21687" s="626"/>
      <c r="F21687" s="626"/>
    </row>
    <row r="21688" spans="1:6">
      <c r="A21688" t="str">
        <f t="shared" si="338"/>
        <v/>
      </c>
      <c r="E21688" s="626"/>
      <c r="F21688" s="626"/>
    </row>
    <row r="21689" spans="1:6">
      <c r="A21689" t="str">
        <f t="shared" si="338"/>
        <v/>
      </c>
      <c r="E21689" s="626"/>
      <c r="F21689" s="626"/>
    </row>
    <row r="21690" spans="1:6">
      <c r="A21690" t="str">
        <f t="shared" si="338"/>
        <v/>
      </c>
      <c r="E21690" s="626"/>
      <c r="F21690" s="626"/>
    </row>
    <row r="21691" spans="1:6">
      <c r="A21691" t="str">
        <f t="shared" si="338"/>
        <v/>
      </c>
      <c r="E21691" s="626"/>
      <c r="F21691" s="626"/>
    </row>
    <row r="21692" spans="1:6">
      <c r="A21692" t="str">
        <f t="shared" si="338"/>
        <v/>
      </c>
      <c r="E21692" s="626"/>
      <c r="F21692" s="626"/>
    </row>
    <row r="21693" spans="1:6">
      <c r="A21693" t="str">
        <f t="shared" si="338"/>
        <v/>
      </c>
      <c r="E21693" s="626"/>
      <c r="F21693" s="626"/>
    </row>
    <row r="21694" spans="1:6">
      <c r="A21694" t="str">
        <f t="shared" si="338"/>
        <v/>
      </c>
      <c r="E21694" s="626"/>
      <c r="F21694" s="626"/>
    </row>
    <row r="21695" spans="1:6">
      <c r="A21695" t="str">
        <f t="shared" si="338"/>
        <v/>
      </c>
      <c r="E21695" s="626"/>
      <c r="F21695" s="626"/>
    </row>
    <row r="21696" spans="1:6">
      <c r="A21696" t="str">
        <f t="shared" si="338"/>
        <v/>
      </c>
      <c r="E21696" s="626"/>
      <c r="F21696" s="626"/>
    </row>
    <row r="21697" spans="1:6">
      <c r="A21697" t="str">
        <f t="shared" si="338"/>
        <v/>
      </c>
      <c r="E21697" s="626"/>
      <c r="F21697" s="626"/>
    </row>
    <row r="21698" spans="1:6">
      <c r="A21698" t="str">
        <f t="shared" ref="A21698:A21761" si="339">B21698&amp;E21698&amp;J21698</f>
        <v/>
      </c>
      <c r="E21698" s="626"/>
      <c r="F21698" s="626"/>
    </row>
    <row r="21699" spans="1:6">
      <c r="A21699" t="str">
        <f t="shared" si="339"/>
        <v/>
      </c>
      <c r="E21699" s="626"/>
      <c r="F21699" s="626"/>
    </row>
    <row r="21700" spans="1:6">
      <c r="A21700" t="str">
        <f t="shared" si="339"/>
        <v/>
      </c>
      <c r="E21700" s="626"/>
      <c r="F21700" s="626"/>
    </row>
    <row r="21701" spans="1:6">
      <c r="A21701" t="str">
        <f t="shared" si="339"/>
        <v/>
      </c>
      <c r="E21701" s="626"/>
      <c r="F21701" s="626"/>
    </row>
    <row r="21702" spans="1:6">
      <c r="A21702" t="str">
        <f t="shared" si="339"/>
        <v/>
      </c>
      <c r="E21702" s="626"/>
      <c r="F21702" s="626"/>
    </row>
    <row r="21703" spans="1:6">
      <c r="A21703" t="str">
        <f t="shared" si="339"/>
        <v/>
      </c>
      <c r="E21703" s="626"/>
      <c r="F21703" s="626"/>
    </row>
    <row r="21704" spans="1:6">
      <c r="A21704" t="str">
        <f t="shared" si="339"/>
        <v/>
      </c>
      <c r="E21704" s="626"/>
      <c r="F21704" s="626"/>
    </row>
    <row r="21705" spans="1:6">
      <c r="A21705" t="str">
        <f t="shared" si="339"/>
        <v/>
      </c>
      <c r="E21705" s="626"/>
      <c r="F21705" s="626"/>
    </row>
    <row r="21706" spans="1:6">
      <c r="A21706" t="str">
        <f t="shared" si="339"/>
        <v/>
      </c>
      <c r="E21706" s="626"/>
      <c r="F21706" s="626"/>
    </row>
    <row r="21707" spans="1:6">
      <c r="A21707" t="str">
        <f t="shared" si="339"/>
        <v/>
      </c>
      <c r="E21707" s="626"/>
      <c r="F21707" s="626"/>
    </row>
    <row r="21708" spans="1:6">
      <c r="A21708" t="str">
        <f t="shared" si="339"/>
        <v/>
      </c>
      <c r="E21708" s="626"/>
      <c r="F21708" s="626"/>
    </row>
    <row r="21709" spans="1:6">
      <c r="A21709" t="str">
        <f t="shared" si="339"/>
        <v/>
      </c>
      <c r="E21709" s="626"/>
      <c r="F21709" s="626"/>
    </row>
    <row r="21710" spans="1:6">
      <c r="A21710" t="str">
        <f t="shared" si="339"/>
        <v/>
      </c>
      <c r="E21710" s="626"/>
      <c r="F21710" s="626"/>
    </row>
    <row r="21711" spans="1:6">
      <c r="A21711" t="str">
        <f t="shared" si="339"/>
        <v/>
      </c>
      <c r="E21711" s="626"/>
      <c r="F21711" s="626"/>
    </row>
    <row r="21712" spans="1:6">
      <c r="A21712" t="str">
        <f t="shared" si="339"/>
        <v/>
      </c>
      <c r="E21712" s="626"/>
      <c r="F21712" s="626"/>
    </row>
    <row r="21713" spans="1:6">
      <c r="A21713" t="str">
        <f t="shared" si="339"/>
        <v/>
      </c>
      <c r="E21713" s="626"/>
      <c r="F21713" s="626"/>
    </row>
    <row r="21714" spans="1:6">
      <c r="A21714" t="str">
        <f t="shared" si="339"/>
        <v/>
      </c>
      <c r="E21714" s="626"/>
      <c r="F21714" s="626"/>
    </row>
    <row r="21715" spans="1:6">
      <c r="A21715" t="str">
        <f t="shared" si="339"/>
        <v/>
      </c>
      <c r="E21715" s="626"/>
      <c r="F21715" s="626"/>
    </row>
    <row r="21716" spans="1:6">
      <c r="A21716" t="str">
        <f t="shared" si="339"/>
        <v/>
      </c>
      <c r="E21716" s="626"/>
      <c r="F21716" s="626"/>
    </row>
    <row r="21717" spans="1:6">
      <c r="A21717" t="str">
        <f t="shared" si="339"/>
        <v/>
      </c>
      <c r="E21717" s="626"/>
      <c r="F21717" s="626"/>
    </row>
    <row r="21718" spans="1:6">
      <c r="A21718" t="str">
        <f t="shared" si="339"/>
        <v/>
      </c>
      <c r="E21718" s="626"/>
      <c r="F21718" s="626"/>
    </row>
    <row r="21719" spans="1:6">
      <c r="A21719" t="str">
        <f t="shared" si="339"/>
        <v/>
      </c>
      <c r="E21719" s="626"/>
      <c r="F21719" s="626"/>
    </row>
    <row r="21720" spans="1:6">
      <c r="A21720" t="str">
        <f t="shared" si="339"/>
        <v/>
      </c>
      <c r="E21720" s="626"/>
      <c r="F21720" s="626"/>
    </row>
    <row r="21721" spans="1:6">
      <c r="A21721" t="str">
        <f t="shared" si="339"/>
        <v/>
      </c>
      <c r="E21721" s="626"/>
      <c r="F21721" s="626"/>
    </row>
    <row r="21722" spans="1:6">
      <c r="A21722" t="str">
        <f t="shared" si="339"/>
        <v/>
      </c>
      <c r="E21722" s="626"/>
      <c r="F21722" s="626"/>
    </row>
    <row r="21723" spans="1:6">
      <c r="A21723" t="str">
        <f t="shared" si="339"/>
        <v/>
      </c>
      <c r="E21723" s="626"/>
      <c r="F21723" s="626"/>
    </row>
    <row r="21724" spans="1:6">
      <c r="A21724" t="str">
        <f t="shared" si="339"/>
        <v/>
      </c>
      <c r="E21724" s="626"/>
      <c r="F21724" s="626"/>
    </row>
    <row r="21725" spans="1:6">
      <c r="A21725" t="str">
        <f t="shared" si="339"/>
        <v/>
      </c>
      <c r="E21725" s="626"/>
      <c r="F21725" s="626"/>
    </row>
    <row r="21726" spans="1:6">
      <c r="A21726" t="str">
        <f t="shared" si="339"/>
        <v/>
      </c>
      <c r="E21726" s="626"/>
      <c r="F21726" s="626"/>
    </row>
    <row r="21727" spans="1:6">
      <c r="A21727" t="str">
        <f t="shared" si="339"/>
        <v/>
      </c>
      <c r="E21727" s="626"/>
      <c r="F21727" s="626"/>
    </row>
    <row r="21728" spans="1:6">
      <c r="A21728" t="str">
        <f t="shared" si="339"/>
        <v/>
      </c>
      <c r="E21728" s="626"/>
      <c r="F21728" s="626"/>
    </row>
    <row r="21729" spans="1:6">
      <c r="A21729" t="str">
        <f t="shared" si="339"/>
        <v/>
      </c>
      <c r="E21729" s="626"/>
      <c r="F21729" s="626"/>
    </row>
    <row r="21730" spans="1:6">
      <c r="A21730" t="str">
        <f t="shared" si="339"/>
        <v/>
      </c>
      <c r="E21730" s="626"/>
      <c r="F21730" s="626"/>
    </row>
    <row r="21731" spans="1:6">
      <c r="A21731" t="str">
        <f t="shared" si="339"/>
        <v/>
      </c>
      <c r="E21731" s="626"/>
      <c r="F21731" s="626"/>
    </row>
    <row r="21732" spans="1:6">
      <c r="A21732" t="str">
        <f t="shared" si="339"/>
        <v/>
      </c>
      <c r="E21732" s="626"/>
      <c r="F21732" s="626"/>
    </row>
    <row r="21733" spans="1:6">
      <c r="A21733" t="str">
        <f t="shared" si="339"/>
        <v/>
      </c>
      <c r="E21733" s="626"/>
      <c r="F21733" s="626"/>
    </row>
    <row r="21734" spans="1:6">
      <c r="A21734" t="str">
        <f t="shared" si="339"/>
        <v/>
      </c>
      <c r="E21734" s="626"/>
      <c r="F21734" s="626"/>
    </row>
    <row r="21735" spans="1:6">
      <c r="A21735" t="str">
        <f t="shared" si="339"/>
        <v/>
      </c>
      <c r="E21735" s="626"/>
      <c r="F21735" s="626"/>
    </row>
    <row r="21736" spans="1:6">
      <c r="A21736" t="str">
        <f t="shared" si="339"/>
        <v/>
      </c>
      <c r="E21736" s="626"/>
      <c r="F21736" s="626"/>
    </row>
    <row r="21737" spans="1:6">
      <c r="A21737" t="str">
        <f t="shared" si="339"/>
        <v/>
      </c>
      <c r="E21737" s="626"/>
      <c r="F21737" s="626"/>
    </row>
    <row r="21738" spans="1:6">
      <c r="A21738" t="str">
        <f t="shared" si="339"/>
        <v/>
      </c>
      <c r="E21738" s="626"/>
      <c r="F21738" s="626"/>
    </row>
    <row r="21739" spans="1:6">
      <c r="A21739" t="str">
        <f t="shared" si="339"/>
        <v/>
      </c>
      <c r="E21739" s="626"/>
      <c r="F21739" s="626"/>
    </row>
    <row r="21740" spans="1:6">
      <c r="A21740" t="str">
        <f t="shared" si="339"/>
        <v/>
      </c>
      <c r="E21740" s="626"/>
      <c r="F21740" s="626"/>
    </row>
    <row r="21741" spans="1:6">
      <c r="A21741" t="str">
        <f t="shared" si="339"/>
        <v/>
      </c>
      <c r="E21741" s="626"/>
      <c r="F21741" s="626"/>
    </row>
    <row r="21742" spans="1:6">
      <c r="A21742" t="str">
        <f t="shared" si="339"/>
        <v/>
      </c>
      <c r="E21742" s="626"/>
      <c r="F21742" s="626"/>
    </row>
    <row r="21743" spans="1:6">
      <c r="A21743" t="str">
        <f t="shared" si="339"/>
        <v/>
      </c>
      <c r="E21743" s="626"/>
      <c r="F21743" s="626"/>
    </row>
    <row r="21744" spans="1:6">
      <c r="A21744" t="str">
        <f t="shared" si="339"/>
        <v/>
      </c>
      <c r="E21744" s="626"/>
      <c r="F21744" s="626"/>
    </row>
    <row r="21745" spans="1:6">
      <c r="A21745" t="str">
        <f t="shared" si="339"/>
        <v/>
      </c>
      <c r="E21745" s="626"/>
      <c r="F21745" s="626"/>
    </row>
    <row r="21746" spans="1:6">
      <c r="A21746" t="str">
        <f t="shared" si="339"/>
        <v/>
      </c>
      <c r="E21746" s="626"/>
      <c r="F21746" s="626"/>
    </row>
    <row r="21747" spans="1:6">
      <c r="A21747" t="str">
        <f t="shared" si="339"/>
        <v/>
      </c>
      <c r="E21747" s="626"/>
      <c r="F21747" s="626"/>
    </row>
    <row r="21748" spans="1:6">
      <c r="A21748" t="str">
        <f t="shared" si="339"/>
        <v/>
      </c>
      <c r="E21748" s="626"/>
      <c r="F21748" s="626"/>
    </row>
    <row r="21749" spans="1:6">
      <c r="A21749" t="str">
        <f t="shared" si="339"/>
        <v/>
      </c>
      <c r="E21749" s="626"/>
      <c r="F21749" s="626"/>
    </row>
    <row r="21750" spans="1:6">
      <c r="A21750" t="str">
        <f t="shared" si="339"/>
        <v/>
      </c>
      <c r="E21750" s="626"/>
      <c r="F21750" s="626"/>
    </row>
    <row r="21751" spans="1:6">
      <c r="A21751" t="str">
        <f t="shared" si="339"/>
        <v/>
      </c>
      <c r="E21751" s="626"/>
      <c r="F21751" s="626"/>
    </row>
    <row r="21752" spans="1:6">
      <c r="A21752" t="str">
        <f t="shared" si="339"/>
        <v/>
      </c>
      <c r="E21752" s="626"/>
      <c r="F21752" s="626"/>
    </row>
    <row r="21753" spans="1:6">
      <c r="A21753" t="str">
        <f t="shared" si="339"/>
        <v/>
      </c>
      <c r="E21753" s="626"/>
      <c r="F21753" s="626"/>
    </row>
    <row r="21754" spans="1:6">
      <c r="A21754" t="str">
        <f t="shared" si="339"/>
        <v/>
      </c>
      <c r="E21754" s="626"/>
      <c r="F21754" s="626"/>
    </row>
    <row r="21755" spans="1:6">
      <c r="A21755" t="str">
        <f t="shared" si="339"/>
        <v/>
      </c>
      <c r="E21755" s="626"/>
      <c r="F21755" s="626"/>
    </row>
    <row r="21756" spans="1:6">
      <c r="A21756" t="str">
        <f t="shared" si="339"/>
        <v/>
      </c>
      <c r="E21756" s="626"/>
      <c r="F21756" s="626"/>
    </row>
    <row r="21757" spans="1:6">
      <c r="A21757" t="str">
        <f t="shared" si="339"/>
        <v/>
      </c>
      <c r="E21757" s="626"/>
      <c r="F21757" s="626"/>
    </row>
    <row r="21758" spans="1:6">
      <c r="A21758" t="str">
        <f t="shared" si="339"/>
        <v/>
      </c>
      <c r="E21758" s="626"/>
      <c r="F21758" s="626"/>
    </row>
    <row r="21759" spans="1:6">
      <c r="A21759" t="str">
        <f t="shared" si="339"/>
        <v/>
      </c>
      <c r="E21759" s="626"/>
      <c r="F21759" s="626"/>
    </row>
    <row r="21760" spans="1:6">
      <c r="A21760" t="str">
        <f t="shared" si="339"/>
        <v/>
      </c>
      <c r="E21760" s="626"/>
      <c r="F21760" s="626"/>
    </row>
    <row r="21761" spans="1:6">
      <c r="A21761" t="str">
        <f t="shared" si="339"/>
        <v/>
      </c>
      <c r="E21761" s="626"/>
      <c r="F21761" s="626"/>
    </row>
    <row r="21762" spans="1:6">
      <c r="A21762" t="str">
        <f t="shared" ref="A21762:A21825" si="340">B21762&amp;E21762&amp;J21762</f>
        <v/>
      </c>
      <c r="E21762" s="626"/>
      <c r="F21762" s="626"/>
    </row>
    <row r="21763" spans="1:6">
      <c r="A21763" t="str">
        <f t="shared" si="340"/>
        <v/>
      </c>
      <c r="E21763" s="626"/>
      <c r="F21763" s="626"/>
    </row>
    <row r="21764" spans="1:6">
      <c r="A21764" t="str">
        <f t="shared" si="340"/>
        <v/>
      </c>
      <c r="E21764" s="626"/>
      <c r="F21764" s="626"/>
    </row>
    <row r="21765" spans="1:6">
      <c r="A21765" t="str">
        <f t="shared" si="340"/>
        <v/>
      </c>
      <c r="E21765" s="626"/>
      <c r="F21765" s="626"/>
    </row>
    <row r="21766" spans="1:6">
      <c r="A21766" t="str">
        <f t="shared" si="340"/>
        <v/>
      </c>
      <c r="E21766" s="626"/>
      <c r="F21766" s="626"/>
    </row>
    <row r="21767" spans="1:6">
      <c r="A21767" t="str">
        <f t="shared" si="340"/>
        <v/>
      </c>
      <c r="E21767" s="626"/>
      <c r="F21767" s="626"/>
    </row>
    <row r="21768" spans="1:6">
      <c r="A21768" t="str">
        <f t="shared" si="340"/>
        <v/>
      </c>
      <c r="E21768" s="626"/>
      <c r="F21768" s="626"/>
    </row>
    <row r="21769" spans="1:6">
      <c r="A21769" t="str">
        <f t="shared" si="340"/>
        <v/>
      </c>
      <c r="E21769" s="626"/>
      <c r="F21769" s="626"/>
    </row>
    <row r="21770" spans="1:6">
      <c r="A21770" t="str">
        <f t="shared" si="340"/>
        <v/>
      </c>
      <c r="E21770" s="626"/>
      <c r="F21770" s="626"/>
    </row>
    <row r="21771" spans="1:6">
      <c r="A21771" t="str">
        <f t="shared" si="340"/>
        <v/>
      </c>
      <c r="E21771" s="626"/>
      <c r="F21771" s="626"/>
    </row>
    <row r="21772" spans="1:6">
      <c r="A21772" t="str">
        <f t="shared" si="340"/>
        <v/>
      </c>
      <c r="E21772" s="626"/>
      <c r="F21772" s="626"/>
    </row>
    <row r="21773" spans="1:6">
      <c r="A21773" t="str">
        <f t="shared" si="340"/>
        <v/>
      </c>
      <c r="E21773" s="626"/>
      <c r="F21773" s="626"/>
    </row>
    <row r="21774" spans="1:6">
      <c r="A21774" t="str">
        <f t="shared" si="340"/>
        <v/>
      </c>
      <c r="E21774" s="626"/>
      <c r="F21774" s="626"/>
    </row>
    <row r="21775" spans="1:6">
      <c r="A21775" t="str">
        <f t="shared" si="340"/>
        <v/>
      </c>
      <c r="E21775" s="626"/>
      <c r="F21775" s="626"/>
    </row>
    <row r="21776" spans="1:6">
      <c r="A21776" t="str">
        <f t="shared" si="340"/>
        <v/>
      </c>
      <c r="E21776" s="626"/>
      <c r="F21776" s="626"/>
    </row>
    <row r="21777" spans="1:6">
      <c r="A21777" t="str">
        <f t="shared" si="340"/>
        <v/>
      </c>
      <c r="E21777" s="626"/>
      <c r="F21777" s="626"/>
    </row>
    <row r="21778" spans="1:6">
      <c r="A21778" t="str">
        <f t="shared" si="340"/>
        <v/>
      </c>
      <c r="E21778" s="626"/>
      <c r="F21778" s="626"/>
    </row>
    <row r="21779" spans="1:6">
      <c r="A21779" t="str">
        <f t="shared" si="340"/>
        <v/>
      </c>
      <c r="E21779" s="626"/>
      <c r="F21779" s="626"/>
    </row>
    <row r="21780" spans="1:6">
      <c r="A21780" t="str">
        <f t="shared" si="340"/>
        <v/>
      </c>
      <c r="E21780" s="626"/>
      <c r="F21780" s="626"/>
    </row>
    <row r="21781" spans="1:6">
      <c r="A21781" t="str">
        <f t="shared" si="340"/>
        <v/>
      </c>
      <c r="E21781" s="626"/>
      <c r="F21781" s="626"/>
    </row>
    <row r="21782" spans="1:6">
      <c r="A21782" t="str">
        <f t="shared" si="340"/>
        <v/>
      </c>
      <c r="E21782" s="626"/>
      <c r="F21782" s="626"/>
    </row>
    <row r="21783" spans="1:6">
      <c r="A21783" t="str">
        <f t="shared" si="340"/>
        <v/>
      </c>
      <c r="E21783" s="626"/>
      <c r="F21783" s="626"/>
    </row>
    <row r="21784" spans="1:6">
      <c r="A21784" t="str">
        <f t="shared" si="340"/>
        <v/>
      </c>
      <c r="E21784" s="626"/>
      <c r="F21784" s="626"/>
    </row>
    <row r="21785" spans="1:6">
      <c r="A21785" t="str">
        <f t="shared" si="340"/>
        <v/>
      </c>
      <c r="E21785" s="626"/>
      <c r="F21785" s="626"/>
    </row>
    <row r="21786" spans="1:6">
      <c r="A21786" t="str">
        <f t="shared" si="340"/>
        <v/>
      </c>
      <c r="E21786" s="626"/>
      <c r="F21786" s="626"/>
    </row>
    <row r="21787" spans="1:6">
      <c r="A21787" t="str">
        <f t="shared" si="340"/>
        <v/>
      </c>
      <c r="E21787" s="626"/>
      <c r="F21787" s="626"/>
    </row>
    <row r="21788" spans="1:6">
      <c r="A21788" t="str">
        <f t="shared" si="340"/>
        <v/>
      </c>
      <c r="E21788" s="626"/>
      <c r="F21788" s="626"/>
    </row>
    <row r="21789" spans="1:6">
      <c r="A21789" t="str">
        <f t="shared" si="340"/>
        <v/>
      </c>
      <c r="E21789" s="626"/>
      <c r="F21789" s="626"/>
    </row>
    <row r="21790" spans="1:6">
      <c r="A21790" t="str">
        <f t="shared" si="340"/>
        <v/>
      </c>
      <c r="E21790" s="626"/>
      <c r="F21790" s="626"/>
    </row>
    <row r="21791" spans="1:6">
      <c r="A21791" t="str">
        <f t="shared" si="340"/>
        <v/>
      </c>
      <c r="E21791" s="626"/>
      <c r="F21791" s="626"/>
    </row>
    <row r="21792" spans="1:6">
      <c r="A21792" t="str">
        <f t="shared" si="340"/>
        <v/>
      </c>
      <c r="E21792" s="626"/>
      <c r="F21792" s="626"/>
    </row>
    <row r="21793" spans="1:6">
      <c r="A21793" t="str">
        <f t="shared" si="340"/>
        <v/>
      </c>
      <c r="E21793" s="626"/>
      <c r="F21793" s="626"/>
    </row>
    <row r="21794" spans="1:6">
      <c r="A21794" t="str">
        <f t="shared" si="340"/>
        <v/>
      </c>
      <c r="E21794" s="626"/>
      <c r="F21794" s="626"/>
    </row>
    <row r="21795" spans="1:6">
      <c r="A21795" t="str">
        <f t="shared" si="340"/>
        <v/>
      </c>
      <c r="E21795" s="626"/>
      <c r="F21795" s="626"/>
    </row>
    <row r="21796" spans="1:6">
      <c r="A21796" t="str">
        <f t="shared" si="340"/>
        <v/>
      </c>
      <c r="E21796" s="626"/>
      <c r="F21796" s="626"/>
    </row>
    <row r="21797" spans="1:6">
      <c r="A21797" t="str">
        <f t="shared" si="340"/>
        <v/>
      </c>
      <c r="E21797" s="626"/>
      <c r="F21797" s="626"/>
    </row>
    <row r="21798" spans="1:6">
      <c r="A21798" t="str">
        <f t="shared" si="340"/>
        <v/>
      </c>
      <c r="E21798" s="626"/>
      <c r="F21798" s="626"/>
    </row>
    <row r="21799" spans="1:6">
      <c r="A21799" t="str">
        <f t="shared" si="340"/>
        <v/>
      </c>
      <c r="E21799" s="626"/>
      <c r="F21799" s="626"/>
    </row>
    <row r="21800" spans="1:6">
      <c r="A21800" t="str">
        <f t="shared" si="340"/>
        <v/>
      </c>
      <c r="E21800" s="626"/>
      <c r="F21800" s="626"/>
    </row>
    <row r="21801" spans="1:6">
      <c r="A21801" t="str">
        <f t="shared" si="340"/>
        <v/>
      </c>
      <c r="E21801" s="626"/>
      <c r="F21801" s="626"/>
    </row>
    <row r="21802" spans="1:6">
      <c r="A21802" t="str">
        <f t="shared" si="340"/>
        <v/>
      </c>
      <c r="E21802" s="626"/>
      <c r="F21802" s="626"/>
    </row>
    <row r="21803" spans="1:6">
      <c r="A21803" t="str">
        <f t="shared" si="340"/>
        <v/>
      </c>
      <c r="E21803" s="626"/>
      <c r="F21803" s="626"/>
    </row>
    <row r="21804" spans="1:6">
      <c r="A21804" t="str">
        <f t="shared" si="340"/>
        <v/>
      </c>
      <c r="E21804" s="626"/>
      <c r="F21804" s="626"/>
    </row>
    <row r="21805" spans="1:6">
      <c r="A21805" t="str">
        <f t="shared" si="340"/>
        <v/>
      </c>
      <c r="E21805" s="626"/>
      <c r="F21805" s="626"/>
    </row>
    <row r="21806" spans="1:6">
      <c r="A21806" t="str">
        <f t="shared" si="340"/>
        <v/>
      </c>
      <c r="E21806" s="626"/>
      <c r="F21806" s="626"/>
    </row>
    <row r="21807" spans="1:6">
      <c r="A21807" t="str">
        <f t="shared" si="340"/>
        <v/>
      </c>
      <c r="E21807" s="626"/>
      <c r="F21807" s="626"/>
    </row>
    <row r="21808" spans="1:6">
      <c r="A21808" t="str">
        <f t="shared" si="340"/>
        <v/>
      </c>
      <c r="E21808" s="626"/>
      <c r="F21808" s="626"/>
    </row>
    <row r="21809" spans="1:6">
      <c r="A21809" t="str">
        <f t="shared" si="340"/>
        <v/>
      </c>
      <c r="E21809" s="626"/>
      <c r="F21809" s="626"/>
    </row>
    <row r="21810" spans="1:6">
      <c r="A21810" t="str">
        <f t="shared" si="340"/>
        <v/>
      </c>
      <c r="E21810" s="626"/>
      <c r="F21810" s="626"/>
    </row>
    <row r="21811" spans="1:6">
      <c r="A21811" t="str">
        <f t="shared" si="340"/>
        <v/>
      </c>
      <c r="E21811" s="626"/>
      <c r="F21811" s="626"/>
    </row>
    <row r="21812" spans="1:6">
      <c r="A21812" t="str">
        <f t="shared" si="340"/>
        <v/>
      </c>
      <c r="E21812" s="626"/>
      <c r="F21812" s="626"/>
    </row>
    <row r="21813" spans="1:6">
      <c r="A21813" t="str">
        <f t="shared" si="340"/>
        <v/>
      </c>
      <c r="E21813" s="626"/>
      <c r="F21813" s="626"/>
    </row>
    <row r="21814" spans="1:6">
      <c r="A21814" t="str">
        <f t="shared" si="340"/>
        <v/>
      </c>
      <c r="E21814" s="626"/>
      <c r="F21814" s="626"/>
    </row>
    <row r="21815" spans="1:6">
      <c r="A21815" t="str">
        <f t="shared" si="340"/>
        <v/>
      </c>
      <c r="E21815" s="626"/>
      <c r="F21815" s="626"/>
    </row>
    <row r="21816" spans="1:6">
      <c r="A21816" t="str">
        <f t="shared" si="340"/>
        <v/>
      </c>
      <c r="E21816" s="626"/>
      <c r="F21816" s="626"/>
    </row>
    <row r="21817" spans="1:6">
      <c r="A21817" t="str">
        <f t="shared" si="340"/>
        <v/>
      </c>
      <c r="E21817" s="626"/>
      <c r="F21817" s="626"/>
    </row>
    <row r="21818" spans="1:6">
      <c r="A21818" t="str">
        <f t="shared" si="340"/>
        <v/>
      </c>
      <c r="E21818" s="626"/>
      <c r="F21818" s="626"/>
    </row>
    <row r="21819" spans="1:6">
      <c r="A21819" t="str">
        <f t="shared" si="340"/>
        <v/>
      </c>
      <c r="E21819" s="626"/>
      <c r="F21819" s="626"/>
    </row>
    <row r="21820" spans="1:6">
      <c r="A21820" t="str">
        <f t="shared" si="340"/>
        <v/>
      </c>
      <c r="E21820" s="626"/>
      <c r="F21820" s="626"/>
    </row>
    <row r="21821" spans="1:6">
      <c r="A21821" t="str">
        <f t="shared" si="340"/>
        <v/>
      </c>
      <c r="E21821" s="626"/>
      <c r="F21821" s="626"/>
    </row>
    <row r="21822" spans="1:6">
      <c r="A21822" t="str">
        <f t="shared" si="340"/>
        <v/>
      </c>
      <c r="E21822" s="626"/>
      <c r="F21822" s="626"/>
    </row>
    <row r="21823" spans="1:6">
      <c r="A21823" t="str">
        <f t="shared" si="340"/>
        <v/>
      </c>
      <c r="E21823" s="626"/>
      <c r="F21823" s="626"/>
    </row>
    <row r="21824" spans="1:6">
      <c r="A21824" t="str">
        <f t="shared" si="340"/>
        <v/>
      </c>
      <c r="E21824" s="626"/>
      <c r="F21824" s="626"/>
    </row>
    <row r="21825" spans="1:6">
      <c r="A21825" t="str">
        <f t="shared" si="340"/>
        <v/>
      </c>
      <c r="E21825" s="626"/>
      <c r="F21825" s="626"/>
    </row>
    <row r="21826" spans="1:6">
      <c r="A21826" t="str">
        <f t="shared" ref="A21826:A21889" si="341">B21826&amp;E21826&amp;J21826</f>
        <v/>
      </c>
      <c r="E21826" s="626"/>
      <c r="F21826" s="626"/>
    </row>
    <row r="21827" spans="1:6">
      <c r="A21827" t="str">
        <f t="shared" si="341"/>
        <v/>
      </c>
      <c r="E21827" s="626"/>
      <c r="F21827" s="626"/>
    </row>
    <row r="21828" spans="1:6">
      <c r="A21828" t="str">
        <f t="shared" si="341"/>
        <v/>
      </c>
      <c r="E21828" s="626"/>
      <c r="F21828" s="626"/>
    </row>
    <row r="21829" spans="1:6">
      <c r="A21829" t="str">
        <f t="shared" si="341"/>
        <v/>
      </c>
      <c r="E21829" s="626"/>
      <c r="F21829" s="626"/>
    </row>
    <row r="21830" spans="1:6">
      <c r="A21830" t="str">
        <f t="shared" si="341"/>
        <v/>
      </c>
      <c r="E21830" s="626"/>
      <c r="F21830" s="626"/>
    </row>
    <row r="21831" spans="1:6">
      <c r="A21831" t="str">
        <f t="shared" si="341"/>
        <v/>
      </c>
      <c r="E21831" s="626"/>
      <c r="F21831" s="626"/>
    </row>
    <row r="21832" spans="1:6">
      <c r="A21832" t="str">
        <f t="shared" si="341"/>
        <v/>
      </c>
      <c r="E21832" s="626"/>
      <c r="F21832" s="626"/>
    </row>
    <row r="21833" spans="1:6">
      <c r="A21833" t="str">
        <f t="shared" si="341"/>
        <v/>
      </c>
      <c r="E21833" s="626"/>
      <c r="F21833" s="626"/>
    </row>
    <row r="21834" spans="1:6">
      <c r="A21834" t="str">
        <f t="shared" si="341"/>
        <v/>
      </c>
      <c r="E21834" s="626"/>
      <c r="F21834" s="626"/>
    </row>
    <row r="21835" spans="1:6">
      <c r="A21835" t="str">
        <f t="shared" si="341"/>
        <v/>
      </c>
      <c r="E21835" s="626"/>
      <c r="F21835" s="626"/>
    </row>
    <row r="21836" spans="1:6">
      <c r="A21836" t="str">
        <f t="shared" si="341"/>
        <v/>
      </c>
      <c r="E21836" s="626"/>
      <c r="F21836" s="626"/>
    </row>
    <row r="21837" spans="1:6">
      <c r="A21837" t="str">
        <f t="shared" si="341"/>
        <v/>
      </c>
      <c r="E21837" s="626"/>
      <c r="F21837" s="626"/>
    </row>
    <row r="21838" spans="1:6">
      <c r="A21838" t="str">
        <f t="shared" si="341"/>
        <v/>
      </c>
      <c r="E21838" s="626"/>
      <c r="F21838" s="626"/>
    </row>
    <row r="21839" spans="1:6">
      <c r="A21839" t="str">
        <f t="shared" si="341"/>
        <v/>
      </c>
      <c r="E21839" s="626"/>
      <c r="F21839" s="626"/>
    </row>
    <row r="21840" spans="1:6">
      <c r="A21840" t="str">
        <f t="shared" si="341"/>
        <v/>
      </c>
      <c r="E21840" s="626"/>
      <c r="F21840" s="626"/>
    </row>
    <row r="21841" spans="1:6">
      <c r="A21841" t="str">
        <f t="shared" si="341"/>
        <v/>
      </c>
      <c r="E21841" s="626"/>
      <c r="F21841" s="626"/>
    </row>
    <row r="21842" spans="1:6">
      <c r="A21842" t="str">
        <f t="shared" si="341"/>
        <v/>
      </c>
      <c r="E21842" s="626"/>
      <c r="F21842" s="626"/>
    </row>
    <row r="21843" spans="1:6">
      <c r="A21843" t="str">
        <f t="shared" si="341"/>
        <v/>
      </c>
      <c r="E21843" s="626"/>
      <c r="F21843" s="626"/>
    </row>
    <row r="21844" spans="1:6">
      <c r="A21844" t="str">
        <f t="shared" si="341"/>
        <v/>
      </c>
      <c r="E21844" s="626"/>
      <c r="F21844" s="626"/>
    </row>
    <row r="21845" spans="1:6">
      <c r="A21845" t="str">
        <f t="shared" si="341"/>
        <v/>
      </c>
      <c r="E21845" s="626"/>
      <c r="F21845" s="626"/>
    </row>
    <row r="21846" spans="1:6">
      <c r="A21846" t="str">
        <f t="shared" si="341"/>
        <v/>
      </c>
      <c r="E21846" s="626"/>
      <c r="F21846" s="626"/>
    </row>
    <row r="21847" spans="1:6">
      <c r="A21847" t="str">
        <f t="shared" si="341"/>
        <v/>
      </c>
      <c r="E21847" s="626"/>
      <c r="F21847" s="626"/>
    </row>
    <row r="21848" spans="1:6">
      <c r="A21848" t="str">
        <f t="shared" si="341"/>
        <v/>
      </c>
      <c r="E21848" s="626"/>
      <c r="F21848" s="626"/>
    </row>
    <row r="21849" spans="1:6">
      <c r="A21849" t="str">
        <f t="shared" si="341"/>
        <v/>
      </c>
      <c r="E21849" s="626"/>
      <c r="F21849" s="626"/>
    </row>
    <row r="21850" spans="1:6">
      <c r="A21850" t="str">
        <f t="shared" si="341"/>
        <v/>
      </c>
      <c r="E21850" s="626"/>
      <c r="F21850" s="626"/>
    </row>
    <row r="21851" spans="1:6">
      <c r="A21851" t="str">
        <f t="shared" si="341"/>
        <v/>
      </c>
      <c r="E21851" s="626"/>
      <c r="F21851" s="626"/>
    </row>
    <row r="21852" spans="1:6">
      <c r="A21852" t="str">
        <f t="shared" si="341"/>
        <v/>
      </c>
      <c r="E21852" s="626"/>
      <c r="F21852" s="626"/>
    </row>
    <row r="21853" spans="1:6">
      <c r="A21853" t="str">
        <f t="shared" si="341"/>
        <v/>
      </c>
      <c r="E21853" s="626"/>
      <c r="F21853" s="626"/>
    </row>
    <row r="21854" spans="1:6">
      <c r="A21854" t="str">
        <f t="shared" si="341"/>
        <v/>
      </c>
      <c r="E21854" s="626"/>
      <c r="F21854" s="626"/>
    </row>
    <row r="21855" spans="1:6">
      <c r="A21855" t="str">
        <f t="shared" si="341"/>
        <v/>
      </c>
      <c r="E21855" s="626"/>
      <c r="F21855" s="626"/>
    </row>
    <row r="21856" spans="1:6">
      <c r="A21856" t="str">
        <f t="shared" si="341"/>
        <v/>
      </c>
      <c r="E21856" s="626"/>
      <c r="F21856" s="626"/>
    </row>
    <row r="21857" spans="1:6">
      <c r="A21857" t="str">
        <f t="shared" si="341"/>
        <v/>
      </c>
      <c r="E21857" s="626"/>
      <c r="F21857" s="626"/>
    </row>
    <row r="21858" spans="1:6">
      <c r="A21858" t="str">
        <f t="shared" si="341"/>
        <v/>
      </c>
      <c r="E21858" s="626"/>
      <c r="F21858" s="626"/>
    </row>
    <row r="21859" spans="1:6">
      <c r="A21859" t="str">
        <f t="shared" si="341"/>
        <v/>
      </c>
      <c r="E21859" s="626"/>
      <c r="F21859" s="626"/>
    </row>
    <row r="21860" spans="1:6">
      <c r="A21860" t="str">
        <f t="shared" si="341"/>
        <v/>
      </c>
      <c r="E21860" s="626"/>
      <c r="F21860" s="626"/>
    </row>
    <row r="21861" spans="1:6">
      <c r="A21861" t="str">
        <f t="shared" si="341"/>
        <v/>
      </c>
      <c r="E21861" s="626"/>
      <c r="F21861" s="626"/>
    </row>
    <row r="21862" spans="1:6">
      <c r="A21862" t="str">
        <f t="shared" si="341"/>
        <v/>
      </c>
      <c r="E21862" s="626"/>
      <c r="F21862" s="626"/>
    </row>
    <row r="21863" spans="1:6">
      <c r="A21863" t="str">
        <f t="shared" si="341"/>
        <v/>
      </c>
      <c r="E21863" s="626"/>
      <c r="F21863" s="626"/>
    </row>
    <row r="21864" spans="1:6">
      <c r="A21864" t="str">
        <f t="shared" si="341"/>
        <v/>
      </c>
      <c r="E21864" s="626"/>
      <c r="F21864" s="626"/>
    </row>
    <row r="21865" spans="1:6">
      <c r="A21865" t="str">
        <f t="shared" si="341"/>
        <v/>
      </c>
      <c r="E21865" s="626"/>
      <c r="F21865" s="626"/>
    </row>
    <row r="21866" spans="1:6">
      <c r="A21866" t="str">
        <f t="shared" si="341"/>
        <v/>
      </c>
      <c r="E21866" s="626"/>
      <c r="F21866" s="626"/>
    </row>
    <row r="21867" spans="1:6">
      <c r="A21867" t="str">
        <f t="shared" si="341"/>
        <v/>
      </c>
      <c r="E21867" s="626"/>
      <c r="F21867" s="626"/>
    </row>
    <row r="21868" spans="1:6">
      <c r="A21868" t="str">
        <f t="shared" si="341"/>
        <v/>
      </c>
      <c r="E21868" s="626"/>
      <c r="F21868" s="626"/>
    </row>
    <row r="21869" spans="1:6">
      <c r="A21869" t="str">
        <f t="shared" si="341"/>
        <v/>
      </c>
      <c r="E21869" s="626"/>
      <c r="F21869" s="626"/>
    </row>
    <row r="21870" spans="1:6">
      <c r="A21870" t="str">
        <f t="shared" si="341"/>
        <v/>
      </c>
      <c r="E21870" s="626"/>
      <c r="F21870" s="626"/>
    </row>
    <row r="21871" spans="1:6">
      <c r="A21871" t="str">
        <f t="shared" si="341"/>
        <v/>
      </c>
      <c r="E21871" s="626"/>
      <c r="F21871" s="626"/>
    </row>
    <row r="21872" spans="1:6">
      <c r="A21872" t="str">
        <f t="shared" si="341"/>
        <v/>
      </c>
      <c r="E21872" s="626"/>
      <c r="F21872" s="626"/>
    </row>
    <row r="21873" spans="1:6">
      <c r="A21873" t="str">
        <f t="shared" si="341"/>
        <v/>
      </c>
      <c r="E21873" s="626"/>
      <c r="F21873" s="626"/>
    </row>
    <row r="21874" spans="1:6">
      <c r="A21874" t="str">
        <f t="shared" si="341"/>
        <v/>
      </c>
      <c r="E21874" s="626"/>
      <c r="F21874" s="626"/>
    </row>
    <row r="21875" spans="1:6">
      <c r="A21875" t="str">
        <f t="shared" si="341"/>
        <v/>
      </c>
      <c r="E21875" s="626"/>
      <c r="F21875" s="626"/>
    </row>
    <row r="21876" spans="1:6">
      <c r="A21876" t="str">
        <f t="shared" si="341"/>
        <v/>
      </c>
      <c r="E21876" s="626"/>
      <c r="F21876" s="626"/>
    </row>
    <row r="21877" spans="1:6">
      <c r="A21877" t="str">
        <f t="shared" si="341"/>
        <v/>
      </c>
      <c r="E21877" s="626"/>
      <c r="F21877" s="626"/>
    </row>
    <row r="21878" spans="1:6">
      <c r="A21878" t="str">
        <f t="shared" si="341"/>
        <v/>
      </c>
      <c r="E21878" s="626"/>
      <c r="F21878" s="626"/>
    </row>
    <row r="21879" spans="1:6">
      <c r="A21879" t="str">
        <f t="shared" si="341"/>
        <v/>
      </c>
      <c r="E21879" s="626"/>
      <c r="F21879" s="626"/>
    </row>
    <row r="21880" spans="1:6">
      <c r="A21880" t="str">
        <f t="shared" si="341"/>
        <v/>
      </c>
      <c r="E21880" s="626"/>
      <c r="F21880" s="626"/>
    </row>
    <row r="21881" spans="1:6">
      <c r="A21881" t="str">
        <f t="shared" si="341"/>
        <v/>
      </c>
      <c r="E21881" s="626"/>
      <c r="F21881" s="626"/>
    </row>
    <row r="21882" spans="1:6">
      <c r="A21882" t="str">
        <f t="shared" si="341"/>
        <v/>
      </c>
      <c r="E21882" s="626"/>
      <c r="F21882" s="626"/>
    </row>
    <row r="21883" spans="1:6">
      <c r="A21883" t="str">
        <f t="shared" si="341"/>
        <v/>
      </c>
      <c r="E21883" s="626"/>
      <c r="F21883" s="626"/>
    </row>
    <row r="21884" spans="1:6">
      <c r="A21884" t="str">
        <f t="shared" si="341"/>
        <v/>
      </c>
      <c r="E21884" s="626"/>
      <c r="F21884" s="626"/>
    </row>
    <row r="21885" spans="1:6">
      <c r="A21885" t="str">
        <f t="shared" si="341"/>
        <v/>
      </c>
      <c r="E21885" s="626"/>
      <c r="F21885" s="626"/>
    </row>
    <row r="21886" spans="1:6">
      <c r="A21886" t="str">
        <f t="shared" si="341"/>
        <v/>
      </c>
      <c r="E21886" s="626"/>
      <c r="F21886" s="626"/>
    </row>
    <row r="21887" spans="1:6">
      <c r="A21887" t="str">
        <f t="shared" si="341"/>
        <v/>
      </c>
      <c r="E21887" s="626"/>
      <c r="F21887" s="626"/>
    </row>
    <row r="21888" spans="1:6">
      <c r="A21888" t="str">
        <f t="shared" si="341"/>
        <v/>
      </c>
      <c r="E21888" s="626"/>
      <c r="F21888" s="626"/>
    </row>
    <row r="21889" spans="1:6">
      <c r="A21889" t="str">
        <f t="shared" si="341"/>
        <v/>
      </c>
      <c r="E21889" s="626"/>
      <c r="F21889" s="626"/>
    </row>
    <row r="21890" spans="1:6">
      <c r="A21890" t="str">
        <f t="shared" ref="A21890:A21953" si="342">B21890&amp;E21890&amp;J21890</f>
        <v/>
      </c>
      <c r="E21890" s="626"/>
      <c r="F21890" s="626"/>
    </row>
    <row r="21891" spans="1:6">
      <c r="A21891" t="str">
        <f t="shared" si="342"/>
        <v/>
      </c>
      <c r="E21891" s="626"/>
      <c r="F21891" s="626"/>
    </row>
    <row r="21892" spans="1:6">
      <c r="A21892" t="str">
        <f t="shared" si="342"/>
        <v/>
      </c>
      <c r="E21892" s="626"/>
      <c r="F21892" s="626"/>
    </row>
    <row r="21893" spans="1:6">
      <c r="A21893" t="str">
        <f t="shared" si="342"/>
        <v/>
      </c>
      <c r="E21893" s="626"/>
      <c r="F21893" s="626"/>
    </row>
    <row r="21894" spans="1:6">
      <c r="A21894" t="str">
        <f t="shared" si="342"/>
        <v/>
      </c>
      <c r="E21894" s="626"/>
      <c r="F21894" s="626"/>
    </row>
    <row r="21895" spans="1:6">
      <c r="A21895" t="str">
        <f t="shared" si="342"/>
        <v/>
      </c>
      <c r="E21895" s="626"/>
      <c r="F21895" s="626"/>
    </row>
    <row r="21896" spans="1:6">
      <c r="A21896" t="str">
        <f t="shared" si="342"/>
        <v/>
      </c>
      <c r="E21896" s="626"/>
      <c r="F21896" s="626"/>
    </row>
    <row r="21897" spans="1:6">
      <c r="A21897" t="str">
        <f t="shared" si="342"/>
        <v/>
      </c>
      <c r="E21897" s="626"/>
      <c r="F21897" s="626"/>
    </row>
    <row r="21898" spans="1:6">
      <c r="A21898" t="str">
        <f t="shared" si="342"/>
        <v/>
      </c>
      <c r="E21898" s="626"/>
      <c r="F21898" s="626"/>
    </row>
    <row r="21899" spans="1:6">
      <c r="A21899" t="str">
        <f t="shared" si="342"/>
        <v/>
      </c>
      <c r="E21899" s="626"/>
      <c r="F21899" s="626"/>
    </row>
    <row r="21900" spans="1:6">
      <c r="A21900" t="str">
        <f t="shared" si="342"/>
        <v/>
      </c>
      <c r="E21900" s="626"/>
      <c r="F21900" s="626"/>
    </row>
    <row r="21901" spans="1:6">
      <c r="A21901" t="str">
        <f t="shared" si="342"/>
        <v/>
      </c>
      <c r="E21901" s="626"/>
      <c r="F21901" s="626"/>
    </row>
    <row r="21902" spans="1:6">
      <c r="A21902" t="str">
        <f t="shared" si="342"/>
        <v/>
      </c>
      <c r="E21902" s="626"/>
      <c r="F21902" s="626"/>
    </row>
    <row r="21903" spans="1:6">
      <c r="A21903" t="str">
        <f t="shared" si="342"/>
        <v/>
      </c>
      <c r="E21903" s="626"/>
      <c r="F21903" s="626"/>
    </row>
    <row r="21904" spans="1:6">
      <c r="A21904" t="str">
        <f t="shared" si="342"/>
        <v/>
      </c>
      <c r="E21904" s="626"/>
      <c r="F21904" s="626"/>
    </row>
    <row r="21905" spans="1:6">
      <c r="A21905" t="str">
        <f t="shared" si="342"/>
        <v/>
      </c>
      <c r="E21905" s="626"/>
      <c r="F21905" s="626"/>
    </row>
    <row r="21906" spans="1:6">
      <c r="A21906" t="str">
        <f t="shared" si="342"/>
        <v/>
      </c>
      <c r="E21906" s="626"/>
      <c r="F21906" s="626"/>
    </row>
    <row r="21907" spans="1:6">
      <c r="A21907" t="str">
        <f t="shared" si="342"/>
        <v/>
      </c>
      <c r="E21907" s="626"/>
      <c r="F21907" s="626"/>
    </row>
    <row r="21908" spans="1:6">
      <c r="A21908" t="str">
        <f t="shared" si="342"/>
        <v/>
      </c>
      <c r="E21908" s="626"/>
      <c r="F21908" s="626"/>
    </row>
    <row r="21909" spans="1:6">
      <c r="A21909" t="str">
        <f t="shared" si="342"/>
        <v/>
      </c>
      <c r="E21909" s="626"/>
      <c r="F21909" s="626"/>
    </row>
    <row r="21910" spans="1:6">
      <c r="A21910" t="str">
        <f t="shared" si="342"/>
        <v/>
      </c>
      <c r="E21910" s="626"/>
      <c r="F21910" s="626"/>
    </row>
    <row r="21911" spans="1:6">
      <c r="A21911" t="str">
        <f t="shared" si="342"/>
        <v/>
      </c>
      <c r="E21911" s="626"/>
      <c r="F21911" s="626"/>
    </row>
    <row r="21912" spans="1:6">
      <c r="A21912" t="str">
        <f t="shared" si="342"/>
        <v/>
      </c>
      <c r="E21912" s="626"/>
      <c r="F21912" s="626"/>
    </row>
    <row r="21913" spans="1:6">
      <c r="A21913" t="str">
        <f t="shared" si="342"/>
        <v/>
      </c>
      <c r="E21913" s="626"/>
      <c r="F21913" s="626"/>
    </row>
    <row r="21914" spans="1:6">
      <c r="A21914" t="str">
        <f t="shared" si="342"/>
        <v/>
      </c>
      <c r="E21914" s="626"/>
      <c r="F21914" s="626"/>
    </row>
    <row r="21915" spans="1:6">
      <c r="A21915" t="str">
        <f t="shared" si="342"/>
        <v/>
      </c>
      <c r="E21915" s="626"/>
      <c r="F21915" s="626"/>
    </row>
    <row r="21916" spans="1:6">
      <c r="A21916" t="str">
        <f t="shared" si="342"/>
        <v/>
      </c>
      <c r="E21916" s="626"/>
      <c r="F21916" s="626"/>
    </row>
    <row r="21917" spans="1:6">
      <c r="A21917" t="str">
        <f t="shared" si="342"/>
        <v/>
      </c>
      <c r="E21917" s="626"/>
      <c r="F21917" s="626"/>
    </row>
    <row r="21918" spans="1:6">
      <c r="A21918" t="str">
        <f t="shared" si="342"/>
        <v/>
      </c>
      <c r="E21918" s="626"/>
      <c r="F21918" s="626"/>
    </row>
    <row r="21919" spans="1:6">
      <c r="A21919" t="str">
        <f t="shared" si="342"/>
        <v/>
      </c>
      <c r="E21919" s="626"/>
      <c r="F21919" s="626"/>
    </row>
    <row r="21920" spans="1:6">
      <c r="A21920" t="str">
        <f t="shared" si="342"/>
        <v/>
      </c>
      <c r="E21920" s="626"/>
      <c r="F21920" s="626"/>
    </row>
    <row r="21921" spans="1:6">
      <c r="A21921" t="str">
        <f t="shared" si="342"/>
        <v/>
      </c>
      <c r="E21921" s="626"/>
      <c r="F21921" s="626"/>
    </row>
    <row r="21922" spans="1:6">
      <c r="A21922" t="str">
        <f t="shared" si="342"/>
        <v/>
      </c>
      <c r="E21922" s="626"/>
      <c r="F21922" s="626"/>
    </row>
    <row r="21923" spans="1:6">
      <c r="A21923" t="str">
        <f t="shared" si="342"/>
        <v/>
      </c>
      <c r="E21923" s="626"/>
      <c r="F21923" s="626"/>
    </row>
    <row r="21924" spans="1:6">
      <c r="A21924" t="str">
        <f t="shared" si="342"/>
        <v/>
      </c>
      <c r="E21924" s="626"/>
      <c r="F21924" s="626"/>
    </row>
    <row r="21925" spans="1:6">
      <c r="A21925" t="str">
        <f t="shared" si="342"/>
        <v/>
      </c>
      <c r="E21925" s="626"/>
      <c r="F21925" s="626"/>
    </row>
    <row r="21926" spans="1:6">
      <c r="A21926" t="str">
        <f t="shared" si="342"/>
        <v/>
      </c>
      <c r="E21926" s="626"/>
      <c r="F21926" s="626"/>
    </row>
    <row r="21927" spans="1:6">
      <c r="A21927" t="str">
        <f t="shared" si="342"/>
        <v/>
      </c>
      <c r="E21927" s="626"/>
      <c r="F21927" s="626"/>
    </row>
    <row r="21928" spans="1:6">
      <c r="A21928" t="str">
        <f t="shared" si="342"/>
        <v/>
      </c>
      <c r="E21928" s="626"/>
      <c r="F21928" s="626"/>
    </row>
    <row r="21929" spans="1:6">
      <c r="A21929" t="str">
        <f t="shared" si="342"/>
        <v/>
      </c>
      <c r="E21929" s="626"/>
      <c r="F21929" s="626"/>
    </row>
    <row r="21930" spans="1:6">
      <c r="A21930" t="str">
        <f t="shared" si="342"/>
        <v/>
      </c>
      <c r="E21930" s="626"/>
      <c r="F21930" s="626"/>
    </row>
    <row r="21931" spans="1:6">
      <c r="A21931" t="str">
        <f t="shared" si="342"/>
        <v/>
      </c>
      <c r="E21931" s="626"/>
      <c r="F21931" s="626"/>
    </row>
    <row r="21932" spans="1:6">
      <c r="A21932" t="str">
        <f t="shared" si="342"/>
        <v/>
      </c>
      <c r="E21932" s="626"/>
      <c r="F21932" s="626"/>
    </row>
    <row r="21933" spans="1:6">
      <c r="A21933" t="str">
        <f t="shared" si="342"/>
        <v/>
      </c>
      <c r="E21933" s="626"/>
      <c r="F21933" s="626"/>
    </row>
    <row r="21934" spans="1:6">
      <c r="A21934" t="str">
        <f t="shared" si="342"/>
        <v/>
      </c>
      <c r="E21934" s="626"/>
      <c r="F21934" s="626"/>
    </row>
    <row r="21935" spans="1:6">
      <c r="A21935" t="str">
        <f t="shared" si="342"/>
        <v/>
      </c>
      <c r="E21935" s="626"/>
      <c r="F21935" s="626"/>
    </row>
    <row r="21936" spans="1:6">
      <c r="A21936" t="str">
        <f t="shared" si="342"/>
        <v/>
      </c>
      <c r="E21936" s="626"/>
      <c r="F21936" s="626"/>
    </row>
    <row r="21937" spans="1:6">
      <c r="A21937" t="str">
        <f t="shared" si="342"/>
        <v/>
      </c>
      <c r="E21937" s="626"/>
      <c r="F21937" s="626"/>
    </row>
    <row r="21938" spans="1:6">
      <c r="A21938" t="str">
        <f t="shared" si="342"/>
        <v/>
      </c>
      <c r="E21938" s="626"/>
      <c r="F21938" s="626"/>
    </row>
    <row r="21939" spans="1:6">
      <c r="A21939" t="str">
        <f t="shared" si="342"/>
        <v/>
      </c>
      <c r="E21939" s="626"/>
      <c r="F21939" s="626"/>
    </row>
    <row r="21940" spans="1:6">
      <c r="A21940" t="str">
        <f t="shared" si="342"/>
        <v/>
      </c>
      <c r="E21940" s="626"/>
      <c r="F21940" s="626"/>
    </row>
    <row r="21941" spans="1:6">
      <c r="A21941" t="str">
        <f t="shared" si="342"/>
        <v/>
      </c>
      <c r="E21941" s="626"/>
      <c r="F21941" s="626"/>
    </row>
    <row r="21942" spans="1:6">
      <c r="A21942" t="str">
        <f t="shared" si="342"/>
        <v/>
      </c>
      <c r="E21942" s="626"/>
      <c r="F21942" s="626"/>
    </row>
    <row r="21943" spans="1:6">
      <c r="A21943" t="str">
        <f t="shared" si="342"/>
        <v/>
      </c>
      <c r="E21943" s="626"/>
      <c r="F21943" s="626"/>
    </row>
    <row r="21944" spans="1:6">
      <c r="A21944" t="str">
        <f t="shared" si="342"/>
        <v/>
      </c>
      <c r="E21944" s="626"/>
      <c r="F21944" s="626"/>
    </row>
    <row r="21945" spans="1:6">
      <c r="A21945" t="str">
        <f t="shared" si="342"/>
        <v/>
      </c>
      <c r="E21945" s="626"/>
      <c r="F21945" s="626"/>
    </row>
    <row r="21946" spans="1:6">
      <c r="A21946" t="str">
        <f t="shared" si="342"/>
        <v/>
      </c>
      <c r="E21946" s="626"/>
      <c r="F21946" s="626"/>
    </row>
    <row r="21947" spans="1:6">
      <c r="A21947" t="str">
        <f t="shared" si="342"/>
        <v/>
      </c>
      <c r="E21947" s="626"/>
      <c r="F21947" s="626"/>
    </row>
    <row r="21948" spans="1:6">
      <c r="A21948" t="str">
        <f t="shared" si="342"/>
        <v/>
      </c>
      <c r="E21948" s="626"/>
      <c r="F21948" s="626"/>
    </row>
    <row r="21949" spans="1:6">
      <c r="A21949" t="str">
        <f t="shared" si="342"/>
        <v/>
      </c>
      <c r="E21949" s="626"/>
      <c r="F21949" s="626"/>
    </row>
    <row r="21950" spans="1:6">
      <c r="A21950" t="str">
        <f t="shared" si="342"/>
        <v/>
      </c>
      <c r="E21950" s="626"/>
      <c r="F21950" s="626"/>
    </row>
    <row r="21951" spans="1:6">
      <c r="A21951" t="str">
        <f t="shared" si="342"/>
        <v/>
      </c>
      <c r="E21951" s="626"/>
      <c r="F21951" s="626"/>
    </row>
    <row r="21952" spans="1:6">
      <c r="A21952" t="str">
        <f t="shared" si="342"/>
        <v/>
      </c>
      <c r="E21952" s="626"/>
      <c r="F21952" s="626"/>
    </row>
    <row r="21953" spans="1:6">
      <c r="A21953" t="str">
        <f t="shared" si="342"/>
        <v/>
      </c>
      <c r="E21953" s="626"/>
      <c r="F21953" s="626"/>
    </row>
    <row r="21954" spans="1:6">
      <c r="A21954" t="str">
        <f t="shared" ref="A21954:A22017" si="343">B21954&amp;E21954&amp;J21954</f>
        <v/>
      </c>
      <c r="E21954" s="626"/>
      <c r="F21954" s="626"/>
    </row>
    <row r="21955" spans="1:6">
      <c r="A21955" t="str">
        <f t="shared" si="343"/>
        <v/>
      </c>
      <c r="E21955" s="626"/>
      <c r="F21955" s="626"/>
    </row>
    <row r="21956" spans="1:6">
      <c r="A21956" t="str">
        <f t="shared" si="343"/>
        <v/>
      </c>
      <c r="E21956" s="626"/>
      <c r="F21956" s="626"/>
    </row>
    <row r="21957" spans="1:6">
      <c r="A21957" t="str">
        <f t="shared" si="343"/>
        <v/>
      </c>
      <c r="E21957" s="626"/>
      <c r="F21957" s="626"/>
    </row>
    <row r="21958" spans="1:6">
      <c r="A21958" t="str">
        <f t="shared" si="343"/>
        <v/>
      </c>
      <c r="E21958" s="626"/>
      <c r="F21958" s="626"/>
    </row>
    <row r="21959" spans="1:6">
      <c r="A21959" t="str">
        <f t="shared" si="343"/>
        <v/>
      </c>
      <c r="E21959" s="626"/>
      <c r="F21959" s="626"/>
    </row>
    <row r="21960" spans="1:6">
      <c r="A21960" t="str">
        <f t="shared" si="343"/>
        <v/>
      </c>
      <c r="E21960" s="626"/>
      <c r="F21960" s="626"/>
    </row>
    <row r="21961" spans="1:6">
      <c r="A21961" t="str">
        <f t="shared" si="343"/>
        <v/>
      </c>
      <c r="E21961" s="626"/>
      <c r="F21961" s="626"/>
    </row>
    <row r="21962" spans="1:6">
      <c r="A21962" t="str">
        <f t="shared" si="343"/>
        <v/>
      </c>
      <c r="E21962" s="626"/>
      <c r="F21962" s="626"/>
    </row>
    <row r="21963" spans="1:6">
      <c r="A21963" t="str">
        <f t="shared" si="343"/>
        <v/>
      </c>
      <c r="E21963" s="626"/>
      <c r="F21963" s="626"/>
    </row>
    <row r="21964" spans="1:6">
      <c r="A21964" t="str">
        <f t="shared" si="343"/>
        <v/>
      </c>
      <c r="E21964" s="626"/>
      <c r="F21964" s="626"/>
    </row>
    <row r="21965" spans="1:6">
      <c r="A21965" t="str">
        <f t="shared" si="343"/>
        <v/>
      </c>
      <c r="E21965" s="626"/>
      <c r="F21965" s="626"/>
    </row>
    <row r="21966" spans="1:6">
      <c r="A21966" t="str">
        <f t="shared" si="343"/>
        <v/>
      </c>
      <c r="E21966" s="626"/>
      <c r="F21966" s="626"/>
    </row>
    <row r="21967" spans="1:6">
      <c r="A21967" t="str">
        <f t="shared" si="343"/>
        <v/>
      </c>
      <c r="E21967" s="626"/>
      <c r="F21967" s="626"/>
    </row>
    <row r="21968" spans="1:6">
      <c r="A21968" t="str">
        <f t="shared" si="343"/>
        <v/>
      </c>
      <c r="E21968" s="626"/>
      <c r="F21968" s="626"/>
    </row>
    <row r="21969" spans="1:6">
      <c r="A21969" t="str">
        <f t="shared" si="343"/>
        <v/>
      </c>
      <c r="E21969" s="626"/>
      <c r="F21969" s="626"/>
    </row>
    <row r="21970" spans="1:6">
      <c r="A21970" t="str">
        <f t="shared" si="343"/>
        <v/>
      </c>
      <c r="E21970" s="626"/>
      <c r="F21970" s="626"/>
    </row>
    <row r="21971" spans="1:6">
      <c r="A21971" t="str">
        <f t="shared" si="343"/>
        <v/>
      </c>
      <c r="E21971" s="626"/>
      <c r="F21971" s="626"/>
    </row>
    <row r="21972" spans="1:6">
      <c r="A21972" t="str">
        <f t="shared" si="343"/>
        <v/>
      </c>
      <c r="E21972" s="626"/>
      <c r="F21972" s="626"/>
    </row>
    <row r="21973" spans="1:6">
      <c r="A21973" t="str">
        <f t="shared" si="343"/>
        <v/>
      </c>
      <c r="E21973" s="626"/>
      <c r="F21973" s="626"/>
    </row>
    <row r="21974" spans="1:6">
      <c r="A21974" t="str">
        <f t="shared" si="343"/>
        <v/>
      </c>
      <c r="E21974" s="626"/>
      <c r="F21974" s="626"/>
    </row>
    <row r="21975" spans="1:6">
      <c r="A21975" t="str">
        <f t="shared" si="343"/>
        <v/>
      </c>
      <c r="E21975" s="626"/>
      <c r="F21975" s="626"/>
    </row>
    <row r="21976" spans="1:6">
      <c r="A21976" t="str">
        <f t="shared" si="343"/>
        <v/>
      </c>
      <c r="E21976" s="626"/>
      <c r="F21976" s="626"/>
    </row>
    <row r="21977" spans="1:6">
      <c r="A21977" t="str">
        <f t="shared" si="343"/>
        <v/>
      </c>
      <c r="E21977" s="626"/>
      <c r="F21977" s="626"/>
    </row>
    <row r="21978" spans="1:6">
      <c r="A21978" t="str">
        <f t="shared" si="343"/>
        <v/>
      </c>
      <c r="E21978" s="626"/>
      <c r="F21978" s="626"/>
    </row>
    <row r="21979" spans="1:6">
      <c r="A21979" t="str">
        <f t="shared" si="343"/>
        <v/>
      </c>
      <c r="E21979" s="626"/>
      <c r="F21979" s="626"/>
    </row>
    <row r="21980" spans="1:6">
      <c r="A21980" t="str">
        <f t="shared" si="343"/>
        <v/>
      </c>
      <c r="E21980" s="626"/>
      <c r="F21980" s="626"/>
    </row>
    <row r="21981" spans="1:6">
      <c r="A21981" t="str">
        <f t="shared" si="343"/>
        <v/>
      </c>
      <c r="E21981" s="626"/>
      <c r="F21981" s="626"/>
    </row>
    <row r="21982" spans="1:6">
      <c r="A21982" t="str">
        <f t="shared" si="343"/>
        <v/>
      </c>
      <c r="E21982" s="626"/>
      <c r="F21982" s="626"/>
    </row>
    <row r="21983" spans="1:6">
      <c r="A21983" t="str">
        <f t="shared" si="343"/>
        <v/>
      </c>
      <c r="E21983" s="626"/>
      <c r="F21983" s="626"/>
    </row>
    <row r="21984" spans="1:6">
      <c r="A21984" t="str">
        <f t="shared" si="343"/>
        <v/>
      </c>
      <c r="E21984" s="626"/>
      <c r="F21984" s="626"/>
    </row>
    <row r="21985" spans="1:6">
      <c r="A21985" t="str">
        <f t="shared" si="343"/>
        <v/>
      </c>
      <c r="E21985" s="626"/>
      <c r="F21985" s="626"/>
    </row>
    <row r="21986" spans="1:6">
      <c r="A21986" t="str">
        <f t="shared" si="343"/>
        <v/>
      </c>
      <c r="E21986" s="626"/>
      <c r="F21986" s="626"/>
    </row>
    <row r="21987" spans="1:6">
      <c r="A21987" t="str">
        <f t="shared" si="343"/>
        <v/>
      </c>
      <c r="E21987" s="626"/>
      <c r="F21987" s="626"/>
    </row>
    <row r="21988" spans="1:6">
      <c r="A21988" t="str">
        <f t="shared" si="343"/>
        <v/>
      </c>
      <c r="E21988" s="626"/>
      <c r="F21988" s="626"/>
    </row>
    <row r="21989" spans="1:6">
      <c r="A21989" t="str">
        <f t="shared" si="343"/>
        <v/>
      </c>
      <c r="E21989" s="626"/>
      <c r="F21989" s="626"/>
    </row>
    <row r="21990" spans="1:6">
      <c r="A21990" t="str">
        <f t="shared" si="343"/>
        <v/>
      </c>
      <c r="E21990" s="626"/>
      <c r="F21990" s="626"/>
    </row>
    <row r="21991" spans="1:6">
      <c r="A21991" t="str">
        <f t="shared" si="343"/>
        <v/>
      </c>
      <c r="E21991" s="626"/>
      <c r="F21991" s="626"/>
    </row>
    <row r="21992" spans="1:6">
      <c r="A21992" t="str">
        <f t="shared" si="343"/>
        <v/>
      </c>
      <c r="E21992" s="626"/>
      <c r="F21992" s="626"/>
    </row>
    <row r="21993" spans="1:6">
      <c r="A21993" t="str">
        <f t="shared" si="343"/>
        <v/>
      </c>
      <c r="E21993" s="626"/>
      <c r="F21993" s="626"/>
    </row>
    <row r="21994" spans="1:6">
      <c r="A21994" t="str">
        <f t="shared" si="343"/>
        <v/>
      </c>
      <c r="E21994" s="626"/>
      <c r="F21994" s="626"/>
    </row>
    <row r="21995" spans="1:6">
      <c r="A21995" t="str">
        <f t="shared" si="343"/>
        <v/>
      </c>
      <c r="E21995" s="626"/>
      <c r="F21995" s="626"/>
    </row>
    <row r="21996" spans="1:6">
      <c r="A21996" t="str">
        <f t="shared" si="343"/>
        <v/>
      </c>
      <c r="E21996" s="626"/>
      <c r="F21996" s="626"/>
    </row>
    <row r="21997" spans="1:6">
      <c r="A21997" t="str">
        <f t="shared" si="343"/>
        <v/>
      </c>
      <c r="E21997" s="626"/>
      <c r="F21997" s="626"/>
    </row>
    <row r="21998" spans="1:6">
      <c r="A21998" t="str">
        <f t="shared" si="343"/>
        <v/>
      </c>
      <c r="E21998" s="626"/>
      <c r="F21998" s="626"/>
    </row>
    <row r="21999" spans="1:6">
      <c r="A21999" t="str">
        <f t="shared" si="343"/>
        <v/>
      </c>
      <c r="E21999" s="626"/>
      <c r="F21999" s="626"/>
    </row>
    <row r="22000" spans="1:6">
      <c r="A22000" t="str">
        <f t="shared" si="343"/>
        <v/>
      </c>
      <c r="E22000" s="626"/>
      <c r="F22000" s="626"/>
    </row>
    <row r="22001" spans="1:6">
      <c r="A22001" t="str">
        <f t="shared" si="343"/>
        <v/>
      </c>
      <c r="E22001" s="626"/>
      <c r="F22001" s="626"/>
    </row>
    <row r="22002" spans="1:6">
      <c r="A22002" t="str">
        <f t="shared" si="343"/>
        <v/>
      </c>
      <c r="E22002" s="626"/>
      <c r="F22002" s="626"/>
    </row>
    <row r="22003" spans="1:6">
      <c r="A22003" t="str">
        <f t="shared" si="343"/>
        <v/>
      </c>
      <c r="E22003" s="626"/>
      <c r="F22003" s="626"/>
    </row>
    <row r="22004" spans="1:6">
      <c r="A22004" t="str">
        <f t="shared" si="343"/>
        <v/>
      </c>
      <c r="E22004" s="626"/>
      <c r="F22004" s="626"/>
    </row>
    <row r="22005" spans="1:6">
      <c r="A22005" t="str">
        <f t="shared" si="343"/>
        <v/>
      </c>
      <c r="E22005" s="626"/>
      <c r="F22005" s="626"/>
    </row>
    <row r="22006" spans="1:6">
      <c r="A22006" t="str">
        <f t="shared" si="343"/>
        <v/>
      </c>
      <c r="E22006" s="626"/>
      <c r="F22006" s="626"/>
    </row>
    <row r="22007" spans="1:6">
      <c r="A22007" t="str">
        <f t="shared" si="343"/>
        <v/>
      </c>
      <c r="E22007" s="626"/>
      <c r="F22007" s="626"/>
    </row>
    <row r="22008" spans="1:6">
      <c r="A22008" t="str">
        <f t="shared" si="343"/>
        <v/>
      </c>
      <c r="E22008" s="626"/>
      <c r="F22008" s="626"/>
    </row>
    <row r="22009" spans="1:6">
      <c r="A22009" t="str">
        <f t="shared" si="343"/>
        <v/>
      </c>
      <c r="E22009" s="626"/>
      <c r="F22009" s="626"/>
    </row>
    <row r="22010" spans="1:6">
      <c r="A22010" t="str">
        <f t="shared" si="343"/>
        <v/>
      </c>
      <c r="E22010" s="626"/>
      <c r="F22010" s="626"/>
    </row>
    <row r="22011" spans="1:6">
      <c r="A22011" t="str">
        <f t="shared" si="343"/>
        <v/>
      </c>
      <c r="E22011" s="626"/>
      <c r="F22011" s="626"/>
    </row>
    <row r="22012" spans="1:6">
      <c r="A22012" t="str">
        <f t="shared" si="343"/>
        <v/>
      </c>
      <c r="E22012" s="626"/>
      <c r="F22012" s="626"/>
    </row>
    <row r="22013" spans="1:6">
      <c r="A22013" t="str">
        <f t="shared" si="343"/>
        <v/>
      </c>
      <c r="E22013" s="626"/>
      <c r="F22013" s="626"/>
    </row>
    <row r="22014" spans="1:6">
      <c r="A22014" t="str">
        <f t="shared" si="343"/>
        <v/>
      </c>
      <c r="E22014" s="626"/>
      <c r="F22014" s="626"/>
    </row>
    <row r="22015" spans="1:6">
      <c r="A22015" t="str">
        <f t="shared" si="343"/>
        <v/>
      </c>
      <c r="E22015" s="626"/>
      <c r="F22015" s="626"/>
    </row>
    <row r="22016" spans="1:6">
      <c r="A22016" t="str">
        <f t="shared" si="343"/>
        <v/>
      </c>
      <c r="E22016" s="626"/>
      <c r="F22016" s="626"/>
    </row>
    <row r="22017" spans="1:6">
      <c r="A22017" t="str">
        <f t="shared" si="343"/>
        <v/>
      </c>
      <c r="E22017" s="626"/>
      <c r="F22017" s="626"/>
    </row>
    <row r="22018" spans="1:6">
      <c r="A22018" t="str">
        <f t="shared" ref="A22018:A22081" si="344">B22018&amp;E22018&amp;J22018</f>
        <v/>
      </c>
      <c r="E22018" s="626"/>
      <c r="F22018" s="626"/>
    </row>
    <row r="22019" spans="1:6">
      <c r="A22019" t="str">
        <f t="shared" si="344"/>
        <v/>
      </c>
      <c r="E22019" s="626"/>
      <c r="F22019" s="626"/>
    </row>
    <row r="22020" spans="1:6">
      <c r="A22020" t="str">
        <f t="shared" si="344"/>
        <v/>
      </c>
      <c r="E22020" s="626"/>
      <c r="F22020" s="626"/>
    </row>
    <row r="22021" spans="1:6">
      <c r="A22021" t="str">
        <f t="shared" si="344"/>
        <v/>
      </c>
      <c r="E22021" s="626"/>
      <c r="F22021" s="626"/>
    </row>
    <row r="22022" spans="1:6">
      <c r="A22022" t="str">
        <f t="shared" si="344"/>
        <v/>
      </c>
      <c r="E22022" s="626"/>
      <c r="F22022" s="626"/>
    </row>
    <row r="22023" spans="1:6">
      <c r="A22023" t="str">
        <f t="shared" si="344"/>
        <v/>
      </c>
      <c r="E22023" s="626"/>
      <c r="F22023" s="626"/>
    </row>
    <row r="22024" spans="1:6">
      <c r="A22024" t="str">
        <f t="shared" si="344"/>
        <v/>
      </c>
      <c r="E22024" s="626"/>
      <c r="F22024" s="626"/>
    </row>
    <row r="22025" spans="1:6">
      <c r="A22025" t="str">
        <f t="shared" si="344"/>
        <v/>
      </c>
      <c r="E22025" s="626"/>
      <c r="F22025" s="626"/>
    </row>
    <row r="22026" spans="1:6">
      <c r="A22026" t="str">
        <f t="shared" si="344"/>
        <v/>
      </c>
      <c r="E22026" s="626"/>
      <c r="F22026" s="626"/>
    </row>
    <row r="22027" spans="1:6">
      <c r="A22027" t="str">
        <f t="shared" si="344"/>
        <v/>
      </c>
      <c r="E22027" s="626"/>
      <c r="F22027" s="626"/>
    </row>
    <row r="22028" spans="1:6">
      <c r="A22028" t="str">
        <f t="shared" si="344"/>
        <v/>
      </c>
      <c r="E22028" s="626"/>
      <c r="F22028" s="626"/>
    </row>
    <row r="22029" spans="1:6">
      <c r="A22029" t="str">
        <f t="shared" si="344"/>
        <v/>
      </c>
      <c r="E22029" s="626"/>
      <c r="F22029" s="626"/>
    </row>
    <row r="22030" spans="1:6">
      <c r="A22030" t="str">
        <f t="shared" si="344"/>
        <v/>
      </c>
      <c r="E22030" s="626"/>
      <c r="F22030" s="626"/>
    </row>
    <row r="22031" spans="1:6">
      <c r="A22031" t="str">
        <f t="shared" si="344"/>
        <v/>
      </c>
      <c r="E22031" s="626"/>
      <c r="F22031" s="626"/>
    </row>
    <row r="22032" spans="1:6">
      <c r="A22032" t="str">
        <f t="shared" si="344"/>
        <v/>
      </c>
      <c r="E22032" s="626"/>
      <c r="F22032" s="626"/>
    </row>
    <row r="22033" spans="1:6">
      <c r="A22033" t="str">
        <f t="shared" si="344"/>
        <v/>
      </c>
      <c r="E22033" s="626"/>
      <c r="F22033" s="626"/>
    </row>
    <row r="22034" spans="1:6">
      <c r="A22034" t="str">
        <f t="shared" si="344"/>
        <v/>
      </c>
      <c r="E22034" s="626"/>
      <c r="F22034" s="626"/>
    </row>
    <row r="22035" spans="1:6">
      <c r="A22035" t="str">
        <f t="shared" si="344"/>
        <v/>
      </c>
      <c r="E22035" s="626"/>
      <c r="F22035" s="626"/>
    </row>
    <row r="22036" spans="1:6">
      <c r="A22036" t="str">
        <f t="shared" si="344"/>
        <v/>
      </c>
      <c r="E22036" s="626"/>
      <c r="F22036" s="626"/>
    </row>
    <row r="22037" spans="1:6">
      <c r="A22037" t="str">
        <f t="shared" si="344"/>
        <v/>
      </c>
      <c r="E22037" s="626"/>
      <c r="F22037" s="626"/>
    </row>
    <row r="22038" spans="1:6">
      <c r="A22038" t="str">
        <f t="shared" si="344"/>
        <v/>
      </c>
      <c r="E22038" s="626"/>
      <c r="F22038" s="626"/>
    </row>
    <row r="22039" spans="1:6">
      <c r="A22039" t="str">
        <f t="shared" si="344"/>
        <v/>
      </c>
      <c r="E22039" s="626"/>
      <c r="F22039" s="626"/>
    </row>
    <row r="22040" spans="1:6">
      <c r="A22040" t="str">
        <f t="shared" si="344"/>
        <v/>
      </c>
      <c r="E22040" s="626"/>
      <c r="F22040" s="626"/>
    </row>
    <row r="22041" spans="1:6">
      <c r="A22041" t="str">
        <f t="shared" si="344"/>
        <v/>
      </c>
      <c r="E22041" s="626"/>
      <c r="F22041" s="626"/>
    </row>
    <row r="22042" spans="1:6">
      <c r="A22042" t="str">
        <f t="shared" si="344"/>
        <v/>
      </c>
      <c r="E22042" s="626"/>
      <c r="F22042" s="626"/>
    </row>
    <row r="22043" spans="1:6">
      <c r="A22043" t="str">
        <f t="shared" si="344"/>
        <v/>
      </c>
      <c r="E22043" s="626"/>
      <c r="F22043" s="626"/>
    </row>
    <row r="22044" spans="1:6">
      <c r="A22044" t="str">
        <f t="shared" si="344"/>
        <v/>
      </c>
      <c r="E22044" s="626"/>
      <c r="F22044" s="626"/>
    </row>
    <row r="22045" spans="1:6">
      <c r="A22045" t="str">
        <f t="shared" si="344"/>
        <v/>
      </c>
      <c r="E22045" s="626"/>
      <c r="F22045" s="626"/>
    </row>
    <row r="22046" spans="1:6">
      <c r="A22046" t="str">
        <f t="shared" si="344"/>
        <v/>
      </c>
      <c r="E22046" s="626"/>
      <c r="F22046" s="626"/>
    </row>
    <row r="22047" spans="1:6">
      <c r="A22047" t="str">
        <f t="shared" si="344"/>
        <v/>
      </c>
      <c r="E22047" s="626"/>
      <c r="F22047" s="626"/>
    </row>
    <row r="22048" spans="1:6">
      <c r="A22048" t="str">
        <f t="shared" si="344"/>
        <v/>
      </c>
      <c r="E22048" s="626"/>
      <c r="F22048" s="626"/>
    </row>
    <row r="22049" spans="1:6">
      <c r="A22049" t="str">
        <f t="shared" si="344"/>
        <v/>
      </c>
      <c r="E22049" s="626"/>
      <c r="F22049" s="626"/>
    </row>
    <row r="22050" spans="1:6">
      <c r="A22050" t="str">
        <f t="shared" si="344"/>
        <v/>
      </c>
      <c r="E22050" s="626"/>
      <c r="F22050" s="626"/>
    </row>
    <row r="22051" spans="1:6">
      <c r="A22051" t="str">
        <f t="shared" si="344"/>
        <v/>
      </c>
      <c r="E22051" s="626"/>
      <c r="F22051" s="626"/>
    </row>
    <row r="22052" spans="1:6">
      <c r="A22052" t="str">
        <f t="shared" si="344"/>
        <v/>
      </c>
      <c r="E22052" s="626"/>
      <c r="F22052" s="626"/>
    </row>
    <row r="22053" spans="1:6">
      <c r="A22053" t="str">
        <f t="shared" si="344"/>
        <v/>
      </c>
      <c r="E22053" s="626"/>
      <c r="F22053" s="626"/>
    </row>
    <row r="22054" spans="1:6">
      <c r="A22054" t="str">
        <f t="shared" si="344"/>
        <v/>
      </c>
      <c r="E22054" s="626"/>
      <c r="F22054" s="626"/>
    </row>
    <row r="22055" spans="1:6">
      <c r="A22055" t="str">
        <f t="shared" si="344"/>
        <v/>
      </c>
      <c r="E22055" s="626"/>
      <c r="F22055" s="626"/>
    </row>
    <row r="22056" spans="1:6">
      <c r="A22056" t="str">
        <f t="shared" si="344"/>
        <v/>
      </c>
      <c r="E22056" s="626"/>
      <c r="F22056" s="626"/>
    </row>
    <row r="22057" spans="1:6">
      <c r="A22057" t="str">
        <f t="shared" si="344"/>
        <v/>
      </c>
      <c r="E22057" s="626"/>
      <c r="F22057" s="626"/>
    </row>
    <row r="22058" spans="1:6">
      <c r="A22058" t="str">
        <f t="shared" si="344"/>
        <v/>
      </c>
      <c r="E22058" s="626"/>
      <c r="F22058" s="626"/>
    </row>
    <row r="22059" spans="1:6">
      <c r="A22059" t="str">
        <f t="shared" si="344"/>
        <v/>
      </c>
      <c r="E22059" s="626"/>
      <c r="F22059" s="626"/>
    </row>
    <row r="22060" spans="1:6">
      <c r="A22060" t="str">
        <f t="shared" si="344"/>
        <v/>
      </c>
      <c r="E22060" s="626"/>
      <c r="F22060" s="626"/>
    </row>
    <row r="22061" spans="1:6">
      <c r="A22061" t="str">
        <f t="shared" si="344"/>
        <v/>
      </c>
      <c r="E22061" s="626"/>
      <c r="F22061" s="626"/>
    </row>
    <row r="22062" spans="1:6">
      <c r="A22062" t="str">
        <f t="shared" si="344"/>
        <v/>
      </c>
      <c r="E22062" s="626"/>
      <c r="F22062" s="626"/>
    </row>
    <row r="22063" spans="1:6">
      <c r="A22063" t="str">
        <f t="shared" si="344"/>
        <v/>
      </c>
      <c r="E22063" s="626"/>
      <c r="F22063" s="626"/>
    </row>
    <row r="22064" spans="1:6">
      <c r="A22064" t="str">
        <f t="shared" si="344"/>
        <v/>
      </c>
      <c r="E22064" s="626"/>
      <c r="F22064" s="626"/>
    </row>
    <row r="22065" spans="1:6">
      <c r="A22065" t="str">
        <f t="shared" si="344"/>
        <v/>
      </c>
      <c r="E22065" s="626"/>
      <c r="F22065" s="626"/>
    </row>
    <row r="22066" spans="1:6">
      <c r="A22066" t="str">
        <f t="shared" si="344"/>
        <v/>
      </c>
      <c r="E22066" s="626"/>
      <c r="F22066" s="626"/>
    </row>
    <row r="22067" spans="1:6">
      <c r="A22067" t="str">
        <f t="shared" si="344"/>
        <v/>
      </c>
      <c r="E22067" s="626"/>
      <c r="F22067" s="626"/>
    </row>
    <row r="22068" spans="1:6">
      <c r="A22068" t="str">
        <f t="shared" si="344"/>
        <v/>
      </c>
      <c r="E22068" s="626"/>
      <c r="F22068" s="626"/>
    </row>
    <row r="22069" spans="1:6">
      <c r="A22069" t="str">
        <f t="shared" si="344"/>
        <v/>
      </c>
      <c r="E22069" s="626"/>
      <c r="F22069" s="626"/>
    </row>
    <row r="22070" spans="1:6">
      <c r="A22070" t="str">
        <f t="shared" si="344"/>
        <v/>
      </c>
      <c r="E22070" s="626"/>
      <c r="F22070" s="626"/>
    </row>
    <row r="22071" spans="1:6">
      <c r="A22071" t="str">
        <f t="shared" si="344"/>
        <v/>
      </c>
      <c r="E22071" s="626"/>
      <c r="F22071" s="626"/>
    </row>
    <row r="22072" spans="1:6">
      <c r="A22072" t="str">
        <f t="shared" si="344"/>
        <v/>
      </c>
      <c r="E22072" s="626"/>
      <c r="F22072" s="626"/>
    </row>
    <row r="22073" spans="1:6">
      <c r="A22073" t="str">
        <f t="shared" si="344"/>
        <v/>
      </c>
      <c r="E22073" s="626"/>
      <c r="F22073" s="626"/>
    </row>
    <row r="22074" spans="1:6">
      <c r="A22074" t="str">
        <f t="shared" si="344"/>
        <v/>
      </c>
      <c r="E22074" s="626"/>
      <c r="F22074" s="626"/>
    </row>
    <row r="22075" spans="1:6">
      <c r="A22075" t="str">
        <f t="shared" si="344"/>
        <v/>
      </c>
      <c r="E22075" s="626"/>
      <c r="F22075" s="626"/>
    </row>
    <row r="22076" spans="1:6">
      <c r="A22076" t="str">
        <f t="shared" si="344"/>
        <v/>
      </c>
      <c r="E22076" s="626"/>
      <c r="F22076" s="626"/>
    </row>
    <row r="22077" spans="1:6">
      <c r="A22077" t="str">
        <f t="shared" si="344"/>
        <v/>
      </c>
      <c r="E22077" s="626"/>
      <c r="F22077" s="626"/>
    </row>
    <row r="22078" spans="1:6">
      <c r="A22078" t="str">
        <f t="shared" si="344"/>
        <v/>
      </c>
      <c r="E22078" s="626"/>
      <c r="F22078" s="626"/>
    </row>
    <row r="22079" spans="1:6">
      <c r="A22079" t="str">
        <f t="shared" si="344"/>
        <v/>
      </c>
      <c r="E22079" s="626"/>
      <c r="F22079" s="626"/>
    </row>
    <row r="22080" spans="1:6">
      <c r="A22080" t="str">
        <f t="shared" si="344"/>
        <v/>
      </c>
      <c r="E22080" s="626"/>
      <c r="F22080" s="626"/>
    </row>
    <row r="22081" spans="1:6">
      <c r="A22081" t="str">
        <f t="shared" si="344"/>
        <v/>
      </c>
      <c r="E22081" s="626"/>
      <c r="F22081" s="626"/>
    </row>
    <row r="22082" spans="1:6">
      <c r="A22082" t="str">
        <f t="shared" ref="A22082:A22145" si="345">B22082&amp;E22082&amp;J22082</f>
        <v/>
      </c>
      <c r="E22082" s="626"/>
      <c r="F22082" s="626"/>
    </row>
    <row r="22083" spans="1:6">
      <c r="A22083" t="str">
        <f t="shared" si="345"/>
        <v/>
      </c>
      <c r="E22083" s="626"/>
      <c r="F22083" s="626"/>
    </row>
    <row r="22084" spans="1:6">
      <c r="A22084" t="str">
        <f t="shared" si="345"/>
        <v/>
      </c>
      <c r="E22084" s="626"/>
      <c r="F22084" s="626"/>
    </row>
    <row r="22085" spans="1:6">
      <c r="A22085" t="str">
        <f t="shared" si="345"/>
        <v/>
      </c>
      <c r="E22085" s="626"/>
      <c r="F22085" s="626"/>
    </row>
    <row r="22086" spans="1:6">
      <c r="A22086" t="str">
        <f t="shared" si="345"/>
        <v/>
      </c>
      <c r="E22086" s="626"/>
      <c r="F22086" s="626"/>
    </row>
    <row r="22087" spans="1:6">
      <c r="A22087" t="str">
        <f t="shared" si="345"/>
        <v/>
      </c>
      <c r="E22087" s="626"/>
      <c r="F22087" s="626"/>
    </row>
    <row r="22088" spans="1:6">
      <c r="A22088" t="str">
        <f t="shared" si="345"/>
        <v/>
      </c>
      <c r="E22088" s="626"/>
      <c r="F22088" s="626"/>
    </row>
    <row r="22089" spans="1:6">
      <c r="A22089" t="str">
        <f t="shared" si="345"/>
        <v/>
      </c>
      <c r="E22089" s="626"/>
      <c r="F22089" s="626"/>
    </row>
    <row r="22090" spans="1:6">
      <c r="A22090" t="str">
        <f t="shared" si="345"/>
        <v/>
      </c>
      <c r="E22090" s="626"/>
      <c r="F22090" s="626"/>
    </row>
    <row r="22091" spans="1:6">
      <c r="A22091" t="str">
        <f t="shared" si="345"/>
        <v/>
      </c>
      <c r="E22091" s="626"/>
      <c r="F22091" s="626"/>
    </row>
    <row r="22092" spans="1:6">
      <c r="A22092" t="str">
        <f t="shared" si="345"/>
        <v/>
      </c>
      <c r="E22092" s="626"/>
      <c r="F22092" s="626"/>
    </row>
    <row r="22093" spans="1:6">
      <c r="A22093" t="str">
        <f t="shared" si="345"/>
        <v/>
      </c>
      <c r="E22093" s="626"/>
      <c r="F22093" s="626"/>
    </row>
    <row r="22094" spans="1:6">
      <c r="A22094" t="str">
        <f t="shared" si="345"/>
        <v/>
      </c>
      <c r="E22094" s="626"/>
      <c r="F22094" s="626"/>
    </row>
    <row r="22095" spans="1:6">
      <c r="A22095" t="str">
        <f t="shared" si="345"/>
        <v/>
      </c>
      <c r="E22095" s="626"/>
      <c r="F22095" s="626"/>
    </row>
    <row r="22096" spans="1:6">
      <c r="A22096" t="str">
        <f t="shared" si="345"/>
        <v/>
      </c>
      <c r="E22096" s="626"/>
      <c r="F22096" s="626"/>
    </row>
    <row r="22097" spans="1:6">
      <c r="A22097" t="str">
        <f t="shared" si="345"/>
        <v/>
      </c>
      <c r="E22097" s="626"/>
      <c r="F22097" s="626"/>
    </row>
    <row r="22098" spans="1:6">
      <c r="A22098" t="str">
        <f t="shared" si="345"/>
        <v/>
      </c>
      <c r="E22098" s="626"/>
      <c r="F22098" s="626"/>
    </row>
    <row r="22099" spans="1:6">
      <c r="A22099" t="str">
        <f t="shared" si="345"/>
        <v/>
      </c>
      <c r="E22099" s="626"/>
      <c r="F22099" s="626"/>
    </row>
    <row r="22100" spans="1:6">
      <c r="A22100" t="str">
        <f t="shared" si="345"/>
        <v/>
      </c>
      <c r="E22100" s="626"/>
      <c r="F22100" s="626"/>
    </row>
    <row r="22101" spans="1:6">
      <c r="A22101" t="str">
        <f t="shared" si="345"/>
        <v/>
      </c>
      <c r="E22101" s="626"/>
      <c r="F22101" s="626"/>
    </row>
    <row r="22102" spans="1:6">
      <c r="A22102" t="str">
        <f t="shared" si="345"/>
        <v/>
      </c>
      <c r="E22102" s="626"/>
      <c r="F22102" s="626"/>
    </row>
    <row r="22103" spans="1:6">
      <c r="A22103" t="str">
        <f t="shared" si="345"/>
        <v/>
      </c>
      <c r="E22103" s="626"/>
      <c r="F22103" s="626"/>
    </row>
    <row r="22104" spans="1:6">
      <c r="A22104" t="str">
        <f t="shared" si="345"/>
        <v/>
      </c>
      <c r="E22104" s="626"/>
      <c r="F22104" s="626"/>
    </row>
    <row r="22105" spans="1:6">
      <c r="A22105" t="str">
        <f t="shared" si="345"/>
        <v/>
      </c>
      <c r="E22105" s="626"/>
      <c r="F22105" s="626"/>
    </row>
    <row r="22106" spans="1:6">
      <c r="A22106" t="str">
        <f t="shared" si="345"/>
        <v/>
      </c>
      <c r="E22106" s="626"/>
      <c r="F22106" s="626"/>
    </row>
    <row r="22107" spans="1:6">
      <c r="A22107" t="str">
        <f t="shared" si="345"/>
        <v/>
      </c>
      <c r="E22107" s="626"/>
      <c r="F22107" s="626"/>
    </row>
    <row r="22108" spans="1:6">
      <c r="A22108" t="str">
        <f t="shared" si="345"/>
        <v/>
      </c>
      <c r="E22108" s="626"/>
      <c r="F22108" s="626"/>
    </row>
    <row r="22109" spans="1:6">
      <c r="A22109" t="str">
        <f t="shared" si="345"/>
        <v/>
      </c>
      <c r="E22109" s="626"/>
      <c r="F22109" s="626"/>
    </row>
    <row r="22110" spans="1:6">
      <c r="A22110" t="str">
        <f t="shared" si="345"/>
        <v/>
      </c>
      <c r="E22110" s="626"/>
      <c r="F22110" s="626"/>
    </row>
    <row r="22111" spans="1:6">
      <c r="A22111" t="str">
        <f t="shared" si="345"/>
        <v/>
      </c>
      <c r="E22111" s="626"/>
      <c r="F22111" s="626"/>
    </row>
    <row r="22112" spans="1:6">
      <c r="A22112" t="str">
        <f t="shared" si="345"/>
        <v/>
      </c>
      <c r="E22112" s="626"/>
      <c r="F22112" s="626"/>
    </row>
    <row r="22113" spans="1:6">
      <c r="A22113" t="str">
        <f t="shared" si="345"/>
        <v/>
      </c>
      <c r="E22113" s="626"/>
      <c r="F22113" s="626"/>
    </row>
    <row r="22114" spans="1:6">
      <c r="A22114" t="str">
        <f t="shared" si="345"/>
        <v/>
      </c>
      <c r="E22114" s="626"/>
      <c r="F22114" s="626"/>
    </row>
    <row r="22115" spans="1:6">
      <c r="A22115" t="str">
        <f t="shared" si="345"/>
        <v/>
      </c>
      <c r="E22115" s="626"/>
      <c r="F22115" s="626"/>
    </row>
    <row r="22116" spans="1:6">
      <c r="A22116" t="str">
        <f t="shared" si="345"/>
        <v/>
      </c>
      <c r="E22116" s="626"/>
      <c r="F22116" s="626"/>
    </row>
    <row r="22117" spans="1:6">
      <c r="A22117" t="str">
        <f t="shared" si="345"/>
        <v/>
      </c>
      <c r="E22117" s="626"/>
      <c r="F22117" s="626"/>
    </row>
    <row r="22118" spans="1:6">
      <c r="A22118" t="str">
        <f t="shared" si="345"/>
        <v/>
      </c>
      <c r="E22118" s="626"/>
      <c r="F22118" s="626"/>
    </row>
    <row r="22119" spans="1:6">
      <c r="A22119" t="str">
        <f t="shared" si="345"/>
        <v/>
      </c>
      <c r="E22119" s="626"/>
      <c r="F22119" s="626"/>
    </row>
    <row r="22120" spans="1:6">
      <c r="A22120" t="str">
        <f t="shared" si="345"/>
        <v/>
      </c>
      <c r="E22120" s="626"/>
      <c r="F22120" s="626"/>
    </row>
    <row r="22121" spans="1:6">
      <c r="A22121" t="str">
        <f t="shared" si="345"/>
        <v/>
      </c>
      <c r="E22121" s="626"/>
      <c r="F22121" s="626"/>
    </row>
    <row r="22122" spans="1:6">
      <c r="A22122" t="str">
        <f t="shared" si="345"/>
        <v/>
      </c>
      <c r="E22122" s="626"/>
      <c r="F22122" s="626"/>
    </row>
    <row r="22123" spans="1:6">
      <c r="A22123" t="str">
        <f t="shared" si="345"/>
        <v/>
      </c>
      <c r="E22123" s="626"/>
      <c r="F22123" s="626"/>
    </row>
    <row r="22124" spans="1:6">
      <c r="A22124" t="str">
        <f t="shared" si="345"/>
        <v/>
      </c>
      <c r="E22124" s="626"/>
      <c r="F22124" s="626"/>
    </row>
    <row r="22125" spans="1:6">
      <c r="A22125" t="str">
        <f t="shared" si="345"/>
        <v/>
      </c>
      <c r="E22125" s="626"/>
      <c r="F22125" s="626"/>
    </row>
    <row r="22126" spans="1:6">
      <c r="A22126" t="str">
        <f t="shared" si="345"/>
        <v/>
      </c>
      <c r="E22126" s="626"/>
      <c r="F22126" s="626"/>
    </row>
    <row r="22127" spans="1:6">
      <c r="A22127" t="str">
        <f t="shared" si="345"/>
        <v/>
      </c>
      <c r="E22127" s="626"/>
      <c r="F22127" s="626"/>
    </row>
    <row r="22128" spans="1:6">
      <c r="A22128" t="str">
        <f t="shared" si="345"/>
        <v/>
      </c>
      <c r="E22128" s="626"/>
      <c r="F22128" s="626"/>
    </row>
    <row r="22129" spans="1:6">
      <c r="A22129" t="str">
        <f t="shared" si="345"/>
        <v/>
      </c>
      <c r="E22129" s="626"/>
      <c r="F22129" s="626"/>
    </row>
    <row r="22130" spans="1:6">
      <c r="A22130" t="str">
        <f t="shared" si="345"/>
        <v/>
      </c>
      <c r="E22130" s="626"/>
      <c r="F22130" s="626"/>
    </row>
    <row r="22131" spans="1:6">
      <c r="A22131" t="str">
        <f t="shared" si="345"/>
        <v/>
      </c>
      <c r="E22131" s="626"/>
      <c r="F22131" s="626"/>
    </row>
    <row r="22132" spans="1:6">
      <c r="A22132" t="str">
        <f t="shared" si="345"/>
        <v/>
      </c>
      <c r="E22132" s="626"/>
      <c r="F22132" s="626"/>
    </row>
    <row r="22133" spans="1:6">
      <c r="A22133" t="str">
        <f t="shared" si="345"/>
        <v/>
      </c>
      <c r="E22133" s="626"/>
      <c r="F22133" s="626"/>
    </row>
    <row r="22134" spans="1:6">
      <c r="A22134" t="str">
        <f t="shared" si="345"/>
        <v/>
      </c>
      <c r="E22134" s="626"/>
      <c r="F22134" s="626"/>
    </row>
    <row r="22135" spans="1:6">
      <c r="A22135" t="str">
        <f t="shared" si="345"/>
        <v/>
      </c>
      <c r="E22135" s="626"/>
      <c r="F22135" s="626"/>
    </row>
    <row r="22136" spans="1:6">
      <c r="A22136" t="str">
        <f t="shared" si="345"/>
        <v/>
      </c>
      <c r="E22136" s="626"/>
      <c r="F22136" s="626"/>
    </row>
    <row r="22137" spans="1:6">
      <c r="A22137" t="str">
        <f t="shared" si="345"/>
        <v/>
      </c>
      <c r="E22137" s="626"/>
      <c r="F22137" s="626"/>
    </row>
    <row r="22138" spans="1:6">
      <c r="A22138" t="str">
        <f t="shared" si="345"/>
        <v/>
      </c>
      <c r="E22138" s="626"/>
      <c r="F22138" s="626"/>
    </row>
    <row r="22139" spans="1:6">
      <c r="A22139" t="str">
        <f t="shared" si="345"/>
        <v/>
      </c>
      <c r="E22139" s="626"/>
      <c r="F22139" s="626"/>
    </row>
    <row r="22140" spans="1:6">
      <c r="A22140" t="str">
        <f t="shared" si="345"/>
        <v/>
      </c>
      <c r="E22140" s="626"/>
      <c r="F22140" s="626"/>
    </row>
    <row r="22141" spans="1:6">
      <c r="A22141" t="str">
        <f t="shared" si="345"/>
        <v/>
      </c>
      <c r="E22141" s="626"/>
      <c r="F22141" s="626"/>
    </row>
    <row r="22142" spans="1:6">
      <c r="A22142" t="str">
        <f t="shared" si="345"/>
        <v/>
      </c>
      <c r="E22142" s="626"/>
      <c r="F22142" s="626"/>
    </row>
    <row r="22143" spans="1:6">
      <c r="A22143" t="str">
        <f t="shared" si="345"/>
        <v/>
      </c>
      <c r="E22143" s="626"/>
      <c r="F22143" s="626"/>
    </row>
    <row r="22144" spans="1:6">
      <c r="A22144" t="str">
        <f t="shared" si="345"/>
        <v/>
      </c>
      <c r="E22144" s="626"/>
      <c r="F22144" s="626"/>
    </row>
    <row r="22145" spans="1:6">
      <c r="A22145" t="str">
        <f t="shared" si="345"/>
        <v/>
      </c>
      <c r="E22145" s="626"/>
      <c r="F22145" s="626"/>
    </row>
    <row r="22146" spans="1:6">
      <c r="A22146" t="str">
        <f t="shared" ref="A22146:A22209" si="346">B22146&amp;E22146&amp;J22146</f>
        <v/>
      </c>
      <c r="E22146" s="626"/>
      <c r="F22146" s="626"/>
    </row>
    <row r="22147" spans="1:6">
      <c r="A22147" t="str">
        <f t="shared" si="346"/>
        <v/>
      </c>
      <c r="E22147" s="626"/>
      <c r="F22147" s="626"/>
    </row>
    <row r="22148" spans="1:6">
      <c r="A22148" t="str">
        <f t="shared" si="346"/>
        <v/>
      </c>
      <c r="E22148" s="626"/>
      <c r="F22148" s="626"/>
    </row>
    <row r="22149" spans="1:6">
      <c r="A22149" t="str">
        <f t="shared" si="346"/>
        <v/>
      </c>
      <c r="E22149" s="626"/>
      <c r="F22149" s="626"/>
    </row>
    <row r="22150" spans="1:6">
      <c r="A22150" t="str">
        <f t="shared" si="346"/>
        <v/>
      </c>
      <c r="E22150" s="626"/>
      <c r="F22150" s="626"/>
    </row>
    <row r="22151" spans="1:6">
      <c r="A22151" t="str">
        <f t="shared" si="346"/>
        <v/>
      </c>
      <c r="E22151" s="626"/>
      <c r="F22151" s="626"/>
    </row>
    <row r="22152" spans="1:6">
      <c r="A22152" t="str">
        <f t="shared" si="346"/>
        <v/>
      </c>
      <c r="E22152" s="626"/>
      <c r="F22152" s="626"/>
    </row>
    <row r="22153" spans="1:6">
      <c r="A22153" t="str">
        <f t="shared" si="346"/>
        <v/>
      </c>
      <c r="E22153" s="626"/>
      <c r="F22153" s="626"/>
    </row>
    <row r="22154" spans="1:6">
      <c r="A22154" t="str">
        <f t="shared" si="346"/>
        <v/>
      </c>
      <c r="E22154" s="626"/>
      <c r="F22154" s="626"/>
    </row>
    <row r="22155" spans="1:6">
      <c r="A22155" t="str">
        <f t="shared" si="346"/>
        <v/>
      </c>
      <c r="E22155" s="626"/>
      <c r="F22155" s="626"/>
    </row>
    <row r="22156" spans="1:6">
      <c r="A22156" t="str">
        <f t="shared" si="346"/>
        <v/>
      </c>
      <c r="E22156" s="626"/>
      <c r="F22156" s="626"/>
    </row>
    <row r="22157" spans="1:6">
      <c r="A22157" t="str">
        <f t="shared" si="346"/>
        <v/>
      </c>
      <c r="E22157" s="626"/>
      <c r="F22157" s="626"/>
    </row>
    <row r="22158" spans="1:6">
      <c r="A22158" t="str">
        <f t="shared" si="346"/>
        <v/>
      </c>
      <c r="E22158" s="626"/>
      <c r="F22158" s="626"/>
    </row>
    <row r="22159" spans="1:6">
      <c r="A22159" t="str">
        <f t="shared" si="346"/>
        <v/>
      </c>
      <c r="E22159" s="626"/>
      <c r="F22159" s="626"/>
    </row>
    <row r="22160" spans="1:6">
      <c r="A22160" t="str">
        <f t="shared" si="346"/>
        <v/>
      </c>
      <c r="E22160" s="626"/>
      <c r="F22160" s="626"/>
    </row>
    <row r="22161" spans="1:6">
      <c r="A22161" t="str">
        <f t="shared" si="346"/>
        <v/>
      </c>
      <c r="E22161" s="626"/>
      <c r="F22161" s="626"/>
    </row>
    <row r="22162" spans="1:6">
      <c r="A22162" t="str">
        <f t="shared" si="346"/>
        <v/>
      </c>
      <c r="E22162" s="626"/>
      <c r="F22162" s="626"/>
    </row>
    <row r="22163" spans="1:6">
      <c r="A22163" t="str">
        <f t="shared" si="346"/>
        <v/>
      </c>
      <c r="E22163" s="626"/>
      <c r="F22163" s="626"/>
    </row>
    <row r="22164" spans="1:6">
      <c r="A22164" t="str">
        <f t="shared" si="346"/>
        <v/>
      </c>
      <c r="E22164" s="626"/>
      <c r="F22164" s="626"/>
    </row>
    <row r="22165" spans="1:6">
      <c r="A22165" t="str">
        <f t="shared" si="346"/>
        <v/>
      </c>
      <c r="E22165" s="626"/>
      <c r="F22165" s="626"/>
    </row>
    <row r="22166" spans="1:6">
      <c r="A22166" t="str">
        <f t="shared" si="346"/>
        <v/>
      </c>
      <c r="E22166" s="626"/>
      <c r="F22166" s="626"/>
    </row>
    <row r="22167" spans="1:6">
      <c r="A22167" t="str">
        <f t="shared" si="346"/>
        <v/>
      </c>
      <c r="E22167" s="626"/>
      <c r="F22167" s="626"/>
    </row>
    <row r="22168" spans="1:6">
      <c r="A22168" t="str">
        <f t="shared" si="346"/>
        <v/>
      </c>
      <c r="E22168" s="626"/>
      <c r="F22168" s="626"/>
    </row>
    <row r="22169" spans="1:6">
      <c r="A22169" t="str">
        <f t="shared" si="346"/>
        <v/>
      </c>
      <c r="E22169" s="626"/>
      <c r="F22169" s="626"/>
    </row>
    <row r="22170" spans="1:6">
      <c r="A22170" t="str">
        <f t="shared" si="346"/>
        <v/>
      </c>
      <c r="E22170" s="626"/>
      <c r="F22170" s="626"/>
    </row>
    <row r="22171" spans="1:6">
      <c r="A22171" t="str">
        <f t="shared" si="346"/>
        <v/>
      </c>
      <c r="E22171" s="626"/>
      <c r="F22171" s="626"/>
    </row>
    <row r="22172" spans="1:6">
      <c r="A22172" t="str">
        <f t="shared" si="346"/>
        <v/>
      </c>
      <c r="E22172" s="626"/>
      <c r="F22172" s="626"/>
    </row>
    <row r="22173" spans="1:6">
      <c r="A22173" t="str">
        <f t="shared" si="346"/>
        <v/>
      </c>
      <c r="E22173" s="626"/>
      <c r="F22173" s="626"/>
    </row>
    <row r="22174" spans="1:6">
      <c r="A22174" t="str">
        <f t="shared" si="346"/>
        <v/>
      </c>
      <c r="E22174" s="626"/>
      <c r="F22174" s="626"/>
    </row>
    <row r="22175" spans="1:6">
      <c r="A22175" t="str">
        <f t="shared" si="346"/>
        <v/>
      </c>
      <c r="E22175" s="626"/>
      <c r="F22175" s="626"/>
    </row>
    <row r="22176" spans="1:6">
      <c r="A22176" t="str">
        <f t="shared" si="346"/>
        <v/>
      </c>
      <c r="E22176" s="626"/>
      <c r="F22176" s="626"/>
    </row>
    <row r="22177" spans="1:6">
      <c r="A22177" t="str">
        <f t="shared" si="346"/>
        <v/>
      </c>
      <c r="E22177" s="626"/>
      <c r="F22177" s="626"/>
    </row>
    <row r="22178" spans="1:6">
      <c r="A22178" t="str">
        <f t="shared" si="346"/>
        <v/>
      </c>
      <c r="E22178" s="626"/>
      <c r="F22178" s="626"/>
    </row>
    <row r="22179" spans="1:6">
      <c r="A22179" t="str">
        <f t="shared" si="346"/>
        <v/>
      </c>
      <c r="E22179" s="626"/>
      <c r="F22179" s="626"/>
    </row>
    <row r="22180" spans="1:6">
      <c r="A22180" t="str">
        <f t="shared" si="346"/>
        <v/>
      </c>
      <c r="E22180" s="626"/>
      <c r="F22180" s="626"/>
    </row>
    <row r="22181" spans="1:6">
      <c r="A22181" t="str">
        <f t="shared" si="346"/>
        <v/>
      </c>
      <c r="E22181" s="626"/>
      <c r="F22181" s="626"/>
    </row>
    <row r="22182" spans="1:6">
      <c r="A22182" t="str">
        <f t="shared" si="346"/>
        <v/>
      </c>
      <c r="E22182" s="626"/>
      <c r="F22182" s="626"/>
    </row>
    <row r="22183" spans="1:6">
      <c r="A22183" t="str">
        <f t="shared" si="346"/>
        <v/>
      </c>
      <c r="E22183" s="626"/>
      <c r="F22183" s="626"/>
    </row>
    <row r="22184" spans="1:6">
      <c r="A22184" t="str">
        <f t="shared" si="346"/>
        <v/>
      </c>
      <c r="E22184" s="626"/>
      <c r="F22184" s="626"/>
    </row>
    <row r="22185" spans="1:6">
      <c r="A22185" t="str">
        <f t="shared" si="346"/>
        <v/>
      </c>
      <c r="E22185" s="626"/>
      <c r="F22185" s="626"/>
    </row>
    <row r="22186" spans="1:6">
      <c r="A22186" t="str">
        <f t="shared" si="346"/>
        <v/>
      </c>
      <c r="E22186" s="626"/>
      <c r="F22186" s="626"/>
    </row>
    <row r="22187" spans="1:6">
      <c r="A22187" t="str">
        <f t="shared" si="346"/>
        <v/>
      </c>
      <c r="E22187" s="626"/>
      <c r="F22187" s="626"/>
    </row>
    <row r="22188" spans="1:6">
      <c r="A22188" t="str">
        <f t="shared" si="346"/>
        <v/>
      </c>
      <c r="E22188" s="626"/>
      <c r="F22188" s="626"/>
    </row>
    <row r="22189" spans="1:6">
      <c r="A22189" t="str">
        <f t="shared" si="346"/>
        <v/>
      </c>
      <c r="E22189" s="626"/>
      <c r="F22189" s="626"/>
    </row>
    <row r="22190" spans="1:6">
      <c r="A22190" t="str">
        <f t="shared" si="346"/>
        <v/>
      </c>
      <c r="E22190" s="626"/>
      <c r="F22190" s="626"/>
    </row>
    <row r="22191" spans="1:6">
      <c r="A22191" t="str">
        <f t="shared" si="346"/>
        <v/>
      </c>
      <c r="E22191" s="626"/>
      <c r="F22191" s="626"/>
    </row>
    <row r="22192" spans="1:6">
      <c r="A22192" t="str">
        <f t="shared" si="346"/>
        <v/>
      </c>
      <c r="E22192" s="626"/>
      <c r="F22192" s="626"/>
    </row>
    <row r="22193" spans="1:6">
      <c r="A22193" t="str">
        <f t="shared" si="346"/>
        <v/>
      </c>
      <c r="E22193" s="626"/>
      <c r="F22193" s="626"/>
    </row>
    <row r="22194" spans="1:6">
      <c r="A22194" t="str">
        <f t="shared" si="346"/>
        <v/>
      </c>
      <c r="E22194" s="626"/>
      <c r="F22194" s="626"/>
    </row>
    <row r="22195" spans="1:6">
      <c r="A22195" t="str">
        <f t="shared" si="346"/>
        <v/>
      </c>
      <c r="E22195" s="626"/>
      <c r="F22195" s="626"/>
    </row>
    <row r="22196" spans="1:6">
      <c r="A22196" t="str">
        <f t="shared" si="346"/>
        <v/>
      </c>
      <c r="E22196" s="626"/>
      <c r="F22196" s="626"/>
    </row>
    <row r="22197" spans="1:6">
      <c r="A22197" t="str">
        <f t="shared" si="346"/>
        <v/>
      </c>
      <c r="E22197" s="626"/>
      <c r="F22197" s="626"/>
    </row>
    <row r="22198" spans="1:6">
      <c r="A22198" t="str">
        <f t="shared" si="346"/>
        <v/>
      </c>
      <c r="E22198" s="626"/>
      <c r="F22198" s="626"/>
    </row>
    <row r="22199" spans="1:6">
      <c r="A22199" t="str">
        <f t="shared" si="346"/>
        <v/>
      </c>
      <c r="E22199" s="626"/>
      <c r="F22199" s="626"/>
    </row>
    <row r="22200" spans="1:6">
      <c r="A22200" t="str">
        <f t="shared" si="346"/>
        <v/>
      </c>
      <c r="E22200" s="626"/>
      <c r="F22200" s="626"/>
    </row>
    <row r="22201" spans="1:6">
      <c r="A22201" t="str">
        <f t="shared" si="346"/>
        <v/>
      </c>
      <c r="E22201" s="626"/>
      <c r="F22201" s="626"/>
    </row>
    <row r="22202" spans="1:6">
      <c r="A22202" t="str">
        <f t="shared" si="346"/>
        <v/>
      </c>
      <c r="E22202" s="626"/>
      <c r="F22202" s="626"/>
    </row>
    <row r="22203" spans="1:6">
      <c r="A22203" t="str">
        <f t="shared" si="346"/>
        <v/>
      </c>
      <c r="E22203" s="626"/>
      <c r="F22203" s="626"/>
    </row>
    <row r="22204" spans="1:6">
      <c r="A22204" t="str">
        <f t="shared" si="346"/>
        <v/>
      </c>
      <c r="E22204" s="626"/>
      <c r="F22204" s="626"/>
    </row>
    <row r="22205" spans="1:6">
      <c r="A22205" t="str">
        <f t="shared" si="346"/>
        <v/>
      </c>
      <c r="E22205" s="626"/>
      <c r="F22205" s="626"/>
    </row>
    <row r="22206" spans="1:6">
      <c r="A22206" t="str">
        <f t="shared" si="346"/>
        <v/>
      </c>
      <c r="E22206" s="626"/>
      <c r="F22206" s="626"/>
    </row>
    <row r="22207" spans="1:6">
      <c r="A22207" t="str">
        <f t="shared" si="346"/>
        <v/>
      </c>
      <c r="E22207" s="626"/>
      <c r="F22207" s="626"/>
    </row>
    <row r="22208" spans="1:6">
      <c r="A22208" t="str">
        <f t="shared" si="346"/>
        <v/>
      </c>
      <c r="E22208" s="626"/>
      <c r="F22208" s="626"/>
    </row>
    <row r="22209" spans="1:6">
      <c r="A22209" t="str">
        <f t="shared" si="346"/>
        <v/>
      </c>
      <c r="E22209" s="626"/>
      <c r="F22209" s="626"/>
    </row>
    <row r="22210" spans="1:6">
      <c r="A22210" t="str">
        <f t="shared" ref="A22210:A22273" si="347">B22210&amp;E22210&amp;J22210</f>
        <v/>
      </c>
      <c r="E22210" s="626"/>
      <c r="F22210" s="626"/>
    </row>
    <row r="22211" spans="1:6">
      <c r="A22211" t="str">
        <f t="shared" si="347"/>
        <v/>
      </c>
      <c r="E22211" s="626"/>
      <c r="F22211" s="626"/>
    </row>
    <row r="22212" spans="1:6">
      <c r="A22212" t="str">
        <f t="shared" si="347"/>
        <v/>
      </c>
      <c r="E22212" s="626"/>
      <c r="F22212" s="626"/>
    </row>
    <row r="22213" spans="1:6">
      <c r="A22213" t="str">
        <f t="shared" si="347"/>
        <v/>
      </c>
      <c r="E22213" s="626"/>
      <c r="F22213" s="626"/>
    </row>
    <row r="22214" spans="1:6">
      <c r="A22214" t="str">
        <f t="shared" si="347"/>
        <v/>
      </c>
      <c r="E22214" s="626"/>
      <c r="F22214" s="626"/>
    </row>
    <row r="22215" spans="1:6">
      <c r="A22215" t="str">
        <f t="shared" si="347"/>
        <v/>
      </c>
      <c r="E22215" s="626"/>
      <c r="F22215" s="626"/>
    </row>
    <row r="22216" spans="1:6">
      <c r="A22216" t="str">
        <f t="shared" si="347"/>
        <v/>
      </c>
      <c r="E22216" s="626"/>
      <c r="F22216" s="626"/>
    </row>
    <row r="22217" spans="1:6">
      <c r="A22217" t="str">
        <f t="shared" si="347"/>
        <v/>
      </c>
      <c r="E22217" s="626"/>
      <c r="F22217" s="626"/>
    </row>
    <row r="22218" spans="1:6">
      <c r="A22218" t="str">
        <f t="shared" si="347"/>
        <v/>
      </c>
      <c r="E22218" s="626"/>
      <c r="F22218" s="626"/>
    </row>
    <row r="22219" spans="1:6">
      <c r="A22219" t="str">
        <f t="shared" si="347"/>
        <v/>
      </c>
      <c r="E22219" s="626"/>
      <c r="F22219" s="626"/>
    </row>
    <row r="22220" spans="1:6">
      <c r="A22220" t="str">
        <f t="shared" si="347"/>
        <v/>
      </c>
      <c r="E22220" s="626"/>
      <c r="F22220" s="626"/>
    </row>
    <row r="22221" spans="1:6">
      <c r="A22221" t="str">
        <f t="shared" si="347"/>
        <v/>
      </c>
      <c r="E22221" s="626"/>
      <c r="F22221" s="626"/>
    </row>
    <row r="22222" spans="1:6">
      <c r="A22222" t="str">
        <f t="shared" si="347"/>
        <v/>
      </c>
      <c r="E22222" s="626"/>
      <c r="F22222" s="626"/>
    </row>
    <row r="22223" spans="1:6">
      <c r="A22223" t="str">
        <f t="shared" si="347"/>
        <v/>
      </c>
      <c r="E22223" s="626"/>
      <c r="F22223" s="626"/>
    </row>
    <row r="22224" spans="1:6">
      <c r="A22224" t="str">
        <f t="shared" si="347"/>
        <v/>
      </c>
      <c r="E22224" s="626"/>
      <c r="F22224" s="626"/>
    </row>
    <row r="22225" spans="1:6">
      <c r="A22225" t="str">
        <f t="shared" si="347"/>
        <v/>
      </c>
      <c r="E22225" s="626"/>
      <c r="F22225" s="626"/>
    </row>
    <row r="22226" spans="1:6">
      <c r="A22226" t="str">
        <f t="shared" si="347"/>
        <v/>
      </c>
      <c r="E22226" s="626"/>
      <c r="F22226" s="626"/>
    </row>
    <row r="22227" spans="1:6">
      <c r="A22227" t="str">
        <f t="shared" si="347"/>
        <v/>
      </c>
      <c r="E22227" s="626"/>
      <c r="F22227" s="626"/>
    </row>
    <row r="22228" spans="1:6">
      <c r="A22228" t="str">
        <f t="shared" si="347"/>
        <v/>
      </c>
      <c r="E22228" s="626"/>
      <c r="F22228" s="626"/>
    </row>
    <row r="22229" spans="1:6">
      <c r="A22229" t="str">
        <f t="shared" si="347"/>
        <v/>
      </c>
      <c r="E22229" s="626"/>
      <c r="F22229" s="626"/>
    </row>
    <row r="22230" spans="1:6">
      <c r="A22230" t="str">
        <f t="shared" si="347"/>
        <v/>
      </c>
      <c r="E22230" s="626"/>
      <c r="F22230" s="626"/>
    </row>
    <row r="22231" spans="1:6">
      <c r="A22231" t="str">
        <f t="shared" si="347"/>
        <v/>
      </c>
      <c r="E22231" s="626"/>
      <c r="F22231" s="626"/>
    </row>
    <row r="22232" spans="1:6">
      <c r="A22232" t="str">
        <f t="shared" si="347"/>
        <v/>
      </c>
      <c r="E22232" s="626"/>
      <c r="F22232" s="626"/>
    </row>
    <row r="22233" spans="1:6">
      <c r="A22233" t="str">
        <f t="shared" si="347"/>
        <v/>
      </c>
      <c r="E22233" s="626"/>
      <c r="F22233" s="626"/>
    </row>
    <row r="22234" spans="1:6">
      <c r="A22234" t="str">
        <f t="shared" si="347"/>
        <v/>
      </c>
      <c r="E22234" s="626"/>
      <c r="F22234" s="626"/>
    </row>
    <row r="22235" spans="1:6">
      <c r="A22235" t="str">
        <f t="shared" si="347"/>
        <v/>
      </c>
      <c r="E22235" s="626"/>
      <c r="F22235" s="626"/>
    </row>
    <row r="22236" spans="1:6">
      <c r="A22236" t="str">
        <f t="shared" si="347"/>
        <v/>
      </c>
      <c r="E22236" s="626"/>
      <c r="F22236" s="626"/>
    </row>
    <row r="22237" spans="1:6">
      <c r="A22237" t="str">
        <f t="shared" si="347"/>
        <v/>
      </c>
      <c r="E22237" s="626"/>
      <c r="F22237" s="626"/>
    </row>
    <row r="22238" spans="1:6">
      <c r="A22238" t="str">
        <f t="shared" si="347"/>
        <v/>
      </c>
      <c r="E22238" s="626"/>
      <c r="F22238" s="626"/>
    </row>
    <row r="22239" spans="1:6">
      <c r="A22239" t="str">
        <f t="shared" si="347"/>
        <v/>
      </c>
      <c r="E22239" s="626"/>
      <c r="F22239" s="626"/>
    </row>
    <row r="22240" spans="1:6">
      <c r="A22240" t="str">
        <f t="shared" si="347"/>
        <v/>
      </c>
      <c r="E22240" s="626"/>
      <c r="F22240" s="626"/>
    </row>
    <row r="22241" spans="1:6">
      <c r="A22241" t="str">
        <f t="shared" si="347"/>
        <v/>
      </c>
      <c r="E22241" s="626"/>
      <c r="F22241" s="626"/>
    </row>
    <row r="22242" spans="1:6">
      <c r="A22242" t="str">
        <f t="shared" si="347"/>
        <v/>
      </c>
      <c r="E22242" s="626"/>
      <c r="F22242" s="626"/>
    </row>
    <row r="22243" spans="1:6">
      <c r="A22243" t="str">
        <f t="shared" si="347"/>
        <v/>
      </c>
      <c r="E22243" s="626"/>
      <c r="F22243" s="626"/>
    </row>
    <row r="22244" spans="1:6">
      <c r="A22244" t="str">
        <f t="shared" si="347"/>
        <v/>
      </c>
      <c r="E22244" s="626"/>
      <c r="F22244" s="626"/>
    </row>
    <row r="22245" spans="1:6">
      <c r="A22245" t="str">
        <f t="shared" si="347"/>
        <v/>
      </c>
      <c r="E22245" s="626"/>
      <c r="F22245" s="626"/>
    </row>
    <row r="22246" spans="1:6">
      <c r="A22246" t="str">
        <f t="shared" si="347"/>
        <v/>
      </c>
      <c r="E22246" s="626"/>
      <c r="F22246" s="626"/>
    </row>
    <row r="22247" spans="1:6">
      <c r="A22247" t="str">
        <f t="shared" si="347"/>
        <v/>
      </c>
      <c r="E22247" s="626"/>
      <c r="F22247" s="626"/>
    </row>
    <row r="22248" spans="1:6">
      <c r="A22248" t="str">
        <f t="shared" si="347"/>
        <v/>
      </c>
      <c r="E22248" s="626"/>
      <c r="F22248" s="626"/>
    </row>
    <row r="22249" spans="1:6">
      <c r="A22249" t="str">
        <f t="shared" si="347"/>
        <v/>
      </c>
      <c r="E22249" s="626"/>
      <c r="F22249" s="626"/>
    </row>
    <row r="22250" spans="1:6">
      <c r="A22250" t="str">
        <f t="shared" si="347"/>
        <v/>
      </c>
      <c r="E22250" s="626"/>
      <c r="F22250" s="626"/>
    </row>
    <row r="22251" spans="1:6">
      <c r="A22251" t="str">
        <f t="shared" si="347"/>
        <v/>
      </c>
      <c r="E22251" s="626"/>
      <c r="F22251" s="626"/>
    </row>
    <row r="22252" spans="1:6">
      <c r="A22252" t="str">
        <f t="shared" si="347"/>
        <v/>
      </c>
      <c r="E22252" s="626"/>
      <c r="F22252" s="626"/>
    </row>
    <row r="22253" spans="1:6">
      <c r="A22253" t="str">
        <f t="shared" si="347"/>
        <v/>
      </c>
      <c r="E22253" s="626"/>
      <c r="F22253" s="626"/>
    </row>
    <row r="22254" spans="1:6">
      <c r="A22254" t="str">
        <f t="shared" si="347"/>
        <v/>
      </c>
      <c r="E22254" s="626"/>
      <c r="F22254" s="626"/>
    </row>
    <row r="22255" spans="1:6">
      <c r="A22255" t="str">
        <f t="shared" si="347"/>
        <v/>
      </c>
      <c r="E22255" s="626"/>
      <c r="F22255" s="626"/>
    </row>
    <row r="22256" spans="1:6">
      <c r="A22256" t="str">
        <f t="shared" si="347"/>
        <v/>
      </c>
      <c r="E22256" s="626"/>
      <c r="F22256" s="626"/>
    </row>
    <row r="22257" spans="1:6">
      <c r="A22257" t="str">
        <f t="shared" si="347"/>
        <v/>
      </c>
      <c r="E22257" s="626"/>
      <c r="F22257" s="626"/>
    </row>
    <row r="22258" spans="1:6">
      <c r="A22258" t="str">
        <f t="shared" si="347"/>
        <v/>
      </c>
      <c r="E22258" s="626"/>
      <c r="F22258" s="626"/>
    </row>
    <row r="22259" spans="1:6">
      <c r="A22259" t="str">
        <f t="shared" si="347"/>
        <v/>
      </c>
      <c r="E22259" s="626"/>
      <c r="F22259" s="626"/>
    </row>
    <row r="22260" spans="1:6">
      <c r="A22260" t="str">
        <f t="shared" si="347"/>
        <v/>
      </c>
      <c r="E22260" s="626"/>
      <c r="F22260" s="626"/>
    </row>
    <row r="22261" spans="1:6">
      <c r="A22261" t="str">
        <f t="shared" si="347"/>
        <v/>
      </c>
      <c r="E22261" s="626"/>
      <c r="F22261" s="626"/>
    </row>
    <row r="22262" spans="1:6">
      <c r="A22262" t="str">
        <f t="shared" si="347"/>
        <v/>
      </c>
      <c r="E22262" s="626"/>
      <c r="F22262" s="626"/>
    </row>
    <row r="22263" spans="1:6">
      <c r="A22263" t="str">
        <f t="shared" si="347"/>
        <v/>
      </c>
      <c r="E22263" s="626"/>
      <c r="F22263" s="626"/>
    </row>
    <row r="22264" spans="1:6">
      <c r="A22264" t="str">
        <f t="shared" si="347"/>
        <v/>
      </c>
      <c r="E22264" s="626"/>
      <c r="F22264" s="626"/>
    </row>
    <row r="22265" spans="1:6">
      <c r="A22265" t="str">
        <f t="shared" si="347"/>
        <v/>
      </c>
      <c r="E22265" s="626"/>
      <c r="F22265" s="626"/>
    </row>
    <row r="22266" spans="1:6">
      <c r="A22266" t="str">
        <f t="shared" si="347"/>
        <v/>
      </c>
      <c r="E22266" s="626"/>
      <c r="F22266" s="626"/>
    </row>
    <row r="22267" spans="1:6">
      <c r="A22267" t="str">
        <f t="shared" si="347"/>
        <v/>
      </c>
      <c r="E22267" s="626"/>
      <c r="F22267" s="626"/>
    </row>
    <row r="22268" spans="1:6">
      <c r="A22268" t="str">
        <f t="shared" si="347"/>
        <v/>
      </c>
      <c r="E22268" s="626"/>
      <c r="F22268" s="626"/>
    </row>
    <row r="22269" spans="1:6">
      <c r="A22269" t="str">
        <f t="shared" si="347"/>
        <v/>
      </c>
      <c r="E22269" s="626"/>
      <c r="F22269" s="626"/>
    </row>
    <row r="22270" spans="1:6">
      <c r="A22270" t="str">
        <f t="shared" si="347"/>
        <v/>
      </c>
      <c r="E22270" s="626"/>
      <c r="F22270" s="626"/>
    </row>
    <row r="22271" spans="1:6">
      <c r="A22271" t="str">
        <f t="shared" si="347"/>
        <v/>
      </c>
      <c r="E22271" s="626"/>
      <c r="F22271" s="626"/>
    </row>
    <row r="22272" spans="1:6">
      <c r="A22272" t="str">
        <f t="shared" si="347"/>
        <v/>
      </c>
      <c r="E22272" s="626"/>
      <c r="F22272" s="626"/>
    </row>
    <row r="22273" spans="1:6">
      <c r="A22273" t="str">
        <f t="shared" si="347"/>
        <v/>
      </c>
      <c r="E22273" s="626"/>
      <c r="F22273" s="626"/>
    </row>
    <row r="22274" spans="1:6">
      <c r="A22274" t="str">
        <f t="shared" ref="A22274:A22337" si="348">B22274&amp;E22274&amp;J22274</f>
        <v/>
      </c>
      <c r="E22274" s="626"/>
      <c r="F22274" s="626"/>
    </row>
    <row r="22275" spans="1:6">
      <c r="A22275" t="str">
        <f t="shared" si="348"/>
        <v/>
      </c>
      <c r="E22275" s="626"/>
      <c r="F22275" s="626"/>
    </row>
    <row r="22276" spans="1:6">
      <c r="A22276" t="str">
        <f t="shared" si="348"/>
        <v/>
      </c>
      <c r="E22276" s="626"/>
      <c r="F22276" s="626"/>
    </row>
    <row r="22277" spans="1:6">
      <c r="A22277" t="str">
        <f t="shared" si="348"/>
        <v/>
      </c>
      <c r="E22277" s="626"/>
      <c r="F22277" s="626"/>
    </row>
    <row r="22278" spans="1:6">
      <c r="A22278" t="str">
        <f t="shared" si="348"/>
        <v/>
      </c>
      <c r="E22278" s="626"/>
      <c r="F22278" s="626"/>
    </row>
    <row r="22279" spans="1:6">
      <c r="A22279" t="str">
        <f t="shared" si="348"/>
        <v/>
      </c>
      <c r="E22279" s="626"/>
      <c r="F22279" s="626"/>
    </row>
    <row r="22280" spans="1:6">
      <c r="A22280" t="str">
        <f t="shared" si="348"/>
        <v/>
      </c>
      <c r="E22280" s="626"/>
      <c r="F22280" s="626"/>
    </row>
    <row r="22281" spans="1:6">
      <c r="A22281" t="str">
        <f t="shared" si="348"/>
        <v/>
      </c>
      <c r="E22281" s="626"/>
      <c r="F22281" s="626"/>
    </row>
    <row r="22282" spans="1:6">
      <c r="A22282" t="str">
        <f t="shared" si="348"/>
        <v/>
      </c>
      <c r="E22282" s="626"/>
      <c r="F22282" s="626"/>
    </row>
    <row r="22283" spans="1:6">
      <c r="A22283" t="str">
        <f t="shared" si="348"/>
        <v/>
      </c>
      <c r="E22283" s="626"/>
      <c r="F22283" s="626"/>
    </row>
    <row r="22284" spans="1:6">
      <c r="A22284" t="str">
        <f t="shared" si="348"/>
        <v/>
      </c>
      <c r="E22284" s="626"/>
      <c r="F22284" s="626"/>
    </row>
    <row r="22285" spans="1:6">
      <c r="A22285" t="str">
        <f t="shared" si="348"/>
        <v/>
      </c>
      <c r="E22285" s="626"/>
      <c r="F22285" s="626"/>
    </row>
    <row r="22286" spans="1:6">
      <c r="A22286" t="str">
        <f t="shared" si="348"/>
        <v/>
      </c>
      <c r="E22286" s="626"/>
      <c r="F22286" s="626"/>
    </row>
    <row r="22287" spans="1:6">
      <c r="A22287" t="str">
        <f t="shared" si="348"/>
        <v/>
      </c>
      <c r="E22287" s="626"/>
      <c r="F22287" s="626"/>
    </row>
    <row r="22288" spans="1:6">
      <c r="A22288" t="str">
        <f t="shared" si="348"/>
        <v/>
      </c>
      <c r="E22288" s="626"/>
      <c r="F22288" s="626"/>
    </row>
    <row r="22289" spans="1:6">
      <c r="A22289" t="str">
        <f t="shared" si="348"/>
        <v/>
      </c>
      <c r="E22289" s="626"/>
      <c r="F22289" s="626"/>
    </row>
    <row r="22290" spans="1:6">
      <c r="A22290" t="str">
        <f t="shared" si="348"/>
        <v/>
      </c>
      <c r="E22290" s="626"/>
      <c r="F22290" s="626"/>
    </row>
    <row r="22291" spans="1:6">
      <c r="A22291" t="str">
        <f t="shared" si="348"/>
        <v/>
      </c>
      <c r="E22291" s="626"/>
      <c r="F22291" s="626"/>
    </row>
    <row r="22292" spans="1:6">
      <c r="A22292" t="str">
        <f t="shared" si="348"/>
        <v/>
      </c>
      <c r="E22292" s="626"/>
      <c r="F22292" s="626"/>
    </row>
    <row r="22293" spans="1:6">
      <c r="A22293" t="str">
        <f t="shared" si="348"/>
        <v/>
      </c>
      <c r="E22293" s="626"/>
      <c r="F22293" s="626"/>
    </row>
    <row r="22294" spans="1:6">
      <c r="A22294" t="str">
        <f t="shared" si="348"/>
        <v/>
      </c>
      <c r="E22294" s="626"/>
      <c r="F22294" s="626"/>
    </row>
    <row r="22295" spans="1:6">
      <c r="A22295" t="str">
        <f t="shared" si="348"/>
        <v/>
      </c>
      <c r="E22295" s="626"/>
      <c r="F22295" s="626"/>
    </row>
    <row r="22296" spans="1:6">
      <c r="A22296" t="str">
        <f t="shared" si="348"/>
        <v/>
      </c>
      <c r="E22296" s="626"/>
      <c r="F22296" s="626"/>
    </row>
    <row r="22297" spans="1:6">
      <c r="A22297" t="str">
        <f t="shared" si="348"/>
        <v/>
      </c>
      <c r="E22297" s="626"/>
      <c r="F22297" s="626"/>
    </row>
    <row r="22298" spans="1:6">
      <c r="A22298" t="str">
        <f t="shared" si="348"/>
        <v/>
      </c>
      <c r="E22298" s="626"/>
      <c r="F22298" s="626"/>
    </row>
    <row r="22299" spans="1:6">
      <c r="A22299" t="str">
        <f t="shared" si="348"/>
        <v/>
      </c>
      <c r="E22299" s="626"/>
      <c r="F22299" s="626"/>
    </row>
    <row r="22300" spans="1:6">
      <c r="A22300" t="str">
        <f t="shared" si="348"/>
        <v/>
      </c>
      <c r="E22300" s="626"/>
      <c r="F22300" s="626"/>
    </row>
    <row r="22301" spans="1:6">
      <c r="A22301" t="str">
        <f t="shared" si="348"/>
        <v/>
      </c>
      <c r="E22301" s="626"/>
      <c r="F22301" s="626"/>
    </row>
    <row r="22302" spans="1:6">
      <c r="A22302" t="str">
        <f t="shared" si="348"/>
        <v/>
      </c>
      <c r="E22302" s="626"/>
      <c r="F22302" s="626"/>
    </row>
    <row r="22303" spans="1:6">
      <c r="A22303" t="str">
        <f t="shared" si="348"/>
        <v/>
      </c>
      <c r="E22303" s="626"/>
      <c r="F22303" s="626"/>
    </row>
    <row r="22304" spans="1:6">
      <c r="A22304" t="str">
        <f t="shared" si="348"/>
        <v/>
      </c>
      <c r="E22304" s="626"/>
      <c r="F22304" s="626"/>
    </row>
    <row r="22305" spans="1:6">
      <c r="A22305" t="str">
        <f t="shared" si="348"/>
        <v/>
      </c>
      <c r="E22305" s="626"/>
      <c r="F22305" s="626"/>
    </row>
    <row r="22306" spans="1:6">
      <c r="A22306" t="str">
        <f t="shared" si="348"/>
        <v/>
      </c>
      <c r="E22306" s="626"/>
      <c r="F22306" s="626"/>
    </row>
    <row r="22307" spans="1:6">
      <c r="A22307" t="str">
        <f t="shared" si="348"/>
        <v/>
      </c>
      <c r="E22307" s="626"/>
      <c r="F22307" s="626"/>
    </row>
    <row r="22308" spans="1:6">
      <c r="A22308" t="str">
        <f t="shared" si="348"/>
        <v/>
      </c>
      <c r="E22308" s="626"/>
      <c r="F22308" s="626"/>
    </row>
    <row r="22309" spans="1:6">
      <c r="A22309" t="str">
        <f t="shared" si="348"/>
        <v/>
      </c>
      <c r="E22309" s="626"/>
      <c r="F22309" s="626"/>
    </row>
    <row r="22310" spans="1:6">
      <c r="A22310" t="str">
        <f t="shared" si="348"/>
        <v/>
      </c>
      <c r="E22310" s="626"/>
      <c r="F22310" s="626"/>
    </row>
    <row r="22311" spans="1:6">
      <c r="A22311" t="str">
        <f t="shared" si="348"/>
        <v/>
      </c>
      <c r="E22311" s="626"/>
      <c r="F22311" s="626"/>
    </row>
    <row r="22312" spans="1:6">
      <c r="A22312" t="str">
        <f t="shared" si="348"/>
        <v/>
      </c>
      <c r="E22312" s="626"/>
      <c r="F22312" s="626"/>
    </row>
    <row r="22313" spans="1:6">
      <c r="A22313" t="str">
        <f t="shared" si="348"/>
        <v/>
      </c>
      <c r="E22313" s="626"/>
      <c r="F22313" s="626"/>
    </row>
    <row r="22314" spans="1:6">
      <c r="A22314" t="str">
        <f t="shared" si="348"/>
        <v/>
      </c>
      <c r="E22314" s="626"/>
      <c r="F22314" s="626"/>
    </row>
    <row r="22315" spans="1:6">
      <c r="A22315" t="str">
        <f t="shared" si="348"/>
        <v/>
      </c>
      <c r="E22315" s="626"/>
      <c r="F22315" s="626"/>
    </row>
    <row r="22316" spans="1:6">
      <c r="A22316" t="str">
        <f t="shared" si="348"/>
        <v/>
      </c>
      <c r="E22316" s="626"/>
      <c r="F22316" s="626"/>
    </row>
    <row r="22317" spans="1:6">
      <c r="A22317" t="str">
        <f t="shared" si="348"/>
        <v/>
      </c>
      <c r="E22317" s="626"/>
      <c r="F22317" s="626"/>
    </row>
    <row r="22318" spans="1:6">
      <c r="A22318" t="str">
        <f t="shared" si="348"/>
        <v/>
      </c>
      <c r="E22318" s="626"/>
      <c r="F22318" s="626"/>
    </row>
    <row r="22319" spans="1:6">
      <c r="A22319" t="str">
        <f t="shared" si="348"/>
        <v/>
      </c>
      <c r="E22319" s="626"/>
      <c r="F22319" s="626"/>
    </row>
    <row r="22320" spans="1:6">
      <c r="A22320" t="str">
        <f t="shared" si="348"/>
        <v/>
      </c>
      <c r="E22320" s="626"/>
      <c r="F22320" s="626"/>
    </row>
    <row r="22321" spans="1:6">
      <c r="A22321" t="str">
        <f t="shared" si="348"/>
        <v/>
      </c>
      <c r="E22321" s="626"/>
      <c r="F22321" s="626"/>
    </row>
    <row r="22322" spans="1:6">
      <c r="A22322" t="str">
        <f t="shared" si="348"/>
        <v/>
      </c>
      <c r="E22322" s="626"/>
      <c r="F22322" s="626"/>
    </row>
    <row r="22323" spans="1:6">
      <c r="A22323" t="str">
        <f t="shared" si="348"/>
        <v/>
      </c>
      <c r="E22323" s="626"/>
      <c r="F22323" s="626"/>
    </row>
    <row r="22324" spans="1:6">
      <c r="A22324" t="str">
        <f t="shared" si="348"/>
        <v/>
      </c>
      <c r="E22324" s="626"/>
      <c r="F22324" s="626"/>
    </row>
    <row r="22325" spans="1:6">
      <c r="A22325" t="str">
        <f t="shared" si="348"/>
        <v/>
      </c>
      <c r="E22325" s="626"/>
      <c r="F22325" s="626"/>
    </row>
    <row r="22326" spans="1:6">
      <c r="A22326" t="str">
        <f t="shared" si="348"/>
        <v/>
      </c>
      <c r="E22326" s="626"/>
      <c r="F22326" s="626"/>
    </row>
    <row r="22327" spans="1:6">
      <c r="A22327" t="str">
        <f t="shared" si="348"/>
        <v/>
      </c>
      <c r="E22327" s="626"/>
      <c r="F22327" s="626"/>
    </row>
    <row r="22328" spans="1:6">
      <c r="A22328" t="str">
        <f t="shared" si="348"/>
        <v/>
      </c>
      <c r="E22328" s="626"/>
      <c r="F22328" s="626"/>
    </row>
    <row r="22329" spans="1:6">
      <c r="A22329" t="str">
        <f t="shared" si="348"/>
        <v/>
      </c>
      <c r="E22329" s="626"/>
      <c r="F22329" s="626"/>
    </row>
    <row r="22330" spans="1:6">
      <c r="A22330" t="str">
        <f t="shared" si="348"/>
        <v/>
      </c>
      <c r="E22330" s="626"/>
      <c r="F22330" s="626"/>
    </row>
    <row r="22331" spans="1:6">
      <c r="A22331" t="str">
        <f t="shared" si="348"/>
        <v/>
      </c>
      <c r="E22331" s="626"/>
      <c r="F22331" s="626"/>
    </row>
    <row r="22332" spans="1:6">
      <c r="A22332" t="str">
        <f t="shared" si="348"/>
        <v/>
      </c>
      <c r="E22332" s="626"/>
      <c r="F22332" s="626"/>
    </row>
    <row r="22333" spans="1:6">
      <c r="A22333" t="str">
        <f t="shared" si="348"/>
        <v/>
      </c>
      <c r="E22333" s="626"/>
      <c r="F22333" s="626"/>
    </row>
    <row r="22334" spans="1:6">
      <c r="A22334" t="str">
        <f t="shared" si="348"/>
        <v/>
      </c>
      <c r="E22334" s="626"/>
      <c r="F22334" s="626"/>
    </row>
    <row r="22335" spans="1:6">
      <c r="A22335" t="str">
        <f t="shared" si="348"/>
        <v/>
      </c>
      <c r="E22335" s="626"/>
      <c r="F22335" s="626"/>
    </row>
    <row r="22336" spans="1:6">
      <c r="A22336" t="str">
        <f t="shared" si="348"/>
        <v/>
      </c>
      <c r="E22336" s="626"/>
      <c r="F22336" s="626"/>
    </row>
    <row r="22337" spans="1:6">
      <c r="A22337" t="str">
        <f t="shared" si="348"/>
        <v/>
      </c>
      <c r="E22337" s="626"/>
      <c r="F22337" s="626"/>
    </row>
    <row r="22338" spans="1:6">
      <c r="A22338" t="str">
        <f t="shared" ref="A22338:A22401" si="349">B22338&amp;E22338&amp;J22338</f>
        <v/>
      </c>
      <c r="E22338" s="626"/>
      <c r="F22338" s="626"/>
    </row>
    <row r="22339" spans="1:6">
      <c r="A22339" t="str">
        <f t="shared" si="349"/>
        <v/>
      </c>
      <c r="E22339" s="626"/>
      <c r="F22339" s="626"/>
    </row>
    <row r="22340" spans="1:6">
      <c r="A22340" t="str">
        <f t="shared" si="349"/>
        <v/>
      </c>
      <c r="E22340" s="626"/>
      <c r="F22340" s="626"/>
    </row>
    <row r="22341" spans="1:6">
      <c r="A22341" t="str">
        <f t="shared" si="349"/>
        <v/>
      </c>
      <c r="E22341" s="626"/>
      <c r="F22341" s="626"/>
    </row>
    <row r="22342" spans="1:6">
      <c r="A22342" t="str">
        <f t="shared" si="349"/>
        <v/>
      </c>
      <c r="E22342" s="626"/>
      <c r="F22342" s="626"/>
    </row>
    <row r="22343" spans="1:6">
      <c r="A22343" t="str">
        <f t="shared" si="349"/>
        <v/>
      </c>
      <c r="E22343" s="626"/>
      <c r="F22343" s="626"/>
    </row>
    <row r="22344" spans="1:6">
      <c r="A22344" t="str">
        <f t="shared" si="349"/>
        <v/>
      </c>
      <c r="E22344" s="626"/>
      <c r="F22344" s="626"/>
    </row>
    <row r="22345" spans="1:6">
      <c r="A22345" t="str">
        <f t="shared" si="349"/>
        <v/>
      </c>
      <c r="E22345" s="626"/>
      <c r="F22345" s="626"/>
    </row>
    <row r="22346" spans="1:6">
      <c r="A22346" t="str">
        <f t="shared" si="349"/>
        <v/>
      </c>
      <c r="E22346" s="626"/>
      <c r="F22346" s="626"/>
    </row>
    <row r="22347" spans="1:6">
      <c r="A22347" t="str">
        <f t="shared" si="349"/>
        <v/>
      </c>
      <c r="E22347" s="626"/>
      <c r="F22347" s="626"/>
    </row>
    <row r="22348" spans="1:6">
      <c r="A22348" t="str">
        <f t="shared" si="349"/>
        <v/>
      </c>
      <c r="E22348" s="626"/>
      <c r="F22348" s="626"/>
    </row>
    <row r="22349" spans="1:6">
      <c r="A22349" t="str">
        <f t="shared" si="349"/>
        <v/>
      </c>
      <c r="E22349" s="626"/>
      <c r="F22349" s="626"/>
    </row>
    <row r="22350" spans="1:6">
      <c r="A22350" t="str">
        <f t="shared" si="349"/>
        <v/>
      </c>
      <c r="E22350" s="626"/>
      <c r="F22350" s="626"/>
    </row>
    <row r="22351" spans="1:6">
      <c r="A22351" t="str">
        <f t="shared" si="349"/>
        <v/>
      </c>
      <c r="E22351" s="626"/>
      <c r="F22351" s="626"/>
    </row>
    <row r="22352" spans="1:6">
      <c r="A22352" t="str">
        <f t="shared" si="349"/>
        <v/>
      </c>
      <c r="E22352" s="626"/>
      <c r="F22352" s="626"/>
    </row>
    <row r="22353" spans="1:6">
      <c r="A22353" t="str">
        <f t="shared" si="349"/>
        <v/>
      </c>
      <c r="E22353" s="626"/>
      <c r="F22353" s="626"/>
    </row>
    <row r="22354" spans="1:6">
      <c r="A22354" t="str">
        <f t="shared" si="349"/>
        <v/>
      </c>
      <c r="E22354" s="626"/>
      <c r="F22354" s="626"/>
    </row>
    <row r="22355" spans="1:6">
      <c r="A22355" t="str">
        <f t="shared" si="349"/>
        <v/>
      </c>
      <c r="E22355" s="626"/>
      <c r="F22355" s="626"/>
    </row>
    <row r="22356" spans="1:6">
      <c r="A22356" t="str">
        <f t="shared" si="349"/>
        <v/>
      </c>
      <c r="E22356" s="626"/>
      <c r="F22356" s="626"/>
    </row>
    <row r="22357" spans="1:6">
      <c r="A22357" t="str">
        <f t="shared" si="349"/>
        <v/>
      </c>
      <c r="E22357" s="626"/>
      <c r="F22357" s="626"/>
    </row>
    <row r="22358" spans="1:6">
      <c r="A22358" t="str">
        <f t="shared" si="349"/>
        <v/>
      </c>
      <c r="E22358" s="626"/>
      <c r="F22358" s="626"/>
    </row>
    <row r="22359" spans="1:6">
      <c r="A22359" t="str">
        <f t="shared" si="349"/>
        <v/>
      </c>
      <c r="E22359" s="626"/>
      <c r="F22359" s="626"/>
    </row>
    <row r="22360" spans="1:6">
      <c r="A22360" t="str">
        <f t="shared" si="349"/>
        <v/>
      </c>
      <c r="E22360" s="626"/>
      <c r="F22360" s="626"/>
    </row>
    <row r="22361" spans="1:6">
      <c r="A22361" t="str">
        <f t="shared" si="349"/>
        <v/>
      </c>
      <c r="E22361" s="626"/>
      <c r="F22361" s="626"/>
    </row>
    <row r="22362" spans="1:6">
      <c r="A22362" t="str">
        <f t="shared" si="349"/>
        <v/>
      </c>
      <c r="E22362" s="626"/>
      <c r="F22362" s="626"/>
    </row>
    <row r="22363" spans="1:6">
      <c r="A22363" t="str">
        <f t="shared" si="349"/>
        <v/>
      </c>
      <c r="E22363" s="626"/>
      <c r="F22363" s="626"/>
    </row>
    <row r="22364" spans="1:6">
      <c r="A22364" t="str">
        <f t="shared" si="349"/>
        <v/>
      </c>
      <c r="E22364" s="626"/>
      <c r="F22364" s="626"/>
    </row>
    <row r="22365" spans="1:6">
      <c r="A22365" t="str">
        <f t="shared" si="349"/>
        <v/>
      </c>
      <c r="E22365" s="626"/>
      <c r="F22365" s="626"/>
    </row>
    <row r="22366" spans="1:6">
      <c r="A22366" t="str">
        <f t="shared" si="349"/>
        <v/>
      </c>
      <c r="E22366" s="626"/>
      <c r="F22366" s="626"/>
    </row>
    <row r="22367" spans="1:6">
      <c r="A22367" t="str">
        <f t="shared" si="349"/>
        <v/>
      </c>
      <c r="E22367" s="626"/>
      <c r="F22367" s="626"/>
    </row>
    <row r="22368" spans="1:6">
      <c r="A22368" t="str">
        <f t="shared" si="349"/>
        <v/>
      </c>
      <c r="E22368" s="626"/>
      <c r="F22368" s="626"/>
    </row>
    <row r="22369" spans="1:6">
      <c r="A22369" t="str">
        <f t="shared" si="349"/>
        <v/>
      </c>
      <c r="E22369" s="626"/>
      <c r="F22369" s="626"/>
    </row>
    <row r="22370" spans="1:6">
      <c r="A22370" t="str">
        <f t="shared" si="349"/>
        <v/>
      </c>
      <c r="E22370" s="626"/>
      <c r="F22370" s="626"/>
    </row>
    <row r="22371" spans="1:6">
      <c r="A22371" t="str">
        <f t="shared" si="349"/>
        <v/>
      </c>
      <c r="E22371" s="626"/>
      <c r="F22371" s="626"/>
    </row>
    <row r="22372" spans="1:6">
      <c r="A22372" t="str">
        <f t="shared" si="349"/>
        <v/>
      </c>
      <c r="E22372" s="626"/>
      <c r="F22372" s="626"/>
    </row>
    <row r="22373" spans="1:6">
      <c r="A22373" t="str">
        <f t="shared" si="349"/>
        <v/>
      </c>
      <c r="E22373" s="626"/>
      <c r="F22373" s="626"/>
    </row>
    <row r="22374" spans="1:6">
      <c r="A22374" t="str">
        <f t="shared" si="349"/>
        <v/>
      </c>
      <c r="E22374" s="626"/>
      <c r="F22374" s="626"/>
    </row>
    <row r="22375" spans="1:6">
      <c r="A22375" t="str">
        <f t="shared" si="349"/>
        <v/>
      </c>
      <c r="E22375" s="626"/>
      <c r="F22375" s="626"/>
    </row>
    <row r="22376" spans="1:6">
      <c r="A22376" t="str">
        <f t="shared" si="349"/>
        <v/>
      </c>
      <c r="E22376" s="626"/>
      <c r="F22376" s="626"/>
    </row>
    <row r="22377" spans="1:6">
      <c r="A22377" t="str">
        <f t="shared" si="349"/>
        <v/>
      </c>
      <c r="E22377" s="626"/>
      <c r="F22377" s="626"/>
    </row>
    <row r="22378" spans="1:6">
      <c r="A22378" t="str">
        <f t="shared" si="349"/>
        <v/>
      </c>
      <c r="E22378" s="626"/>
      <c r="F22378" s="626"/>
    </row>
    <row r="22379" spans="1:6">
      <c r="A22379" t="str">
        <f t="shared" si="349"/>
        <v/>
      </c>
      <c r="E22379" s="626"/>
      <c r="F22379" s="626"/>
    </row>
    <row r="22380" spans="1:6">
      <c r="A22380" t="str">
        <f t="shared" si="349"/>
        <v/>
      </c>
      <c r="E22380" s="626"/>
      <c r="F22380" s="626"/>
    </row>
    <row r="22381" spans="1:6">
      <c r="A22381" t="str">
        <f t="shared" si="349"/>
        <v/>
      </c>
      <c r="E22381" s="626"/>
      <c r="F22381" s="626"/>
    </row>
    <row r="22382" spans="1:6">
      <c r="A22382" t="str">
        <f t="shared" si="349"/>
        <v/>
      </c>
      <c r="E22382" s="626"/>
      <c r="F22382" s="626"/>
    </row>
    <row r="22383" spans="1:6">
      <c r="A22383" t="str">
        <f t="shared" si="349"/>
        <v/>
      </c>
      <c r="E22383" s="626"/>
      <c r="F22383" s="626"/>
    </row>
    <row r="22384" spans="1:6">
      <c r="A22384" t="str">
        <f t="shared" si="349"/>
        <v/>
      </c>
      <c r="E22384" s="626"/>
      <c r="F22384" s="626"/>
    </row>
    <row r="22385" spans="1:6">
      <c r="A22385" t="str">
        <f t="shared" si="349"/>
        <v/>
      </c>
      <c r="E22385" s="626"/>
      <c r="F22385" s="626"/>
    </row>
    <row r="22386" spans="1:6">
      <c r="A22386" t="str">
        <f t="shared" si="349"/>
        <v/>
      </c>
      <c r="E22386" s="626"/>
      <c r="F22386" s="626"/>
    </row>
    <row r="22387" spans="1:6">
      <c r="A22387" t="str">
        <f t="shared" si="349"/>
        <v/>
      </c>
      <c r="E22387" s="626"/>
      <c r="F22387" s="626"/>
    </row>
    <row r="22388" spans="1:6">
      <c r="A22388" t="str">
        <f t="shared" si="349"/>
        <v/>
      </c>
      <c r="E22388" s="626"/>
      <c r="F22388" s="626"/>
    </row>
    <row r="22389" spans="1:6">
      <c r="A22389" t="str">
        <f t="shared" si="349"/>
        <v/>
      </c>
      <c r="E22389" s="626"/>
      <c r="F22389" s="626"/>
    </row>
    <row r="22390" spans="1:6">
      <c r="A22390" t="str">
        <f t="shared" si="349"/>
        <v/>
      </c>
      <c r="E22390" s="626"/>
      <c r="F22390" s="626"/>
    </row>
    <row r="22391" spans="1:6">
      <c r="A22391" t="str">
        <f t="shared" si="349"/>
        <v/>
      </c>
      <c r="E22391" s="626"/>
      <c r="F22391" s="626"/>
    </row>
    <row r="22392" spans="1:6">
      <c r="A22392" t="str">
        <f t="shared" si="349"/>
        <v/>
      </c>
      <c r="E22392" s="626"/>
      <c r="F22392" s="626"/>
    </row>
    <row r="22393" spans="1:6">
      <c r="A22393" t="str">
        <f t="shared" si="349"/>
        <v/>
      </c>
      <c r="E22393" s="626"/>
      <c r="F22393" s="626"/>
    </row>
    <row r="22394" spans="1:6">
      <c r="A22394" t="str">
        <f t="shared" si="349"/>
        <v/>
      </c>
      <c r="E22394" s="626"/>
      <c r="F22394" s="626"/>
    </row>
    <row r="22395" spans="1:6">
      <c r="A22395" t="str">
        <f t="shared" si="349"/>
        <v/>
      </c>
      <c r="E22395" s="626"/>
      <c r="F22395" s="626"/>
    </row>
    <row r="22396" spans="1:6">
      <c r="A22396" t="str">
        <f t="shared" si="349"/>
        <v/>
      </c>
      <c r="E22396" s="626"/>
      <c r="F22396" s="626"/>
    </row>
    <row r="22397" spans="1:6">
      <c r="A22397" t="str">
        <f t="shared" si="349"/>
        <v/>
      </c>
      <c r="E22397" s="626"/>
      <c r="F22397" s="626"/>
    </row>
    <row r="22398" spans="1:6">
      <c r="A22398" t="str">
        <f t="shared" si="349"/>
        <v/>
      </c>
      <c r="E22398" s="626"/>
      <c r="F22398" s="626"/>
    </row>
    <row r="22399" spans="1:6">
      <c r="A22399" t="str">
        <f t="shared" si="349"/>
        <v/>
      </c>
      <c r="E22399" s="626"/>
      <c r="F22399" s="626"/>
    </row>
    <row r="22400" spans="1:6">
      <c r="A22400" t="str">
        <f t="shared" si="349"/>
        <v/>
      </c>
      <c r="E22400" s="626"/>
      <c r="F22400" s="626"/>
    </row>
    <row r="22401" spans="1:6">
      <c r="A22401" t="str">
        <f t="shared" si="349"/>
        <v/>
      </c>
      <c r="E22401" s="626"/>
      <c r="F22401" s="626"/>
    </row>
    <row r="22402" spans="1:6">
      <c r="A22402" t="str">
        <f t="shared" ref="A22402:A22465" si="350">B22402&amp;E22402&amp;J22402</f>
        <v/>
      </c>
      <c r="E22402" s="626"/>
      <c r="F22402" s="626"/>
    </row>
    <row r="22403" spans="1:6">
      <c r="A22403" t="str">
        <f t="shared" si="350"/>
        <v/>
      </c>
      <c r="E22403" s="626"/>
      <c r="F22403" s="626"/>
    </row>
    <row r="22404" spans="1:6">
      <c r="A22404" t="str">
        <f t="shared" si="350"/>
        <v/>
      </c>
      <c r="E22404" s="626"/>
      <c r="F22404" s="626"/>
    </row>
    <row r="22405" spans="1:6">
      <c r="A22405" t="str">
        <f t="shared" si="350"/>
        <v/>
      </c>
      <c r="E22405" s="626"/>
      <c r="F22405" s="626"/>
    </row>
    <row r="22406" spans="1:6">
      <c r="A22406" t="str">
        <f t="shared" si="350"/>
        <v/>
      </c>
      <c r="E22406" s="626"/>
      <c r="F22406" s="626"/>
    </row>
    <row r="22407" spans="1:6">
      <c r="A22407" t="str">
        <f t="shared" si="350"/>
        <v/>
      </c>
      <c r="E22407" s="626"/>
      <c r="F22407" s="626"/>
    </row>
    <row r="22408" spans="1:6">
      <c r="A22408" t="str">
        <f t="shared" si="350"/>
        <v/>
      </c>
      <c r="E22408" s="626"/>
      <c r="F22408" s="626"/>
    </row>
    <row r="22409" spans="1:6">
      <c r="A22409" t="str">
        <f t="shared" si="350"/>
        <v/>
      </c>
      <c r="E22409" s="626"/>
      <c r="F22409" s="626"/>
    </row>
    <row r="22410" spans="1:6">
      <c r="A22410" t="str">
        <f t="shared" si="350"/>
        <v/>
      </c>
      <c r="E22410" s="626"/>
      <c r="F22410" s="626"/>
    </row>
    <row r="22411" spans="1:6">
      <c r="A22411" t="str">
        <f t="shared" si="350"/>
        <v/>
      </c>
      <c r="E22411" s="626"/>
      <c r="F22411" s="626"/>
    </row>
    <row r="22412" spans="1:6">
      <c r="A22412" t="str">
        <f t="shared" si="350"/>
        <v/>
      </c>
      <c r="E22412" s="626"/>
      <c r="F22412" s="626"/>
    </row>
    <row r="22413" spans="1:6">
      <c r="A22413" t="str">
        <f t="shared" si="350"/>
        <v/>
      </c>
      <c r="E22413" s="626"/>
      <c r="F22413" s="626"/>
    </row>
    <row r="22414" spans="1:6">
      <c r="A22414" t="str">
        <f t="shared" si="350"/>
        <v/>
      </c>
      <c r="E22414" s="626"/>
      <c r="F22414" s="626"/>
    </row>
    <row r="22415" spans="1:6">
      <c r="A22415" t="str">
        <f t="shared" si="350"/>
        <v/>
      </c>
      <c r="E22415" s="626"/>
      <c r="F22415" s="626"/>
    </row>
    <row r="22416" spans="1:6">
      <c r="A22416" t="str">
        <f t="shared" si="350"/>
        <v/>
      </c>
      <c r="E22416" s="626"/>
      <c r="F22416" s="626"/>
    </row>
    <row r="22417" spans="1:6">
      <c r="A22417" t="str">
        <f t="shared" si="350"/>
        <v/>
      </c>
      <c r="E22417" s="626"/>
      <c r="F22417" s="626"/>
    </row>
    <row r="22418" spans="1:6">
      <c r="A22418" t="str">
        <f t="shared" si="350"/>
        <v/>
      </c>
      <c r="E22418" s="626"/>
      <c r="F22418" s="626"/>
    </row>
    <row r="22419" spans="1:6">
      <c r="A22419" t="str">
        <f t="shared" si="350"/>
        <v/>
      </c>
      <c r="E22419" s="626"/>
      <c r="F22419" s="626"/>
    </row>
    <row r="22420" spans="1:6">
      <c r="A22420" t="str">
        <f t="shared" si="350"/>
        <v/>
      </c>
      <c r="E22420" s="626"/>
      <c r="F22420" s="626"/>
    </row>
    <row r="22421" spans="1:6">
      <c r="A22421" t="str">
        <f t="shared" si="350"/>
        <v/>
      </c>
      <c r="E22421" s="626"/>
      <c r="F22421" s="626"/>
    </row>
    <row r="22422" spans="1:6">
      <c r="A22422" t="str">
        <f t="shared" si="350"/>
        <v/>
      </c>
      <c r="E22422" s="626"/>
      <c r="F22422" s="626"/>
    </row>
    <row r="22423" spans="1:6">
      <c r="A22423" t="str">
        <f t="shared" si="350"/>
        <v/>
      </c>
      <c r="E22423" s="626"/>
      <c r="F22423" s="626"/>
    </row>
    <row r="22424" spans="1:6">
      <c r="A22424" t="str">
        <f t="shared" si="350"/>
        <v/>
      </c>
      <c r="E22424" s="626"/>
      <c r="F22424" s="626"/>
    </row>
    <row r="22425" spans="1:6">
      <c r="A22425" t="str">
        <f t="shared" si="350"/>
        <v/>
      </c>
      <c r="E22425" s="626"/>
      <c r="F22425" s="626"/>
    </row>
    <row r="22426" spans="1:6">
      <c r="A22426" t="str">
        <f t="shared" si="350"/>
        <v/>
      </c>
      <c r="E22426" s="626"/>
      <c r="F22426" s="626"/>
    </row>
    <row r="22427" spans="1:6">
      <c r="A22427" t="str">
        <f t="shared" si="350"/>
        <v/>
      </c>
      <c r="E22427" s="626"/>
      <c r="F22427" s="626"/>
    </row>
    <row r="22428" spans="1:6">
      <c r="A22428" t="str">
        <f t="shared" si="350"/>
        <v/>
      </c>
      <c r="E22428" s="626"/>
      <c r="F22428" s="626"/>
    </row>
    <row r="22429" spans="1:6">
      <c r="A22429" t="str">
        <f t="shared" si="350"/>
        <v/>
      </c>
      <c r="E22429" s="626"/>
      <c r="F22429" s="626"/>
    </row>
    <row r="22430" spans="1:6">
      <c r="A22430" t="str">
        <f t="shared" si="350"/>
        <v/>
      </c>
      <c r="E22430" s="626"/>
      <c r="F22430" s="626"/>
    </row>
    <row r="22431" spans="1:6">
      <c r="A22431" t="str">
        <f t="shared" si="350"/>
        <v/>
      </c>
      <c r="E22431" s="626"/>
      <c r="F22431" s="626"/>
    </row>
    <row r="22432" spans="1:6">
      <c r="A22432" t="str">
        <f t="shared" si="350"/>
        <v/>
      </c>
      <c r="E22432" s="626"/>
      <c r="F22432" s="626"/>
    </row>
    <row r="22433" spans="1:6">
      <c r="A22433" t="str">
        <f t="shared" si="350"/>
        <v/>
      </c>
      <c r="E22433" s="626"/>
      <c r="F22433" s="626"/>
    </row>
    <row r="22434" spans="1:6">
      <c r="A22434" t="str">
        <f t="shared" si="350"/>
        <v/>
      </c>
      <c r="E22434" s="626"/>
      <c r="F22434" s="626"/>
    </row>
    <row r="22435" spans="1:6">
      <c r="A22435" t="str">
        <f t="shared" si="350"/>
        <v/>
      </c>
      <c r="E22435" s="626"/>
      <c r="F22435" s="626"/>
    </row>
    <row r="22436" spans="1:6">
      <c r="A22436" t="str">
        <f t="shared" si="350"/>
        <v/>
      </c>
      <c r="E22436" s="626"/>
      <c r="F22436" s="626"/>
    </row>
    <row r="22437" spans="1:6">
      <c r="A22437" t="str">
        <f t="shared" si="350"/>
        <v/>
      </c>
      <c r="E22437" s="626"/>
      <c r="F22437" s="626"/>
    </row>
    <row r="22438" spans="1:6">
      <c r="A22438" t="str">
        <f t="shared" si="350"/>
        <v/>
      </c>
      <c r="E22438" s="626"/>
      <c r="F22438" s="626"/>
    </row>
    <row r="22439" spans="1:6">
      <c r="A22439" t="str">
        <f t="shared" si="350"/>
        <v/>
      </c>
      <c r="E22439" s="626"/>
      <c r="F22439" s="626"/>
    </row>
    <row r="22440" spans="1:6">
      <c r="A22440" t="str">
        <f t="shared" si="350"/>
        <v/>
      </c>
      <c r="E22440" s="626"/>
      <c r="F22440" s="626"/>
    </row>
    <row r="22441" spans="1:6">
      <c r="A22441" t="str">
        <f t="shared" si="350"/>
        <v/>
      </c>
      <c r="E22441" s="626"/>
      <c r="F22441" s="626"/>
    </row>
    <row r="22442" spans="1:6">
      <c r="A22442" t="str">
        <f t="shared" si="350"/>
        <v/>
      </c>
      <c r="E22442" s="626"/>
      <c r="F22442" s="626"/>
    </row>
    <row r="22443" spans="1:6">
      <c r="A22443" t="str">
        <f t="shared" si="350"/>
        <v/>
      </c>
      <c r="E22443" s="626"/>
      <c r="F22443" s="626"/>
    </row>
    <row r="22444" spans="1:6">
      <c r="A22444" t="str">
        <f t="shared" si="350"/>
        <v/>
      </c>
      <c r="E22444" s="626"/>
      <c r="F22444" s="626"/>
    </row>
    <row r="22445" spans="1:6">
      <c r="A22445" t="str">
        <f t="shared" si="350"/>
        <v/>
      </c>
      <c r="E22445" s="626"/>
      <c r="F22445" s="626"/>
    </row>
    <row r="22446" spans="1:6">
      <c r="A22446" t="str">
        <f t="shared" si="350"/>
        <v/>
      </c>
      <c r="E22446" s="626"/>
      <c r="F22446" s="626"/>
    </row>
    <row r="22447" spans="1:6">
      <c r="A22447" t="str">
        <f t="shared" si="350"/>
        <v/>
      </c>
      <c r="E22447" s="626"/>
      <c r="F22447" s="626"/>
    </row>
    <row r="22448" spans="1:6">
      <c r="A22448" t="str">
        <f t="shared" si="350"/>
        <v/>
      </c>
      <c r="E22448" s="626"/>
      <c r="F22448" s="626"/>
    </row>
    <row r="22449" spans="1:6">
      <c r="A22449" t="str">
        <f t="shared" si="350"/>
        <v/>
      </c>
      <c r="E22449" s="626"/>
      <c r="F22449" s="626"/>
    </row>
    <row r="22450" spans="1:6">
      <c r="A22450" t="str">
        <f t="shared" si="350"/>
        <v/>
      </c>
      <c r="E22450" s="626"/>
      <c r="F22450" s="626"/>
    </row>
    <row r="22451" spans="1:6">
      <c r="A22451" t="str">
        <f t="shared" si="350"/>
        <v/>
      </c>
      <c r="E22451" s="626"/>
      <c r="F22451" s="626"/>
    </row>
    <row r="22452" spans="1:6">
      <c r="A22452" t="str">
        <f t="shared" si="350"/>
        <v/>
      </c>
      <c r="E22452" s="626"/>
      <c r="F22452" s="626"/>
    </row>
    <row r="22453" spans="1:6">
      <c r="A22453" t="str">
        <f t="shared" si="350"/>
        <v/>
      </c>
      <c r="E22453" s="626"/>
      <c r="F22453" s="626"/>
    </row>
    <row r="22454" spans="1:6">
      <c r="A22454" t="str">
        <f t="shared" si="350"/>
        <v/>
      </c>
      <c r="E22454" s="626"/>
      <c r="F22454" s="626"/>
    </row>
    <row r="22455" spans="1:6">
      <c r="A22455" t="str">
        <f t="shared" si="350"/>
        <v/>
      </c>
      <c r="E22455" s="626"/>
      <c r="F22455" s="626"/>
    </row>
    <row r="22456" spans="1:6">
      <c r="A22456" t="str">
        <f t="shared" si="350"/>
        <v/>
      </c>
      <c r="E22456" s="626"/>
      <c r="F22456" s="626"/>
    </row>
    <row r="22457" spans="1:6">
      <c r="A22457" t="str">
        <f t="shared" si="350"/>
        <v/>
      </c>
      <c r="E22457" s="626"/>
      <c r="F22457" s="626"/>
    </row>
    <row r="22458" spans="1:6">
      <c r="A22458" t="str">
        <f t="shared" si="350"/>
        <v/>
      </c>
      <c r="E22458" s="626"/>
      <c r="F22458" s="626"/>
    </row>
    <row r="22459" spans="1:6">
      <c r="A22459" t="str">
        <f t="shared" si="350"/>
        <v/>
      </c>
      <c r="E22459" s="626"/>
      <c r="F22459" s="626"/>
    </row>
    <row r="22460" spans="1:6">
      <c r="A22460" t="str">
        <f t="shared" si="350"/>
        <v/>
      </c>
      <c r="E22460" s="626"/>
      <c r="F22460" s="626"/>
    </row>
    <row r="22461" spans="1:6">
      <c r="A22461" t="str">
        <f t="shared" si="350"/>
        <v/>
      </c>
      <c r="E22461" s="626"/>
      <c r="F22461" s="626"/>
    </row>
    <row r="22462" spans="1:6">
      <c r="A22462" t="str">
        <f t="shared" si="350"/>
        <v/>
      </c>
      <c r="E22462" s="626"/>
      <c r="F22462" s="626"/>
    </row>
    <row r="22463" spans="1:6">
      <c r="A22463" t="str">
        <f t="shared" si="350"/>
        <v/>
      </c>
      <c r="E22463" s="626"/>
      <c r="F22463" s="626"/>
    </row>
    <row r="22464" spans="1:6">
      <c r="A22464" t="str">
        <f t="shared" si="350"/>
        <v/>
      </c>
      <c r="E22464" s="626"/>
      <c r="F22464" s="626"/>
    </row>
    <row r="22465" spans="1:6">
      <c r="A22465" t="str">
        <f t="shared" si="350"/>
        <v/>
      </c>
      <c r="E22465" s="626"/>
      <c r="F22465" s="626"/>
    </row>
    <row r="22466" spans="1:6">
      <c r="A22466" t="str">
        <f t="shared" ref="A22466:A22529" si="351">B22466&amp;E22466&amp;J22466</f>
        <v/>
      </c>
      <c r="E22466" s="626"/>
      <c r="F22466" s="626"/>
    </row>
    <row r="22467" spans="1:6">
      <c r="A22467" t="str">
        <f t="shared" si="351"/>
        <v/>
      </c>
      <c r="E22467" s="626"/>
      <c r="F22467" s="626"/>
    </row>
    <row r="22468" spans="1:6">
      <c r="A22468" t="str">
        <f t="shared" si="351"/>
        <v/>
      </c>
      <c r="E22468" s="626"/>
      <c r="F22468" s="626"/>
    </row>
    <row r="22469" spans="1:6">
      <c r="A22469" t="str">
        <f t="shared" si="351"/>
        <v/>
      </c>
      <c r="E22469" s="626"/>
      <c r="F22469" s="626"/>
    </row>
    <row r="22470" spans="1:6">
      <c r="A22470" t="str">
        <f t="shared" si="351"/>
        <v/>
      </c>
      <c r="E22470" s="626"/>
      <c r="F22470" s="626"/>
    </row>
    <row r="22471" spans="1:6">
      <c r="A22471" t="str">
        <f t="shared" si="351"/>
        <v/>
      </c>
      <c r="E22471" s="626"/>
      <c r="F22471" s="626"/>
    </row>
    <row r="22472" spans="1:6">
      <c r="A22472" t="str">
        <f t="shared" si="351"/>
        <v/>
      </c>
      <c r="E22472" s="626"/>
      <c r="F22472" s="626"/>
    </row>
    <row r="22473" spans="1:6">
      <c r="A22473" t="str">
        <f t="shared" si="351"/>
        <v/>
      </c>
      <c r="E22473" s="626"/>
      <c r="F22473" s="626"/>
    </row>
    <row r="22474" spans="1:6">
      <c r="A22474" t="str">
        <f t="shared" si="351"/>
        <v/>
      </c>
      <c r="E22474" s="626"/>
      <c r="F22474" s="626"/>
    </row>
    <row r="22475" spans="1:6">
      <c r="A22475" t="str">
        <f t="shared" si="351"/>
        <v/>
      </c>
      <c r="E22475" s="626"/>
      <c r="F22475" s="626"/>
    </row>
    <row r="22476" spans="1:6">
      <c r="A22476" t="str">
        <f t="shared" si="351"/>
        <v/>
      </c>
      <c r="E22476" s="626"/>
      <c r="F22476" s="626"/>
    </row>
    <row r="22477" spans="1:6">
      <c r="A22477" t="str">
        <f t="shared" si="351"/>
        <v/>
      </c>
      <c r="E22477" s="626"/>
      <c r="F22477" s="626"/>
    </row>
    <row r="22478" spans="1:6">
      <c r="A22478" t="str">
        <f t="shared" si="351"/>
        <v/>
      </c>
      <c r="E22478" s="626"/>
      <c r="F22478" s="626"/>
    </row>
    <row r="22479" spans="1:6">
      <c r="A22479" t="str">
        <f t="shared" si="351"/>
        <v/>
      </c>
      <c r="E22479" s="626"/>
      <c r="F22479" s="626"/>
    </row>
    <row r="22480" spans="1:6">
      <c r="A22480" t="str">
        <f t="shared" si="351"/>
        <v/>
      </c>
      <c r="E22480" s="626"/>
      <c r="F22480" s="626"/>
    </row>
    <row r="22481" spans="1:6">
      <c r="A22481" t="str">
        <f t="shared" si="351"/>
        <v/>
      </c>
      <c r="E22481" s="626"/>
      <c r="F22481" s="626"/>
    </row>
    <row r="22482" spans="1:6">
      <c r="A22482" t="str">
        <f t="shared" si="351"/>
        <v/>
      </c>
      <c r="E22482" s="626"/>
      <c r="F22482" s="626"/>
    </row>
    <row r="22483" spans="1:6">
      <c r="A22483" t="str">
        <f t="shared" si="351"/>
        <v/>
      </c>
      <c r="E22483" s="626"/>
      <c r="F22483" s="626"/>
    </row>
    <row r="22484" spans="1:6">
      <c r="A22484" t="str">
        <f t="shared" si="351"/>
        <v/>
      </c>
      <c r="E22484" s="626"/>
      <c r="F22484" s="626"/>
    </row>
    <row r="22485" spans="1:6">
      <c r="A22485" t="str">
        <f t="shared" si="351"/>
        <v/>
      </c>
      <c r="E22485" s="626"/>
      <c r="F22485" s="626"/>
    </row>
    <row r="22486" spans="1:6">
      <c r="A22486" t="str">
        <f t="shared" si="351"/>
        <v/>
      </c>
      <c r="E22486" s="626"/>
      <c r="F22486" s="626"/>
    </row>
    <row r="22487" spans="1:6">
      <c r="A22487" t="str">
        <f t="shared" si="351"/>
        <v/>
      </c>
      <c r="E22487" s="626"/>
      <c r="F22487" s="626"/>
    </row>
    <row r="22488" spans="1:6">
      <c r="A22488" t="str">
        <f t="shared" si="351"/>
        <v/>
      </c>
      <c r="E22488" s="626"/>
      <c r="F22488" s="626"/>
    </row>
    <row r="22489" spans="1:6">
      <c r="A22489" t="str">
        <f t="shared" si="351"/>
        <v/>
      </c>
      <c r="E22489" s="626"/>
      <c r="F22489" s="626"/>
    </row>
    <row r="22490" spans="1:6">
      <c r="A22490" t="str">
        <f t="shared" si="351"/>
        <v/>
      </c>
      <c r="E22490" s="626"/>
      <c r="F22490" s="626"/>
    </row>
    <row r="22491" spans="1:6">
      <c r="A22491" t="str">
        <f t="shared" si="351"/>
        <v/>
      </c>
      <c r="E22491" s="626"/>
      <c r="F22491" s="626"/>
    </row>
    <row r="22492" spans="1:6">
      <c r="A22492" t="str">
        <f t="shared" si="351"/>
        <v/>
      </c>
      <c r="E22492" s="626"/>
      <c r="F22492" s="626"/>
    </row>
    <row r="22493" spans="1:6">
      <c r="A22493" t="str">
        <f t="shared" si="351"/>
        <v/>
      </c>
      <c r="E22493" s="626"/>
      <c r="F22493" s="626"/>
    </row>
    <row r="22494" spans="1:6">
      <c r="A22494" t="str">
        <f t="shared" si="351"/>
        <v/>
      </c>
      <c r="E22494" s="626"/>
      <c r="F22494" s="626"/>
    </row>
    <row r="22495" spans="1:6">
      <c r="A22495" t="str">
        <f t="shared" si="351"/>
        <v/>
      </c>
      <c r="E22495" s="626"/>
      <c r="F22495" s="626"/>
    </row>
    <row r="22496" spans="1:6">
      <c r="A22496" t="str">
        <f t="shared" si="351"/>
        <v/>
      </c>
      <c r="E22496" s="626"/>
      <c r="F22496" s="626"/>
    </row>
    <row r="22497" spans="1:6">
      <c r="A22497" t="str">
        <f t="shared" si="351"/>
        <v/>
      </c>
      <c r="E22497" s="626"/>
      <c r="F22497" s="626"/>
    </row>
    <row r="22498" spans="1:6">
      <c r="A22498" t="str">
        <f t="shared" si="351"/>
        <v/>
      </c>
      <c r="E22498" s="626"/>
      <c r="F22498" s="626"/>
    </row>
    <row r="22499" spans="1:6">
      <c r="A22499" t="str">
        <f t="shared" si="351"/>
        <v/>
      </c>
      <c r="E22499" s="626"/>
      <c r="F22499" s="626"/>
    </row>
    <row r="22500" spans="1:6">
      <c r="A22500" t="str">
        <f t="shared" si="351"/>
        <v/>
      </c>
      <c r="E22500" s="626"/>
      <c r="F22500" s="626"/>
    </row>
    <row r="22501" spans="1:6">
      <c r="A22501" t="str">
        <f t="shared" si="351"/>
        <v/>
      </c>
      <c r="E22501" s="626"/>
      <c r="F22501" s="626"/>
    </row>
    <row r="22502" spans="1:6">
      <c r="A22502" t="str">
        <f t="shared" si="351"/>
        <v/>
      </c>
      <c r="E22502" s="626"/>
      <c r="F22502" s="626"/>
    </row>
    <row r="22503" spans="1:6">
      <c r="A22503" t="str">
        <f t="shared" si="351"/>
        <v/>
      </c>
      <c r="E22503" s="626"/>
      <c r="F22503" s="626"/>
    </row>
    <row r="22504" spans="1:6">
      <c r="A22504" t="str">
        <f t="shared" si="351"/>
        <v/>
      </c>
      <c r="E22504" s="626"/>
      <c r="F22504" s="626"/>
    </row>
    <row r="22505" spans="1:6">
      <c r="A22505" t="str">
        <f t="shared" si="351"/>
        <v/>
      </c>
      <c r="E22505" s="626"/>
      <c r="F22505" s="626"/>
    </row>
    <row r="22506" spans="1:6">
      <c r="A22506" t="str">
        <f t="shared" si="351"/>
        <v/>
      </c>
      <c r="E22506" s="626"/>
      <c r="F22506" s="626"/>
    </row>
    <row r="22507" spans="1:6">
      <c r="A22507" t="str">
        <f t="shared" si="351"/>
        <v/>
      </c>
      <c r="E22507" s="626"/>
      <c r="F22507" s="626"/>
    </row>
    <row r="22508" spans="1:6">
      <c r="A22508" t="str">
        <f t="shared" si="351"/>
        <v/>
      </c>
      <c r="E22508" s="626"/>
      <c r="F22508" s="626"/>
    </row>
    <row r="22509" spans="1:6">
      <c r="A22509" t="str">
        <f t="shared" si="351"/>
        <v/>
      </c>
      <c r="E22509" s="626"/>
      <c r="F22509" s="626"/>
    </row>
    <row r="22510" spans="1:6">
      <c r="A22510" t="str">
        <f t="shared" si="351"/>
        <v/>
      </c>
      <c r="E22510" s="626"/>
      <c r="F22510" s="626"/>
    </row>
    <row r="22511" spans="1:6">
      <c r="A22511" t="str">
        <f t="shared" si="351"/>
        <v/>
      </c>
      <c r="E22511" s="626"/>
      <c r="F22511" s="626"/>
    </row>
    <row r="22512" spans="1:6">
      <c r="A22512" t="str">
        <f t="shared" si="351"/>
        <v/>
      </c>
      <c r="E22512" s="626"/>
      <c r="F22512" s="626"/>
    </row>
    <row r="22513" spans="1:6">
      <c r="A22513" t="str">
        <f t="shared" si="351"/>
        <v/>
      </c>
      <c r="E22513" s="626"/>
      <c r="F22513" s="626"/>
    </row>
    <row r="22514" spans="1:6">
      <c r="A22514" t="str">
        <f t="shared" si="351"/>
        <v/>
      </c>
      <c r="E22514" s="626"/>
      <c r="F22514" s="626"/>
    </row>
    <row r="22515" spans="1:6">
      <c r="A22515" t="str">
        <f t="shared" si="351"/>
        <v/>
      </c>
      <c r="E22515" s="626"/>
      <c r="F22515" s="626"/>
    </row>
    <row r="22516" spans="1:6">
      <c r="A22516" t="str">
        <f t="shared" si="351"/>
        <v/>
      </c>
      <c r="E22516" s="626"/>
      <c r="F22516" s="626"/>
    </row>
    <row r="22517" spans="1:6">
      <c r="A22517" t="str">
        <f t="shared" si="351"/>
        <v/>
      </c>
      <c r="E22517" s="626"/>
      <c r="F22517" s="626"/>
    </row>
    <row r="22518" spans="1:6">
      <c r="A22518" t="str">
        <f t="shared" si="351"/>
        <v/>
      </c>
      <c r="E22518" s="626"/>
      <c r="F22518" s="626"/>
    </row>
    <row r="22519" spans="1:6">
      <c r="A22519" t="str">
        <f t="shared" si="351"/>
        <v/>
      </c>
      <c r="E22519" s="626"/>
      <c r="F22519" s="626"/>
    </row>
    <row r="22520" spans="1:6">
      <c r="A22520" t="str">
        <f t="shared" si="351"/>
        <v/>
      </c>
      <c r="E22520" s="626"/>
      <c r="F22520" s="626"/>
    </row>
    <row r="22521" spans="1:6">
      <c r="A22521" t="str">
        <f t="shared" si="351"/>
        <v/>
      </c>
      <c r="E22521" s="626"/>
      <c r="F22521" s="626"/>
    </row>
    <row r="22522" spans="1:6">
      <c r="A22522" t="str">
        <f t="shared" si="351"/>
        <v/>
      </c>
      <c r="E22522" s="626"/>
      <c r="F22522" s="626"/>
    </row>
    <row r="22523" spans="1:6">
      <c r="A22523" t="str">
        <f t="shared" si="351"/>
        <v/>
      </c>
      <c r="E22523" s="626"/>
      <c r="F22523" s="626"/>
    </row>
    <row r="22524" spans="1:6">
      <c r="A22524" t="str">
        <f t="shared" si="351"/>
        <v/>
      </c>
      <c r="E22524" s="626"/>
      <c r="F22524" s="626"/>
    </row>
    <row r="22525" spans="1:6">
      <c r="A22525" t="str">
        <f t="shared" si="351"/>
        <v/>
      </c>
      <c r="E22525" s="626"/>
      <c r="F22525" s="626"/>
    </row>
    <row r="22526" spans="1:6">
      <c r="A22526" t="str">
        <f t="shared" si="351"/>
        <v/>
      </c>
      <c r="E22526" s="626"/>
      <c r="F22526" s="626"/>
    </row>
    <row r="22527" spans="1:6">
      <c r="A22527" t="str">
        <f t="shared" si="351"/>
        <v/>
      </c>
      <c r="E22527" s="626"/>
      <c r="F22527" s="626"/>
    </row>
    <row r="22528" spans="1:6">
      <c r="A22528" t="str">
        <f t="shared" si="351"/>
        <v/>
      </c>
      <c r="E22528" s="626"/>
      <c r="F22528" s="626"/>
    </row>
    <row r="22529" spans="1:6">
      <c r="A22529" t="str">
        <f t="shared" si="351"/>
        <v/>
      </c>
      <c r="E22529" s="626"/>
      <c r="F22529" s="626"/>
    </row>
    <row r="22530" spans="1:6">
      <c r="A22530" t="str">
        <f t="shared" ref="A22530:A22593" si="352">B22530&amp;E22530&amp;J22530</f>
        <v/>
      </c>
      <c r="E22530" s="626"/>
      <c r="F22530" s="626"/>
    </row>
    <row r="22531" spans="1:6">
      <c r="A22531" t="str">
        <f t="shared" si="352"/>
        <v/>
      </c>
      <c r="E22531" s="626"/>
      <c r="F22531" s="626"/>
    </row>
    <row r="22532" spans="1:6">
      <c r="A22532" t="str">
        <f t="shared" si="352"/>
        <v/>
      </c>
      <c r="E22532" s="626"/>
      <c r="F22532" s="626"/>
    </row>
    <row r="22533" spans="1:6">
      <c r="A22533" t="str">
        <f t="shared" si="352"/>
        <v/>
      </c>
      <c r="E22533" s="626"/>
      <c r="F22533" s="626"/>
    </row>
    <row r="22534" spans="1:6">
      <c r="A22534" t="str">
        <f t="shared" si="352"/>
        <v/>
      </c>
      <c r="E22534" s="626"/>
      <c r="F22534" s="626"/>
    </row>
    <row r="22535" spans="1:6">
      <c r="A22535" t="str">
        <f t="shared" si="352"/>
        <v/>
      </c>
      <c r="E22535" s="626"/>
      <c r="F22535" s="626"/>
    </row>
    <row r="22536" spans="1:6">
      <c r="A22536" t="str">
        <f t="shared" si="352"/>
        <v/>
      </c>
      <c r="E22536" s="626"/>
      <c r="F22536" s="626"/>
    </row>
    <row r="22537" spans="1:6">
      <c r="A22537" t="str">
        <f t="shared" si="352"/>
        <v/>
      </c>
      <c r="E22537" s="626"/>
      <c r="F22537" s="626"/>
    </row>
    <row r="22538" spans="1:6">
      <c r="A22538" t="str">
        <f t="shared" si="352"/>
        <v/>
      </c>
      <c r="E22538" s="626"/>
      <c r="F22538" s="626"/>
    </row>
    <row r="22539" spans="1:6">
      <c r="A22539" t="str">
        <f t="shared" si="352"/>
        <v/>
      </c>
      <c r="E22539" s="626"/>
      <c r="F22539" s="626"/>
    </row>
    <row r="22540" spans="1:6">
      <c r="A22540" t="str">
        <f t="shared" si="352"/>
        <v/>
      </c>
      <c r="E22540" s="626"/>
      <c r="F22540" s="626"/>
    </row>
    <row r="22541" spans="1:6">
      <c r="A22541" t="str">
        <f t="shared" si="352"/>
        <v/>
      </c>
      <c r="E22541" s="626"/>
      <c r="F22541" s="626"/>
    </row>
    <row r="22542" spans="1:6">
      <c r="A22542" t="str">
        <f t="shared" si="352"/>
        <v/>
      </c>
      <c r="E22542" s="626"/>
      <c r="F22542" s="626"/>
    </row>
    <row r="22543" spans="1:6">
      <c r="A22543" t="str">
        <f t="shared" si="352"/>
        <v/>
      </c>
      <c r="E22543" s="626"/>
      <c r="F22543" s="626"/>
    </row>
    <row r="22544" spans="1:6">
      <c r="A22544" t="str">
        <f t="shared" si="352"/>
        <v/>
      </c>
      <c r="E22544" s="626"/>
      <c r="F22544" s="626"/>
    </row>
    <row r="22545" spans="1:6">
      <c r="A22545" t="str">
        <f t="shared" si="352"/>
        <v/>
      </c>
      <c r="E22545" s="626"/>
      <c r="F22545" s="626"/>
    </row>
    <row r="22546" spans="1:6">
      <c r="A22546" t="str">
        <f t="shared" si="352"/>
        <v/>
      </c>
      <c r="E22546" s="626"/>
      <c r="F22546" s="626"/>
    </row>
    <row r="22547" spans="1:6">
      <c r="A22547" t="str">
        <f t="shared" si="352"/>
        <v/>
      </c>
      <c r="E22547" s="626"/>
      <c r="F22547" s="626"/>
    </row>
    <row r="22548" spans="1:6">
      <c r="A22548" t="str">
        <f t="shared" si="352"/>
        <v/>
      </c>
      <c r="E22548" s="626"/>
      <c r="F22548" s="626"/>
    </row>
    <row r="22549" spans="1:6">
      <c r="A22549" t="str">
        <f t="shared" si="352"/>
        <v/>
      </c>
      <c r="E22549" s="626"/>
      <c r="F22549" s="626"/>
    </row>
    <row r="22550" spans="1:6">
      <c r="A22550" t="str">
        <f t="shared" si="352"/>
        <v/>
      </c>
      <c r="E22550" s="626"/>
      <c r="F22550" s="626"/>
    </row>
    <row r="22551" spans="1:6">
      <c r="A22551" t="str">
        <f t="shared" si="352"/>
        <v/>
      </c>
      <c r="E22551" s="626"/>
      <c r="F22551" s="626"/>
    </row>
    <row r="22552" spans="1:6">
      <c r="A22552" t="str">
        <f t="shared" si="352"/>
        <v/>
      </c>
      <c r="E22552" s="626"/>
      <c r="F22552" s="626"/>
    </row>
    <row r="22553" spans="1:6">
      <c r="A22553" t="str">
        <f t="shared" si="352"/>
        <v/>
      </c>
      <c r="E22553" s="626"/>
      <c r="F22553" s="626"/>
    </row>
    <row r="22554" spans="1:6">
      <c r="A22554" t="str">
        <f t="shared" si="352"/>
        <v/>
      </c>
      <c r="E22554" s="626"/>
      <c r="F22554" s="626"/>
    </row>
    <row r="22555" spans="1:6">
      <c r="A22555" t="str">
        <f t="shared" si="352"/>
        <v/>
      </c>
      <c r="E22555" s="626"/>
      <c r="F22555" s="626"/>
    </row>
    <row r="22556" spans="1:6">
      <c r="A22556" t="str">
        <f t="shared" si="352"/>
        <v/>
      </c>
      <c r="E22556" s="626"/>
      <c r="F22556" s="626"/>
    </row>
    <row r="22557" spans="1:6">
      <c r="A22557" t="str">
        <f t="shared" si="352"/>
        <v/>
      </c>
      <c r="E22557" s="626"/>
      <c r="F22557" s="626"/>
    </row>
    <row r="22558" spans="1:6">
      <c r="A22558" t="str">
        <f t="shared" si="352"/>
        <v/>
      </c>
      <c r="E22558" s="626"/>
      <c r="F22558" s="626"/>
    </row>
    <row r="22559" spans="1:6">
      <c r="A22559" t="str">
        <f t="shared" si="352"/>
        <v/>
      </c>
      <c r="E22559" s="626"/>
      <c r="F22559" s="626"/>
    </row>
    <row r="22560" spans="1:6">
      <c r="A22560" t="str">
        <f t="shared" si="352"/>
        <v/>
      </c>
      <c r="E22560" s="626"/>
      <c r="F22560" s="626"/>
    </row>
    <row r="22561" spans="1:6">
      <c r="A22561" t="str">
        <f t="shared" si="352"/>
        <v/>
      </c>
      <c r="E22561" s="626"/>
      <c r="F22561" s="626"/>
    </row>
    <row r="22562" spans="1:6">
      <c r="A22562" t="str">
        <f t="shared" si="352"/>
        <v/>
      </c>
      <c r="E22562" s="626"/>
      <c r="F22562" s="626"/>
    </row>
    <row r="22563" spans="1:6">
      <c r="A22563" t="str">
        <f t="shared" si="352"/>
        <v/>
      </c>
      <c r="E22563" s="626"/>
      <c r="F22563" s="626"/>
    </row>
    <row r="22564" spans="1:6">
      <c r="A22564" t="str">
        <f t="shared" si="352"/>
        <v/>
      </c>
      <c r="E22564" s="626"/>
      <c r="F22564" s="626"/>
    </row>
    <row r="22565" spans="1:6">
      <c r="A22565" t="str">
        <f t="shared" si="352"/>
        <v/>
      </c>
      <c r="E22565" s="626"/>
      <c r="F22565" s="626"/>
    </row>
    <row r="22566" spans="1:6">
      <c r="A22566" t="str">
        <f t="shared" si="352"/>
        <v/>
      </c>
      <c r="E22566" s="626"/>
      <c r="F22566" s="626"/>
    </row>
    <row r="22567" spans="1:6">
      <c r="A22567" t="str">
        <f t="shared" si="352"/>
        <v/>
      </c>
      <c r="E22567" s="626"/>
      <c r="F22567" s="626"/>
    </row>
    <row r="22568" spans="1:6">
      <c r="A22568" t="str">
        <f t="shared" si="352"/>
        <v/>
      </c>
      <c r="E22568" s="626"/>
      <c r="F22568" s="626"/>
    </row>
    <row r="22569" spans="1:6">
      <c r="A22569" t="str">
        <f t="shared" si="352"/>
        <v/>
      </c>
      <c r="E22569" s="626"/>
      <c r="F22569" s="626"/>
    </row>
    <row r="22570" spans="1:6">
      <c r="A22570" t="str">
        <f t="shared" si="352"/>
        <v/>
      </c>
      <c r="E22570" s="626"/>
      <c r="F22570" s="626"/>
    </row>
    <row r="22571" spans="1:6">
      <c r="A22571" t="str">
        <f t="shared" si="352"/>
        <v/>
      </c>
      <c r="E22571" s="626"/>
      <c r="F22571" s="626"/>
    </row>
    <row r="22572" spans="1:6">
      <c r="A22572" t="str">
        <f t="shared" si="352"/>
        <v/>
      </c>
      <c r="E22572" s="626"/>
      <c r="F22572" s="626"/>
    </row>
    <row r="22573" spans="1:6">
      <c r="A22573" t="str">
        <f t="shared" si="352"/>
        <v/>
      </c>
      <c r="E22573" s="626"/>
      <c r="F22573" s="626"/>
    </row>
    <row r="22574" spans="1:6">
      <c r="A22574" t="str">
        <f t="shared" si="352"/>
        <v/>
      </c>
      <c r="E22574" s="626"/>
      <c r="F22574" s="626"/>
    </row>
    <row r="22575" spans="1:6">
      <c r="A22575" t="str">
        <f t="shared" si="352"/>
        <v/>
      </c>
      <c r="E22575" s="626"/>
      <c r="F22575" s="626"/>
    </row>
    <row r="22576" spans="1:6">
      <c r="A22576" t="str">
        <f t="shared" si="352"/>
        <v/>
      </c>
      <c r="E22576" s="626"/>
      <c r="F22576" s="626"/>
    </row>
    <row r="22577" spans="1:6">
      <c r="A22577" t="str">
        <f t="shared" si="352"/>
        <v/>
      </c>
      <c r="E22577" s="626"/>
      <c r="F22577" s="626"/>
    </row>
    <row r="22578" spans="1:6">
      <c r="A22578" t="str">
        <f t="shared" si="352"/>
        <v/>
      </c>
      <c r="E22578" s="626"/>
      <c r="F22578" s="626"/>
    </row>
    <row r="22579" spans="1:6">
      <c r="A22579" t="str">
        <f t="shared" si="352"/>
        <v/>
      </c>
      <c r="E22579" s="626"/>
      <c r="F22579" s="626"/>
    </row>
    <row r="22580" spans="1:6">
      <c r="A22580" t="str">
        <f t="shared" si="352"/>
        <v/>
      </c>
      <c r="E22580" s="626"/>
      <c r="F22580" s="626"/>
    </row>
    <row r="22581" spans="1:6">
      <c r="A22581" t="str">
        <f t="shared" si="352"/>
        <v/>
      </c>
      <c r="E22581" s="626"/>
      <c r="F22581" s="626"/>
    </row>
    <row r="22582" spans="1:6">
      <c r="A22582" t="str">
        <f t="shared" si="352"/>
        <v/>
      </c>
      <c r="E22582" s="626"/>
      <c r="F22582" s="626"/>
    </row>
    <row r="22583" spans="1:6">
      <c r="A22583" t="str">
        <f t="shared" si="352"/>
        <v/>
      </c>
      <c r="E22583" s="626"/>
      <c r="F22583" s="626"/>
    </row>
    <row r="22584" spans="1:6">
      <c r="A22584" t="str">
        <f t="shared" si="352"/>
        <v/>
      </c>
      <c r="E22584" s="626"/>
      <c r="F22584" s="626"/>
    </row>
    <row r="22585" spans="1:6">
      <c r="A22585" t="str">
        <f t="shared" si="352"/>
        <v/>
      </c>
      <c r="E22585" s="626"/>
      <c r="F22585" s="626"/>
    </row>
    <row r="22586" spans="1:6">
      <c r="A22586" t="str">
        <f t="shared" si="352"/>
        <v/>
      </c>
      <c r="E22586" s="626"/>
      <c r="F22586" s="626"/>
    </row>
    <row r="22587" spans="1:6">
      <c r="A22587" t="str">
        <f t="shared" si="352"/>
        <v/>
      </c>
      <c r="E22587" s="626"/>
      <c r="F22587" s="626"/>
    </row>
    <row r="22588" spans="1:6">
      <c r="A22588" t="str">
        <f t="shared" si="352"/>
        <v/>
      </c>
      <c r="E22588" s="626"/>
      <c r="F22588" s="626"/>
    </row>
    <row r="22589" spans="1:6">
      <c r="A22589" t="str">
        <f t="shared" si="352"/>
        <v/>
      </c>
      <c r="E22589" s="626"/>
      <c r="F22589" s="626"/>
    </row>
    <row r="22590" spans="1:6">
      <c r="A22590" t="str">
        <f t="shared" si="352"/>
        <v/>
      </c>
      <c r="E22590" s="626"/>
      <c r="F22590" s="626"/>
    </row>
    <row r="22591" spans="1:6">
      <c r="A22591" t="str">
        <f t="shared" si="352"/>
        <v/>
      </c>
      <c r="E22591" s="626"/>
      <c r="F22591" s="626"/>
    </row>
    <row r="22592" spans="1:6">
      <c r="A22592" t="str">
        <f t="shared" si="352"/>
        <v/>
      </c>
      <c r="E22592" s="626"/>
      <c r="F22592" s="626"/>
    </row>
    <row r="22593" spans="1:6">
      <c r="A22593" t="str">
        <f t="shared" si="352"/>
        <v/>
      </c>
      <c r="E22593" s="626"/>
      <c r="F22593" s="626"/>
    </row>
    <row r="22594" spans="1:6">
      <c r="A22594" t="str">
        <f t="shared" ref="A22594:A22657" si="353">B22594&amp;E22594&amp;J22594</f>
        <v/>
      </c>
      <c r="E22594" s="626"/>
      <c r="F22594" s="626"/>
    </row>
    <row r="22595" spans="1:6">
      <c r="A22595" t="str">
        <f t="shared" si="353"/>
        <v/>
      </c>
      <c r="E22595" s="626"/>
      <c r="F22595" s="626"/>
    </row>
    <row r="22596" spans="1:6">
      <c r="A22596" t="str">
        <f t="shared" si="353"/>
        <v/>
      </c>
      <c r="E22596" s="626"/>
      <c r="F22596" s="626"/>
    </row>
    <row r="22597" spans="1:6">
      <c r="A22597" t="str">
        <f t="shared" si="353"/>
        <v/>
      </c>
      <c r="E22597" s="626"/>
      <c r="F22597" s="626"/>
    </row>
    <row r="22598" spans="1:6">
      <c r="A22598" t="str">
        <f t="shared" si="353"/>
        <v/>
      </c>
      <c r="E22598" s="626"/>
      <c r="F22598" s="626"/>
    </row>
    <row r="22599" spans="1:6">
      <c r="A22599" t="str">
        <f t="shared" si="353"/>
        <v/>
      </c>
      <c r="E22599" s="626"/>
      <c r="F22599" s="626"/>
    </row>
    <row r="22600" spans="1:6">
      <c r="A22600" t="str">
        <f t="shared" si="353"/>
        <v/>
      </c>
      <c r="E22600" s="626"/>
      <c r="F22600" s="626"/>
    </row>
    <row r="22601" spans="1:6">
      <c r="A22601" t="str">
        <f t="shared" si="353"/>
        <v/>
      </c>
      <c r="E22601" s="626"/>
      <c r="F22601" s="626"/>
    </row>
    <row r="22602" spans="1:6">
      <c r="A22602" t="str">
        <f t="shared" si="353"/>
        <v/>
      </c>
      <c r="E22602" s="626"/>
      <c r="F22602" s="626"/>
    </row>
    <row r="22603" spans="1:6">
      <c r="A22603" t="str">
        <f t="shared" si="353"/>
        <v/>
      </c>
      <c r="E22603" s="626"/>
      <c r="F22603" s="626"/>
    </row>
    <row r="22604" spans="1:6">
      <c r="A22604" t="str">
        <f t="shared" si="353"/>
        <v/>
      </c>
      <c r="E22604" s="626"/>
      <c r="F22604" s="626"/>
    </row>
    <row r="22605" spans="1:6">
      <c r="A22605" t="str">
        <f t="shared" si="353"/>
        <v/>
      </c>
      <c r="E22605" s="626"/>
      <c r="F22605" s="626"/>
    </row>
    <row r="22606" spans="1:6">
      <c r="A22606" t="str">
        <f t="shared" si="353"/>
        <v/>
      </c>
      <c r="E22606" s="626"/>
      <c r="F22606" s="626"/>
    </row>
    <row r="22607" spans="1:6">
      <c r="A22607" t="str">
        <f t="shared" si="353"/>
        <v/>
      </c>
      <c r="E22607" s="626"/>
      <c r="F22607" s="626"/>
    </row>
    <row r="22608" spans="1:6">
      <c r="A22608" t="str">
        <f t="shared" si="353"/>
        <v/>
      </c>
      <c r="E22608" s="626"/>
      <c r="F22608" s="626"/>
    </row>
    <row r="22609" spans="1:6">
      <c r="A22609" t="str">
        <f t="shared" si="353"/>
        <v/>
      </c>
      <c r="E22609" s="626"/>
      <c r="F22609" s="626"/>
    </row>
    <row r="22610" spans="1:6">
      <c r="A22610" t="str">
        <f t="shared" si="353"/>
        <v/>
      </c>
      <c r="E22610" s="626"/>
      <c r="F22610" s="626"/>
    </row>
    <row r="22611" spans="1:6">
      <c r="A22611" t="str">
        <f t="shared" si="353"/>
        <v/>
      </c>
      <c r="E22611" s="626"/>
      <c r="F22611" s="626"/>
    </row>
    <row r="22612" spans="1:6">
      <c r="A22612" t="str">
        <f t="shared" si="353"/>
        <v/>
      </c>
      <c r="E22612" s="626"/>
      <c r="F22612" s="626"/>
    </row>
    <row r="22613" spans="1:6">
      <c r="A22613" t="str">
        <f t="shared" si="353"/>
        <v/>
      </c>
      <c r="E22613" s="626"/>
      <c r="F22613" s="626"/>
    </row>
    <row r="22614" spans="1:6">
      <c r="A22614" t="str">
        <f t="shared" si="353"/>
        <v/>
      </c>
      <c r="E22614" s="626"/>
      <c r="F22614" s="626"/>
    </row>
    <row r="22615" spans="1:6">
      <c r="A22615" t="str">
        <f t="shared" si="353"/>
        <v/>
      </c>
      <c r="E22615" s="626"/>
      <c r="F22615" s="626"/>
    </row>
    <row r="22616" spans="1:6">
      <c r="A22616" t="str">
        <f t="shared" si="353"/>
        <v/>
      </c>
      <c r="E22616" s="626"/>
      <c r="F22616" s="626"/>
    </row>
    <row r="22617" spans="1:6">
      <c r="A22617" t="str">
        <f t="shared" si="353"/>
        <v/>
      </c>
      <c r="E22617" s="626"/>
      <c r="F22617" s="626"/>
    </row>
    <row r="22618" spans="1:6">
      <c r="A22618" t="str">
        <f t="shared" si="353"/>
        <v/>
      </c>
      <c r="E22618" s="626"/>
      <c r="F22618" s="626"/>
    </row>
    <row r="22619" spans="1:6">
      <c r="A22619" t="str">
        <f t="shared" si="353"/>
        <v/>
      </c>
      <c r="E22619" s="626"/>
      <c r="F22619" s="626"/>
    </row>
    <row r="22620" spans="1:6">
      <c r="A22620" t="str">
        <f t="shared" si="353"/>
        <v/>
      </c>
      <c r="E22620" s="626"/>
      <c r="F22620" s="626"/>
    </row>
    <row r="22621" spans="1:6">
      <c r="A22621" t="str">
        <f t="shared" si="353"/>
        <v/>
      </c>
      <c r="E22621" s="626"/>
      <c r="F22621" s="626"/>
    </row>
    <row r="22622" spans="1:6">
      <c r="A22622" t="str">
        <f t="shared" si="353"/>
        <v/>
      </c>
      <c r="E22622" s="626"/>
      <c r="F22622" s="626"/>
    </row>
    <row r="22623" spans="1:6">
      <c r="A22623" t="str">
        <f t="shared" si="353"/>
        <v/>
      </c>
      <c r="E22623" s="626"/>
      <c r="F22623" s="626"/>
    </row>
    <row r="22624" spans="1:6">
      <c r="A22624" t="str">
        <f t="shared" si="353"/>
        <v/>
      </c>
      <c r="E22624" s="626"/>
      <c r="F22624" s="626"/>
    </row>
    <row r="22625" spans="1:6">
      <c r="A22625" t="str">
        <f t="shared" si="353"/>
        <v/>
      </c>
      <c r="E22625" s="626"/>
      <c r="F22625" s="626"/>
    </row>
    <row r="22626" spans="1:6">
      <c r="A22626" t="str">
        <f t="shared" si="353"/>
        <v/>
      </c>
      <c r="E22626" s="626"/>
      <c r="F22626" s="626"/>
    </row>
    <row r="22627" spans="1:6">
      <c r="A22627" t="str">
        <f t="shared" si="353"/>
        <v/>
      </c>
      <c r="E22627" s="626"/>
      <c r="F22627" s="626"/>
    </row>
    <row r="22628" spans="1:6">
      <c r="A22628" t="str">
        <f t="shared" si="353"/>
        <v/>
      </c>
      <c r="E22628" s="626"/>
      <c r="F22628" s="626"/>
    </row>
    <row r="22629" spans="1:6">
      <c r="A22629" t="str">
        <f t="shared" si="353"/>
        <v/>
      </c>
      <c r="E22629" s="626"/>
      <c r="F22629" s="626"/>
    </row>
    <row r="22630" spans="1:6">
      <c r="A22630" t="str">
        <f t="shared" si="353"/>
        <v/>
      </c>
      <c r="E22630" s="626"/>
      <c r="F22630" s="626"/>
    </row>
    <row r="22631" spans="1:6">
      <c r="A22631" t="str">
        <f t="shared" si="353"/>
        <v/>
      </c>
      <c r="E22631" s="626"/>
      <c r="F22631" s="626"/>
    </row>
    <row r="22632" spans="1:6">
      <c r="A22632" t="str">
        <f t="shared" si="353"/>
        <v/>
      </c>
      <c r="E22632" s="626"/>
      <c r="F22632" s="626"/>
    </row>
    <row r="22633" spans="1:6">
      <c r="A22633" t="str">
        <f t="shared" si="353"/>
        <v/>
      </c>
      <c r="E22633" s="626"/>
      <c r="F22633" s="626"/>
    </row>
    <row r="22634" spans="1:6">
      <c r="A22634" t="str">
        <f t="shared" si="353"/>
        <v/>
      </c>
      <c r="E22634" s="626"/>
      <c r="F22634" s="626"/>
    </row>
    <row r="22635" spans="1:6">
      <c r="A22635" t="str">
        <f t="shared" si="353"/>
        <v/>
      </c>
      <c r="E22635" s="626"/>
      <c r="F22635" s="626"/>
    </row>
    <row r="22636" spans="1:6">
      <c r="A22636" t="str">
        <f t="shared" si="353"/>
        <v/>
      </c>
      <c r="E22636" s="626"/>
      <c r="F22636" s="626"/>
    </row>
    <row r="22637" spans="1:6">
      <c r="A22637" t="str">
        <f t="shared" si="353"/>
        <v/>
      </c>
      <c r="E22637" s="626"/>
      <c r="F22637" s="626"/>
    </row>
    <row r="22638" spans="1:6">
      <c r="A22638" t="str">
        <f t="shared" si="353"/>
        <v/>
      </c>
      <c r="E22638" s="626"/>
      <c r="F22638" s="626"/>
    </row>
    <row r="22639" spans="1:6">
      <c r="A22639" t="str">
        <f t="shared" si="353"/>
        <v/>
      </c>
      <c r="E22639" s="626"/>
      <c r="F22639" s="626"/>
    </row>
    <row r="22640" spans="1:6">
      <c r="A22640" t="str">
        <f t="shared" si="353"/>
        <v/>
      </c>
      <c r="E22640" s="626"/>
      <c r="F22640" s="626"/>
    </row>
    <row r="22641" spans="1:6">
      <c r="A22641" t="str">
        <f t="shared" si="353"/>
        <v/>
      </c>
      <c r="E22641" s="626"/>
      <c r="F22641" s="626"/>
    </row>
    <row r="22642" spans="1:6">
      <c r="A22642" t="str">
        <f t="shared" si="353"/>
        <v/>
      </c>
      <c r="E22642" s="626"/>
      <c r="F22642" s="626"/>
    </row>
    <row r="22643" spans="1:6">
      <c r="A22643" t="str">
        <f t="shared" si="353"/>
        <v/>
      </c>
      <c r="E22643" s="626"/>
      <c r="F22643" s="626"/>
    </row>
    <row r="22644" spans="1:6">
      <c r="A22644" t="str">
        <f t="shared" si="353"/>
        <v/>
      </c>
      <c r="E22644" s="626"/>
      <c r="F22644" s="626"/>
    </row>
    <row r="22645" spans="1:6">
      <c r="A22645" t="str">
        <f t="shared" si="353"/>
        <v/>
      </c>
      <c r="E22645" s="626"/>
      <c r="F22645" s="626"/>
    </row>
    <row r="22646" spans="1:6">
      <c r="A22646" t="str">
        <f t="shared" si="353"/>
        <v/>
      </c>
      <c r="E22646" s="626"/>
      <c r="F22646" s="626"/>
    </row>
    <row r="22647" spans="1:6">
      <c r="A22647" t="str">
        <f t="shared" si="353"/>
        <v/>
      </c>
      <c r="E22647" s="626"/>
      <c r="F22647" s="626"/>
    </row>
    <row r="22648" spans="1:6">
      <c r="A22648" t="str">
        <f t="shared" si="353"/>
        <v/>
      </c>
      <c r="E22648" s="626"/>
      <c r="F22648" s="626"/>
    </row>
    <row r="22649" spans="1:6">
      <c r="A22649" t="str">
        <f t="shared" si="353"/>
        <v/>
      </c>
      <c r="E22649" s="626"/>
      <c r="F22649" s="626"/>
    </row>
    <row r="22650" spans="1:6">
      <c r="A22650" t="str">
        <f t="shared" si="353"/>
        <v/>
      </c>
      <c r="E22650" s="626"/>
      <c r="F22650" s="626"/>
    </row>
    <row r="22651" spans="1:6">
      <c r="A22651" t="str">
        <f t="shared" si="353"/>
        <v/>
      </c>
      <c r="E22651" s="626"/>
      <c r="F22651" s="626"/>
    </row>
    <row r="22652" spans="1:6">
      <c r="A22652" t="str">
        <f t="shared" si="353"/>
        <v/>
      </c>
      <c r="E22652" s="626"/>
      <c r="F22652" s="626"/>
    </row>
    <row r="22653" spans="1:6">
      <c r="A22653" t="str">
        <f t="shared" si="353"/>
        <v/>
      </c>
      <c r="E22653" s="626"/>
      <c r="F22653" s="626"/>
    </row>
    <row r="22654" spans="1:6">
      <c r="A22654" t="str">
        <f t="shared" si="353"/>
        <v/>
      </c>
      <c r="E22654" s="626"/>
      <c r="F22654" s="626"/>
    </row>
    <row r="22655" spans="1:6">
      <c r="A22655" t="str">
        <f t="shared" si="353"/>
        <v/>
      </c>
      <c r="E22655" s="626"/>
      <c r="F22655" s="626"/>
    </row>
    <row r="22656" spans="1:6">
      <c r="A22656" t="str">
        <f t="shared" si="353"/>
        <v/>
      </c>
      <c r="E22656" s="626"/>
      <c r="F22656" s="626"/>
    </row>
    <row r="22657" spans="1:6">
      <c r="A22657" t="str">
        <f t="shared" si="353"/>
        <v/>
      </c>
      <c r="E22657" s="626"/>
      <c r="F22657" s="626"/>
    </row>
    <row r="22658" spans="1:6">
      <c r="A22658" t="str">
        <f t="shared" ref="A22658:A22721" si="354">B22658&amp;E22658&amp;J22658</f>
        <v/>
      </c>
      <c r="E22658" s="626"/>
      <c r="F22658" s="626"/>
    </row>
    <row r="22659" spans="1:6">
      <c r="A22659" t="str">
        <f t="shared" si="354"/>
        <v/>
      </c>
      <c r="E22659" s="626"/>
      <c r="F22659" s="626"/>
    </row>
    <row r="22660" spans="1:6">
      <c r="A22660" t="str">
        <f t="shared" si="354"/>
        <v/>
      </c>
      <c r="E22660" s="626"/>
      <c r="F22660" s="626"/>
    </row>
    <row r="22661" spans="1:6">
      <c r="A22661" t="str">
        <f t="shared" si="354"/>
        <v/>
      </c>
      <c r="E22661" s="626"/>
      <c r="F22661" s="626"/>
    </row>
    <row r="22662" spans="1:6">
      <c r="A22662" t="str">
        <f t="shared" si="354"/>
        <v/>
      </c>
      <c r="E22662" s="626"/>
      <c r="F22662" s="626"/>
    </row>
    <row r="22663" spans="1:6">
      <c r="A22663" t="str">
        <f t="shared" si="354"/>
        <v/>
      </c>
      <c r="E22663" s="626"/>
      <c r="F22663" s="626"/>
    </row>
    <row r="22664" spans="1:6">
      <c r="A22664" t="str">
        <f t="shared" si="354"/>
        <v/>
      </c>
      <c r="E22664" s="626"/>
      <c r="F22664" s="626"/>
    </row>
    <row r="22665" spans="1:6">
      <c r="A22665" t="str">
        <f t="shared" si="354"/>
        <v/>
      </c>
      <c r="E22665" s="626"/>
      <c r="F22665" s="626"/>
    </row>
    <row r="22666" spans="1:6">
      <c r="A22666" t="str">
        <f t="shared" si="354"/>
        <v/>
      </c>
      <c r="E22666" s="626"/>
      <c r="F22666" s="626"/>
    </row>
    <row r="22667" spans="1:6">
      <c r="A22667" t="str">
        <f t="shared" si="354"/>
        <v/>
      </c>
      <c r="E22667" s="626"/>
      <c r="F22667" s="626"/>
    </row>
    <row r="22668" spans="1:6">
      <c r="A22668" t="str">
        <f t="shared" si="354"/>
        <v/>
      </c>
      <c r="E22668" s="626"/>
      <c r="F22668" s="626"/>
    </row>
    <row r="22669" spans="1:6">
      <c r="A22669" t="str">
        <f t="shared" si="354"/>
        <v/>
      </c>
      <c r="E22669" s="626"/>
      <c r="F22669" s="626"/>
    </row>
    <row r="22670" spans="1:6">
      <c r="A22670" t="str">
        <f t="shared" si="354"/>
        <v/>
      </c>
      <c r="E22670" s="626"/>
      <c r="F22670" s="626"/>
    </row>
    <row r="22671" spans="1:6">
      <c r="A22671" t="str">
        <f t="shared" si="354"/>
        <v/>
      </c>
      <c r="E22671" s="626"/>
      <c r="F22671" s="626"/>
    </row>
    <row r="22672" spans="1:6">
      <c r="A22672" t="str">
        <f t="shared" si="354"/>
        <v/>
      </c>
      <c r="E22672" s="626"/>
      <c r="F22672" s="626"/>
    </row>
    <row r="22673" spans="1:6">
      <c r="A22673" t="str">
        <f t="shared" si="354"/>
        <v/>
      </c>
      <c r="E22673" s="626"/>
      <c r="F22673" s="626"/>
    </row>
    <row r="22674" spans="1:6">
      <c r="A22674" t="str">
        <f t="shared" si="354"/>
        <v/>
      </c>
      <c r="E22674" s="626"/>
      <c r="F22674" s="626"/>
    </row>
    <row r="22675" spans="1:6">
      <c r="A22675" t="str">
        <f t="shared" si="354"/>
        <v/>
      </c>
      <c r="E22675" s="626"/>
      <c r="F22675" s="626"/>
    </row>
    <row r="22676" spans="1:6">
      <c r="A22676" t="str">
        <f t="shared" si="354"/>
        <v/>
      </c>
      <c r="E22676" s="626"/>
      <c r="F22676" s="626"/>
    </row>
    <row r="22677" spans="1:6">
      <c r="A22677" t="str">
        <f t="shared" si="354"/>
        <v/>
      </c>
      <c r="E22677" s="626"/>
      <c r="F22677" s="626"/>
    </row>
    <row r="22678" spans="1:6">
      <c r="A22678" t="str">
        <f t="shared" si="354"/>
        <v/>
      </c>
      <c r="E22678" s="626"/>
      <c r="F22678" s="626"/>
    </row>
    <row r="22679" spans="1:6">
      <c r="A22679" t="str">
        <f t="shared" si="354"/>
        <v/>
      </c>
      <c r="E22679" s="626"/>
      <c r="F22679" s="626"/>
    </row>
    <row r="22680" spans="1:6">
      <c r="A22680" t="str">
        <f t="shared" si="354"/>
        <v/>
      </c>
      <c r="E22680" s="626"/>
      <c r="F22680" s="626"/>
    </row>
    <row r="22681" spans="1:6">
      <c r="A22681" t="str">
        <f t="shared" si="354"/>
        <v/>
      </c>
      <c r="E22681" s="626"/>
      <c r="F22681" s="626"/>
    </row>
    <row r="22682" spans="1:6">
      <c r="A22682" t="str">
        <f t="shared" si="354"/>
        <v/>
      </c>
      <c r="E22682" s="626"/>
      <c r="F22682" s="626"/>
    </row>
    <row r="22683" spans="1:6">
      <c r="A22683" t="str">
        <f t="shared" si="354"/>
        <v/>
      </c>
      <c r="E22683" s="626"/>
      <c r="F22683" s="626"/>
    </row>
    <row r="22684" spans="1:6">
      <c r="A22684" t="str">
        <f t="shared" si="354"/>
        <v/>
      </c>
      <c r="E22684" s="626"/>
      <c r="F22684" s="626"/>
    </row>
    <row r="22685" spans="1:6">
      <c r="A22685" t="str">
        <f t="shared" si="354"/>
        <v/>
      </c>
      <c r="E22685" s="626"/>
      <c r="F22685" s="626"/>
    </row>
    <row r="22686" spans="1:6">
      <c r="A22686" t="str">
        <f t="shared" si="354"/>
        <v/>
      </c>
      <c r="E22686" s="626"/>
      <c r="F22686" s="626"/>
    </row>
    <row r="22687" spans="1:6">
      <c r="A22687" t="str">
        <f t="shared" si="354"/>
        <v/>
      </c>
      <c r="E22687" s="626"/>
      <c r="F22687" s="626"/>
    </row>
    <row r="22688" spans="1:6">
      <c r="A22688" t="str">
        <f t="shared" si="354"/>
        <v/>
      </c>
      <c r="E22688" s="626"/>
      <c r="F22688" s="626"/>
    </row>
    <row r="22689" spans="1:6">
      <c r="A22689" t="str">
        <f t="shared" si="354"/>
        <v/>
      </c>
      <c r="E22689" s="626"/>
      <c r="F22689" s="626"/>
    </row>
    <row r="22690" spans="1:6">
      <c r="A22690" t="str">
        <f t="shared" si="354"/>
        <v/>
      </c>
      <c r="E22690" s="626"/>
      <c r="F22690" s="626"/>
    </row>
    <row r="22691" spans="1:6">
      <c r="A22691" t="str">
        <f t="shared" si="354"/>
        <v/>
      </c>
      <c r="E22691" s="626"/>
      <c r="F22691" s="626"/>
    </row>
    <row r="22692" spans="1:6">
      <c r="A22692" t="str">
        <f t="shared" si="354"/>
        <v/>
      </c>
      <c r="E22692" s="626"/>
      <c r="F22692" s="626"/>
    </row>
    <row r="22693" spans="1:6">
      <c r="A22693" t="str">
        <f t="shared" si="354"/>
        <v/>
      </c>
      <c r="E22693" s="626"/>
      <c r="F22693" s="626"/>
    </row>
    <row r="22694" spans="1:6">
      <c r="A22694" t="str">
        <f t="shared" si="354"/>
        <v/>
      </c>
      <c r="E22694" s="626"/>
      <c r="F22694" s="626"/>
    </row>
    <row r="22695" spans="1:6">
      <c r="A22695" t="str">
        <f t="shared" si="354"/>
        <v/>
      </c>
      <c r="E22695" s="626"/>
      <c r="F22695" s="626"/>
    </row>
    <row r="22696" spans="1:6">
      <c r="A22696" t="str">
        <f t="shared" si="354"/>
        <v/>
      </c>
      <c r="E22696" s="626"/>
      <c r="F22696" s="626"/>
    </row>
    <row r="22697" spans="1:6">
      <c r="A22697" t="str">
        <f t="shared" si="354"/>
        <v/>
      </c>
      <c r="E22697" s="626"/>
      <c r="F22697" s="626"/>
    </row>
    <row r="22698" spans="1:6">
      <c r="A22698" t="str">
        <f t="shared" si="354"/>
        <v/>
      </c>
      <c r="E22698" s="626"/>
      <c r="F22698" s="626"/>
    </row>
    <row r="22699" spans="1:6">
      <c r="A22699" t="str">
        <f t="shared" si="354"/>
        <v/>
      </c>
      <c r="E22699" s="626"/>
      <c r="F22699" s="626"/>
    </row>
    <row r="22700" spans="1:6">
      <c r="A22700" t="str">
        <f t="shared" si="354"/>
        <v/>
      </c>
      <c r="E22700" s="626"/>
      <c r="F22700" s="626"/>
    </row>
    <row r="22701" spans="1:6">
      <c r="A22701" t="str">
        <f t="shared" si="354"/>
        <v/>
      </c>
      <c r="E22701" s="626"/>
      <c r="F22701" s="626"/>
    </row>
    <row r="22702" spans="1:6">
      <c r="A22702" t="str">
        <f t="shared" si="354"/>
        <v/>
      </c>
      <c r="E22702" s="626"/>
      <c r="F22702" s="626"/>
    </row>
    <row r="22703" spans="1:6">
      <c r="A22703" t="str">
        <f t="shared" si="354"/>
        <v/>
      </c>
      <c r="E22703" s="626"/>
      <c r="F22703" s="626"/>
    </row>
    <row r="22704" spans="1:6">
      <c r="A22704" t="str">
        <f t="shared" si="354"/>
        <v/>
      </c>
      <c r="E22704" s="626"/>
      <c r="F22704" s="626"/>
    </row>
    <row r="22705" spans="1:6">
      <c r="A22705" t="str">
        <f t="shared" si="354"/>
        <v/>
      </c>
      <c r="E22705" s="626"/>
      <c r="F22705" s="626"/>
    </row>
    <row r="22706" spans="1:6">
      <c r="A22706" t="str">
        <f t="shared" si="354"/>
        <v/>
      </c>
      <c r="E22706" s="626"/>
      <c r="F22706" s="626"/>
    </row>
    <row r="22707" spans="1:6">
      <c r="A22707" t="str">
        <f t="shared" si="354"/>
        <v/>
      </c>
      <c r="E22707" s="626"/>
      <c r="F22707" s="626"/>
    </row>
    <row r="22708" spans="1:6">
      <c r="A22708" t="str">
        <f t="shared" si="354"/>
        <v/>
      </c>
      <c r="E22708" s="626"/>
      <c r="F22708" s="626"/>
    </row>
    <row r="22709" spans="1:6">
      <c r="A22709" t="str">
        <f t="shared" si="354"/>
        <v/>
      </c>
      <c r="E22709" s="626"/>
      <c r="F22709" s="626"/>
    </row>
    <row r="22710" spans="1:6">
      <c r="A22710" t="str">
        <f t="shared" si="354"/>
        <v/>
      </c>
      <c r="E22710" s="626"/>
      <c r="F22710" s="626"/>
    </row>
    <row r="22711" spans="1:6">
      <c r="A22711" t="str">
        <f t="shared" si="354"/>
        <v/>
      </c>
      <c r="E22711" s="626"/>
      <c r="F22711" s="626"/>
    </row>
    <row r="22712" spans="1:6">
      <c r="A22712" t="str">
        <f t="shared" si="354"/>
        <v/>
      </c>
      <c r="E22712" s="626"/>
      <c r="F22712" s="626"/>
    </row>
    <row r="22713" spans="1:6">
      <c r="A22713" t="str">
        <f t="shared" si="354"/>
        <v/>
      </c>
      <c r="E22713" s="626"/>
      <c r="F22713" s="626"/>
    </row>
    <row r="22714" spans="1:6">
      <c r="A22714" t="str">
        <f t="shared" si="354"/>
        <v/>
      </c>
      <c r="E22714" s="626"/>
      <c r="F22714" s="626"/>
    </row>
    <row r="22715" spans="1:6">
      <c r="A22715" t="str">
        <f t="shared" si="354"/>
        <v/>
      </c>
      <c r="E22715" s="626"/>
      <c r="F22715" s="626"/>
    </row>
    <row r="22716" spans="1:6">
      <c r="A22716" t="str">
        <f t="shared" si="354"/>
        <v/>
      </c>
      <c r="E22716" s="626"/>
      <c r="F22716" s="626"/>
    </row>
    <row r="22717" spans="1:6">
      <c r="A22717" t="str">
        <f t="shared" si="354"/>
        <v/>
      </c>
      <c r="E22717" s="626"/>
      <c r="F22717" s="626"/>
    </row>
    <row r="22718" spans="1:6">
      <c r="A22718" t="str">
        <f t="shared" si="354"/>
        <v/>
      </c>
      <c r="E22718" s="626"/>
      <c r="F22718" s="626"/>
    </row>
    <row r="22719" spans="1:6">
      <c r="A22719" t="str">
        <f t="shared" si="354"/>
        <v/>
      </c>
      <c r="E22719" s="626"/>
      <c r="F22719" s="626"/>
    </row>
    <row r="22720" spans="1:6">
      <c r="A22720" t="str">
        <f t="shared" si="354"/>
        <v/>
      </c>
      <c r="E22720" s="626"/>
      <c r="F22720" s="626"/>
    </row>
    <row r="22721" spans="1:6">
      <c r="A22721" t="str">
        <f t="shared" si="354"/>
        <v/>
      </c>
      <c r="E22721" s="626"/>
      <c r="F22721" s="626"/>
    </row>
    <row r="22722" spans="1:6">
      <c r="A22722" t="str">
        <f t="shared" ref="A22722:A22785" si="355">B22722&amp;E22722&amp;J22722</f>
        <v/>
      </c>
      <c r="E22722" s="626"/>
      <c r="F22722" s="626"/>
    </row>
    <row r="22723" spans="1:6">
      <c r="A22723" t="str">
        <f t="shared" si="355"/>
        <v/>
      </c>
      <c r="E22723" s="626"/>
      <c r="F22723" s="626"/>
    </row>
    <row r="22724" spans="1:6">
      <c r="A22724" t="str">
        <f t="shared" si="355"/>
        <v/>
      </c>
      <c r="E22724" s="626"/>
      <c r="F22724" s="626"/>
    </row>
    <row r="22725" spans="1:6">
      <c r="A22725" t="str">
        <f t="shared" si="355"/>
        <v/>
      </c>
      <c r="E22725" s="626"/>
      <c r="F22725" s="626"/>
    </row>
    <row r="22726" spans="1:6">
      <c r="A22726" t="str">
        <f t="shared" si="355"/>
        <v/>
      </c>
      <c r="E22726" s="626"/>
      <c r="F22726" s="626"/>
    </row>
    <row r="22727" spans="1:6">
      <c r="A22727" t="str">
        <f t="shared" si="355"/>
        <v/>
      </c>
      <c r="E22727" s="626"/>
      <c r="F22727" s="626"/>
    </row>
    <row r="22728" spans="1:6">
      <c r="A22728" t="str">
        <f t="shared" si="355"/>
        <v/>
      </c>
      <c r="E22728" s="626"/>
      <c r="F22728" s="626"/>
    </row>
    <row r="22729" spans="1:6">
      <c r="A22729" t="str">
        <f t="shared" si="355"/>
        <v/>
      </c>
      <c r="E22729" s="626"/>
      <c r="F22729" s="626"/>
    </row>
    <row r="22730" spans="1:6">
      <c r="A22730" t="str">
        <f t="shared" si="355"/>
        <v/>
      </c>
      <c r="E22730" s="626"/>
      <c r="F22730" s="626"/>
    </row>
    <row r="22731" spans="1:6">
      <c r="A22731" t="str">
        <f t="shared" si="355"/>
        <v/>
      </c>
      <c r="E22731" s="626"/>
      <c r="F22731" s="626"/>
    </row>
    <row r="22732" spans="1:6">
      <c r="A22732" t="str">
        <f t="shared" si="355"/>
        <v/>
      </c>
      <c r="E22732" s="626"/>
      <c r="F22732" s="626"/>
    </row>
    <row r="22733" spans="1:6">
      <c r="A22733" t="str">
        <f t="shared" si="355"/>
        <v/>
      </c>
      <c r="E22733" s="626"/>
      <c r="F22733" s="626"/>
    </row>
    <row r="22734" spans="1:6">
      <c r="A22734" t="str">
        <f t="shared" si="355"/>
        <v/>
      </c>
      <c r="E22734" s="626"/>
      <c r="F22734" s="626"/>
    </row>
    <row r="22735" spans="1:6">
      <c r="A22735" t="str">
        <f t="shared" si="355"/>
        <v/>
      </c>
      <c r="E22735" s="626"/>
      <c r="F22735" s="626"/>
    </row>
    <row r="22736" spans="1:6">
      <c r="A22736" t="str">
        <f t="shared" si="355"/>
        <v/>
      </c>
      <c r="E22736" s="626"/>
      <c r="F22736" s="626"/>
    </row>
    <row r="22737" spans="1:6">
      <c r="A22737" t="str">
        <f t="shared" si="355"/>
        <v/>
      </c>
      <c r="E22737" s="626"/>
      <c r="F22737" s="626"/>
    </row>
    <row r="22738" spans="1:6">
      <c r="A22738" t="str">
        <f t="shared" si="355"/>
        <v/>
      </c>
      <c r="E22738" s="626"/>
      <c r="F22738" s="626"/>
    </row>
    <row r="22739" spans="1:6">
      <c r="A22739" t="str">
        <f t="shared" si="355"/>
        <v/>
      </c>
      <c r="E22739" s="626"/>
      <c r="F22739" s="626"/>
    </row>
    <row r="22740" spans="1:6">
      <c r="A22740" t="str">
        <f t="shared" si="355"/>
        <v/>
      </c>
      <c r="E22740" s="626"/>
      <c r="F22740" s="626"/>
    </row>
    <row r="22741" spans="1:6">
      <c r="A22741" t="str">
        <f t="shared" si="355"/>
        <v/>
      </c>
      <c r="E22741" s="626"/>
      <c r="F22741" s="626"/>
    </row>
    <row r="22742" spans="1:6">
      <c r="A22742" t="str">
        <f t="shared" si="355"/>
        <v/>
      </c>
      <c r="E22742" s="626"/>
      <c r="F22742" s="626"/>
    </row>
    <row r="22743" spans="1:6">
      <c r="A22743" t="str">
        <f t="shared" si="355"/>
        <v/>
      </c>
      <c r="E22743" s="626"/>
      <c r="F22743" s="626"/>
    </row>
    <row r="22744" spans="1:6">
      <c r="A22744" t="str">
        <f t="shared" si="355"/>
        <v/>
      </c>
      <c r="E22744" s="626"/>
      <c r="F22744" s="626"/>
    </row>
    <row r="22745" spans="1:6">
      <c r="A22745" t="str">
        <f t="shared" si="355"/>
        <v/>
      </c>
      <c r="E22745" s="626"/>
      <c r="F22745" s="626"/>
    </row>
    <row r="22746" spans="1:6">
      <c r="A22746" t="str">
        <f t="shared" si="355"/>
        <v/>
      </c>
      <c r="E22746" s="626"/>
      <c r="F22746" s="626"/>
    </row>
    <row r="22747" spans="1:6">
      <c r="A22747" t="str">
        <f t="shared" si="355"/>
        <v/>
      </c>
      <c r="E22747" s="626"/>
      <c r="F22747" s="626"/>
    </row>
    <row r="22748" spans="1:6">
      <c r="A22748" t="str">
        <f t="shared" si="355"/>
        <v/>
      </c>
      <c r="E22748" s="626"/>
      <c r="F22748" s="626"/>
    </row>
    <row r="22749" spans="1:6">
      <c r="A22749" t="str">
        <f t="shared" si="355"/>
        <v/>
      </c>
      <c r="E22749" s="626"/>
      <c r="F22749" s="626"/>
    </row>
    <row r="22750" spans="1:6">
      <c r="A22750" t="str">
        <f t="shared" si="355"/>
        <v/>
      </c>
      <c r="E22750" s="626"/>
      <c r="F22750" s="626"/>
    </row>
    <row r="22751" spans="1:6">
      <c r="A22751" t="str">
        <f t="shared" si="355"/>
        <v/>
      </c>
      <c r="E22751" s="626"/>
      <c r="F22751" s="626"/>
    </row>
    <row r="22752" spans="1:6">
      <c r="A22752" t="str">
        <f t="shared" si="355"/>
        <v/>
      </c>
      <c r="E22752" s="626"/>
      <c r="F22752" s="626"/>
    </row>
    <row r="22753" spans="1:6">
      <c r="A22753" t="str">
        <f t="shared" si="355"/>
        <v/>
      </c>
      <c r="E22753" s="626"/>
      <c r="F22753" s="626"/>
    </row>
    <row r="22754" spans="1:6">
      <c r="A22754" t="str">
        <f t="shared" si="355"/>
        <v/>
      </c>
      <c r="E22754" s="626"/>
      <c r="F22754" s="626"/>
    </row>
    <row r="22755" spans="1:6">
      <c r="A22755" t="str">
        <f t="shared" si="355"/>
        <v/>
      </c>
      <c r="E22755" s="626"/>
      <c r="F22755" s="626"/>
    </row>
    <row r="22756" spans="1:6">
      <c r="A22756" t="str">
        <f t="shared" si="355"/>
        <v/>
      </c>
      <c r="E22756" s="626"/>
      <c r="F22756" s="626"/>
    </row>
    <row r="22757" spans="1:6">
      <c r="A22757" t="str">
        <f t="shared" si="355"/>
        <v/>
      </c>
      <c r="E22757" s="626"/>
      <c r="F22757" s="626"/>
    </row>
    <row r="22758" spans="1:6">
      <c r="A22758" t="str">
        <f t="shared" si="355"/>
        <v/>
      </c>
      <c r="E22758" s="626"/>
      <c r="F22758" s="626"/>
    </row>
    <row r="22759" spans="1:6">
      <c r="A22759" t="str">
        <f t="shared" si="355"/>
        <v/>
      </c>
      <c r="E22759" s="626"/>
      <c r="F22759" s="626"/>
    </row>
    <row r="22760" spans="1:6">
      <c r="A22760" t="str">
        <f t="shared" si="355"/>
        <v/>
      </c>
      <c r="E22760" s="626"/>
      <c r="F22760" s="626"/>
    </row>
    <row r="22761" spans="1:6">
      <c r="A22761" t="str">
        <f t="shared" si="355"/>
        <v/>
      </c>
      <c r="E22761" s="626"/>
      <c r="F22761" s="626"/>
    </row>
    <row r="22762" spans="1:6">
      <c r="A22762" t="str">
        <f t="shared" si="355"/>
        <v/>
      </c>
      <c r="E22762" s="626"/>
      <c r="F22762" s="626"/>
    </row>
    <row r="22763" spans="1:6">
      <c r="A22763" t="str">
        <f t="shared" si="355"/>
        <v/>
      </c>
      <c r="E22763" s="626"/>
      <c r="F22763" s="626"/>
    </row>
    <row r="22764" spans="1:6">
      <c r="A22764" t="str">
        <f t="shared" si="355"/>
        <v/>
      </c>
      <c r="E22764" s="626"/>
      <c r="F22764" s="626"/>
    </row>
    <row r="22765" spans="1:6">
      <c r="A22765" t="str">
        <f t="shared" si="355"/>
        <v/>
      </c>
      <c r="E22765" s="626"/>
      <c r="F22765" s="626"/>
    </row>
    <row r="22766" spans="1:6">
      <c r="A22766" t="str">
        <f t="shared" si="355"/>
        <v/>
      </c>
      <c r="E22766" s="626"/>
      <c r="F22766" s="626"/>
    </row>
    <row r="22767" spans="1:6">
      <c r="A22767" t="str">
        <f t="shared" si="355"/>
        <v/>
      </c>
      <c r="E22767" s="626"/>
      <c r="F22767" s="626"/>
    </row>
    <row r="22768" spans="1:6">
      <c r="A22768" t="str">
        <f t="shared" si="355"/>
        <v/>
      </c>
      <c r="E22768" s="626"/>
      <c r="F22768" s="626"/>
    </row>
    <row r="22769" spans="1:6">
      <c r="A22769" t="str">
        <f t="shared" si="355"/>
        <v/>
      </c>
      <c r="E22769" s="626"/>
      <c r="F22769" s="626"/>
    </row>
    <row r="22770" spans="1:6">
      <c r="A22770" t="str">
        <f t="shared" si="355"/>
        <v/>
      </c>
      <c r="E22770" s="626"/>
      <c r="F22770" s="626"/>
    </row>
    <row r="22771" spans="1:6">
      <c r="A22771" t="str">
        <f t="shared" si="355"/>
        <v/>
      </c>
      <c r="E22771" s="626"/>
      <c r="F22771" s="626"/>
    </row>
    <row r="22772" spans="1:6">
      <c r="A22772" t="str">
        <f t="shared" si="355"/>
        <v/>
      </c>
      <c r="E22772" s="626"/>
      <c r="F22772" s="626"/>
    </row>
    <row r="22773" spans="1:6">
      <c r="A22773" t="str">
        <f t="shared" si="355"/>
        <v/>
      </c>
      <c r="E22773" s="626"/>
      <c r="F22773" s="626"/>
    </row>
    <row r="22774" spans="1:6">
      <c r="A22774" t="str">
        <f t="shared" si="355"/>
        <v/>
      </c>
      <c r="E22774" s="626"/>
      <c r="F22774" s="626"/>
    </row>
    <row r="22775" spans="1:6">
      <c r="A22775" t="str">
        <f t="shared" si="355"/>
        <v/>
      </c>
      <c r="E22775" s="626"/>
      <c r="F22775" s="626"/>
    </row>
    <row r="22776" spans="1:6">
      <c r="A22776" t="str">
        <f t="shared" si="355"/>
        <v/>
      </c>
      <c r="E22776" s="626"/>
      <c r="F22776" s="626"/>
    </row>
    <row r="22777" spans="1:6">
      <c r="A22777" t="str">
        <f t="shared" si="355"/>
        <v/>
      </c>
      <c r="E22777" s="626"/>
      <c r="F22777" s="626"/>
    </row>
    <row r="22778" spans="1:6">
      <c r="A22778" t="str">
        <f t="shared" si="355"/>
        <v/>
      </c>
      <c r="E22778" s="626"/>
      <c r="F22778" s="626"/>
    </row>
    <row r="22779" spans="1:6">
      <c r="A22779" t="str">
        <f t="shared" si="355"/>
        <v/>
      </c>
      <c r="E22779" s="626"/>
      <c r="F22779" s="626"/>
    </row>
    <row r="22780" spans="1:6">
      <c r="A22780" t="str">
        <f t="shared" si="355"/>
        <v/>
      </c>
      <c r="E22780" s="626"/>
      <c r="F22780" s="626"/>
    </row>
    <row r="22781" spans="1:6">
      <c r="A22781" t="str">
        <f t="shared" si="355"/>
        <v/>
      </c>
      <c r="E22781" s="626"/>
      <c r="F22781" s="626"/>
    </row>
    <row r="22782" spans="1:6">
      <c r="A22782" t="str">
        <f t="shared" si="355"/>
        <v/>
      </c>
      <c r="E22782" s="626"/>
      <c r="F22782" s="626"/>
    </row>
    <row r="22783" spans="1:6">
      <c r="A22783" t="str">
        <f t="shared" si="355"/>
        <v/>
      </c>
      <c r="E22783" s="626"/>
      <c r="F22783" s="626"/>
    </row>
    <row r="22784" spans="1:6">
      <c r="A22784" t="str">
        <f t="shared" si="355"/>
        <v/>
      </c>
      <c r="E22784" s="626"/>
      <c r="F22784" s="626"/>
    </row>
    <row r="22785" spans="1:6">
      <c r="A22785" t="str">
        <f t="shared" si="355"/>
        <v/>
      </c>
      <c r="E22785" s="626"/>
      <c r="F22785" s="626"/>
    </row>
    <row r="22786" spans="1:6">
      <c r="A22786" t="str">
        <f t="shared" ref="A22786:A22849" si="356">B22786&amp;E22786&amp;J22786</f>
        <v/>
      </c>
      <c r="E22786" s="626"/>
      <c r="F22786" s="626"/>
    </row>
    <row r="22787" spans="1:6">
      <c r="A22787" t="str">
        <f t="shared" si="356"/>
        <v/>
      </c>
      <c r="E22787" s="626"/>
      <c r="F22787" s="626"/>
    </row>
    <row r="22788" spans="1:6">
      <c r="A22788" t="str">
        <f t="shared" si="356"/>
        <v/>
      </c>
      <c r="E22788" s="626"/>
      <c r="F22788" s="626"/>
    </row>
    <row r="22789" spans="1:6">
      <c r="A22789" t="str">
        <f t="shared" si="356"/>
        <v/>
      </c>
      <c r="E22789" s="626"/>
      <c r="F22789" s="626"/>
    </row>
    <row r="22790" spans="1:6">
      <c r="A22790" t="str">
        <f t="shared" si="356"/>
        <v/>
      </c>
      <c r="E22790" s="626"/>
      <c r="F22790" s="626"/>
    </row>
    <row r="22791" spans="1:6">
      <c r="A22791" t="str">
        <f t="shared" si="356"/>
        <v/>
      </c>
      <c r="E22791" s="626"/>
      <c r="F22791" s="626"/>
    </row>
    <row r="22792" spans="1:6">
      <c r="A22792" t="str">
        <f t="shared" si="356"/>
        <v/>
      </c>
      <c r="E22792" s="626"/>
      <c r="F22792" s="626"/>
    </row>
    <row r="22793" spans="1:6">
      <c r="A22793" t="str">
        <f t="shared" si="356"/>
        <v/>
      </c>
      <c r="E22793" s="626"/>
      <c r="F22793" s="626"/>
    </row>
    <row r="22794" spans="1:6">
      <c r="A22794" t="str">
        <f t="shared" si="356"/>
        <v/>
      </c>
      <c r="E22794" s="626"/>
      <c r="F22794" s="626"/>
    </row>
    <row r="22795" spans="1:6">
      <c r="A22795" t="str">
        <f t="shared" si="356"/>
        <v/>
      </c>
      <c r="E22795" s="626"/>
      <c r="F22795" s="626"/>
    </row>
    <row r="22796" spans="1:6">
      <c r="A22796" t="str">
        <f t="shared" si="356"/>
        <v/>
      </c>
      <c r="E22796" s="626"/>
      <c r="F22796" s="626"/>
    </row>
    <row r="22797" spans="1:6">
      <c r="A22797" t="str">
        <f t="shared" si="356"/>
        <v/>
      </c>
      <c r="E22797" s="626"/>
      <c r="F22797" s="626"/>
    </row>
    <row r="22798" spans="1:6">
      <c r="A22798" t="str">
        <f t="shared" si="356"/>
        <v/>
      </c>
      <c r="E22798" s="626"/>
      <c r="F22798" s="626"/>
    </row>
    <row r="22799" spans="1:6">
      <c r="A22799" t="str">
        <f t="shared" si="356"/>
        <v/>
      </c>
      <c r="E22799" s="626"/>
      <c r="F22799" s="626"/>
    </row>
    <row r="22800" spans="1:6">
      <c r="A22800" t="str">
        <f t="shared" si="356"/>
        <v/>
      </c>
      <c r="E22800" s="626"/>
      <c r="F22800" s="626"/>
    </row>
    <row r="22801" spans="1:6">
      <c r="A22801" t="str">
        <f t="shared" si="356"/>
        <v/>
      </c>
      <c r="E22801" s="626"/>
      <c r="F22801" s="626"/>
    </row>
    <row r="22802" spans="1:6">
      <c r="A22802" t="str">
        <f t="shared" si="356"/>
        <v/>
      </c>
      <c r="E22802" s="626"/>
      <c r="F22802" s="626"/>
    </row>
    <row r="22803" spans="1:6">
      <c r="A22803" t="str">
        <f t="shared" si="356"/>
        <v/>
      </c>
      <c r="E22803" s="626"/>
      <c r="F22803" s="626"/>
    </row>
    <row r="22804" spans="1:6">
      <c r="A22804" t="str">
        <f t="shared" si="356"/>
        <v/>
      </c>
      <c r="E22804" s="626"/>
      <c r="F22804" s="626"/>
    </row>
    <row r="22805" spans="1:6">
      <c r="A22805" t="str">
        <f t="shared" si="356"/>
        <v/>
      </c>
      <c r="E22805" s="626"/>
      <c r="F22805" s="626"/>
    </row>
    <row r="22806" spans="1:6">
      <c r="A22806" t="str">
        <f t="shared" si="356"/>
        <v/>
      </c>
      <c r="E22806" s="626"/>
      <c r="F22806" s="626"/>
    </row>
    <row r="22807" spans="1:6">
      <c r="A22807" t="str">
        <f t="shared" si="356"/>
        <v/>
      </c>
      <c r="E22807" s="626"/>
      <c r="F22807" s="626"/>
    </row>
    <row r="22808" spans="1:6">
      <c r="A22808" t="str">
        <f t="shared" si="356"/>
        <v/>
      </c>
      <c r="E22808" s="626"/>
      <c r="F22808" s="626"/>
    </row>
    <row r="22809" spans="1:6">
      <c r="A22809" t="str">
        <f t="shared" si="356"/>
        <v/>
      </c>
      <c r="E22809" s="626"/>
      <c r="F22809" s="626"/>
    </row>
    <row r="22810" spans="1:6">
      <c r="A22810" t="str">
        <f t="shared" si="356"/>
        <v/>
      </c>
      <c r="E22810" s="626"/>
      <c r="F22810" s="626"/>
    </row>
    <row r="22811" spans="1:6">
      <c r="A22811" t="str">
        <f t="shared" si="356"/>
        <v/>
      </c>
      <c r="E22811" s="626"/>
      <c r="F22811" s="626"/>
    </row>
    <row r="22812" spans="1:6">
      <c r="A22812" t="str">
        <f t="shared" si="356"/>
        <v/>
      </c>
      <c r="E22812" s="626"/>
      <c r="F22812" s="626"/>
    </row>
    <row r="22813" spans="1:6">
      <c r="A22813" t="str">
        <f t="shared" si="356"/>
        <v/>
      </c>
      <c r="E22813" s="626"/>
      <c r="F22813" s="626"/>
    </row>
    <row r="22814" spans="1:6">
      <c r="A22814" t="str">
        <f t="shared" si="356"/>
        <v/>
      </c>
      <c r="E22814" s="626"/>
      <c r="F22814" s="626"/>
    </row>
    <row r="22815" spans="1:6">
      <c r="A22815" t="str">
        <f t="shared" si="356"/>
        <v/>
      </c>
      <c r="E22815" s="626"/>
      <c r="F22815" s="626"/>
    </row>
    <row r="22816" spans="1:6">
      <c r="A22816" t="str">
        <f t="shared" si="356"/>
        <v/>
      </c>
      <c r="E22816" s="626"/>
      <c r="F22816" s="626"/>
    </row>
    <row r="22817" spans="1:6">
      <c r="A22817" t="str">
        <f t="shared" si="356"/>
        <v/>
      </c>
      <c r="E22817" s="626"/>
      <c r="F22817" s="626"/>
    </row>
    <row r="22818" spans="1:6">
      <c r="A22818" t="str">
        <f t="shared" si="356"/>
        <v/>
      </c>
      <c r="E22818" s="626"/>
      <c r="F22818" s="626"/>
    </row>
    <row r="22819" spans="1:6">
      <c r="A22819" t="str">
        <f t="shared" si="356"/>
        <v/>
      </c>
      <c r="E22819" s="626"/>
      <c r="F22819" s="626"/>
    </row>
    <row r="22820" spans="1:6">
      <c r="A22820" t="str">
        <f t="shared" si="356"/>
        <v/>
      </c>
      <c r="E22820" s="626"/>
      <c r="F22820" s="626"/>
    </row>
    <row r="22821" spans="1:6">
      <c r="A22821" t="str">
        <f t="shared" si="356"/>
        <v/>
      </c>
      <c r="E22821" s="626"/>
      <c r="F22821" s="626"/>
    </row>
    <row r="22822" spans="1:6">
      <c r="A22822" t="str">
        <f t="shared" si="356"/>
        <v/>
      </c>
      <c r="E22822" s="626"/>
      <c r="F22822" s="626"/>
    </row>
    <row r="22823" spans="1:6">
      <c r="A22823" t="str">
        <f t="shared" si="356"/>
        <v/>
      </c>
      <c r="E22823" s="626"/>
      <c r="F22823" s="626"/>
    </row>
    <row r="22824" spans="1:6">
      <c r="A22824" t="str">
        <f t="shared" si="356"/>
        <v/>
      </c>
      <c r="E22824" s="626"/>
      <c r="F22824" s="626"/>
    </row>
    <row r="22825" spans="1:6">
      <c r="A22825" t="str">
        <f t="shared" si="356"/>
        <v/>
      </c>
      <c r="E22825" s="626"/>
      <c r="F22825" s="626"/>
    </row>
    <row r="22826" spans="1:6">
      <c r="A22826" t="str">
        <f t="shared" si="356"/>
        <v/>
      </c>
      <c r="E22826" s="626"/>
      <c r="F22826" s="626"/>
    </row>
    <row r="22827" spans="1:6">
      <c r="A22827" t="str">
        <f t="shared" si="356"/>
        <v/>
      </c>
      <c r="E22827" s="626"/>
      <c r="F22827" s="626"/>
    </row>
    <row r="22828" spans="1:6">
      <c r="A22828" t="str">
        <f t="shared" si="356"/>
        <v/>
      </c>
      <c r="E22828" s="626"/>
      <c r="F22828" s="626"/>
    </row>
    <row r="22829" spans="1:6">
      <c r="A22829" t="str">
        <f t="shared" si="356"/>
        <v/>
      </c>
      <c r="E22829" s="626"/>
      <c r="F22829" s="626"/>
    </row>
    <row r="22830" spans="1:6">
      <c r="A22830" t="str">
        <f t="shared" si="356"/>
        <v/>
      </c>
      <c r="E22830" s="626"/>
      <c r="F22830" s="626"/>
    </row>
    <row r="22831" spans="1:6">
      <c r="A22831" t="str">
        <f t="shared" si="356"/>
        <v/>
      </c>
      <c r="E22831" s="626"/>
      <c r="F22831" s="626"/>
    </row>
    <row r="22832" spans="1:6">
      <c r="A22832" t="str">
        <f t="shared" si="356"/>
        <v/>
      </c>
      <c r="E22832" s="626"/>
      <c r="F22832" s="626"/>
    </row>
    <row r="22833" spans="1:6">
      <c r="A22833" t="str">
        <f t="shared" si="356"/>
        <v/>
      </c>
      <c r="E22833" s="626"/>
      <c r="F22833" s="626"/>
    </row>
    <row r="22834" spans="1:6">
      <c r="A22834" t="str">
        <f t="shared" si="356"/>
        <v/>
      </c>
      <c r="E22834" s="626"/>
      <c r="F22834" s="626"/>
    </row>
    <row r="22835" spans="1:6">
      <c r="A22835" t="str">
        <f t="shared" si="356"/>
        <v/>
      </c>
      <c r="E22835" s="626"/>
      <c r="F22835" s="626"/>
    </row>
    <row r="22836" spans="1:6">
      <c r="A22836" t="str">
        <f t="shared" si="356"/>
        <v/>
      </c>
      <c r="E22836" s="626"/>
      <c r="F22836" s="626"/>
    </row>
    <row r="22837" spans="1:6">
      <c r="A22837" t="str">
        <f t="shared" si="356"/>
        <v/>
      </c>
      <c r="E22837" s="626"/>
      <c r="F22837" s="626"/>
    </row>
    <row r="22838" spans="1:6">
      <c r="A22838" t="str">
        <f t="shared" si="356"/>
        <v/>
      </c>
      <c r="E22838" s="626"/>
      <c r="F22838" s="626"/>
    </row>
    <row r="22839" spans="1:6">
      <c r="A22839" t="str">
        <f t="shared" si="356"/>
        <v/>
      </c>
      <c r="E22839" s="626"/>
      <c r="F22839" s="626"/>
    </row>
    <row r="22840" spans="1:6">
      <c r="A22840" t="str">
        <f t="shared" si="356"/>
        <v/>
      </c>
      <c r="E22840" s="626"/>
      <c r="F22840" s="626"/>
    </row>
    <row r="22841" spans="1:6">
      <c r="A22841" t="str">
        <f t="shared" si="356"/>
        <v/>
      </c>
      <c r="E22841" s="626"/>
      <c r="F22841" s="626"/>
    </row>
    <row r="22842" spans="1:6">
      <c r="A22842" t="str">
        <f t="shared" si="356"/>
        <v/>
      </c>
      <c r="E22842" s="626"/>
      <c r="F22842" s="626"/>
    </row>
    <row r="22843" spans="1:6">
      <c r="A22843" t="str">
        <f t="shared" si="356"/>
        <v/>
      </c>
      <c r="E22843" s="626"/>
      <c r="F22843" s="626"/>
    </row>
    <row r="22844" spans="1:6">
      <c r="A22844" t="str">
        <f t="shared" si="356"/>
        <v/>
      </c>
      <c r="E22844" s="626"/>
      <c r="F22844" s="626"/>
    </row>
    <row r="22845" spans="1:6">
      <c r="A22845" t="str">
        <f t="shared" si="356"/>
        <v/>
      </c>
      <c r="E22845" s="626"/>
      <c r="F22845" s="626"/>
    </row>
    <row r="22846" spans="1:6">
      <c r="A22846" t="str">
        <f t="shared" si="356"/>
        <v/>
      </c>
      <c r="E22846" s="626"/>
      <c r="F22846" s="626"/>
    </row>
    <row r="22847" spans="1:6">
      <c r="A22847" t="str">
        <f t="shared" si="356"/>
        <v/>
      </c>
      <c r="E22847" s="626"/>
      <c r="F22847" s="626"/>
    </row>
    <row r="22848" spans="1:6">
      <c r="A22848" t="str">
        <f t="shared" si="356"/>
        <v/>
      </c>
      <c r="E22848" s="626"/>
      <c r="F22848" s="626"/>
    </row>
    <row r="22849" spans="1:6">
      <c r="A22849" t="str">
        <f t="shared" si="356"/>
        <v/>
      </c>
      <c r="E22849" s="626"/>
      <c r="F22849" s="626"/>
    </row>
    <row r="22850" spans="1:6">
      <c r="A22850" t="str">
        <f t="shared" ref="A22850:A22913" si="357">B22850&amp;E22850&amp;J22850</f>
        <v/>
      </c>
      <c r="E22850" s="626"/>
      <c r="F22850" s="626"/>
    </row>
    <row r="22851" spans="1:6">
      <c r="A22851" t="str">
        <f t="shared" si="357"/>
        <v/>
      </c>
      <c r="E22851" s="626"/>
      <c r="F22851" s="626"/>
    </row>
    <row r="22852" spans="1:6">
      <c r="A22852" t="str">
        <f t="shared" si="357"/>
        <v/>
      </c>
      <c r="E22852" s="626"/>
      <c r="F22852" s="626"/>
    </row>
    <row r="22853" spans="1:6">
      <c r="A22853" t="str">
        <f t="shared" si="357"/>
        <v/>
      </c>
      <c r="E22853" s="626"/>
      <c r="F22853" s="626"/>
    </row>
    <row r="22854" spans="1:6">
      <c r="A22854" t="str">
        <f t="shared" si="357"/>
        <v/>
      </c>
      <c r="E22854" s="626"/>
      <c r="F22854" s="626"/>
    </row>
    <row r="22855" spans="1:6">
      <c r="A22855" t="str">
        <f t="shared" si="357"/>
        <v/>
      </c>
      <c r="E22855" s="626"/>
      <c r="F22855" s="626"/>
    </row>
    <row r="22856" spans="1:6">
      <c r="A22856" t="str">
        <f t="shared" si="357"/>
        <v/>
      </c>
      <c r="E22856" s="626"/>
      <c r="F22856" s="626"/>
    </row>
    <row r="22857" spans="1:6">
      <c r="A22857" t="str">
        <f t="shared" si="357"/>
        <v/>
      </c>
      <c r="E22857" s="626"/>
      <c r="F22857" s="626"/>
    </row>
    <row r="22858" spans="1:6">
      <c r="A22858" t="str">
        <f t="shared" si="357"/>
        <v/>
      </c>
      <c r="E22858" s="626"/>
      <c r="F22858" s="626"/>
    </row>
    <row r="22859" spans="1:6">
      <c r="A22859" t="str">
        <f t="shared" si="357"/>
        <v/>
      </c>
      <c r="E22859" s="626"/>
      <c r="F22859" s="626"/>
    </row>
    <row r="22860" spans="1:6">
      <c r="A22860" t="str">
        <f t="shared" si="357"/>
        <v/>
      </c>
      <c r="E22860" s="626"/>
      <c r="F22860" s="626"/>
    </row>
    <row r="22861" spans="1:6">
      <c r="A22861" t="str">
        <f t="shared" si="357"/>
        <v/>
      </c>
      <c r="E22861" s="626"/>
      <c r="F22861" s="626"/>
    </row>
    <row r="22862" spans="1:6">
      <c r="A22862" t="str">
        <f t="shared" si="357"/>
        <v/>
      </c>
      <c r="E22862" s="626"/>
      <c r="F22862" s="626"/>
    </row>
    <row r="22863" spans="1:6">
      <c r="A22863" t="str">
        <f t="shared" si="357"/>
        <v/>
      </c>
      <c r="E22863" s="626"/>
      <c r="F22863" s="626"/>
    </row>
    <row r="22864" spans="1:6">
      <c r="A22864" t="str">
        <f t="shared" si="357"/>
        <v/>
      </c>
      <c r="E22864" s="626"/>
      <c r="F22864" s="626"/>
    </row>
    <row r="22865" spans="1:6">
      <c r="A22865" t="str">
        <f t="shared" si="357"/>
        <v/>
      </c>
      <c r="E22865" s="626"/>
      <c r="F22865" s="626"/>
    </row>
    <row r="22866" spans="1:6">
      <c r="A22866" t="str">
        <f t="shared" si="357"/>
        <v/>
      </c>
      <c r="E22866" s="626"/>
      <c r="F22866" s="626"/>
    </row>
    <row r="22867" spans="1:6">
      <c r="A22867" t="str">
        <f t="shared" si="357"/>
        <v/>
      </c>
      <c r="E22867" s="626"/>
      <c r="F22867" s="626"/>
    </row>
    <row r="22868" spans="1:6">
      <c r="A22868" t="str">
        <f t="shared" si="357"/>
        <v/>
      </c>
      <c r="E22868" s="626"/>
      <c r="F22868" s="626"/>
    </row>
    <row r="22869" spans="1:6">
      <c r="A22869" t="str">
        <f t="shared" si="357"/>
        <v/>
      </c>
      <c r="E22869" s="626"/>
      <c r="F22869" s="626"/>
    </row>
    <row r="22870" spans="1:6">
      <c r="A22870" t="str">
        <f t="shared" si="357"/>
        <v/>
      </c>
      <c r="E22870" s="626"/>
      <c r="F22870" s="626"/>
    </row>
    <row r="22871" spans="1:6">
      <c r="A22871" t="str">
        <f t="shared" si="357"/>
        <v/>
      </c>
      <c r="E22871" s="626"/>
      <c r="F22871" s="626"/>
    </row>
    <row r="22872" spans="1:6">
      <c r="A22872" t="str">
        <f t="shared" si="357"/>
        <v/>
      </c>
      <c r="E22872" s="626"/>
      <c r="F22872" s="626"/>
    </row>
    <row r="22873" spans="1:6">
      <c r="A22873" t="str">
        <f t="shared" si="357"/>
        <v/>
      </c>
      <c r="E22873" s="626"/>
      <c r="F22873" s="626"/>
    </row>
    <row r="22874" spans="1:6">
      <c r="A22874" t="str">
        <f t="shared" si="357"/>
        <v/>
      </c>
      <c r="E22874" s="626"/>
      <c r="F22874" s="626"/>
    </row>
    <row r="22875" spans="1:6">
      <c r="A22875" t="str">
        <f t="shared" si="357"/>
        <v/>
      </c>
      <c r="E22875" s="626"/>
      <c r="F22875" s="626"/>
    </row>
    <row r="22876" spans="1:6">
      <c r="A22876" t="str">
        <f t="shared" si="357"/>
        <v/>
      </c>
      <c r="E22876" s="626"/>
      <c r="F22876" s="626"/>
    </row>
    <row r="22877" spans="1:6">
      <c r="A22877" t="str">
        <f t="shared" si="357"/>
        <v/>
      </c>
      <c r="E22877" s="626"/>
      <c r="F22877" s="626"/>
    </row>
    <row r="22878" spans="1:6">
      <c r="A22878" t="str">
        <f t="shared" si="357"/>
        <v/>
      </c>
      <c r="E22878" s="626"/>
      <c r="F22878" s="626"/>
    </row>
    <row r="22879" spans="1:6">
      <c r="A22879" t="str">
        <f t="shared" si="357"/>
        <v/>
      </c>
      <c r="E22879" s="626"/>
      <c r="F22879" s="626"/>
    </row>
    <row r="22880" spans="1:6">
      <c r="A22880" t="str">
        <f t="shared" si="357"/>
        <v/>
      </c>
      <c r="E22880" s="626"/>
      <c r="F22880" s="626"/>
    </row>
    <row r="22881" spans="1:6">
      <c r="A22881" t="str">
        <f t="shared" si="357"/>
        <v/>
      </c>
      <c r="E22881" s="626"/>
      <c r="F22881" s="626"/>
    </row>
    <row r="22882" spans="1:6">
      <c r="A22882" t="str">
        <f t="shared" si="357"/>
        <v/>
      </c>
      <c r="E22882" s="626"/>
      <c r="F22882" s="626"/>
    </row>
    <row r="22883" spans="1:6">
      <c r="A22883" t="str">
        <f t="shared" si="357"/>
        <v/>
      </c>
      <c r="E22883" s="626"/>
      <c r="F22883" s="626"/>
    </row>
    <row r="22884" spans="1:6">
      <c r="A22884" t="str">
        <f t="shared" si="357"/>
        <v/>
      </c>
      <c r="E22884" s="626"/>
      <c r="F22884" s="626"/>
    </row>
    <row r="22885" spans="1:6">
      <c r="A22885" t="str">
        <f t="shared" si="357"/>
        <v/>
      </c>
      <c r="E22885" s="626"/>
      <c r="F22885" s="626"/>
    </row>
    <row r="22886" spans="1:6">
      <c r="A22886" t="str">
        <f t="shared" si="357"/>
        <v/>
      </c>
      <c r="E22886" s="626"/>
      <c r="F22886" s="626"/>
    </row>
    <row r="22887" spans="1:6">
      <c r="A22887" t="str">
        <f t="shared" si="357"/>
        <v/>
      </c>
      <c r="E22887" s="626"/>
      <c r="F22887" s="626"/>
    </row>
    <row r="22888" spans="1:6">
      <c r="A22888" t="str">
        <f t="shared" si="357"/>
        <v/>
      </c>
      <c r="E22888" s="626"/>
      <c r="F22888" s="626"/>
    </row>
    <row r="22889" spans="1:6">
      <c r="A22889" t="str">
        <f t="shared" si="357"/>
        <v/>
      </c>
      <c r="E22889" s="626"/>
      <c r="F22889" s="626"/>
    </row>
    <row r="22890" spans="1:6">
      <c r="A22890" t="str">
        <f t="shared" si="357"/>
        <v/>
      </c>
      <c r="E22890" s="626"/>
      <c r="F22890" s="626"/>
    </row>
    <row r="22891" spans="1:6">
      <c r="A22891" t="str">
        <f t="shared" si="357"/>
        <v/>
      </c>
      <c r="E22891" s="626"/>
      <c r="F22891" s="626"/>
    </row>
    <row r="22892" spans="1:6">
      <c r="A22892" t="str">
        <f t="shared" si="357"/>
        <v/>
      </c>
      <c r="E22892" s="626"/>
      <c r="F22892" s="626"/>
    </row>
    <row r="22893" spans="1:6">
      <c r="A22893" t="str">
        <f t="shared" si="357"/>
        <v/>
      </c>
      <c r="E22893" s="626"/>
      <c r="F22893" s="626"/>
    </row>
    <row r="22894" spans="1:6">
      <c r="A22894" t="str">
        <f t="shared" si="357"/>
        <v/>
      </c>
      <c r="E22894" s="626"/>
      <c r="F22894" s="626"/>
    </row>
    <row r="22895" spans="1:6">
      <c r="A22895" t="str">
        <f t="shared" si="357"/>
        <v/>
      </c>
      <c r="E22895" s="626"/>
      <c r="F22895" s="626"/>
    </row>
    <row r="22896" spans="1:6">
      <c r="A22896" t="str">
        <f t="shared" si="357"/>
        <v/>
      </c>
      <c r="E22896" s="626"/>
      <c r="F22896" s="626"/>
    </row>
    <row r="22897" spans="1:6">
      <c r="A22897" t="str">
        <f t="shared" si="357"/>
        <v/>
      </c>
      <c r="E22897" s="626"/>
      <c r="F22897" s="626"/>
    </row>
    <row r="22898" spans="1:6">
      <c r="A22898" t="str">
        <f t="shared" si="357"/>
        <v/>
      </c>
      <c r="E22898" s="626"/>
      <c r="F22898" s="626"/>
    </row>
    <row r="22899" spans="1:6">
      <c r="A22899" t="str">
        <f t="shared" si="357"/>
        <v/>
      </c>
      <c r="E22899" s="626"/>
      <c r="F22899" s="626"/>
    </row>
    <row r="22900" spans="1:6">
      <c r="A22900" t="str">
        <f t="shared" si="357"/>
        <v/>
      </c>
      <c r="E22900" s="626"/>
      <c r="F22900" s="626"/>
    </row>
    <row r="22901" spans="1:6">
      <c r="A22901" t="str">
        <f t="shared" si="357"/>
        <v/>
      </c>
      <c r="E22901" s="626"/>
      <c r="F22901" s="626"/>
    </row>
    <row r="22902" spans="1:6">
      <c r="A22902" t="str">
        <f t="shared" si="357"/>
        <v/>
      </c>
      <c r="E22902" s="626"/>
      <c r="F22902" s="626"/>
    </row>
    <row r="22903" spans="1:6">
      <c r="A22903" t="str">
        <f t="shared" si="357"/>
        <v/>
      </c>
      <c r="E22903" s="626"/>
      <c r="F22903" s="626"/>
    </row>
    <row r="22904" spans="1:6">
      <c r="A22904" t="str">
        <f t="shared" si="357"/>
        <v/>
      </c>
      <c r="E22904" s="626"/>
      <c r="F22904" s="626"/>
    </row>
    <row r="22905" spans="1:6">
      <c r="A22905" t="str">
        <f t="shared" si="357"/>
        <v/>
      </c>
      <c r="E22905" s="626"/>
      <c r="F22905" s="626"/>
    </row>
    <row r="22906" spans="1:6">
      <c r="A22906" t="str">
        <f t="shared" si="357"/>
        <v/>
      </c>
      <c r="E22906" s="626"/>
      <c r="F22906" s="626"/>
    </row>
    <row r="22907" spans="1:6">
      <c r="A22907" t="str">
        <f t="shared" si="357"/>
        <v/>
      </c>
      <c r="E22907" s="626"/>
      <c r="F22907" s="626"/>
    </row>
    <row r="22908" spans="1:6">
      <c r="A22908" t="str">
        <f t="shared" si="357"/>
        <v/>
      </c>
      <c r="E22908" s="626"/>
      <c r="F22908" s="626"/>
    </row>
    <row r="22909" spans="1:6">
      <c r="A22909" t="str">
        <f t="shared" si="357"/>
        <v/>
      </c>
      <c r="E22909" s="626"/>
      <c r="F22909" s="626"/>
    </row>
    <row r="22910" spans="1:6">
      <c r="A22910" t="str">
        <f t="shared" si="357"/>
        <v/>
      </c>
      <c r="E22910" s="626"/>
      <c r="F22910" s="626"/>
    </row>
    <row r="22911" spans="1:6">
      <c r="A22911" t="str">
        <f t="shared" si="357"/>
        <v/>
      </c>
      <c r="E22911" s="626"/>
      <c r="F22911" s="626"/>
    </row>
    <row r="22912" spans="1:6">
      <c r="A22912" t="str">
        <f t="shared" si="357"/>
        <v/>
      </c>
      <c r="E22912" s="626"/>
      <c r="F22912" s="626"/>
    </row>
    <row r="22913" spans="1:6">
      <c r="A22913" t="str">
        <f t="shared" si="357"/>
        <v/>
      </c>
      <c r="E22913" s="626"/>
      <c r="F22913" s="626"/>
    </row>
    <row r="22914" spans="1:6">
      <c r="A22914" t="str">
        <f t="shared" ref="A22914:A22977" si="358">B22914&amp;E22914&amp;J22914</f>
        <v/>
      </c>
      <c r="E22914" s="626"/>
      <c r="F22914" s="626"/>
    </row>
    <row r="22915" spans="1:6">
      <c r="A22915" t="str">
        <f t="shared" si="358"/>
        <v/>
      </c>
      <c r="E22915" s="626"/>
      <c r="F22915" s="626"/>
    </row>
    <row r="22916" spans="1:6">
      <c r="A22916" t="str">
        <f t="shared" si="358"/>
        <v/>
      </c>
      <c r="E22916" s="626"/>
      <c r="F22916" s="626"/>
    </row>
    <row r="22917" spans="1:6">
      <c r="A22917" t="str">
        <f t="shared" si="358"/>
        <v/>
      </c>
      <c r="E22917" s="626"/>
      <c r="F22917" s="626"/>
    </row>
    <row r="22918" spans="1:6">
      <c r="A22918" t="str">
        <f t="shared" si="358"/>
        <v/>
      </c>
      <c r="E22918" s="626"/>
      <c r="F22918" s="626"/>
    </row>
    <row r="22919" spans="1:6">
      <c r="A22919" t="str">
        <f t="shared" si="358"/>
        <v/>
      </c>
      <c r="E22919" s="626"/>
      <c r="F22919" s="626"/>
    </row>
    <row r="22920" spans="1:6">
      <c r="A22920" t="str">
        <f t="shared" si="358"/>
        <v/>
      </c>
      <c r="E22920" s="626"/>
      <c r="F22920" s="626"/>
    </row>
    <row r="22921" spans="1:6">
      <c r="A22921" t="str">
        <f t="shared" si="358"/>
        <v/>
      </c>
      <c r="E22921" s="626"/>
      <c r="F22921" s="626"/>
    </row>
    <row r="22922" spans="1:6">
      <c r="A22922" t="str">
        <f t="shared" si="358"/>
        <v/>
      </c>
      <c r="E22922" s="626"/>
      <c r="F22922" s="626"/>
    </row>
    <row r="22923" spans="1:6">
      <c r="A22923" t="str">
        <f t="shared" si="358"/>
        <v/>
      </c>
      <c r="E22923" s="626"/>
      <c r="F22923" s="626"/>
    </row>
    <row r="22924" spans="1:6">
      <c r="A22924" t="str">
        <f t="shared" si="358"/>
        <v/>
      </c>
      <c r="E22924" s="626"/>
      <c r="F22924" s="626"/>
    </row>
    <row r="22925" spans="1:6">
      <c r="A22925" t="str">
        <f t="shared" si="358"/>
        <v/>
      </c>
      <c r="E22925" s="626"/>
      <c r="F22925" s="626"/>
    </row>
    <row r="22926" spans="1:6">
      <c r="A22926" t="str">
        <f t="shared" si="358"/>
        <v/>
      </c>
      <c r="E22926" s="626"/>
      <c r="F22926" s="626"/>
    </row>
    <row r="22927" spans="1:6">
      <c r="A22927" t="str">
        <f t="shared" si="358"/>
        <v/>
      </c>
      <c r="E22927" s="626"/>
      <c r="F22927" s="626"/>
    </row>
    <row r="22928" spans="1:6">
      <c r="A22928" t="str">
        <f t="shared" si="358"/>
        <v/>
      </c>
      <c r="E22928" s="626"/>
      <c r="F22928" s="626"/>
    </row>
    <row r="22929" spans="1:6">
      <c r="A22929" t="str">
        <f t="shared" si="358"/>
        <v/>
      </c>
      <c r="E22929" s="626"/>
      <c r="F22929" s="626"/>
    </row>
    <row r="22930" spans="1:6">
      <c r="A22930" t="str">
        <f t="shared" si="358"/>
        <v/>
      </c>
      <c r="E22930" s="626"/>
      <c r="F22930" s="626"/>
    </row>
    <row r="22931" spans="1:6">
      <c r="A22931" t="str">
        <f t="shared" si="358"/>
        <v/>
      </c>
      <c r="E22931" s="626"/>
      <c r="F22931" s="626"/>
    </row>
    <row r="22932" spans="1:6">
      <c r="A22932" t="str">
        <f t="shared" si="358"/>
        <v/>
      </c>
      <c r="E22932" s="626"/>
      <c r="F22932" s="626"/>
    </row>
    <row r="22933" spans="1:6">
      <c r="A22933" t="str">
        <f t="shared" si="358"/>
        <v/>
      </c>
      <c r="E22933" s="626"/>
      <c r="F22933" s="626"/>
    </row>
    <row r="22934" spans="1:6">
      <c r="A22934" t="str">
        <f t="shared" si="358"/>
        <v/>
      </c>
      <c r="E22934" s="626"/>
      <c r="F22934" s="626"/>
    </row>
    <row r="22935" spans="1:6">
      <c r="A22935" t="str">
        <f t="shared" si="358"/>
        <v/>
      </c>
      <c r="E22935" s="626"/>
      <c r="F22935" s="626"/>
    </row>
    <row r="22936" spans="1:6">
      <c r="A22936" t="str">
        <f t="shared" si="358"/>
        <v/>
      </c>
      <c r="E22936" s="626"/>
      <c r="F22936" s="626"/>
    </row>
    <row r="22937" spans="1:6">
      <c r="A22937" t="str">
        <f t="shared" si="358"/>
        <v/>
      </c>
      <c r="E22937" s="626"/>
      <c r="F22937" s="626"/>
    </row>
    <row r="22938" spans="1:6">
      <c r="A22938" t="str">
        <f t="shared" si="358"/>
        <v/>
      </c>
      <c r="E22938" s="626"/>
      <c r="F22938" s="626"/>
    </row>
    <row r="22939" spans="1:6">
      <c r="A22939" t="str">
        <f t="shared" si="358"/>
        <v/>
      </c>
      <c r="E22939" s="626"/>
      <c r="F22939" s="626"/>
    </row>
    <row r="22940" spans="1:6">
      <c r="A22940" t="str">
        <f t="shared" si="358"/>
        <v/>
      </c>
      <c r="E22940" s="626"/>
      <c r="F22940" s="626"/>
    </row>
    <row r="22941" spans="1:6">
      <c r="A22941" t="str">
        <f t="shared" si="358"/>
        <v/>
      </c>
      <c r="E22941" s="626"/>
      <c r="F22941" s="626"/>
    </row>
    <row r="22942" spans="1:6">
      <c r="A22942" t="str">
        <f t="shared" si="358"/>
        <v/>
      </c>
      <c r="E22942" s="626"/>
      <c r="F22942" s="626"/>
    </row>
    <row r="22943" spans="1:6">
      <c r="A22943" t="str">
        <f t="shared" si="358"/>
        <v/>
      </c>
      <c r="E22943" s="626"/>
      <c r="F22943" s="626"/>
    </row>
    <row r="22944" spans="1:6">
      <c r="A22944" t="str">
        <f t="shared" si="358"/>
        <v/>
      </c>
      <c r="E22944" s="626"/>
      <c r="F22944" s="626"/>
    </row>
    <row r="22945" spans="1:6">
      <c r="A22945" t="str">
        <f t="shared" si="358"/>
        <v/>
      </c>
      <c r="E22945" s="626"/>
      <c r="F22945" s="626"/>
    </row>
    <row r="22946" spans="1:6">
      <c r="A22946" t="str">
        <f t="shared" si="358"/>
        <v/>
      </c>
      <c r="E22946" s="626"/>
      <c r="F22946" s="626"/>
    </row>
    <row r="22947" spans="1:6">
      <c r="A22947" t="str">
        <f t="shared" si="358"/>
        <v/>
      </c>
      <c r="E22947" s="626"/>
      <c r="F22947" s="626"/>
    </row>
    <row r="22948" spans="1:6">
      <c r="A22948" t="str">
        <f t="shared" si="358"/>
        <v/>
      </c>
      <c r="E22948" s="626"/>
      <c r="F22948" s="626"/>
    </row>
    <row r="22949" spans="1:6">
      <c r="A22949" t="str">
        <f t="shared" si="358"/>
        <v/>
      </c>
      <c r="E22949" s="626"/>
      <c r="F22949" s="626"/>
    </row>
    <row r="22950" spans="1:6">
      <c r="A22950" t="str">
        <f t="shared" si="358"/>
        <v/>
      </c>
      <c r="E22950" s="626"/>
      <c r="F22950" s="626"/>
    </row>
    <row r="22951" spans="1:6">
      <c r="A22951" t="str">
        <f t="shared" si="358"/>
        <v/>
      </c>
      <c r="E22951" s="626"/>
      <c r="F22951" s="626"/>
    </row>
    <row r="22952" spans="1:6">
      <c r="A22952" t="str">
        <f t="shared" si="358"/>
        <v/>
      </c>
      <c r="E22952" s="626"/>
      <c r="F22952" s="626"/>
    </row>
    <row r="22953" spans="1:6">
      <c r="A22953" t="str">
        <f t="shared" si="358"/>
        <v/>
      </c>
      <c r="E22953" s="626"/>
      <c r="F22953" s="626"/>
    </row>
    <row r="22954" spans="1:6">
      <c r="A22954" t="str">
        <f t="shared" si="358"/>
        <v/>
      </c>
      <c r="E22954" s="626"/>
      <c r="F22954" s="626"/>
    </row>
    <row r="22955" spans="1:6">
      <c r="A22955" t="str">
        <f t="shared" si="358"/>
        <v/>
      </c>
      <c r="E22955" s="626"/>
      <c r="F22955" s="626"/>
    </row>
    <row r="22956" spans="1:6">
      <c r="A22956" t="str">
        <f t="shared" si="358"/>
        <v/>
      </c>
      <c r="E22956" s="626"/>
      <c r="F22956" s="626"/>
    </row>
    <row r="22957" spans="1:6">
      <c r="A22957" t="str">
        <f t="shared" si="358"/>
        <v/>
      </c>
      <c r="E22957" s="626"/>
      <c r="F22957" s="626"/>
    </row>
    <row r="22958" spans="1:6">
      <c r="A22958" t="str">
        <f t="shared" si="358"/>
        <v/>
      </c>
      <c r="E22958" s="626"/>
      <c r="F22958" s="626"/>
    </row>
    <row r="22959" spans="1:6">
      <c r="A22959" t="str">
        <f t="shared" si="358"/>
        <v/>
      </c>
      <c r="E22959" s="626"/>
      <c r="F22959" s="626"/>
    </row>
    <row r="22960" spans="1:6">
      <c r="A22960" t="str">
        <f t="shared" si="358"/>
        <v/>
      </c>
      <c r="E22960" s="626"/>
      <c r="F22960" s="626"/>
    </row>
    <row r="22961" spans="1:6">
      <c r="A22961" t="str">
        <f t="shared" si="358"/>
        <v/>
      </c>
      <c r="E22961" s="626"/>
      <c r="F22961" s="626"/>
    </row>
    <row r="22962" spans="1:6">
      <c r="A22962" t="str">
        <f t="shared" si="358"/>
        <v/>
      </c>
      <c r="E22962" s="626"/>
      <c r="F22962" s="626"/>
    </row>
    <row r="22963" spans="1:6">
      <c r="A22963" t="str">
        <f t="shared" si="358"/>
        <v/>
      </c>
      <c r="E22963" s="626"/>
      <c r="F22963" s="626"/>
    </row>
    <row r="22964" spans="1:6">
      <c r="A22964" t="str">
        <f t="shared" si="358"/>
        <v/>
      </c>
      <c r="E22964" s="626"/>
      <c r="F22964" s="626"/>
    </row>
    <row r="22965" spans="1:6">
      <c r="A22965" t="str">
        <f t="shared" si="358"/>
        <v/>
      </c>
      <c r="E22965" s="626"/>
      <c r="F22965" s="626"/>
    </row>
    <row r="22966" spans="1:6">
      <c r="A22966" t="str">
        <f t="shared" si="358"/>
        <v/>
      </c>
      <c r="E22966" s="626"/>
      <c r="F22966" s="626"/>
    </row>
    <row r="22967" spans="1:6">
      <c r="A22967" t="str">
        <f t="shared" si="358"/>
        <v/>
      </c>
      <c r="E22967" s="626"/>
      <c r="F22967" s="626"/>
    </row>
    <row r="22968" spans="1:6">
      <c r="A22968" t="str">
        <f t="shared" si="358"/>
        <v/>
      </c>
      <c r="E22968" s="626"/>
      <c r="F22968" s="626"/>
    </row>
    <row r="22969" spans="1:6">
      <c r="A22969" t="str">
        <f t="shared" si="358"/>
        <v/>
      </c>
      <c r="E22969" s="626"/>
      <c r="F22969" s="626"/>
    </row>
    <row r="22970" spans="1:6">
      <c r="A22970" t="str">
        <f t="shared" si="358"/>
        <v/>
      </c>
      <c r="E22970" s="626"/>
      <c r="F22970" s="626"/>
    </row>
    <row r="22971" spans="1:6">
      <c r="A22971" t="str">
        <f t="shared" si="358"/>
        <v/>
      </c>
      <c r="E22971" s="626"/>
      <c r="F22971" s="626"/>
    </row>
    <row r="22972" spans="1:6">
      <c r="A22972" t="str">
        <f t="shared" si="358"/>
        <v/>
      </c>
      <c r="E22972" s="626"/>
      <c r="F22972" s="626"/>
    </row>
    <row r="22973" spans="1:6">
      <c r="A22973" t="str">
        <f t="shared" si="358"/>
        <v/>
      </c>
      <c r="E22973" s="626"/>
      <c r="F22973" s="626"/>
    </row>
    <row r="22974" spans="1:6">
      <c r="A22974" t="str">
        <f t="shared" si="358"/>
        <v/>
      </c>
      <c r="E22974" s="626"/>
      <c r="F22974" s="626"/>
    </row>
    <row r="22975" spans="1:6">
      <c r="A22975" t="str">
        <f t="shared" si="358"/>
        <v/>
      </c>
      <c r="E22975" s="626"/>
      <c r="F22975" s="626"/>
    </row>
    <row r="22976" spans="1:6">
      <c r="A22976" t="str">
        <f t="shared" si="358"/>
        <v/>
      </c>
      <c r="E22976" s="626"/>
      <c r="F22976" s="626"/>
    </row>
    <row r="22977" spans="1:6">
      <c r="A22977" t="str">
        <f t="shared" si="358"/>
        <v/>
      </c>
      <c r="E22977" s="626"/>
      <c r="F22977" s="626"/>
    </row>
    <row r="22978" spans="1:6">
      <c r="A22978" t="str">
        <f t="shared" ref="A22978:A23041" si="359">B22978&amp;E22978&amp;J22978</f>
        <v/>
      </c>
      <c r="E22978" s="626"/>
      <c r="F22978" s="626"/>
    </row>
    <row r="22979" spans="1:6">
      <c r="A22979" t="str">
        <f t="shared" si="359"/>
        <v/>
      </c>
      <c r="E22979" s="626"/>
      <c r="F22979" s="626"/>
    </row>
    <row r="22980" spans="1:6">
      <c r="A22980" t="str">
        <f t="shared" si="359"/>
        <v/>
      </c>
      <c r="E22980" s="626"/>
      <c r="F22980" s="626"/>
    </row>
    <row r="22981" spans="1:6">
      <c r="A22981" t="str">
        <f t="shared" si="359"/>
        <v/>
      </c>
      <c r="E22981" s="626"/>
      <c r="F22981" s="626"/>
    </row>
    <row r="22982" spans="1:6">
      <c r="A22982" t="str">
        <f t="shared" si="359"/>
        <v/>
      </c>
      <c r="E22982" s="626"/>
      <c r="F22982" s="626"/>
    </row>
    <row r="22983" spans="1:6">
      <c r="A22983" t="str">
        <f t="shared" si="359"/>
        <v/>
      </c>
      <c r="E22983" s="626"/>
      <c r="F22983" s="626"/>
    </row>
    <row r="22984" spans="1:6">
      <c r="A22984" t="str">
        <f t="shared" si="359"/>
        <v/>
      </c>
      <c r="E22984" s="626"/>
      <c r="F22984" s="626"/>
    </row>
    <row r="22985" spans="1:6">
      <c r="A22985" t="str">
        <f t="shared" si="359"/>
        <v/>
      </c>
      <c r="E22985" s="626"/>
      <c r="F22985" s="626"/>
    </row>
    <row r="22986" spans="1:6">
      <c r="A22986" t="str">
        <f t="shared" si="359"/>
        <v/>
      </c>
      <c r="E22986" s="626"/>
      <c r="F22986" s="626"/>
    </row>
    <row r="22987" spans="1:6">
      <c r="A22987" t="str">
        <f t="shared" si="359"/>
        <v/>
      </c>
      <c r="E22987" s="626"/>
      <c r="F22987" s="626"/>
    </row>
    <row r="22988" spans="1:6">
      <c r="A22988" t="str">
        <f t="shared" si="359"/>
        <v/>
      </c>
      <c r="E22988" s="626"/>
      <c r="F22988" s="626"/>
    </row>
    <row r="22989" spans="1:6">
      <c r="A22989" t="str">
        <f t="shared" si="359"/>
        <v/>
      </c>
      <c r="E22989" s="626"/>
      <c r="F22989" s="626"/>
    </row>
    <row r="22990" spans="1:6">
      <c r="A22990" t="str">
        <f t="shared" si="359"/>
        <v/>
      </c>
      <c r="E22990" s="626"/>
      <c r="F22990" s="626"/>
    </row>
    <row r="22991" spans="1:6">
      <c r="A22991" t="str">
        <f t="shared" si="359"/>
        <v/>
      </c>
      <c r="E22991" s="626"/>
      <c r="F22991" s="626"/>
    </row>
    <row r="22992" spans="1:6">
      <c r="A22992" t="str">
        <f t="shared" si="359"/>
        <v/>
      </c>
      <c r="E22992" s="626"/>
      <c r="F22992" s="626"/>
    </row>
    <row r="22993" spans="1:6">
      <c r="A22993" t="str">
        <f t="shared" si="359"/>
        <v/>
      </c>
      <c r="E22993" s="626"/>
      <c r="F22993" s="626"/>
    </row>
    <row r="22994" spans="1:6">
      <c r="A22994" t="str">
        <f t="shared" si="359"/>
        <v/>
      </c>
      <c r="E22994" s="626"/>
      <c r="F22994" s="626"/>
    </row>
    <row r="22995" spans="1:6">
      <c r="A22995" t="str">
        <f t="shared" si="359"/>
        <v/>
      </c>
      <c r="E22995" s="626"/>
      <c r="F22995" s="626"/>
    </row>
    <row r="22996" spans="1:6">
      <c r="A22996" t="str">
        <f t="shared" si="359"/>
        <v/>
      </c>
      <c r="E22996" s="626"/>
      <c r="F22996" s="626"/>
    </row>
    <row r="22997" spans="1:6">
      <c r="A22997" t="str">
        <f t="shared" si="359"/>
        <v/>
      </c>
      <c r="E22997" s="626"/>
      <c r="F22997" s="626"/>
    </row>
    <row r="22998" spans="1:6">
      <c r="A22998" t="str">
        <f t="shared" si="359"/>
        <v/>
      </c>
      <c r="E22998" s="626"/>
      <c r="F22998" s="626"/>
    </row>
    <row r="22999" spans="1:6">
      <c r="A22999" t="str">
        <f t="shared" si="359"/>
        <v/>
      </c>
      <c r="E22999" s="626"/>
      <c r="F22999" s="626"/>
    </row>
    <row r="23000" spans="1:6">
      <c r="A23000" t="str">
        <f t="shared" si="359"/>
        <v/>
      </c>
      <c r="E23000" s="626"/>
      <c r="F23000" s="626"/>
    </row>
    <row r="23001" spans="1:6">
      <c r="A23001" t="str">
        <f t="shared" si="359"/>
        <v/>
      </c>
      <c r="E23001" s="626"/>
      <c r="F23001" s="626"/>
    </row>
    <row r="23002" spans="1:6">
      <c r="A23002" t="str">
        <f t="shared" si="359"/>
        <v/>
      </c>
      <c r="E23002" s="626"/>
      <c r="F23002" s="626"/>
    </row>
    <row r="23003" spans="1:6">
      <c r="A23003" t="str">
        <f t="shared" si="359"/>
        <v/>
      </c>
      <c r="E23003" s="626"/>
      <c r="F23003" s="626"/>
    </row>
    <row r="23004" spans="1:6">
      <c r="A23004" t="str">
        <f t="shared" si="359"/>
        <v/>
      </c>
      <c r="E23004" s="626"/>
      <c r="F23004" s="626"/>
    </row>
    <row r="23005" spans="1:6">
      <c r="A23005" t="str">
        <f t="shared" si="359"/>
        <v/>
      </c>
      <c r="E23005" s="626"/>
      <c r="F23005" s="626"/>
    </row>
    <row r="23006" spans="1:6">
      <c r="A23006" t="str">
        <f t="shared" si="359"/>
        <v/>
      </c>
      <c r="E23006" s="626"/>
      <c r="F23006" s="626"/>
    </row>
    <row r="23007" spans="1:6">
      <c r="A23007" t="str">
        <f t="shared" si="359"/>
        <v/>
      </c>
      <c r="E23007" s="626"/>
      <c r="F23007" s="626"/>
    </row>
    <row r="23008" spans="1:6">
      <c r="A23008" t="str">
        <f t="shared" si="359"/>
        <v/>
      </c>
      <c r="E23008" s="626"/>
      <c r="F23008" s="626"/>
    </row>
    <row r="23009" spans="1:6">
      <c r="A23009" t="str">
        <f t="shared" si="359"/>
        <v/>
      </c>
      <c r="E23009" s="626"/>
      <c r="F23009" s="626"/>
    </row>
    <row r="23010" spans="1:6">
      <c r="A23010" t="str">
        <f t="shared" si="359"/>
        <v/>
      </c>
      <c r="E23010" s="626"/>
      <c r="F23010" s="626"/>
    </row>
    <row r="23011" spans="1:6">
      <c r="A23011" t="str">
        <f t="shared" si="359"/>
        <v/>
      </c>
      <c r="E23011" s="626"/>
      <c r="F23011" s="626"/>
    </row>
    <row r="23012" spans="1:6">
      <c r="A23012" t="str">
        <f t="shared" si="359"/>
        <v/>
      </c>
      <c r="E23012" s="626"/>
      <c r="F23012" s="626"/>
    </row>
    <row r="23013" spans="1:6">
      <c r="A23013" t="str">
        <f t="shared" si="359"/>
        <v/>
      </c>
      <c r="E23013" s="626"/>
      <c r="F23013" s="626"/>
    </row>
    <row r="23014" spans="1:6">
      <c r="A23014" t="str">
        <f t="shared" si="359"/>
        <v/>
      </c>
      <c r="E23014" s="626"/>
      <c r="F23014" s="626"/>
    </row>
    <row r="23015" spans="1:6">
      <c r="A23015" t="str">
        <f t="shared" si="359"/>
        <v/>
      </c>
      <c r="E23015" s="626"/>
      <c r="F23015" s="626"/>
    </row>
    <row r="23016" spans="1:6">
      <c r="A23016" t="str">
        <f t="shared" si="359"/>
        <v/>
      </c>
      <c r="E23016" s="626"/>
      <c r="F23016" s="626"/>
    </row>
    <row r="23017" spans="1:6">
      <c r="A23017" t="str">
        <f t="shared" si="359"/>
        <v/>
      </c>
      <c r="E23017" s="626"/>
      <c r="F23017" s="626"/>
    </row>
    <row r="23018" spans="1:6">
      <c r="A23018" t="str">
        <f t="shared" si="359"/>
        <v/>
      </c>
      <c r="E23018" s="626"/>
      <c r="F23018" s="626"/>
    </row>
    <row r="23019" spans="1:6">
      <c r="A23019" t="str">
        <f t="shared" si="359"/>
        <v/>
      </c>
      <c r="E23019" s="626"/>
      <c r="F23019" s="626"/>
    </row>
    <row r="23020" spans="1:6">
      <c r="A23020" t="str">
        <f t="shared" si="359"/>
        <v/>
      </c>
      <c r="E23020" s="626"/>
      <c r="F23020" s="626"/>
    </row>
    <row r="23021" spans="1:6">
      <c r="A23021" t="str">
        <f t="shared" si="359"/>
        <v/>
      </c>
      <c r="E23021" s="626"/>
      <c r="F23021" s="626"/>
    </row>
    <row r="23022" spans="1:6">
      <c r="A23022" t="str">
        <f t="shared" si="359"/>
        <v/>
      </c>
      <c r="E23022" s="626"/>
      <c r="F23022" s="626"/>
    </row>
    <row r="23023" spans="1:6">
      <c r="A23023" t="str">
        <f t="shared" si="359"/>
        <v/>
      </c>
      <c r="E23023" s="626"/>
      <c r="F23023" s="626"/>
    </row>
    <row r="23024" spans="1:6">
      <c r="A23024" t="str">
        <f t="shared" si="359"/>
        <v/>
      </c>
      <c r="E23024" s="626"/>
      <c r="F23024" s="626"/>
    </row>
    <row r="23025" spans="1:6">
      <c r="A23025" t="str">
        <f t="shared" si="359"/>
        <v/>
      </c>
      <c r="E23025" s="626"/>
      <c r="F23025" s="626"/>
    </row>
    <row r="23026" spans="1:6">
      <c r="A23026" t="str">
        <f t="shared" si="359"/>
        <v/>
      </c>
      <c r="E23026" s="626"/>
      <c r="F23026" s="626"/>
    </row>
    <row r="23027" spans="1:6">
      <c r="A23027" t="str">
        <f t="shared" si="359"/>
        <v/>
      </c>
      <c r="E23027" s="626"/>
      <c r="F23027" s="626"/>
    </row>
    <row r="23028" spans="1:6">
      <c r="A23028" t="str">
        <f t="shared" si="359"/>
        <v/>
      </c>
      <c r="E23028" s="626"/>
      <c r="F23028" s="626"/>
    </row>
    <row r="23029" spans="1:6">
      <c r="A23029" t="str">
        <f t="shared" si="359"/>
        <v/>
      </c>
      <c r="E23029" s="626"/>
      <c r="F23029" s="626"/>
    </row>
    <row r="23030" spans="1:6">
      <c r="A23030" t="str">
        <f t="shared" si="359"/>
        <v/>
      </c>
      <c r="E23030" s="626"/>
      <c r="F23030" s="626"/>
    </row>
    <row r="23031" spans="1:6">
      <c r="A23031" t="str">
        <f t="shared" si="359"/>
        <v/>
      </c>
      <c r="E23031" s="626"/>
      <c r="F23031" s="626"/>
    </row>
    <row r="23032" spans="1:6">
      <c r="A23032" t="str">
        <f t="shared" si="359"/>
        <v/>
      </c>
      <c r="E23032" s="626"/>
      <c r="F23032" s="626"/>
    </row>
    <row r="23033" spans="1:6">
      <c r="A23033" t="str">
        <f t="shared" si="359"/>
        <v/>
      </c>
      <c r="E23033" s="626"/>
      <c r="F23033" s="626"/>
    </row>
    <row r="23034" spans="1:6">
      <c r="A23034" t="str">
        <f t="shared" si="359"/>
        <v/>
      </c>
      <c r="E23034" s="626"/>
      <c r="F23034" s="626"/>
    </row>
    <row r="23035" spans="1:6">
      <c r="A23035" t="str">
        <f t="shared" si="359"/>
        <v/>
      </c>
      <c r="E23035" s="626"/>
      <c r="F23035" s="626"/>
    </row>
    <row r="23036" spans="1:6">
      <c r="A23036" t="str">
        <f t="shared" si="359"/>
        <v/>
      </c>
      <c r="E23036" s="626"/>
      <c r="F23036" s="626"/>
    </row>
    <row r="23037" spans="1:6">
      <c r="A23037" t="str">
        <f t="shared" si="359"/>
        <v/>
      </c>
      <c r="E23037" s="626"/>
      <c r="F23037" s="626"/>
    </row>
    <row r="23038" spans="1:6">
      <c r="A23038" t="str">
        <f t="shared" si="359"/>
        <v/>
      </c>
      <c r="E23038" s="626"/>
      <c r="F23038" s="626"/>
    </row>
    <row r="23039" spans="1:6">
      <c r="A23039" t="str">
        <f t="shared" si="359"/>
        <v/>
      </c>
      <c r="E23039" s="626"/>
      <c r="F23039" s="626"/>
    </row>
    <row r="23040" spans="1:6">
      <c r="A23040" t="str">
        <f t="shared" si="359"/>
        <v/>
      </c>
      <c r="E23040" s="626"/>
      <c r="F23040" s="626"/>
    </row>
    <row r="23041" spans="1:6">
      <c r="A23041" t="str">
        <f t="shared" si="359"/>
        <v/>
      </c>
      <c r="E23041" s="626"/>
      <c r="F23041" s="626"/>
    </row>
    <row r="23042" spans="1:6">
      <c r="A23042" t="str">
        <f t="shared" ref="A23042:A23105" si="360">B23042&amp;E23042&amp;J23042</f>
        <v/>
      </c>
      <c r="E23042" s="626"/>
      <c r="F23042" s="626"/>
    </row>
    <row r="23043" spans="1:6">
      <c r="A23043" t="str">
        <f t="shared" si="360"/>
        <v/>
      </c>
      <c r="E23043" s="626"/>
      <c r="F23043" s="626"/>
    </row>
    <row r="23044" spans="1:6">
      <c r="A23044" t="str">
        <f t="shared" si="360"/>
        <v/>
      </c>
      <c r="E23044" s="626"/>
      <c r="F23044" s="626"/>
    </row>
    <row r="23045" spans="1:6">
      <c r="A23045" t="str">
        <f t="shared" si="360"/>
        <v/>
      </c>
      <c r="E23045" s="626"/>
      <c r="F23045" s="626"/>
    </row>
    <row r="23046" spans="1:6">
      <c r="A23046" t="str">
        <f t="shared" si="360"/>
        <v/>
      </c>
      <c r="E23046" s="626"/>
      <c r="F23046" s="626"/>
    </row>
    <row r="23047" spans="1:6">
      <c r="A23047" t="str">
        <f t="shared" si="360"/>
        <v/>
      </c>
      <c r="E23047" s="626"/>
      <c r="F23047" s="626"/>
    </row>
    <row r="23048" spans="1:6">
      <c r="A23048" t="str">
        <f t="shared" si="360"/>
        <v/>
      </c>
      <c r="E23048" s="626"/>
      <c r="F23048" s="626"/>
    </row>
    <row r="23049" spans="1:6">
      <c r="A23049" t="str">
        <f t="shared" si="360"/>
        <v/>
      </c>
      <c r="E23049" s="626"/>
      <c r="F23049" s="626"/>
    </row>
    <row r="23050" spans="1:6">
      <c r="A23050" t="str">
        <f t="shared" si="360"/>
        <v/>
      </c>
      <c r="E23050" s="626"/>
      <c r="F23050" s="626"/>
    </row>
    <row r="23051" spans="1:6">
      <c r="A23051" t="str">
        <f t="shared" si="360"/>
        <v/>
      </c>
      <c r="E23051" s="626"/>
      <c r="F23051" s="626"/>
    </row>
    <row r="23052" spans="1:6">
      <c r="A23052" t="str">
        <f t="shared" si="360"/>
        <v/>
      </c>
      <c r="E23052" s="626"/>
      <c r="F23052" s="626"/>
    </row>
    <row r="23053" spans="1:6">
      <c r="A23053" t="str">
        <f t="shared" si="360"/>
        <v/>
      </c>
      <c r="E23053" s="626"/>
      <c r="F23053" s="626"/>
    </row>
    <row r="23054" spans="1:6">
      <c r="A23054" t="str">
        <f t="shared" si="360"/>
        <v/>
      </c>
      <c r="E23054" s="626"/>
      <c r="F23054" s="626"/>
    </row>
    <row r="23055" spans="1:6">
      <c r="A23055" t="str">
        <f t="shared" si="360"/>
        <v/>
      </c>
      <c r="E23055" s="626"/>
      <c r="F23055" s="626"/>
    </row>
    <row r="23056" spans="1:6">
      <c r="A23056" t="str">
        <f t="shared" si="360"/>
        <v/>
      </c>
      <c r="E23056" s="626"/>
      <c r="F23056" s="626"/>
    </row>
    <row r="23057" spans="1:6">
      <c r="A23057" t="str">
        <f t="shared" si="360"/>
        <v/>
      </c>
      <c r="E23057" s="626"/>
      <c r="F23057" s="626"/>
    </row>
    <row r="23058" spans="1:6">
      <c r="A23058" t="str">
        <f t="shared" si="360"/>
        <v/>
      </c>
      <c r="E23058" s="626"/>
      <c r="F23058" s="626"/>
    </row>
    <row r="23059" spans="1:6">
      <c r="A23059" t="str">
        <f t="shared" si="360"/>
        <v/>
      </c>
      <c r="E23059" s="626"/>
      <c r="F23059" s="626"/>
    </row>
    <row r="23060" spans="1:6">
      <c r="A23060" t="str">
        <f t="shared" si="360"/>
        <v/>
      </c>
      <c r="E23060" s="626"/>
      <c r="F23060" s="626"/>
    </row>
    <row r="23061" spans="1:6">
      <c r="A23061" t="str">
        <f t="shared" si="360"/>
        <v/>
      </c>
      <c r="E23061" s="626"/>
      <c r="F23061" s="626"/>
    </row>
    <row r="23062" spans="1:6">
      <c r="A23062" t="str">
        <f t="shared" si="360"/>
        <v/>
      </c>
      <c r="E23062" s="626"/>
      <c r="F23062" s="626"/>
    </row>
    <row r="23063" spans="1:6">
      <c r="A23063" t="str">
        <f t="shared" si="360"/>
        <v/>
      </c>
      <c r="E23063" s="626"/>
      <c r="F23063" s="626"/>
    </row>
    <row r="23064" spans="1:6">
      <c r="A23064" t="str">
        <f t="shared" si="360"/>
        <v/>
      </c>
      <c r="E23064" s="626"/>
      <c r="F23064" s="626"/>
    </row>
    <row r="23065" spans="1:6">
      <c r="A23065" t="str">
        <f t="shared" si="360"/>
        <v/>
      </c>
      <c r="E23065" s="626"/>
      <c r="F23065" s="626"/>
    </row>
    <row r="23066" spans="1:6">
      <c r="A23066" t="str">
        <f t="shared" si="360"/>
        <v/>
      </c>
      <c r="E23066" s="626"/>
      <c r="F23066" s="626"/>
    </row>
    <row r="23067" spans="1:6">
      <c r="A23067" t="str">
        <f t="shared" si="360"/>
        <v/>
      </c>
      <c r="E23067" s="626"/>
      <c r="F23067" s="626"/>
    </row>
    <row r="23068" spans="1:6">
      <c r="A23068" t="str">
        <f t="shared" si="360"/>
        <v/>
      </c>
      <c r="E23068" s="626"/>
      <c r="F23068" s="626"/>
    </row>
    <row r="23069" spans="1:6">
      <c r="A23069" t="str">
        <f t="shared" si="360"/>
        <v/>
      </c>
      <c r="E23069" s="626"/>
      <c r="F23069" s="626"/>
    </row>
    <row r="23070" spans="1:6">
      <c r="A23070" t="str">
        <f t="shared" si="360"/>
        <v/>
      </c>
      <c r="E23070" s="626"/>
      <c r="F23070" s="626"/>
    </row>
    <row r="23071" spans="1:6">
      <c r="A23071" t="str">
        <f t="shared" si="360"/>
        <v/>
      </c>
      <c r="E23071" s="626"/>
      <c r="F23071" s="626"/>
    </row>
    <row r="23072" spans="1:6">
      <c r="A23072" t="str">
        <f t="shared" si="360"/>
        <v/>
      </c>
      <c r="E23072" s="626"/>
      <c r="F23072" s="626"/>
    </row>
    <row r="23073" spans="1:6">
      <c r="A23073" t="str">
        <f t="shared" si="360"/>
        <v/>
      </c>
      <c r="E23073" s="626"/>
      <c r="F23073" s="626"/>
    </row>
    <row r="23074" spans="1:6">
      <c r="A23074" t="str">
        <f t="shared" si="360"/>
        <v/>
      </c>
      <c r="E23074" s="626"/>
      <c r="F23074" s="626"/>
    </row>
    <row r="23075" spans="1:6">
      <c r="A23075" t="str">
        <f t="shared" si="360"/>
        <v/>
      </c>
      <c r="E23075" s="626"/>
      <c r="F23075" s="626"/>
    </row>
    <row r="23076" spans="1:6">
      <c r="A23076" t="str">
        <f t="shared" si="360"/>
        <v/>
      </c>
      <c r="E23076" s="626"/>
      <c r="F23076" s="626"/>
    </row>
    <row r="23077" spans="1:6">
      <c r="A23077" t="str">
        <f t="shared" si="360"/>
        <v/>
      </c>
      <c r="E23077" s="626"/>
      <c r="F23077" s="626"/>
    </row>
    <row r="23078" spans="1:6">
      <c r="A23078" t="str">
        <f t="shared" si="360"/>
        <v/>
      </c>
      <c r="E23078" s="626"/>
      <c r="F23078" s="626"/>
    </row>
    <row r="23079" spans="1:6">
      <c r="A23079" t="str">
        <f t="shared" si="360"/>
        <v/>
      </c>
      <c r="E23079" s="626"/>
      <c r="F23079" s="626"/>
    </row>
    <row r="23080" spans="1:6">
      <c r="A23080" t="str">
        <f t="shared" si="360"/>
        <v/>
      </c>
      <c r="E23080" s="626"/>
      <c r="F23080" s="626"/>
    </row>
    <row r="23081" spans="1:6">
      <c r="A23081" t="str">
        <f t="shared" si="360"/>
        <v/>
      </c>
      <c r="E23081" s="626"/>
      <c r="F23081" s="626"/>
    </row>
    <row r="23082" spans="1:6">
      <c r="A23082" t="str">
        <f t="shared" si="360"/>
        <v/>
      </c>
      <c r="E23082" s="626"/>
      <c r="F23082" s="626"/>
    </row>
    <row r="23083" spans="1:6">
      <c r="A23083" t="str">
        <f t="shared" si="360"/>
        <v/>
      </c>
      <c r="E23083" s="626"/>
      <c r="F23083" s="626"/>
    </row>
    <row r="23084" spans="1:6">
      <c r="A23084" t="str">
        <f t="shared" si="360"/>
        <v/>
      </c>
      <c r="E23084" s="626"/>
      <c r="F23084" s="626"/>
    </row>
    <row r="23085" spans="1:6">
      <c r="A23085" t="str">
        <f t="shared" si="360"/>
        <v/>
      </c>
      <c r="E23085" s="626"/>
      <c r="F23085" s="626"/>
    </row>
    <row r="23086" spans="1:6">
      <c r="A23086" t="str">
        <f t="shared" si="360"/>
        <v/>
      </c>
      <c r="E23086" s="626"/>
      <c r="F23086" s="626"/>
    </row>
    <row r="23087" spans="1:6">
      <c r="A23087" t="str">
        <f t="shared" si="360"/>
        <v/>
      </c>
      <c r="E23087" s="626"/>
      <c r="F23087" s="626"/>
    </row>
    <row r="23088" spans="1:6">
      <c r="A23088" t="str">
        <f t="shared" si="360"/>
        <v/>
      </c>
      <c r="E23088" s="626"/>
      <c r="F23088" s="626"/>
    </row>
    <row r="23089" spans="1:6">
      <c r="A23089" t="str">
        <f t="shared" si="360"/>
        <v/>
      </c>
      <c r="E23089" s="626"/>
      <c r="F23089" s="626"/>
    </row>
    <row r="23090" spans="1:6">
      <c r="A23090" t="str">
        <f t="shared" si="360"/>
        <v/>
      </c>
      <c r="E23090" s="626"/>
      <c r="F23090" s="626"/>
    </row>
    <row r="23091" spans="1:6">
      <c r="A23091" t="str">
        <f t="shared" si="360"/>
        <v/>
      </c>
      <c r="E23091" s="626"/>
      <c r="F23091" s="626"/>
    </row>
    <row r="23092" spans="1:6">
      <c r="A23092" t="str">
        <f t="shared" si="360"/>
        <v/>
      </c>
      <c r="E23092" s="626"/>
      <c r="F23092" s="626"/>
    </row>
    <row r="23093" spans="1:6">
      <c r="A23093" t="str">
        <f t="shared" si="360"/>
        <v/>
      </c>
      <c r="E23093" s="626"/>
      <c r="F23093" s="626"/>
    </row>
    <row r="23094" spans="1:6">
      <c r="A23094" t="str">
        <f t="shared" si="360"/>
        <v/>
      </c>
      <c r="E23094" s="626"/>
      <c r="F23094" s="626"/>
    </row>
    <row r="23095" spans="1:6">
      <c r="A23095" t="str">
        <f t="shared" si="360"/>
        <v/>
      </c>
      <c r="E23095" s="626"/>
      <c r="F23095" s="626"/>
    </row>
    <row r="23096" spans="1:6">
      <c r="A23096" t="str">
        <f t="shared" si="360"/>
        <v/>
      </c>
      <c r="E23096" s="626"/>
      <c r="F23096" s="626"/>
    </row>
    <row r="23097" spans="1:6">
      <c r="A23097" t="str">
        <f t="shared" si="360"/>
        <v/>
      </c>
      <c r="E23097" s="626"/>
      <c r="F23097" s="626"/>
    </row>
    <row r="23098" spans="1:6">
      <c r="A23098" t="str">
        <f t="shared" si="360"/>
        <v/>
      </c>
      <c r="E23098" s="626"/>
      <c r="F23098" s="626"/>
    </row>
    <row r="23099" spans="1:6">
      <c r="A23099" t="str">
        <f t="shared" si="360"/>
        <v/>
      </c>
      <c r="E23099" s="626"/>
      <c r="F23099" s="626"/>
    </row>
    <row r="23100" spans="1:6">
      <c r="A23100" t="str">
        <f t="shared" si="360"/>
        <v/>
      </c>
      <c r="E23100" s="626"/>
      <c r="F23100" s="626"/>
    </row>
    <row r="23101" spans="1:6">
      <c r="A23101" t="str">
        <f t="shared" si="360"/>
        <v/>
      </c>
      <c r="E23101" s="626"/>
      <c r="F23101" s="626"/>
    </row>
    <row r="23102" spans="1:6">
      <c r="A23102" t="str">
        <f t="shared" si="360"/>
        <v/>
      </c>
      <c r="E23102" s="626"/>
      <c r="F23102" s="626"/>
    </row>
    <row r="23103" spans="1:6">
      <c r="A23103" t="str">
        <f t="shared" si="360"/>
        <v/>
      </c>
      <c r="E23103" s="626"/>
      <c r="F23103" s="626"/>
    </row>
    <row r="23104" spans="1:6">
      <c r="A23104" t="str">
        <f t="shared" si="360"/>
        <v/>
      </c>
      <c r="E23104" s="626"/>
      <c r="F23104" s="626"/>
    </row>
    <row r="23105" spans="1:6">
      <c r="A23105" t="str">
        <f t="shared" si="360"/>
        <v/>
      </c>
      <c r="E23105" s="626"/>
      <c r="F23105" s="626"/>
    </row>
    <row r="23106" spans="1:6">
      <c r="A23106" t="str">
        <f t="shared" ref="A23106:A23169" si="361">B23106&amp;E23106&amp;J23106</f>
        <v/>
      </c>
      <c r="E23106" s="626"/>
      <c r="F23106" s="626"/>
    </row>
    <row r="23107" spans="1:6">
      <c r="A23107" t="str">
        <f t="shared" si="361"/>
        <v/>
      </c>
      <c r="E23107" s="626"/>
      <c r="F23107" s="626"/>
    </row>
    <row r="23108" spans="1:6">
      <c r="A23108" t="str">
        <f t="shared" si="361"/>
        <v/>
      </c>
      <c r="E23108" s="626"/>
      <c r="F23108" s="626"/>
    </row>
    <row r="23109" spans="1:6">
      <c r="A23109" t="str">
        <f t="shared" si="361"/>
        <v/>
      </c>
      <c r="E23109" s="626"/>
      <c r="F23109" s="626"/>
    </row>
    <row r="23110" spans="1:6">
      <c r="A23110" t="str">
        <f t="shared" si="361"/>
        <v/>
      </c>
      <c r="E23110" s="626"/>
      <c r="F23110" s="626"/>
    </row>
    <row r="23111" spans="1:6">
      <c r="A23111" t="str">
        <f t="shared" si="361"/>
        <v/>
      </c>
      <c r="E23111" s="626"/>
      <c r="F23111" s="626"/>
    </row>
    <row r="23112" spans="1:6">
      <c r="A23112" t="str">
        <f t="shared" si="361"/>
        <v/>
      </c>
      <c r="E23112" s="626"/>
      <c r="F23112" s="626"/>
    </row>
    <row r="23113" spans="1:6">
      <c r="A23113" t="str">
        <f t="shared" si="361"/>
        <v/>
      </c>
      <c r="E23113" s="626"/>
      <c r="F23113" s="626"/>
    </row>
    <row r="23114" spans="1:6">
      <c r="A23114" t="str">
        <f t="shared" si="361"/>
        <v/>
      </c>
      <c r="E23114" s="626"/>
      <c r="F23114" s="626"/>
    </row>
    <row r="23115" spans="1:6">
      <c r="A23115" t="str">
        <f t="shared" si="361"/>
        <v/>
      </c>
      <c r="E23115" s="626"/>
      <c r="F23115" s="626"/>
    </row>
    <row r="23116" spans="1:6">
      <c r="A23116" t="str">
        <f t="shared" si="361"/>
        <v/>
      </c>
      <c r="E23116" s="626"/>
      <c r="F23116" s="626"/>
    </row>
    <row r="23117" spans="1:6">
      <c r="A23117" t="str">
        <f t="shared" si="361"/>
        <v/>
      </c>
      <c r="E23117" s="626"/>
      <c r="F23117" s="626"/>
    </row>
    <row r="23118" spans="1:6">
      <c r="A23118" t="str">
        <f t="shared" si="361"/>
        <v/>
      </c>
      <c r="E23118" s="626"/>
      <c r="F23118" s="626"/>
    </row>
    <row r="23119" spans="1:6">
      <c r="A23119" t="str">
        <f t="shared" si="361"/>
        <v/>
      </c>
      <c r="E23119" s="626"/>
      <c r="F23119" s="626"/>
    </row>
    <row r="23120" spans="1:6">
      <c r="A23120" t="str">
        <f t="shared" si="361"/>
        <v/>
      </c>
      <c r="E23120" s="626"/>
      <c r="F23120" s="626"/>
    </row>
    <row r="23121" spans="1:6">
      <c r="A23121" t="str">
        <f t="shared" si="361"/>
        <v/>
      </c>
      <c r="E23121" s="626"/>
      <c r="F23121" s="626"/>
    </row>
    <row r="23122" spans="1:6">
      <c r="A23122" t="str">
        <f t="shared" si="361"/>
        <v/>
      </c>
      <c r="E23122" s="626"/>
      <c r="F23122" s="626"/>
    </row>
    <row r="23123" spans="1:6">
      <c r="A23123" t="str">
        <f t="shared" si="361"/>
        <v/>
      </c>
      <c r="E23123" s="626"/>
      <c r="F23123" s="626"/>
    </row>
    <row r="23124" spans="1:6">
      <c r="A23124" t="str">
        <f t="shared" si="361"/>
        <v/>
      </c>
      <c r="E23124" s="626"/>
      <c r="F23124" s="626"/>
    </row>
    <row r="23125" spans="1:6">
      <c r="A23125" t="str">
        <f t="shared" si="361"/>
        <v/>
      </c>
      <c r="E23125" s="626"/>
      <c r="F23125" s="626"/>
    </row>
    <row r="23126" spans="1:6">
      <c r="A23126" t="str">
        <f t="shared" si="361"/>
        <v/>
      </c>
      <c r="E23126" s="626"/>
      <c r="F23126" s="626"/>
    </row>
    <row r="23127" spans="1:6">
      <c r="A23127" t="str">
        <f t="shared" si="361"/>
        <v/>
      </c>
      <c r="E23127" s="626"/>
      <c r="F23127" s="626"/>
    </row>
    <row r="23128" spans="1:6">
      <c r="A23128" t="str">
        <f t="shared" si="361"/>
        <v/>
      </c>
      <c r="E23128" s="626"/>
      <c r="F23128" s="626"/>
    </row>
    <row r="23129" spans="1:6">
      <c r="A23129" t="str">
        <f t="shared" si="361"/>
        <v/>
      </c>
      <c r="E23129" s="626"/>
      <c r="F23129" s="626"/>
    </row>
    <row r="23130" spans="1:6">
      <c r="A23130" t="str">
        <f t="shared" si="361"/>
        <v/>
      </c>
      <c r="E23130" s="626"/>
      <c r="F23130" s="626"/>
    </row>
    <row r="23131" spans="1:6">
      <c r="A23131" t="str">
        <f t="shared" si="361"/>
        <v/>
      </c>
      <c r="E23131" s="626"/>
      <c r="F23131" s="626"/>
    </row>
    <row r="23132" spans="1:6">
      <c r="A23132" t="str">
        <f t="shared" si="361"/>
        <v/>
      </c>
      <c r="E23132" s="626"/>
      <c r="F23132" s="626"/>
    </row>
    <row r="23133" spans="1:6">
      <c r="A23133" t="str">
        <f t="shared" si="361"/>
        <v/>
      </c>
      <c r="E23133" s="626"/>
      <c r="F23133" s="626"/>
    </row>
    <row r="23134" spans="1:6">
      <c r="A23134" t="str">
        <f t="shared" si="361"/>
        <v/>
      </c>
      <c r="E23134" s="626"/>
      <c r="F23134" s="626"/>
    </row>
    <row r="23135" spans="1:6">
      <c r="A23135" t="str">
        <f t="shared" si="361"/>
        <v/>
      </c>
      <c r="E23135" s="626"/>
      <c r="F23135" s="626"/>
    </row>
    <row r="23136" spans="1:6">
      <c r="A23136" t="str">
        <f t="shared" si="361"/>
        <v/>
      </c>
      <c r="E23136" s="626"/>
      <c r="F23136" s="626"/>
    </row>
    <row r="23137" spans="1:6">
      <c r="A23137" t="str">
        <f t="shared" si="361"/>
        <v/>
      </c>
      <c r="E23137" s="626"/>
      <c r="F23137" s="626"/>
    </row>
    <row r="23138" spans="1:6">
      <c r="A23138" t="str">
        <f t="shared" si="361"/>
        <v/>
      </c>
      <c r="E23138" s="626"/>
      <c r="F23138" s="626"/>
    </row>
    <row r="23139" spans="1:6">
      <c r="A23139" t="str">
        <f t="shared" si="361"/>
        <v/>
      </c>
      <c r="E23139" s="626"/>
      <c r="F23139" s="626"/>
    </row>
    <row r="23140" spans="1:6">
      <c r="A23140" t="str">
        <f t="shared" si="361"/>
        <v/>
      </c>
      <c r="E23140" s="626"/>
      <c r="F23140" s="626"/>
    </row>
    <row r="23141" spans="1:6">
      <c r="A23141" t="str">
        <f t="shared" si="361"/>
        <v/>
      </c>
      <c r="E23141" s="626"/>
      <c r="F23141" s="626"/>
    </row>
    <row r="23142" spans="1:6">
      <c r="A23142" t="str">
        <f t="shared" si="361"/>
        <v/>
      </c>
      <c r="E23142" s="626"/>
      <c r="F23142" s="626"/>
    </row>
    <row r="23143" spans="1:6">
      <c r="A23143" t="str">
        <f t="shared" si="361"/>
        <v/>
      </c>
      <c r="E23143" s="626"/>
      <c r="F23143" s="626"/>
    </row>
    <row r="23144" spans="1:6">
      <c r="A23144" t="str">
        <f t="shared" si="361"/>
        <v/>
      </c>
      <c r="E23144" s="626"/>
      <c r="F23144" s="626"/>
    </row>
    <row r="23145" spans="1:6">
      <c r="A23145" t="str">
        <f t="shared" si="361"/>
        <v/>
      </c>
      <c r="E23145" s="626"/>
      <c r="F23145" s="626"/>
    </row>
    <row r="23146" spans="1:6">
      <c r="A23146" t="str">
        <f t="shared" si="361"/>
        <v/>
      </c>
      <c r="E23146" s="626"/>
      <c r="F23146" s="626"/>
    </row>
    <row r="23147" spans="1:6">
      <c r="A23147" t="str">
        <f t="shared" si="361"/>
        <v/>
      </c>
      <c r="E23147" s="626"/>
      <c r="F23147" s="626"/>
    </row>
    <row r="23148" spans="1:6">
      <c r="A23148" t="str">
        <f t="shared" si="361"/>
        <v/>
      </c>
      <c r="E23148" s="626"/>
      <c r="F23148" s="626"/>
    </row>
    <row r="23149" spans="1:6">
      <c r="A23149" t="str">
        <f t="shared" si="361"/>
        <v/>
      </c>
      <c r="E23149" s="626"/>
      <c r="F23149" s="626"/>
    </row>
    <row r="23150" spans="1:6">
      <c r="A23150" t="str">
        <f t="shared" si="361"/>
        <v/>
      </c>
      <c r="E23150" s="626"/>
      <c r="F23150" s="626"/>
    </row>
    <row r="23151" spans="1:6">
      <c r="A23151" t="str">
        <f t="shared" si="361"/>
        <v/>
      </c>
      <c r="E23151" s="626"/>
      <c r="F23151" s="626"/>
    </row>
    <row r="23152" spans="1:6">
      <c r="A23152" t="str">
        <f t="shared" si="361"/>
        <v/>
      </c>
      <c r="E23152" s="626"/>
      <c r="F23152" s="626"/>
    </row>
    <row r="23153" spans="1:6">
      <c r="A23153" t="str">
        <f t="shared" si="361"/>
        <v/>
      </c>
      <c r="E23153" s="626"/>
      <c r="F23153" s="626"/>
    </row>
    <row r="23154" spans="1:6">
      <c r="A23154" t="str">
        <f t="shared" si="361"/>
        <v/>
      </c>
      <c r="E23154" s="626"/>
      <c r="F23154" s="626"/>
    </row>
    <row r="23155" spans="1:6">
      <c r="A23155" t="str">
        <f t="shared" si="361"/>
        <v/>
      </c>
      <c r="E23155" s="626"/>
      <c r="F23155" s="626"/>
    </row>
    <row r="23156" spans="1:6">
      <c r="A23156" t="str">
        <f t="shared" si="361"/>
        <v/>
      </c>
      <c r="E23156" s="626"/>
      <c r="F23156" s="626"/>
    </row>
    <row r="23157" spans="1:6">
      <c r="A23157" t="str">
        <f t="shared" si="361"/>
        <v/>
      </c>
      <c r="E23157" s="626"/>
      <c r="F23157" s="626"/>
    </row>
    <row r="23158" spans="1:6">
      <c r="A23158" t="str">
        <f t="shared" si="361"/>
        <v/>
      </c>
      <c r="E23158" s="626"/>
      <c r="F23158" s="626"/>
    </row>
    <row r="23159" spans="1:6">
      <c r="A23159" t="str">
        <f t="shared" si="361"/>
        <v/>
      </c>
      <c r="E23159" s="626"/>
      <c r="F23159" s="626"/>
    </row>
    <row r="23160" spans="1:6">
      <c r="A23160" t="str">
        <f t="shared" si="361"/>
        <v/>
      </c>
      <c r="E23160" s="626"/>
      <c r="F23160" s="626"/>
    </row>
    <row r="23161" spans="1:6">
      <c r="A23161" t="str">
        <f t="shared" si="361"/>
        <v/>
      </c>
      <c r="E23161" s="626"/>
      <c r="F23161" s="626"/>
    </row>
    <row r="23162" spans="1:6">
      <c r="A23162" t="str">
        <f t="shared" si="361"/>
        <v/>
      </c>
      <c r="E23162" s="626"/>
      <c r="F23162" s="626"/>
    </row>
    <row r="23163" spans="1:6">
      <c r="A23163" t="str">
        <f t="shared" si="361"/>
        <v/>
      </c>
      <c r="E23163" s="626"/>
      <c r="F23163" s="626"/>
    </row>
    <row r="23164" spans="1:6">
      <c r="A23164" t="str">
        <f t="shared" si="361"/>
        <v/>
      </c>
      <c r="E23164" s="626"/>
      <c r="F23164" s="626"/>
    </row>
    <row r="23165" spans="1:6">
      <c r="A23165" t="str">
        <f t="shared" si="361"/>
        <v/>
      </c>
      <c r="E23165" s="626"/>
      <c r="F23165" s="626"/>
    </row>
    <row r="23166" spans="1:6">
      <c r="A23166" t="str">
        <f t="shared" si="361"/>
        <v/>
      </c>
      <c r="E23166" s="626"/>
      <c r="F23166" s="626"/>
    </row>
    <row r="23167" spans="1:6">
      <c r="A23167" t="str">
        <f t="shared" si="361"/>
        <v/>
      </c>
      <c r="E23167" s="626"/>
      <c r="F23167" s="626"/>
    </row>
    <row r="23168" spans="1:6">
      <c r="A23168" t="str">
        <f t="shared" si="361"/>
        <v/>
      </c>
      <c r="E23168" s="626"/>
      <c r="F23168" s="626"/>
    </row>
    <row r="23169" spans="1:6">
      <c r="A23169" t="str">
        <f t="shared" si="361"/>
        <v/>
      </c>
      <c r="E23169" s="626"/>
      <c r="F23169" s="626"/>
    </row>
    <row r="23170" spans="1:6">
      <c r="A23170" t="str">
        <f t="shared" ref="A23170:A23233" si="362">B23170&amp;E23170&amp;J23170</f>
        <v/>
      </c>
      <c r="E23170" s="626"/>
      <c r="F23170" s="626"/>
    </row>
    <row r="23171" spans="1:6">
      <c r="A23171" t="str">
        <f t="shared" si="362"/>
        <v/>
      </c>
      <c r="E23171" s="626"/>
      <c r="F23171" s="626"/>
    </row>
    <row r="23172" spans="1:6">
      <c r="A23172" t="str">
        <f t="shared" si="362"/>
        <v/>
      </c>
      <c r="E23172" s="626"/>
      <c r="F23172" s="626"/>
    </row>
    <row r="23173" spans="1:6">
      <c r="A23173" t="str">
        <f t="shared" si="362"/>
        <v/>
      </c>
      <c r="E23173" s="626"/>
      <c r="F23173" s="626"/>
    </row>
    <row r="23174" spans="1:6">
      <c r="A23174" t="str">
        <f t="shared" si="362"/>
        <v/>
      </c>
      <c r="E23174" s="626"/>
      <c r="F23174" s="626"/>
    </row>
    <row r="23175" spans="1:6">
      <c r="A23175" t="str">
        <f t="shared" si="362"/>
        <v/>
      </c>
      <c r="E23175" s="626"/>
      <c r="F23175" s="626"/>
    </row>
    <row r="23176" spans="1:6">
      <c r="A23176" t="str">
        <f t="shared" si="362"/>
        <v/>
      </c>
      <c r="E23176" s="626"/>
      <c r="F23176" s="626"/>
    </row>
    <row r="23177" spans="1:6">
      <c r="A23177" t="str">
        <f t="shared" si="362"/>
        <v/>
      </c>
      <c r="E23177" s="626"/>
      <c r="F23177" s="626"/>
    </row>
    <row r="23178" spans="1:6">
      <c r="A23178" t="str">
        <f t="shared" si="362"/>
        <v/>
      </c>
      <c r="E23178" s="626"/>
      <c r="F23178" s="626"/>
    </row>
    <row r="23179" spans="1:6">
      <c r="A23179" t="str">
        <f t="shared" si="362"/>
        <v/>
      </c>
      <c r="E23179" s="626"/>
      <c r="F23179" s="626"/>
    </row>
    <row r="23180" spans="1:6">
      <c r="A23180" t="str">
        <f t="shared" si="362"/>
        <v/>
      </c>
      <c r="E23180" s="626"/>
      <c r="F23180" s="626"/>
    </row>
    <row r="23181" spans="1:6">
      <c r="A23181" t="str">
        <f t="shared" si="362"/>
        <v/>
      </c>
      <c r="E23181" s="626"/>
      <c r="F23181" s="626"/>
    </row>
    <row r="23182" spans="1:6">
      <c r="A23182" t="str">
        <f t="shared" si="362"/>
        <v/>
      </c>
      <c r="E23182" s="626"/>
      <c r="F23182" s="626"/>
    </row>
    <row r="23183" spans="1:6">
      <c r="A23183" t="str">
        <f t="shared" si="362"/>
        <v/>
      </c>
      <c r="E23183" s="626"/>
      <c r="F23183" s="626"/>
    </row>
    <row r="23184" spans="1:6">
      <c r="A23184" t="str">
        <f t="shared" si="362"/>
        <v/>
      </c>
      <c r="E23184" s="626"/>
      <c r="F23184" s="626"/>
    </row>
    <row r="23185" spans="1:6">
      <c r="A23185" t="str">
        <f t="shared" si="362"/>
        <v/>
      </c>
      <c r="E23185" s="626"/>
      <c r="F23185" s="626"/>
    </row>
    <row r="23186" spans="1:6">
      <c r="A23186" t="str">
        <f t="shared" si="362"/>
        <v/>
      </c>
      <c r="E23186" s="626"/>
      <c r="F23186" s="626"/>
    </row>
    <row r="23187" spans="1:6">
      <c r="A23187" t="str">
        <f t="shared" si="362"/>
        <v/>
      </c>
      <c r="E23187" s="626"/>
      <c r="F23187" s="626"/>
    </row>
    <row r="23188" spans="1:6">
      <c r="A23188" t="str">
        <f t="shared" si="362"/>
        <v/>
      </c>
      <c r="E23188" s="626"/>
      <c r="F23188" s="626"/>
    </row>
    <row r="23189" spans="1:6">
      <c r="A23189" t="str">
        <f t="shared" si="362"/>
        <v/>
      </c>
      <c r="E23189" s="626"/>
      <c r="F23189" s="626"/>
    </row>
    <row r="23190" spans="1:6">
      <c r="A23190" t="str">
        <f t="shared" si="362"/>
        <v/>
      </c>
      <c r="E23190" s="626"/>
      <c r="F23190" s="626"/>
    </row>
    <row r="23191" spans="1:6">
      <c r="A23191" t="str">
        <f t="shared" si="362"/>
        <v/>
      </c>
      <c r="E23191" s="626"/>
      <c r="F23191" s="626"/>
    </row>
    <row r="23192" spans="1:6">
      <c r="A23192" t="str">
        <f t="shared" si="362"/>
        <v/>
      </c>
      <c r="E23192" s="626"/>
      <c r="F23192" s="626"/>
    </row>
    <row r="23193" spans="1:6">
      <c r="A23193" t="str">
        <f t="shared" si="362"/>
        <v/>
      </c>
      <c r="E23193" s="626"/>
      <c r="F23193" s="626"/>
    </row>
    <row r="23194" spans="1:6">
      <c r="A23194" t="str">
        <f t="shared" si="362"/>
        <v/>
      </c>
      <c r="E23194" s="626"/>
      <c r="F23194" s="626"/>
    </row>
    <row r="23195" spans="1:6">
      <c r="A23195" t="str">
        <f t="shared" si="362"/>
        <v/>
      </c>
      <c r="E23195" s="626"/>
      <c r="F23195" s="626"/>
    </row>
    <row r="23196" spans="1:6">
      <c r="A23196" t="str">
        <f t="shared" si="362"/>
        <v/>
      </c>
      <c r="E23196" s="626"/>
      <c r="F23196" s="626"/>
    </row>
    <row r="23197" spans="1:6">
      <c r="A23197" t="str">
        <f t="shared" si="362"/>
        <v/>
      </c>
      <c r="E23197" s="626"/>
      <c r="F23197" s="626"/>
    </row>
    <row r="23198" spans="1:6">
      <c r="A23198" t="str">
        <f t="shared" si="362"/>
        <v/>
      </c>
      <c r="E23198" s="626"/>
      <c r="F23198" s="626"/>
    </row>
    <row r="23199" spans="1:6">
      <c r="A23199" t="str">
        <f t="shared" si="362"/>
        <v/>
      </c>
      <c r="E23199" s="626"/>
      <c r="F23199" s="626"/>
    </row>
    <row r="23200" spans="1:6">
      <c r="A23200" t="str">
        <f t="shared" si="362"/>
        <v/>
      </c>
      <c r="E23200" s="626"/>
      <c r="F23200" s="626"/>
    </row>
    <row r="23201" spans="1:6">
      <c r="A23201" t="str">
        <f t="shared" si="362"/>
        <v/>
      </c>
      <c r="E23201" s="626"/>
      <c r="F23201" s="626"/>
    </row>
    <row r="23202" spans="1:6">
      <c r="A23202" t="str">
        <f t="shared" si="362"/>
        <v/>
      </c>
      <c r="E23202" s="626"/>
      <c r="F23202" s="626"/>
    </row>
    <row r="23203" spans="1:6">
      <c r="A23203" t="str">
        <f t="shared" si="362"/>
        <v/>
      </c>
      <c r="E23203" s="626"/>
      <c r="F23203" s="626"/>
    </row>
    <row r="23204" spans="1:6">
      <c r="A23204" t="str">
        <f t="shared" si="362"/>
        <v/>
      </c>
      <c r="E23204" s="626"/>
      <c r="F23204" s="626"/>
    </row>
    <row r="23205" spans="1:6">
      <c r="A23205" t="str">
        <f t="shared" si="362"/>
        <v/>
      </c>
      <c r="E23205" s="626"/>
      <c r="F23205" s="626"/>
    </row>
    <row r="23206" spans="1:6">
      <c r="A23206" t="str">
        <f t="shared" si="362"/>
        <v/>
      </c>
      <c r="E23206" s="626"/>
      <c r="F23206" s="626"/>
    </row>
    <row r="23207" spans="1:6">
      <c r="A23207" t="str">
        <f t="shared" si="362"/>
        <v/>
      </c>
      <c r="E23207" s="626"/>
      <c r="F23207" s="626"/>
    </row>
    <row r="23208" spans="1:6">
      <c r="A23208" t="str">
        <f t="shared" si="362"/>
        <v/>
      </c>
      <c r="E23208" s="626"/>
      <c r="F23208" s="626"/>
    </row>
    <row r="23209" spans="1:6">
      <c r="A23209" t="str">
        <f t="shared" si="362"/>
        <v/>
      </c>
      <c r="E23209" s="626"/>
      <c r="F23209" s="626"/>
    </row>
    <row r="23210" spans="1:6">
      <c r="A23210" t="str">
        <f t="shared" si="362"/>
        <v/>
      </c>
      <c r="E23210" s="626"/>
      <c r="F23210" s="626"/>
    </row>
    <row r="23211" spans="1:6">
      <c r="A23211" t="str">
        <f t="shared" si="362"/>
        <v/>
      </c>
      <c r="E23211" s="626"/>
      <c r="F23211" s="626"/>
    </row>
    <row r="23212" spans="1:6">
      <c r="A23212" t="str">
        <f t="shared" si="362"/>
        <v/>
      </c>
      <c r="E23212" s="626"/>
      <c r="F23212" s="626"/>
    </row>
    <row r="23213" spans="1:6">
      <c r="A23213" t="str">
        <f t="shared" si="362"/>
        <v/>
      </c>
      <c r="E23213" s="626"/>
      <c r="F23213" s="626"/>
    </row>
    <row r="23214" spans="1:6">
      <c r="A23214" t="str">
        <f t="shared" si="362"/>
        <v/>
      </c>
      <c r="E23214" s="626"/>
      <c r="F23214" s="626"/>
    </row>
    <row r="23215" spans="1:6">
      <c r="A23215" t="str">
        <f t="shared" si="362"/>
        <v/>
      </c>
      <c r="E23215" s="626"/>
      <c r="F23215" s="626"/>
    </row>
    <row r="23216" spans="1:6">
      <c r="A23216" t="str">
        <f t="shared" si="362"/>
        <v/>
      </c>
      <c r="E23216" s="626"/>
      <c r="F23216" s="626"/>
    </row>
    <row r="23217" spans="1:6">
      <c r="A23217" t="str">
        <f t="shared" si="362"/>
        <v/>
      </c>
      <c r="E23217" s="626"/>
      <c r="F23217" s="626"/>
    </row>
    <row r="23218" spans="1:6">
      <c r="A23218" t="str">
        <f t="shared" si="362"/>
        <v/>
      </c>
      <c r="E23218" s="626"/>
      <c r="F23218" s="626"/>
    </row>
    <row r="23219" spans="1:6">
      <c r="A23219" t="str">
        <f t="shared" si="362"/>
        <v/>
      </c>
      <c r="E23219" s="626"/>
      <c r="F23219" s="626"/>
    </row>
    <row r="23220" spans="1:6">
      <c r="A23220" t="str">
        <f t="shared" si="362"/>
        <v/>
      </c>
      <c r="E23220" s="626"/>
      <c r="F23220" s="626"/>
    </row>
    <row r="23221" spans="1:6">
      <c r="A23221" t="str">
        <f t="shared" si="362"/>
        <v/>
      </c>
      <c r="E23221" s="626"/>
      <c r="F23221" s="626"/>
    </row>
    <row r="23222" spans="1:6">
      <c r="A23222" t="str">
        <f t="shared" si="362"/>
        <v/>
      </c>
      <c r="E23222" s="626"/>
      <c r="F23222" s="626"/>
    </row>
    <row r="23223" spans="1:6">
      <c r="A23223" t="str">
        <f t="shared" si="362"/>
        <v/>
      </c>
      <c r="E23223" s="626"/>
      <c r="F23223" s="626"/>
    </row>
    <row r="23224" spans="1:6">
      <c r="A23224" t="str">
        <f t="shared" si="362"/>
        <v/>
      </c>
      <c r="E23224" s="626"/>
      <c r="F23224" s="626"/>
    </row>
    <row r="23225" spans="1:6">
      <c r="A23225" t="str">
        <f t="shared" si="362"/>
        <v/>
      </c>
      <c r="E23225" s="626"/>
      <c r="F23225" s="626"/>
    </row>
    <row r="23226" spans="1:6">
      <c r="A23226" t="str">
        <f t="shared" si="362"/>
        <v/>
      </c>
      <c r="E23226" s="626"/>
      <c r="F23226" s="626"/>
    </row>
    <row r="23227" spans="1:6">
      <c r="A23227" t="str">
        <f t="shared" si="362"/>
        <v/>
      </c>
      <c r="E23227" s="626"/>
      <c r="F23227" s="626"/>
    </row>
    <row r="23228" spans="1:6">
      <c r="A23228" t="str">
        <f t="shared" si="362"/>
        <v/>
      </c>
      <c r="E23228" s="626"/>
      <c r="F23228" s="626"/>
    </row>
    <row r="23229" spans="1:6">
      <c r="A23229" t="str">
        <f t="shared" si="362"/>
        <v/>
      </c>
      <c r="E23229" s="626"/>
      <c r="F23229" s="626"/>
    </row>
    <row r="23230" spans="1:6">
      <c r="A23230" t="str">
        <f t="shared" si="362"/>
        <v/>
      </c>
      <c r="E23230" s="626"/>
      <c r="F23230" s="626"/>
    </row>
    <row r="23231" spans="1:6">
      <c r="A23231" t="str">
        <f t="shared" si="362"/>
        <v/>
      </c>
      <c r="E23231" s="626"/>
      <c r="F23231" s="626"/>
    </row>
    <row r="23232" spans="1:6">
      <c r="A23232" t="str">
        <f t="shared" si="362"/>
        <v/>
      </c>
      <c r="E23232" s="626"/>
      <c r="F23232" s="626"/>
    </row>
    <row r="23233" spans="1:6">
      <c r="A23233" t="str">
        <f t="shared" si="362"/>
        <v/>
      </c>
      <c r="E23233" s="626"/>
      <c r="F23233" s="626"/>
    </row>
    <row r="23234" spans="1:6">
      <c r="A23234" t="str">
        <f t="shared" ref="A23234:A23297" si="363">B23234&amp;E23234&amp;J23234</f>
        <v/>
      </c>
      <c r="E23234" s="626"/>
      <c r="F23234" s="626"/>
    </row>
    <row r="23235" spans="1:6">
      <c r="A23235" t="str">
        <f t="shared" si="363"/>
        <v/>
      </c>
      <c r="E23235" s="626"/>
      <c r="F23235" s="626"/>
    </row>
    <row r="23236" spans="1:6">
      <c r="A23236" t="str">
        <f t="shared" si="363"/>
        <v/>
      </c>
      <c r="E23236" s="626"/>
      <c r="F23236" s="626"/>
    </row>
    <row r="23237" spans="1:6">
      <c r="A23237" t="str">
        <f t="shared" si="363"/>
        <v/>
      </c>
      <c r="E23237" s="626"/>
      <c r="F23237" s="626"/>
    </row>
    <row r="23238" spans="1:6">
      <c r="A23238" t="str">
        <f t="shared" si="363"/>
        <v/>
      </c>
      <c r="E23238" s="626"/>
      <c r="F23238" s="626"/>
    </row>
    <row r="23239" spans="1:6">
      <c r="A23239" t="str">
        <f t="shared" si="363"/>
        <v/>
      </c>
      <c r="E23239" s="626"/>
      <c r="F23239" s="626"/>
    </row>
    <row r="23240" spans="1:6">
      <c r="A23240" t="str">
        <f t="shared" si="363"/>
        <v/>
      </c>
      <c r="E23240" s="626"/>
      <c r="F23240" s="626"/>
    </row>
    <row r="23241" spans="1:6">
      <c r="A23241" t="str">
        <f t="shared" si="363"/>
        <v/>
      </c>
      <c r="E23241" s="626"/>
      <c r="F23241" s="626"/>
    </row>
    <row r="23242" spans="1:6">
      <c r="A23242" t="str">
        <f t="shared" si="363"/>
        <v/>
      </c>
      <c r="E23242" s="626"/>
      <c r="F23242" s="626"/>
    </row>
    <row r="23243" spans="1:6">
      <c r="A23243" t="str">
        <f t="shared" si="363"/>
        <v/>
      </c>
      <c r="E23243" s="626"/>
      <c r="F23243" s="626"/>
    </row>
    <row r="23244" spans="1:6">
      <c r="A23244" t="str">
        <f t="shared" si="363"/>
        <v/>
      </c>
      <c r="E23244" s="626"/>
      <c r="F23244" s="626"/>
    </row>
    <row r="23245" spans="1:6">
      <c r="A23245" t="str">
        <f t="shared" si="363"/>
        <v/>
      </c>
      <c r="E23245" s="626"/>
      <c r="F23245" s="626"/>
    </row>
    <row r="23246" spans="1:6">
      <c r="A23246" t="str">
        <f t="shared" si="363"/>
        <v/>
      </c>
      <c r="E23246" s="626"/>
      <c r="F23246" s="626"/>
    </row>
    <row r="23247" spans="1:6">
      <c r="A23247" t="str">
        <f t="shared" si="363"/>
        <v/>
      </c>
      <c r="E23247" s="626"/>
      <c r="F23247" s="626"/>
    </row>
    <row r="23248" spans="1:6">
      <c r="A23248" t="str">
        <f t="shared" si="363"/>
        <v/>
      </c>
      <c r="E23248" s="626"/>
      <c r="F23248" s="626"/>
    </row>
    <row r="23249" spans="1:6">
      <c r="A23249" t="str">
        <f t="shared" si="363"/>
        <v/>
      </c>
      <c r="E23249" s="626"/>
      <c r="F23249" s="626"/>
    </row>
    <row r="23250" spans="1:6">
      <c r="A23250" t="str">
        <f t="shared" si="363"/>
        <v/>
      </c>
      <c r="E23250" s="626"/>
      <c r="F23250" s="626"/>
    </row>
    <row r="23251" spans="1:6">
      <c r="A23251" t="str">
        <f t="shared" si="363"/>
        <v/>
      </c>
      <c r="E23251" s="626"/>
      <c r="F23251" s="626"/>
    </row>
    <row r="23252" spans="1:6">
      <c r="A23252" t="str">
        <f t="shared" si="363"/>
        <v/>
      </c>
      <c r="E23252" s="626"/>
      <c r="F23252" s="626"/>
    </row>
    <row r="23253" spans="1:6">
      <c r="A23253" t="str">
        <f t="shared" si="363"/>
        <v/>
      </c>
      <c r="E23253" s="626"/>
      <c r="F23253" s="626"/>
    </row>
    <row r="23254" spans="1:6">
      <c r="A23254" t="str">
        <f t="shared" si="363"/>
        <v/>
      </c>
      <c r="E23254" s="626"/>
      <c r="F23254" s="626"/>
    </row>
    <row r="23255" spans="1:6">
      <c r="A23255" t="str">
        <f t="shared" si="363"/>
        <v/>
      </c>
      <c r="E23255" s="626"/>
      <c r="F23255" s="626"/>
    </row>
    <row r="23256" spans="1:6">
      <c r="A23256" t="str">
        <f t="shared" si="363"/>
        <v/>
      </c>
      <c r="E23256" s="626"/>
      <c r="F23256" s="626"/>
    </row>
    <row r="23257" spans="1:6">
      <c r="A23257" t="str">
        <f t="shared" si="363"/>
        <v/>
      </c>
      <c r="E23257" s="626"/>
      <c r="F23257" s="626"/>
    </row>
    <row r="23258" spans="1:6">
      <c r="A23258" t="str">
        <f t="shared" si="363"/>
        <v/>
      </c>
      <c r="E23258" s="626"/>
      <c r="F23258" s="626"/>
    </row>
    <row r="23259" spans="1:6">
      <c r="A23259" t="str">
        <f t="shared" si="363"/>
        <v/>
      </c>
      <c r="E23259" s="626"/>
      <c r="F23259" s="626"/>
    </row>
    <row r="23260" spans="1:6">
      <c r="A23260" t="str">
        <f t="shared" si="363"/>
        <v/>
      </c>
      <c r="E23260" s="626"/>
      <c r="F23260" s="626"/>
    </row>
    <row r="23261" spans="1:6">
      <c r="A23261" t="str">
        <f t="shared" si="363"/>
        <v/>
      </c>
      <c r="E23261" s="626"/>
      <c r="F23261" s="626"/>
    </row>
    <row r="23262" spans="1:6">
      <c r="A23262" t="str">
        <f t="shared" si="363"/>
        <v/>
      </c>
      <c r="E23262" s="626"/>
      <c r="F23262" s="626"/>
    </row>
    <row r="23263" spans="1:6">
      <c r="A23263" t="str">
        <f t="shared" si="363"/>
        <v/>
      </c>
      <c r="E23263" s="626"/>
      <c r="F23263" s="626"/>
    </row>
    <row r="23264" spans="1:6">
      <c r="A23264" t="str">
        <f t="shared" si="363"/>
        <v/>
      </c>
      <c r="E23264" s="626"/>
      <c r="F23264" s="626"/>
    </row>
    <row r="23265" spans="1:6">
      <c r="A23265" t="str">
        <f t="shared" si="363"/>
        <v/>
      </c>
      <c r="E23265" s="626"/>
      <c r="F23265" s="626"/>
    </row>
    <row r="23266" spans="1:6">
      <c r="A23266" t="str">
        <f t="shared" si="363"/>
        <v/>
      </c>
      <c r="E23266" s="626"/>
      <c r="F23266" s="626"/>
    </row>
    <row r="23267" spans="1:6">
      <c r="A23267" t="str">
        <f t="shared" si="363"/>
        <v/>
      </c>
      <c r="E23267" s="626"/>
      <c r="F23267" s="626"/>
    </row>
    <row r="23268" spans="1:6">
      <c r="A23268" t="str">
        <f t="shared" si="363"/>
        <v/>
      </c>
      <c r="E23268" s="626"/>
      <c r="F23268" s="626"/>
    </row>
    <row r="23269" spans="1:6">
      <c r="A23269" t="str">
        <f t="shared" si="363"/>
        <v/>
      </c>
      <c r="E23269" s="626"/>
      <c r="F23269" s="626"/>
    </row>
    <row r="23270" spans="1:6">
      <c r="A23270" t="str">
        <f t="shared" si="363"/>
        <v/>
      </c>
      <c r="E23270" s="626"/>
      <c r="F23270" s="626"/>
    </row>
    <row r="23271" spans="1:6">
      <c r="A23271" t="str">
        <f t="shared" si="363"/>
        <v/>
      </c>
      <c r="E23271" s="626"/>
      <c r="F23271" s="626"/>
    </row>
    <row r="23272" spans="1:6">
      <c r="A23272" t="str">
        <f t="shared" si="363"/>
        <v/>
      </c>
      <c r="E23272" s="626"/>
      <c r="F23272" s="626"/>
    </row>
    <row r="23273" spans="1:6">
      <c r="A23273" t="str">
        <f t="shared" si="363"/>
        <v/>
      </c>
      <c r="E23273" s="626"/>
      <c r="F23273" s="626"/>
    </row>
    <row r="23274" spans="1:6">
      <c r="A23274" t="str">
        <f t="shared" si="363"/>
        <v/>
      </c>
      <c r="E23274" s="626"/>
      <c r="F23274" s="626"/>
    </row>
    <row r="23275" spans="1:6">
      <c r="A23275" t="str">
        <f t="shared" si="363"/>
        <v/>
      </c>
      <c r="E23275" s="626"/>
      <c r="F23275" s="626"/>
    </row>
    <row r="23276" spans="1:6">
      <c r="A23276" t="str">
        <f t="shared" si="363"/>
        <v/>
      </c>
      <c r="E23276" s="626"/>
      <c r="F23276" s="626"/>
    </row>
    <row r="23277" spans="1:6">
      <c r="A23277" t="str">
        <f t="shared" si="363"/>
        <v/>
      </c>
      <c r="E23277" s="626"/>
      <c r="F23277" s="626"/>
    </row>
    <row r="23278" spans="1:6">
      <c r="A23278" t="str">
        <f t="shared" si="363"/>
        <v/>
      </c>
      <c r="E23278" s="626"/>
      <c r="F23278" s="626"/>
    </row>
    <row r="23279" spans="1:6">
      <c r="A23279" t="str">
        <f t="shared" si="363"/>
        <v/>
      </c>
      <c r="E23279" s="626"/>
      <c r="F23279" s="626"/>
    </row>
    <row r="23280" spans="1:6">
      <c r="A23280" t="str">
        <f t="shared" si="363"/>
        <v/>
      </c>
      <c r="E23280" s="626"/>
      <c r="F23280" s="626"/>
    </row>
    <row r="23281" spans="1:6">
      <c r="A23281" t="str">
        <f t="shared" si="363"/>
        <v/>
      </c>
      <c r="E23281" s="626"/>
      <c r="F23281" s="626"/>
    </row>
    <row r="23282" spans="1:6">
      <c r="A23282" t="str">
        <f t="shared" si="363"/>
        <v/>
      </c>
      <c r="E23282" s="626"/>
      <c r="F23282" s="626"/>
    </row>
    <row r="23283" spans="1:6">
      <c r="A23283" t="str">
        <f t="shared" si="363"/>
        <v/>
      </c>
      <c r="E23283" s="626"/>
      <c r="F23283" s="626"/>
    </row>
    <row r="23284" spans="1:6">
      <c r="A23284" t="str">
        <f t="shared" si="363"/>
        <v/>
      </c>
      <c r="E23284" s="626"/>
      <c r="F23284" s="626"/>
    </row>
    <row r="23285" spans="1:6">
      <c r="A23285" t="str">
        <f t="shared" si="363"/>
        <v/>
      </c>
      <c r="E23285" s="626"/>
      <c r="F23285" s="626"/>
    </row>
    <row r="23286" spans="1:6">
      <c r="A23286" t="str">
        <f t="shared" si="363"/>
        <v/>
      </c>
      <c r="E23286" s="626"/>
      <c r="F23286" s="626"/>
    </row>
    <row r="23287" spans="1:6">
      <c r="A23287" t="str">
        <f t="shared" si="363"/>
        <v/>
      </c>
      <c r="E23287" s="626"/>
      <c r="F23287" s="626"/>
    </row>
    <row r="23288" spans="1:6">
      <c r="A23288" t="str">
        <f t="shared" si="363"/>
        <v/>
      </c>
      <c r="E23288" s="626"/>
      <c r="F23288" s="626"/>
    </row>
    <row r="23289" spans="1:6">
      <c r="A23289" t="str">
        <f t="shared" si="363"/>
        <v/>
      </c>
      <c r="E23289" s="626"/>
      <c r="F23289" s="626"/>
    </row>
    <row r="23290" spans="1:6">
      <c r="A23290" t="str">
        <f t="shared" si="363"/>
        <v/>
      </c>
      <c r="E23290" s="626"/>
      <c r="F23290" s="626"/>
    </row>
    <row r="23291" spans="1:6">
      <c r="A23291" t="str">
        <f t="shared" si="363"/>
        <v/>
      </c>
      <c r="E23291" s="626"/>
      <c r="F23291" s="626"/>
    </row>
    <row r="23292" spans="1:6">
      <c r="A23292" t="str">
        <f t="shared" si="363"/>
        <v/>
      </c>
      <c r="E23292" s="626"/>
      <c r="F23292" s="626"/>
    </row>
    <row r="23293" spans="1:6">
      <c r="A23293" t="str">
        <f t="shared" si="363"/>
        <v/>
      </c>
      <c r="E23293" s="626"/>
      <c r="F23293" s="626"/>
    </row>
    <row r="23294" spans="1:6">
      <c r="A23294" t="str">
        <f t="shared" si="363"/>
        <v/>
      </c>
      <c r="E23294" s="626"/>
      <c r="F23294" s="626"/>
    </row>
    <row r="23295" spans="1:6">
      <c r="A23295" t="str">
        <f t="shared" si="363"/>
        <v/>
      </c>
      <c r="E23295" s="626"/>
      <c r="F23295" s="626"/>
    </row>
    <row r="23296" spans="1:6">
      <c r="A23296" t="str">
        <f t="shared" si="363"/>
        <v/>
      </c>
      <c r="E23296" s="626"/>
      <c r="F23296" s="626"/>
    </row>
    <row r="23297" spans="1:6">
      <c r="A23297" t="str">
        <f t="shared" si="363"/>
        <v/>
      </c>
      <c r="E23297" s="626"/>
      <c r="F23297" s="626"/>
    </row>
    <row r="23298" spans="1:6">
      <c r="A23298" t="str">
        <f t="shared" ref="A23298:A23361" si="364">B23298&amp;E23298&amp;J23298</f>
        <v/>
      </c>
      <c r="E23298" s="626"/>
      <c r="F23298" s="626"/>
    </row>
    <row r="23299" spans="1:6">
      <c r="A23299" t="str">
        <f t="shared" si="364"/>
        <v/>
      </c>
      <c r="E23299" s="626"/>
      <c r="F23299" s="626"/>
    </row>
    <row r="23300" spans="1:6">
      <c r="A23300" t="str">
        <f t="shared" si="364"/>
        <v/>
      </c>
      <c r="E23300" s="626"/>
      <c r="F23300" s="626"/>
    </row>
    <row r="23301" spans="1:6">
      <c r="A23301" t="str">
        <f t="shared" si="364"/>
        <v/>
      </c>
      <c r="E23301" s="626"/>
      <c r="F23301" s="626"/>
    </row>
    <row r="23302" spans="1:6">
      <c r="A23302" t="str">
        <f t="shared" si="364"/>
        <v/>
      </c>
      <c r="E23302" s="626"/>
      <c r="F23302" s="626"/>
    </row>
    <row r="23303" spans="1:6">
      <c r="A23303" t="str">
        <f t="shared" si="364"/>
        <v/>
      </c>
      <c r="E23303" s="626"/>
      <c r="F23303" s="626"/>
    </row>
    <row r="23304" spans="1:6">
      <c r="A23304" t="str">
        <f t="shared" si="364"/>
        <v/>
      </c>
      <c r="E23304" s="626"/>
      <c r="F23304" s="626"/>
    </row>
    <row r="23305" spans="1:6">
      <c r="A23305" t="str">
        <f t="shared" si="364"/>
        <v/>
      </c>
      <c r="E23305" s="626"/>
      <c r="F23305" s="626"/>
    </row>
    <row r="23306" spans="1:6">
      <c r="A23306" t="str">
        <f t="shared" si="364"/>
        <v/>
      </c>
      <c r="E23306" s="626"/>
      <c r="F23306" s="626"/>
    </row>
    <row r="23307" spans="1:6">
      <c r="A23307" t="str">
        <f t="shared" si="364"/>
        <v/>
      </c>
      <c r="E23307" s="626"/>
      <c r="F23307" s="626"/>
    </row>
    <row r="23308" spans="1:6">
      <c r="A23308" t="str">
        <f t="shared" si="364"/>
        <v/>
      </c>
      <c r="E23308" s="626"/>
      <c r="F23308" s="626"/>
    </row>
    <row r="23309" spans="1:6">
      <c r="A23309" t="str">
        <f t="shared" si="364"/>
        <v/>
      </c>
      <c r="E23309" s="626"/>
      <c r="F23309" s="626"/>
    </row>
    <row r="23310" spans="1:6">
      <c r="A23310" t="str">
        <f t="shared" si="364"/>
        <v/>
      </c>
      <c r="E23310" s="626"/>
      <c r="F23310" s="626"/>
    </row>
    <row r="23311" spans="1:6">
      <c r="A23311" t="str">
        <f t="shared" si="364"/>
        <v/>
      </c>
      <c r="E23311" s="626"/>
      <c r="F23311" s="626"/>
    </row>
    <row r="23312" spans="1:6">
      <c r="A23312" t="str">
        <f t="shared" si="364"/>
        <v/>
      </c>
      <c r="E23312" s="626"/>
      <c r="F23312" s="626"/>
    </row>
    <row r="23313" spans="1:6">
      <c r="A23313" t="str">
        <f t="shared" si="364"/>
        <v/>
      </c>
      <c r="E23313" s="626"/>
      <c r="F23313" s="626"/>
    </row>
    <row r="23314" spans="1:6">
      <c r="A23314" t="str">
        <f t="shared" si="364"/>
        <v/>
      </c>
      <c r="E23314" s="626"/>
      <c r="F23314" s="626"/>
    </row>
    <row r="23315" spans="1:6">
      <c r="A23315" t="str">
        <f t="shared" si="364"/>
        <v/>
      </c>
      <c r="E23315" s="626"/>
      <c r="F23315" s="626"/>
    </row>
    <row r="23316" spans="1:6">
      <c r="A23316" t="str">
        <f t="shared" si="364"/>
        <v/>
      </c>
      <c r="E23316" s="626"/>
      <c r="F23316" s="626"/>
    </row>
    <row r="23317" spans="1:6">
      <c r="A23317" t="str">
        <f t="shared" si="364"/>
        <v/>
      </c>
      <c r="E23317" s="626"/>
      <c r="F23317" s="626"/>
    </row>
    <row r="23318" spans="1:6">
      <c r="A23318" t="str">
        <f t="shared" si="364"/>
        <v/>
      </c>
      <c r="E23318" s="626"/>
      <c r="F23318" s="626"/>
    </row>
    <row r="23319" spans="1:6">
      <c r="A23319" t="str">
        <f t="shared" si="364"/>
        <v/>
      </c>
      <c r="E23319" s="626"/>
      <c r="F23319" s="626"/>
    </row>
    <row r="23320" spans="1:6">
      <c r="A23320" t="str">
        <f t="shared" si="364"/>
        <v/>
      </c>
      <c r="E23320" s="626"/>
      <c r="F23320" s="626"/>
    </row>
    <row r="23321" spans="1:6">
      <c r="A23321" t="str">
        <f t="shared" si="364"/>
        <v/>
      </c>
      <c r="E23321" s="626"/>
      <c r="F23321" s="626"/>
    </row>
    <row r="23322" spans="1:6">
      <c r="A23322" t="str">
        <f t="shared" si="364"/>
        <v/>
      </c>
      <c r="E23322" s="626"/>
      <c r="F23322" s="626"/>
    </row>
    <row r="23323" spans="1:6">
      <c r="A23323" t="str">
        <f t="shared" si="364"/>
        <v/>
      </c>
      <c r="E23323" s="626"/>
      <c r="F23323" s="626"/>
    </row>
    <row r="23324" spans="1:6">
      <c r="A23324" t="str">
        <f t="shared" si="364"/>
        <v/>
      </c>
      <c r="E23324" s="626"/>
      <c r="F23324" s="626"/>
    </row>
    <row r="23325" spans="1:6">
      <c r="A23325" t="str">
        <f t="shared" si="364"/>
        <v/>
      </c>
      <c r="E23325" s="626"/>
      <c r="F23325" s="626"/>
    </row>
    <row r="23326" spans="1:6">
      <c r="A23326" t="str">
        <f t="shared" si="364"/>
        <v/>
      </c>
      <c r="E23326" s="626"/>
      <c r="F23326" s="626"/>
    </row>
    <row r="23327" spans="1:6">
      <c r="A23327" t="str">
        <f t="shared" si="364"/>
        <v/>
      </c>
      <c r="E23327" s="626"/>
      <c r="F23327" s="626"/>
    </row>
    <row r="23328" spans="1:6">
      <c r="A23328" t="str">
        <f t="shared" si="364"/>
        <v/>
      </c>
      <c r="E23328" s="626"/>
      <c r="F23328" s="626"/>
    </row>
    <row r="23329" spans="1:6">
      <c r="A23329" t="str">
        <f t="shared" si="364"/>
        <v/>
      </c>
      <c r="E23329" s="626"/>
      <c r="F23329" s="626"/>
    </row>
    <row r="23330" spans="1:6">
      <c r="A23330" t="str">
        <f t="shared" si="364"/>
        <v/>
      </c>
      <c r="E23330" s="626"/>
      <c r="F23330" s="626"/>
    </row>
    <row r="23331" spans="1:6">
      <c r="A23331" t="str">
        <f t="shared" si="364"/>
        <v/>
      </c>
      <c r="E23331" s="626"/>
      <c r="F23331" s="626"/>
    </row>
    <row r="23332" spans="1:6">
      <c r="A23332" t="str">
        <f t="shared" si="364"/>
        <v/>
      </c>
      <c r="E23332" s="626"/>
      <c r="F23332" s="626"/>
    </row>
    <row r="23333" spans="1:6">
      <c r="A23333" t="str">
        <f t="shared" si="364"/>
        <v/>
      </c>
      <c r="E23333" s="626"/>
      <c r="F23333" s="626"/>
    </row>
    <row r="23334" spans="1:6">
      <c r="A23334" t="str">
        <f t="shared" si="364"/>
        <v/>
      </c>
      <c r="E23334" s="626"/>
      <c r="F23334" s="626"/>
    </row>
    <row r="23335" spans="1:6">
      <c r="A23335" t="str">
        <f t="shared" si="364"/>
        <v/>
      </c>
      <c r="E23335" s="626"/>
      <c r="F23335" s="626"/>
    </row>
    <row r="23336" spans="1:6">
      <c r="A23336" t="str">
        <f t="shared" si="364"/>
        <v/>
      </c>
      <c r="E23336" s="626"/>
      <c r="F23336" s="626"/>
    </row>
    <row r="23337" spans="1:6">
      <c r="A23337" t="str">
        <f t="shared" si="364"/>
        <v/>
      </c>
      <c r="E23337" s="626"/>
      <c r="F23337" s="626"/>
    </row>
    <row r="23338" spans="1:6">
      <c r="A23338" t="str">
        <f t="shared" si="364"/>
        <v/>
      </c>
      <c r="E23338" s="626"/>
      <c r="F23338" s="626"/>
    </row>
    <row r="23339" spans="1:6">
      <c r="A23339" t="str">
        <f t="shared" si="364"/>
        <v/>
      </c>
      <c r="E23339" s="626"/>
      <c r="F23339" s="626"/>
    </row>
    <row r="23340" spans="1:6">
      <c r="A23340" t="str">
        <f t="shared" si="364"/>
        <v/>
      </c>
      <c r="E23340" s="626"/>
      <c r="F23340" s="626"/>
    </row>
    <row r="23341" spans="1:6">
      <c r="A23341" t="str">
        <f t="shared" si="364"/>
        <v/>
      </c>
      <c r="E23341" s="626"/>
      <c r="F23341" s="626"/>
    </row>
    <row r="23342" spans="1:6">
      <c r="A23342" t="str">
        <f t="shared" si="364"/>
        <v/>
      </c>
      <c r="E23342" s="626"/>
      <c r="F23342" s="626"/>
    </row>
    <row r="23343" spans="1:6">
      <c r="A23343" t="str">
        <f t="shared" si="364"/>
        <v/>
      </c>
      <c r="E23343" s="626"/>
      <c r="F23343" s="626"/>
    </row>
    <row r="23344" spans="1:6">
      <c r="A23344" t="str">
        <f t="shared" si="364"/>
        <v/>
      </c>
      <c r="E23344" s="626"/>
      <c r="F23344" s="626"/>
    </row>
    <row r="23345" spans="1:6">
      <c r="A23345" t="str">
        <f t="shared" si="364"/>
        <v/>
      </c>
      <c r="E23345" s="626"/>
      <c r="F23345" s="626"/>
    </row>
    <row r="23346" spans="1:6">
      <c r="A23346" t="str">
        <f t="shared" si="364"/>
        <v/>
      </c>
      <c r="E23346" s="626"/>
      <c r="F23346" s="626"/>
    </row>
    <row r="23347" spans="1:6">
      <c r="A23347" t="str">
        <f t="shared" si="364"/>
        <v/>
      </c>
      <c r="E23347" s="626"/>
      <c r="F23347" s="626"/>
    </row>
    <row r="23348" spans="1:6">
      <c r="A23348" t="str">
        <f t="shared" si="364"/>
        <v/>
      </c>
      <c r="E23348" s="626"/>
      <c r="F23348" s="626"/>
    </row>
    <row r="23349" spans="1:6">
      <c r="A23349" t="str">
        <f t="shared" si="364"/>
        <v/>
      </c>
      <c r="E23349" s="626"/>
      <c r="F23349" s="626"/>
    </row>
    <row r="23350" spans="1:6">
      <c r="A23350" t="str">
        <f t="shared" si="364"/>
        <v/>
      </c>
      <c r="E23350" s="626"/>
      <c r="F23350" s="626"/>
    </row>
    <row r="23351" spans="1:6">
      <c r="A23351" t="str">
        <f t="shared" si="364"/>
        <v/>
      </c>
      <c r="E23351" s="626"/>
      <c r="F23351" s="626"/>
    </row>
    <row r="23352" spans="1:6">
      <c r="A23352" t="str">
        <f t="shared" si="364"/>
        <v/>
      </c>
      <c r="E23352" s="626"/>
      <c r="F23352" s="626"/>
    </row>
    <row r="23353" spans="1:6">
      <c r="A23353" t="str">
        <f t="shared" si="364"/>
        <v/>
      </c>
      <c r="E23353" s="626"/>
      <c r="F23353" s="626"/>
    </row>
    <row r="23354" spans="1:6">
      <c r="A23354" t="str">
        <f t="shared" si="364"/>
        <v/>
      </c>
      <c r="E23354" s="626"/>
      <c r="F23354" s="626"/>
    </row>
    <row r="23355" spans="1:6">
      <c r="A23355" t="str">
        <f t="shared" si="364"/>
        <v/>
      </c>
      <c r="E23355" s="626"/>
      <c r="F23355" s="626"/>
    </row>
    <row r="23356" spans="1:6">
      <c r="A23356" t="str">
        <f t="shared" si="364"/>
        <v/>
      </c>
      <c r="E23356" s="626"/>
      <c r="F23356" s="626"/>
    </row>
    <row r="23357" spans="1:6">
      <c r="A23357" t="str">
        <f t="shared" si="364"/>
        <v/>
      </c>
      <c r="E23357" s="626"/>
      <c r="F23357" s="626"/>
    </row>
    <row r="23358" spans="1:6">
      <c r="A23358" t="str">
        <f t="shared" si="364"/>
        <v/>
      </c>
      <c r="E23358" s="626"/>
      <c r="F23358" s="626"/>
    </row>
    <row r="23359" spans="1:6">
      <c r="A23359" t="str">
        <f t="shared" si="364"/>
        <v/>
      </c>
      <c r="E23359" s="626"/>
      <c r="F23359" s="626"/>
    </row>
    <row r="23360" spans="1:6">
      <c r="A23360" t="str">
        <f t="shared" si="364"/>
        <v/>
      </c>
      <c r="E23360" s="626"/>
      <c r="F23360" s="626"/>
    </row>
    <row r="23361" spans="1:6">
      <c r="A23361" t="str">
        <f t="shared" si="364"/>
        <v/>
      </c>
      <c r="E23361" s="626"/>
      <c r="F23361" s="626"/>
    </row>
    <row r="23362" spans="1:6">
      <c r="A23362" t="str">
        <f t="shared" ref="A23362:A23425" si="365">B23362&amp;E23362&amp;J23362</f>
        <v/>
      </c>
      <c r="E23362" s="626"/>
      <c r="F23362" s="626"/>
    </row>
    <row r="23363" spans="1:6">
      <c r="A23363" t="str">
        <f t="shared" si="365"/>
        <v/>
      </c>
      <c r="E23363" s="626"/>
      <c r="F23363" s="626"/>
    </row>
    <row r="23364" spans="1:6">
      <c r="A23364" t="str">
        <f t="shared" si="365"/>
        <v/>
      </c>
      <c r="E23364" s="626"/>
      <c r="F23364" s="626"/>
    </row>
    <row r="23365" spans="1:6">
      <c r="A23365" t="str">
        <f t="shared" si="365"/>
        <v/>
      </c>
      <c r="E23365" s="626"/>
      <c r="F23365" s="626"/>
    </row>
    <row r="23366" spans="1:6">
      <c r="A23366" t="str">
        <f t="shared" si="365"/>
        <v/>
      </c>
      <c r="E23366" s="626"/>
      <c r="F23366" s="626"/>
    </row>
    <row r="23367" spans="1:6">
      <c r="A23367" t="str">
        <f t="shared" si="365"/>
        <v/>
      </c>
      <c r="E23367" s="626"/>
      <c r="F23367" s="626"/>
    </row>
    <row r="23368" spans="1:6">
      <c r="A23368" t="str">
        <f t="shared" si="365"/>
        <v/>
      </c>
      <c r="E23368" s="626"/>
      <c r="F23368" s="626"/>
    </row>
    <row r="23369" spans="1:6">
      <c r="A23369" t="str">
        <f t="shared" si="365"/>
        <v/>
      </c>
      <c r="E23369" s="626"/>
      <c r="F23369" s="626"/>
    </row>
    <row r="23370" spans="1:6">
      <c r="A23370" t="str">
        <f t="shared" si="365"/>
        <v/>
      </c>
      <c r="E23370" s="626"/>
      <c r="F23370" s="626"/>
    </row>
    <row r="23371" spans="1:6">
      <c r="A23371" t="str">
        <f t="shared" si="365"/>
        <v/>
      </c>
      <c r="E23371" s="626"/>
      <c r="F23371" s="626"/>
    </row>
    <row r="23372" spans="1:6">
      <c r="A23372" t="str">
        <f t="shared" si="365"/>
        <v/>
      </c>
      <c r="E23372" s="626"/>
      <c r="F23372" s="626"/>
    </row>
    <row r="23373" spans="1:6">
      <c r="A23373" t="str">
        <f t="shared" si="365"/>
        <v/>
      </c>
      <c r="E23373" s="626"/>
      <c r="F23373" s="626"/>
    </row>
    <row r="23374" spans="1:6">
      <c r="A23374" t="str">
        <f t="shared" si="365"/>
        <v/>
      </c>
      <c r="E23374" s="626"/>
      <c r="F23374" s="626"/>
    </row>
    <row r="23375" spans="1:6">
      <c r="A23375" t="str">
        <f t="shared" si="365"/>
        <v/>
      </c>
      <c r="E23375" s="626"/>
      <c r="F23375" s="626"/>
    </row>
    <row r="23376" spans="1:6">
      <c r="A23376" t="str">
        <f t="shared" si="365"/>
        <v/>
      </c>
      <c r="E23376" s="626"/>
      <c r="F23376" s="626"/>
    </row>
    <row r="23377" spans="1:6">
      <c r="A23377" t="str">
        <f t="shared" si="365"/>
        <v/>
      </c>
      <c r="E23377" s="626"/>
      <c r="F23377" s="626"/>
    </row>
    <row r="23378" spans="1:6">
      <c r="A23378" t="str">
        <f t="shared" si="365"/>
        <v/>
      </c>
      <c r="E23378" s="626"/>
      <c r="F23378" s="626"/>
    </row>
    <row r="23379" spans="1:6">
      <c r="A23379" t="str">
        <f t="shared" si="365"/>
        <v/>
      </c>
      <c r="E23379" s="626"/>
      <c r="F23379" s="626"/>
    </row>
    <row r="23380" spans="1:6">
      <c r="A23380" t="str">
        <f t="shared" si="365"/>
        <v/>
      </c>
      <c r="E23380" s="626"/>
      <c r="F23380" s="626"/>
    </row>
    <row r="23381" spans="1:6">
      <c r="A23381" t="str">
        <f t="shared" si="365"/>
        <v/>
      </c>
      <c r="E23381" s="626"/>
      <c r="F23381" s="626"/>
    </row>
    <row r="23382" spans="1:6">
      <c r="A23382" t="str">
        <f t="shared" si="365"/>
        <v/>
      </c>
      <c r="E23382" s="626"/>
      <c r="F23382" s="626"/>
    </row>
    <row r="23383" spans="1:6">
      <c r="A23383" t="str">
        <f t="shared" si="365"/>
        <v/>
      </c>
      <c r="E23383" s="626"/>
      <c r="F23383" s="626"/>
    </row>
    <row r="23384" spans="1:6">
      <c r="A23384" t="str">
        <f t="shared" si="365"/>
        <v/>
      </c>
      <c r="E23384" s="626"/>
      <c r="F23384" s="626"/>
    </row>
    <row r="23385" spans="1:6">
      <c r="A23385" t="str">
        <f t="shared" si="365"/>
        <v/>
      </c>
      <c r="E23385" s="626"/>
      <c r="F23385" s="626"/>
    </row>
    <row r="23386" spans="1:6">
      <c r="A23386" t="str">
        <f t="shared" si="365"/>
        <v/>
      </c>
      <c r="E23386" s="626"/>
      <c r="F23386" s="626"/>
    </row>
    <row r="23387" spans="1:6">
      <c r="A23387" t="str">
        <f t="shared" si="365"/>
        <v/>
      </c>
      <c r="E23387" s="626"/>
      <c r="F23387" s="626"/>
    </row>
    <row r="23388" spans="1:6">
      <c r="A23388" t="str">
        <f t="shared" si="365"/>
        <v/>
      </c>
      <c r="E23388" s="626"/>
      <c r="F23388" s="626"/>
    </row>
    <row r="23389" spans="1:6">
      <c r="A23389" t="str">
        <f t="shared" si="365"/>
        <v/>
      </c>
      <c r="E23389" s="626"/>
      <c r="F23389" s="626"/>
    </row>
    <row r="23390" spans="1:6">
      <c r="A23390" t="str">
        <f t="shared" si="365"/>
        <v/>
      </c>
      <c r="E23390" s="626"/>
      <c r="F23390" s="626"/>
    </row>
    <row r="23391" spans="1:6">
      <c r="A23391" t="str">
        <f t="shared" si="365"/>
        <v/>
      </c>
      <c r="E23391" s="626"/>
      <c r="F23391" s="626"/>
    </row>
    <row r="23392" spans="1:6">
      <c r="A23392" t="str">
        <f t="shared" si="365"/>
        <v/>
      </c>
      <c r="E23392" s="626"/>
      <c r="F23392" s="626"/>
    </row>
    <row r="23393" spans="1:6">
      <c r="A23393" t="str">
        <f t="shared" si="365"/>
        <v/>
      </c>
      <c r="E23393" s="626"/>
      <c r="F23393" s="626"/>
    </row>
    <row r="23394" spans="1:6">
      <c r="A23394" t="str">
        <f t="shared" si="365"/>
        <v/>
      </c>
      <c r="E23394" s="626"/>
      <c r="F23394" s="626"/>
    </row>
    <row r="23395" spans="1:6">
      <c r="A23395" t="str">
        <f t="shared" si="365"/>
        <v/>
      </c>
      <c r="E23395" s="626"/>
      <c r="F23395" s="626"/>
    </row>
    <row r="23396" spans="1:6">
      <c r="A23396" t="str">
        <f t="shared" si="365"/>
        <v/>
      </c>
      <c r="E23396" s="626"/>
      <c r="F23396" s="626"/>
    </row>
    <row r="23397" spans="1:6">
      <c r="A23397" t="str">
        <f t="shared" si="365"/>
        <v/>
      </c>
      <c r="E23397" s="626"/>
      <c r="F23397" s="626"/>
    </row>
    <row r="23398" spans="1:6">
      <c r="A23398" t="str">
        <f t="shared" si="365"/>
        <v/>
      </c>
      <c r="E23398" s="626"/>
      <c r="F23398" s="626"/>
    </row>
    <row r="23399" spans="1:6">
      <c r="A23399" t="str">
        <f t="shared" si="365"/>
        <v/>
      </c>
      <c r="E23399" s="626"/>
      <c r="F23399" s="626"/>
    </row>
    <row r="23400" spans="1:6">
      <c r="A23400" t="str">
        <f t="shared" si="365"/>
        <v/>
      </c>
      <c r="E23400" s="626"/>
      <c r="F23400" s="626"/>
    </row>
    <row r="23401" spans="1:6">
      <c r="A23401" t="str">
        <f t="shared" si="365"/>
        <v/>
      </c>
      <c r="E23401" s="626"/>
      <c r="F23401" s="626"/>
    </row>
    <row r="23402" spans="1:6">
      <c r="A23402" t="str">
        <f t="shared" si="365"/>
        <v/>
      </c>
      <c r="E23402" s="626"/>
      <c r="F23402" s="626"/>
    </row>
    <row r="23403" spans="1:6">
      <c r="A23403" t="str">
        <f t="shared" si="365"/>
        <v/>
      </c>
      <c r="E23403" s="626"/>
      <c r="F23403" s="626"/>
    </row>
    <row r="23404" spans="1:6">
      <c r="A23404" t="str">
        <f t="shared" si="365"/>
        <v/>
      </c>
      <c r="E23404" s="626"/>
      <c r="F23404" s="626"/>
    </row>
    <row r="23405" spans="1:6">
      <c r="A23405" t="str">
        <f t="shared" si="365"/>
        <v/>
      </c>
      <c r="E23405" s="626"/>
      <c r="F23405" s="626"/>
    </row>
    <row r="23406" spans="1:6">
      <c r="A23406" t="str">
        <f t="shared" si="365"/>
        <v/>
      </c>
      <c r="E23406" s="626"/>
      <c r="F23406" s="626"/>
    </row>
    <row r="23407" spans="1:6">
      <c r="A23407" t="str">
        <f t="shared" si="365"/>
        <v/>
      </c>
      <c r="E23407" s="626"/>
      <c r="F23407" s="626"/>
    </row>
    <row r="23408" spans="1:6">
      <c r="A23408" t="str">
        <f t="shared" si="365"/>
        <v/>
      </c>
      <c r="E23408" s="626"/>
      <c r="F23408" s="626"/>
    </row>
    <row r="23409" spans="1:6">
      <c r="A23409" t="str">
        <f t="shared" si="365"/>
        <v/>
      </c>
      <c r="E23409" s="626"/>
      <c r="F23409" s="626"/>
    </row>
    <row r="23410" spans="1:6">
      <c r="A23410" t="str">
        <f t="shared" si="365"/>
        <v/>
      </c>
      <c r="E23410" s="626"/>
      <c r="F23410" s="626"/>
    </row>
    <row r="23411" spans="1:6">
      <c r="A23411" t="str">
        <f t="shared" si="365"/>
        <v/>
      </c>
      <c r="E23411" s="626"/>
      <c r="F23411" s="626"/>
    </row>
    <row r="23412" spans="1:6">
      <c r="A23412" t="str">
        <f t="shared" si="365"/>
        <v/>
      </c>
      <c r="E23412" s="626"/>
      <c r="F23412" s="626"/>
    </row>
    <row r="23413" spans="1:6">
      <c r="A23413" t="str">
        <f t="shared" si="365"/>
        <v/>
      </c>
      <c r="E23413" s="626"/>
      <c r="F23413" s="626"/>
    </row>
    <row r="23414" spans="1:6">
      <c r="A23414" t="str">
        <f t="shared" si="365"/>
        <v/>
      </c>
      <c r="E23414" s="626"/>
      <c r="F23414" s="626"/>
    </row>
    <row r="23415" spans="1:6">
      <c r="A23415" t="str">
        <f t="shared" si="365"/>
        <v/>
      </c>
      <c r="E23415" s="626"/>
      <c r="F23415" s="626"/>
    </row>
    <row r="23416" spans="1:6">
      <c r="A23416" t="str">
        <f t="shared" si="365"/>
        <v/>
      </c>
      <c r="E23416" s="626"/>
      <c r="F23416" s="626"/>
    </row>
    <row r="23417" spans="1:6">
      <c r="A23417" t="str">
        <f t="shared" si="365"/>
        <v/>
      </c>
      <c r="E23417" s="626"/>
      <c r="F23417" s="626"/>
    </row>
    <row r="23418" spans="1:6">
      <c r="A23418" t="str">
        <f t="shared" si="365"/>
        <v/>
      </c>
      <c r="E23418" s="626"/>
      <c r="F23418" s="626"/>
    </row>
    <row r="23419" spans="1:6">
      <c r="A23419" t="str">
        <f t="shared" si="365"/>
        <v/>
      </c>
      <c r="E23419" s="626"/>
      <c r="F23419" s="626"/>
    </row>
    <row r="23420" spans="1:6">
      <c r="A23420" t="str">
        <f t="shared" si="365"/>
        <v/>
      </c>
      <c r="E23420" s="626"/>
      <c r="F23420" s="626"/>
    </row>
    <row r="23421" spans="1:6">
      <c r="A23421" t="str">
        <f t="shared" si="365"/>
        <v/>
      </c>
      <c r="E23421" s="626"/>
      <c r="F23421" s="626"/>
    </row>
    <row r="23422" spans="1:6">
      <c r="A23422" t="str">
        <f t="shared" si="365"/>
        <v/>
      </c>
      <c r="E23422" s="626"/>
      <c r="F23422" s="626"/>
    </row>
    <row r="23423" spans="1:6">
      <c r="A23423" t="str">
        <f t="shared" si="365"/>
        <v/>
      </c>
      <c r="E23423" s="626"/>
      <c r="F23423" s="626"/>
    </row>
    <row r="23424" spans="1:6">
      <c r="A23424" t="str">
        <f t="shared" si="365"/>
        <v/>
      </c>
      <c r="E23424" s="626"/>
      <c r="F23424" s="626"/>
    </row>
    <row r="23425" spans="1:6">
      <c r="A23425" t="str">
        <f t="shared" si="365"/>
        <v/>
      </c>
      <c r="E23425" s="626"/>
      <c r="F23425" s="626"/>
    </row>
    <row r="23426" spans="1:6">
      <c r="A23426" t="str">
        <f t="shared" ref="A23426:A23489" si="366">B23426&amp;E23426&amp;J23426</f>
        <v/>
      </c>
      <c r="E23426" s="626"/>
      <c r="F23426" s="626"/>
    </row>
    <row r="23427" spans="1:6">
      <c r="A23427" t="str">
        <f t="shared" si="366"/>
        <v/>
      </c>
      <c r="E23427" s="626"/>
      <c r="F23427" s="626"/>
    </row>
    <row r="23428" spans="1:6">
      <c r="A23428" t="str">
        <f t="shared" si="366"/>
        <v/>
      </c>
      <c r="E23428" s="626"/>
      <c r="F23428" s="626"/>
    </row>
    <row r="23429" spans="1:6">
      <c r="A23429" t="str">
        <f t="shared" si="366"/>
        <v/>
      </c>
      <c r="E23429" s="626"/>
      <c r="F23429" s="626"/>
    </row>
    <row r="23430" spans="1:6">
      <c r="A23430" t="str">
        <f t="shared" si="366"/>
        <v/>
      </c>
      <c r="E23430" s="626"/>
      <c r="F23430" s="626"/>
    </row>
    <row r="23431" spans="1:6">
      <c r="A23431" t="str">
        <f t="shared" si="366"/>
        <v/>
      </c>
      <c r="E23431" s="626"/>
      <c r="F23431" s="626"/>
    </row>
    <row r="23432" spans="1:6">
      <c r="A23432" t="str">
        <f t="shared" si="366"/>
        <v/>
      </c>
      <c r="E23432" s="626"/>
      <c r="F23432" s="626"/>
    </row>
    <row r="23433" spans="1:6">
      <c r="A23433" t="str">
        <f t="shared" si="366"/>
        <v/>
      </c>
      <c r="E23433" s="626"/>
      <c r="F23433" s="626"/>
    </row>
    <row r="23434" spans="1:6">
      <c r="A23434" t="str">
        <f t="shared" si="366"/>
        <v/>
      </c>
      <c r="E23434" s="626"/>
      <c r="F23434" s="626"/>
    </row>
    <row r="23435" spans="1:6">
      <c r="A23435" t="str">
        <f t="shared" si="366"/>
        <v/>
      </c>
      <c r="E23435" s="626"/>
      <c r="F23435" s="626"/>
    </row>
    <row r="23436" spans="1:6">
      <c r="A23436" t="str">
        <f t="shared" si="366"/>
        <v/>
      </c>
      <c r="E23436" s="626"/>
      <c r="F23436" s="626"/>
    </row>
    <row r="23437" spans="1:6">
      <c r="A23437" t="str">
        <f t="shared" si="366"/>
        <v/>
      </c>
      <c r="E23437" s="626"/>
      <c r="F23437" s="626"/>
    </row>
    <row r="23438" spans="1:6">
      <c r="A23438" t="str">
        <f t="shared" si="366"/>
        <v/>
      </c>
      <c r="E23438" s="626"/>
      <c r="F23438" s="626"/>
    </row>
    <row r="23439" spans="1:6">
      <c r="A23439" t="str">
        <f t="shared" si="366"/>
        <v/>
      </c>
      <c r="E23439" s="626"/>
      <c r="F23439" s="626"/>
    </row>
    <row r="23440" spans="1:6">
      <c r="A23440" t="str">
        <f t="shared" si="366"/>
        <v/>
      </c>
      <c r="E23440" s="626"/>
      <c r="F23440" s="626"/>
    </row>
    <row r="23441" spans="1:6">
      <c r="A23441" t="str">
        <f t="shared" si="366"/>
        <v/>
      </c>
      <c r="E23441" s="626"/>
      <c r="F23441" s="626"/>
    </row>
    <row r="23442" spans="1:6">
      <c r="A23442" t="str">
        <f t="shared" si="366"/>
        <v/>
      </c>
      <c r="E23442" s="626"/>
      <c r="F23442" s="626"/>
    </row>
    <row r="23443" spans="1:6">
      <c r="A23443" t="str">
        <f t="shared" si="366"/>
        <v/>
      </c>
      <c r="E23443" s="626"/>
      <c r="F23443" s="626"/>
    </row>
    <row r="23444" spans="1:6">
      <c r="A23444" t="str">
        <f t="shared" si="366"/>
        <v/>
      </c>
      <c r="E23444" s="626"/>
      <c r="F23444" s="626"/>
    </row>
    <row r="23445" spans="1:6">
      <c r="A23445" t="str">
        <f t="shared" si="366"/>
        <v/>
      </c>
      <c r="E23445" s="626"/>
      <c r="F23445" s="626"/>
    </row>
    <row r="23446" spans="1:6">
      <c r="A23446" t="str">
        <f t="shared" si="366"/>
        <v/>
      </c>
      <c r="E23446" s="626"/>
      <c r="F23446" s="626"/>
    </row>
    <row r="23447" spans="1:6">
      <c r="A23447" t="str">
        <f t="shared" si="366"/>
        <v/>
      </c>
      <c r="E23447" s="626"/>
      <c r="F23447" s="626"/>
    </row>
    <row r="23448" spans="1:6">
      <c r="A23448" t="str">
        <f t="shared" si="366"/>
        <v/>
      </c>
      <c r="E23448" s="626"/>
      <c r="F23448" s="626"/>
    </row>
    <row r="23449" spans="1:6">
      <c r="A23449" t="str">
        <f t="shared" si="366"/>
        <v/>
      </c>
      <c r="E23449" s="626"/>
      <c r="F23449" s="626"/>
    </row>
    <row r="23450" spans="1:6">
      <c r="A23450" t="str">
        <f t="shared" si="366"/>
        <v/>
      </c>
      <c r="E23450" s="626"/>
      <c r="F23450" s="626"/>
    </row>
    <row r="23451" spans="1:6">
      <c r="A23451" t="str">
        <f t="shared" si="366"/>
        <v/>
      </c>
      <c r="E23451" s="626"/>
      <c r="F23451" s="626"/>
    </row>
    <row r="23452" spans="1:6">
      <c r="A23452" t="str">
        <f t="shared" si="366"/>
        <v/>
      </c>
      <c r="E23452" s="626"/>
      <c r="F23452" s="626"/>
    </row>
    <row r="23453" spans="1:6">
      <c r="A23453" t="str">
        <f t="shared" si="366"/>
        <v/>
      </c>
      <c r="E23453" s="626"/>
      <c r="F23453" s="626"/>
    </row>
    <row r="23454" spans="1:6">
      <c r="A23454" t="str">
        <f t="shared" si="366"/>
        <v/>
      </c>
      <c r="E23454" s="626"/>
      <c r="F23454" s="626"/>
    </row>
    <row r="23455" spans="1:6">
      <c r="A23455" t="str">
        <f t="shared" si="366"/>
        <v/>
      </c>
      <c r="E23455" s="626"/>
      <c r="F23455" s="626"/>
    </row>
    <row r="23456" spans="1:6">
      <c r="A23456" t="str">
        <f t="shared" si="366"/>
        <v/>
      </c>
      <c r="E23456" s="626"/>
      <c r="F23456" s="626"/>
    </row>
    <row r="23457" spans="1:6">
      <c r="A23457" t="str">
        <f t="shared" si="366"/>
        <v/>
      </c>
      <c r="E23457" s="626"/>
      <c r="F23457" s="626"/>
    </row>
    <row r="23458" spans="1:6">
      <c r="A23458" t="str">
        <f t="shared" si="366"/>
        <v/>
      </c>
      <c r="E23458" s="626"/>
      <c r="F23458" s="626"/>
    </row>
    <row r="23459" spans="1:6">
      <c r="A23459" t="str">
        <f t="shared" si="366"/>
        <v/>
      </c>
      <c r="E23459" s="626"/>
      <c r="F23459" s="626"/>
    </row>
    <row r="23460" spans="1:6">
      <c r="A23460" t="str">
        <f t="shared" si="366"/>
        <v/>
      </c>
      <c r="E23460" s="626"/>
      <c r="F23460" s="626"/>
    </row>
    <row r="23461" spans="1:6">
      <c r="A23461" t="str">
        <f t="shared" si="366"/>
        <v/>
      </c>
      <c r="E23461" s="626"/>
      <c r="F23461" s="626"/>
    </row>
    <row r="23462" spans="1:6">
      <c r="A23462" t="str">
        <f t="shared" si="366"/>
        <v/>
      </c>
      <c r="E23462" s="626"/>
      <c r="F23462" s="626"/>
    </row>
    <row r="23463" spans="1:6">
      <c r="A23463" t="str">
        <f t="shared" si="366"/>
        <v/>
      </c>
      <c r="E23463" s="626"/>
      <c r="F23463" s="626"/>
    </row>
    <row r="23464" spans="1:6">
      <c r="A23464" t="str">
        <f t="shared" si="366"/>
        <v/>
      </c>
      <c r="E23464" s="626"/>
      <c r="F23464" s="626"/>
    </row>
    <row r="23465" spans="1:6">
      <c r="A23465" t="str">
        <f t="shared" si="366"/>
        <v/>
      </c>
      <c r="E23465" s="626"/>
      <c r="F23465" s="626"/>
    </row>
    <row r="23466" spans="1:6">
      <c r="A23466" t="str">
        <f t="shared" si="366"/>
        <v/>
      </c>
      <c r="E23466" s="626"/>
      <c r="F23466" s="626"/>
    </row>
    <row r="23467" spans="1:6">
      <c r="A23467" t="str">
        <f t="shared" si="366"/>
        <v/>
      </c>
      <c r="E23467" s="626"/>
      <c r="F23467" s="626"/>
    </row>
    <row r="23468" spans="1:6">
      <c r="A23468" t="str">
        <f t="shared" si="366"/>
        <v/>
      </c>
      <c r="E23468" s="626"/>
      <c r="F23468" s="626"/>
    </row>
    <row r="23469" spans="1:6">
      <c r="A23469" t="str">
        <f t="shared" si="366"/>
        <v/>
      </c>
      <c r="E23469" s="626"/>
      <c r="F23469" s="626"/>
    </row>
    <row r="23470" spans="1:6">
      <c r="A23470" t="str">
        <f t="shared" si="366"/>
        <v/>
      </c>
      <c r="E23470" s="626"/>
      <c r="F23470" s="626"/>
    </row>
    <row r="23471" spans="1:6">
      <c r="A23471" t="str">
        <f t="shared" si="366"/>
        <v/>
      </c>
      <c r="E23471" s="626"/>
      <c r="F23471" s="626"/>
    </row>
    <row r="23472" spans="1:6">
      <c r="A23472" t="str">
        <f t="shared" si="366"/>
        <v/>
      </c>
      <c r="E23472" s="626"/>
      <c r="F23472" s="626"/>
    </row>
    <row r="23473" spans="1:6">
      <c r="A23473" t="str">
        <f t="shared" si="366"/>
        <v/>
      </c>
      <c r="E23473" s="626"/>
      <c r="F23473" s="626"/>
    </row>
    <row r="23474" spans="1:6">
      <c r="A23474" t="str">
        <f t="shared" si="366"/>
        <v/>
      </c>
      <c r="E23474" s="626"/>
      <c r="F23474" s="626"/>
    </row>
    <row r="23475" spans="1:6">
      <c r="A23475" t="str">
        <f t="shared" si="366"/>
        <v/>
      </c>
      <c r="E23475" s="626"/>
      <c r="F23475" s="626"/>
    </row>
    <row r="23476" spans="1:6">
      <c r="A23476" t="str">
        <f t="shared" si="366"/>
        <v/>
      </c>
      <c r="E23476" s="626"/>
      <c r="F23476" s="626"/>
    </row>
    <row r="23477" spans="1:6">
      <c r="A23477" t="str">
        <f t="shared" si="366"/>
        <v/>
      </c>
      <c r="E23477" s="626"/>
      <c r="F23477" s="626"/>
    </row>
    <row r="23478" spans="1:6">
      <c r="A23478" t="str">
        <f t="shared" si="366"/>
        <v/>
      </c>
      <c r="E23478" s="626"/>
      <c r="F23478" s="626"/>
    </row>
    <row r="23479" spans="1:6">
      <c r="A23479" t="str">
        <f t="shared" si="366"/>
        <v/>
      </c>
      <c r="E23479" s="626"/>
      <c r="F23479" s="626"/>
    </row>
    <row r="23480" spans="1:6">
      <c r="A23480" t="str">
        <f t="shared" si="366"/>
        <v/>
      </c>
      <c r="E23480" s="626"/>
      <c r="F23480" s="626"/>
    </row>
    <row r="23481" spans="1:6">
      <c r="A23481" t="str">
        <f t="shared" si="366"/>
        <v/>
      </c>
      <c r="E23481" s="626"/>
      <c r="F23481" s="626"/>
    </row>
    <row r="23482" spans="1:6">
      <c r="A23482" t="str">
        <f t="shared" si="366"/>
        <v/>
      </c>
      <c r="E23482" s="626"/>
      <c r="F23482" s="626"/>
    </row>
    <row r="23483" spans="1:6">
      <c r="A23483" t="str">
        <f t="shared" si="366"/>
        <v/>
      </c>
      <c r="E23483" s="626"/>
      <c r="F23483" s="626"/>
    </row>
    <row r="23484" spans="1:6">
      <c r="A23484" t="str">
        <f t="shared" si="366"/>
        <v/>
      </c>
      <c r="E23484" s="626"/>
      <c r="F23484" s="626"/>
    </row>
    <row r="23485" spans="1:6">
      <c r="A23485" t="str">
        <f t="shared" si="366"/>
        <v/>
      </c>
      <c r="E23485" s="626"/>
      <c r="F23485" s="626"/>
    </row>
    <row r="23486" spans="1:6">
      <c r="A23486" t="str">
        <f t="shared" si="366"/>
        <v/>
      </c>
      <c r="E23486" s="626"/>
      <c r="F23486" s="626"/>
    </row>
    <row r="23487" spans="1:6">
      <c r="A23487" t="str">
        <f t="shared" si="366"/>
        <v/>
      </c>
      <c r="E23487" s="626"/>
      <c r="F23487" s="626"/>
    </row>
    <row r="23488" spans="1:6">
      <c r="A23488" t="str">
        <f t="shared" si="366"/>
        <v/>
      </c>
      <c r="E23488" s="626"/>
      <c r="F23488" s="626"/>
    </row>
    <row r="23489" spans="1:6">
      <c r="A23489" t="str">
        <f t="shared" si="366"/>
        <v/>
      </c>
      <c r="E23489" s="626"/>
      <c r="F23489" s="626"/>
    </row>
    <row r="23490" spans="1:6">
      <c r="A23490" t="str">
        <f t="shared" ref="A23490:A23553" si="367">B23490&amp;E23490&amp;J23490</f>
        <v/>
      </c>
      <c r="E23490" s="626"/>
      <c r="F23490" s="626"/>
    </row>
    <row r="23491" spans="1:6">
      <c r="A23491" t="str">
        <f t="shared" si="367"/>
        <v/>
      </c>
      <c r="E23491" s="626"/>
      <c r="F23491" s="626"/>
    </row>
    <row r="23492" spans="1:6">
      <c r="A23492" t="str">
        <f t="shared" si="367"/>
        <v/>
      </c>
      <c r="E23492" s="626"/>
      <c r="F23492" s="626"/>
    </row>
    <row r="23493" spans="1:6">
      <c r="A23493" t="str">
        <f t="shared" si="367"/>
        <v/>
      </c>
      <c r="E23493" s="626"/>
      <c r="F23493" s="626"/>
    </row>
    <row r="23494" spans="1:6">
      <c r="A23494" t="str">
        <f t="shared" si="367"/>
        <v/>
      </c>
      <c r="E23494" s="626"/>
      <c r="F23494" s="626"/>
    </row>
    <row r="23495" spans="1:6">
      <c r="A23495" t="str">
        <f t="shared" si="367"/>
        <v/>
      </c>
      <c r="E23495" s="626"/>
      <c r="F23495" s="626"/>
    </row>
    <row r="23496" spans="1:6">
      <c r="A23496" t="str">
        <f t="shared" si="367"/>
        <v/>
      </c>
      <c r="E23496" s="626"/>
      <c r="F23496" s="626"/>
    </row>
    <row r="23497" spans="1:6">
      <c r="A23497" t="str">
        <f t="shared" si="367"/>
        <v/>
      </c>
      <c r="E23497" s="626"/>
      <c r="F23497" s="626"/>
    </row>
    <row r="23498" spans="1:6">
      <c r="A23498" t="str">
        <f t="shared" si="367"/>
        <v/>
      </c>
      <c r="E23498" s="626"/>
      <c r="F23498" s="626"/>
    </row>
    <row r="23499" spans="1:6">
      <c r="A23499" t="str">
        <f t="shared" si="367"/>
        <v/>
      </c>
      <c r="E23499" s="626"/>
      <c r="F23499" s="626"/>
    </row>
    <row r="23500" spans="1:6">
      <c r="A23500" t="str">
        <f t="shared" si="367"/>
        <v/>
      </c>
      <c r="E23500" s="626"/>
      <c r="F23500" s="626"/>
    </row>
    <row r="23501" spans="1:6">
      <c r="A23501" t="str">
        <f t="shared" si="367"/>
        <v/>
      </c>
      <c r="E23501" s="626"/>
      <c r="F23501" s="626"/>
    </row>
    <row r="23502" spans="1:6">
      <c r="A23502" t="str">
        <f t="shared" si="367"/>
        <v/>
      </c>
      <c r="E23502" s="626"/>
      <c r="F23502" s="626"/>
    </row>
    <row r="23503" spans="1:6">
      <c r="A23503" t="str">
        <f t="shared" si="367"/>
        <v/>
      </c>
      <c r="E23503" s="626"/>
      <c r="F23503" s="626"/>
    </row>
    <row r="23504" spans="1:6">
      <c r="A23504" t="str">
        <f t="shared" si="367"/>
        <v/>
      </c>
      <c r="E23504" s="626"/>
      <c r="F23504" s="626"/>
    </row>
    <row r="23505" spans="1:6">
      <c r="A23505" t="str">
        <f t="shared" si="367"/>
        <v/>
      </c>
      <c r="E23505" s="626"/>
      <c r="F23505" s="626"/>
    </row>
    <row r="23506" spans="1:6">
      <c r="A23506" t="str">
        <f t="shared" si="367"/>
        <v/>
      </c>
      <c r="E23506" s="626"/>
      <c r="F23506" s="626"/>
    </row>
    <row r="23507" spans="1:6">
      <c r="A23507" t="str">
        <f t="shared" si="367"/>
        <v/>
      </c>
      <c r="E23507" s="626"/>
      <c r="F23507" s="626"/>
    </row>
    <row r="23508" spans="1:6">
      <c r="A23508" t="str">
        <f t="shared" si="367"/>
        <v/>
      </c>
      <c r="E23508" s="626"/>
      <c r="F23508" s="626"/>
    </row>
    <row r="23509" spans="1:6">
      <c r="A23509" t="str">
        <f t="shared" si="367"/>
        <v/>
      </c>
      <c r="E23509" s="626"/>
      <c r="F23509" s="626"/>
    </row>
    <row r="23510" spans="1:6">
      <c r="A23510" t="str">
        <f t="shared" si="367"/>
        <v/>
      </c>
      <c r="E23510" s="626"/>
      <c r="F23510" s="626"/>
    </row>
    <row r="23511" spans="1:6">
      <c r="A23511" t="str">
        <f t="shared" si="367"/>
        <v/>
      </c>
      <c r="E23511" s="626"/>
      <c r="F23511" s="626"/>
    </row>
    <row r="23512" spans="1:6">
      <c r="A23512" t="str">
        <f t="shared" si="367"/>
        <v/>
      </c>
      <c r="E23512" s="626"/>
      <c r="F23512" s="626"/>
    </row>
    <row r="23513" spans="1:6">
      <c r="A23513" t="str">
        <f t="shared" si="367"/>
        <v/>
      </c>
      <c r="E23513" s="626"/>
      <c r="F23513" s="626"/>
    </row>
    <row r="23514" spans="1:6">
      <c r="A23514" t="str">
        <f t="shared" si="367"/>
        <v/>
      </c>
      <c r="E23514" s="626"/>
      <c r="F23514" s="626"/>
    </row>
    <row r="23515" spans="1:6">
      <c r="A23515" t="str">
        <f t="shared" si="367"/>
        <v/>
      </c>
      <c r="E23515" s="626"/>
      <c r="F23515" s="626"/>
    </row>
    <row r="23516" spans="1:6">
      <c r="A23516" t="str">
        <f t="shared" si="367"/>
        <v/>
      </c>
      <c r="E23516" s="626"/>
      <c r="F23516" s="626"/>
    </row>
    <row r="23517" spans="1:6">
      <c r="A23517" t="str">
        <f t="shared" si="367"/>
        <v/>
      </c>
      <c r="E23517" s="626"/>
      <c r="F23517" s="626"/>
    </row>
    <row r="23518" spans="1:6">
      <c r="A23518" t="str">
        <f t="shared" si="367"/>
        <v/>
      </c>
      <c r="E23518" s="626"/>
      <c r="F23518" s="626"/>
    </row>
    <row r="23519" spans="1:6">
      <c r="A23519" t="str">
        <f t="shared" si="367"/>
        <v/>
      </c>
      <c r="E23519" s="626"/>
      <c r="F23519" s="626"/>
    </row>
    <row r="23520" spans="1:6">
      <c r="A23520" t="str">
        <f t="shared" si="367"/>
        <v/>
      </c>
      <c r="E23520" s="626"/>
      <c r="F23520" s="626"/>
    </row>
    <row r="23521" spans="1:6">
      <c r="A23521" t="str">
        <f t="shared" si="367"/>
        <v/>
      </c>
      <c r="E23521" s="626"/>
      <c r="F23521" s="626"/>
    </row>
    <row r="23522" spans="1:6">
      <c r="A23522" t="str">
        <f t="shared" si="367"/>
        <v/>
      </c>
      <c r="E23522" s="626"/>
      <c r="F23522" s="626"/>
    </row>
    <row r="23523" spans="1:6">
      <c r="A23523" t="str">
        <f t="shared" si="367"/>
        <v/>
      </c>
      <c r="E23523" s="626"/>
      <c r="F23523" s="626"/>
    </row>
    <row r="23524" spans="1:6">
      <c r="A23524" t="str">
        <f t="shared" si="367"/>
        <v/>
      </c>
      <c r="E23524" s="626"/>
      <c r="F23524" s="626"/>
    </row>
    <row r="23525" spans="1:6">
      <c r="A23525" t="str">
        <f t="shared" si="367"/>
        <v/>
      </c>
      <c r="E23525" s="626"/>
      <c r="F23525" s="626"/>
    </row>
    <row r="23526" spans="1:6">
      <c r="A23526" t="str">
        <f t="shared" si="367"/>
        <v/>
      </c>
      <c r="E23526" s="626"/>
      <c r="F23526" s="626"/>
    </row>
    <row r="23527" spans="1:6">
      <c r="A23527" t="str">
        <f t="shared" si="367"/>
        <v/>
      </c>
      <c r="E23527" s="626"/>
      <c r="F23527" s="626"/>
    </row>
    <row r="23528" spans="1:6">
      <c r="A23528" t="str">
        <f t="shared" si="367"/>
        <v/>
      </c>
      <c r="E23528" s="626"/>
      <c r="F23528" s="626"/>
    </row>
    <row r="23529" spans="1:6">
      <c r="A23529" t="str">
        <f t="shared" si="367"/>
        <v/>
      </c>
      <c r="E23529" s="626"/>
      <c r="F23529" s="626"/>
    </row>
    <row r="23530" spans="1:6">
      <c r="A23530" t="str">
        <f t="shared" si="367"/>
        <v/>
      </c>
      <c r="E23530" s="626"/>
      <c r="F23530" s="626"/>
    </row>
    <row r="23531" spans="1:6">
      <c r="A23531" t="str">
        <f t="shared" si="367"/>
        <v/>
      </c>
      <c r="E23531" s="626"/>
      <c r="F23531" s="626"/>
    </row>
    <row r="23532" spans="1:6">
      <c r="A23532" t="str">
        <f t="shared" si="367"/>
        <v/>
      </c>
      <c r="E23532" s="626"/>
      <c r="F23532" s="626"/>
    </row>
    <row r="23533" spans="1:6">
      <c r="A23533" t="str">
        <f t="shared" si="367"/>
        <v/>
      </c>
      <c r="E23533" s="626"/>
      <c r="F23533" s="626"/>
    </row>
    <row r="23534" spans="1:6">
      <c r="A23534" t="str">
        <f t="shared" si="367"/>
        <v/>
      </c>
      <c r="E23534" s="626"/>
      <c r="F23534" s="626"/>
    </row>
    <row r="23535" spans="1:6">
      <c r="A23535" t="str">
        <f t="shared" si="367"/>
        <v/>
      </c>
      <c r="E23535" s="626"/>
      <c r="F23535" s="626"/>
    </row>
    <row r="23536" spans="1:6">
      <c r="A23536" t="str">
        <f t="shared" si="367"/>
        <v/>
      </c>
      <c r="E23536" s="626"/>
      <c r="F23536" s="626"/>
    </row>
    <row r="23537" spans="1:6">
      <c r="A23537" t="str">
        <f t="shared" si="367"/>
        <v/>
      </c>
      <c r="E23537" s="626"/>
      <c r="F23537" s="626"/>
    </row>
    <row r="23538" spans="1:6">
      <c r="A23538" t="str">
        <f t="shared" si="367"/>
        <v/>
      </c>
      <c r="E23538" s="626"/>
      <c r="F23538" s="626"/>
    </row>
    <row r="23539" spans="1:6">
      <c r="A23539" t="str">
        <f t="shared" si="367"/>
        <v/>
      </c>
      <c r="E23539" s="626"/>
      <c r="F23539" s="626"/>
    </row>
    <row r="23540" spans="1:6">
      <c r="A23540" t="str">
        <f t="shared" si="367"/>
        <v/>
      </c>
      <c r="E23540" s="626"/>
      <c r="F23540" s="626"/>
    </row>
    <row r="23541" spans="1:6">
      <c r="A23541" t="str">
        <f t="shared" si="367"/>
        <v/>
      </c>
      <c r="E23541" s="626"/>
      <c r="F23541" s="626"/>
    </row>
    <row r="23542" spans="1:6">
      <c r="A23542" t="str">
        <f t="shared" si="367"/>
        <v/>
      </c>
      <c r="E23542" s="626"/>
      <c r="F23542" s="626"/>
    </row>
    <row r="23543" spans="1:6">
      <c r="A23543" t="str">
        <f t="shared" si="367"/>
        <v/>
      </c>
      <c r="E23543" s="626"/>
      <c r="F23543" s="626"/>
    </row>
    <row r="23544" spans="1:6">
      <c r="A23544" t="str">
        <f t="shared" si="367"/>
        <v/>
      </c>
      <c r="E23544" s="626"/>
      <c r="F23544" s="626"/>
    </row>
    <row r="23545" spans="1:6">
      <c r="A23545" t="str">
        <f t="shared" si="367"/>
        <v/>
      </c>
      <c r="E23545" s="626"/>
      <c r="F23545" s="626"/>
    </row>
    <row r="23546" spans="1:6">
      <c r="A23546" t="str">
        <f t="shared" si="367"/>
        <v/>
      </c>
      <c r="E23546" s="626"/>
      <c r="F23546" s="626"/>
    </row>
    <row r="23547" spans="1:6">
      <c r="A23547" t="str">
        <f t="shared" si="367"/>
        <v/>
      </c>
      <c r="E23547" s="626"/>
      <c r="F23547" s="626"/>
    </row>
    <row r="23548" spans="1:6">
      <c r="A23548" t="str">
        <f t="shared" si="367"/>
        <v/>
      </c>
      <c r="E23548" s="626"/>
      <c r="F23548" s="626"/>
    </row>
    <row r="23549" spans="1:6">
      <c r="A23549" t="str">
        <f t="shared" si="367"/>
        <v/>
      </c>
      <c r="E23549" s="626"/>
      <c r="F23549" s="626"/>
    </row>
    <row r="23550" spans="1:6">
      <c r="A23550" t="str">
        <f t="shared" si="367"/>
        <v/>
      </c>
      <c r="E23550" s="626"/>
      <c r="F23550" s="626"/>
    </row>
    <row r="23551" spans="1:6">
      <c r="A23551" t="str">
        <f t="shared" si="367"/>
        <v/>
      </c>
      <c r="E23551" s="626"/>
      <c r="F23551" s="626"/>
    </row>
    <row r="23552" spans="1:6">
      <c r="A23552" t="str">
        <f t="shared" si="367"/>
        <v/>
      </c>
      <c r="E23552" s="626"/>
      <c r="F23552" s="626"/>
    </row>
    <row r="23553" spans="1:6">
      <c r="A23553" t="str">
        <f t="shared" si="367"/>
        <v/>
      </c>
      <c r="E23553" s="626"/>
      <c r="F23553" s="626"/>
    </row>
    <row r="23554" spans="1:6">
      <c r="A23554" t="str">
        <f t="shared" ref="A23554:A23571" si="368">B23554&amp;E23554&amp;J23554</f>
        <v/>
      </c>
      <c r="E23554" s="626"/>
      <c r="F23554" s="626"/>
    </row>
    <row r="23555" spans="1:6">
      <c r="A23555" t="str">
        <f t="shared" si="368"/>
        <v/>
      </c>
      <c r="E23555" s="626"/>
      <c r="F23555" s="626"/>
    </row>
    <row r="23556" spans="1:6">
      <c r="A23556" t="str">
        <f t="shared" si="368"/>
        <v/>
      </c>
      <c r="E23556" s="626"/>
      <c r="F23556" s="626"/>
    </row>
    <row r="23557" spans="1:6">
      <c r="A23557" t="str">
        <f t="shared" si="368"/>
        <v/>
      </c>
      <c r="E23557" s="626"/>
      <c r="F23557" s="626"/>
    </row>
    <row r="23558" spans="1:6">
      <c r="A23558" t="str">
        <f t="shared" si="368"/>
        <v/>
      </c>
      <c r="E23558" s="626"/>
      <c r="F23558" s="626"/>
    </row>
    <row r="23559" spans="1:6">
      <c r="A23559" t="str">
        <f t="shared" si="368"/>
        <v/>
      </c>
      <c r="E23559" s="626"/>
      <c r="F23559" s="626"/>
    </row>
    <row r="23560" spans="1:6">
      <c r="A23560" t="str">
        <f t="shared" si="368"/>
        <v/>
      </c>
      <c r="E23560" s="626"/>
      <c r="F23560" s="626"/>
    </row>
    <row r="23561" spans="1:6">
      <c r="A23561" t="str">
        <f t="shared" si="368"/>
        <v/>
      </c>
      <c r="E23561" s="626"/>
      <c r="F23561" s="626"/>
    </row>
    <row r="23562" spans="1:6">
      <c r="A23562" t="str">
        <f t="shared" si="368"/>
        <v/>
      </c>
      <c r="E23562" s="626"/>
      <c r="F23562" s="626"/>
    </row>
    <row r="23563" spans="1:6">
      <c r="A23563" t="str">
        <f t="shared" si="368"/>
        <v/>
      </c>
      <c r="E23563" s="626"/>
      <c r="F23563" s="626"/>
    </row>
    <row r="23564" spans="1:6">
      <c r="A23564" t="str">
        <f t="shared" si="368"/>
        <v/>
      </c>
      <c r="E23564" s="626"/>
      <c r="F23564" s="626"/>
    </row>
    <row r="23565" spans="1:6">
      <c r="A23565" t="str">
        <f t="shared" si="368"/>
        <v/>
      </c>
      <c r="E23565" s="626"/>
      <c r="F23565" s="626"/>
    </row>
    <row r="23566" spans="1:6">
      <c r="A23566" t="str">
        <f t="shared" si="368"/>
        <v/>
      </c>
      <c r="E23566" s="626"/>
      <c r="F23566" s="626"/>
    </row>
    <row r="23567" spans="1:6">
      <c r="A23567" t="str">
        <f t="shared" si="368"/>
        <v/>
      </c>
      <c r="E23567" s="626"/>
      <c r="F23567" s="626"/>
    </row>
    <row r="23568" spans="1:6">
      <c r="A23568" t="str">
        <f t="shared" si="368"/>
        <v/>
      </c>
      <c r="E23568" s="626"/>
      <c r="F23568" s="626"/>
    </row>
    <row r="23569" spans="1:6">
      <c r="A23569" t="str">
        <f t="shared" si="368"/>
        <v/>
      </c>
      <c r="E23569" s="626"/>
      <c r="F23569" s="626"/>
    </row>
    <row r="23570" spans="1:6">
      <c r="A23570" t="str">
        <f t="shared" si="368"/>
        <v/>
      </c>
      <c r="E23570" s="626"/>
      <c r="F23570" s="626"/>
    </row>
    <row r="23571" spans="1:6">
      <c r="A23571" t="str">
        <f t="shared" si="368"/>
        <v/>
      </c>
      <c r="E23571" s="626"/>
      <c r="F23571" s="626"/>
    </row>
  </sheetData>
  <autoFilter ref="A1:AB23571" xr:uid="{00000000-0009-0000-0000-000008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1"/>
  <dimension ref="A1:C476"/>
  <sheetViews>
    <sheetView workbookViewId="0">
      <selection activeCell="G17" sqref="G17"/>
    </sheetView>
  </sheetViews>
  <sheetFormatPr defaultRowHeight="15"/>
  <cols>
    <col min="1" max="1" width="46.8125" bestFit="1" customWidth="1"/>
    <col min="2" max="2" width="6.9921875" bestFit="1" customWidth="1"/>
  </cols>
  <sheetData>
    <row r="1" spans="1:3">
      <c r="A1" s="105" t="s">
        <v>862</v>
      </c>
      <c r="B1" s="4"/>
    </row>
    <row r="2" spans="1:3">
      <c r="A2" s="106" t="s">
        <v>345</v>
      </c>
      <c r="B2" s="107">
        <v>201000</v>
      </c>
      <c r="C2" s="92"/>
    </row>
    <row r="3" spans="1:3">
      <c r="A3" s="106" t="s">
        <v>346</v>
      </c>
      <c r="B3" s="107">
        <v>201005</v>
      </c>
      <c r="C3" s="92"/>
    </row>
    <row r="4" spans="1:3">
      <c r="A4" s="106" t="s">
        <v>347</v>
      </c>
      <c r="B4" s="107">
        <v>201010</v>
      </c>
      <c r="C4" s="92"/>
    </row>
    <row r="5" spans="1:3">
      <c r="A5" s="106" t="s">
        <v>348</v>
      </c>
      <c r="B5" s="107">
        <v>201015</v>
      </c>
      <c r="C5" s="92"/>
    </row>
    <row r="6" spans="1:3">
      <c r="A6" s="106" t="s">
        <v>349</v>
      </c>
      <c r="B6" s="107">
        <v>201020</v>
      </c>
      <c r="C6" s="92"/>
    </row>
    <row r="7" spans="1:3">
      <c r="A7" s="106" t="s">
        <v>728</v>
      </c>
      <c r="B7" s="107">
        <v>201025</v>
      </c>
      <c r="C7" s="92"/>
    </row>
    <row r="8" spans="1:3">
      <c r="A8" s="106" t="s">
        <v>350</v>
      </c>
      <c r="B8" s="107">
        <v>201030</v>
      </c>
      <c r="C8" s="92"/>
    </row>
    <row r="9" spans="1:3">
      <c r="A9" s="106" t="s">
        <v>351</v>
      </c>
      <c r="B9" s="107">
        <v>201035</v>
      </c>
      <c r="C9" s="92"/>
    </row>
    <row r="10" spans="1:3">
      <c r="A10" s="106" t="s">
        <v>352</v>
      </c>
      <c r="B10" s="107">
        <v>201040</v>
      </c>
      <c r="C10" s="92"/>
    </row>
    <row r="11" spans="1:3">
      <c r="A11" s="106" t="s">
        <v>353</v>
      </c>
      <c r="B11" s="107">
        <v>201045</v>
      </c>
      <c r="C11" s="92"/>
    </row>
    <row r="12" spans="1:3">
      <c r="A12" s="106" t="s">
        <v>354</v>
      </c>
      <c r="B12" s="107">
        <v>201050</v>
      </c>
      <c r="C12" s="92"/>
    </row>
    <row r="13" spans="1:3">
      <c r="A13" s="106" t="s">
        <v>729</v>
      </c>
      <c r="B13" s="107">
        <v>1</v>
      </c>
      <c r="C13" s="92"/>
    </row>
    <row r="14" spans="1:3">
      <c r="A14" s="106" t="s">
        <v>356</v>
      </c>
      <c r="B14" s="107">
        <v>2</v>
      </c>
      <c r="C14" s="92"/>
    </row>
    <row r="15" spans="1:3">
      <c r="A15" s="106" t="s">
        <v>0</v>
      </c>
      <c r="B15" s="107">
        <v>3</v>
      </c>
      <c r="C15" s="92"/>
    </row>
    <row r="16" spans="1:3">
      <c r="A16" s="106" t="s">
        <v>730</v>
      </c>
      <c r="B16" s="107">
        <v>4</v>
      </c>
      <c r="C16" s="92"/>
    </row>
    <row r="17" spans="1:3">
      <c r="A17" s="106" t="s">
        <v>358</v>
      </c>
      <c r="B17" s="107">
        <v>5</v>
      </c>
      <c r="C17" s="92"/>
    </row>
    <row r="18" spans="1:3">
      <c r="A18" s="106" t="s">
        <v>359</v>
      </c>
      <c r="B18" s="107">
        <v>6</v>
      </c>
      <c r="C18" s="92"/>
    </row>
    <row r="19" spans="1:3">
      <c r="A19" s="106" t="s">
        <v>360</v>
      </c>
      <c r="B19" s="107">
        <v>7</v>
      </c>
      <c r="C19" s="92"/>
    </row>
    <row r="20" spans="1:3">
      <c r="A20" s="4"/>
      <c r="B20" s="4"/>
    </row>
    <row r="21" spans="1:3">
      <c r="A21" s="108" t="s">
        <v>863</v>
      </c>
      <c r="B21" s="4"/>
    </row>
    <row r="22" spans="1:3">
      <c r="A22" s="106" t="s">
        <v>361</v>
      </c>
      <c r="B22" s="107">
        <v>201055</v>
      </c>
      <c r="C22" s="92"/>
    </row>
    <row r="23" spans="1:3">
      <c r="A23" s="106" t="s">
        <v>362</v>
      </c>
      <c r="B23" s="107">
        <v>201060</v>
      </c>
      <c r="C23" s="92"/>
    </row>
    <row r="24" spans="1:3">
      <c r="A24" s="106" t="s">
        <v>363</v>
      </c>
      <c r="B24" s="107">
        <v>201065</v>
      </c>
      <c r="C24" s="92"/>
    </row>
    <row r="25" spans="1:3">
      <c r="A25" s="106" t="s">
        <v>364</v>
      </c>
      <c r="B25" s="107">
        <v>201070</v>
      </c>
      <c r="C25" s="92"/>
    </row>
    <row r="26" spans="1:3">
      <c r="A26" s="106" t="s">
        <v>365</v>
      </c>
      <c r="B26" s="107">
        <v>201075</v>
      </c>
      <c r="C26" s="92"/>
    </row>
    <row r="27" spans="1:3">
      <c r="A27" s="106" t="s">
        <v>731</v>
      </c>
      <c r="B27" s="107">
        <v>201080</v>
      </c>
      <c r="C27" s="92"/>
    </row>
    <row r="28" spans="1:3">
      <c r="A28" s="106" t="s">
        <v>366</v>
      </c>
      <c r="B28" s="107">
        <v>201085</v>
      </c>
      <c r="C28" s="92"/>
    </row>
    <row r="29" spans="1:3">
      <c r="A29" s="106" t="s">
        <v>367</v>
      </c>
      <c r="B29" s="107">
        <v>201090</v>
      </c>
      <c r="C29" s="92"/>
    </row>
    <row r="30" spans="1:3">
      <c r="A30" s="106" t="s">
        <v>368</v>
      </c>
      <c r="B30" s="107">
        <v>201095</v>
      </c>
      <c r="C30" s="92"/>
    </row>
    <row r="31" spans="1:3">
      <c r="A31" s="106" t="s">
        <v>369</v>
      </c>
      <c r="B31" s="107">
        <v>201100</v>
      </c>
      <c r="C31" s="92"/>
    </row>
    <row r="32" spans="1:3">
      <c r="A32" s="106" t="s">
        <v>370</v>
      </c>
      <c r="B32" s="107">
        <v>201105</v>
      </c>
      <c r="C32" s="92"/>
    </row>
    <row r="33" spans="1:3">
      <c r="A33" s="106" t="s">
        <v>371</v>
      </c>
      <c r="B33" s="107">
        <v>201110</v>
      </c>
      <c r="C33" s="92"/>
    </row>
    <row r="34" spans="1:3">
      <c r="A34" s="106" t="s">
        <v>372</v>
      </c>
      <c r="B34" s="107">
        <v>201115</v>
      </c>
      <c r="C34" s="92"/>
    </row>
    <row r="35" spans="1:3">
      <c r="A35" s="106" t="s">
        <v>373</v>
      </c>
      <c r="B35" s="107">
        <v>201120</v>
      </c>
      <c r="C35" s="92"/>
    </row>
    <row r="36" spans="1:3">
      <c r="A36" s="106" t="s">
        <v>374</v>
      </c>
      <c r="B36" s="107">
        <v>201125</v>
      </c>
      <c r="C36" s="92"/>
    </row>
    <row r="37" spans="1:3">
      <c r="A37" s="106" t="s">
        <v>375</v>
      </c>
      <c r="B37" s="107">
        <v>201130</v>
      </c>
      <c r="C37" s="92"/>
    </row>
    <row r="38" spans="1:3">
      <c r="A38" s="106" t="s">
        <v>376</v>
      </c>
      <c r="B38" s="107">
        <v>201135</v>
      </c>
      <c r="C38" s="92"/>
    </row>
    <row r="39" spans="1:3">
      <c r="A39" s="106" t="s">
        <v>377</v>
      </c>
      <c r="B39" s="107">
        <v>201140</v>
      </c>
      <c r="C39" s="92"/>
    </row>
    <row r="40" spans="1:3">
      <c r="A40" s="106" t="s">
        <v>378</v>
      </c>
      <c r="B40" s="107">
        <v>201145</v>
      </c>
      <c r="C40" s="92"/>
    </row>
    <row r="41" spans="1:3">
      <c r="A41" s="106" t="s">
        <v>379</v>
      </c>
      <c r="B41" s="107">
        <v>201150</v>
      </c>
      <c r="C41" s="92"/>
    </row>
    <row r="42" spans="1:3">
      <c r="A42" s="106" t="s">
        <v>380</v>
      </c>
      <c r="B42" s="107">
        <v>201155</v>
      </c>
      <c r="C42" s="92"/>
    </row>
    <row r="43" spans="1:3">
      <c r="A43" s="106" t="s">
        <v>381</v>
      </c>
      <c r="B43" s="107">
        <v>201160</v>
      </c>
      <c r="C43" s="92"/>
    </row>
    <row r="44" spans="1:3">
      <c r="A44" s="106" t="s">
        <v>382</v>
      </c>
      <c r="B44" s="107">
        <v>201165</v>
      </c>
      <c r="C44" s="92"/>
    </row>
    <row r="45" spans="1:3">
      <c r="A45" s="106" t="s">
        <v>383</v>
      </c>
      <c r="B45" s="107">
        <v>201170</v>
      </c>
      <c r="C45" s="92"/>
    </row>
    <row r="46" spans="1:3">
      <c r="A46" s="106" t="s">
        <v>384</v>
      </c>
      <c r="B46" s="107">
        <v>201175</v>
      </c>
      <c r="C46" s="92"/>
    </row>
    <row r="47" spans="1:3">
      <c r="A47" s="106" t="s">
        <v>385</v>
      </c>
      <c r="B47" s="107">
        <v>201180</v>
      </c>
      <c r="C47" s="92"/>
    </row>
    <row r="48" spans="1:3">
      <c r="A48" s="106" t="s">
        <v>386</v>
      </c>
      <c r="B48" s="107">
        <v>201185</v>
      </c>
      <c r="C48" s="92"/>
    </row>
    <row r="49" spans="1:3">
      <c r="A49" s="106" t="s">
        <v>387</v>
      </c>
      <c r="B49" s="107">
        <v>201190</v>
      </c>
      <c r="C49" s="92"/>
    </row>
    <row r="50" spans="1:3">
      <c r="A50" s="106" t="s">
        <v>388</v>
      </c>
      <c r="B50" s="107">
        <v>201195</v>
      </c>
      <c r="C50" s="92"/>
    </row>
    <row r="51" spans="1:3">
      <c r="A51" s="106" t="s">
        <v>389</v>
      </c>
      <c r="B51" s="107">
        <v>201200</v>
      </c>
      <c r="C51" s="92"/>
    </row>
    <row r="52" spans="1:3">
      <c r="A52" s="106" t="s">
        <v>390</v>
      </c>
      <c r="B52" s="107">
        <v>201205</v>
      </c>
      <c r="C52" s="92"/>
    </row>
    <row r="53" spans="1:3">
      <c r="A53" s="106" t="s">
        <v>393</v>
      </c>
      <c r="B53" s="107">
        <v>201210</v>
      </c>
      <c r="C53" s="92"/>
    </row>
    <row r="54" spans="1:3">
      <c r="A54" s="106" t="s">
        <v>391</v>
      </c>
      <c r="B54" s="107">
        <v>201215</v>
      </c>
      <c r="C54" s="92"/>
    </row>
    <row r="55" spans="1:3">
      <c r="A55" s="106" t="s">
        <v>392</v>
      </c>
      <c r="B55" s="107">
        <v>201220</v>
      </c>
      <c r="C55" s="92"/>
    </row>
    <row r="56" spans="1:3">
      <c r="A56" s="106" t="s">
        <v>394</v>
      </c>
      <c r="B56" s="107">
        <v>9</v>
      </c>
      <c r="C56" s="92"/>
    </row>
    <row r="57" spans="1:3">
      <c r="A57" s="106" t="s">
        <v>732</v>
      </c>
      <c r="B57" s="107">
        <v>10</v>
      </c>
      <c r="C57" s="92"/>
    </row>
    <row r="58" spans="1:3">
      <c r="A58" s="106" t="s">
        <v>733</v>
      </c>
      <c r="B58" s="107">
        <v>11</v>
      </c>
      <c r="C58" s="92"/>
    </row>
    <row r="59" spans="1:3">
      <c r="A59" s="106" t="s">
        <v>356</v>
      </c>
      <c r="B59" s="107">
        <v>12</v>
      </c>
      <c r="C59" s="92"/>
    </row>
    <row r="60" spans="1:3">
      <c r="A60" s="106" t="s">
        <v>0</v>
      </c>
      <c r="B60" s="107">
        <v>13</v>
      </c>
      <c r="C60" s="92"/>
    </row>
    <row r="61" spans="1:3">
      <c r="A61" s="106" t="s">
        <v>734</v>
      </c>
      <c r="B61" s="107">
        <v>14</v>
      </c>
      <c r="C61" s="92"/>
    </row>
    <row r="62" spans="1:3">
      <c r="A62" s="106" t="s">
        <v>735</v>
      </c>
      <c r="B62" s="107">
        <v>15</v>
      </c>
      <c r="C62" s="92"/>
    </row>
    <row r="63" spans="1:3">
      <c r="A63" s="106" t="s">
        <v>358</v>
      </c>
      <c r="B63" s="107">
        <v>16</v>
      </c>
      <c r="C63" s="92"/>
    </row>
    <row r="64" spans="1:3">
      <c r="A64" s="106" t="s">
        <v>359</v>
      </c>
      <c r="B64" s="107">
        <v>17</v>
      </c>
      <c r="C64" s="92"/>
    </row>
    <row r="65" spans="1:3">
      <c r="A65" s="106" t="s">
        <v>360</v>
      </c>
      <c r="B65" s="107">
        <v>18</v>
      </c>
      <c r="C65" s="92"/>
    </row>
    <row r="66" spans="1:3">
      <c r="A66" s="4"/>
      <c r="B66" s="4"/>
    </row>
    <row r="67" spans="1:3">
      <c r="A67" s="108" t="s">
        <v>864</v>
      </c>
      <c r="B67" s="4"/>
    </row>
    <row r="68" spans="1:3">
      <c r="A68" s="106" t="s">
        <v>395</v>
      </c>
      <c r="B68" s="107">
        <v>204000</v>
      </c>
    </row>
    <row r="69" spans="1:3">
      <c r="A69" s="106" t="s">
        <v>396</v>
      </c>
      <c r="B69" s="107">
        <v>204005</v>
      </c>
    </row>
    <row r="70" spans="1:3">
      <c r="A70" s="106" t="s">
        <v>397</v>
      </c>
      <c r="B70" s="107">
        <v>204010</v>
      </c>
    </row>
    <row r="71" spans="1:3">
      <c r="A71" s="106" t="s">
        <v>398</v>
      </c>
      <c r="B71" s="107">
        <v>204015</v>
      </c>
    </row>
    <row r="72" spans="1:3">
      <c r="A72" s="106" t="s">
        <v>399</v>
      </c>
      <c r="B72" s="107">
        <v>204020</v>
      </c>
    </row>
    <row r="73" spans="1:3">
      <c r="A73" s="106" t="s">
        <v>400</v>
      </c>
      <c r="B73" s="107">
        <v>204025</v>
      </c>
    </row>
    <row r="74" spans="1:3">
      <c r="A74" s="106" t="s">
        <v>401</v>
      </c>
      <c r="B74" s="107">
        <v>204030</v>
      </c>
    </row>
    <row r="75" spans="1:3">
      <c r="A75" s="106" t="s">
        <v>402</v>
      </c>
      <c r="B75" s="107">
        <v>204035</v>
      </c>
    </row>
    <row r="76" spans="1:3">
      <c r="A76" s="106" t="s">
        <v>403</v>
      </c>
      <c r="B76" s="107">
        <v>204040</v>
      </c>
    </row>
    <row r="77" spans="1:3">
      <c r="A77" s="106" t="s">
        <v>404</v>
      </c>
      <c r="B77" s="107">
        <v>204045</v>
      </c>
    </row>
    <row r="78" spans="1:3">
      <c r="A78" s="106" t="s">
        <v>405</v>
      </c>
      <c r="B78" s="107">
        <v>204050</v>
      </c>
    </row>
    <row r="79" spans="1:3">
      <c r="A79" s="106" t="s">
        <v>406</v>
      </c>
      <c r="B79" s="107">
        <v>204055</v>
      </c>
    </row>
    <row r="80" spans="1:3">
      <c r="A80" s="106" t="s">
        <v>407</v>
      </c>
      <c r="B80" s="107">
        <v>204060</v>
      </c>
    </row>
    <row r="81" spans="1:2">
      <c r="A81" s="106" t="s">
        <v>408</v>
      </c>
      <c r="B81" s="107">
        <v>204065</v>
      </c>
    </row>
    <row r="82" spans="1:2">
      <c r="A82" s="106" t="s">
        <v>409</v>
      </c>
      <c r="B82" s="107">
        <v>204070</v>
      </c>
    </row>
    <row r="83" spans="1:2">
      <c r="A83" s="106" t="s">
        <v>410</v>
      </c>
      <c r="B83" s="107">
        <v>204075</v>
      </c>
    </row>
    <row r="84" spans="1:2">
      <c r="A84" s="106" t="s">
        <v>390</v>
      </c>
      <c r="B84" s="107">
        <v>204080</v>
      </c>
    </row>
    <row r="85" spans="1:2">
      <c r="A85" s="106" t="s">
        <v>411</v>
      </c>
      <c r="B85" s="107">
        <v>204085</v>
      </c>
    </row>
    <row r="86" spans="1:2">
      <c r="A86" s="106" t="s">
        <v>412</v>
      </c>
      <c r="B86" s="107">
        <v>204090</v>
      </c>
    </row>
    <row r="87" spans="1:2">
      <c r="A87" s="106" t="s">
        <v>736</v>
      </c>
      <c r="B87" s="107">
        <v>204095</v>
      </c>
    </row>
    <row r="88" spans="1:2">
      <c r="A88" s="106" t="s">
        <v>546</v>
      </c>
      <c r="B88" s="107">
        <v>204100</v>
      </c>
    </row>
    <row r="89" spans="1:2">
      <c r="A89" s="106" t="s">
        <v>737</v>
      </c>
      <c r="B89" s="107">
        <v>204105</v>
      </c>
    </row>
    <row r="90" spans="1:2">
      <c r="A90" s="106" t="s">
        <v>355</v>
      </c>
      <c r="B90" s="107">
        <v>20</v>
      </c>
    </row>
    <row r="91" spans="1:2">
      <c r="A91" s="106" t="s">
        <v>356</v>
      </c>
      <c r="B91" s="107">
        <v>21</v>
      </c>
    </row>
    <row r="92" spans="1:2">
      <c r="A92" s="106" t="s">
        <v>0</v>
      </c>
      <c r="B92" s="107">
        <v>22</v>
      </c>
    </row>
    <row r="93" spans="1:2">
      <c r="A93" s="106" t="s">
        <v>357</v>
      </c>
      <c r="B93" s="107">
        <v>23</v>
      </c>
    </row>
    <row r="94" spans="1:2">
      <c r="A94" s="106" t="s">
        <v>359</v>
      </c>
      <c r="B94" s="107">
        <v>24</v>
      </c>
    </row>
    <row r="95" spans="1:2">
      <c r="A95" s="106" t="s">
        <v>360</v>
      </c>
      <c r="B95" s="107">
        <v>25</v>
      </c>
    </row>
    <row r="96" spans="1:2">
      <c r="A96" s="4"/>
      <c r="B96" s="4"/>
    </row>
    <row r="97" spans="1:2">
      <c r="A97" s="108" t="s">
        <v>865</v>
      </c>
      <c r="B97" s="4"/>
    </row>
    <row r="98" spans="1:2">
      <c r="A98" s="106" t="s">
        <v>372</v>
      </c>
      <c r="B98" s="107">
        <v>207000</v>
      </c>
    </row>
    <row r="99" spans="1:2">
      <c r="A99" s="106" t="s">
        <v>413</v>
      </c>
      <c r="B99" s="107">
        <v>207005</v>
      </c>
    </row>
    <row r="100" spans="1:2">
      <c r="A100" s="106" t="s">
        <v>414</v>
      </c>
      <c r="B100" s="107">
        <v>207010</v>
      </c>
    </row>
    <row r="101" spans="1:2">
      <c r="A101" s="106" t="s">
        <v>415</v>
      </c>
      <c r="B101" s="107">
        <v>207015</v>
      </c>
    </row>
    <row r="102" spans="1:2">
      <c r="A102" s="106" t="s">
        <v>416</v>
      </c>
      <c r="B102" s="107">
        <v>207020</v>
      </c>
    </row>
    <row r="103" spans="1:2">
      <c r="A103" s="106" t="s">
        <v>417</v>
      </c>
      <c r="B103" s="107">
        <v>207025</v>
      </c>
    </row>
    <row r="104" spans="1:2">
      <c r="A104" s="106" t="s">
        <v>418</v>
      </c>
      <c r="B104" s="107">
        <v>207030</v>
      </c>
    </row>
    <row r="105" spans="1:2">
      <c r="A105" s="106" t="s">
        <v>419</v>
      </c>
      <c r="B105" s="107">
        <v>207035</v>
      </c>
    </row>
    <row r="106" spans="1:2">
      <c r="A106" s="106" t="s">
        <v>420</v>
      </c>
      <c r="B106" s="107">
        <v>207040</v>
      </c>
    </row>
    <row r="107" spans="1:2">
      <c r="A107" s="106" t="s">
        <v>421</v>
      </c>
      <c r="B107" s="107">
        <v>207045</v>
      </c>
    </row>
    <row r="108" spans="1:2">
      <c r="A108" s="106" t="s">
        <v>422</v>
      </c>
      <c r="B108" s="107">
        <v>207050</v>
      </c>
    </row>
    <row r="109" spans="1:2">
      <c r="A109" s="106" t="s">
        <v>423</v>
      </c>
      <c r="B109" s="107">
        <v>207055</v>
      </c>
    </row>
    <row r="110" spans="1:2">
      <c r="A110" s="106" t="s">
        <v>424</v>
      </c>
      <c r="B110" s="107">
        <v>207060</v>
      </c>
    </row>
    <row r="111" spans="1:2">
      <c r="A111" s="106" t="s">
        <v>425</v>
      </c>
      <c r="B111" s="107">
        <v>207065</v>
      </c>
    </row>
    <row r="112" spans="1:2">
      <c r="A112" s="106" t="s">
        <v>426</v>
      </c>
      <c r="B112" s="107">
        <v>207070</v>
      </c>
    </row>
    <row r="113" spans="1:2">
      <c r="A113" s="106" t="s">
        <v>427</v>
      </c>
      <c r="B113" s="107">
        <v>207075</v>
      </c>
    </row>
    <row r="114" spans="1:2">
      <c r="A114" s="106" t="s">
        <v>428</v>
      </c>
      <c r="B114" s="107">
        <v>207080</v>
      </c>
    </row>
    <row r="115" spans="1:2">
      <c r="A115" s="106" t="s">
        <v>429</v>
      </c>
      <c r="B115" s="107">
        <v>207085</v>
      </c>
    </row>
    <row r="116" spans="1:2">
      <c r="A116" s="106" t="s">
        <v>430</v>
      </c>
      <c r="B116" s="107">
        <v>207090</v>
      </c>
    </row>
    <row r="117" spans="1:2">
      <c r="A117" s="106" t="s">
        <v>431</v>
      </c>
      <c r="B117" s="107">
        <v>207095</v>
      </c>
    </row>
    <row r="118" spans="1:2">
      <c r="A118" s="106" t="s">
        <v>432</v>
      </c>
      <c r="B118" s="107">
        <v>207100</v>
      </c>
    </row>
    <row r="119" spans="1:2">
      <c r="A119" s="106" t="s">
        <v>433</v>
      </c>
      <c r="B119" s="107">
        <v>207105</v>
      </c>
    </row>
    <row r="120" spans="1:2">
      <c r="A120" s="106" t="s">
        <v>410</v>
      </c>
      <c r="B120" s="107">
        <v>207110</v>
      </c>
    </row>
    <row r="121" spans="1:2">
      <c r="A121" s="106" t="s">
        <v>739</v>
      </c>
      <c r="B121" s="107">
        <v>207115</v>
      </c>
    </row>
    <row r="122" spans="1:2">
      <c r="A122" s="106" t="s">
        <v>434</v>
      </c>
      <c r="B122" s="107">
        <v>207120</v>
      </c>
    </row>
    <row r="123" spans="1:2">
      <c r="A123" s="106" t="s">
        <v>435</v>
      </c>
      <c r="B123" s="107">
        <v>207125</v>
      </c>
    </row>
    <row r="124" spans="1:2">
      <c r="A124" s="106" t="s">
        <v>436</v>
      </c>
      <c r="B124" s="107">
        <v>207130</v>
      </c>
    </row>
    <row r="125" spans="1:2">
      <c r="A125" s="106" t="s">
        <v>740</v>
      </c>
      <c r="B125" s="107">
        <v>26</v>
      </c>
    </row>
    <row r="126" spans="1:2">
      <c r="A126" s="106" t="s">
        <v>356</v>
      </c>
      <c r="B126" s="107">
        <v>27</v>
      </c>
    </row>
    <row r="127" spans="1:2">
      <c r="A127" s="106" t="s">
        <v>0</v>
      </c>
      <c r="B127" s="107">
        <v>28</v>
      </c>
    </row>
    <row r="128" spans="1:2">
      <c r="A128" s="106" t="s">
        <v>357</v>
      </c>
      <c r="B128" s="107">
        <v>29</v>
      </c>
    </row>
    <row r="129" spans="1:2">
      <c r="A129" s="106" t="s">
        <v>359</v>
      </c>
      <c r="B129" s="107">
        <v>30</v>
      </c>
    </row>
    <row r="130" spans="1:2">
      <c r="A130" s="106" t="s">
        <v>360</v>
      </c>
      <c r="B130" s="107">
        <v>31</v>
      </c>
    </row>
    <row r="131" spans="1:2">
      <c r="A131" s="4"/>
      <c r="B131" s="4"/>
    </row>
    <row r="132" spans="1:2">
      <c r="A132" s="108" t="s">
        <v>866</v>
      </c>
      <c r="B132" s="4"/>
    </row>
    <row r="133" spans="1:2">
      <c r="A133" s="106" t="s">
        <v>741</v>
      </c>
      <c r="B133" s="107">
        <v>213000</v>
      </c>
    </row>
    <row r="134" spans="1:2">
      <c r="A134" s="106" t="s">
        <v>742</v>
      </c>
      <c r="B134" s="107">
        <v>213005</v>
      </c>
    </row>
    <row r="135" spans="1:2">
      <c r="A135" s="106" t="s">
        <v>743</v>
      </c>
      <c r="B135" s="107">
        <v>213010</v>
      </c>
    </row>
    <row r="136" spans="1:2">
      <c r="A136" s="106" t="s">
        <v>744</v>
      </c>
      <c r="B136" s="107">
        <v>213015</v>
      </c>
    </row>
    <row r="137" spans="1:2">
      <c r="A137" s="106" t="s">
        <v>745</v>
      </c>
      <c r="B137" s="107">
        <v>213020</v>
      </c>
    </row>
    <row r="138" spans="1:2">
      <c r="A138" s="106" t="s">
        <v>746</v>
      </c>
      <c r="B138" s="107">
        <v>213025</v>
      </c>
    </row>
    <row r="139" spans="1:2">
      <c r="A139" s="106" t="s">
        <v>747</v>
      </c>
      <c r="B139" s="107">
        <v>213030</v>
      </c>
    </row>
    <row r="140" spans="1:2">
      <c r="A140" s="106" t="s">
        <v>748</v>
      </c>
      <c r="B140" s="107">
        <v>213035</v>
      </c>
    </row>
    <row r="141" spans="1:2">
      <c r="A141" s="106" t="s">
        <v>749</v>
      </c>
      <c r="B141" s="107">
        <v>213040</v>
      </c>
    </row>
    <row r="142" spans="1:2">
      <c r="A142" s="106" t="s">
        <v>750</v>
      </c>
      <c r="B142" s="107">
        <v>213045</v>
      </c>
    </row>
    <row r="143" spans="1:2">
      <c r="A143" s="106" t="s">
        <v>751</v>
      </c>
      <c r="B143" s="107">
        <v>213050</v>
      </c>
    </row>
    <row r="144" spans="1:2">
      <c r="A144" s="106" t="s">
        <v>752</v>
      </c>
      <c r="B144" s="107">
        <v>213055</v>
      </c>
    </row>
    <row r="145" spans="1:2">
      <c r="A145" s="106" t="s">
        <v>753</v>
      </c>
      <c r="B145" s="107">
        <v>213060</v>
      </c>
    </row>
    <row r="146" spans="1:2">
      <c r="A146" s="106" t="s">
        <v>754</v>
      </c>
      <c r="B146" s="107">
        <v>213065</v>
      </c>
    </row>
    <row r="147" spans="1:2">
      <c r="A147" s="106" t="s">
        <v>755</v>
      </c>
      <c r="B147" s="107">
        <v>213070</v>
      </c>
    </row>
    <row r="148" spans="1:2">
      <c r="A148" s="106" t="s">
        <v>756</v>
      </c>
      <c r="B148" s="107">
        <v>213075</v>
      </c>
    </row>
    <row r="149" spans="1:2">
      <c r="A149" s="106" t="s">
        <v>757</v>
      </c>
      <c r="B149" s="107">
        <v>213080</v>
      </c>
    </row>
    <row r="150" spans="1:2">
      <c r="A150" s="106" t="s">
        <v>758</v>
      </c>
      <c r="B150" s="107">
        <v>213085</v>
      </c>
    </row>
    <row r="151" spans="1:2">
      <c r="A151" s="106" t="s">
        <v>759</v>
      </c>
      <c r="B151" s="107">
        <v>213090</v>
      </c>
    </row>
    <row r="152" spans="1:2">
      <c r="A152" s="106" t="s">
        <v>760</v>
      </c>
      <c r="B152" s="107">
        <v>213095</v>
      </c>
    </row>
    <row r="153" spans="1:2">
      <c r="A153" s="106" t="s">
        <v>761</v>
      </c>
      <c r="B153" s="107">
        <v>213100</v>
      </c>
    </row>
    <row r="154" spans="1:2">
      <c r="A154" s="106" t="s">
        <v>762</v>
      </c>
      <c r="B154" s="107">
        <v>213105</v>
      </c>
    </row>
    <row r="155" spans="1:2">
      <c r="A155" s="106" t="s">
        <v>763</v>
      </c>
      <c r="B155" s="107">
        <v>213110</v>
      </c>
    </row>
    <row r="156" spans="1:2">
      <c r="A156" s="106" t="s">
        <v>764</v>
      </c>
      <c r="B156" s="107">
        <v>213115</v>
      </c>
    </row>
    <row r="157" spans="1:2">
      <c r="A157" s="106" t="s">
        <v>765</v>
      </c>
      <c r="B157" s="107">
        <v>213120</v>
      </c>
    </row>
    <row r="158" spans="1:2">
      <c r="A158" s="106" t="s">
        <v>766</v>
      </c>
      <c r="B158" s="107">
        <v>213125</v>
      </c>
    </row>
    <row r="159" spans="1:2">
      <c r="A159" s="106" t="s">
        <v>767</v>
      </c>
      <c r="B159" s="107">
        <v>213130</v>
      </c>
    </row>
    <row r="160" spans="1:2">
      <c r="A160" s="106" t="s">
        <v>768</v>
      </c>
      <c r="B160" s="107">
        <v>213135</v>
      </c>
    </row>
    <row r="161" spans="1:2">
      <c r="A161" s="106" t="s">
        <v>769</v>
      </c>
      <c r="B161" s="107">
        <v>213140</v>
      </c>
    </row>
    <row r="162" spans="1:2">
      <c r="A162" s="106" t="s">
        <v>770</v>
      </c>
      <c r="B162" s="107">
        <v>213145</v>
      </c>
    </row>
    <row r="163" spans="1:2">
      <c r="A163" s="106" t="s">
        <v>771</v>
      </c>
      <c r="B163" s="107">
        <v>213150</v>
      </c>
    </row>
    <row r="164" spans="1:2">
      <c r="A164" s="106" t="s">
        <v>772</v>
      </c>
      <c r="B164" s="107">
        <v>213155</v>
      </c>
    </row>
    <row r="165" spans="1:2">
      <c r="A165" s="106" t="s">
        <v>773</v>
      </c>
      <c r="B165" s="107">
        <v>213160</v>
      </c>
    </row>
    <row r="166" spans="1:2">
      <c r="A166" s="106" t="s">
        <v>774</v>
      </c>
      <c r="B166" s="107">
        <v>213165</v>
      </c>
    </row>
    <row r="167" spans="1:2">
      <c r="A167" s="106" t="s">
        <v>775</v>
      </c>
      <c r="B167" s="107">
        <v>213170</v>
      </c>
    </row>
    <row r="168" spans="1:2">
      <c r="A168" s="106" t="s">
        <v>776</v>
      </c>
      <c r="B168" s="107">
        <v>213175</v>
      </c>
    </row>
    <row r="169" spans="1:2">
      <c r="A169" s="106" t="s">
        <v>440</v>
      </c>
      <c r="B169" s="107">
        <v>213180</v>
      </c>
    </row>
    <row r="170" spans="1:2">
      <c r="A170" s="106" t="s">
        <v>378</v>
      </c>
      <c r="B170" s="107">
        <v>213185</v>
      </c>
    </row>
    <row r="171" spans="1:2">
      <c r="A171" s="106" t="s">
        <v>441</v>
      </c>
      <c r="B171" s="107">
        <v>213190</v>
      </c>
    </row>
    <row r="172" spans="1:2">
      <c r="A172" s="106" t="s">
        <v>442</v>
      </c>
      <c r="B172" s="107">
        <v>213195</v>
      </c>
    </row>
    <row r="173" spans="1:2">
      <c r="A173" s="106" t="s">
        <v>777</v>
      </c>
      <c r="B173" s="107">
        <v>213200</v>
      </c>
    </row>
    <row r="174" spans="1:2">
      <c r="A174" s="106" t="s">
        <v>778</v>
      </c>
      <c r="B174" s="107">
        <v>213205</v>
      </c>
    </row>
    <row r="175" spans="1:2">
      <c r="A175" s="106" t="s">
        <v>443</v>
      </c>
      <c r="B175" s="107">
        <v>213210</v>
      </c>
    </row>
    <row r="176" spans="1:2">
      <c r="A176" s="106" t="s">
        <v>444</v>
      </c>
      <c r="B176" s="107">
        <v>213215</v>
      </c>
    </row>
    <row r="177" spans="1:2">
      <c r="A177" s="106" t="s">
        <v>445</v>
      </c>
      <c r="B177" s="107">
        <v>213220</v>
      </c>
    </row>
    <row r="178" spans="1:2">
      <c r="A178" s="106" t="s">
        <v>446</v>
      </c>
      <c r="B178" s="107">
        <v>213225</v>
      </c>
    </row>
    <row r="179" spans="1:2">
      <c r="A179" s="106" t="s">
        <v>447</v>
      </c>
      <c r="B179" s="107">
        <v>213230</v>
      </c>
    </row>
    <row r="180" spans="1:2">
      <c r="A180" s="106" t="s">
        <v>448</v>
      </c>
      <c r="B180" s="107">
        <v>213235</v>
      </c>
    </row>
    <row r="181" spans="1:2">
      <c r="A181" s="106" t="s">
        <v>449</v>
      </c>
      <c r="B181" s="107">
        <v>213240</v>
      </c>
    </row>
    <row r="182" spans="1:2">
      <c r="A182" s="106" t="s">
        <v>410</v>
      </c>
      <c r="B182" s="107">
        <v>213245</v>
      </c>
    </row>
    <row r="183" spans="1:2">
      <c r="A183" s="106" t="s">
        <v>450</v>
      </c>
      <c r="B183" s="107">
        <v>213250</v>
      </c>
    </row>
    <row r="184" spans="1:2">
      <c r="A184" s="106" t="s">
        <v>451</v>
      </c>
      <c r="B184" s="107">
        <v>213255</v>
      </c>
    </row>
    <row r="185" spans="1:2">
      <c r="A185" s="106" t="s">
        <v>452</v>
      </c>
      <c r="B185" s="107">
        <v>213260</v>
      </c>
    </row>
    <row r="186" spans="1:2">
      <c r="A186" s="106" t="s">
        <v>434</v>
      </c>
      <c r="B186" s="107">
        <v>213265</v>
      </c>
    </row>
    <row r="187" spans="1:2">
      <c r="A187" s="106" t="s">
        <v>437</v>
      </c>
      <c r="B187" s="107">
        <v>213270</v>
      </c>
    </row>
    <row r="188" spans="1:2">
      <c r="A188" s="106" t="s">
        <v>438</v>
      </c>
      <c r="B188" s="107">
        <v>213275</v>
      </c>
    </row>
    <row r="189" spans="1:2">
      <c r="A189" s="106" t="s">
        <v>439</v>
      </c>
      <c r="B189" s="107">
        <v>213280</v>
      </c>
    </row>
    <row r="190" spans="1:2">
      <c r="A190" s="106" t="s">
        <v>453</v>
      </c>
      <c r="B190" s="107">
        <v>33</v>
      </c>
    </row>
    <row r="191" spans="1:2">
      <c r="A191" s="106" t="s">
        <v>454</v>
      </c>
      <c r="B191" s="107">
        <v>34</v>
      </c>
    </row>
    <row r="192" spans="1:2">
      <c r="A192" s="106" t="s">
        <v>779</v>
      </c>
      <c r="B192" s="107">
        <v>35</v>
      </c>
    </row>
    <row r="193" spans="1:2">
      <c r="A193" s="106" t="s">
        <v>356</v>
      </c>
      <c r="B193" s="107">
        <v>36</v>
      </c>
    </row>
    <row r="194" spans="1:2">
      <c r="A194" s="106" t="s">
        <v>0</v>
      </c>
      <c r="B194" s="107">
        <v>37</v>
      </c>
    </row>
    <row r="195" spans="1:2">
      <c r="A195" s="106" t="s">
        <v>357</v>
      </c>
      <c r="B195" s="107">
        <v>38</v>
      </c>
    </row>
    <row r="196" spans="1:2">
      <c r="A196" s="106" t="s">
        <v>359</v>
      </c>
      <c r="B196" s="107">
        <v>39</v>
      </c>
    </row>
    <row r="197" spans="1:2">
      <c r="A197" s="106" t="s">
        <v>360</v>
      </c>
      <c r="B197" s="107">
        <v>40</v>
      </c>
    </row>
    <row r="198" spans="1:2">
      <c r="A198" s="4"/>
      <c r="B198" s="4"/>
    </row>
    <row r="199" spans="1:2">
      <c r="A199" s="108" t="s">
        <v>867</v>
      </c>
      <c r="B199" s="4"/>
    </row>
    <row r="200" spans="1:2">
      <c r="A200" s="106" t="s">
        <v>455</v>
      </c>
      <c r="B200" s="107">
        <v>206000</v>
      </c>
    </row>
    <row r="201" spans="1:2">
      <c r="A201" s="106" t="s">
        <v>456</v>
      </c>
      <c r="B201" s="107">
        <v>206005</v>
      </c>
    </row>
    <row r="202" spans="1:2">
      <c r="A202" s="106" t="s">
        <v>457</v>
      </c>
      <c r="B202" s="107">
        <v>206010</v>
      </c>
    </row>
    <row r="203" spans="1:2">
      <c r="A203" s="106" t="s">
        <v>458</v>
      </c>
      <c r="B203" s="107">
        <v>206015</v>
      </c>
    </row>
    <row r="204" spans="1:2">
      <c r="A204" s="106" t="s">
        <v>459</v>
      </c>
      <c r="B204" s="107">
        <v>206020</v>
      </c>
    </row>
    <row r="205" spans="1:2">
      <c r="A205" s="106" t="s">
        <v>460</v>
      </c>
      <c r="B205" s="107">
        <v>206025</v>
      </c>
    </row>
    <row r="206" spans="1:2">
      <c r="A206" s="106" t="s">
        <v>461</v>
      </c>
      <c r="B206" s="107">
        <v>206030</v>
      </c>
    </row>
    <row r="207" spans="1:2">
      <c r="A207" s="106" t="s">
        <v>782</v>
      </c>
      <c r="B207" s="107">
        <v>206035</v>
      </c>
    </row>
    <row r="208" spans="1:2">
      <c r="A208" s="106" t="s">
        <v>462</v>
      </c>
      <c r="B208" s="107">
        <v>206040</v>
      </c>
    </row>
    <row r="209" spans="1:2">
      <c r="A209" s="106" t="s">
        <v>463</v>
      </c>
      <c r="B209" s="107">
        <v>206045</v>
      </c>
    </row>
    <row r="210" spans="1:2">
      <c r="A210" s="106" t="s">
        <v>464</v>
      </c>
      <c r="B210" s="107">
        <v>206050</v>
      </c>
    </row>
    <row r="211" spans="1:2">
      <c r="A211" s="106" t="s">
        <v>465</v>
      </c>
      <c r="B211" s="107">
        <v>206055</v>
      </c>
    </row>
    <row r="212" spans="1:2">
      <c r="A212" s="106" t="s">
        <v>466</v>
      </c>
      <c r="B212" s="107">
        <v>206060</v>
      </c>
    </row>
    <row r="213" spans="1:2">
      <c r="A213" s="106" t="s">
        <v>783</v>
      </c>
      <c r="B213" s="107">
        <v>206065</v>
      </c>
    </row>
    <row r="214" spans="1:2">
      <c r="A214" s="106" t="s">
        <v>784</v>
      </c>
      <c r="B214" s="107">
        <v>206070</v>
      </c>
    </row>
    <row r="215" spans="1:2">
      <c r="A215" s="106" t="s">
        <v>785</v>
      </c>
      <c r="B215" s="107">
        <v>206075</v>
      </c>
    </row>
    <row r="216" spans="1:2">
      <c r="A216" s="106" t="s">
        <v>467</v>
      </c>
      <c r="B216" s="107">
        <v>206080</v>
      </c>
    </row>
    <row r="217" spans="1:2">
      <c r="A217" s="106" t="s">
        <v>468</v>
      </c>
      <c r="B217" s="107">
        <v>206085</v>
      </c>
    </row>
    <row r="218" spans="1:2">
      <c r="A218" s="106" t="s">
        <v>469</v>
      </c>
      <c r="B218" s="107">
        <v>206090</v>
      </c>
    </row>
    <row r="219" spans="1:2">
      <c r="A219" s="106" t="s">
        <v>470</v>
      </c>
      <c r="B219" s="107">
        <v>206095</v>
      </c>
    </row>
    <row r="220" spans="1:2">
      <c r="A220" s="106" t="s">
        <v>471</v>
      </c>
      <c r="B220" s="107">
        <v>206100</v>
      </c>
    </row>
    <row r="221" spans="1:2">
      <c r="A221" s="106" t="s">
        <v>472</v>
      </c>
      <c r="B221" s="107">
        <v>206105</v>
      </c>
    </row>
    <row r="222" spans="1:2">
      <c r="A222" s="106" t="s">
        <v>473</v>
      </c>
      <c r="B222" s="107">
        <v>206110</v>
      </c>
    </row>
    <row r="223" spans="1:2">
      <c r="A223" s="106" t="s">
        <v>786</v>
      </c>
      <c r="B223" s="107">
        <v>206115</v>
      </c>
    </row>
    <row r="224" spans="1:2">
      <c r="A224" s="106" t="s">
        <v>474</v>
      </c>
      <c r="B224" s="107">
        <v>206120</v>
      </c>
    </row>
    <row r="225" spans="1:2">
      <c r="A225" s="106" t="s">
        <v>787</v>
      </c>
      <c r="B225" s="107">
        <v>206125</v>
      </c>
    </row>
    <row r="226" spans="1:2">
      <c r="A226" s="106" t="s">
        <v>475</v>
      </c>
      <c r="B226" s="107">
        <v>206130</v>
      </c>
    </row>
    <row r="227" spans="1:2">
      <c r="A227" s="106" t="s">
        <v>476</v>
      </c>
      <c r="B227" s="107">
        <v>206135</v>
      </c>
    </row>
    <row r="228" spans="1:2">
      <c r="A228" s="106" t="s">
        <v>433</v>
      </c>
      <c r="B228" s="107">
        <v>206140</v>
      </c>
    </row>
    <row r="229" spans="1:2">
      <c r="A229" s="106" t="s">
        <v>477</v>
      </c>
      <c r="B229" s="107">
        <v>206145</v>
      </c>
    </row>
    <row r="230" spans="1:2">
      <c r="A230" s="106" t="s">
        <v>478</v>
      </c>
      <c r="B230" s="107">
        <v>206150</v>
      </c>
    </row>
    <row r="231" spans="1:2">
      <c r="A231" s="106" t="s">
        <v>479</v>
      </c>
      <c r="B231" s="107">
        <v>206155</v>
      </c>
    </row>
    <row r="232" spans="1:2">
      <c r="A232" s="106" t="s">
        <v>480</v>
      </c>
      <c r="B232" s="107">
        <v>206160</v>
      </c>
    </row>
    <row r="233" spans="1:2">
      <c r="A233" s="106" t="s">
        <v>481</v>
      </c>
      <c r="B233" s="107">
        <v>206165</v>
      </c>
    </row>
    <row r="234" spans="1:2">
      <c r="A234" s="106" t="s">
        <v>482</v>
      </c>
      <c r="B234" s="107">
        <v>206170</v>
      </c>
    </row>
    <row r="235" spans="1:2">
      <c r="A235" s="106" t="s">
        <v>483</v>
      </c>
      <c r="B235" s="107">
        <v>206175</v>
      </c>
    </row>
    <row r="236" spans="1:2">
      <c r="A236" s="106" t="s">
        <v>484</v>
      </c>
      <c r="B236" s="107">
        <v>206180</v>
      </c>
    </row>
    <row r="237" spans="1:2">
      <c r="A237" s="106" t="s">
        <v>788</v>
      </c>
      <c r="B237" s="107">
        <v>206181</v>
      </c>
    </row>
    <row r="238" spans="1:2">
      <c r="A238" s="106" t="s">
        <v>485</v>
      </c>
      <c r="B238" s="107">
        <v>206185</v>
      </c>
    </row>
    <row r="239" spans="1:2">
      <c r="A239" s="106" t="s">
        <v>486</v>
      </c>
      <c r="B239" s="107">
        <v>206190</v>
      </c>
    </row>
    <row r="240" spans="1:2">
      <c r="A240" s="106" t="s">
        <v>487</v>
      </c>
      <c r="B240" s="107">
        <v>206195</v>
      </c>
    </row>
    <row r="241" spans="1:2">
      <c r="A241" s="106" t="s">
        <v>789</v>
      </c>
      <c r="B241" s="107">
        <v>206200</v>
      </c>
    </row>
    <row r="242" spans="1:2">
      <c r="A242" s="106" t="s">
        <v>790</v>
      </c>
      <c r="B242" s="107">
        <v>206205</v>
      </c>
    </row>
    <row r="243" spans="1:2">
      <c r="A243" s="106" t="s">
        <v>791</v>
      </c>
      <c r="B243" s="107">
        <v>206210</v>
      </c>
    </row>
    <row r="244" spans="1:2">
      <c r="A244" s="106" t="s">
        <v>792</v>
      </c>
      <c r="B244" s="107">
        <v>206215</v>
      </c>
    </row>
    <row r="245" spans="1:2">
      <c r="A245" s="106" t="s">
        <v>793</v>
      </c>
      <c r="B245" s="107">
        <v>206220</v>
      </c>
    </row>
    <row r="246" spans="1:2">
      <c r="A246" s="106" t="s">
        <v>794</v>
      </c>
      <c r="B246" s="107">
        <v>206225</v>
      </c>
    </row>
    <row r="247" spans="1:2">
      <c r="A247" s="106" t="s">
        <v>795</v>
      </c>
      <c r="B247" s="107">
        <v>206230</v>
      </c>
    </row>
    <row r="248" spans="1:2">
      <c r="A248" s="106" t="s">
        <v>796</v>
      </c>
      <c r="B248" s="107">
        <v>206235</v>
      </c>
    </row>
    <row r="249" spans="1:2">
      <c r="A249" s="106" t="s">
        <v>797</v>
      </c>
      <c r="B249" s="107">
        <v>206240</v>
      </c>
    </row>
    <row r="250" spans="1:2">
      <c r="A250" s="106" t="s">
        <v>798</v>
      </c>
      <c r="B250" s="107">
        <v>206245</v>
      </c>
    </row>
    <row r="251" spans="1:2">
      <c r="A251" s="106" t="s">
        <v>799</v>
      </c>
      <c r="B251" s="107">
        <v>206250</v>
      </c>
    </row>
    <row r="252" spans="1:2">
      <c r="A252" s="106" t="s">
        <v>800</v>
      </c>
      <c r="B252" s="107">
        <v>206255</v>
      </c>
    </row>
    <row r="253" spans="1:2">
      <c r="A253" s="106" t="s">
        <v>801</v>
      </c>
      <c r="B253" s="107">
        <v>206260</v>
      </c>
    </row>
    <row r="254" spans="1:2">
      <c r="A254" s="106" t="s">
        <v>802</v>
      </c>
      <c r="B254" s="107">
        <v>206265</v>
      </c>
    </row>
    <row r="255" spans="1:2">
      <c r="A255" s="106" t="s">
        <v>803</v>
      </c>
      <c r="B255" s="107">
        <v>206270</v>
      </c>
    </row>
    <row r="256" spans="1:2">
      <c r="A256" s="106" t="s">
        <v>804</v>
      </c>
      <c r="B256" s="107">
        <v>206275</v>
      </c>
    </row>
    <row r="257" spans="1:2">
      <c r="A257" s="106" t="s">
        <v>805</v>
      </c>
      <c r="B257" s="107">
        <v>206280</v>
      </c>
    </row>
    <row r="258" spans="1:2">
      <c r="A258" s="106" t="s">
        <v>806</v>
      </c>
      <c r="B258" s="107">
        <v>206285</v>
      </c>
    </row>
    <row r="259" spans="1:2">
      <c r="A259" s="106" t="s">
        <v>807</v>
      </c>
      <c r="B259" s="107">
        <v>206290</v>
      </c>
    </row>
    <row r="260" spans="1:2">
      <c r="A260" s="106" t="s">
        <v>808</v>
      </c>
      <c r="B260" s="107">
        <v>206295</v>
      </c>
    </row>
    <row r="261" spans="1:2">
      <c r="A261" s="106" t="s">
        <v>809</v>
      </c>
      <c r="B261" s="107">
        <v>206300</v>
      </c>
    </row>
    <row r="262" spans="1:2">
      <c r="A262" s="106" t="s">
        <v>810</v>
      </c>
      <c r="B262" s="107">
        <v>206305</v>
      </c>
    </row>
    <row r="263" spans="1:2">
      <c r="A263" s="106" t="s">
        <v>811</v>
      </c>
      <c r="B263" s="107">
        <v>206310</v>
      </c>
    </row>
    <row r="264" spans="1:2">
      <c r="A264" s="106" t="s">
        <v>812</v>
      </c>
      <c r="B264" s="107">
        <v>206315</v>
      </c>
    </row>
    <row r="265" spans="1:2">
      <c r="A265" s="106" t="s">
        <v>813</v>
      </c>
      <c r="B265" s="107">
        <v>206320</v>
      </c>
    </row>
    <row r="266" spans="1:2">
      <c r="A266" s="106" t="s">
        <v>814</v>
      </c>
      <c r="B266" s="107">
        <v>206325</v>
      </c>
    </row>
    <row r="267" spans="1:2">
      <c r="A267" s="106" t="s">
        <v>815</v>
      </c>
      <c r="B267" s="107">
        <v>206330</v>
      </c>
    </row>
    <row r="268" spans="1:2">
      <c r="A268" s="106" t="s">
        <v>816</v>
      </c>
      <c r="B268" s="107">
        <v>206335</v>
      </c>
    </row>
    <row r="269" spans="1:2">
      <c r="A269" s="106" t="s">
        <v>817</v>
      </c>
      <c r="B269" s="107">
        <v>206340</v>
      </c>
    </row>
    <row r="270" spans="1:2">
      <c r="A270" s="106" t="s">
        <v>818</v>
      </c>
      <c r="B270" s="107">
        <v>206345</v>
      </c>
    </row>
    <row r="271" spans="1:2">
      <c r="A271" s="106" t="s">
        <v>394</v>
      </c>
      <c r="B271" s="107">
        <v>42</v>
      </c>
    </row>
    <row r="272" spans="1:2">
      <c r="A272" s="106" t="s">
        <v>819</v>
      </c>
      <c r="B272" s="107">
        <v>43</v>
      </c>
    </row>
    <row r="273" spans="1:2">
      <c r="A273" s="106" t="s">
        <v>356</v>
      </c>
      <c r="B273" s="107">
        <v>44</v>
      </c>
    </row>
    <row r="274" spans="1:2">
      <c r="A274" s="106" t="s">
        <v>0</v>
      </c>
      <c r="B274" s="107">
        <v>45</v>
      </c>
    </row>
    <row r="275" spans="1:2">
      <c r="A275" s="106" t="s">
        <v>357</v>
      </c>
      <c r="B275" s="107">
        <v>46</v>
      </c>
    </row>
    <row r="276" spans="1:2">
      <c r="A276" s="106" t="s">
        <v>359</v>
      </c>
      <c r="B276" s="107">
        <v>47</v>
      </c>
    </row>
    <row r="277" spans="1:2">
      <c r="A277" s="106" t="s">
        <v>360</v>
      </c>
      <c r="B277" s="107">
        <v>48</v>
      </c>
    </row>
    <row r="278" spans="1:2">
      <c r="A278" s="4"/>
      <c r="B278" s="4"/>
    </row>
    <row r="279" spans="1:2">
      <c r="A279" s="108" t="s">
        <v>868</v>
      </c>
      <c r="B279" s="4"/>
    </row>
    <row r="280" spans="1:2">
      <c r="A280" s="106" t="s">
        <v>489</v>
      </c>
      <c r="B280" s="107">
        <v>209000</v>
      </c>
    </row>
    <row r="281" spans="1:2">
      <c r="A281" s="106" t="s">
        <v>490</v>
      </c>
      <c r="B281" s="107">
        <v>209005</v>
      </c>
    </row>
    <row r="282" spans="1:2">
      <c r="A282" s="106" t="s">
        <v>491</v>
      </c>
      <c r="B282" s="107">
        <v>209010</v>
      </c>
    </row>
    <row r="283" spans="1:2">
      <c r="A283" s="106" t="s">
        <v>492</v>
      </c>
      <c r="B283" s="107">
        <v>209015</v>
      </c>
    </row>
    <row r="284" spans="1:2">
      <c r="A284" s="106" t="s">
        <v>822</v>
      </c>
      <c r="B284" s="107">
        <v>209020</v>
      </c>
    </row>
    <row r="285" spans="1:2">
      <c r="A285" s="106" t="s">
        <v>823</v>
      </c>
      <c r="B285" s="107">
        <v>209025</v>
      </c>
    </row>
    <row r="286" spans="1:2">
      <c r="A286" s="106" t="s">
        <v>493</v>
      </c>
      <c r="B286" s="107">
        <v>209030</v>
      </c>
    </row>
    <row r="287" spans="1:2">
      <c r="A287" s="106" t="s">
        <v>494</v>
      </c>
      <c r="B287" s="107">
        <v>209035</v>
      </c>
    </row>
    <row r="288" spans="1:2">
      <c r="A288" s="106" t="s">
        <v>824</v>
      </c>
      <c r="B288" s="107">
        <v>209040</v>
      </c>
    </row>
    <row r="289" spans="1:2">
      <c r="A289" s="106" t="s">
        <v>825</v>
      </c>
      <c r="B289" s="107">
        <v>209045</v>
      </c>
    </row>
    <row r="290" spans="1:2">
      <c r="A290" s="106" t="s">
        <v>495</v>
      </c>
      <c r="B290" s="107">
        <v>209050</v>
      </c>
    </row>
    <row r="291" spans="1:2">
      <c r="A291" s="106" t="s">
        <v>826</v>
      </c>
      <c r="B291" s="107">
        <v>209055</v>
      </c>
    </row>
    <row r="292" spans="1:2">
      <c r="A292" s="106" t="s">
        <v>496</v>
      </c>
      <c r="B292" s="107">
        <v>209060</v>
      </c>
    </row>
    <row r="293" spans="1:2">
      <c r="A293" s="106" t="s">
        <v>827</v>
      </c>
      <c r="B293" s="107">
        <v>209061</v>
      </c>
    </row>
    <row r="294" spans="1:2">
      <c r="A294" s="106" t="s">
        <v>497</v>
      </c>
      <c r="B294" s="107">
        <v>209065</v>
      </c>
    </row>
    <row r="295" spans="1:2">
      <c r="A295" s="106" t="s">
        <v>498</v>
      </c>
      <c r="B295" s="107">
        <v>209070</v>
      </c>
    </row>
    <row r="296" spans="1:2">
      <c r="A296" s="106" t="s">
        <v>499</v>
      </c>
      <c r="B296" s="107">
        <v>209075</v>
      </c>
    </row>
    <row r="297" spans="1:2">
      <c r="A297" s="106" t="s">
        <v>500</v>
      </c>
      <c r="B297" s="107">
        <v>209080</v>
      </c>
    </row>
    <row r="298" spans="1:2">
      <c r="A298" s="106" t="s">
        <v>501</v>
      </c>
      <c r="B298" s="107">
        <v>209085</v>
      </c>
    </row>
    <row r="299" spans="1:2">
      <c r="A299" s="106" t="s">
        <v>502</v>
      </c>
      <c r="B299" s="107">
        <v>209090</v>
      </c>
    </row>
    <row r="300" spans="1:2">
      <c r="A300" s="106" t="s">
        <v>503</v>
      </c>
      <c r="B300" s="107">
        <v>209095</v>
      </c>
    </row>
    <row r="301" spans="1:2">
      <c r="A301" s="106" t="s">
        <v>828</v>
      </c>
      <c r="B301" s="107">
        <v>209100</v>
      </c>
    </row>
    <row r="302" spans="1:2">
      <c r="A302" s="106" t="s">
        <v>784</v>
      </c>
      <c r="B302" s="107">
        <v>209105</v>
      </c>
    </row>
    <row r="303" spans="1:2">
      <c r="A303" s="106" t="s">
        <v>829</v>
      </c>
      <c r="B303" s="107">
        <v>209110</v>
      </c>
    </row>
    <row r="304" spans="1:2">
      <c r="A304" s="106" t="s">
        <v>504</v>
      </c>
      <c r="B304" s="107">
        <v>209115</v>
      </c>
    </row>
    <row r="305" spans="1:2">
      <c r="A305" s="106" t="s">
        <v>457</v>
      </c>
      <c r="B305" s="107">
        <v>209120</v>
      </c>
    </row>
    <row r="306" spans="1:2">
      <c r="A306" s="106" t="s">
        <v>505</v>
      </c>
      <c r="B306" s="107">
        <v>209125</v>
      </c>
    </row>
    <row r="307" spans="1:2">
      <c r="A307" s="106" t="s">
        <v>506</v>
      </c>
      <c r="B307" s="107">
        <v>209130</v>
      </c>
    </row>
    <row r="308" spans="1:2">
      <c r="A308" s="106" t="s">
        <v>410</v>
      </c>
      <c r="B308" s="107">
        <v>209135</v>
      </c>
    </row>
    <row r="309" spans="1:2">
      <c r="A309" s="106" t="s">
        <v>507</v>
      </c>
      <c r="B309" s="107">
        <v>209140</v>
      </c>
    </row>
    <row r="310" spans="1:2">
      <c r="A310" s="106" t="s">
        <v>508</v>
      </c>
      <c r="B310" s="107">
        <v>209145</v>
      </c>
    </row>
    <row r="311" spans="1:2">
      <c r="A311" s="106" t="s">
        <v>509</v>
      </c>
      <c r="B311" s="107">
        <v>209150</v>
      </c>
    </row>
    <row r="312" spans="1:2">
      <c r="A312" s="106" t="s">
        <v>510</v>
      </c>
      <c r="B312" s="107">
        <v>209155</v>
      </c>
    </row>
    <row r="313" spans="1:2">
      <c r="A313" s="106" t="s">
        <v>511</v>
      </c>
      <c r="B313" s="107">
        <v>209160</v>
      </c>
    </row>
    <row r="314" spans="1:2">
      <c r="A314" s="106" t="s">
        <v>512</v>
      </c>
      <c r="B314" s="107">
        <v>209165</v>
      </c>
    </row>
    <row r="315" spans="1:2">
      <c r="A315" s="106" t="s">
        <v>513</v>
      </c>
      <c r="B315" s="107">
        <v>209170</v>
      </c>
    </row>
    <row r="316" spans="1:2">
      <c r="A316" s="106" t="s">
        <v>830</v>
      </c>
      <c r="B316" s="107">
        <v>209175</v>
      </c>
    </row>
    <row r="317" spans="1:2">
      <c r="A317" s="106" t="s">
        <v>475</v>
      </c>
      <c r="B317" s="107">
        <v>209180</v>
      </c>
    </row>
    <row r="318" spans="1:2">
      <c r="A318" s="106" t="s">
        <v>476</v>
      </c>
      <c r="B318" s="107">
        <v>209185</v>
      </c>
    </row>
    <row r="319" spans="1:2">
      <c r="A319" s="106" t="s">
        <v>433</v>
      </c>
      <c r="B319" s="107">
        <v>209190</v>
      </c>
    </row>
    <row r="320" spans="1:2">
      <c r="A320" s="106" t="s">
        <v>483</v>
      </c>
      <c r="B320" s="107">
        <v>209195</v>
      </c>
    </row>
    <row r="321" spans="1:2">
      <c r="A321" s="106" t="s">
        <v>831</v>
      </c>
      <c r="B321" s="107">
        <v>50</v>
      </c>
    </row>
    <row r="322" spans="1:2">
      <c r="A322" s="106" t="s">
        <v>394</v>
      </c>
      <c r="B322" s="107">
        <v>51</v>
      </c>
    </row>
    <row r="323" spans="1:2">
      <c r="A323" s="106" t="s">
        <v>356</v>
      </c>
      <c r="B323" s="107">
        <v>52</v>
      </c>
    </row>
    <row r="324" spans="1:2">
      <c r="A324" s="106" t="s">
        <v>0</v>
      </c>
      <c r="B324" s="107">
        <v>53</v>
      </c>
    </row>
    <row r="325" spans="1:2">
      <c r="A325" s="106" t="s">
        <v>357</v>
      </c>
      <c r="B325" s="107">
        <v>54</v>
      </c>
    </row>
    <row r="326" spans="1:2">
      <c r="A326" s="106" t="s">
        <v>359</v>
      </c>
      <c r="B326" s="107">
        <v>55</v>
      </c>
    </row>
    <row r="327" spans="1:2">
      <c r="A327" s="106" t="s">
        <v>360</v>
      </c>
      <c r="B327" s="107">
        <v>56</v>
      </c>
    </row>
    <row r="328" spans="1:2">
      <c r="A328" s="4"/>
      <c r="B328" s="4"/>
    </row>
    <row r="329" spans="1:2">
      <c r="A329" s="109" t="s">
        <v>869</v>
      </c>
      <c r="B329" s="4"/>
    </row>
    <row r="330" spans="1:2">
      <c r="A330" s="106" t="s">
        <v>514</v>
      </c>
      <c r="B330" s="107">
        <v>21000</v>
      </c>
    </row>
    <row r="331" spans="1:2">
      <c r="A331" s="106" t="s">
        <v>515</v>
      </c>
      <c r="B331" s="107">
        <v>21005</v>
      </c>
    </row>
    <row r="332" spans="1:2">
      <c r="A332" s="106" t="s">
        <v>516</v>
      </c>
      <c r="B332" s="107">
        <v>21010</v>
      </c>
    </row>
    <row r="333" spans="1:2">
      <c r="A333" s="106" t="s">
        <v>517</v>
      </c>
      <c r="B333" s="107">
        <v>21015</v>
      </c>
    </row>
    <row r="334" spans="1:2">
      <c r="A334" s="106" t="s">
        <v>833</v>
      </c>
      <c r="B334" s="107">
        <v>21020</v>
      </c>
    </row>
    <row r="335" spans="1:2">
      <c r="A335" s="106" t="s">
        <v>834</v>
      </c>
      <c r="B335" s="107">
        <v>21025</v>
      </c>
    </row>
    <row r="336" spans="1:2">
      <c r="A336" s="106" t="s">
        <v>518</v>
      </c>
      <c r="B336" s="107">
        <v>21030</v>
      </c>
    </row>
    <row r="337" spans="1:2">
      <c r="A337" s="106" t="s">
        <v>519</v>
      </c>
      <c r="B337" s="107">
        <v>21035</v>
      </c>
    </row>
    <row r="338" spans="1:2">
      <c r="A338" s="106" t="s">
        <v>520</v>
      </c>
      <c r="B338" s="107">
        <v>21040</v>
      </c>
    </row>
    <row r="339" spans="1:2">
      <c r="A339" s="106" t="s">
        <v>521</v>
      </c>
      <c r="B339" s="107">
        <v>21045</v>
      </c>
    </row>
    <row r="340" spans="1:2">
      <c r="A340" s="106" t="s">
        <v>522</v>
      </c>
      <c r="B340" s="107">
        <v>21050</v>
      </c>
    </row>
    <row r="341" spans="1:2">
      <c r="A341" s="106" t="s">
        <v>523</v>
      </c>
      <c r="B341" s="107">
        <v>21055</v>
      </c>
    </row>
    <row r="342" spans="1:2">
      <c r="A342" s="106" t="s">
        <v>410</v>
      </c>
      <c r="B342" s="107">
        <v>21060</v>
      </c>
    </row>
    <row r="343" spans="1:2">
      <c r="A343" s="106" t="s">
        <v>476</v>
      </c>
      <c r="B343" s="107">
        <v>21065</v>
      </c>
    </row>
    <row r="344" spans="1:2">
      <c r="A344" s="106" t="s">
        <v>433</v>
      </c>
      <c r="B344" s="107">
        <v>21070</v>
      </c>
    </row>
    <row r="345" spans="1:2">
      <c r="A345" s="106" t="s">
        <v>835</v>
      </c>
      <c r="B345" s="107">
        <v>21075</v>
      </c>
    </row>
    <row r="346" spans="1:2">
      <c r="A346" s="106" t="s">
        <v>488</v>
      </c>
      <c r="B346" s="107">
        <v>21080</v>
      </c>
    </row>
    <row r="347" spans="1:2">
      <c r="A347" s="106" t="s">
        <v>355</v>
      </c>
      <c r="B347" s="107">
        <v>57</v>
      </c>
    </row>
    <row r="348" spans="1:2">
      <c r="A348" s="106" t="s">
        <v>356</v>
      </c>
      <c r="B348" s="107">
        <v>58</v>
      </c>
    </row>
    <row r="349" spans="1:2">
      <c r="A349" s="106" t="s">
        <v>0</v>
      </c>
      <c r="B349" s="107">
        <v>59</v>
      </c>
    </row>
    <row r="350" spans="1:2">
      <c r="A350" s="106" t="s">
        <v>357</v>
      </c>
      <c r="B350" s="107">
        <v>60</v>
      </c>
    </row>
    <row r="351" spans="1:2">
      <c r="A351" s="106" t="s">
        <v>359</v>
      </c>
      <c r="B351" s="107">
        <v>61</v>
      </c>
    </row>
    <row r="352" spans="1:2">
      <c r="A352" s="106" t="s">
        <v>360</v>
      </c>
      <c r="B352" s="107">
        <v>62</v>
      </c>
    </row>
    <row r="353" spans="1:2">
      <c r="A353" s="4"/>
      <c r="B353" s="4"/>
    </row>
    <row r="354" spans="1:2">
      <c r="A354" s="108" t="s">
        <v>2</v>
      </c>
      <c r="B354" s="4"/>
    </row>
    <row r="355" spans="1:2">
      <c r="A355" s="106" t="s">
        <v>524</v>
      </c>
      <c r="B355" s="107">
        <v>203000</v>
      </c>
    </row>
    <row r="356" spans="1:2">
      <c r="A356" s="106" t="s">
        <v>525</v>
      </c>
      <c r="B356" s="107">
        <v>203005</v>
      </c>
    </row>
    <row r="357" spans="1:2">
      <c r="A357" s="106" t="s">
        <v>526</v>
      </c>
      <c r="B357" s="107">
        <v>203010</v>
      </c>
    </row>
    <row r="358" spans="1:2">
      <c r="A358" s="106" t="s">
        <v>527</v>
      </c>
      <c r="B358" s="107">
        <v>203015</v>
      </c>
    </row>
    <row r="359" spans="1:2">
      <c r="A359" s="106" t="s">
        <v>528</v>
      </c>
      <c r="B359" s="107">
        <v>203020</v>
      </c>
    </row>
    <row r="360" spans="1:2">
      <c r="A360" s="106" t="s">
        <v>529</v>
      </c>
      <c r="B360" s="107">
        <v>203025</v>
      </c>
    </row>
    <row r="361" spans="1:2">
      <c r="A361" s="106" t="s">
        <v>530</v>
      </c>
      <c r="B361" s="107">
        <v>203030</v>
      </c>
    </row>
    <row r="362" spans="1:2">
      <c r="A362" s="106" t="s">
        <v>531</v>
      </c>
      <c r="B362" s="107">
        <v>203035</v>
      </c>
    </row>
    <row r="363" spans="1:2">
      <c r="A363" s="106" t="s">
        <v>532</v>
      </c>
      <c r="B363" s="107">
        <v>203040</v>
      </c>
    </row>
    <row r="364" spans="1:2">
      <c r="A364" s="106" t="s">
        <v>533</v>
      </c>
      <c r="B364" s="107">
        <v>203045</v>
      </c>
    </row>
    <row r="365" spans="1:2">
      <c r="A365" s="106" t="s">
        <v>534</v>
      </c>
      <c r="B365" s="107">
        <v>203050</v>
      </c>
    </row>
    <row r="366" spans="1:2">
      <c r="A366" s="106" t="s">
        <v>410</v>
      </c>
      <c r="B366" s="107">
        <v>203055</v>
      </c>
    </row>
    <row r="367" spans="1:2">
      <c r="A367" s="106" t="s">
        <v>837</v>
      </c>
      <c r="B367" s="107">
        <v>64</v>
      </c>
    </row>
    <row r="368" spans="1:2">
      <c r="A368" s="106" t="s">
        <v>356</v>
      </c>
      <c r="B368" s="107">
        <v>65</v>
      </c>
    </row>
    <row r="369" spans="1:2">
      <c r="A369" s="106" t="s">
        <v>0</v>
      </c>
      <c r="B369" s="107">
        <v>66</v>
      </c>
    </row>
    <row r="370" spans="1:2">
      <c r="A370" s="106" t="s">
        <v>357</v>
      </c>
      <c r="B370" s="107">
        <v>67</v>
      </c>
    </row>
    <row r="371" spans="1:2">
      <c r="A371" s="106" t="s">
        <v>535</v>
      </c>
      <c r="B371" s="107">
        <v>68</v>
      </c>
    </row>
    <row r="372" spans="1:2">
      <c r="A372" s="106" t="s">
        <v>359</v>
      </c>
      <c r="B372" s="107">
        <v>69</v>
      </c>
    </row>
    <row r="373" spans="1:2">
      <c r="A373" s="106" t="s">
        <v>360</v>
      </c>
      <c r="B373" s="107">
        <v>70</v>
      </c>
    </row>
    <row r="374" spans="1:2">
      <c r="A374" s="4"/>
      <c r="B374" s="4"/>
    </row>
    <row r="375" spans="1:2">
      <c r="A375" s="108" t="s">
        <v>870</v>
      </c>
      <c r="B375" s="4"/>
    </row>
    <row r="376" spans="1:2">
      <c r="A376" s="106" t="s">
        <v>536</v>
      </c>
      <c r="B376" s="107">
        <v>205000</v>
      </c>
    </row>
    <row r="377" spans="1:2">
      <c r="A377" s="106" t="s">
        <v>537</v>
      </c>
      <c r="B377" s="107">
        <v>205005</v>
      </c>
    </row>
    <row r="378" spans="1:2">
      <c r="A378" s="106" t="s">
        <v>538</v>
      </c>
      <c r="B378" s="107">
        <v>205010</v>
      </c>
    </row>
    <row r="379" spans="1:2">
      <c r="A379" s="106" t="s">
        <v>838</v>
      </c>
      <c r="B379" s="107">
        <v>205015</v>
      </c>
    </row>
    <row r="380" spans="1:2">
      <c r="A380" s="106" t="s">
        <v>539</v>
      </c>
      <c r="B380" s="107">
        <v>205020</v>
      </c>
    </row>
    <row r="381" spans="1:2">
      <c r="A381" s="106" t="s">
        <v>540</v>
      </c>
      <c r="B381" s="107">
        <v>205025</v>
      </c>
    </row>
    <row r="382" spans="1:2">
      <c r="A382" s="106" t="s">
        <v>541</v>
      </c>
      <c r="B382" s="107">
        <v>205030</v>
      </c>
    </row>
    <row r="383" spans="1:2">
      <c r="A383" s="106" t="s">
        <v>542</v>
      </c>
      <c r="B383" s="107">
        <v>205035</v>
      </c>
    </row>
    <row r="384" spans="1:2">
      <c r="A384" s="106" t="s">
        <v>839</v>
      </c>
      <c r="B384" s="107">
        <v>205040</v>
      </c>
    </row>
    <row r="385" spans="1:2">
      <c r="A385" s="106" t="s">
        <v>840</v>
      </c>
      <c r="B385" s="107">
        <v>72</v>
      </c>
    </row>
    <row r="386" spans="1:2">
      <c r="A386" s="106" t="s">
        <v>356</v>
      </c>
      <c r="B386" s="107">
        <v>73</v>
      </c>
    </row>
    <row r="387" spans="1:2">
      <c r="A387" s="106" t="s">
        <v>0</v>
      </c>
      <c r="B387" s="107">
        <v>74</v>
      </c>
    </row>
    <row r="388" spans="1:2">
      <c r="A388" s="106" t="s">
        <v>357</v>
      </c>
      <c r="B388" s="107">
        <v>75</v>
      </c>
    </row>
    <row r="389" spans="1:2">
      <c r="A389" s="106" t="s">
        <v>359</v>
      </c>
      <c r="B389" s="107">
        <v>76</v>
      </c>
    </row>
    <row r="390" spans="1:2">
      <c r="A390" s="106" t="s">
        <v>360</v>
      </c>
      <c r="B390" s="107">
        <v>77</v>
      </c>
    </row>
    <row r="391" spans="1:2">
      <c r="A391" s="106" t="s">
        <v>535</v>
      </c>
      <c r="B391" s="107">
        <v>78</v>
      </c>
    </row>
    <row r="392" spans="1:2">
      <c r="A392" s="4"/>
      <c r="B392" s="4"/>
    </row>
    <row r="393" spans="1:2">
      <c r="A393" s="108" t="s">
        <v>871</v>
      </c>
      <c r="B393" s="4"/>
    </row>
    <row r="394" spans="1:2">
      <c r="A394" s="106" t="s">
        <v>543</v>
      </c>
      <c r="B394" s="107">
        <v>208000</v>
      </c>
    </row>
    <row r="395" spans="1:2">
      <c r="A395" s="106" t="s">
        <v>544</v>
      </c>
      <c r="B395" s="107">
        <v>208005</v>
      </c>
    </row>
    <row r="396" spans="1:2">
      <c r="A396" s="106" t="s">
        <v>545</v>
      </c>
      <c r="B396" s="107">
        <v>208010</v>
      </c>
    </row>
    <row r="397" spans="1:2">
      <c r="A397" s="106" t="s">
        <v>546</v>
      </c>
      <c r="B397" s="107">
        <v>208015</v>
      </c>
    </row>
    <row r="398" spans="1:2">
      <c r="A398" s="106" t="s">
        <v>547</v>
      </c>
      <c r="B398" s="107">
        <v>208020</v>
      </c>
    </row>
    <row r="399" spans="1:2">
      <c r="A399" s="106" t="s">
        <v>548</v>
      </c>
      <c r="B399" s="107">
        <v>208025</v>
      </c>
    </row>
    <row r="400" spans="1:2">
      <c r="A400" s="106" t="s">
        <v>410</v>
      </c>
      <c r="B400" s="107">
        <v>208030</v>
      </c>
    </row>
    <row r="401" spans="1:2">
      <c r="A401" s="106" t="s">
        <v>841</v>
      </c>
      <c r="B401" s="107">
        <v>208035</v>
      </c>
    </row>
    <row r="402" spans="1:2">
      <c r="A402" s="106" t="s">
        <v>549</v>
      </c>
      <c r="B402" s="107">
        <v>208040</v>
      </c>
    </row>
    <row r="403" spans="1:2">
      <c r="A403" s="106" t="s">
        <v>550</v>
      </c>
      <c r="B403" s="107">
        <v>208045</v>
      </c>
    </row>
    <row r="404" spans="1:2">
      <c r="A404" s="106" t="s">
        <v>551</v>
      </c>
      <c r="B404" s="107">
        <v>208050</v>
      </c>
    </row>
    <row r="405" spans="1:2">
      <c r="A405" s="106" t="s">
        <v>552</v>
      </c>
      <c r="B405" s="107">
        <v>208055</v>
      </c>
    </row>
    <row r="406" spans="1:2">
      <c r="A406" s="106" t="s">
        <v>842</v>
      </c>
      <c r="B406" s="107">
        <v>208060</v>
      </c>
    </row>
    <row r="407" spans="1:2">
      <c r="A407" s="106" t="s">
        <v>843</v>
      </c>
      <c r="B407" s="107">
        <v>208065</v>
      </c>
    </row>
    <row r="408" spans="1:2">
      <c r="A408" s="106" t="s">
        <v>844</v>
      </c>
      <c r="B408" s="107">
        <v>208070</v>
      </c>
    </row>
    <row r="409" spans="1:2">
      <c r="A409" s="106" t="s">
        <v>845</v>
      </c>
      <c r="B409" s="107">
        <v>208075</v>
      </c>
    </row>
    <row r="410" spans="1:2">
      <c r="A410" s="106" t="s">
        <v>846</v>
      </c>
      <c r="B410" s="107">
        <v>208080</v>
      </c>
    </row>
    <row r="411" spans="1:2">
      <c r="A411" s="106" t="s">
        <v>847</v>
      </c>
      <c r="B411" s="107">
        <v>208085</v>
      </c>
    </row>
    <row r="412" spans="1:2">
      <c r="A412" s="106" t="s">
        <v>848</v>
      </c>
      <c r="B412" s="107">
        <v>208090</v>
      </c>
    </row>
    <row r="413" spans="1:2">
      <c r="A413" s="106" t="s">
        <v>849</v>
      </c>
      <c r="B413" s="107">
        <v>208095</v>
      </c>
    </row>
    <row r="414" spans="1:2">
      <c r="A414" s="106" t="s">
        <v>850</v>
      </c>
      <c r="B414" s="107">
        <v>208100</v>
      </c>
    </row>
    <row r="415" spans="1:2">
      <c r="A415" s="106" t="s">
        <v>851</v>
      </c>
      <c r="B415" s="107">
        <v>208105</v>
      </c>
    </row>
    <row r="416" spans="1:2">
      <c r="A416" s="106" t="s">
        <v>852</v>
      </c>
      <c r="B416" s="107">
        <v>208110</v>
      </c>
    </row>
    <row r="417" spans="1:2">
      <c r="A417" s="106" t="s">
        <v>553</v>
      </c>
      <c r="B417" s="107">
        <v>208115</v>
      </c>
    </row>
    <row r="418" spans="1:2">
      <c r="A418" s="106" t="s">
        <v>554</v>
      </c>
      <c r="B418" s="107">
        <v>208120</v>
      </c>
    </row>
    <row r="419" spans="1:2">
      <c r="A419" s="106" t="s">
        <v>555</v>
      </c>
      <c r="B419" s="107">
        <v>208125</v>
      </c>
    </row>
    <row r="420" spans="1:2">
      <c r="A420" s="106" t="s">
        <v>556</v>
      </c>
      <c r="B420" s="107">
        <v>208130</v>
      </c>
    </row>
    <row r="421" spans="1:2">
      <c r="A421" s="106" t="s">
        <v>557</v>
      </c>
      <c r="B421" s="107">
        <v>208135</v>
      </c>
    </row>
    <row r="422" spans="1:2">
      <c r="A422" s="106" t="s">
        <v>558</v>
      </c>
      <c r="B422" s="107">
        <v>208140</v>
      </c>
    </row>
    <row r="423" spans="1:2">
      <c r="A423" s="106" t="s">
        <v>559</v>
      </c>
      <c r="B423" s="107">
        <v>208145</v>
      </c>
    </row>
    <row r="424" spans="1:2">
      <c r="A424" s="106" t="s">
        <v>560</v>
      </c>
      <c r="B424" s="107">
        <v>208150</v>
      </c>
    </row>
    <row r="425" spans="1:2">
      <c r="A425" s="106" t="s">
        <v>561</v>
      </c>
      <c r="B425" s="107">
        <v>208155</v>
      </c>
    </row>
    <row r="426" spans="1:2">
      <c r="A426" s="106" t="s">
        <v>562</v>
      </c>
      <c r="B426" s="107">
        <v>208160</v>
      </c>
    </row>
    <row r="427" spans="1:2">
      <c r="A427" s="106" t="s">
        <v>563</v>
      </c>
      <c r="B427" s="107">
        <v>208165</v>
      </c>
    </row>
    <row r="428" spans="1:2">
      <c r="A428" s="106" t="s">
        <v>564</v>
      </c>
      <c r="B428" s="107">
        <v>208170</v>
      </c>
    </row>
    <row r="429" spans="1:2">
      <c r="A429" s="106" t="s">
        <v>565</v>
      </c>
      <c r="B429" s="107">
        <v>208175</v>
      </c>
    </row>
    <row r="430" spans="1:2">
      <c r="A430" s="106" t="s">
        <v>566</v>
      </c>
      <c r="B430" s="107">
        <v>208180</v>
      </c>
    </row>
    <row r="431" spans="1:2">
      <c r="A431" s="106" t="s">
        <v>567</v>
      </c>
      <c r="B431" s="107">
        <v>208185</v>
      </c>
    </row>
    <row r="432" spans="1:2">
      <c r="A432" s="106" t="s">
        <v>568</v>
      </c>
      <c r="B432" s="107">
        <v>208190</v>
      </c>
    </row>
    <row r="433" spans="1:2">
      <c r="A433" s="106" t="s">
        <v>569</v>
      </c>
      <c r="B433" s="107">
        <v>208195</v>
      </c>
    </row>
    <row r="434" spans="1:2">
      <c r="A434" s="106" t="s">
        <v>570</v>
      </c>
      <c r="B434" s="107">
        <v>208200</v>
      </c>
    </row>
    <row r="435" spans="1:2">
      <c r="A435" s="106" t="s">
        <v>435</v>
      </c>
      <c r="B435" s="107">
        <v>208205</v>
      </c>
    </row>
    <row r="436" spans="1:2">
      <c r="A436" s="106" t="s">
        <v>571</v>
      </c>
      <c r="B436" s="107">
        <v>208210</v>
      </c>
    </row>
    <row r="437" spans="1:2">
      <c r="A437" s="106" t="s">
        <v>572</v>
      </c>
      <c r="B437" s="107">
        <v>208215</v>
      </c>
    </row>
    <row r="438" spans="1:2">
      <c r="A438" s="106" t="s">
        <v>853</v>
      </c>
      <c r="B438" s="107">
        <v>80</v>
      </c>
    </row>
    <row r="439" spans="1:2">
      <c r="A439" s="106" t="s">
        <v>854</v>
      </c>
      <c r="B439" s="107">
        <v>81</v>
      </c>
    </row>
    <row r="440" spans="1:2">
      <c r="A440" s="106" t="s">
        <v>855</v>
      </c>
      <c r="B440" s="107">
        <v>82</v>
      </c>
    </row>
    <row r="441" spans="1:2">
      <c r="A441" s="106" t="s">
        <v>356</v>
      </c>
      <c r="B441" s="107">
        <v>83</v>
      </c>
    </row>
    <row r="442" spans="1:2">
      <c r="A442" s="106" t="s">
        <v>0</v>
      </c>
      <c r="B442" s="107">
        <v>84</v>
      </c>
    </row>
    <row r="443" spans="1:2">
      <c r="A443" s="106" t="s">
        <v>357</v>
      </c>
      <c r="B443" s="107">
        <v>85</v>
      </c>
    </row>
    <row r="444" spans="1:2">
      <c r="A444" s="106" t="s">
        <v>359</v>
      </c>
      <c r="B444" s="107">
        <v>86</v>
      </c>
    </row>
    <row r="445" spans="1:2">
      <c r="A445" s="106" t="s">
        <v>360</v>
      </c>
      <c r="B445" s="107">
        <v>87</v>
      </c>
    </row>
    <row r="446" spans="1:2">
      <c r="A446" s="106" t="s">
        <v>535</v>
      </c>
      <c r="B446" s="107">
        <v>88</v>
      </c>
    </row>
    <row r="447" spans="1:2">
      <c r="A447" s="4"/>
      <c r="B447" s="4"/>
    </row>
    <row r="448" spans="1:2">
      <c r="A448" s="108" t="s">
        <v>872</v>
      </c>
      <c r="B448" s="4"/>
    </row>
    <row r="449" spans="1:2">
      <c r="A449" s="106" t="s">
        <v>573</v>
      </c>
      <c r="B449" s="106">
        <v>211000</v>
      </c>
    </row>
    <row r="450" spans="1:2">
      <c r="A450" s="106" t="s">
        <v>574</v>
      </c>
      <c r="B450" s="106">
        <v>211005</v>
      </c>
    </row>
    <row r="451" spans="1:2">
      <c r="A451" s="106" t="s">
        <v>575</v>
      </c>
      <c r="B451" s="106">
        <v>211010</v>
      </c>
    </row>
    <row r="452" spans="1:2">
      <c r="A452" s="106" t="s">
        <v>576</v>
      </c>
      <c r="B452" s="106">
        <v>211025</v>
      </c>
    </row>
    <row r="453" spans="1:2">
      <c r="A453" s="106" t="s">
        <v>355</v>
      </c>
      <c r="B453" s="106">
        <v>90</v>
      </c>
    </row>
    <row r="454" spans="1:2">
      <c r="A454" s="106" t="s">
        <v>356</v>
      </c>
      <c r="B454" s="106">
        <v>91</v>
      </c>
    </row>
    <row r="455" spans="1:2">
      <c r="A455" s="106" t="s">
        <v>0</v>
      </c>
      <c r="B455" s="106">
        <v>92</v>
      </c>
    </row>
    <row r="456" spans="1:2">
      <c r="A456" s="106" t="s">
        <v>357</v>
      </c>
      <c r="B456" s="106">
        <v>93</v>
      </c>
    </row>
    <row r="457" spans="1:2">
      <c r="A457" s="106" t="s">
        <v>359</v>
      </c>
      <c r="B457" s="106">
        <v>94</v>
      </c>
    </row>
    <row r="458" spans="1:2">
      <c r="A458" s="106" t="s">
        <v>360</v>
      </c>
      <c r="B458" s="106">
        <v>95</v>
      </c>
    </row>
    <row r="459" spans="1:2">
      <c r="A459" s="106" t="s">
        <v>535</v>
      </c>
      <c r="B459" s="106">
        <v>96</v>
      </c>
    </row>
    <row r="460" spans="1:2">
      <c r="A460" s="4"/>
      <c r="B460" s="4"/>
    </row>
    <row r="461" spans="1:2">
      <c r="A461" s="108" t="s">
        <v>873</v>
      </c>
      <c r="B461" s="4"/>
    </row>
    <row r="462" spans="1:2">
      <c r="A462" s="106" t="s">
        <v>350</v>
      </c>
      <c r="B462" s="106">
        <v>212000</v>
      </c>
    </row>
    <row r="463" spans="1:2">
      <c r="A463" s="106" t="s">
        <v>577</v>
      </c>
      <c r="B463" s="106">
        <v>212005</v>
      </c>
    </row>
    <row r="464" spans="1:2">
      <c r="A464" s="106" t="s">
        <v>578</v>
      </c>
      <c r="B464" s="106">
        <v>212010</v>
      </c>
    </row>
    <row r="465" spans="1:2">
      <c r="A465" s="106" t="s">
        <v>579</v>
      </c>
      <c r="B465" s="106">
        <v>212015</v>
      </c>
    </row>
    <row r="466" spans="1:2">
      <c r="A466" s="106" t="s">
        <v>580</v>
      </c>
      <c r="B466" s="106">
        <v>212020</v>
      </c>
    </row>
    <row r="467" spans="1:2">
      <c r="A467" s="106" t="s">
        <v>581</v>
      </c>
      <c r="B467" s="106">
        <v>212025</v>
      </c>
    </row>
    <row r="468" spans="1:2">
      <c r="A468" s="106" t="s">
        <v>859</v>
      </c>
      <c r="B468" s="106">
        <v>98</v>
      </c>
    </row>
    <row r="469" spans="1:2">
      <c r="A469" s="106" t="s">
        <v>356</v>
      </c>
      <c r="B469" s="106">
        <v>99</v>
      </c>
    </row>
    <row r="470" spans="1:2">
      <c r="A470" s="106" t="s">
        <v>0</v>
      </c>
      <c r="B470" s="106">
        <v>100</v>
      </c>
    </row>
    <row r="471" spans="1:2">
      <c r="A471" s="106" t="s">
        <v>357</v>
      </c>
      <c r="B471" s="106">
        <v>101</v>
      </c>
    </row>
    <row r="472" spans="1:2">
      <c r="A472" s="106" t="s">
        <v>860</v>
      </c>
      <c r="B472" s="106">
        <v>102</v>
      </c>
    </row>
    <row r="473" spans="1:2">
      <c r="A473" s="106" t="s">
        <v>582</v>
      </c>
      <c r="B473" s="106">
        <v>103</v>
      </c>
    </row>
    <row r="474" spans="1:2">
      <c r="A474" s="106" t="s">
        <v>583</v>
      </c>
      <c r="B474" s="106">
        <v>104</v>
      </c>
    </row>
    <row r="475" spans="1:2">
      <c r="A475" s="106" t="s">
        <v>359</v>
      </c>
      <c r="B475" s="106">
        <v>105</v>
      </c>
    </row>
    <row r="476" spans="1:2">
      <c r="A476" s="106" t="s">
        <v>360</v>
      </c>
      <c r="B476" s="106">
        <v>106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COLAR PLANO</vt:lpstr>
      <vt:lpstr>BD VOLUME</vt:lpstr>
      <vt:lpstr>RESUMO</vt:lpstr>
      <vt:lpstr>Preencher</vt:lpstr>
      <vt:lpstr>Avaliação</vt:lpstr>
      <vt:lpstr>Colar QL</vt:lpstr>
      <vt:lpstr>BD Temp</vt:lpstr>
      <vt:lpstr>Input RM</vt:lpstr>
      <vt:lpstr>BD Otimix</vt:lpstr>
      <vt:lpstr>Cod. Tarefa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Cousso Vieira</dc:creator>
  <cp:lastModifiedBy>Ives Siminio Fernandes</cp:lastModifiedBy>
  <cp:lastPrinted>2025-11-25T17:13:50Z</cp:lastPrinted>
  <dcterms:created xsi:type="dcterms:W3CDTF">2015-03-24T18:14:18Z</dcterms:created>
  <dcterms:modified xsi:type="dcterms:W3CDTF">2026-02-02T13:38:16Z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